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ez-moi" state="visible" r:id="rId4"/>
    <sheet sheetId="2" name="Transactions" state="visible" r:id="rId5"/>
    <sheet sheetId="3" name="Paie" state="visible" r:id="rId6"/>
    <sheet sheetId="4" name="Patrimoine" state="visible" r:id="rId7"/>
    <sheet sheetId="5" name="Paramètres" state="visible" r:id="rId8"/>
    <sheet sheetId="6" name="Référentiel" state="visible" r:id="rId9"/>
    <sheet sheetId="7" name="Visualisation" state="visible" r:id="rId10"/>
  </sheets>
  <definedNames>
    <definedName name="ListeComptes">'Paramètres'!$D$10:$D$49</definedName>
    <definedName name="ListeTypes">'Paramètres'!$M$10:$M$129</definedName>
    <definedName name="ListeMoisPaie">'Référentiel'!$B$2:$B$121</definedName>
    <definedName name="ListeNatures">'Référentiel'!$M$2:$M$26</definedName>
    <definedName name="ListeMois">'Référentiel'!$A$2:$A$61</definedName>
    <definedName name="FinReleve">'Paramètres'!$B$12</definedName>
    <definedName name="CompteSorties">'Paramètres'!$B$13</definedName>
  </definedName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Obligatoire. La date du mouvement. Ex. : 14/03/2026.</t>
        </r>
      </text>
    </comment>
    <comment ref="B1" authorId="0">
      <text>
        <r>
          <t>Facultatif. Le libellé du relevé. Ex. : Achat carte.</t>
        </r>
      </text>
    </comment>
    <comment ref="C1" authorId="0">
      <text>
        <r>
          <t>Obligatoire. Choisissez dans la liste : les comptes déclarés dans Paramètres. Ex. : Banque A - Courant.</t>
        </r>
      </text>
    </comment>
    <comment ref="D1" authorId="0">
      <text>
        <r>
          <t>Obligatoire. Choisissez dans la liste : les types déclarés dans Paramètres. Le type donne le sens, la classe et la catégorie.</t>
        </r>
      </text>
    </comment>
    <comment ref="E1" authorId="0">
      <text>
        <r>
          <t>Obligatoire. Le montant payé en entier, toujours positif. Ex. : 100. Sur un compte à 50 %, le Montant (colonne K) vaudra 50.</t>
        </r>
      </text>
    </comment>
    <comment ref="F1" authorId="0">
      <text>
        <r>
          <t>Facultatif. Débit ou Crédit, seulement si la ligne fait exception au sens du type. Ex. : 15 € de courses remboursés → Crédit.</t>
        </r>
      </text>
    </comment>
    <comment ref="G1" authorId="0">
      <text>
        <r>
          <t>Facultatif. Texte libre : chez qui, ou pour quoi. Ex. : Boulangerie. Alimente la liste « Enseigne » de la page Dépenses. Ancien nom : Sous-catégorie.</t>
        </r>
      </text>
    </comment>
    <comment ref="H1" authorId="0">
      <text>
        <r>
          <t>Facultatif. Texte libre : ce qui regroupe plusieurs dépenses. Ex. : Vacances d'été. Alimente la liste « Événement » de la page Dépenses. Ancien nom : Détail.</t>
        </r>
      </text>
    </comment>
    <comment ref="I1" authorId="0">
      <text>
        <r>
          <t>Facultatif. Texte libre.</t>
        </r>
      </text>
    </comment>
    <comment ref="J1" authorId="0">
      <text>
        <r>
          <t>Facultatif. « x » pour une ligne prévue, pas encore passée. Elle compte dès que sa date atteint la Fin de relevé (Paramètres).</t>
        </r>
      </text>
    </comment>
    <comment ref="K1" authorId="0">
      <text>
        <r>
          <t>Calculé — n'écrivez rien. Montant brut × la participation du compte.</t>
        </r>
      </text>
    </comment>
    <comment ref="L1" authorId="0">
      <text>
        <r>
          <t>Calculé — n'écrivez rien. Le sens du type, ou votre exception.</t>
        </r>
      </text>
    </comment>
    <comment ref="M1" authorId="0">
      <text>
        <r>
          <t>Calculé — n'écrivez rien. La classe du type. Vide pour un crédit.</t>
        </r>
      </text>
    </comment>
    <comment ref="N1" authorId="0">
      <text>
        <r>
          <t>Calculé — n'écrivez rien. La catégorie du type.</t>
        </r>
      </text>
    </comment>
    <comment ref="O1" authorId="0">
      <text>
        <r>
          <t>Calculé — n'écrivez rien. 1 si la ligne compte. Une ligne prévisionnelle attend la Fin de relevé.</t>
        </r>
      </text>
    </comment>
    <comment ref="P1" authorId="0">
      <text>
        <r>
          <t>Calculé — n'écrivez rien. 1 pour un crédit qui réduit une dépense.</t>
        </r>
      </text>
    </comment>
    <comment ref="Q1" authorId="0">
      <text>
        <r>
          <t>Calculé — n'écrivez rien. Les débits, moins les remboursements. 0 pour un transfert interne.</t>
        </r>
      </text>
    </comment>
    <comment ref="R1" authorId="0">
      <text>
        <r>
          <t>Calculé — n'écrivez rien. + pour un crédit, − pour un débit.</t>
        </r>
      </text>
    </comment>
    <comment ref="S1" authorId="0">
      <text>
        <r>
          <t>Calculé — n'écrivez rien. Le compte lié déclaré dans Paramètres.</t>
        </r>
      </text>
    </comment>
    <comment ref="T1" authorId="0">
      <text>
        <r>
          <t>Calculé — n'écrivez rien. Ce qui est reporté sur le compte lié.</t>
        </r>
      </text>
    </comment>
    <comment ref="U1" authorId="0">
      <text>
        <r>
          <t>Calculé — n'écrivez rien. Le montant sorti d'un livret.</t>
        </r>
      </text>
    </comment>
    <comment ref="V1" authorId="0">
      <text>
        <r>
          <t>Calculé — n'écrivez rien. Le rang de la ligne parmi les dépenses du mois choisi dans Visualisation (B1). Sert à la liste en bas de Visualisation.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Obligatoire. Choisissez le mois dans la liste. Ex. : septembre 2026.</t>
        </r>
      </text>
    </comment>
    <comment ref="B1" authorId="0">
      <text>
        <r>
          <t>Obligatoire. Choisissez dans la liste : les employeurs déclarés dans Paramètres.</t>
        </r>
      </text>
    </comment>
    <comment ref="C1" authorId="0">
      <text>
        <r>
          <t>Obligatoire. Le salaire brut du bulletin. Ex. : 3200.</t>
        </r>
      </text>
    </comment>
    <comment ref="D1" authorId="0">
      <text>
        <r>
          <t>Obligatoire. Les cotisations retenues sur le brut. Ex. : 700.</t>
        </r>
      </text>
    </comment>
    <comment ref="E1" authorId="0">
      <text>
        <r>
          <t>Facultatif. Vide = 0.</t>
        </r>
      </text>
    </comment>
    <comment ref="F1" authorId="0">
      <text>
        <r>
          <t>Facultatif. Vide = 0.</t>
        </r>
      </text>
    </comment>
    <comment ref="G1" authorId="0">
      <text>
        <r>
          <t>Calculé — n'écrivez rien. Brut − cotisations + indemnités − autres retenues.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Facultatif. Le rang du compte dans les tableaux et graphiques. Ex. : 1, 2, 4.1.</t>
        </r>
      </text>
    </comment>
    <comment ref="B1" authorId="0">
      <text>
        <r>
          <t>Obligatoire. Le nom du compte, écrit pareil chaque mois. Ex. : Livret Banque A.</t>
        </r>
      </text>
    </comment>
    <comment ref="C1" authorId="0">
      <text>
        <r>
          <t>Obligatoire. Choisissez dans la liste : Epargne, Liquidité ou Immobilier. Ex. : Liquidité pour un compte courant.</t>
        </r>
      </text>
    </comment>
    <comment ref="D1" authorId="0">
      <text>
        <r>
          <t>Obligatoire. L'établissement qui tient le compte. Ex. : Banque A. Pour un bien : Immobilier.</t>
        </r>
      </text>
    </comment>
    <comment ref="E1" authorId="0">
      <text>
        <r>
          <t>Obligatoire. La date du solde, en fin de mois. Ex. : 31/03/2026. Seules les dates dépassées comptent.</t>
        </r>
      </text>
    </comment>
    <comment ref="F1" authorId="0">
      <text>
        <r>
          <t>Obligatoire. Le solde à cette date. Ex. : 1520,40. Négatif possible (découvert). Vide = pas encore saisi, jamais compté 0.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9" authorId="0">
      <text>
        <r>
          <t>Le nom du réglage. Ne le modifiez pas.</t>
        </r>
      </text>
    </comment>
    <comment ref="B9" authorId="0">
      <text>
        <r>
          <t>La valeur du réglage. Voir l'encadré au-dessus.</t>
        </r>
      </text>
    </comment>
    <comment ref="D9" authorId="0">
      <text>
        <r>
          <t>Obligatoire. Le nom du compte, écrit comme dans Transactions.</t>
        </r>
      </text>
    </comment>
    <comment ref="E9" authorId="0">
      <text>
        <r>
          <t>Facultatif. La banque ou l'établissement. Ex. : Banque A.</t>
        </r>
      </text>
    </comment>
    <comment ref="F9" authorId="0">
      <text>
        <r>
          <t>Facultatif. Le solde à la date de Début de relevé. Vide = « non initialisé », jamais 0.</t>
        </r>
      </text>
    </comment>
    <comment ref="G9" authorId="0">
      <text>
        <r>
          <t>Facultatif. oui ou non. Vide = oui.</t>
        </r>
      </text>
    </comment>
    <comment ref="H9" authorId="0">
      <text>
        <r>
          <t>Facultatif. Le compte d'où l'argent part vraiment. Ex. : un compte joint lié à votre compte courant.</t>
        </r>
      </text>
    </comment>
    <comment ref="I9" authorId="0">
      <text>
        <r>
          <t>Facultatif. Débit, Crédit ou Les deux : ce qui est reporté sur le compte lié.</t>
        </r>
      </text>
    </comment>
    <comment ref="J9" authorId="0">
      <text>
        <r>
          <t>Facultatif. Votre part. Ex. : 50 %. Vide = 100 %.</t>
        </r>
      </text>
    </comment>
    <comment ref="K9" authorId="0">
      <text>
        <r>
          <t>Facultatif. #RRGGBB. Ex. : #2563eb. Vide = une couleur stable choisie pour vous.</t>
        </r>
      </text>
    </comment>
    <comment ref="M9" authorId="0">
      <text>
        <r>
          <t>Obligatoire. Le nom du type, écrit comme dans Transactions.</t>
        </r>
      </text>
    </comment>
    <comment ref="N9" authorId="0">
      <text>
        <r>
          <t>Facultatif. Choisissez dans la liste. Vide pour une dépense ou une recette ordinaire.</t>
        </r>
      </text>
    </comment>
    <comment ref="O9" authorId="0">
      <text>
        <r>
          <t>Facultatif. Fixe, Courante ou Occasionnelle, pour une dépense.</t>
        </r>
      </text>
    </comment>
    <comment ref="P9" authorId="0">
      <text>
        <r>
          <t>Facultatif. Débit ou Crédit : le cas le plus fréquent pour ce type.</t>
        </r>
      </text>
    </comment>
    <comment ref="Q9" authorId="0">
      <text>
        <r>
          <t>Facultatif. Le poste de budget. Choisissez dans la liste des catégories.</t>
        </r>
      </text>
    </comment>
    <comment ref="S9" authorId="0">
      <text>
        <r>
          <t>Obligatoire. Le nom du poste de budget. Ex. : Alimentation.</t>
        </r>
      </text>
    </comment>
    <comment ref="T9" authorId="0">
      <text>
        <r>
          <t>Facultatif. #RRGGBB. Ex. : #2563eb. Vide = une couleur stable choisie pour vous.</t>
        </r>
      </text>
    </comment>
    <comment ref="V9" authorId="0">
      <text>
        <r>
          <t>Obligatoire. Le nom de l'employeur, écrit comme dans Paie.</t>
        </r>
      </text>
    </comment>
  </commentList>
</comments>
</file>

<file path=xl/sharedStrings.xml><?xml version="1.0" encoding="utf-8"?>
<sst xmlns="http://schemas.openxmlformats.org/spreadsheetml/2006/main" count="5013" uniqueCount="315">
  <si>
    <t>Budget — modèle de fichier source</t>
  </si>
  <si>
    <t/>
  </si>
  <si>
    <t>Ce classeur est un EXEMPLE complet, rempli avec des données inventées. Remplacez-les par les vôtres.</t>
  </si>
  <si>
    <t>À remplir : les cellules jaune pâle, sous les en-têtes bleu nuit.</t>
  </si>
  <si>
    <t>Calculé : les cellules grises, sous les en-têtes gris. N'écrivez rien dedans.</t>
  </si>
  <si>
    <t>Par où commencer</t>
  </si>
  <si>
    <t xml:space="preserve">  1. Paramètres : vos comptes, vos types, vos catégories, vos dates de relevé.</t>
  </si>
  <si>
    <t xml:space="preserve">     Chaque tableau a son encadré « comment remplir », juste au-dessus.</t>
  </si>
  <si>
    <t xml:space="preserve">  2. Transactions : un mouvement par ligne, colonnes A à J. Les listes proposent vos comptes et vos types.</t>
  </si>
  <si>
    <t xml:space="preserve">  3. Paie (facultative) : un bulletin par mois.</t>
  </si>
  <si>
    <t xml:space="preserve">  4. Patrimoine (facultative) : le solde de chaque compte, un relevé par mois.</t>
  </si>
  <si>
    <t xml:space="preserve">  5. Visualisation : choisissez un mois en B1. Tout suit vos Paramètres.</t>
  </si>
  <si>
    <t xml:space="preserve">     Soldes et recettes à gauche ; épargne et rapprochement bancaire au milieu ; dépenses par catégorie à droite.</t>
  </si>
  <si>
    <t xml:space="preserve">     En dessous, les dépenses du mois, ligne à ligne.</t>
  </si>
  <si>
    <t>Besoin d'aide sur une colonne ?</t>
  </si>
  <si>
    <t xml:space="preserve">  Passez la souris sur son en-tête : une note dit quoi écrire, avec un exemple, et si c'est obligatoire.</t>
  </si>
  <si>
    <t xml:space="preserve">  Une valeur refusée ? Le message d'Excel dit pourquoi, et quoi mettre à la place.</t>
  </si>
  <si>
    <t>Feuille Patrimoine (facultative)</t>
  </si>
  <si>
    <t xml:space="preserve">  Le solde de chaque compte en fin de mois : une ligne par compte et par mois.</t>
  </si>
  <si>
    <t xml:space="preserve">  Montant vide = pas encore saisi : la ligne attend, elle ne compte jamais pour 0.</t>
  </si>
  <si>
    <t xml:space="preserve">  Seules les dates dépassées comptent : un échéancier de prêt rempli à l'avance reste de côté jusqu'à sa date.</t>
  </si>
  <si>
    <t xml:space="preserve">  Un compte clôturé : écrivez un dernier relevé à 0.</t>
  </si>
  <si>
    <t xml:space="preserve">  Sans cette feuille, le reste du fichier marche pareil.</t>
  </si>
  <si>
    <t>Ce qui est verrouillé</t>
  </si>
  <si>
    <t xml:space="preserve">  Les cellules grises, sans mot de passe. Vous pouvez filtrer, élargir une colonne,</t>
  </si>
  <si>
    <t xml:space="preserve">  et trier Transactions et Paie par la flèche d'un en-tête bleu nuit.</t>
  </si>
  <si>
    <t xml:space="preserve">  Ne renommez jamais un en-tête : l'outil trouve les colonnes par leur nom.</t>
  </si>
  <si>
    <t xml:space="preserve">  Une colonne facultative renommée (Libellé, Ville, Prévisionnel…) serait ignorée sans message.</t>
  </si>
  <si>
    <t xml:space="preserve">  Pour tout ouvrir : onglet Révision, « Ôter la protection de la feuille ». Aucun mot de passe.</t>
  </si>
  <si>
    <t xml:space="preserve">  Pas de ligne vide au milieu d'un tableau de Paramètres : la liste perdrait sa dernière entrée.</t>
  </si>
  <si>
    <t>Trois règles</t>
  </si>
  <si>
    <t xml:space="preserve">  1. Un montant est toujours positif : c'est le Sens qui dit Débit ou Crédit.</t>
  </si>
  <si>
    <t xml:space="preserve">  2. Un montant illisible ne devient jamais 0 : la ligne est refusée, et l'outil vous le dit.</t>
  </si>
  <si>
    <t xml:space="preserve">  3. Une feuille dont le nom n'est pas reconnu est ignorée — celle-ci, par exemple.</t>
  </si>
  <si>
    <t>Date</t>
  </si>
  <si>
    <t>Libellé</t>
  </si>
  <si>
    <t>Compte</t>
  </si>
  <si>
    <t>Type</t>
  </si>
  <si>
    <t>Montant brut</t>
  </si>
  <si>
    <t>Sens (si différent)</t>
  </si>
  <si>
    <t>Enseigne</t>
  </si>
  <si>
    <t>Événement</t>
  </si>
  <si>
    <t>Ville</t>
  </si>
  <si>
    <t>Prévisionnel</t>
  </si>
  <si>
    <t>Montant</t>
  </si>
  <si>
    <t>Sens</t>
  </si>
  <si>
    <t>Classe</t>
  </si>
  <si>
    <t>Catégorie</t>
  </si>
  <si>
    <t>Compté</t>
  </si>
  <si>
    <t>Remboursement</t>
  </si>
  <si>
    <t>Dépense nette</t>
  </si>
  <si>
    <t>Effet sur le compte</t>
  </si>
  <si>
    <t>Compte lié</t>
  </si>
  <si>
    <t>Effet sur le compte lié</t>
  </si>
  <si>
    <t>Sortie d'épargne</t>
  </si>
  <si>
    <t>N° dépense du mois</t>
  </si>
  <si>
    <t>Légende :</t>
  </si>
  <si>
    <t>À remplir</t>
  </si>
  <si>
    <t>Calculé — n'écrivez rien</t>
  </si>
  <si>
    <t>Loisirs</t>
  </si>
  <si>
    <t>Banque A - Part commune</t>
  </si>
  <si>
    <t>Abonnement vidéo</t>
  </si>
  <si>
    <t>Rentrée</t>
  </si>
  <si>
    <t>Villebourg</t>
  </si>
  <si>
    <t>Alimentation compte joint</t>
  </si>
  <si>
    <t>Banque C - Compte joint</t>
  </si>
  <si>
    <t>Transfert Banque A vers Banque C</t>
  </si>
  <si>
    <t>Banque B - Compte joint</t>
  </si>
  <si>
    <t>Transfert Banque A vers Banque B</t>
  </si>
  <si>
    <t>Titre restaurant</t>
  </si>
  <si>
    <t>Titres-restaurant</t>
  </si>
  <si>
    <t>cantine</t>
  </si>
  <si>
    <t>Cantine</t>
  </si>
  <si>
    <t>Rocheville</t>
  </si>
  <si>
    <t>Abonnement transport</t>
  </si>
  <si>
    <t>Banque A - Courant</t>
  </si>
  <si>
    <t>Achat carte</t>
  </si>
  <si>
    <t>courses</t>
  </si>
  <si>
    <t>Supermarché Centre</t>
  </si>
  <si>
    <t>Villebourg-sur-Rive</t>
  </si>
  <si>
    <t>Dotation titres</t>
  </si>
  <si>
    <t>Ticket Restaurant</t>
  </si>
  <si>
    <t>Échéance prêt — capital</t>
  </si>
  <si>
    <t>Crédit Immobilier</t>
  </si>
  <si>
    <t>Remboursement capital</t>
  </si>
  <si>
    <t>Échéance prêt — intérêts</t>
  </si>
  <si>
    <t>Intérêt du prêt</t>
  </si>
  <si>
    <t>Intérêts</t>
  </si>
  <si>
    <t>Assurance prêt</t>
  </si>
  <si>
    <t>Internet et Forfait téléphone</t>
  </si>
  <si>
    <t>Carburant</t>
  </si>
  <si>
    <t>Essence</t>
  </si>
  <si>
    <t>Parking</t>
  </si>
  <si>
    <t>Grandval</t>
  </si>
  <si>
    <t>Frais de Copropriété</t>
  </si>
  <si>
    <t>Supermarché Ouest</t>
  </si>
  <si>
    <t>Assurance habitation</t>
  </si>
  <si>
    <t>Assurance auto</t>
  </si>
  <si>
    <t>Primeur</t>
  </si>
  <si>
    <t>Concert</t>
  </si>
  <si>
    <t>Electricité</t>
  </si>
  <si>
    <t>Virement extérieur</t>
  </si>
  <si>
    <t>Boulangerie</t>
  </si>
  <si>
    <t>Impôt sur Revenu</t>
  </si>
  <si>
    <t>Transport urbain</t>
  </si>
  <si>
    <t>Virement épargne</t>
  </si>
  <si>
    <t>Epargne Banque B</t>
  </si>
  <si>
    <t>Banque B - Courant</t>
  </si>
  <si>
    <t>CB</t>
  </si>
  <si>
    <t>Pressing</t>
  </si>
  <si>
    <t>Epargne Banque A</t>
  </si>
  <si>
    <t>Epargne Banque C</t>
  </si>
  <si>
    <t>Versement assurance-vie</t>
  </si>
  <si>
    <t>Assurance-vie</t>
  </si>
  <si>
    <t>Virement salaire</t>
  </si>
  <si>
    <t>Salaire</t>
  </si>
  <si>
    <t>Équipement</t>
  </si>
  <si>
    <t>Jardinerie</t>
  </si>
  <si>
    <t>Frais Bancaires</t>
  </si>
  <si>
    <t>Restaurant</t>
  </si>
  <si>
    <t>Anniversaire</t>
  </si>
  <si>
    <t>Cadeaux</t>
  </si>
  <si>
    <t>Café</t>
  </si>
  <si>
    <t>Habillement</t>
  </si>
  <si>
    <t>Vêtement courant</t>
  </si>
  <si>
    <t>Prêt-à-porter</t>
  </si>
  <si>
    <t>Appli partagée - Part commune</t>
  </si>
  <si>
    <t>Cadeau</t>
  </si>
  <si>
    <t>Librairie</t>
  </si>
  <si>
    <t>Cagnotte</t>
  </si>
  <si>
    <t>Cagnotte partagée</t>
  </si>
  <si>
    <t>Santé</t>
  </si>
  <si>
    <t>Médecin</t>
  </si>
  <si>
    <t>Dentiste</t>
  </si>
  <si>
    <t>Cinéma</t>
  </si>
  <si>
    <t>Péage</t>
  </si>
  <si>
    <t>Station-service</t>
  </si>
  <si>
    <t>Fleuriste</t>
  </si>
  <si>
    <t>Sport en salle</t>
  </si>
  <si>
    <t>Ameublement</t>
  </si>
  <si>
    <t>Fêtes de fin d'année</t>
  </si>
  <si>
    <t>Bricolage</t>
  </si>
  <si>
    <t>Week-end montagne</t>
  </si>
  <si>
    <t>Pharmacie</t>
  </si>
  <si>
    <t>Travaux cuisine</t>
  </si>
  <si>
    <t>Électroménager</t>
  </si>
  <si>
    <t>Coiffeur</t>
  </si>
  <si>
    <t>Opticien</t>
  </si>
  <si>
    <t>Vacances d'été</t>
  </si>
  <si>
    <t>Cabinet médical</t>
  </si>
  <si>
    <t>Retrait épargne</t>
  </si>
  <si>
    <t>Épargne hors suivi</t>
  </si>
  <si>
    <t>Sortie Epargne</t>
  </si>
  <si>
    <t>Mois</t>
  </si>
  <si>
    <t>Employeur</t>
  </si>
  <si>
    <t>Brut</t>
  </si>
  <si>
    <t>Cotisations salariales</t>
  </si>
  <si>
    <t>Indemnités</t>
  </si>
  <si>
    <t>Autres retenues</t>
  </si>
  <si>
    <t>Net</t>
  </si>
  <si>
    <t>Cabinet Vorentis</t>
  </si>
  <si>
    <t>Groupe Aldruvie</t>
  </si>
  <si>
    <t>Kessante Ingénierie</t>
  </si>
  <si>
    <t>Ternovex Conseil</t>
  </si>
  <si>
    <t>Malderim Systèmes</t>
  </si>
  <si>
    <t>Ordre</t>
  </si>
  <si>
    <t>Transaction</t>
  </si>
  <si>
    <t>Epargne/Liquidité</t>
  </si>
  <si>
    <t>Banque</t>
  </si>
  <si>
    <t>Compte courant Banque A</t>
  </si>
  <si>
    <t>Liquidité</t>
  </si>
  <si>
    <t>Banque A</t>
  </si>
  <si>
    <t>Livret Banque A</t>
  </si>
  <si>
    <t>Epargne</t>
  </si>
  <si>
    <t>Assurance-vie Banque B</t>
  </si>
  <si>
    <t>Banque B</t>
  </si>
  <si>
    <t>Appartement - capital remboursé</t>
  </si>
  <si>
    <t>Immobilier</t>
  </si>
  <si>
    <t>RÉGLAGES — comment remplir</t>
  </si>
  <si>
    <t>COMPTES — comment remplir</t>
  </si>
  <si>
    <t>TYPES — comment remplir</t>
  </si>
  <si>
    <t>CATÉGORIES et EMPLOYEURS</t>
  </si>
  <si>
    <t xml:space="preserve">Une ligne par réglage : le nom en A, la valeur en B. Ne changez pas les noms.
Début et Fin de relevé : les dates que couvre votre fichier.
Prêt : les 4 lignes ensemble, ou aucune. Date de début au format AAAA-MM.
Une ligne vide ou une valeur illisible n'est jamais remplacée par défaut : l'import le dit.</t>
  </si>
  <si>
    <t xml:space="preserve">Un compte par ligne, écrit comme dans Transactions. Seule la colonne Compte est obligatoire.
Solde de départ : le solde à la date de Début de relevé. Vide = « non initialisé », jamais 0.
Porte un solde : « non » pour un compte suivi sans solde (titres-restaurant, compte de passage).
Compte lié + Sens répercuté : le compte d'où l'argent part vraiment (compte joint, carte).
Participation : votre part, par exemple 50 % pour un compte à deux. Vide = 100 %.
Pas de ligne vide au milieu du tableau : la liste des comptes s'arrêterait là.</t>
  </si>
  <si>
    <t xml:space="preserve">Un type par ligne, écrit comme dans Transactions.
Nature : ce que le mouvement fait aux calculs (épargne, transfert, prêt…). Vide pour une dépense ou une recette ordinaire.
Classe : Fixe, Courante ou Occasionnelle, pour une dépense.
Sens : Débit ou Crédit, le cas le plus fréquent. Catégorie : le poste de budget.
Pas de ligne vide au milieu du tableau : la liste des types s'arrêterait là.</t>
  </si>
  <si>
    <t xml:space="preserve">Catégorie : un poste de budget par ligne, avec sa couleur si vous voulez (#RRGGBB).
Employeur : un par ligne, pour la liste de la feuille Paie.
Pas de ligne vide au milieu.</t>
  </si>
  <si>
    <t>Paramètre</t>
  </si>
  <si>
    <t>Valeur</t>
  </si>
  <si>
    <t>Organisme</t>
  </si>
  <si>
    <t>Solde de départ</t>
  </si>
  <si>
    <t>Porte un solde</t>
  </si>
  <si>
    <t>Sens répercuté</t>
  </si>
  <si>
    <t>Participation</t>
  </si>
  <si>
    <t>Couleur</t>
  </si>
  <si>
    <t>Nature</t>
  </si>
  <si>
    <t>Classe par défaut</t>
  </si>
  <si>
    <t>Sens par défaut</t>
  </si>
  <si>
    <t>Catégorie (budget)</t>
  </si>
  <si>
    <t>Version du format</t>
  </si>
  <si>
    <t>oui</t>
  </si>
  <si>
    <t>#2563eb</t>
  </si>
  <si>
    <t>Dépense Fixe</t>
  </si>
  <si>
    <t>Débit</t>
  </si>
  <si>
    <t>Transport</t>
  </si>
  <si>
    <t>Alimentation</t>
  </si>
  <si>
    <t>#e67e22</t>
  </si>
  <si>
    <t>Début de relevé</t>
  </si>
  <si>
    <t>non</t>
  </si>
  <si>
    <t>#60a5fa</t>
  </si>
  <si>
    <t>Assurances</t>
  </si>
  <si>
    <t>#8e44ad</t>
  </si>
  <si>
    <t>Fin de relevé</t>
  </si>
  <si>
    <t>#93c5fd</t>
  </si>
  <si>
    <t>Autre</t>
  </si>
  <si>
    <t>#95a5a6</t>
  </si>
  <si>
    <t>Compte crédité par les sorties d'épargne</t>
  </si>
  <si>
    <t>#0891b2</t>
  </si>
  <si>
    <t>#34495e</t>
  </si>
  <si>
    <t>Prêt — montant</t>
  </si>
  <si>
    <t>Crédit</t>
  </si>
  <si>
    <t>#059669</t>
  </si>
  <si>
    <t>epargne</t>
  </si>
  <si>
    <t>Comptes Bancaires</t>
  </si>
  <si>
    <t>#7f8c8d</t>
  </si>
  <si>
    <t>Prêt — date de début</t>
  </si>
  <si>
    <t>2022-10</t>
  </si>
  <si>
    <t>Banque C</t>
  </si>
  <si>
    <t>#d97706</t>
  </si>
  <si>
    <t>Dépense Occasionnelle</t>
  </si>
  <si>
    <t>#e84393</t>
  </si>
  <si>
    <t>Prêt — taux annuel</t>
  </si>
  <si>
    <t>#dc2626</t>
  </si>
  <si>
    <t>#2980b9</t>
  </si>
  <si>
    <t>Prêt — durée (mois)</t>
  </si>
  <si>
    <t>#94a3b8</t>
  </si>
  <si>
    <t>Dépense Courante</t>
  </si>
  <si>
    <t>Impots</t>
  </si>
  <si>
    <t>#c0392b</t>
  </si>
  <si>
    <t>Loisir</t>
  </si>
  <si>
    <t>#27ae60</t>
  </si>
  <si>
    <t>#00cec9</t>
  </si>
  <si>
    <t>epargne, pret-capital</t>
  </si>
  <si>
    <t>#f39c12</t>
  </si>
  <si>
    <t>epargne, transfert-interne</t>
  </si>
  <si>
    <t>pret-interets</t>
  </si>
  <si>
    <t>transfert-interne, sortie-epargne</t>
  </si>
  <si>
    <t>transfert-interne</t>
  </si>
  <si>
    <t>apport-exterieur</t>
  </si>
  <si>
    <t>Mois (liste)</t>
  </si>
  <si>
    <t>Mois de paie (liste)</t>
  </si>
  <si>
    <t>Ce que fait cette feuille — rien à remplir ici</t>
  </si>
  <si>
    <t>(calcul) rang compte à solde</t>
  </si>
  <si>
    <t>(calcul) rang type de recette</t>
  </si>
  <si>
    <t>(calcul) rang type d'épargne</t>
  </si>
  <si>
    <t>(calcul) rang compte</t>
  </si>
  <si>
    <t>(calcul) rang type de dépense</t>
  </si>
  <si>
    <t>Natures (liste)</t>
  </si>
  <si>
    <t>La colonne A liste les mois proposés en tête de la feuille Visualisation.</t>
  </si>
  <si>
    <t>Elle part du premier mois de vos transactions. Rien à saisir ici.</t>
  </si>
  <si>
    <t>La colonne B liste les mois proposés dans Paie : 10 ans, jusqu'à la Fin de relevé (Paramètres).</t>
  </si>
  <si>
    <t>sortie-epargne</t>
  </si>
  <si>
    <t>La colonne M liste les natures proposées dans Paramètres, seules ou par deux.</t>
  </si>
  <si>
    <t>Les types (sens, classe, catégorie) se déclarent dans Paramètres, en une seule table.</t>
  </si>
  <si>
    <t>pret-capital</t>
  </si>
  <si>
    <t>remboursement</t>
  </si>
  <si>
    <t>epargne, apport-exterieur</t>
  </si>
  <si>
    <t>epargne, pret-interets</t>
  </si>
  <si>
    <t>epargne, remboursement</t>
  </si>
  <si>
    <t>transfert-interne, pret-capital</t>
  </si>
  <si>
    <t>transfert-interne, pret-interets</t>
  </si>
  <si>
    <t>transfert-interne, remboursement</t>
  </si>
  <si>
    <t>sortie-epargne, apport-exterieur</t>
  </si>
  <si>
    <t>sortie-epargne, pret-capital</t>
  </si>
  <si>
    <t>sortie-epargne, pret-interets</t>
  </si>
  <si>
    <t>sortie-epargne, remboursement</t>
  </si>
  <si>
    <t>apport-exterieur, pret-capital</t>
  </si>
  <si>
    <t>apport-exterieur, pret-interets</t>
  </si>
  <si>
    <t>apport-exterieur, remboursement</t>
  </si>
  <si>
    <t>pret-capital, remboursement</t>
  </si>
  <si>
    <t>pret-interets, remboursement</t>
  </si>
  <si>
    <t>jusqu'au</t>
  </si>
  <si>
    <t>(exclu) ← choisissez le mois dans la liste de la cellule B1</t>
  </si>
  <si>
    <t>Revenus totaux</t>
  </si>
  <si>
    <t>Taux d'épargne (épargne ÷ recettes)</t>
  </si>
  <si>
    <t>Dépenses du mois par catégorie</t>
  </si>
  <si>
    <t>%</t>
  </si>
  <si>
    <t>Recettes du mois</t>
  </si>
  <si>
    <t>Total épargné</t>
  </si>
  <si>
    <t>Autres recettes (type non listé)</t>
  </si>
  <si>
    <t>Total des recettes</t>
  </si>
  <si>
    <t>← solde du compte en fin de mois</t>
  </si>
  <si>
    <t>Sorties d'épargne du mois</t>
  </si>
  <si>
    <t>Rapprochement bancaire</t>
  </si>
  <si>
    <t>Dépenses du mois par compte</t>
  </si>
  <si>
    <t>Dépenses totales</t>
  </si>
  <si>
    <t>Date du relevé</t>
  </si>
  <si>
    <t>Solde lu sur le relevé</t>
  </si>
  <si>
    <t>Sans catégorie</t>
  </si>
  <si>
    <t>Solde calculé à cette date</t>
  </si>
  <si>
    <t>Autres catégories (non listées)</t>
  </si>
  <si>
    <t>Écart</t>
  </si>
  <si>
    <t>Total des dépenses</t>
  </si>
  <si>
    <t>Autres comptes (sans solde, non liés)</t>
  </si>
  <si>
    <t>Solde du mois (revenus totaux − dépenses totales)</t>
  </si>
  <si>
    <t>Comptes</t>
  </si>
  <si>
    <t>Début du mois (restant M-1)</t>
  </si>
  <si>
    <t>Fin du mois (restant M)</t>
  </si>
  <si>
    <t>Apports du mois</t>
  </si>
  <si>
    <t>Restant M × 2</t>
  </si>
  <si>
    <t>Total</t>
  </si>
  <si>
    <t>Détail des dépenses du mois</t>
  </si>
  <si>
    <t>Nbre opérations</t>
  </si>
  <si>
    <t>Toutes les dépenses</t>
  </si>
  <si>
    <t>Autres types (non listés)</t>
  </si>
  <si>
    <t>Dépenses du mois, ligne à ligne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</si>
</sst>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#,##0.00 &quot;€&quot;"/>
    <numFmt numFmtId="166" formatCode="mmmm yyyy"/>
    <numFmt numFmtId="167" formatCode="0.0%"/>
  </numFmts>
  <fonts count="7" x14ac:knownFonts="1">
    <font>
      <color theme="1"/>
      <family val="2"/>
      <scheme val="minor"/>
      <sz val="11"/>
      <name val="Calibri"/>
    </font>
    <font>
      <b/>
      <sz val="13"/>
      <name val="Arial"/>
    </font>
    <font>
      <sz val="11"/>
      <name val="Arial"/>
    </font>
    <font>
      <b/>
      <sz val="11"/>
      <name val="Arial"/>
    </font>
    <font>
      <b/>
      <color rgb="FFFFFFFF"/>
      <sz val="11"/>
      <name val="Arial"/>
    </font>
    <font>
      <b/>
      <color rgb="FFC0392B"/>
      <sz val="11"/>
      <name val="Arial"/>
    </font>
    <font>
      <i/>
      <color rgb="FF808080"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7F7F7F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 applyProtection="1">
      <protection locked="0"/>
    </xf>
    <xf numFmtId="0" fontId="3" fillId="3" borderId="0" xfId="0" applyFont="1" applyFill="1" applyProtection="1"/>
    <xf numFmtId="0" fontId="2" fillId="3" borderId="0" xfId="0" applyFont="1" applyFill="1" applyProtection="1"/>
    <xf numFmtId="0" fontId="4" fillId="4" borderId="0" xfId="0" applyFont="1" applyFill="1" applyAlignment="1" applyProtection="1">
      <alignment horizontal="center"/>
      <protection locked="0"/>
    </xf>
    <xf numFmtId="0" fontId="4" fillId="5" borderId="0" xfId="0" applyFont="1" applyFill="1" applyAlignment="1" applyProtection="1">
      <alignment horizontal="center"/>
    </xf>
    <xf numFmtId="164" fontId="2" fillId="2" borderId="0" xfId="0" applyNumberFormat="1" applyFont="1" applyFill="1" applyProtection="1">
      <protection locked="0"/>
    </xf>
    <xf numFmtId="165" fontId="2" fillId="2" borderId="0" xfId="0" applyNumberFormat="1" applyFont="1" applyFill="1" applyProtection="1">
      <protection locked="0"/>
    </xf>
    <xf numFmtId="165" fontId="2" fillId="3" borderId="0" xfId="0" applyNumberFormat="1" applyFont="1" applyFill="1" applyProtection="1"/>
    <xf numFmtId="166" fontId="2" fillId="2" borderId="0" xfId="0" applyNumberFormat="1" applyFont="1" applyFill="1" applyProtection="1">
      <protection locked="0"/>
    </xf>
    <xf numFmtId="0" fontId="4" fillId="4" borderId="0" xfId="0" applyFont="1" applyFill="1" applyAlignment="1" applyProtection="1">
      <alignment horizontal="center"/>
    </xf>
    <xf numFmtId="0" fontId="3" fillId="6" borderId="0" xfId="0" applyFont="1" applyFill="1"/>
    <xf numFmtId="0" fontId="2" fillId="6" borderId="0" xfId="0" applyFont="1" applyFill="1" applyAlignment="1">
      <alignment vertical="top" wrapText="1"/>
    </xf>
    <xf numFmtId="0" fontId="4" fillId="4" borderId="0" xfId="0" applyFont="1" applyFill="1" applyProtection="1"/>
    <xf numFmtId="9" fontId="2" fillId="2" borderId="0" xfId="0" applyNumberFormat="1" applyFont="1" applyFill="1" applyProtection="1">
      <protection locked="0"/>
    </xf>
    <xf numFmtId="10" fontId="2" fillId="2" borderId="0" xfId="0" applyNumberFormat="1" applyFont="1" applyFill="1" applyProtection="1">
      <protection locked="0"/>
    </xf>
    <xf numFmtId="0" fontId="3" fillId="6" borderId="0" xfId="0" applyFont="1" applyFill="1" applyProtection="1"/>
    <xf numFmtId="0" fontId="4" fillId="5" borderId="0" xfId="0" applyFont="1" applyFill="1"/>
    <xf numFmtId="166" fontId="2" fillId="3" borderId="0" xfId="0" applyNumberFormat="1" applyFont="1" applyFill="1" applyProtection="1"/>
    <xf numFmtId="0" fontId="2" fillId="6" borderId="0" xfId="0" applyFont="1" applyFill="1"/>
    <xf numFmtId="166" fontId="5" fillId="2" borderId="0" xfId="0" applyNumberFormat="1" applyFont="1" applyFill="1" applyProtection="1">
      <protection locked="0"/>
    </xf>
    <xf numFmtId="164" fontId="2" fillId="3" borderId="0" xfId="0" applyNumberFormat="1" applyFont="1" applyFill="1" applyProtection="1"/>
    <xf numFmtId="0" fontId="6" fillId="0" borderId="0" xfId="0" applyFont="1"/>
    <xf numFmtId="165" fontId="3" fillId="3" borderId="0" xfId="0" applyNumberFormat="1" applyFont="1" applyFill="1" applyProtection="1"/>
    <xf numFmtId="167" fontId="2" fillId="3" borderId="0" xfId="0" applyNumberFormat="1" applyFont="1" applyFill="1" applyProtection="1"/>
    <xf numFmtId="0" fontId="3" fillId="2" borderId="0" xfId="0" applyFont="1" applyFill="1" applyProtection="1">
      <protection locked="0"/>
    </xf>
    <xf numFmtId="167" fontId="3" fillId="3" borderId="0" xfId="0" applyNumberFormat="1" applyFont="1" applyFill="1" applyProtection="1"/>
    <xf numFmtId="0" fontId="4" fillId="3" borderId="0" xfId="0" applyFont="1" applyFill="1" applyProtection="1"/>
    <xf numFmtId="1" fontId="2" fillId="3" borderId="0" xfId="0" applyNumberFormat="1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1</v>
      </c>
    </row>
    <row r="5" spans="1:1" x14ac:dyDescent="0.25">
      <c r="A5" s="4" t="s">
        <v>3</v>
      </c>
    </row>
    <row r="6" spans="1:1" x14ac:dyDescent="0.25">
      <c r="A6" s="5" t="s">
        <v>4</v>
      </c>
    </row>
    <row r="7" spans="1:1" x14ac:dyDescent="0.25">
      <c r="A7" s="2" t="s">
        <v>1</v>
      </c>
    </row>
    <row r="8" spans="1:1" x14ac:dyDescent="0.25">
      <c r="A8" s="3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  <row r="17" spans="1:1" x14ac:dyDescent="0.25">
      <c r="A17" s="2" t="s">
        <v>1</v>
      </c>
    </row>
    <row r="18" spans="1:1" x14ac:dyDescent="0.25">
      <c r="A18" s="3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</v>
      </c>
    </row>
    <row r="22" spans="1:1" x14ac:dyDescent="0.25">
      <c r="A22" s="3" t="s">
        <v>17</v>
      </c>
    </row>
    <row r="23" spans="1:1" x14ac:dyDescent="0.25">
      <c r="A23" s="2" t="s">
        <v>18</v>
      </c>
    </row>
    <row r="24" spans="1:1" x14ac:dyDescent="0.25">
      <c r="A24" s="2" t="s">
        <v>19</v>
      </c>
    </row>
    <row r="25" spans="1:1" x14ac:dyDescent="0.25">
      <c r="A25" s="2" t="s">
        <v>20</v>
      </c>
    </row>
    <row r="26" spans="1:1" x14ac:dyDescent="0.25">
      <c r="A26" s="2" t="s">
        <v>21</v>
      </c>
    </row>
    <row r="27" spans="1:1" x14ac:dyDescent="0.25">
      <c r="A27" s="2" t="s">
        <v>22</v>
      </c>
    </row>
    <row r="28" spans="1:1" x14ac:dyDescent="0.25">
      <c r="A28" s="2" t="s">
        <v>1</v>
      </c>
    </row>
    <row r="29" spans="1:1" x14ac:dyDescent="0.25">
      <c r="A29" s="3" t="s">
        <v>23</v>
      </c>
    </row>
    <row r="30" spans="1:1" x14ac:dyDescent="0.25">
      <c r="A30" s="2" t="s">
        <v>24</v>
      </c>
    </row>
    <row r="31" spans="1:1" x14ac:dyDescent="0.25">
      <c r="A31" s="2" t="s">
        <v>25</v>
      </c>
    </row>
    <row r="32" spans="1:1" x14ac:dyDescent="0.25">
      <c r="A32" s="2" t="s">
        <v>26</v>
      </c>
    </row>
    <row r="33" spans="1:1" x14ac:dyDescent="0.25">
      <c r="A33" s="2" t="s">
        <v>27</v>
      </c>
    </row>
    <row r="34" spans="1:1" x14ac:dyDescent="0.25">
      <c r="A34" s="2" t="s">
        <v>28</v>
      </c>
    </row>
    <row r="35" spans="1:1" x14ac:dyDescent="0.25">
      <c r="A35" s="2" t="s">
        <v>29</v>
      </c>
    </row>
    <row r="36" spans="1:1" x14ac:dyDescent="0.25">
      <c r="A36" s="2" t="s">
        <v>1</v>
      </c>
    </row>
    <row r="37" spans="1:1" x14ac:dyDescent="0.25">
      <c r="A37" s="3" t="s">
        <v>30</v>
      </c>
    </row>
    <row r="38" spans="1:1" x14ac:dyDescent="0.25">
      <c r="A38" s="2" t="s">
        <v>31</v>
      </c>
    </row>
    <row r="39" spans="1:1" x14ac:dyDescent="0.25">
      <c r="A39" s="2" t="s">
        <v>32</v>
      </c>
    </row>
    <row r="40" spans="1:1" x14ac:dyDescent="0.25">
      <c r="A40" s="2" t="s">
        <v>33</v>
      </c>
    </row>
  </sheetData>
  <sheetProtection sheet="1" formatColumns="0" formatRows="0" autoFilter="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style="4" customWidth="1"/>
    <col min="2" max="2" width="28" style="4" customWidth="1"/>
    <col min="3" max="3" width="22" style="4" customWidth="1"/>
    <col min="4" max="4" width="20" style="4" customWidth="1"/>
    <col min="5" max="5" width="13" style="4" customWidth="1"/>
    <col min="6" max="6" width="12" style="4" customWidth="1"/>
    <col min="7" max="8" width="16" style="4" customWidth="1"/>
    <col min="9" max="10" width="12" style="4" customWidth="1"/>
    <col min="11" max="12" width="12" style="6" customWidth="1"/>
    <col min="13" max="13" width="14" style="6" customWidth="1"/>
    <col min="14" max="14" width="12" style="6" customWidth="1"/>
    <col min="15" max="15" width="14" style="6" customWidth="1"/>
    <col min="16" max="16" width="10" style="6" customWidth="1"/>
    <col min="17" max="17" width="12" style="6" customWidth="1"/>
    <col min="18" max="18" width="14" style="6" customWidth="1"/>
    <col min="19" max="19" width="26" style="6" customWidth="1"/>
    <col min="20" max="20" width="16" style="6" customWidth="1"/>
    <col min="21" max="21" width="14" style="6" customWidth="1"/>
    <col min="22" max="22" width="12" style="6" customWidth="1"/>
    <col min="24" max="24" width="11" customWidth="1"/>
    <col min="25" max="25" width="12" customWidth="1"/>
    <col min="26" max="26" width="26" customWidth="1"/>
  </cols>
  <sheetData>
    <row r="1" spans="1:26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  <c r="I1" s="7" t="s">
        <v>42</v>
      </c>
      <c r="J1" s="7" t="s">
        <v>43</v>
      </c>
      <c r="K1" s="8" t="s">
        <v>44</v>
      </c>
      <c r="L1" s="8" t="s">
        <v>45</v>
      </c>
      <c r="M1" s="8" t="s">
        <v>46</v>
      </c>
      <c r="N1" s="8" t="s">
        <v>47</v>
      </c>
      <c r="O1" s="8" t="s">
        <v>48</v>
      </c>
      <c r="P1" s="8" t="s">
        <v>49</v>
      </c>
      <c r="Q1" s="8" t="s">
        <v>50</v>
      </c>
      <c r="R1" s="8" t="s">
        <v>51</v>
      </c>
      <c r="S1" s="8" t="s">
        <v>52</v>
      </c>
      <c r="T1" s="8" t="s">
        <v>53</v>
      </c>
      <c r="U1" s="8" t="s">
        <v>54</v>
      </c>
      <c r="V1" s="8" t="s">
        <v>55</v>
      </c>
      <c r="X1" s="3" t="s">
        <v>56</v>
      </c>
      <c r="Y1" s="4" t="s">
        <v>57</v>
      </c>
      <c r="Z1" s="6" t="s">
        <v>58</v>
      </c>
    </row>
    <row r="2" spans="1:22" x14ac:dyDescent="0.25">
      <c r="A2" s="9">
        <v>45536</v>
      </c>
      <c r="B2" s="4" t="s">
        <v>59</v>
      </c>
      <c r="C2" s="4" t="s">
        <v>60</v>
      </c>
      <c r="D2" s="4" t="s">
        <v>59</v>
      </c>
      <c r="E2" s="10">
        <v>91.62</v>
      </c>
      <c r="G2" s="4" t="s">
        <v>61</v>
      </c>
      <c r="H2" s="4" t="s">
        <v>62</v>
      </c>
      <c r="I2" s="4" t="s">
        <v>63</v>
      </c>
      <c r="K2" s="11">
        <f>IF($E2="","",ROUND($E2*IF(ISNA(MATCH($C2,'Paramètres'!$D:$D,0)),1,IF(INDEX('Paramètres'!$J:$J,MATCH($C2,'Paramètres'!$D:$D,0))="",1,INDEX('Paramètres'!$J:$J,MATCH($C2,'Paramètres'!$D:$D,0)))),2))</f>
        <v>45.81</v>
      </c>
      <c r="L2" s="6" t="str">
        <f>IF($D2="","",IF($F2&lt;&gt;"",$F2,IF(ISNA(MATCH($D2,'Paramètres'!$M:$M,0)),"⚠ Type inconnu",IFERROR(INDEX('Paramètres'!$P:$P,MATCH($D2,'Paramètres'!$M:$M,0))&amp;"",""))))</f>
        <v>Débit</v>
      </c>
      <c r="M2" s="6" t="str">
        <f>IF($D2="","",IF(ISNA(MATCH($D2,'Paramètres'!$M:$M,0)),"⚠ Type inconnu",IF($L2="Crédit","",IFERROR(INDEX('Paramètres'!$O:$O,MATCH($D2,'Paramètres'!$M:$M,0))&amp;"",""))))</f>
        <v>Dépense Occasionnelle</v>
      </c>
      <c r="N2" s="6" t="str">
        <f>IF($D2="","",IFERROR(INDEX('Paramètres'!$Q:$Q,MATCH($D2,'Paramètres'!$M:$M,0))&amp;"",""))</f>
        <v>Loisir</v>
      </c>
      <c r="O2" s="6">
        <f>IF($A2="","",IF(OR($J2&lt;&gt;"x",$A2&lt;=FinReleve),1,0))</f>
        <v>1</v>
      </c>
      <c r="P2" s="6">
        <f>IF($D2="","",IF(AND($L2="Crédit",OR(IFERROR(INDEX('Paramètres'!$O:$O,MATCH($D2,'Paramètres'!$M:$M,0))&amp;"","")&lt;&gt;"",ISNUMBER(SEARCH("remboursement",IFERROR(INDEX('Paramètres'!$N:$N,MATCH($D2,'Paramètres'!$M:$M,0))&amp;"",""))))),1,0))</f>
        <v>0</v>
      </c>
      <c r="Q2" s="6">
        <f>IF($K2="","",IF(ISNUMBER(SEARCH("transfert-interne",IFERROR(INDEX('Paramètres'!$N:$N,MATCH($D2,'Paramètres'!$M:$M,0))&amp;"",""))),0,IF($L2="Débit",$K2,IF($P2=1,-$K2,0))))</f>
        <v>45.81</v>
      </c>
      <c r="R2" s="6">
        <f>IF($K2="","",IF($L2="Crédit",$K2,-$K2))</f>
        <v>-45.81</v>
      </c>
      <c r="S2" s="6" t="str">
        <f>IF($C2="","",IFERROR(INDEX('Paramètres'!$H:$H,MATCH($C2,'Paramètres'!$D:$D,0))&amp;"",""))</f>
        <v>Banque A - Courant</v>
      </c>
      <c r="T2" s="6">
        <f>IF($K2="","",IF($S2="",0,IF(ISNUMBER(SEARCH("apport-exterieur",IFERROR(INDEX('Paramètres'!$N:$N,MATCH($D2,'Paramètres'!$M:$M,0))&amp;"",""))),0,IF(OR(IFERROR(INDEX('Paramètres'!$I:$I,MATCH($C2,'Paramètres'!$D:$D,0))&amp;"","")="Les deux",IFERROR(INDEX('Paramètres'!$I:$I,MATCH($C2,'Paramètres'!$D:$D,0))&amp;"","")=IF($P2=1,"Débit",$L2)),-IF($P2=1,-$K2,$K2),0))))</f>
        <v>-45.81</v>
      </c>
      <c r="U2" s="6">
        <f>IF($K2="","",IF(ISNUMBER(SEARCH("sortie-epargne",IFERROR(INDEX('Paramètres'!$N:$N,MATCH($D2,'Paramètres'!$M:$M,0))&amp;"",""))),$K2,0))</f>
        <v>0</v>
      </c>
      <c r="V2" s="6" t="str">
        <f>IF(AND($A2&lt;&gt;"",$O2=1,$L2="Débit",N($Q2)&gt;0,$A2&gt;=Visualisation!$B$1,$A2&lt;Visualisation!$D$1),MAX($V$1:V1)+1,"")</f>
        <v/>
      </c>
    </row>
    <row r="3" spans="1:22" x14ac:dyDescent="0.25">
      <c r="A3" s="9">
        <v>45537</v>
      </c>
      <c r="B3" s="4" t="s">
        <v>64</v>
      </c>
      <c r="C3" s="4" t="s">
        <v>65</v>
      </c>
      <c r="D3" s="4" t="s">
        <v>66</v>
      </c>
      <c r="E3" s="10">
        <v>1160</v>
      </c>
      <c r="G3" s="4"/>
      <c r="H3" s="4"/>
      <c r="I3" s="4"/>
      <c r="K3" s="11">
        <f>IF($E3="","",ROUND($E3*IF(ISNA(MATCH($C3,'Paramètres'!$D:$D,0)),1,IF(INDEX('Paramètres'!$J:$J,MATCH($C3,'Paramètres'!$D:$D,0))="",1,INDEX('Paramètres'!$J:$J,MATCH($C3,'Paramètres'!$D:$D,0)))),2))</f>
        <v>1160</v>
      </c>
      <c r="L3" s="6" t="str">
        <f>IF($D3="","",IF($F3&lt;&gt;"",$F3,IF(ISNA(MATCH($D3,'Paramètres'!$M:$M,0)),"⚠ Type inconnu",IFERROR(INDEX('Paramètres'!$P:$P,MATCH($D3,'Paramètres'!$M:$M,0))&amp;"",""))))</f>
        <v>Crédit</v>
      </c>
      <c r="M3" s="6" t="str">
        <f>IF($D3="","",IF(ISNA(MATCH($D3,'Paramètres'!$M:$M,0)),"⚠ Type inconnu",IF($L3="Crédit","",IFERROR(INDEX('Paramètres'!$O:$O,MATCH($D3,'Paramètres'!$M:$M,0))&amp;"",""))))</f>
        <v/>
      </c>
      <c r="N3" s="6" t="str">
        <f>IF($D3="","",IFERROR(INDEX('Paramètres'!$Q:$Q,MATCH($D3,'Paramètres'!$M:$M,0))&amp;"",""))</f>
        <v>Comptes Bancaires</v>
      </c>
      <c r="O3" s="6">
        <f>IF($A3="","",IF(OR($J3&lt;&gt;"x",$A3&lt;=FinReleve),1,0))</f>
        <v>1</v>
      </c>
      <c r="P3" s="6">
        <f>IF($D3="","",IF(AND($L3="Crédit",OR(IFERROR(INDEX('Paramètres'!$O:$O,MATCH($D3,'Paramètres'!$M:$M,0))&amp;"","")&lt;&gt;"",ISNUMBER(SEARCH("remboursement",IFERROR(INDEX('Paramètres'!$N:$N,MATCH($D3,'Paramètres'!$M:$M,0))&amp;"",""))))),1,0))</f>
        <v>0</v>
      </c>
      <c r="Q3" s="6">
        <f>IF($K3="","",IF(ISNUMBER(SEARCH("transfert-interne",IFERROR(INDEX('Paramètres'!$N:$N,MATCH($D3,'Paramètres'!$M:$M,0))&amp;"",""))),0,IF($L3="Débit",$K3,IF($P3=1,-$K3,0))))</f>
        <v>0</v>
      </c>
      <c r="R3" s="6">
        <f>IF($K3="","",IF($L3="Crédit",$K3,-$K3))</f>
        <v>1160</v>
      </c>
      <c r="S3" s="6" t="str">
        <f>IF($C3="","",IFERROR(INDEX('Paramètres'!$H:$H,MATCH($C3,'Paramètres'!$D:$D,0))&amp;"",""))</f>
        <v>Banque A - Courant</v>
      </c>
      <c r="T3" s="6">
        <f>IF($K3="","",IF($S3="",0,IF(ISNUMBER(SEARCH("apport-exterieur",IFERROR(INDEX('Paramètres'!$N:$N,MATCH($D3,'Paramètres'!$M:$M,0))&amp;"",""))),0,IF(OR(IFERROR(INDEX('Paramètres'!$I:$I,MATCH($C3,'Paramètres'!$D:$D,0))&amp;"","")="Les deux",IFERROR(INDEX('Paramètres'!$I:$I,MATCH($C3,'Paramètres'!$D:$D,0))&amp;"","")=IF($P3=1,"Débit",$L3)),-IF($P3=1,-$K3,$K3),0))))</f>
        <v>-1160</v>
      </c>
      <c r="U3" s="6">
        <f>IF($K3="","",IF(ISNUMBER(SEARCH("sortie-epargne",IFERROR(INDEX('Paramètres'!$N:$N,MATCH($D3,'Paramètres'!$M:$M,0))&amp;"",""))),$K3,0))</f>
        <v>0</v>
      </c>
      <c r="V3" s="6" t="str">
        <f>IF(AND($A3&lt;&gt;"",$O3=1,$L3="Débit",N($Q3)&gt;0,$A3&gt;=Visualisation!$B$1,$A3&lt;Visualisation!$D$1),MAX($V$1:V2)+1,"")</f>
        <v/>
      </c>
    </row>
    <row r="4" spans="1:22" x14ac:dyDescent="0.25">
      <c r="A4" s="9">
        <v>45537</v>
      </c>
      <c r="B4" s="4" t="s">
        <v>64</v>
      </c>
      <c r="C4" s="4" t="s">
        <v>67</v>
      </c>
      <c r="D4" s="4" t="s">
        <v>68</v>
      </c>
      <c r="E4" s="10">
        <v>600</v>
      </c>
      <c r="G4" s="4"/>
      <c r="H4" s="4"/>
      <c r="I4" s="4"/>
      <c r="K4" s="11">
        <f>IF($E4="","",ROUND($E4*IF(ISNA(MATCH($C4,'Paramètres'!$D:$D,0)),1,IF(INDEX('Paramètres'!$J:$J,MATCH($C4,'Paramètres'!$D:$D,0))="",1,INDEX('Paramètres'!$J:$J,MATCH($C4,'Paramètres'!$D:$D,0)))),2))</f>
        <v>300</v>
      </c>
      <c r="L4" s="6" t="str">
        <f>IF($D4="","",IF($F4&lt;&gt;"",$F4,IF(ISNA(MATCH($D4,'Paramètres'!$M:$M,0)),"⚠ Type inconnu",IFERROR(INDEX('Paramètres'!$P:$P,MATCH($D4,'Paramètres'!$M:$M,0))&amp;"",""))))</f>
        <v>Crédit</v>
      </c>
      <c r="M4" s="6" t="str">
        <f>IF($D4="","",IF(ISNA(MATCH($D4,'Paramètres'!$M:$M,0)),"⚠ Type inconnu",IF($L4="Crédit","",IFERROR(INDEX('Paramètres'!$O:$O,MATCH($D4,'Paramètres'!$M:$M,0))&amp;"",""))))</f>
        <v/>
      </c>
      <c r="N4" s="6" t="str">
        <f>IF($D4="","",IFERROR(INDEX('Paramètres'!$Q:$Q,MATCH($D4,'Paramètres'!$M:$M,0))&amp;"",""))</f>
        <v>Comptes Bancaires</v>
      </c>
      <c r="O4" s="6">
        <f>IF($A4="","",IF(OR($J4&lt;&gt;"x",$A4&lt;=FinReleve),1,0))</f>
        <v>1</v>
      </c>
      <c r="P4" s="6">
        <f>IF($D4="","",IF(AND($L4="Crédit",OR(IFERROR(INDEX('Paramètres'!$O:$O,MATCH($D4,'Paramètres'!$M:$M,0))&amp;"","")&lt;&gt;"",ISNUMBER(SEARCH("remboursement",IFERROR(INDEX('Paramètres'!$N:$N,MATCH($D4,'Paramètres'!$M:$M,0))&amp;"",""))))),1,0))</f>
        <v>0</v>
      </c>
      <c r="Q4" s="6">
        <f>IF($K4="","",IF(ISNUMBER(SEARCH("transfert-interne",IFERROR(INDEX('Paramètres'!$N:$N,MATCH($D4,'Paramètres'!$M:$M,0))&amp;"",""))),0,IF($L4="Débit",$K4,IF($P4=1,-$K4,0))))</f>
        <v>0</v>
      </c>
      <c r="R4" s="6">
        <f>IF($K4="","",IF($L4="Crédit",$K4,-$K4))</f>
        <v>300</v>
      </c>
      <c r="S4" s="6" t="str">
        <f>IF($C4="","",IFERROR(INDEX('Paramètres'!$H:$H,MATCH($C4,'Paramètres'!$D:$D,0))&amp;"",""))</f>
        <v>Banque A - Courant</v>
      </c>
      <c r="T4" s="6">
        <f>IF($K4="","",IF($S4="",0,IF(ISNUMBER(SEARCH("apport-exterieur",IFERROR(INDEX('Paramètres'!$N:$N,MATCH($D4,'Paramètres'!$M:$M,0))&amp;"",""))),0,IF(OR(IFERROR(INDEX('Paramètres'!$I:$I,MATCH($C4,'Paramètres'!$D:$D,0))&amp;"","")="Les deux",IFERROR(INDEX('Paramètres'!$I:$I,MATCH($C4,'Paramètres'!$D:$D,0))&amp;"","")=IF($P4=1,"Débit",$L4)),-IF($P4=1,-$K4,$K4),0))))</f>
        <v>-300</v>
      </c>
      <c r="U4" s="6">
        <f>IF($K4="","",IF(ISNUMBER(SEARCH("sortie-epargne",IFERROR(INDEX('Paramètres'!$N:$N,MATCH($D4,'Paramètres'!$M:$M,0))&amp;"",""))),$K4,0))</f>
        <v>0</v>
      </c>
      <c r="V4" s="6" t="str">
        <f>IF(AND($A4&lt;&gt;"",$O4=1,$L4="Débit",N($Q4)&gt;0,$A4&gt;=Visualisation!$B$1,$A4&lt;Visualisation!$D$1),MAX($V$1:V3)+1,"")</f>
        <v/>
      </c>
    </row>
    <row r="5" spans="1:22" x14ac:dyDescent="0.25">
      <c r="A5" s="9">
        <v>45537</v>
      </c>
      <c r="B5" s="4" t="s">
        <v>69</v>
      </c>
      <c r="C5" s="4" t="s">
        <v>70</v>
      </c>
      <c r="D5" s="4" t="s">
        <v>71</v>
      </c>
      <c r="E5" s="10">
        <v>8.03</v>
      </c>
      <c r="G5" s="4" t="s">
        <v>72</v>
      </c>
      <c r="H5" s="4"/>
      <c r="I5" s="4" t="s">
        <v>73</v>
      </c>
      <c r="K5" s="11">
        <f>IF($E5="","",ROUND($E5*IF(ISNA(MATCH($C5,'Paramètres'!$D:$D,0)),1,IF(INDEX('Paramètres'!$J:$J,MATCH($C5,'Paramètres'!$D:$D,0))="",1,INDEX('Paramètres'!$J:$J,MATCH($C5,'Paramètres'!$D:$D,0)))),2))</f>
        <v>8.03</v>
      </c>
      <c r="L5" s="6" t="str">
        <f>IF($D5="","",IF($F5&lt;&gt;"",$F5,IF(ISNA(MATCH($D5,'Paramètres'!$M:$M,0)),"⚠ Type inconnu",IFERROR(INDEX('Paramètres'!$P:$P,MATCH($D5,'Paramètres'!$M:$M,0))&amp;"",""))))</f>
        <v>Débit</v>
      </c>
      <c r="M5" s="6" t="str">
        <f>IF($D5="","",IF(ISNA(MATCH($D5,'Paramètres'!$M:$M,0)),"⚠ Type inconnu",IF($L5="Crédit","",IFERROR(INDEX('Paramètres'!$O:$O,MATCH($D5,'Paramètres'!$M:$M,0))&amp;"",""))))</f>
        <v>Dépense Courante</v>
      </c>
      <c r="N5" s="6" t="str">
        <f>IF($D5="","",IFERROR(INDEX('Paramètres'!$Q:$Q,MATCH($D5,'Paramètres'!$M:$M,0))&amp;"",""))</f>
        <v>Alimentation</v>
      </c>
      <c r="O5" s="6">
        <f>IF($A5="","",IF(OR($J5&lt;&gt;"x",$A5&lt;=FinReleve),1,0))</f>
        <v>1</v>
      </c>
      <c r="P5" s="6">
        <f>IF($D5="","",IF(AND($L5="Crédit",OR(IFERROR(INDEX('Paramètres'!$O:$O,MATCH($D5,'Paramètres'!$M:$M,0))&amp;"","")&lt;&gt;"",ISNUMBER(SEARCH("remboursement",IFERROR(INDEX('Paramètres'!$N:$N,MATCH($D5,'Paramètres'!$M:$M,0))&amp;"",""))))),1,0))</f>
        <v>0</v>
      </c>
      <c r="Q5" s="6">
        <f>IF($K5="","",IF(ISNUMBER(SEARCH("transfert-interne",IFERROR(INDEX('Paramètres'!$N:$N,MATCH($D5,'Paramètres'!$M:$M,0))&amp;"",""))),0,IF($L5="Débit",$K5,IF($P5=1,-$K5,0))))</f>
        <v>8.03</v>
      </c>
      <c r="R5" s="6">
        <f>IF($K5="","",IF($L5="Crédit",$K5,-$K5))</f>
        <v>-8.03</v>
      </c>
      <c r="S5" s="6" t="str">
        <f>IF($C5="","",IFERROR(INDEX('Paramètres'!$H:$H,MATCH($C5,'Paramètres'!$D:$D,0))&amp;"",""))</f>
        <v/>
      </c>
      <c r="T5" s="6">
        <f>IF($K5="","",IF($S5="",0,IF(ISNUMBER(SEARCH("apport-exterieur",IFERROR(INDEX('Paramètres'!$N:$N,MATCH($D5,'Paramètres'!$M:$M,0))&amp;"",""))),0,IF(OR(IFERROR(INDEX('Paramètres'!$I:$I,MATCH($C5,'Paramètres'!$D:$D,0))&amp;"","")="Les deux",IFERROR(INDEX('Paramètres'!$I:$I,MATCH($C5,'Paramètres'!$D:$D,0))&amp;"","")=IF($P5=1,"Débit",$L5)),-IF($P5=1,-$K5,$K5),0))))</f>
        <v>0</v>
      </c>
      <c r="U5" s="6">
        <f>IF($K5="","",IF(ISNUMBER(SEARCH("sortie-epargne",IFERROR(INDEX('Paramètres'!$N:$N,MATCH($D5,'Paramètres'!$M:$M,0))&amp;"",""))),$K5,0))</f>
        <v>0</v>
      </c>
      <c r="V5" s="6" t="str">
        <f>IF(AND($A5&lt;&gt;"",$O5=1,$L5="Débit",N($Q5)&gt;0,$A5&gt;=Visualisation!$B$1,$A5&lt;Visualisation!$D$1),MAX($V$1:V4)+1,"")</f>
        <v/>
      </c>
    </row>
    <row r="6" spans="1:22" x14ac:dyDescent="0.25">
      <c r="A6" s="9">
        <v>45538</v>
      </c>
      <c r="B6" s="4" t="s">
        <v>74</v>
      </c>
      <c r="C6" s="4" t="s">
        <v>75</v>
      </c>
      <c r="D6" s="4" t="s">
        <v>74</v>
      </c>
      <c r="E6" s="10">
        <v>88.8</v>
      </c>
      <c r="G6" s="4"/>
      <c r="H6" s="4"/>
      <c r="I6" s="4"/>
      <c r="K6" s="11">
        <f>IF($E6="","",ROUND($E6*IF(ISNA(MATCH($C6,'Paramètres'!$D:$D,0)),1,IF(INDEX('Paramètres'!$J:$J,MATCH($C6,'Paramètres'!$D:$D,0))="",1,INDEX('Paramètres'!$J:$J,MATCH($C6,'Paramètres'!$D:$D,0)))),2))</f>
        <v>88.8</v>
      </c>
      <c r="L6" s="6" t="str">
        <f>IF($D6="","",IF($F6&lt;&gt;"",$F6,IF(ISNA(MATCH($D6,'Paramètres'!$M:$M,0)),"⚠ Type inconnu",IFERROR(INDEX('Paramètres'!$P:$P,MATCH($D6,'Paramètres'!$M:$M,0))&amp;"",""))))</f>
        <v>Débit</v>
      </c>
      <c r="M6" s="6" t="str">
        <f>IF($D6="","",IF(ISNA(MATCH($D6,'Paramètres'!$M:$M,0)),"⚠ Type inconnu",IF($L6="Crédit","",IFERROR(INDEX('Paramètres'!$O:$O,MATCH($D6,'Paramètres'!$M:$M,0))&amp;"",""))))</f>
        <v>Dépense Fixe</v>
      </c>
      <c r="N6" s="6" t="str">
        <f>IF($D6="","",IFERROR(INDEX('Paramètres'!$Q:$Q,MATCH($D6,'Paramètres'!$M:$M,0))&amp;"",""))</f>
        <v>Transport</v>
      </c>
      <c r="O6" s="6">
        <f>IF($A6="","",IF(OR($J6&lt;&gt;"x",$A6&lt;=FinReleve),1,0))</f>
        <v>1</v>
      </c>
      <c r="P6" s="6">
        <f>IF($D6="","",IF(AND($L6="Crédit",OR(IFERROR(INDEX('Paramètres'!$O:$O,MATCH($D6,'Paramètres'!$M:$M,0))&amp;"","")&lt;&gt;"",ISNUMBER(SEARCH("remboursement",IFERROR(INDEX('Paramètres'!$N:$N,MATCH($D6,'Paramètres'!$M:$M,0))&amp;"",""))))),1,0))</f>
        <v>0</v>
      </c>
      <c r="Q6" s="6">
        <f>IF($K6="","",IF(ISNUMBER(SEARCH("transfert-interne",IFERROR(INDEX('Paramètres'!$N:$N,MATCH($D6,'Paramètres'!$M:$M,0))&amp;"",""))),0,IF($L6="Débit",$K6,IF($P6=1,-$K6,0))))</f>
        <v>88.8</v>
      </c>
      <c r="R6" s="6">
        <f>IF($K6="","",IF($L6="Crédit",$K6,-$K6))</f>
        <v>-88.8</v>
      </c>
      <c r="S6" s="6" t="str">
        <f>IF($C6="","",IFERROR(INDEX('Paramètres'!$H:$H,MATCH($C6,'Paramètres'!$D:$D,0))&amp;"",""))</f>
        <v/>
      </c>
      <c r="T6" s="6">
        <f>IF($K6="","",IF($S6="",0,IF(ISNUMBER(SEARCH("apport-exterieur",IFERROR(INDEX('Paramètres'!$N:$N,MATCH($D6,'Paramètres'!$M:$M,0))&amp;"",""))),0,IF(OR(IFERROR(INDEX('Paramètres'!$I:$I,MATCH($C6,'Paramètres'!$D:$D,0))&amp;"","")="Les deux",IFERROR(INDEX('Paramètres'!$I:$I,MATCH($C6,'Paramètres'!$D:$D,0))&amp;"","")=IF($P6=1,"Débit",$L6)),-IF($P6=1,-$K6,$K6),0))))</f>
        <v>0</v>
      </c>
      <c r="U6" s="6">
        <f>IF($K6="","",IF(ISNUMBER(SEARCH("sortie-epargne",IFERROR(INDEX('Paramètres'!$N:$N,MATCH($D6,'Paramètres'!$M:$M,0))&amp;"",""))),$K6,0))</f>
        <v>0</v>
      </c>
      <c r="V6" s="6" t="str">
        <f>IF(AND($A6&lt;&gt;"",$O6=1,$L6="Débit",N($Q6)&gt;0,$A6&gt;=Visualisation!$B$1,$A6&lt;Visualisation!$D$1),MAX($V$1:V5)+1,"")</f>
        <v/>
      </c>
    </row>
    <row r="7" spans="1:22" x14ac:dyDescent="0.25">
      <c r="A7" s="9">
        <v>45539</v>
      </c>
      <c r="B7" s="4" t="s">
        <v>76</v>
      </c>
      <c r="C7" s="4" t="s">
        <v>60</v>
      </c>
      <c r="D7" s="4" t="s">
        <v>77</v>
      </c>
      <c r="E7" s="10">
        <v>30.86</v>
      </c>
      <c r="G7" s="4" t="s">
        <v>78</v>
      </c>
      <c r="H7" s="4"/>
      <c r="I7" s="4" t="s">
        <v>79</v>
      </c>
      <c r="K7" s="11">
        <f>IF($E7="","",ROUND($E7*IF(ISNA(MATCH($C7,'Paramètres'!$D:$D,0)),1,IF(INDEX('Paramètres'!$J:$J,MATCH($C7,'Paramètres'!$D:$D,0))="",1,INDEX('Paramètres'!$J:$J,MATCH($C7,'Paramètres'!$D:$D,0)))),2))</f>
        <v>15.43</v>
      </c>
      <c r="L7" s="6" t="str">
        <f>IF($D7="","",IF($F7&lt;&gt;"",$F7,IF(ISNA(MATCH($D7,'Paramètres'!$M:$M,0)),"⚠ Type inconnu",IFERROR(INDEX('Paramètres'!$P:$P,MATCH($D7,'Paramètres'!$M:$M,0))&amp;"",""))))</f>
        <v>Débit</v>
      </c>
      <c r="M7" s="6" t="str">
        <f>IF($D7="","",IF(ISNA(MATCH($D7,'Paramètres'!$M:$M,0)),"⚠ Type inconnu",IF($L7="Crédit","",IFERROR(INDEX('Paramètres'!$O:$O,MATCH($D7,'Paramètres'!$M:$M,0))&amp;"",""))))</f>
        <v>Dépense Courante</v>
      </c>
      <c r="N7" s="6" t="str">
        <f>IF($D7="","",IFERROR(INDEX('Paramètres'!$Q:$Q,MATCH($D7,'Paramètres'!$M:$M,0))&amp;"",""))</f>
        <v>Alimentation</v>
      </c>
      <c r="O7" s="6">
        <f>IF($A7="","",IF(OR($J7&lt;&gt;"x",$A7&lt;=FinReleve),1,0))</f>
        <v>1</v>
      </c>
      <c r="P7" s="6">
        <f>IF($D7="","",IF(AND($L7="Crédit",OR(IFERROR(INDEX('Paramètres'!$O:$O,MATCH($D7,'Paramètres'!$M:$M,0))&amp;"","")&lt;&gt;"",ISNUMBER(SEARCH("remboursement",IFERROR(INDEX('Paramètres'!$N:$N,MATCH($D7,'Paramètres'!$M:$M,0))&amp;"",""))))),1,0))</f>
        <v>0</v>
      </c>
      <c r="Q7" s="6">
        <f>IF($K7="","",IF(ISNUMBER(SEARCH("transfert-interne",IFERROR(INDEX('Paramètres'!$N:$N,MATCH($D7,'Paramètres'!$M:$M,0))&amp;"",""))),0,IF($L7="Débit",$K7,IF($P7=1,-$K7,0))))</f>
        <v>15.43</v>
      </c>
      <c r="R7" s="6">
        <f>IF($K7="","",IF($L7="Crédit",$K7,-$K7))</f>
        <v>-15.43</v>
      </c>
      <c r="S7" s="6" t="str">
        <f>IF($C7="","",IFERROR(INDEX('Paramètres'!$H:$H,MATCH($C7,'Paramètres'!$D:$D,0))&amp;"",""))</f>
        <v>Banque A - Courant</v>
      </c>
      <c r="T7" s="6">
        <f>IF($K7="","",IF($S7="",0,IF(ISNUMBER(SEARCH("apport-exterieur",IFERROR(INDEX('Paramètres'!$N:$N,MATCH($D7,'Paramètres'!$M:$M,0))&amp;"",""))),0,IF(OR(IFERROR(INDEX('Paramètres'!$I:$I,MATCH($C7,'Paramètres'!$D:$D,0))&amp;"","")="Les deux",IFERROR(INDEX('Paramètres'!$I:$I,MATCH($C7,'Paramètres'!$D:$D,0))&amp;"","")=IF($P7=1,"Débit",$L7)),-IF($P7=1,-$K7,$K7),0))))</f>
        <v>-15.43</v>
      </c>
      <c r="U7" s="6">
        <f>IF($K7="","",IF(ISNUMBER(SEARCH("sortie-epargne",IFERROR(INDEX('Paramètres'!$N:$N,MATCH($D7,'Paramètres'!$M:$M,0))&amp;"",""))),$K7,0))</f>
        <v>0</v>
      </c>
      <c r="V7" s="6" t="str">
        <f>IF(AND($A7&lt;&gt;"",$O7=1,$L7="Débit",N($Q7)&gt;0,$A7&gt;=Visualisation!$B$1,$A7&lt;Visualisation!$D$1),MAX($V$1:V6)+1,"")</f>
        <v/>
      </c>
    </row>
    <row r="8" spans="1:22" x14ac:dyDescent="0.25">
      <c r="A8" s="9">
        <v>45539</v>
      </c>
      <c r="B8" s="4" t="s">
        <v>80</v>
      </c>
      <c r="C8" s="4" t="s">
        <v>70</v>
      </c>
      <c r="D8" s="4" t="s">
        <v>81</v>
      </c>
      <c r="E8" s="10">
        <v>121.8</v>
      </c>
      <c r="G8" s="4"/>
      <c r="H8" s="4"/>
      <c r="I8" s="4"/>
      <c r="K8" s="11">
        <f>IF($E8="","",ROUND($E8*IF(ISNA(MATCH($C8,'Paramètres'!$D:$D,0)),1,IF(INDEX('Paramètres'!$J:$J,MATCH($C8,'Paramètres'!$D:$D,0))="",1,INDEX('Paramètres'!$J:$J,MATCH($C8,'Paramètres'!$D:$D,0)))),2))</f>
        <v>121.8</v>
      </c>
      <c r="L8" s="6" t="str">
        <f>IF($D8="","",IF($F8&lt;&gt;"",$F8,IF(ISNA(MATCH($D8,'Paramètres'!$M:$M,0)),"⚠ Type inconnu",IFERROR(INDEX('Paramètres'!$P:$P,MATCH($D8,'Paramètres'!$M:$M,0))&amp;"",""))))</f>
        <v>Crédit</v>
      </c>
      <c r="M8" s="6" t="str">
        <f>IF($D8="","",IF(ISNA(MATCH($D8,'Paramètres'!$M:$M,0)),"⚠ Type inconnu",IF($L8="Crédit","",IFERROR(INDEX('Paramètres'!$O:$O,MATCH($D8,'Paramètres'!$M:$M,0))&amp;"",""))))</f>
        <v/>
      </c>
      <c r="N8" s="6" t="str">
        <f>IF($D8="","",IFERROR(INDEX('Paramètres'!$Q:$Q,MATCH($D8,'Paramètres'!$M:$M,0))&amp;"",""))</f>
        <v>Comptes Bancaires</v>
      </c>
      <c r="O8" s="6">
        <f>IF($A8="","",IF(OR($J8&lt;&gt;"x",$A8&lt;=FinReleve),1,0))</f>
        <v>1</v>
      </c>
      <c r="P8" s="6">
        <f>IF($D8="","",IF(AND($L8="Crédit",OR(IFERROR(INDEX('Paramètres'!$O:$O,MATCH($D8,'Paramètres'!$M:$M,0))&amp;"","")&lt;&gt;"",ISNUMBER(SEARCH("remboursement",IFERROR(INDEX('Paramètres'!$N:$N,MATCH($D8,'Paramètres'!$M:$M,0))&amp;"",""))))),1,0))</f>
        <v>0</v>
      </c>
      <c r="Q8" s="6">
        <f>IF($K8="","",IF(ISNUMBER(SEARCH("transfert-interne",IFERROR(INDEX('Paramètres'!$N:$N,MATCH($D8,'Paramètres'!$M:$M,0))&amp;"",""))),0,IF($L8="Débit",$K8,IF($P8=1,-$K8,0))))</f>
        <v>0</v>
      </c>
      <c r="R8" s="6">
        <f>IF($K8="","",IF($L8="Crédit",$K8,-$K8))</f>
        <v>121.8</v>
      </c>
      <c r="S8" s="6" t="str">
        <f>IF($C8="","",IFERROR(INDEX('Paramètres'!$H:$H,MATCH($C8,'Paramètres'!$D:$D,0))&amp;"",""))</f>
        <v/>
      </c>
      <c r="T8" s="6">
        <f>IF($K8="","",IF($S8="",0,IF(ISNUMBER(SEARCH("apport-exterieur",IFERROR(INDEX('Paramètres'!$N:$N,MATCH($D8,'Paramètres'!$M:$M,0))&amp;"",""))),0,IF(OR(IFERROR(INDEX('Paramètres'!$I:$I,MATCH($C8,'Paramètres'!$D:$D,0))&amp;"","")="Les deux",IFERROR(INDEX('Paramètres'!$I:$I,MATCH($C8,'Paramètres'!$D:$D,0))&amp;"","")=IF($P8=1,"Débit",$L8)),-IF($P8=1,-$K8,$K8),0))))</f>
        <v>0</v>
      </c>
      <c r="U8" s="6">
        <f>IF($K8="","",IF(ISNUMBER(SEARCH("sortie-epargne",IFERROR(INDEX('Paramètres'!$N:$N,MATCH($D8,'Paramètres'!$M:$M,0))&amp;"",""))),$K8,0))</f>
        <v>0</v>
      </c>
      <c r="V8" s="6" t="str">
        <f>IF(AND($A8&lt;&gt;"",$O8=1,$L8="Débit",N($Q8)&gt;0,$A8&gt;=Visualisation!$B$1,$A8&lt;Visualisation!$D$1),MAX($V$1:V7)+1,"")</f>
        <v/>
      </c>
    </row>
    <row r="9" spans="1:22" x14ac:dyDescent="0.25">
      <c r="A9" s="9">
        <v>45540</v>
      </c>
      <c r="B9" s="4" t="s">
        <v>82</v>
      </c>
      <c r="C9" s="4" t="s">
        <v>65</v>
      </c>
      <c r="D9" s="4" t="s">
        <v>83</v>
      </c>
      <c r="E9" s="10">
        <v>645.51</v>
      </c>
      <c r="G9" s="4" t="s">
        <v>84</v>
      </c>
      <c r="H9" s="4"/>
      <c r="I9" s="4"/>
      <c r="K9" s="11">
        <f>IF($E9="","",ROUND($E9*IF(ISNA(MATCH($C9,'Paramètres'!$D:$D,0)),1,IF(INDEX('Paramètres'!$J:$J,MATCH($C9,'Paramètres'!$D:$D,0))="",1,INDEX('Paramètres'!$J:$J,MATCH($C9,'Paramètres'!$D:$D,0)))),2))</f>
        <v>645.51</v>
      </c>
      <c r="L9" s="6" t="str">
        <f>IF($D9="","",IF($F9&lt;&gt;"",$F9,IF(ISNA(MATCH($D9,'Paramètres'!$M:$M,0)),"⚠ Type inconnu",IFERROR(INDEX('Paramètres'!$P:$P,MATCH($D9,'Paramètres'!$M:$M,0))&amp;"",""))))</f>
        <v>Débit</v>
      </c>
      <c r="M9" s="6" t="str">
        <f>IF($D9="","",IF(ISNA(MATCH($D9,'Paramètres'!$M:$M,0)),"⚠ Type inconnu",IF($L9="Crédit","",IFERROR(INDEX('Paramètres'!$O:$O,MATCH($D9,'Paramètres'!$M:$M,0))&amp;"",""))))</f>
        <v/>
      </c>
      <c r="N9" s="6" t="str">
        <f>IF($D9="","",IFERROR(INDEX('Paramètres'!$Q:$Q,MATCH($D9,'Paramètres'!$M:$M,0))&amp;"",""))</f>
        <v>Immobilier</v>
      </c>
      <c r="O9" s="6">
        <f>IF($A9="","",IF(OR($J9&lt;&gt;"x",$A9&lt;=FinReleve),1,0))</f>
        <v>1</v>
      </c>
      <c r="P9" s="6">
        <f>IF($D9="","",IF(AND($L9="Crédit",OR(IFERROR(INDEX('Paramètres'!$O:$O,MATCH($D9,'Paramètres'!$M:$M,0))&amp;"","")&lt;&gt;"",ISNUMBER(SEARCH("remboursement",IFERROR(INDEX('Paramètres'!$N:$N,MATCH($D9,'Paramètres'!$M:$M,0))&amp;"",""))))),1,0))</f>
        <v>0</v>
      </c>
      <c r="Q9" s="6">
        <f>IF($K9="","",IF(ISNUMBER(SEARCH("transfert-interne",IFERROR(INDEX('Paramètres'!$N:$N,MATCH($D9,'Paramètres'!$M:$M,0))&amp;"",""))),0,IF($L9="Débit",$K9,IF($P9=1,-$K9,0))))</f>
        <v>645.51</v>
      </c>
      <c r="R9" s="6">
        <f>IF($K9="","",IF($L9="Crédit",$K9,-$K9))</f>
        <v>-645.51</v>
      </c>
      <c r="S9" s="6" t="str">
        <f>IF($C9="","",IFERROR(INDEX('Paramètres'!$H:$H,MATCH($C9,'Paramètres'!$D:$D,0))&amp;"",""))</f>
        <v>Banque A - Courant</v>
      </c>
      <c r="T9" s="6">
        <f>IF($K9="","",IF($S9="",0,IF(ISNUMBER(SEARCH("apport-exterieur",IFERROR(INDEX('Paramètres'!$N:$N,MATCH($D9,'Paramètres'!$M:$M,0))&amp;"",""))),0,IF(OR(IFERROR(INDEX('Paramètres'!$I:$I,MATCH($C9,'Paramètres'!$D:$D,0))&amp;"","")="Les deux",IFERROR(INDEX('Paramètres'!$I:$I,MATCH($C9,'Paramètres'!$D:$D,0))&amp;"","")=IF($P9=1,"Débit",$L9)),-IF($P9=1,-$K9,$K9),0))))</f>
        <v>0</v>
      </c>
      <c r="U9" s="6">
        <f>IF($K9="","",IF(ISNUMBER(SEARCH("sortie-epargne",IFERROR(INDEX('Paramètres'!$N:$N,MATCH($D9,'Paramètres'!$M:$M,0))&amp;"",""))),$K9,0))</f>
        <v>0</v>
      </c>
      <c r="V9" s="6" t="str">
        <f>IF(AND($A9&lt;&gt;"",$O9=1,$L9="Débit",N($Q9)&gt;0,$A9&gt;=Visualisation!$B$1,$A9&lt;Visualisation!$D$1),MAX($V$1:V8)+1,"")</f>
        <v/>
      </c>
    </row>
    <row r="10" spans="1:22" x14ac:dyDescent="0.25">
      <c r="A10" s="9">
        <v>45540</v>
      </c>
      <c r="B10" s="4" t="s">
        <v>85</v>
      </c>
      <c r="C10" s="4" t="s">
        <v>65</v>
      </c>
      <c r="D10" s="4" t="s">
        <v>86</v>
      </c>
      <c r="E10" s="10">
        <v>248.13</v>
      </c>
      <c r="G10" s="4" t="s">
        <v>87</v>
      </c>
      <c r="H10" s="4"/>
      <c r="I10" s="4"/>
      <c r="K10" s="11">
        <f>IF($E10="","",ROUND($E10*IF(ISNA(MATCH($C10,'Paramètres'!$D:$D,0)),1,IF(INDEX('Paramètres'!$J:$J,MATCH($C10,'Paramètres'!$D:$D,0))="",1,INDEX('Paramètres'!$J:$J,MATCH($C10,'Paramètres'!$D:$D,0)))),2))</f>
        <v>248.13</v>
      </c>
      <c r="L10" s="6" t="str">
        <f>IF($D10="","",IF($F10&lt;&gt;"",$F10,IF(ISNA(MATCH($D10,'Paramètres'!$M:$M,0)),"⚠ Type inconnu",IFERROR(INDEX('Paramètres'!$P:$P,MATCH($D10,'Paramètres'!$M:$M,0))&amp;"",""))))</f>
        <v>Débit</v>
      </c>
      <c r="M10" s="6" t="str">
        <f>IF($D10="","",IF(ISNA(MATCH($D10,'Paramètres'!$M:$M,0)),"⚠ Type inconnu",IF($L10="Crédit","",IFERROR(INDEX('Paramètres'!$O:$O,MATCH($D10,'Paramètres'!$M:$M,0))&amp;"",""))))</f>
        <v>Dépense Fixe</v>
      </c>
      <c r="N10" s="6" t="str">
        <f>IF($D10="","",IFERROR(INDEX('Paramètres'!$Q:$Q,MATCH($D10,'Paramètres'!$M:$M,0))&amp;"",""))</f>
        <v>Immobilier</v>
      </c>
      <c r="O10" s="6">
        <f>IF($A10="","",IF(OR($J10&lt;&gt;"x",$A10&lt;=FinReleve),1,0))</f>
        <v>1</v>
      </c>
      <c r="P10" s="6">
        <f>IF($D10="","",IF(AND($L10="Crédit",OR(IFERROR(INDEX('Paramètres'!$O:$O,MATCH($D10,'Paramètres'!$M:$M,0))&amp;"","")&lt;&gt;"",ISNUMBER(SEARCH("remboursement",IFERROR(INDEX('Paramètres'!$N:$N,MATCH($D10,'Paramètres'!$M:$M,0))&amp;"",""))))),1,0))</f>
        <v>0</v>
      </c>
      <c r="Q10" s="6">
        <f>IF($K10="","",IF(ISNUMBER(SEARCH("transfert-interne",IFERROR(INDEX('Paramètres'!$N:$N,MATCH($D10,'Paramètres'!$M:$M,0))&amp;"",""))),0,IF($L10="Débit",$K10,IF($P10=1,-$K10,0))))</f>
        <v>248.13</v>
      </c>
      <c r="R10" s="6">
        <f>IF($K10="","",IF($L10="Crédit",$K10,-$K10))</f>
        <v>-248.13</v>
      </c>
      <c r="S10" s="6" t="str">
        <f>IF($C10="","",IFERROR(INDEX('Paramètres'!$H:$H,MATCH($C10,'Paramètres'!$D:$D,0))&amp;"",""))</f>
        <v>Banque A - Courant</v>
      </c>
      <c r="T10" s="6">
        <f>IF($K10="","",IF($S10="",0,IF(ISNUMBER(SEARCH("apport-exterieur",IFERROR(INDEX('Paramètres'!$N:$N,MATCH($D10,'Paramètres'!$M:$M,0))&amp;"",""))),0,IF(OR(IFERROR(INDEX('Paramètres'!$I:$I,MATCH($C10,'Paramètres'!$D:$D,0))&amp;"","")="Les deux",IFERROR(INDEX('Paramètres'!$I:$I,MATCH($C10,'Paramètres'!$D:$D,0))&amp;"","")=IF($P10=1,"Débit",$L10)),-IF($P10=1,-$K10,$K10),0))))</f>
        <v>0</v>
      </c>
      <c r="U10" s="6">
        <f>IF($K10="","",IF(ISNUMBER(SEARCH("sortie-epargne",IFERROR(INDEX('Paramètres'!$N:$N,MATCH($D10,'Paramètres'!$M:$M,0))&amp;"",""))),$K10,0))</f>
        <v>0</v>
      </c>
      <c r="V10" s="6" t="str">
        <f>IF(AND($A10&lt;&gt;"",$O10=1,$L10="Débit",N($Q10)&gt;0,$A10&gt;=Visualisation!$B$1,$A10&lt;Visualisation!$D$1),MAX($V$1:V9)+1,"")</f>
        <v/>
      </c>
    </row>
    <row r="11" spans="1:22" x14ac:dyDescent="0.25">
      <c r="A11" s="9">
        <v>45540</v>
      </c>
      <c r="B11" s="4" t="s">
        <v>88</v>
      </c>
      <c r="C11" s="4" t="s">
        <v>65</v>
      </c>
      <c r="D11" s="4" t="s">
        <v>88</v>
      </c>
      <c r="E11" s="10">
        <v>31.2</v>
      </c>
      <c r="G11" s="4"/>
      <c r="H11" s="4"/>
      <c r="I11" s="4"/>
      <c r="K11" s="11">
        <f>IF($E11="","",ROUND($E11*IF(ISNA(MATCH($C11,'Paramètres'!$D:$D,0)),1,IF(INDEX('Paramètres'!$J:$J,MATCH($C11,'Paramètres'!$D:$D,0))="",1,INDEX('Paramètres'!$J:$J,MATCH($C11,'Paramètres'!$D:$D,0)))),2))</f>
        <v>31.2</v>
      </c>
      <c r="L11" s="6" t="str">
        <f>IF($D11="","",IF($F11&lt;&gt;"",$F11,IF(ISNA(MATCH($D11,'Paramètres'!$M:$M,0)),"⚠ Type inconnu",IFERROR(INDEX('Paramètres'!$P:$P,MATCH($D11,'Paramètres'!$M:$M,0))&amp;"",""))))</f>
        <v>Débit</v>
      </c>
      <c r="M11" s="6" t="str">
        <f>IF($D11="","",IF(ISNA(MATCH($D11,'Paramètres'!$M:$M,0)),"⚠ Type inconnu",IF($L11="Crédit","",IFERROR(INDEX('Paramètres'!$O:$O,MATCH($D11,'Paramètres'!$M:$M,0))&amp;"",""))))</f>
        <v>Dépense Fixe</v>
      </c>
      <c r="N11" s="6" t="str">
        <f>IF($D11="","",IFERROR(INDEX('Paramètres'!$Q:$Q,MATCH($D11,'Paramètres'!$M:$M,0))&amp;"",""))</f>
        <v>Assurances</v>
      </c>
      <c r="O11" s="6">
        <f>IF($A11="","",IF(OR($J11&lt;&gt;"x",$A11&lt;=FinReleve),1,0))</f>
        <v>1</v>
      </c>
      <c r="P11" s="6">
        <f>IF($D11="","",IF(AND($L11="Crédit",OR(IFERROR(INDEX('Paramètres'!$O:$O,MATCH($D11,'Paramètres'!$M:$M,0))&amp;"","")&lt;&gt;"",ISNUMBER(SEARCH("remboursement",IFERROR(INDEX('Paramètres'!$N:$N,MATCH($D11,'Paramètres'!$M:$M,0))&amp;"",""))))),1,0))</f>
        <v>0</v>
      </c>
      <c r="Q11" s="6">
        <f>IF($K11="","",IF(ISNUMBER(SEARCH("transfert-interne",IFERROR(INDEX('Paramètres'!$N:$N,MATCH($D11,'Paramètres'!$M:$M,0))&amp;"",""))),0,IF($L11="Débit",$K11,IF($P11=1,-$K11,0))))</f>
        <v>31.2</v>
      </c>
      <c r="R11" s="6">
        <f>IF($K11="","",IF($L11="Crédit",$K11,-$K11))</f>
        <v>-31.2</v>
      </c>
      <c r="S11" s="6" t="str">
        <f>IF($C11="","",IFERROR(INDEX('Paramètres'!$H:$H,MATCH($C11,'Paramètres'!$D:$D,0))&amp;"",""))</f>
        <v>Banque A - Courant</v>
      </c>
      <c r="T11" s="6">
        <f>IF($K11="","",IF($S11="",0,IF(ISNUMBER(SEARCH("apport-exterieur",IFERROR(INDEX('Paramètres'!$N:$N,MATCH($D11,'Paramètres'!$M:$M,0))&amp;"",""))),0,IF(OR(IFERROR(INDEX('Paramètres'!$I:$I,MATCH($C11,'Paramètres'!$D:$D,0))&amp;"","")="Les deux",IFERROR(INDEX('Paramètres'!$I:$I,MATCH($C11,'Paramètres'!$D:$D,0))&amp;"","")=IF($P11=1,"Débit",$L11)),-IF($P11=1,-$K11,$K11),0))))</f>
        <v>0</v>
      </c>
      <c r="U11" s="6">
        <f>IF($K11="","",IF(ISNUMBER(SEARCH("sortie-epargne",IFERROR(INDEX('Paramètres'!$N:$N,MATCH($D11,'Paramètres'!$M:$M,0))&amp;"",""))),$K11,0))</f>
        <v>0</v>
      </c>
      <c r="V11" s="6" t="str">
        <f>IF(AND($A11&lt;&gt;"",$O11=1,$L11="Débit",N($Q11)&gt;0,$A11&gt;=Visualisation!$B$1,$A11&lt;Visualisation!$D$1),MAX($V$1:V10)+1,"")</f>
        <v/>
      </c>
    </row>
    <row r="12" spans="1:22" x14ac:dyDescent="0.25">
      <c r="A12" s="9">
        <v>45541</v>
      </c>
      <c r="B12" s="4" t="s">
        <v>89</v>
      </c>
      <c r="C12" s="4" t="s">
        <v>75</v>
      </c>
      <c r="D12" s="4" t="s">
        <v>89</v>
      </c>
      <c r="E12" s="10">
        <v>49.9</v>
      </c>
      <c r="G12" s="4"/>
      <c r="H12" s="4"/>
      <c r="I12" s="4"/>
      <c r="K12" s="11">
        <f>IF($E12="","",ROUND($E12*IF(ISNA(MATCH($C12,'Paramètres'!$D:$D,0)),1,IF(INDEX('Paramètres'!$J:$J,MATCH($C12,'Paramètres'!$D:$D,0))="",1,INDEX('Paramètres'!$J:$J,MATCH($C12,'Paramètres'!$D:$D,0)))),2))</f>
        <v>49.9</v>
      </c>
      <c r="L12" s="6" t="str">
        <f>IF($D12="","",IF($F12&lt;&gt;"",$F12,IF(ISNA(MATCH($D12,'Paramètres'!$M:$M,0)),"⚠ Type inconnu",IFERROR(INDEX('Paramètres'!$P:$P,MATCH($D12,'Paramètres'!$M:$M,0))&amp;"",""))))</f>
        <v>Débit</v>
      </c>
      <c r="M12" s="6" t="str">
        <f>IF($D12="","",IF(ISNA(MATCH($D12,'Paramètres'!$M:$M,0)),"⚠ Type inconnu",IF($L12="Crédit","",IFERROR(INDEX('Paramètres'!$O:$O,MATCH($D12,'Paramètres'!$M:$M,0))&amp;"",""))))</f>
        <v>Dépense Fixe</v>
      </c>
      <c r="N12" s="6" t="str">
        <f>IF($D12="","",IFERROR(INDEX('Paramètres'!$Q:$Q,MATCH($D12,'Paramètres'!$M:$M,0))&amp;"",""))</f>
        <v>Autre</v>
      </c>
      <c r="O12" s="6">
        <f>IF($A12="","",IF(OR($J12&lt;&gt;"x",$A12&lt;=FinReleve),1,0))</f>
        <v>1</v>
      </c>
      <c r="P12" s="6">
        <f>IF($D12="","",IF(AND($L12="Crédit",OR(IFERROR(INDEX('Paramètres'!$O:$O,MATCH($D12,'Paramètres'!$M:$M,0))&amp;"","")&lt;&gt;"",ISNUMBER(SEARCH("remboursement",IFERROR(INDEX('Paramètres'!$N:$N,MATCH($D12,'Paramètres'!$M:$M,0))&amp;"",""))))),1,0))</f>
        <v>0</v>
      </c>
      <c r="Q12" s="6">
        <f>IF($K12="","",IF(ISNUMBER(SEARCH("transfert-interne",IFERROR(INDEX('Paramètres'!$N:$N,MATCH($D12,'Paramètres'!$M:$M,0))&amp;"",""))),0,IF($L12="Débit",$K12,IF($P12=1,-$K12,0))))</f>
        <v>49.9</v>
      </c>
      <c r="R12" s="6">
        <f>IF($K12="","",IF($L12="Crédit",$K12,-$K12))</f>
        <v>-49.9</v>
      </c>
      <c r="S12" s="6" t="str">
        <f>IF($C12="","",IFERROR(INDEX('Paramètres'!$H:$H,MATCH($C12,'Paramètres'!$D:$D,0))&amp;"",""))</f>
        <v/>
      </c>
      <c r="T12" s="6">
        <f>IF($K12="","",IF($S12="",0,IF(ISNUMBER(SEARCH("apport-exterieur",IFERROR(INDEX('Paramètres'!$N:$N,MATCH($D12,'Paramètres'!$M:$M,0))&amp;"",""))),0,IF(OR(IFERROR(INDEX('Paramètres'!$I:$I,MATCH($C12,'Paramètres'!$D:$D,0))&amp;"","")="Les deux",IFERROR(INDEX('Paramètres'!$I:$I,MATCH($C12,'Paramètres'!$D:$D,0))&amp;"","")=IF($P12=1,"Débit",$L12)),-IF($P12=1,-$K12,$K12),0))))</f>
        <v>0</v>
      </c>
      <c r="U12" s="6">
        <f>IF($K12="","",IF(ISNUMBER(SEARCH("sortie-epargne",IFERROR(INDEX('Paramètres'!$N:$N,MATCH($D12,'Paramètres'!$M:$M,0))&amp;"",""))),$K12,0))</f>
        <v>0</v>
      </c>
      <c r="V12" s="6" t="str">
        <f>IF(AND($A12&lt;&gt;"",$O12=1,$L12="Débit",N($Q12)&gt;0,$A12&gt;=Visualisation!$B$1,$A12&lt;Visualisation!$D$1),MAX($V$1:V11)+1,"")</f>
        <v/>
      </c>
    </row>
    <row r="13" spans="1:22" x14ac:dyDescent="0.25">
      <c r="A13" s="9">
        <v>45542</v>
      </c>
      <c r="B13" s="4" t="s">
        <v>90</v>
      </c>
      <c r="C13" s="4" t="s">
        <v>75</v>
      </c>
      <c r="D13" s="4" t="s">
        <v>91</v>
      </c>
      <c r="E13" s="10">
        <v>80.64</v>
      </c>
      <c r="G13" s="4" t="s">
        <v>92</v>
      </c>
      <c r="H13" s="4"/>
      <c r="I13" s="4" t="s">
        <v>93</v>
      </c>
      <c r="K13" s="11">
        <f>IF($E13="","",ROUND($E13*IF(ISNA(MATCH($C13,'Paramètres'!$D:$D,0)),1,IF(INDEX('Paramètres'!$J:$J,MATCH($C13,'Paramètres'!$D:$D,0))="",1,INDEX('Paramètres'!$J:$J,MATCH($C13,'Paramètres'!$D:$D,0)))),2))</f>
        <v>80.64</v>
      </c>
      <c r="L13" s="6" t="str">
        <f>IF($D13="","",IF($F13&lt;&gt;"",$F13,IF(ISNA(MATCH($D13,'Paramètres'!$M:$M,0)),"⚠ Type inconnu",IFERROR(INDEX('Paramètres'!$P:$P,MATCH($D13,'Paramètres'!$M:$M,0))&amp;"",""))))</f>
        <v>Débit</v>
      </c>
      <c r="M13" s="6" t="str">
        <f>IF($D13="","",IF(ISNA(MATCH($D13,'Paramètres'!$M:$M,0)),"⚠ Type inconnu",IF($L13="Crédit","",IFERROR(INDEX('Paramètres'!$O:$O,MATCH($D13,'Paramètres'!$M:$M,0))&amp;"",""))))</f>
        <v>Dépense Courante</v>
      </c>
      <c r="N13" s="6" t="str">
        <f>IF($D13="","",IFERROR(INDEX('Paramètres'!$Q:$Q,MATCH($D13,'Paramètres'!$M:$M,0))&amp;"",""))</f>
        <v>Transport</v>
      </c>
      <c r="O13" s="6">
        <f>IF($A13="","",IF(OR($J13&lt;&gt;"x",$A13&lt;=FinReleve),1,0))</f>
        <v>1</v>
      </c>
      <c r="P13" s="6">
        <f>IF($D13="","",IF(AND($L13="Crédit",OR(IFERROR(INDEX('Paramètres'!$O:$O,MATCH($D13,'Paramètres'!$M:$M,0))&amp;"","")&lt;&gt;"",ISNUMBER(SEARCH("remboursement",IFERROR(INDEX('Paramètres'!$N:$N,MATCH($D13,'Paramètres'!$M:$M,0))&amp;"",""))))),1,0))</f>
        <v>0</v>
      </c>
      <c r="Q13" s="6">
        <f>IF($K13="","",IF(ISNUMBER(SEARCH("transfert-interne",IFERROR(INDEX('Paramètres'!$N:$N,MATCH($D13,'Paramètres'!$M:$M,0))&amp;"",""))),0,IF($L13="Débit",$K13,IF($P13=1,-$K13,0))))</f>
        <v>80.64</v>
      </c>
      <c r="R13" s="6">
        <f>IF($K13="","",IF($L13="Crédit",$K13,-$K13))</f>
        <v>-80.64</v>
      </c>
      <c r="S13" s="6" t="str">
        <f>IF($C13="","",IFERROR(INDEX('Paramètres'!$H:$H,MATCH($C13,'Paramètres'!$D:$D,0))&amp;"",""))</f>
        <v/>
      </c>
      <c r="T13" s="6">
        <f>IF($K13="","",IF($S13="",0,IF(ISNUMBER(SEARCH("apport-exterieur",IFERROR(INDEX('Paramètres'!$N:$N,MATCH($D13,'Paramètres'!$M:$M,0))&amp;"",""))),0,IF(OR(IFERROR(INDEX('Paramètres'!$I:$I,MATCH($C13,'Paramètres'!$D:$D,0))&amp;"","")="Les deux",IFERROR(INDEX('Paramètres'!$I:$I,MATCH($C13,'Paramètres'!$D:$D,0))&amp;"","")=IF($P13=1,"Débit",$L13)),-IF($P13=1,-$K13,$K13),0))))</f>
        <v>0</v>
      </c>
      <c r="U13" s="6">
        <f>IF($K13="","",IF(ISNUMBER(SEARCH("sortie-epargne",IFERROR(INDEX('Paramètres'!$N:$N,MATCH($D13,'Paramètres'!$M:$M,0))&amp;"",""))),$K13,0))</f>
        <v>0</v>
      </c>
      <c r="V13" s="6" t="str">
        <f>IF(AND($A13&lt;&gt;"",$O13=1,$L13="Débit",N($Q13)&gt;0,$A13&gt;=Visualisation!$B$1,$A13&lt;Visualisation!$D$1),MAX($V$1:V12)+1,"")</f>
        <v/>
      </c>
    </row>
    <row r="14" spans="1:22" x14ac:dyDescent="0.25">
      <c r="A14" s="9">
        <v>45543</v>
      </c>
      <c r="B14" s="4" t="s">
        <v>94</v>
      </c>
      <c r="C14" s="4" t="s">
        <v>65</v>
      </c>
      <c r="D14" s="4" t="s">
        <v>94</v>
      </c>
      <c r="E14" s="10">
        <v>168</v>
      </c>
      <c r="G14" s="4"/>
      <c r="H14" s="4"/>
      <c r="I14" s="4"/>
      <c r="K14" s="11">
        <f>IF($E14="","",ROUND($E14*IF(ISNA(MATCH($C14,'Paramètres'!$D:$D,0)),1,IF(INDEX('Paramètres'!$J:$J,MATCH($C14,'Paramètres'!$D:$D,0))="",1,INDEX('Paramètres'!$J:$J,MATCH($C14,'Paramètres'!$D:$D,0)))),2))</f>
        <v>168</v>
      </c>
      <c r="L14" s="6" t="str">
        <f>IF($D14="","",IF($F14&lt;&gt;"",$F14,IF(ISNA(MATCH($D14,'Paramètres'!$M:$M,0)),"⚠ Type inconnu",IFERROR(INDEX('Paramètres'!$P:$P,MATCH($D14,'Paramètres'!$M:$M,0))&amp;"",""))))</f>
        <v>Débit</v>
      </c>
      <c r="M14" s="6" t="str">
        <f>IF($D14="","",IF(ISNA(MATCH($D14,'Paramètres'!$M:$M,0)),"⚠ Type inconnu",IF($L14="Crédit","",IFERROR(INDEX('Paramètres'!$O:$O,MATCH($D14,'Paramètres'!$M:$M,0))&amp;"",""))))</f>
        <v>Dépense Fixe</v>
      </c>
      <c r="N14" s="6" t="str">
        <f>IF($D14="","",IFERROR(INDEX('Paramètres'!$Q:$Q,MATCH($D14,'Paramètres'!$M:$M,0))&amp;"",""))</f>
        <v>Immobilier</v>
      </c>
      <c r="O14" s="6">
        <f>IF($A14="","",IF(OR($J14&lt;&gt;"x",$A14&lt;=FinReleve),1,0))</f>
        <v>1</v>
      </c>
      <c r="P14" s="6">
        <f>IF($D14="","",IF(AND($L14="Crédit",OR(IFERROR(INDEX('Paramètres'!$O:$O,MATCH($D14,'Paramètres'!$M:$M,0))&amp;"","")&lt;&gt;"",ISNUMBER(SEARCH("remboursement",IFERROR(INDEX('Paramètres'!$N:$N,MATCH($D14,'Paramètres'!$M:$M,0))&amp;"",""))))),1,0))</f>
        <v>0</v>
      </c>
      <c r="Q14" s="6">
        <f>IF($K14="","",IF(ISNUMBER(SEARCH("transfert-interne",IFERROR(INDEX('Paramètres'!$N:$N,MATCH($D14,'Paramètres'!$M:$M,0))&amp;"",""))),0,IF($L14="Débit",$K14,IF($P14=1,-$K14,0))))</f>
        <v>168</v>
      </c>
      <c r="R14" s="6">
        <f>IF($K14="","",IF($L14="Crédit",$K14,-$K14))</f>
        <v>-168</v>
      </c>
      <c r="S14" s="6" t="str">
        <f>IF($C14="","",IFERROR(INDEX('Paramètres'!$H:$H,MATCH($C14,'Paramètres'!$D:$D,0))&amp;"",""))</f>
        <v>Banque A - Courant</v>
      </c>
      <c r="T14" s="6">
        <f>IF($K14="","",IF($S14="",0,IF(ISNUMBER(SEARCH("apport-exterieur",IFERROR(INDEX('Paramètres'!$N:$N,MATCH($D14,'Paramètres'!$M:$M,0))&amp;"",""))),0,IF(OR(IFERROR(INDEX('Paramètres'!$I:$I,MATCH($C14,'Paramètres'!$D:$D,0))&amp;"","")="Les deux",IFERROR(INDEX('Paramètres'!$I:$I,MATCH($C14,'Paramètres'!$D:$D,0))&amp;"","")=IF($P14=1,"Débit",$L14)),-IF($P14=1,-$K14,$K14),0))))</f>
        <v>0</v>
      </c>
      <c r="U14" s="6">
        <f>IF($K14="","",IF(ISNUMBER(SEARCH("sortie-epargne",IFERROR(INDEX('Paramètres'!$N:$N,MATCH($D14,'Paramètres'!$M:$M,0))&amp;"",""))),$K14,0))</f>
        <v>0</v>
      </c>
      <c r="V14" s="6" t="str">
        <f>IF(AND($A14&lt;&gt;"",$O14=1,$L14="Débit",N($Q14)&gt;0,$A14&gt;=Visualisation!$B$1,$A14&lt;Visualisation!$D$1),MAX($V$1:V13)+1,"")</f>
        <v/>
      </c>
    </row>
    <row r="15" spans="1:22" x14ac:dyDescent="0.25">
      <c r="A15" s="9">
        <v>45543</v>
      </c>
      <c r="B15" s="4" t="s">
        <v>69</v>
      </c>
      <c r="C15" s="4" t="s">
        <v>70</v>
      </c>
      <c r="D15" s="4" t="s">
        <v>71</v>
      </c>
      <c r="E15" s="10">
        <v>8.1</v>
      </c>
      <c r="G15" s="4" t="s">
        <v>72</v>
      </c>
      <c r="H15" s="4"/>
      <c r="I15" s="4" t="s">
        <v>93</v>
      </c>
      <c r="K15" s="11">
        <f>IF($E15="","",ROUND($E15*IF(ISNA(MATCH($C15,'Paramètres'!$D:$D,0)),1,IF(INDEX('Paramètres'!$J:$J,MATCH($C15,'Paramètres'!$D:$D,0))="",1,INDEX('Paramètres'!$J:$J,MATCH($C15,'Paramètres'!$D:$D,0)))),2))</f>
        <v>8.1</v>
      </c>
      <c r="L15" s="6" t="str">
        <f>IF($D15="","",IF($F15&lt;&gt;"",$F15,IF(ISNA(MATCH($D15,'Paramètres'!$M:$M,0)),"⚠ Type inconnu",IFERROR(INDEX('Paramètres'!$P:$P,MATCH($D15,'Paramètres'!$M:$M,0))&amp;"",""))))</f>
        <v>Débit</v>
      </c>
      <c r="M15" s="6" t="str">
        <f>IF($D15="","",IF(ISNA(MATCH($D15,'Paramètres'!$M:$M,0)),"⚠ Type inconnu",IF($L15="Crédit","",IFERROR(INDEX('Paramètres'!$O:$O,MATCH($D15,'Paramètres'!$M:$M,0))&amp;"",""))))</f>
        <v>Dépense Courante</v>
      </c>
      <c r="N15" s="6" t="str">
        <f>IF($D15="","",IFERROR(INDEX('Paramètres'!$Q:$Q,MATCH($D15,'Paramètres'!$M:$M,0))&amp;"",""))</f>
        <v>Alimentation</v>
      </c>
      <c r="O15" s="6">
        <f>IF($A15="","",IF(OR($J15&lt;&gt;"x",$A15&lt;=FinReleve),1,0))</f>
        <v>1</v>
      </c>
      <c r="P15" s="6">
        <f>IF($D15="","",IF(AND($L15="Crédit",OR(IFERROR(INDEX('Paramètres'!$O:$O,MATCH($D15,'Paramètres'!$M:$M,0))&amp;"","")&lt;&gt;"",ISNUMBER(SEARCH("remboursement",IFERROR(INDEX('Paramètres'!$N:$N,MATCH($D15,'Paramètres'!$M:$M,0))&amp;"",""))))),1,0))</f>
        <v>0</v>
      </c>
      <c r="Q15" s="6">
        <f>IF($K15="","",IF(ISNUMBER(SEARCH("transfert-interne",IFERROR(INDEX('Paramètres'!$N:$N,MATCH($D15,'Paramètres'!$M:$M,0))&amp;"",""))),0,IF($L15="Débit",$K15,IF($P15=1,-$K15,0))))</f>
        <v>8.1</v>
      </c>
      <c r="R15" s="6">
        <f>IF($K15="","",IF($L15="Crédit",$K15,-$K15))</f>
        <v>-8.1</v>
      </c>
      <c r="S15" s="6" t="str">
        <f>IF($C15="","",IFERROR(INDEX('Paramètres'!$H:$H,MATCH($C15,'Paramètres'!$D:$D,0))&amp;"",""))</f>
        <v/>
      </c>
      <c r="T15" s="6">
        <f>IF($K15="","",IF($S15="",0,IF(ISNUMBER(SEARCH("apport-exterieur",IFERROR(INDEX('Paramètres'!$N:$N,MATCH($D15,'Paramètres'!$M:$M,0))&amp;"",""))),0,IF(OR(IFERROR(INDEX('Paramètres'!$I:$I,MATCH($C15,'Paramètres'!$D:$D,0))&amp;"","")="Les deux",IFERROR(INDEX('Paramètres'!$I:$I,MATCH($C15,'Paramètres'!$D:$D,0))&amp;"","")=IF($P15=1,"Débit",$L15)),-IF($P15=1,-$K15,$K15),0))))</f>
        <v>0</v>
      </c>
      <c r="U15" s="6">
        <f>IF($K15="","",IF(ISNUMBER(SEARCH("sortie-epargne",IFERROR(INDEX('Paramètres'!$N:$N,MATCH($D15,'Paramètres'!$M:$M,0))&amp;"",""))),$K15,0))</f>
        <v>0</v>
      </c>
      <c r="V15" s="6" t="str">
        <f>IF(AND($A15&lt;&gt;"",$O15=1,$L15="Débit",N($Q15)&gt;0,$A15&gt;=Visualisation!$B$1,$A15&lt;Visualisation!$D$1),MAX($V$1:V14)+1,"")</f>
        <v/>
      </c>
    </row>
    <row r="16" spans="1:22" x14ac:dyDescent="0.25">
      <c r="A16" s="9">
        <v>45544</v>
      </c>
      <c r="B16" s="4" t="s">
        <v>76</v>
      </c>
      <c r="C16" s="4" t="s">
        <v>67</v>
      </c>
      <c r="D16" s="4" t="s">
        <v>77</v>
      </c>
      <c r="E16" s="10">
        <v>145.44</v>
      </c>
      <c r="G16" s="4" t="s">
        <v>95</v>
      </c>
      <c r="H16" s="4"/>
      <c r="I16" s="4" t="s">
        <v>79</v>
      </c>
      <c r="K16" s="11">
        <f>IF($E16="","",ROUND($E16*IF(ISNA(MATCH($C16,'Paramètres'!$D:$D,0)),1,IF(INDEX('Paramètres'!$J:$J,MATCH($C16,'Paramètres'!$D:$D,0))="",1,INDEX('Paramètres'!$J:$J,MATCH($C16,'Paramètres'!$D:$D,0)))),2))</f>
        <v>72.72</v>
      </c>
      <c r="L16" s="6" t="str">
        <f>IF($D16="","",IF($F16&lt;&gt;"",$F16,IF(ISNA(MATCH($D16,'Paramètres'!$M:$M,0)),"⚠ Type inconnu",IFERROR(INDEX('Paramètres'!$P:$P,MATCH($D16,'Paramètres'!$M:$M,0))&amp;"",""))))</f>
        <v>Débit</v>
      </c>
      <c r="M16" s="6" t="str">
        <f>IF($D16="","",IF(ISNA(MATCH($D16,'Paramètres'!$M:$M,0)),"⚠ Type inconnu",IF($L16="Crédit","",IFERROR(INDEX('Paramètres'!$O:$O,MATCH($D16,'Paramètres'!$M:$M,0))&amp;"",""))))</f>
        <v>Dépense Courante</v>
      </c>
      <c r="N16" s="6" t="str">
        <f>IF($D16="","",IFERROR(INDEX('Paramètres'!$Q:$Q,MATCH($D16,'Paramètres'!$M:$M,0))&amp;"",""))</f>
        <v>Alimentation</v>
      </c>
      <c r="O16" s="6">
        <f>IF($A16="","",IF(OR($J16&lt;&gt;"x",$A16&lt;=FinReleve),1,0))</f>
        <v>1</v>
      </c>
      <c r="P16" s="6">
        <f>IF($D16="","",IF(AND($L16="Crédit",OR(IFERROR(INDEX('Paramètres'!$O:$O,MATCH($D16,'Paramètres'!$M:$M,0))&amp;"","")&lt;&gt;"",ISNUMBER(SEARCH("remboursement",IFERROR(INDEX('Paramètres'!$N:$N,MATCH($D16,'Paramètres'!$M:$M,0))&amp;"",""))))),1,0))</f>
        <v>0</v>
      </c>
      <c r="Q16" s="6">
        <f>IF($K16="","",IF(ISNUMBER(SEARCH("transfert-interne",IFERROR(INDEX('Paramètres'!$N:$N,MATCH($D16,'Paramètres'!$M:$M,0))&amp;"",""))),0,IF($L16="Débit",$K16,IF($P16=1,-$K16,0))))</f>
        <v>72.72</v>
      </c>
      <c r="R16" s="6">
        <f>IF($K16="","",IF($L16="Crédit",$K16,-$K16))</f>
        <v>-72.72</v>
      </c>
      <c r="S16" s="6" t="str">
        <f>IF($C16="","",IFERROR(INDEX('Paramètres'!$H:$H,MATCH($C16,'Paramètres'!$D:$D,0))&amp;"",""))</f>
        <v>Banque A - Courant</v>
      </c>
      <c r="T16" s="6">
        <f>IF($K16="","",IF($S16="",0,IF(ISNUMBER(SEARCH("apport-exterieur",IFERROR(INDEX('Paramètres'!$N:$N,MATCH($D16,'Paramètres'!$M:$M,0))&amp;"",""))),0,IF(OR(IFERROR(INDEX('Paramètres'!$I:$I,MATCH($C16,'Paramètres'!$D:$D,0))&amp;"","")="Les deux",IFERROR(INDEX('Paramètres'!$I:$I,MATCH($C16,'Paramètres'!$D:$D,0))&amp;"","")=IF($P16=1,"Débit",$L16)),-IF($P16=1,-$K16,$K16),0))))</f>
        <v>0</v>
      </c>
      <c r="U16" s="6">
        <f>IF($K16="","",IF(ISNUMBER(SEARCH("sortie-epargne",IFERROR(INDEX('Paramètres'!$N:$N,MATCH($D16,'Paramètres'!$M:$M,0))&amp;"",""))),$K16,0))</f>
        <v>0</v>
      </c>
      <c r="V16" s="6" t="str">
        <f>IF(AND($A16&lt;&gt;"",$O16=1,$L16="Débit",N($Q16)&gt;0,$A16&gt;=Visualisation!$B$1,$A16&lt;Visualisation!$D$1),MAX($V$1:V15)+1,"")</f>
        <v/>
      </c>
    </row>
    <row r="17" spans="1:22" x14ac:dyDescent="0.25">
      <c r="A17" s="9">
        <v>45545</v>
      </c>
      <c r="B17" s="4" t="s">
        <v>96</v>
      </c>
      <c r="C17" s="4" t="s">
        <v>75</v>
      </c>
      <c r="D17" s="4" t="s">
        <v>96</v>
      </c>
      <c r="E17" s="10">
        <v>22.4</v>
      </c>
      <c r="G17" s="4"/>
      <c r="H17" s="4"/>
      <c r="I17" s="4"/>
      <c r="K17" s="11">
        <f>IF($E17="","",ROUND($E17*IF(ISNA(MATCH($C17,'Paramètres'!$D:$D,0)),1,IF(INDEX('Paramètres'!$J:$J,MATCH($C17,'Paramètres'!$D:$D,0))="",1,INDEX('Paramètres'!$J:$J,MATCH($C17,'Paramètres'!$D:$D,0)))),2))</f>
        <v>22.4</v>
      </c>
      <c r="L17" s="6" t="str">
        <f>IF($D17="","",IF($F17&lt;&gt;"",$F17,IF(ISNA(MATCH($D17,'Paramètres'!$M:$M,0)),"⚠ Type inconnu",IFERROR(INDEX('Paramètres'!$P:$P,MATCH($D17,'Paramètres'!$M:$M,0))&amp;"",""))))</f>
        <v>Débit</v>
      </c>
      <c r="M17" s="6" t="str">
        <f>IF($D17="","",IF(ISNA(MATCH($D17,'Paramètres'!$M:$M,0)),"⚠ Type inconnu",IF($L17="Crédit","",IFERROR(INDEX('Paramètres'!$O:$O,MATCH($D17,'Paramètres'!$M:$M,0))&amp;"",""))))</f>
        <v>Dépense Fixe</v>
      </c>
      <c r="N17" s="6" t="str">
        <f>IF($D17="","",IFERROR(INDEX('Paramètres'!$Q:$Q,MATCH($D17,'Paramètres'!$M:$M,0))&amp;"",""))</f>
        <v>Assurances</v>
      </c>
      <c r="O17" s="6">
        <f>IF($A17="","",IF(OR($J17&lt;&gt;"x",$A17&lt;=FinReleve),1,0))</f>
        <v>1</v>
      </c>
      <c r="P17" s="6">
        <f>IF($D17="","",IF(AND($L17="Crédit",OR(IFERROR(INDEX('Paramètres'!$O:$O,MATCH($D17,'Paramètres'!$M:$M,0))&amp;"","")&lt;&gt;"",ISNUMBER(SEARCH("remboursement",IFERROR(INDEX('Paramètres'!$N:$N,MATCH($D17,'Paramètres'!$M:$M,0))&amp;"",""))))),1,0))</f>
        <v>0</v>
      </c>
      <c r="Q17" s="6">
        <f>IF($K17="","",IF(ISNUMBER(SEARCH("transfert-interne",IFERROR(INDEX('Paramètres'!$N:$N,MATCH($D17,'Paramètres'!$M:$M,0))&amp;"",""))),0,IF($L17="Débit",$K17,IF($P17=1,-$K17,0))))</f>
        <v>22.4</v>
      </c>
      <c r="R17" s="6">
        <f>IF($K17="","",IF($L17="Crédit",$K17,-$K17))</f>
        <v>-22.4</v>
      </c>
      <c r="S17" s="6" t="str">
        <f>IF($C17="","",IFERROR(INDEX('Paramètres'!$H:$H,MATCH($C17,'Paramètres'!$D:$D,0))&amp;"",""))</f>
        <v/>
      </c>
      <c r="T17" s="6">
        <f>IF($K17="","",IF($S17="",0,IF(ISNUMBER(SEARCH("apport-exterieur",IFERROR(INDEX('Paramètres'!$N:$N,MATCH($D17,'Paramètres'!$M:$M,0))&amp;"",""))),0,IF(OR(IFERROR(INDEX('Paramètres'!$I:$I,MATCH($C17,'Paramètres'!$D:$D,0))&amp;"","")="Les deux",IFERROR(INDEX('Paramètres'!$I:$I,MATCH($C17,'Paramètres'!$D:$D,0))&amp;"","")=IF($P17=1,"Débit",$L17)),-IF($P17=1,-$K17,$K17),0))))</f>
        <v>0</v>
      </c>
      <c r="U17" s="6">
        <f>IF($K17="","",IF(ISNUMBER(SEARCH("sortie-epargne",IFERROR(INDEX('Paramètres'!$N:$N,MATCH($D17,'Paramètres'!$M:$M,0))&amp;"",""))),$K17,0))</f>
        <v>0</v>
      </c>
      <c r="V17" s="6" t="str">
        <f>IF(AND($A17&lt;&gt;"",$O17=1,$L17="Débit",N($Q17)&gt;0,$A17&gt;=Visualisation!$B$1,$A17&lt;Visualisation!$D$1),MAX($V$1:V16)+1,"")</f>
        <v/>
      </c>
    </row>
    <row r="18" spans="1:22" x14ac:dyDescent="0.25">
      <c r="A18" s="9">
        <v>45545</v>
      </c>
      <c r="B18" s="4" t="s">
        <v>76</v>
      </c>
      <c r="C18" s="4" t="s">
        <v>67</v>
      </c>
      <c r="D18" s="4" t="s">
        <v>77</v>
      </c>
      <c r="E18" s="10">
        <v>31.26</v>
      </c>
      <c r="G18" s="4" t="s">
        <v>95</v>
      </c>
      <c r="H18" s="4"/>
      <c r="I18" s="4" t="s">
        <v>63</v>
      </c>
      <c r="K18" s="11">
        <f>IF($E18="","",ROUND($E18*IF(ISNA(MATCH($C18,'Paramètres'!$D:$D,0)),1,IF(INDEX('Paramètres'!$J:$J,MATCH($C18,'Paramètres'!$D:$D,0))="",1,INDEX('Paramètres'!$J:$J,MATCH($C18,'Paramètres'!$D:$D,0)))),2))</f>
        <v>15.63</v>
      </c>
      <c r="L18" s="6" t="str">
        <f>IF($D18="","",IF($F18&lt;&gt;"",$F18,IF(ISNA(MATCH($D18,'Paramètres'!$M:$M,0)),"⚠ Type inconnu",IFERROR(INDEX('Paramètres'!$P:$P,MATCH($D18,'Paramètres'!$M:$M,0))&amp;"",""))))</f>
        <v>Débit</v>
      </c>
      <c r="M18" s="6" t="str">
        <f>IF($D18="","",IF(ISNA(MATCH($D18,'Paramètres'!$M:$M,0)),"⚠ Type inconnu",IF($L18="Crédit","",IFERROR(INDEX('Paramètres'!$O:$O,MATCH($D18,'Paramètres'!$M:$M,0))&amp;"",""))))</f>
        <v>Dépense Courante</v>
      </c>
      <c r="N18" s="6" t="str">
        <f>IF($D18="","",IFERROR(INDEX('Paramètres'!$Q:$Q,MATCH($D18,'Paramètres'!$M:$M,0))&amp;"",""))</f>
        <v>Alimentation</v>
      </c>
      <c r="O18" s="6">
        <f>IF($A18="","",IF(OR($J18&lt;&gt;"x",$A18&lt;=FinReleve),1,0))</f>
        <v>1</v>
      </c>
      <c r="P18" s="6">
        <f>IF($D18="","",IF(AND($L18="Crédit",OR(IFERROR(INDEX('Paramètres'!$O:$O,MATCH($D18,'Paramètres'!$M:$M,0))&amp;"","")&lt;&gt;"",ISNUMBER(SEARCH("remboursement",IFERROR(INDEX('Paramètres'!$N:$N,MATCH($D18,'Paramètres'!$M:$M,0))&amp;"",""))))),1,0))</f>
        <v>0</v>
      </c>
      <c r="Q18" s="6">
        <f>IF($K18="","",IF(ISNUMBER(SEARCH("transfert-interne",IFERROR(INDEX('Paramètres'!$N:$N,MATCH($D18,'Paramètres'!$M:$M,0))&amp;"",""))),0,IF($L18="Débit",$K18,IF($P18=1,-$K18,0))))</f>
        <v>15.63</v>
      </c>
      <c r="R18" s="6">
        <f>IF($K18="","",IF($L18="Crédit",$K18,-$K18))</f>
        <v>-15.63</v>
      </c>
      <c r="S18" s="6" t="str">
        <f>IF($C18="","",IFERROR(INDEX('Paramètres'!$H:$H,MATCH($C18,'Paramètres'!$D:$D,0))&amp;"",""))</f>
        <v>Banque A - Courant</v>
      </c>
      <c r="T18" s="6">
        <f>IF($K18="","",IF($S18="",0,IF(ISNUMBER(SEARCH("apport-exterieur",IFERROR(INDEX('Paramètres'!$N:$N,MATCH($D18,'Paramètres'!$M:$M,0))&amp;"",""))),0,IF(OR(IFERROR(INDEX('Paramètres'!$I:$I,MATCH($C18,'Paramètres'!$D:$D,0))&amp;"","")="Les deux",IFERROR(INDEX('Paramètres'!$I:$I,MATCH($C18,'Paramètres'!$D:$D,0))&amp;"","")=IF($P18=1,"Débit",$L18)),-IF($P18=1,-$K18,$K18),0))))</f>
        <v>0</v>
      </c>
      <c r="U18" s="6">
        <f>IF($K18="","",IF(ISNUMBER(SEARCH("sortie-epargne",IFERROR(INDEX('Paramètres'!$N:$N,MATCH($D18,'Paramètres'!$M:$M,0))&amp;"",""))),$K18,0))</f>
        <v>0</v>
      </c>
      <c r="V18" s="6" t="str">
        <f>IF(AND($A18&lt;&gt;"",$O18=1,$L18="Débit",N($Q18)&gt;0,$A18&gt;=Visualisation!$B$1,$A18&lt;Visualisation!$D$1),MAX($V$1:V17)+1,"")</f>
        <v/>
      </c>
    </row>
    <row r="19" spans="1:22" x14ac:dyDescent="0.25">
      <c r="A19" s="9">
        <v>45547</v>
      </c>
      <c r="B19" s="4" t="s">
        <v>97</v>
      </c>
      <c r="C19" s="4" t="s">
        <v>75</v>
      </c>
      <c r="D19" s="4" t="s">
        <v>97</v>
      </c>
      <c r="E19" s="10">
        <v>47.9</v>
      </c>
      <c r="G19" s="4"/>
      <c r="H19" s="4"/>
      <c r="I19" s="4"/>
      <c r="K19" s="11">
        <f>IF($E19="","",ROUND($E19*IF(ISNA(MATCH($C19,'Paramètres'!$D:$D,0)),1,IF(INDEX('Paramètres'!$J:$J,MATCH($C19,'Paramètres'!$D:$D,0))="",1,INDEX('Paramètres'!$J:$J,MATCH($C19,'Paramètres'!$D:$D,0)))),2))</f>
        <v>47.9</v>
      </c>
      <c r="L19" s="6" t="str">
        <f>IF($D19="","",IF($F19&lt;&gt;"",$F19,IF(ISNA(MATCH($D19,'Paramètres'!$M:$M,0)),"⚠ Type inconnu",IFERROR(INDEX('Paramètres'!$P:$P,MATCH($D19,'Paramètres'!$M:$M,0))&amp;"",""))))</f>
        <v>Débit</v>
      </c>
      <c r="M19" s="6" t="str">
        <f>IF($D19="","",IF(ISNA(MATCH($D19,'Paramètres'!$M:$M,0)),"⚠ Type inconnu",IF($L19="Crédit","",IFERROR(INDEX('Paramètres'!$O:$O,MATCH($D19,'Paramètres'!$M:$M,0))&amp;"",""))))</f>
        <v>Dépense Fixe</v>
      </c>
      <c r="N19" s="6" t="str">
        <f>IF($D19="","",IFERROR(INDEX('Paramètres'!$Q:$Q,MATCH($D19,'Paramètres'!$M:$M,0))&amp;"",""))</f>
        <v>Assurances</v>
      </c>
      <c r="O19" s="6">
        <f>IF($A19="","",IF(OR($J19&lt;&gt;"x",$A19&lt;=FinReleve),1,0))</f>
        <v>1</v>
      </c>
      <c r="P19" s="6">
        <f>IF($D19="","",IF(AND($L19="Crédit",OR(IFERROR(INDEX('Paramètres'!$O:$O,MATCH($D19,'Paramètres'!$M:$M,0))&amp;"","")&lt;&gt;"",ISNUMBER(SEARCH("remboursement",IFERROR(INDEX('Paramètres'!$N:$N,MATCH($D19,'Paramètres'!$M:$M,0))&amp;"",""))))),1,0))</f>
        <v>0</v>
      </c>
      <c r="Q19" s="6">
        <f>IF($K19="","",IF(ISNUMBER(SEARCH("transfert-interne",IFERROR(INDEX('Paramètres'!$N:$N,MATCH($D19,'Paramètres'!$M:$M,0))&amp;"",""))),0,IF($L19="Débit",$K19,IF($P19=1,-$K19,0))))</f>
        <v>47.9</v>
      </c>
      <c r="R19" s="6">
        <f>IF($K19="","",IF($L19="Crédit",$K19,-$K19))</f>
        <v>-47.9</v>
      </c>
      <c r="S19" s="6" t="str">
        <f>IF($C19="","",IFERROR(INDEX('Paramètres'!$H:$H,MATCH($C19,'Paramètres'!$D:$D,0))&amp;"",""))</f>
        <v/>
      </c>
      <c r="T19" s="6">
        <f>IF($K19="","",IF($S19="",0,IF(ISNUMBER(SEARCH("apport-exterieur",IFERROR(INDEX('Paramètres'!$N:$N,MATCH($D19,'Paramètres'!$M:$M,0))&amp;"",""))),0,IF(OR(IFERROR(INDEX('Paramètres'!$I:$I,MATCH($C19,'Paramètres'!$D:$D,0))&amp;"","")="Les deux",IFERROR(INDEX('Paramètres'!$I:$I,MATCH($C19,'Paramètres'!$D:$D,0))&amp;"","")=IF($P19=1,"Débit",$L19)),-IF($P19=1,-$K19,$K19),0))))</f>
        <v>0</v>
      </c>
      <c r="U19" s="6">
        <f>IF($K19="","",IF(ISNUMBER(SEARCH("sortie-epargne",IFERROR(INDEX('Paramètres'!$N:$N,MATCH($D19,'Paramètres'!$M:$M,0))&amp;"",""))),$K19,0))</f>
        <v>0</v>
      </c>
      <c r="V19" s="6" t="str">
        <f>IF(AND($A19&lt;&gt;"",$O19=1,$L19="Débit",N($Q19)&gt;0,$A19&gt;=Visualisation!$B$1,$A19&lt;Visualisation!$D$1),MAX($V$1:V18)+1,"")</f>
        <v/>
      </c>
    </row>
    <row r="20" spans="1:22" x14ac:dyDescent="0.25">
      <c r="A20" s="9">
        <v>45547</v>
      </c>
      <c r="B20" s="4" t="s">
        <v>76</v>
      </c>
      <c r="C20" s="4" t="s">
        <v>67</v>
      </c>
      <c r="D20" s="4" t="s">
        <v>77</v>
      </c>
      <c r="E20" s="10">
        <v>191.52</v>
      </c>
      <c r="G20" s="4" t="s">
        <v>98</v>
      </c>
      <c r="H20" s="4"/>
      <c r="I20" s="4" t="s">
        <v>93</v>
      </c>
      <c r="K20" s="11">
        <f>IF($E20="","",ROUND($E20*IF(ISNA(MATCH($C20,'Paramètres'!$D:$D,0)),1,IF(INDEX('Paramètres'!$J:$J,MATCH($C20,'Paramètres'!$D:$D,0))="",1,INDEX('Paramètres'!$J:$J,MATCH($C20,'Paramètres'!$D:$D,0)))),2))</f>
        <v>95.76</v>
      </c>
      <c r="L20" s="6" t="str">
        <f>IF($D20="","",IF($F20&lt;&gt;"",$F20,IF(ISNA(MATCH($D20,'Paramètres'!$M:$M,0)),"⚠ Type inconnu",IFERROR(INDEX('Paramètres'!$P:$P,MATCH($D20,'Paramètres'!$M:$M,0))&amp;"",""))))</f>
        <v>Débit</v>
      </c>
      <c r="M20" s="6" t="str">
        <f>IF($D20="","",IF(ISNA(MATCH($D20,'Paramètres'!$M:$M,0)),"⚠ Type inconnu",IF($L20="Crédit","",IFERROR(INDEX('Paramètres'!$O:$O,MATCH($D20,'Paramètres'!$M:$M,0))&amp;"",""))))</f>
        <v>Dépense Courante</v>
      </c>
      <c r="N20" s="6" t="str">
        <f>IF($D20="","",IFERROR(INDEX('Paramètres'!$Q:$Q,MATCH($D20,'Paramètres'!$M:$M,0))&amp;"",""))</f>
        <v>Alimentation</v>
      </c>
      <c r="O20" s="6">
        <f>IF($A20="","",IF(OR($J20&lt;&gt;"x",$A20&lt;=FinReleve),1,0))</f>
        <v>1</v>
      </c>
      <c r="P20" s="6">
        <f>IF($D20="","",IF(AND($L20="Crédit",OR(IFERROR(INDEX('Paramètres'!$O:$O,MATCH($D20,'Paramètres'!$M:$M,0))&amp;"","")&lt;&gt;"",ISNUMBER(SEARCH("remboursement",IFERROR(INDEX('Paramètres'!$N:$N,MATCH($D20,'Paramètres'!$M:$M,0))&amp;"",""))))),1,0))</f>
        <v>0</v>
      </c>
      <c r="Q20" s="6">
        <f>IF($K20="","",IF(ISNUMBER(SEARCH("transfert-interne",IFERROR(INDEX('Paramètres'!$N:$N,MATCH($D20,'Paramètres'!$M:$M,0))&amp;"",""))),0,IF($L20="Débit",$K20,IF($P20=1,-$K20,0))))</f>
        <v>95.76</v>
      </c>
      <c r="R20" s="6">
        <f>IF($K20="","",IF($L20="Crédit",$K20,-$K20))</f>
        <v>-95.76</v>
      </c>
      <c r="S20" s="6" t="str">
        <f>IF($C20="","",IFERROR(INDEX('Paramètres'!$H:$H,MATCH($C20,'Paramètres'!$D:$D,0))&amp;"",""))</f>
        <v>Banque A - Courant</v>
      </c>
      <c r="T20" s="6">
        <f>IF($K20="","",IF($S20="",0,IF(ISNUMBER(SEARCH("apport-exterieur",IFERROR(INDEX('Paramètres'!$N:$N,MATCH($D20,'Paramètres'!$M:$M,0))&amp;"",""))),0,IF(OR(IFERROR(INDEX('Paramètres'!$I:$I,MATCH($C20,'Paramètres'!$D:$D,0))&amp;"","")="Les deux",IFERROR(INDEX('Paramètres'!$I:$I,MATCH($C20,'Paramètres'!$D:$D,0))&amp;"","")=IF($P20=1,"Débit",$L20)),-IF($P20=1,-$K20,$K20),0))))</f>
        <v>0</v>
      </c>
      <c r="U20" s="6">
        <f>IF($K20="","",IF(ISNUMBER(SEARCH("sortie-epargne",IFERROR(INDEX('Paramètres'!$N:$N,MATCH($D20,'Paramètres'!$M:$M,0))&amp;"",""))),$K20,0))</f>
        <v>0</v>
      </c>
      <c r="V20" s="6" t="str">
        <f>IF(AND($A20&lt;&gt;"",$O20=1,$L20="Débit",N($Q20)&gt;0,$A20&gt;=Visualisation!$B$1,$A20&lt;Visualisation!$D$1),MAX($V$1:V19)+1,"")</f>
        <v/>
      </c>
    </row>
    <row r="21" spans="1:22" x14ac:dyDescent="0.25">
      <c r="A21" s="9">
        <v>45548</v>
      </c>
      <c r="B21" s="4" t="s">
        <v>69</v>
      </c>
      <c r="C21" s="4" t="s">
        <v>70</v>
      </c>
      <c r="D21" s="4" t="s">
        <v>71</v>
      </c>
      <c r="E21" s="10">
        <v>11.17</v>
      </c>
      <c r="G21" s="4" t="s">
        <v>72</v>
      </c>
      <c r="H21" s="4"/>
      <c r="I21" s="4" t="s">
        <v>63</v>
      </c>
      <c r="K21" s="11">
        <f>IF($E21="","",ROUND($E21*IF(ISNA(MATCH($C21,'Paramètres'!$D:$D,0)),1,IF(INDEX('Paramètres'!$J:$J,MATCH($C21,'Paramètres'!$D:$D,0))="",1,INDEX('Paramètres'!$J:$J,MATCH($C21,'Paramètres'!$D:$D,0)))),2))</f>
        <v>11.17</v>
      </c>
      <c r="L21" s="6" t="str">
        <f>IF($D21="","",IF($F21&lt;&gt;"",$F21,IF(ISNA(MATCH($D21,'Paramètres'!$M:$M,0)),"⚠ Type inconnu",IFERROR(INDEX('Paramètres'!$P:$P,MATCH($D21,'Paramètres'!$M:$M,0))&amp;"",""))))</f>
        <v>Débit</v>
      </c>
      <c r="M21" s="6" t="str">
        <f>IF($D21="","",IF(ISNA(MATCH($D21,'Paramètres'!$M:$M,0)),"⚠ Type inconnu",IF($L21="Crédit","",IFERROR(INDEX('Paramètres'!$O:$O,MATCH($D21,'Paramètres'!$M:$M,0))&amp;"",""))))</f>
        <v>Dépense Courante</v>
      </c>
      <c r="N21" s="6" t="str">
        <f>IF($D21="","",IFERROR(INDEX('Paramètres'!$Q:$Q,MATCH($D21,'Paramètres'!$M:$M,0))&amp;"",""))</f>
        <v>Alimentation</v>
      </c>
      <c r="O21" s="6">
        <f>IF($A21="","",IF(OR($J21&lt;&gt;"x",$A21&lt;=FinReleve),1,0))</f>
        <v>1</v>
      </c>
      <c r="P21" s="6">
        <f>IF($D21="","",IF(AND($L21="Crédit",OR(IFERROR(INDEX('Paramètres'!$O:$O,MATCH($D21,'Paramètres'!$M:$M,0))&amp;"","")&lt;&gt;"",ISNUMBER(SEARCH("remboursement",IFERROR(INDEX('Paramètres'!$N:$N,MATCH($D21,'Paramètres'!$M:$M,0))&amp;"",""))))),1,0))</f>
        <v>0</v>
      </c>
      <c r="Q21" s="6">
        <f>IF($K21="","",IF(ISNUMBER(SEARCH("transfert-interne",IFERROR(INDEX('Paramètres'!$N:$N,MATCH($D21,'Paramètres'!$M:$M,0))&amp;"",""))),0,IF($L21="Débit",$K21,IF($P21=1,-$K21,0))))</f>
        <v>11.17</v>
      </c>
      <c r="R21" s="6">
        <f>IF($K21="","",IF($L21="Crédit",$K21,-$K21))</f>
        <v>-11.17</v>
      </c>
      <c r="S21" s="6" t="str">
        <f>IF($C21="","",IFERROR(INDEX('Paramètres'!$H:$H,MATCH($C21,'Paramètres'!$D:$D,0))&amp;"",""))</f>
        <v/>
      </c>
      <c r="T21" s="6">
        <f>IF($K21="","",IF($S21="",0,IF(ISNUMBER(SEARCH("apport-exterieur",IFERROR(INDEX('Paramètres'!$N:$N,MATCH($D21,'Paramètres'!$M:$M,0))&amp;"",""))),0,IF(OR(IFERROR(INDEX('Paramètres'!$I:$I,MATCH($C21,'Paramètres'!$D:$D,0))&amp;"","")="Les deux",IFERROR(INDEX('Paramètres'!$I:$I,MATCH($C21,'Paramètres'!$D:$D,0))&amp;"","")=IF($P21=1,"Débit",$L21)),-IF($P21=1,-$K21,$K21),0))))</f>
        <v>0</v>
      </c>
      <c r="U21" s="6">
        <f>IF($K21="","",IF(ISNUMBER(SEARCH("sortie-epargne",IFERROR(INDEX('Paramètres'!$N:$N,MATCH($D21,'Paramètres'!$M:$M,0))&amp;"",""))),$K21,0))</f>
        <v>0</v>
      </c>
      <c r="V21" s="6" t="str">
        <f>IF(AND($A21&lt;&gt;"",$O21=1,$L21="Débit",N($Q21)&gt;0,$A21&gt;=Visualisation!$B$1,$A21&lt;Visualisation!$D$1),MAX($V$1:V20)+1,"")</f>
        <v/>
      </c>
    </row>
    <row r="22" spans="1:22" x14ac:dyDescent="0.25">
      <c r="A22" s="9">
        <v>45549</v>
      </c>
      <c r="B22" s="4" t="s">
        <v>69</v>
      </c>
      <c r="C22" s="4" t="s">
        <v>70</v>
      </c>
      <c r="D22" s="4" t="s">
        <v>71</v>
      </c>
      <c r="E22" s="10">
        <v>9.43</v>
      </c>
      <c r="G22" s="4" t="s">
        <v>72</v>
      </c>
      <c r="H22" s="4"/>
      <c r="I22" s="4" t="s">
        <v>79</v>
      </c>
      <c r="K22" s="11">
        <f>IF($E22="","",ROUND($E22*IF(ISNA(MATCH($C22,'Paramètres'!$D:$D,0)),1,IF(INDEX('Paramètres'!$J:$J,MATCH($C22,'Paramètres'!$D:$D,0))="",1,INDEX('Paramètres'!$J:$J,MATCH($C22,'Paramètres'!$D:$D,0)))),2))</f>
        <v>9.43</v>
      </c>
      <c r="L22" s="6" t="str">
        <f>IF($D22="","",IF($F22&lt;&gt;"",$F22,IF(ISNA(MATCH($D22,'Paramètres'!$M:$M,0)),"⚠ Type inconnu",IFERROR(INDEX('Paramètres'!$P:$P,MATCH($D22,'Paramètres'!$M:$M,0))&amp;"",""))))</f>
        <v>Débit</v>
      </c>
      <c r="M22" s="6" t="str">
        <f>IF($D22="","",IF(ISNA(MATCH($D22,'Paramètres'!$M:$M,0)),"⚠ Type inconnu",IF($L22="Crédit","",IFERROR(INDEX('Paramètres'!$O:$O,MATCH($D22,'Paramètres'!$M:$M,0))&amp;"",""))))</f>
        <v>Dépense Courante</v>
      </c>
      <c r="N22" s="6" t="str">
        <f>IF($D22="","",IFERROR(INDEX('Paramètres'!$Q:$Q,MATCH($D22,'Paramètres'!$M:$M,0))&amp;"",""))</f>
        <v>Alimentation</v>
      </c>
      <c r="O22" s="6">
        <f>IF($A22="","",IF(OR($J22&lt;&gt;"x",$A22&lt;=FinReleve),1,0))</f>
        <v>1</v>
      </c>
      <c r="P22" s="6">
        <f>IF($D22="","",IF(AND($L22="Crédit",OR(IFERROR(INDEX('Paramètres'!$O:$O,MATCH($D22,'Paramètres'!$M:$M,0))&amp;"","")&lt;&gt;"",ISNUMBER(SEARCH("remboursement",IFERROR(INDEX('Paramètres'!$N:$N,MATCH($D22,'Paramètres'!$M:$M,0))&amp;"",""))))),1,0))</f>
        <v>0</v>
      </c>
      <c r="Q22" s="6">
        <f>IF($K22="","",IF(ISNUMBER(SEARCH("transfert-interne",IFERROR(INDEX('Paramètres'!$N:$N,MATCH($D22,'Paramètres'!$M:$M,0))&amp;"",""))),0,IF($L22="Débit",$K22,IF($P22=1,-$K22,0))))</f>
        <v>9.43</v>
      </c>
      <c r="R22" s="6">
        <f>IF($K22="","",IF($L22="Crédit",$K22,-$K22))</f>
        <v>-9.43</v>
      </c>
      <c r="S22" s="6" t="str">
        <f>IF($C22="","",IFERROR(INDEX('Paramètres'!$H:$H,MATCH($C22,'Paramètres'!$D:$D,0))&amp;"",""))</f>
        <v/>
      </c>
      <c r="T22" s="6">
        <f>IF($K22="","",IF($S22="",0,IF(ISNUMBER(SEARCH("apport-exterieur",IFERROR(INDEX('Paramètres'!$N:$N,MATCH($D22,'Paramètres'!$M:$M,0))&amp;"",""))),0,IF(OR(IFERROR(INDEX('Paramètres'!$I:$I,MATCH($C22,'Paramètres'!$D:$D,0))&amp;"","")="Les deux",IFERROR(INDEX('Paramètres'!$I:$I,MATCH($C22,'Paramètres'!$D:$D,0))&amp;"","")=IF($P22=1,"Débit",$L22)),-IF($P22=1,-$K22,$K22),0))))</f>
        <v>0</v>
      </c>
      <c r="U22" s="6">
        <f>IF($K22="","",IF(ISNUMBER(SEARCH("sortie-epargne",IFERROR(INDEX('Paramètres'!$N:$N,MATCH($D22,'Paramètres'!$M:$M,0))&amp;"",""))),$K22,0))</f>
        <v>0</v>
      </c>
      <c r="V22" s="6" t="str">
        <f>IF(AND($A22&lt;&gt;"",$O22=1,$L22="Débit",N($Q22)&gt;0,$A22&gt;=Visualisation!$B$1,$A22&lt;Visualisation!$D$1),MAX($V$1:V21)+1,"")</f>
        <v/>
      </c>
    </row>
    <row r="23" spans="1:22" x14ac:dyDescent="0.25">
      <c r="A23" s="9">
        <v>45549</v>
      </c>
      <c r="B23" s="4" t="s">
        <v>59</v>
      </c>
      <c r="C23" s="4" t="s">
        <v>60</v>
      </c>
      <c r="D23" s="4" t="s">
        <v>59</v>
      </c>
      <c r="E23" s="10">
        <v>49.84</v>
      </c>
      <c r="G23" s="4" t="s">
        <v>99</v>
      </c>
      <c r="H23" s="4" t="s">
        <v>62</v>
      </c>
      <c r="I23" s="4" t="s">
        <v>79</v>
      </c>
      <c r="K23" s="11">
        <f>IF($E23="","",ROUND($E23*IF(ISNA(MATCH($C23,'Paramètres'!$D:$D,0)),1,IF(INDEX('Paramètres'!$J:$J,MATCH($C23,'Paramètres'!$D:$D,0))="",1,INDEX('Paramètres'!$J:$J,MATCH($C23,'Paramètres'!$D:$D,0)))),2))</f>
        <v>24.92</v>
      </c>
      <c r="L23" s="6" t="str">
        <f>IF($D23="","",IF($F23&lt;&gt;"",$F23,IF(ISNA(MATCH($D23,'Paramètres'!$M:$M,0)),"⚠ Type inconnu",IFERROR(INDEX('Paramètres'!$P:$P,MATCH($D23,'Paramètres'!$M:$M,0))&amp;"",""))))</f>
        <v>Débit</v>
      </c>
      <c r="M23" s="6" t="str">
        <f>IF($D23="","",IF(ISNA(MATCH($D23,'Paramètres'!$M:$M,0)),"⚠ Type inconnu",IF($L23="Crédit","",IFERROR(INDEX('Paramètres'!$O:$O,MATCH($D23,'Paramètres'!$M:$M,0))&amp;"",""))))</f>
        <v>Dépense Occasionnelle</v>
      </c>
      <c r="N23" s="6" t="str">
        <f>IF($D23="","",IFERROR(INDEX('Paramètres'!$Q:$Q,MATCH($D23,'Paramètres'!$M:$M,0))&amp;"",""))</f>
        <v>Loisir</v>
      </c>
      <c r="O23" s="6">
        <f>IF($A23="","",IF(OR($J23&lt;&gt;"x",$A23&lt;=FinReleve),1,0))</f>
        <v>1</v>
      </c>
      <c r="P23" s="6">
        <f>IF($D23="","",IF(AND($L23="Crédit",OR(IFERROR(INDEX('Paramètres'!$O:$O,MATCH($D23,'Paramètres'!$M:$M,0))&amp;"","")&lt;&gt;"",ISNUMBER(SEARCH("remboursement",IFERROR(INDEX('Paramètres'!$N:$N,MATCH($D23,'Paramètres'!$M:$M,0))&amp;"",""))))),1,0))</f>
        <v>0</v>
      </c>
      <c r="Q23" s="6">
        <f>IF($K23="","",IF(ISNUMBER(SEARCH("transfert-interne",IFERROR(INDEX('Paramètres'!$N:$N,MATCH($D23,'Paramètres'!$M:$M,0))&amp;"",""))),0,IF($L23="Débit",$K23,IF($P23=1,-$K23,0))))</f>
        <v>24.92</v>
      </c>
      <c r="R23" s="6">
        <f>IF($K23="","",IF($L23="Crédit",$K23,-$K23))</f>
        <v>-24.92</v>
      </c>
      <c r="S23" s="6" t="str">
        <f>IF($C23="","",IFERROR(INDEX('Paramètres'!$H:$H,MATCH($C23,'Paramètres'!$D:$D,0))&amp;"",""))</f>
        <v>Banque A - Courant</v>
      </c>
      <c r="T23" s="6">
        <f>IF($K23="","",IF($S23="",0,IF(ISNUMBER(SEARCH("apport-exterieur",IFERROR(INDEX('Paramètres'!$N:$N,MATCH($D23,'Paramètres'!$M:$M,0))&amp;"",""))),0,IF(OR(IFERROR(INDEX('Paramètres'!$I:$I,MATCH($C23,'Paramètres'!$D:$D,0))&amp;"","")="Les deux",IFERROR(INDEX('Paramètres'!$I:$I,MATCH($C23,'Paramètres'!$D:$D,0))&amp;"","")=IF($P23=1,"Débit",$L23)),-IF($P23=1,-$K23,$K23),0))))</f>
        <v>-24.92</v>
      </c>
      <c r="U23" s="6">
        <f>IF($K23="","",IF(ISNUMBER(SEARCH("sortie-epargne",IFERROR(INDEX('Paramètres'!$N:$N,MATCH($D23,'Paramètres'!$M:$M,0))&amp;"",""))),$K23,0))</f>
        <v>0</v>
      </c>
      <c r="V23" s="6" t="str">
        <f>IF(AND($A23&lt;&gt;"",$O23=1,$L23="Débit",N($Q23)&gt;0,$A23&gt;=Visualisation!$B$1,$A23&lt;Visualisation!$D$1),MAX($V$1:V22)+1,"")</f>
        <v/>
      </c>
    </row>
    <row r="24" spans="1:22" x14ac:dyDescent="0.25">
      <c r="A24" s="9">
        <v>45550</v>
      </c>
      <c r="B24" s="4" t="s">
        <v>100</v>
      </c>
      <c r="C24" s="4" t="s">
        <v>65</v>
      </c>
      <c r="D24" s="4" t="s">
        <v>100</v>
      </c>
      <c r="E24" s="10">
        <v>86.34</v>
      </c>
      <c r="G24" s="4"/>
      <c r="H24" s="4"/>
      <c r="I24" s="4"/>
      <c r="K24" s="11">
        <f>IF($E24="","",ROUND($E24*IF(ISNA(MATCH($C24,'Paramètres'!$D:$D,0)),1,IF(INDEX('Paramètres'!$J:$J,MATCH($C24,'Paramètres'!$D:$D,0))="",1,INDEX('Paramètres'!$J:$J,MATCH($C24,'Paramètres'!$D:$D,0)))),2))</f>
        <v>86.34</v>
      </c>
      <c r="L24" s="6" t="str">
        <f>IF($D24="","",IF($F24&lt;&gt;"",$F24,IF(ISNA(MATCH($D24,'Paramètres'!$M:$M,0)),"⚠ Type inconnu",IFERROR(INDEX('Paramètres'!$P:$P,MATCH($D24,'Paramètres'!$M:$M,0))&amp;"",""))))</f>
        <v>Débit</v>
      </c>
      <c r="M24" s="6" t="str">
        <f>IF($D24="","",IF(ISNA(MATCH($D24,'Paramètres'!$M:$M,0)),"⚠ Type inconnu",IF($L24="Crédit","",IFERROR(INDEX('Paramètres'!$O:$O,MATCH($D24,'Paramètres'!$M:$M,0))&amp;"",""))))</f>
        <v>Dépense Fixe</v>
      </c>
      <c r="N24" s="6" t="str">
        <f>IF($D24="","",IFERROR(INDEX('Paramètres'!$Q:$Q,MATCH($D24,'Paramètres'!$M:$M,0))&amp;"",""))</f>
        <v>Immobilier</v>
      </c>
      <c r="O24" s="6">
        <f>IF($A24="","",IF(OR($J24&lt;&gt;"x",$A24&lt;=FinReleve),1,0))</f>
        <v>1</v>
      </c>
      <c r="P24" s="6">
        <f>IF($D24="","",IF(AND($L24="Crédit",OR(IFERROR(INDEX('Paramètres'!$O:$O,MATCH($D24,'Paramètres'!$M:$M,0))&amp;"","")&lt;&gt;"",ISNUMBER(SEARCH("remboursement",IFERROR(INDEX('Paramètres'!$N:$N,MATCH($D24,'Paramètres'!$M:$M,0))&amp;"",""))))),1,0))</f>
        <v>0</v>
      </c>
      <c r="Q24" s="6">
        <f>IF($K24="","",IF(ISNUMBER(SEARCH("transfert-interne",IFERROR(INDEX('Paramètres'!$N:$N,MATCH($D24,'Paramètres'!$M:$M,0))&amp;"",""))),0,IF($L24="Débit",$K24,IF($P24=1,-$K24,0))))</f>
        <v>86.34</v>
      </c>
      <c r="R24" s="6">
        <f>IF($K24="","",IF($L24="Crédit",$K24,-$K24))</f>
        <v>-86.34</v>
      </c>
      <c r="S24" s="6" t="str">
        <f>IF($C24="","",IFERROR(INDEX('Paramètres'!$H:$H,MATCH($C24,'Paramètres'!$D:$D,0))&amp;"",""))</f>
        <v>Banque A - Courant</v>
      </c>
      <c r="T24" s="6">
        <f>IF($K24="","",IF($S24="",0,IF(ISNUMBER(SEARCH("apport-exterieur",IFERROR(INDEX('Paramètres'!$N:$N,MATCH($D24,'Paramètres'!$M:$M,0))&amp;"",""))),0,IF(OR(IFERROR(INDEX('Paramètres'!$I:$I,MATCH($C24,'Paramètres'!$D:$D,0))&amp;"","")="Les deux",IFERROR(INDEX('Paramètres'!$I:$I,MATCH($C24,'Paramètres'!$D:$D,0))&amp;"","")=IF($P24=1,"Débit",$L24)),-IF($P24=1,-$K24,$K24),0))))</f>
        <v>0</v>
      </c>
      <c r="U24" s="6">
        <f>IF($K24="","",IF(ISNUMBER(SEARCH("sortie-epargne",IFERROR(INDEX('Paramètres'!$N:$N,MATCH($D24,'Paramètres'!$M:$M,0))&amp;"",""))),$K24,0))</f>
        <v>0</v>
      </c>
      <c r="V24" s="6" t="str">
        <f>IF(AND($A24&lt;&gt;"",$O24=1,$L24="Débit",N($Q24)&gt;0,$A24&gt;=Visualisation!$B$1,$A24&lt;Visualisation!$D$1),MAX($V$1:V23)+1,"")</f>
        <v/>
      </c>
    </row>
    <row r="25" spans="1:22" x14ac:dyDescent="0.25">
      <c r="A25" s="9">
        <v>45550</v>
      </c>
      <c r="B25" s="4" t="s">
        <v>49</v>
      </c>
      <c r="C25" s="4" t="s">
        <v>67</v>
      </c>
      <c r="D25" s="4" t="s">
        <v>101</v>
      </c>
      <c r="E25" s="10">
        <v>386.04</v>
      </c>
      <c r="G25" s="4"/>
      <c r="H25" s="4"/>
      <c r="I25" s="4"/>
      <c r="K25" s="11">
        <f>IF($E25="","",ROUND($E25*IF(ISNA(MATCH($C25,'Paramètres'!$D:$D,0)),1,IF(INDEX('Paramètres'!$J:$J,MATCH($C25,'Paramètres'!$D:$D,0))="",1,INDEX('Paramètres'!$J:$J,MATCH($C25,'Paramètres'!$D:$D,0)))),2))</f>
        <v>193.02</v>
      </c>
      <c r="L25" s="6" t="str">
        <f>IF($D25="","",IF($F25&lt;&gt;"",$F25,IF(ISNA(MATCH($D25,'Paramètres'!$M:$M,0)),"⚠ Type inconnu",IFERROR(INDEX('Paramètres'!$P:$P,MATCH($D25,'Paramètres'!$M:$M,0))&amp;"",""))))</f>
        <v>Crédit</v>
      </c>
      <c r="M25" s="6" t="str">
        <f>IF($D25="","",IF(ISNA(MATCH($D25,'Paramètres'!$M:$M,0)),"⚠ Type inconnu",IF($L25="Crédit","",IFERROR(INDEX('Paramètres'!$O:$O,MATCH($D25,'Paramètres'!$M:$M,0))&amp;"",""))))</f>
        <v/>
      </c>
      <c r="N25" s="6" t="str">
        <f>IF($D25="","",IFERROR(INDEX('Paramètres'!$Q:$Q,MATCH($D25,'Paramètres'!$M:$M,0))&amp;"",""))</f>
        <v>Comptes Bancaires</v>
      </c>
      <c r="O25" s="6">
        <f>IF($A25="","",IF(OR($J25&lt;&gt;"x",$A25&lt;=FinReleve),1,0))</f>
        <v>1</v>
      </c>
      <c r="P25" s="6">
        <f>IF($D25="","",IF(AND($L25="Crédit",OR(IFERROR(INDEX('Paramètres'!$O:$O,MATCH($D25,'Paramètres'!$M:$M,0))&amp;"","")&lt;&gt;"",ISNUMBER(SEARCH("remboursement",IFERROR(INDEX('Paramètres'!$N:$N,MATCH($D25,'Paramètres'!$M:$M,0))&amp;"",""))))),1,0))</f>
        <v>0</v>
      </c>
      <c r="Q25" s="6">
        <f>IF($K25="","",IF(ISNUMBER(SEARCH("transfert-interne",IFERROR(INDEX('Paramètres'!$N:$N,MATCH($D25,'Paramètres'!$M:$M,0))&amp;"",""))),0,IF($L25="Débit",$K25,IF($P25=1,-$K25,0))))</f>
        <v>0</v>
      </c>
      <c r="R25" s="6">
        <f>IF($K25="","",IF($L25="Crédit",$K25,-$K25))</f>
        <v>193.02</v>
      </c>
      <c r="S25" s="6" t="str">
        <f>IF($C25="","",IFERROR(INDEX('Paramètres'!$H:$H,MATCH($C25,'Paramètres'!$D:$D,0))&amp;"",""))</f>
        <v>Banque A - Courant</v>
      </c>
      <c r="T25" s="6">
        <f>IF($K25="","",IF($S25="",0,IF(ISNUMBER(SEARCH("apport-exterieur",IFERROR(INDEX('Paramètres'!$N:$N,MATCH($D25,'Paramètres'!$M:$M,0))&amp;"",""))),0,IF(OR(IFERROR(INDEX('Paramètres'!$I:$I,MATCH($C25,'Paramètres'!$D:$D,0))&amp;"","")="Les deux",IFERROR(INDEX('Paramètres'!$I:$I,MATCH($C25,'Paramètres'!$D:$D,0))&amp;"","")=IF($P25=1,"Débit",$L25)),-IF($P25=1,-$K25,$K25),0))))</f>
        <v>0</v>
      </c>
      <c r="U25" s="6">
        <f>IF($K25="","",IF(ISNUMBER(SEARCH("sortie-epargne",IFERROR(INDEX('Paramètres'!$N:$N,MATCH($D25,'Paramètres'!$M:$M,0))&amp;"",""))),$K25,0))</f>
        <v>0</v>
      </c>
      <c r="V25" s="6" t="str">
        <f>IF(AND($A25&lt;&gt;"",$O25=1,$L25="Débit",N($Q25)&gt;0,$A25&gt;=Visualisation!$B$1,$A25&lt;Visualisation!$D$1),MAX($V$1:V24)+1,"")</f>
        <v/>
      </c>
    </row>
    <row r="26" spans="1:22" x14ac:dyDescent="0.25">
      <c r="A26" s="9">
        <v>45551</v>
      </c>
      <c r="B26" s="4" t="s">
        <v>76</v>
      </c>
      <c r="C26" s="4" t="s">
        <v>67</v>
      </c>
      <c r="D26" s="4" t="s">
        <v>77</v>
      </c>
      <c r="E26" s="10">
        <v>100.4</v>
      </c>
      <c r="G26" s="4" t="s">
        <v>102</v>
      </c>
      <c r="H26" s="4"/>
      <c r="I26" s="4" t="s">
        <v>79</v>
      </c>
      <c r="K26" s="11">
        <f>IF($E26="","",ROUND($E26*IF(ISNA(MATCH($C26,'Paramètres'!$D:$D,0)),1,IF(INDEX('Paramètres'!$J:$J,MATCH($C26,'Paramètres'!$D:$D,0))="",1,INDEX('Paramètres'!$J:$J,MATCH($C26,'Paramètres'!$D:$D,0)))),2))</f>
        <v>50.2</v>
      </c>
      <c r="L26" s="6" t="str">
        <f>IF($D26="","",IF($F26&lt;&gt;"",$F26,IF(ISNA(MATCH($D26,'Paramètres'!$M:$M,0)),"⚠ Type inconnu",IFERROR(INDEX('Paramètres'!$P:$P,MATCH($D26,'Paramètres'!$M:$M,0))&amp;"",""))))</f>
        <v>Débit</v>
      </c>
      <c r="M26" s="6" t="str">
        <f>IF($D26="","",IF(ISNA(MATCH($D26,'Paramètres'!$M:$M,0)),"⚠ Type inconnu",IF($L26="Crédit","",IFERROR(INDEX('Paramètres'!$O:$O,MATCH($D26,'Paramètres'!$M:$M,0))&amp;"",""))))</f>
        <v>Dépense Courante</v>
      </c>
      <c r="N26" s="6" t="str">
        <f>IF($D26="","",IFERROR(INDEX('Paramètres'!$Q:$Q,MATCH($D26,'Paramètres'!$M:$M,0))&amp;"",""))</f>
        <v>Alimentation</v>
      </c>
      <c r="O26" s="6">
        <f>IF($A26="","",IF(OR($J26&lt;&gt;"x",$A26&lt;=FinReleve),1,0))</f>
        <v>1</v>
      </c>
      <c r="P26" s="6">
        <f>IF($D26="","",IF(AND($L26="Crédit",OR(IFERROR(INDEX('Paramètres'!$O:$O,MATCH($D26,'Paramètres'!$M:$M,0))&amp;"","")&lt;&gt;"",ISNUMBER(SEARCH("remboursement",IFERROR(INDEX('Paramètres'!$N:$N,MATCH($D26,'Paramètres'!$M:$M,0))&amp;"",""))))),1,0))</f>
        <v>0</v>
      </c>
      <c r="Q26" s="6">
        <f>IF($K26="","",IF(ISNUMBER(SEARCH("transfert-interne",IFERROR(INDEX('Paramètres'!$N:$N,MATCH($D26,'Paramètres'!$M:$M,0))&amp;"",""))),0,IF($L26="Débit",$K26,IF($P26=1,-$K26,0))))</f>
        <v>50.2</v>
      </c>
      <c r="R26" s="6">
        <f>IF($K26="","",IF($L26="Crédit",$K26,-$K26))</f>
        <v>-50.2</v>
      </c>
      <c r="S26" s="6" t="str">
        <f>IF($C26="","",IFERROR(INDEX('Paramètres'!$H:$H,MATCH($C26,'Paramètres'!$D:$D,0))&amp;"",""))</f>
        <v>Banque A - Courant</v>
      </c>
      <c r="T26" s="6">
        <f>IF($K26="","",IF($S26="",0,IF(ISNUMBER(SEARCH("apport-exterieur",IFERROR(INDEX('Paramètres'!$N:$N,MATCH($D26,'Paramètres'!$M:$M,0))&amp;"",""))),0,IF(OR(IFERROR(INDEX('Paramètres'!$I:$I,MATCH($C26,'Paramètres'!$D:$D,0))&amp;"","")="Les deux",IFERROR(INDEX('Paramètres'!$I:$I,MATCH($C26,'Paramètres'!$D:$D,0))&amp;"","")=IF($P26=1,"Débit",$L26)),-IF($P26=1,-$K26,$K26),0))))</f>
        <v>0</v>
      </c>
      <c r="U26" s="6">
        <f>IF($K26="","",IF(ISNUMBER(SEARCH("sortie-epargne",IFERROR(INDEX('Paramètres'!$N:$N,MATCH($D26,'Paramètres'!$M:$M,0))&amp;"",""))),$K26,0))</f>
        <v>0</v>
      </c>
      <c r="V26" s="6" t="str">
        <f>IF(AND($A26&lt;&gt;"",$O26=1,$L26="Débit",N($Q26)&gt;0,$A26&gt;=Visualisation!$B$1,$A26&lt;Visualisation!$D$1),MAX($V$1:V25)+1,"")</f>
        <v/>
      </c>
    </row>
    <row r="27" spans="1:22" x14ac:dyDescent="0.25">
      <c r="A27" s="9">
        <v>45552</v>
      </c>
      <c r="B27" s="4" t="s">
        <v>69</v>
      </c>
      <c r="C27" s="4" t="s">
        <v>70</v>
      </c>
      <c r="D27" s="4" t="s">
        <v>71</v>
      </c>
      <c r="E27" s="10">
        <v>7.96</v>
      </c>
      <c r="G27" s="4" t="s">
        <v>72</v>
      </c>
      <c r="H27" s="4"/>
      <c r="I27" s="4" t="s">
        <v>79</v>
      </c>
      <c r="K27" s="11">
        <f>IF($E27="","",ROUND($E27*IF(ISNA(MATCH($C27,'Paramètres'!$D:$D,0)),1,IF(INDEX('Paramètres'!$J:$J,MATCH($C27,'Paramètres'!$D:$D,0))="",1,INDEX('Paramètres'!$J:$J,MATCH($C27,'Paramètres'!$D:$D,0)))),2))</f>
        <v>7.96</v>
      </c>
      <c r="L27" s="6" t="str">
        <f>IF($D27="","",IF($F27&lt;&gt;"",$F27,IF(ISNA(MATCH($D27,'Paramètres'!$M:$M,0)),"⚠ Type inconnu",IFERROR(INDEX('Paramètres'!$P:$P,MATCH($D27,'Paramètres'!$M:$M,0))&amp;"",""))))</f>
        <v>Débit</v>
      </c>
      <c r="M27" s="6" t="str">
        <f>IF($D27="","",IF(ISNA(MATCH($D27,'Paramètres'!$M:$M,0)),"⚠ Type inconnu",IF($L27="Crédit","",IFERROR(INDEX('Paramètres'!$O:$O,MATCH($D27,'Paramètres'!$M:$M,0))&amp;"",""))))</f>
        <v>Dépense Courante</v>
      </c>
      <c r="N27" s="6" t="str">
        <f>IF($D27="","",IFERROR(INDEX('Paramètres'!$Q:$Q,MATCH($D27,'Paramètres'!$M:$M,0))&amp;"",""))</f>
        <v>Alimentation</v>
      </c>
      <c r="O27" s="6">
        <f>IF($A27="","",IF(OR($J27&lt;&gt;"x",$A27&lt;=FinReleve),1,0))</f>
        <v>1</v>
      </c>
      <c r="P27" s="6">
        <f>IF($D27="","",IF(AND($L27="Crédit",OR(IFERROR(INDEX('Paramètres'!$O:$O,MATCH($D27,'Paramètres'!$M:$M,0))&amp;"","")&lt;&gt;"",ISNUMBER(SEARCH("remboursement",IFERROR(INDEX('Paramètres'!$N:$N,MATCH($D27,'Paramètres'!$M:$M,0))&amp;"",""))))),1,0))</f>
        <v>0</v>
      </c>
      <c r="Q27" s="6">
        <f>IF($K27="","",IF(ISNUMBER(SEARCH("transfert-interne",IFERROR(INDEX('Paramètres'!$N:$N,MATCH($D27,'Paramètres'!$M:$M,0))&amp;"",""))),0,IF($L27="Débit",$K27,IF($P27=1,-$K27,0))))</f>
        <v>7.96</v>
      </c>
      <c r="R27" s="6">
        <f>IF($K27="","",IF($L27="Crédit",$K27,-$K27))</f>
        <v>-7.96</v>
      </c>
      <c r="S27" s="6" t="str">
        <f>IF($C27="","",IFERROR(INDEX('Paramètres'!$H:$H,MATCH($C27,'Paramètres'!$D:$D,0))&amp;"",""))</f>
        <v/>
      </c>
      <c r="T27" s="6">
        <f>IF($K27="","",IF($S27="",0,IF(ISNUMBER(SEARCH("apport-exterieur",IFERROR(INDEX('Paramètres'!$N:$N,MATCH($D27,'Paramètres'!$M:$M,0))&amp;"",""))),0,IF(OR(IFERROR(INDEX('Paramètres'!$I:$I,MATCH($C27,'Paramètres'!$D:$D,0))&amp;"","")="Les deux",IFERROR(INDEX('Paramètres'!$I:$I,MATCH($C27,'Paramètres'!$D:$D,0))&amp;"","")=IF($P27=1,"Débit",$L27)),-IF($P27=1,-$K27,$K27),0))))</f>
        <v>0</v>
      </c>
      <c r="U27" s="6">
        <f>IF($K27="","",IF(ISNUMBER(SEARCH("sortie-epargne",IFERROR(INDEX('Paramètres'!$N:$N,MATCH($D27,'Paramètres'!$M:$M,0))&amp;"",""))),$K27,0))</f>
        <v>0</v>
      </c>
      <c r="V27" s="6" t="str">
        <f>IF(AND($A27&lt;&gt;"",$O27=1,$L27="Débit",N($Q27)&gt;0,$A27&gt;=Visualisation!$B$1,$A27&lt;Visualisation!$D$1),MAX($V$1:V26)+1,"")</f>
        <v/>
      </c>
    </row>
    <row r="28" spans="1:22" x14ac:dyDescent="0.25">
      <c r="A28" s="9">
        <v>45553</v>
      </c>
      <c r="B28" s="4" t="s">
        <v>103</v>
      </c>
      <c r="C28" s="4" t="s">
        <v>75</v>
      </c>
      <c r="D28" s="4" t="s">
        <v>103</v>
      </c>
      <c r="E28" s="10">
        <v>212</v>
      </c>
      <c r="G28" s="4"/>
      <c r="H28" s="4"/>
      <c r="I28" s="4"/>
      <c r="K28" s="11">
        <f>IF($E28="","",ROUND($E28*IF(ISNA(MATCH($C28,'Paramètres'!$D:$D,0)),1,IF(INDEX('Paramètres'!$J:$J,MATCH($C28,'Paramètres'!$D:$D,0))="",1,INDEX('Paramètres'!$J:$J,MATCH($C28,'Paramètres'!$D:$D,0)))),2))</f>
        <v>212</v>
      </c>
      <c r="L28" s="6" t="str">
        <f>IF($D28="","",IF($F28&lt;&gt;"",$F28,IF(ISNA(MATCH($D28,'Paramètres'!$M:$M,0)),"⚠ Type inconnu",IFERROR(INDEX('Paramètres'!$P:$P,MATCH($D28,'Paramètres'!$M:$M,0))&amp;"",""))))</f>
        <v>Débit</v>
      </c>
      <c r="M28" s="6" t="str">
        <f>IF($D28="","",IF(ISNA(MATCH($D28,'Paramètres'!$M:$M,0)),"⚠ Type inconnu",IF($L28="Crédit","",IFERROR(INDEX('Paramètres'!$O:$O,MATCH($D28,'Paramètres'!$M:$M,0))&amp;"",""))))</f>
        <v>Dépense Fixe</v>
      </c>
      <c r="N28" s="6" t="str">
        <f>IF($D28="","",IFERROR(INDEX('Paramètres'!$Q:$Q,MATCH($D28,'Paramètres'!$M:$M,0))&amp;"",""))</f>
        <v>Impots</v>
      </c>
      <c r="O28" s="6">
        <f>IF($A28="","",IF(OR($J28&lt;&gt;"x",$A28&lt;=FinReleve),1,0))</f>
        <v>1</v>
      </c>
      <c r="P28" s="6">
        <f>IF($D28="","",IF(AND($L28="Crédit",OR(IFERROR(INDEX('Paramètres'!$O:$O,MATCH($D28,'Paramètres'!$M:$M,0))&amp;"","")&lt;&gt;"",ISNUMBER(SEARCH("remboursement",IFERROR(INDEX('Paramètres'!$N:$N,MATCH($D28,'Paramètres'!$M:$M,0))&amp;"",""))))),1,0))</f>
        <v>0</v>
      </c>
      <c r="Q28" s="6">
        <f>IF($K28="","",IF(ISNUMBER(SEARCH("transfert-interne",IFERROR(INDEX('Paramètres'!$N:$N,MATCH($D28,'Paramètres'!$M:$M,0))&amp;"",""))),0,IF($L28="Débit",$K28,IF($P28=1,-$K28,0))))</f>
        <v>212</v>
      </c>
      <c r="R28" s="6">
        <f>IF($K28="","",IF($L28="Crédit",$K28,-$K28))</f>
        <v>-212</v>
      </c>
      <c r="S28" s="6" t="str">
        <f>IF($C28="","",IFERROR(INDEX('Paramètres'!$H:$H,MATCH($C28,'Paramètres'!$D:$D,0))&amp;"",""))</f>
        <v/>
      </c>
      <c r="T28" s="6">
        <f>IF($K28="","",IF($S28="",0,IF(ISNUMBER(SEARCH("apport-exterieur",IFERROR(INDEX('Paramètres'!$N:$N,MATCH($D28,'Paramètres'!$M:$M,0))&amp;"",""))),0,IF(OR(IFERROR(INDEX('Paramètres'!$I:$I,MATCH($C28,'Paramètres'!$D:$D,0))&amp;"","")="Les deux",IFERROR(INDEX('Paramètres'!$I:$I,MATCH($C28,'Paramètres'!$D:$D,0))&amp;"","")=IF($P28=1,"Débit",$L28)),-IF($P28=1,-$K28,$K28),0))))</f>
        <v>0</v>
      </c>
      <c r="U28" s="6">
        <f>IF($K28="","",IF(ISNUMBER(SEARCH("sortie-epargne",IFERROR(INDEX('Paramètres'!$N:$N,MATCH($D28,'Paramètres'!$M:$M,0))&amp;"",""))),$K28,0))</f>
        <v>0</v>
      </c>
      <c r="V28" s="6" t="str">
        <f>IF(AND($A28&lt;&gt;"",$O28=1,$L28="Débit",N($Q28)&gt;0,$A28&gt;=Visualisation!$B$1,$A28&lt;Visualisation!$D$1),MAX($V$1:V27)+1,"")</f>
        <v/>
      </c>
    </row>
    <row r="29" spans="1:22" x14ac:dyDescent="0.25">
      <c r="A29" s="9">
        <v>45554</v>
      </c>
      <c r="B29" s="4" t="s">
        <v>76</v>
      </c>
      <c r="C29" s="4" t="s">
        <v>67</v>
      </c>
      <c r="D29" s="4" t="s">
        <v>77</v>
      </c>
      <c r="E29" s="10">
        <v>120.22</v>
      </c>
      <c r="G29" s="4" t="s">
        <v>78</v>
      </c>
      <c r="H29" s="4"/>
      <c r="I29" s="4" t="s">
        <v>73</v>
      </c>
      <c r="K29" s="11">
        <f>IF($E29="","",ROUND($E29*IF(ISNA(MATCH($C29,'Paramètres'!$D:$D,0)),1,IF(INDEX('Paramètres'!$J:$J,MATCH($C29,'Paramètres'!$D:$D,0))="",1,INDEX('Paramètres'!$J:$J,MATCH($C29,'Paramètres'!$D:$D,0)))),2))</f>
        <v>60.11</v>
      </c>
      <c r="L29" s="6" t="str">
        <f>IF($D29="","",IF($F29&lt;&gt;"",$F29,IF(ISNA(MATCH($D29,'Paramètres'!$M:$M,0)),"⚠ Type inconnu",IFERROR(INDEX('Paramètres'!$P:$P,MATCH($D29,'Paramètres'!$M:$M,0))&amp;"",""))))</f>
        <v>Débit</v>
      </c>
      <c r="M29" s="6" t="str">
        <f>IF($D29="","",IF(ISNA(MATCH($D29,'Paramètres'!$M:$M,0)),"⚠ Type inconnu",IF($L29="Crédit","",IFERROR(INDEX('Paramètres'!$O:$O,MATCH($D29,'Paramètres'!$M:$M,0))&amp;"",""))))</f>
        <v>Dépense Courante</v>
      </c>
      <c r="N29" s="6" t="str">
        <f>IF($D29="","",IFERROR(INDEX('Paramètres'!$Q:$Q,MATCH($D29,'Paramètres'!$M:$M,0))&amp;"",""))</f>
        <v>Alimentation</v>
      </c>
      <c r="O29" s="6">
        <f>IF($A29="","",IF(OR($J29&lt;&gt;"x",$A29&lt;=FinReleve),1,0))</f>
        <v>1</v>
      </c>
      <c r="P29" s="6">
        <f>IF($D29="","",IF(AND($L29="Crédit",OR(IFERROR(INDEX('Paramètres'!$O:$O,MATCH($D29,'Paramètres'!$M:$M,0))&amp;"","")&lt;&gt;"",ISNUMBER(SEARCH("remboursement",IFERROR(INDEX('Paramètres'!$N:$N,MATCH($D29,'Paramètres'!$M:$M,0))&amp;"",""))))),1,0))</f>
        <v>0</v>
      </c>
      <c r="Q29" s="6">
        <f>IF($K29="","",IF(ISNUMBER(SEARCH("transfert-interne",IFERROR(INDEX('Paramètres'!$N:$N,MATCH($D29,'Paramètres'!$M:$M,0))&amp;"",""))),0,IF($L29="Débit",$K29,IF($P29=1,-$K29,0))))</f>
        <v>60.11</v>
      </c>
      <c r="R29" s="6">
        <f>IF($K29="","",IF($L29="Crédit",$K29,-$K29))</f>
        <v>-60.11</v>
      </c>
      <c r="S29" s="6" t="str">
        <f>IF($C29="","",IFERROR(INDEX('Paramètres'!$H:$H,MATCH($C29,'Paramètres'!$D:$D,0))&amp;"",""))</f>
        <v>Banque A - Courant</v>
      </c>
      <c r="T29" s="6">
        <f>IF($K29="","",IF($S29="",0,IF(ISNUMBER(SEARCH("apport-exterieur",IFERROR(INDEX('Paramètres'!$N:$N,MATCH($D29,'Paramètres'!$M:$M,0))&amp;"",""))),0,IF(OR(IFERROR(INDEX('Paramètres'!$I:$I,MATCH($C29,'Paramètres'!$D:$D,0))&amp;"","")="Les deux",IFERROR(INDEX('Paramètres'!$I:$I,MATCH($C29,'Paramètres'!$D:$D,0))&amp;"","")=IF($P29=1,"Débit",$L29)),-IF($P29=1,-$K29,$K29),0))))</f>
        <v>0</v>
      </c>
      <c r="U29" s="6">
        <f>IF($K29="","",IF(ISNUMBER(SEARCH("sortie-epargne",IFERROR(INDEX('Paramètres'!$N:$N,MATCH($D29,'Paramètres'!$M:$M,0))&amp;"",""))),$K29,0))</f>
        <v>0</v>
      </c>
      <c r="V29" s="6" t="str">
        <f>IF(AND($A29&lt;&gt;"",$O29=1,$L29="Débit",N($Q29)&gt;0,$A29&gt;=Visualisation!$B$1,$A29&lt;Visualisation!$D$1),MAX($V$1:V28)+1,"")</f>
        <v/>
      </c>
    </row>
    <row r="30" spans="1:22" x14ac:dyDescent="0.25">
      <c r="A30" s="9">
        <v>45555</v>
      </c>
      <c r="B30" s="4" t="s">
        <v>69</v>
      </c>
      <c r="C30" s="4" t="s">
        <v>70</v>
      </c>
      <c r="D30" s="4" t="s">
        <v>71</v>
      </c>
      <c r="E30" s="10">
        <v>12.3</v>
      </c>
      <c r="G30" s="4" t="s">
        <v>72</v>
      </c>
      <c r="H30" s="4"/>
      <c r="I30" s="4" t="s">
        <v>73</v>
      </c>
      <c r="K30" s="11">
        <f>IF($E30="","",ROUND($E30*IF(ISNA(MATCH($C30,'Paramètres'!$D:$D,0)),1,IF(INDEX('Paramètres'!$J:$J,MATCH($C30,'Paramètres'!$D:$D,0))="",1,INDEX('Paramètres'!$J:$J,MATCH($C30,'Paramètres'!$D:$D,0)))),2))</f>
        <v>12.3</v>
      </c>
      <c r="L30" s="6" t="str">
        <f>IF($D30="","",IF($F30&lt;&gt;"",$F30,IF(ISNA(MATCH($D30,'Paramètres'!$M:$M,0)),"⚠ Type inconnu",IFERROR(INDEX('Paramètres'!$P:$P,MATCH($D30,'Paramètres'!$M:$M,0))&amp;"",""))))</f>
        <v>Débit</v>
      </c>
      <c r="M30" s="6" t="str">
        <f>IF($D30="","",IF(ISNA(MATCH($D30,'Paramètres'!$M:$M,0)),"⚠ Type inconnu",IF($L30="Crédit","",IFERROR(INDEX('Paramètres'!$O:$O,MATCH($D30,'Paramètres'!$M:$M,0))&amp;"",""))))</f>
        <v>Dépense Courante</v>
      </c>
      <c r="N30" s="6" t="str">
        <f>IF($D30="","",IFERROR(INDEX('Paramètres'!$Q:$Q,MATCH($D30,'Paramètres'!$M:$M,0))&amp;"",""))</f>
        <v>Alimentation</v>
      </c>
      <c r="O30" s="6">
        <f>IF($A30="","",IF(OR($J30&lt;&gt;"x",$A30&lt;=FinReleve),1,0))</f>
        <v>1</v>
      </c>
      <c r="P30" s="6">
        <f>IF($D30="","",IF(AND($L30="Crédit",OR(IFERROR(INDEX('Paramètres'!$O:$O,MATCH($D30,'Paramètres'!$M:$M,0))&amp;"","")&lt;&gt;"",ISNUMBER(SEARCH("remboursement",IFERROR(INDEX('Paramètres'!$N:$N,MATCH($D30,'Paramètres'!$M:$M,0))&amp;"",""))))),1,0))</f>
        <v>0</v>
      </c>
      <c r="Q30" s="6">
        <f>IF($K30="","",IF(ISNUMBER(SEARCH("transfert-interne",IFERROR(INDEX('Paramètres'!$N:$N,MATCH($D30,'Paramètres'!$M:$M,0))&amp;"",""))),0,IF($L30="Débit",$K30,IF($P30=1,-$K30,0))))</f>
        <v>12.3</v>
      </c>
      <c r="R30" s="6">
        <f>IF($K30="","",IF($L30="Crédit",$K30,-$K30))</f>
        <v>-12.3</v>
      </c>
      <c r="S30" s="6" t="str">
        <f>IF($C30="","",IFERROR(INDEX('Paramètres'!$H:$H,MATCH($C30,'Paramètres'!$D:$D,0))&amp;"",""))</f>
        <v/>
      </c>
      <c r="T30" s="6">
        <f>IF($K30="","",IF($S30="",0,IF(ISNUMBER(SEARCH("apport-exterieur",IFERROR(INDEX('Paramètres'!$N:$N,MATCH($D30,'Paramètres'!$M:$M,0))&amp;"",""))),0,IF(OR(IFERROR(INDEX('Paramètres'!$I:$I,MATCH($C30,'Paramètres'!$D:$D,0))&amp;"","")="Les deux",IFERROR(INDEX('Paramètres'!$I:$I,MATCH($C30,'Paramètres'!$D:$D,0))&amp;"","")=IF($P30=1,"Débit",$L30)),-IF($P30=1,-$K30,$K30),0))))</f>
        <v>0</v>
      </c>
      <c r="U30" s="6">
        <f>IF($K30="","",IF(ISNUMBER(SEARCH("sortie-epargne",IFERROR(INDEX('Paramètres'!$N:$N,MATCH($D30,'Paramètres'!$M:$M,0))&amp;"",""))),$K30,0))</f>
        <v>0</v>
      </c>
      <c r="V30" s="6" t="str">
        <f>IF(AND($A30&lt;&gt;"",$O30=1,$L30="Débit",N($Q30)&gt;0,$A30&gt;=Visualisation!$B$1,$A30&lt;Visualisation!$D$1),MAX($V$1:V29)+1,"")</f>
        <v/>
      </c>
    </row>
    <row r="31" spans="1:22" x14ac:dyDescent="0.25">
      <c r="A31" s="9">
        <v>45556</v>
      </c>
      <c r="B31" s="4" t="s">
        <v>69</v>
      </c>
      <c r="C31" s="4" t="s">
        <v>70</v>
      </c>
      <c r="D31" s="4" t="s">
        <v>71</v>
      </c>
      <c r="E31" s="10">
        <v>10.4</v>
      </c>
      <c r="G31" s="4" t="s">
        <v>72</v>
      </c>
      <c r="H31" s="4"/>
      <c r="I31" s="4" t="s">
        <v>63</v>
      </c>
      <c r="K31" s="11">
        <f>IF($E31="","",ROUND($E31*IF(ISNA(MATCH($C31,'Paramètres'!$D:$D,0)),1,IF(INDEX('Paramètres'!$J:$J,MATCH($C31,'Paramètres'!$D:$D,0))="",1,INDEX('Paramètres'!$J:$J,MATCH($C31,'Paramètres'!$D:$D,0)))),2))</f>
        <v>10.4</v>
      </c>
      <c r="L31" s="6" t="str">
        <f>IF($D31="","",IF($F31&lt;&gt;"",$F31,IF(ISNA(MATCH($D31,'Paramètres'!$M:$M,0)),"⚠ Type inconnu",IFERROR(INDEX('Paramètres'!$P:$P,MATCH($D31,'Paramètres'!$M:$M,0))&amp;"",""))))</f>
        <v>Débit</v>
      </c>
      <c r="M31" s="6" t="str">
        <f>IF($D31="","",IF(ISNA(MATCH($D31,'Paramètres'!$M:$M,0)),"⚠ Type inconnu",IF($L31="Crédit","",IFERROR(INDEX('Paramètres'!$O:$O,MATCH($D31,'Paramètres'!$M:$M,0))&amp;"",""))))</f>
        <v>Dépense Courante</v>
      </c>
      <c r="N31" s="6" t="str">
        <f>IF($D31="","",IFERROR(INDEX('Paramètres'!$Q:$Q,MATCH($D31,'Paramètres'!$M:$M,0))&amp;"",""))</f>
        <v>Alimentation</v>
      </c>
      <c r="O31" s="6">
        <f>IF($A31="","",IF(OR($J31&lt;&gt;"x",$A31&lt;=FinReleve),1,0))</f>
        <v>1</v>
      </c>
      <c r="P31" s="6">
        <f>IF($D31="","",IF(AND($L31="Crédit",OR(IFERROR(INDEX('Paramètres'!$O:$O,MATCH($D31,'Paramètres'!$M:$M,0))&amp;"","")&lt;&gt;"",ISNUMBER(SEARCH("remboursement",IFERROR(INDEX('Paramètres'!$N:$N,MATCH($D31,'Paramètres'!$M:$M,0))&amp;"",""))))),1,0))</f>
        <v>0</v>
      </c>
      <c r="Q31" s="6">
        <f>IF($K31="","",IF(ISNUMBER(SEARCH("transfert-interne",IFERROR(INDEX('Paramètres'!$N:$N,MATCH($D31,'Paramètres'!$M:$M,0))&amp;"",""))),0,IF($L31="Débit",$K31,IF($P31=1,-$K31,0))))</f>
        <v>10.4</v>
      </c>
      <c r="R31" s="6">
        <f>IF($K31="","",IF($L31="Crédit",$K31,-$K31))</f>
        <v>-10.4</v>
      </c>
      <c r="S31" s="6" t="str">
        <f>IF($C31="","",IFERROR(INDEX('Paramètres'!$H:$H,MATCH($C31,'Paramètres'!$D:$D,0))&amp;"",""))</f>
        <v/>
      </c>
      <c r="T31" s="6">
        <f>IF($K31="","",IF($S31="",0,IF(ISNUMBER(SEARCH("apport-exterieur",IFERROR(INDEX('Paramètres'!$N:$N,MATCH($D31,'Paramètres'!$M:$M,0))&amp;"",""))),0,IF(OR(IFERROR(INDEX('Paramètres'!$I:$I,MATCH($C31,'Paramètres'!$D:$D,0))&amp;"","")="Les deux",IFERROR(INDEX('Paramètres'!$I:$I,MATCH($C31,'Paramètres'!$D:$D,0))&amp;"","")=IF($P31=1,"Débit",$L31)),-IF($P31=1,-$K31,$K31),0))))</f>
        <v>0</v>
      </c>
      <c r="U31" s="6">
        <f>IF($K31="","",IF(ISNUMBER(SEARCH("sortie-epargne",IFERROR(INDEX('Paramètres'!$N:$N,MATCH($D31,'Paramètres'!$M:$M,0))&amp;"",""))),$K31,0))</f>
        <v>0</v>
      </c>
      <c r="V31" s="6" t="str">
        <f>IF(AND($A31&lt;&gt;"",$O31=1,$L31="Débit",N($Q31)&gt;0,$A31&gt;=Visualisation!$B$1,$A31&lt;Visualisation!$D$1),MAX($V$1:V30)+1,"")</f>
        <v/>
      </c>
    </row>
    <row r="32" spans="1:22" x14ac:dyDescent="0.25">
      <c r="A32" s="9">
        <v>45557</v>
      </c>
      <c r="B32" s="4" t="s">
        <v>69</v>
      </c>
      <c r="C32" s="4" t="s">
        <v>70</v>
      </c>
      <c r="D32" s="4" t="s">
        <v>71</v>
      </c>
      <c r="E32" s="10">
        <v>8.27</v>
      </c>
      <c r="G32" s="4" t="s">
        <v>72</v>
      </c>
      <c r="H32" s="4"/>
      <c r="I32" s="4" t="s">
        <v>79</v>
      </c>
      <c r="K32" s="11">
        <f>IF($E32="","",ROUND($E32*IF(ISNA(MATCH($C32,'Paramètres'!$D:$D,0)),1,IF(INDEX('Paramètres'!$J:$J,MATCH($C32,'Paramètres'!$D:$D,0))="",1,INDEX('Paramètres'!$J:$J,MATCH($C32,'Paramètres'!$D:$D,0)))),2))</f>
        <v>8.27</v>
      </c>
      <c r="L32" s="6" t="str">
        <f>IF($D32="","",IF($F32&lt;&gt;"",$F32,IF(ISNA(MATCH($D32,'Paramètres'!$M:$M,0)),"⚠ Type inconnu",IFERROR(INDEX('Paramètres'!$P:$P,MATCH($D32,'Paramètres'!$M:$M,0))&amp;"",""))))</f>
        <v>Débit</v>
      </c>
      <c r="M32" s="6" t="str">
        <f>IF($D32="","",IF(ISNA(MATCH($D32,'Paramètres'!$M:$M,0)),"⚠ Type inconnu",IF($L32="Crédit","",IFERROR(INDEX('Paramètres'!$O:$O,MATCH($D32,'Paramètres'!$M:$M,0))&amp;"",""))))</f>
        <v>Dépense Courante</v>
      </c>
      <c r="N32" s="6" t="str">
        <f>IF($D32="","",IFERROR(INDEX('Paramètres'!$Q:$Q,MATCH($D32,'Paramètres'!$M:$M,0))&amp;"",""))</f>
        <v>Alimentation</v>
      </c>
      <c r="O32" s="6">
        <f>IF($A32="","",IF(OR($J32&lt;&gt;"x",$A32&lt;=FinReleve),1,0))</f>
        <v>1</v>
      </c>
      <c r="P32" s="6">
        <f>IF($D32="","",IF(AND($L32="Crédit",OR(IFERROR(INDEX('Paramètres'!$O:$O,MATCH($D32,'Paramètres'!$M:$M,0))&amp;"","")&lt;&gt;"",ISNUMBER(SEARCH("remboursement",IFERROR(INDEX('Paramètres'!$N:$N,MATCH($D32,'Paramètres'!$M:$M,0))&amp;"",""))))),1,0))</f>
        <v>0</v>
      </c>
      <c r="Q32" s="6">
        <f>IF($K32="","",IF(ISNUMBER(SEARCH("transfert-interne",IFERROR(INDEX('Paramètres'!$N:$N,MATCH($D32,'Paramètres'!$M:$M,0))&amp;"",""))),0,IF($L32="Débit",$K32,IF($P32=1,-$K32,0))))</f>
        <v>8.27</v>
      </c>
      <c r="R32" s="6">
        <f>IF($K32="","",IF($L32="Crédit",$K32,-$K32))</f>
        <v>-8.27</v>
      </c>
      <c r="S32" s="6" t="str">
        <f>IF($C32="","",IFERROR(INDEX('Paramètres'!$H:$H,MATCH($C32,'Paramètres'!$D:$D,0))&amp;"",""))</f>
        <v/>
      </c>
      <c r="T32" s="6">
        <f>IF($K32="","",IF($S32="",0,IF(ISNUMBER(SEARCH("apport-exterieur",IFERROR(INDEX('Paramètres'!$N:$N,MATCH($D32,'Paramètres'!$M:$M,0))&amp;"",""))),0,IF(OR(IFERROR(INDEX('Paramètres'!$I:$I,MATCH($C32,'Paramètres'!$D:$D,0))&amp;"","")="Les deux",IFERROR(INDEX('Paramètres'!$I:$I,MATCH($C32,'Paramètres'!$D:$D,0))&amp;"","")=IF($P32=1,"Débit",$L32)),-IF($P32=1,-$K32,$K32),0))))</f>
        <v>0</v>
      </c>
      <c r="U32" s="6">
        <f>IF($K32="","",IF(ISNUMBER(SEARCH("sortie-epargne",IFERROR(INDEX('Paramètres'!$N:$N,MATCH($D32,'Paramètres'!$M:$M,0))&amp;"",""))),$K32,0))</f>
        <v>0</v>
      </c>
      <c r="V32" s="6" t="str">
        <f>IF(AND($A32&lt;&gt;"",$O32=1,$L32="Débit",N($Q32)&gt;0,$A32&gt;=Visualisation!$B$1,$A32&lt;Visualisation!$D$1),MAX($V$1:V31)+1,"")</f>
        <v/>
      </c>
    </row>
    <row r="33" spans="1:22" x14ac:dyDescent="0.25">
      <c r="A33" s="9">
        <v>45558</v>
      </c>
      <c r="B33" s="4" t="s">
        <v>76</v>
      </c>
      <c r="C33" s="4" t="s">
        <v>67</v>
      </c>
      <c r="D33" s="4" t="s">
        <v>77</v>
      </c>
      <c r="E33" s="10">
        <v>131.6</v>
      </c>
      <c r="G33" s="4" t="s">
        <v>102</v>
      </c>
      <c r="H33" s="4"/>
      <c r="I33" s="4" t="s">
        <v>73</v>
      </c>
      <c r="K33" s="11">
        <f>IF($E33="","",ROUND($E33*IF(ISNA(MATCH($C33,'Paramètres'!$D:$D,0)),1,IF(INDEX('Paramètres'!$J:$J,MATCH($C33,'Paramètres'!$D:$D,0))="",1,INDEX('Paramètres'!$J:$J,MATCH($C33,'Paramètres'!$D:$D,0)))),2))</f>
        <v>65.8</v>
      </c>
      <c r="L33" s="6" t="str">
        <f>IF($D33="","",IF($F33&lt;&gt;"",$F33,IF(ISNA(MATCH($D33,'Paramètres'!$M:$M,0)),"⚠ Type inconnu",IFERROR(INDEX('Paramètres'!$P:$P,MATCH($D33,'Paramètres'!$M:$M,0))&amp;"",""))))</f>
        <v>Débit</v>
      </c>
      <c r="M33" s="6" t="str">
        <f>IF($D33="","",IF(ISNA(MATCH($D33,'Paramètres'!$M:$M,0)),"⚠ Type inconnu",IF($L33="Crédit","",IFERROR(INDEX('Paramètres'!$O:$O,MATCH($D33,'Paramètres'!$M:$M,0))&amp;"",""))))</f>
        <v>Dépense Courante</v>
      </c>
      <c r="N33" s="6" t="str">
        <f>IF($D33="","",IFERROR(INDEX('Paramètres'!$Q:$Q,MATCH($D33,'Paramètres'!$M:$M,0))&amp;"",""))</f>
        <v>Alimentation</v>
      </c>
      <c r="O33" s="6">
        <f>IF($A33="","",IF(OR($J33&lt;&gt;"x",$A33&lt;=FinReleve),1,0))</f>
        <v>1</v>
      </c>
      <c r="P33" s="6">
        <f>IF($D33="","",IF(AND($L33="Crédit",OR(IFERROR(INDEX('Paramètres'!$O:$O,MATCH($D33,'Paramètres'!$M:$M,0))&amp;"","")&lt;&gt;"",ISNUMBER(SEARCH("remboursement",IFERROR(INDEX('Paramètres'!$N:$N,MATCH($D33,'Paramètres'!$M:$M,0))&amp;"",""))))),1,0))</f>
        <v>0</v>
      </c>
      <c r="Q33" s="6">
        <f>IF($K33="","",IF(ISNUMBER(SEARCH("transfert-interne",IFERROR(INDEX('Paramètres'!$N:$N,MATCH($D33,'Paramètres'!$M:$M,0))&amp;"",""))),0,IF($L33="Débit",$K33,IF($P33=1,-$K33,0))))</f>
        <v>65.8</v>
      </c>
      <c r="R33" s="6">
        <f>IF($K33="","",IF($L33="Crédit",$K33,-$K33))</f>
        <v>-65.8</v>
      </c>
      <c r="S33" s="6" t="str">
        <f>IF($C33="","",IFERROR(INDEX('Paramètres'!$H:$H,MATCH($C33,'Paramètres'!$D:$D,0))&amp;"",""))</f>
        <v>Banque A - Courant</v>
      </c>
      <c r="T33" s="6">
        <f>IF($K33="","",IF($S33="",0,IF(ISNUMBER(SEARCH("apport-exterieur",IFERROR(INDEX('Paramètres'!$N:$N,MATCH($D33,'Paramètres'!$M:$M,0))&amp;"",""))),0,IF(OR(IFERROR(INDEX('Paramètres'!$I:$I,MATCH($C33,'Paramètres'!$D:$D,0))&amp;"","")="Les deux",IFERROR(INDEX('Paramètres'!$I:$I,MATCH($C33,'Paramètres'!$D:$D,0))&amp;"","")=IF($P33=1,"Débit",$L33)),-IF($P33=1,-$K33,$K33),0))))</f>
        <v>0</v>
      </c>
      <c r="U33" s="6">
        <f>IF($K33="","",IF(ISNUMBER(SEARCH("sortie-epargne",IFERROR(INDEX('Paramètres'!$N:$N,MATCH($D33,'Paramètres'!$M:$M,0))&amp;"",""))),$K33,0))</f>
        <v>0</v>
      </c>
      <c r="V33" s="6" t="str">
        <f>IF(AND($A33&lt;&gt;"",$O33=1,$L33="Débit",N($Q33)&gt;0,$A33&gt;=Visualisation!$B$1,$A33&lt;Visualisation!$D$1),MAX($V$1:V32)+1,"")</f>
        <v/>
      </c>
    </row>
    <row r="34" spans="1:22" x14ac:dyDescent="0.25">
      <c r="A34" s="9">
        <v>45558</v>
      </c>
      <c r="B34" s="4" t="s">
        <v>90</v>
      </c>
      <c r="C34" s="4" t="s">
        <v>75</v>
      </c>
      <c r="D34" s="4" t="s">
        <v>91</v>
      </c>
      <c r="E34" s="10">
        <v>58.69</v>
      </c>
      <c r="G34" s="4" t="s">
        <v>104</v>
      </c>
      <c r="H34" s="4"/>
      <c r="I34" s="4" t="s">
        <v>93</v>
      </c>
      <c r="K34" s="11">
        <f>IF($E34="","",ROUND($E34*IF(ISNA(MATCH($C34,'Paramètres'!$D:$D,0)),1,IF(INDEX('Paramètres'!$J:$J,MATCH($C34,'Paramètres'!$D:$D,0))="",1,INDEX('Paramètres'!$J:$J,MATCH($C34,'Paramètres'!$D:$D,0)))),2))</f>
        <v>58.69</v>
      </c>
      <c r="L34" s="6" t="str">
        <f>IF($D34="","",IF($F34&lt;&gt;"",$F34,IF(ISNA(MATCH($D34,'Paramètres'!$M:$M,0)),"⚠ Type inconnu",IFERROR(INDEX('Paramètres'!$P:$P,MATCH($D34,'Paramètres'!$M:$M,0))&amp;"",""))))</f>
        <v>Débit</v>
      </c>
      <c r="M34" s="6" t="str">
        <f>IF($D34="","",IF(ISNA(MATCH($D34,'Paramètres'!$M:$M,0)),"⚠ Type inconnu",IF($L34="Crédit","",IFERROR(INDEX('Paramètres'!$O:$O,MATCH($D34,'Paramètres'!$M:$M,0))&amp;"",""))))</f>
        <v>Dépense Courante</v>
      </c>
      <c r="N34" s="6" t="str">
        <f>IF($D34="","",IFERROR(INDEX('Paramètres'!$Q:$Q,MATCH($D34,'Paramètres'!$M:$M,0))&amp;"",""))</f>
        <v>Transport</v>
      </c>
      <c r="O34" s="6">
        <f>IF($A34="","",IF(OR($J34&lt;&gt;"x",$A34&lt;=FinReleve),1,0))</f>
        <v>1</v>
      </c>
      <c r="P34" s="6">
        <f>IF($D34="","",IF(AND($L34="Crédit",OR(IFERROR(INDEX('Paramètres'!$O:$O,MATCH($D34,'Paramètres'!$M:$M,0))&amp;"","")&lt;&gt;"",ISNUMBER(SEARCH("remboursement",IFERROR(INDEX('Paramètres'!$N:$N,MATCH($D34,'Paramètres'!$M:$M,0))&amp;"",""))))),1,0))</f>
        <v>0</v>
      </c>
      <c r="Q34" s="6">
        <f>IF($K34="","",IF(ISNUMBER(SEARCH("transfert-interne",IFERROR(INDEX('Paramètres'!$N:$N,MATCH($D34,'Paramètres'!$M:$M,0))&amp;"",""))),0,IF($L34="Débit",$K34,IF($P34=1,-$K34,0))))</f>
        <v>58.69</v>
      </c>
      <c r="R34" s="6">
        <f>IF($K34="","",IF($L34="Crédit",$K34,-$K34))</f>
        <v>-58.69</v>
      </c>
      <c r="S34" s="6" t="str">
        <f>IF($C34="","",IFERROR(INDEX('Paramètres'!$H:$H,MATCH($C34,'Paramètres'!$D:$D,0))&amp;"",""))</f>
        <v/>
      </c>
      <c r="T34" s="6">
        <f>IF($K34="","",IF($S34="",0,IF(ISNUMBER(SEARCH("apport-exterieur",IFERROR(INDEX('Paramètres'!$N:$N,MATCH($D34,'Paramètres'!$M:$M,0))&amp;"",""))),0,IF(OR(IFERROR(INDEX('Paramètres'!$I:$I,MATCH($C34,'Paramètres'!$D:$D,0))&amp;"","")="Les deux",IFERROR(INDEX('Paramètres'!$I:$I,MATCH($C34,'Paramètres'!$D:$D,0))&amp;"","")=IF($P34=1,"Débit",$L34)),-IF($P34=1,-$K34,$K34),0))))</f>
        <v>0</v>
      </c>
      <c r="U34" s="6">
        <f>IF($K34="","",IF(ISNUMBER(SEARCH("sortie-epargne",IFERROR(INDEX('Paramètres'!$N:$N,MATCH($D34,'Paramètres'!$M:$M,0))&amp;"",""))),$K34,0))</f>
        <v>0</v>
      </c>
      <c r="V34" s="6" t="str">
        <f>IF(AND($A34&lt;&gt;"",$O34=1,$L34="Débit",N($Q34)&gt;0,$A34&gt;=Visualisation!$B$1,$A34&lt;Visualisation!$D$1),MAX($V$1:V33)+1,"")</f>
        <v/>
      </c>
    </row>
    <row r="35" spans="1:22" x14ac:dyDescent="0.25">
      <c r="A35" s="9">
        <v>45558</v>
      </c>
      <c r="B35" s="4" t="s">
        <v>105</v>
      </c>
      <c r="C35" s="4" t="s">
        <v>75</v>
      </c>
      <c r="D35" s="4" t="s">
        <v>106</v>
      </c>
      <c r="E35" s="10">
        <v>96.79</v>
      </c>
      <c r="G35" s="4"/>
      <c r="H35" s="4"/>
      <c r="I35" s="4"/>
      <c r="K35" s="11">
        <f>IF($E35="","",ROUND($E35*IF(ISNA(MATCH($C35,'Paramètres'!$D:$D,0)),1,IF(INDEX('Paramètres'!$J:$J,MATCH($C35,'Paramètres'!$D:$D,0))="",1,INDEX('Paramètres'!$J:$J,MATCH($C35,'Paramètres'!$D:$D,0)))),2))</f>
        <v>96.79</v>
      </c>
      <c r="L35" s="6" t="str">
        <f>IF($D35="","",IF($F35&lt;&gt;"",$F35,IF(ISNA(MATCH($D35,'Paramètres'!$M:$M,0)),"⚠ Type inconnu",IFERROR(INDEX('Paramètres'!$P:$P,MATCH($D35,'Paramètres'!$M:$M,0))&amp;"",""))))</f>
        <v>Débit</v>
      </c>
      <c r="M35" s="6" t="str">
        <f>IF($D35="","",IF(ISNA(MATCH($D35,'Paramètres'!$M:$M,0)),"⚠ Type inconnu",IF($L35="Crédit","",IFERROR(INDEX('Paramètres'!$O:$O,MATCH($D35,'Paramètres'!$M:$M,0))&amp;"",""))))</f>
        <v/>
      </c>
      <c r="N35" s="6" t="str">
        <f>IF($D35="","",IFERROR(INDEX('Paramètres'!$Q:$Q,MATCH($D35,'Paramètres'!$M:$M,0))&amp;"",""))</f>
        <v>Comptes Bancaires</v>
      </c>
      <c r="O35" s="6">
        <f>IF($A35="","",IF(OR($J35&lt;&gt;"x",$A35&lt;=FinReleve),1,0))</f>
        <v>1</v>
      </c>
      <c r="P35" s="6">
        <f>IF($D35="","",IF(AND($L35="Crédit",OR(IFERROR(INDEX('Paramètres'!$O:$O,MATCH($D35,'Paramètres'!$M:$M,0))&amp;"","")&lt;&gt;"",ISNUMBER(SEARCH("remboursement",IFERROR(INDEX('Paramètres'!$N:$N,MATCH($D35,'Paramètres'!$M:$M,0))&amp;"",""))))),1,0))</f>
        <v>0</v>
      </c>
      <c r="Q35" s="6">
        <f>IF($K35="","",IF(ISNUMBER(SEARCH("transfert-interne",IFERROR(INDEX('Paramètres'!$N:$N,MATCH($D35,'Paramètres'!$M:$M,0))&amp;"",""))),0,IF($L35="Débit",$K35,IF($P35=1,-$K35,0))))</f>
        <v>96.79</v>
      </c>
      <c r="R35" s="6">
        <f>IF($K35="","",IF($L35="Crédit",$K35,-$K35))</f>
        <v>-96.79</v>
      </c>
      <c r="S35" s="6" t="str">
        <f>IF($C35="","",IFERROR(INDEX('Paramètres'!$H:$H,MATCH($C35,'Paramètres'!$D:$D,0))&amp;"",""))</f>
        <v/>
      </c>
      <c r="T35" s="6">
        <f>IF($K35="","",IF($S35="",0,IF(ISNUMBER(SEARCH("apport-exterieur",IFERROR(INDEX('Paramètres'!$N:$N,MATCH($D35,'Paramètres'!$M:$M,0))&amp;"",""))),0,IF(OR(IFERROR(INDEX('Paramètres'!$I:$I,MATCH($C35,'Paramètres'!$D:$D,0))&amp;"","")="Les deux",IFERROR(INDEX('Paramètres'!$I:$I,MATCH($C35,'Paramètres'!$D:$D,0))&amp;"","")=IF($P35=1,"Débit",$L35)),-IF($P35=1,-$K35,$K35),0))))</f>
        <v>0</v>
      </c>
      <c r="U35" s="6">
        <f>IF($K35="","",IF(ISNUMBER(SEARCH("sortie-epargne",IFERROR(INDEX('Paramètres'!$N:$N,MATCH($D35,'Paramètres'!$M:$M,0))&amp;"",""))),$K35,0))</f>
        <v>0</v>
      </c>
      <c r="V35" s="6" t="str">
        <f>IF(AND($A35&lt;&gt;"",$O35=1,$L35="Débit",N($Q35)&gt;0,$A35&gt;=Visualisation!$B$1,$A35&lt;Visualisation!$D$1),MAX($V$1:V34)+1,"")</f>
        <v/>
      </c>
    </row>
    <row r="36" spans="1:22" x14ac:dyDescent="0.25">
      <c r="A36" s="9">
        <v>45559</v>
      </c>
      <c r="B36" s="4" t="s">
        <v>76</v>
      </c>
      <c r="C36" s="4" t="s">
        <v>107</v>
      </c>
      <c r="D36" s="4" t="s">
        <v>108</v>
      </c>
      <c r="E36" s="10">
        <v>60.9</v>
      </c>
      <c r="G36" s="4" t="s">
        <v>109</v>
      </c>
      <c r="H36" s="4"/>
      <c r="I36" s="4" t="s">
        <v>73</v>
      </c>
      <c r="K36" s="11">
        <f>IF($E36="","",ROUND($E36*IF(ISNA(MATCH($C36,'Paramètres'!$D:$D,0)),1,IF(INDEX('Paramètres'!$J:$J,MATCH($C36,'Paramètres'!$D:$D,0))="",1,INDEX('Paramètres'!$J:$J,MATCH($C36,'Paramètres'!$D:$D,0)))),2))</f>
        <v>60.9</v>
      </c>
      <c r="L36" s="6" t="str">
        <f>IF($D36="","",IF($F36&lt;&gt;"",$F36,IF(ISNA(MATCH($D36,'Paramètres'!$M:$M,0)),"⚠ Type inconnu",IFERROR(INDEX('Paramètres'!$P:$P,MATCH($D36,'Paramètres'!$M:$M,0))&amp;"",""))))</f>
        <v>Débit</v>
      </c>
      <c r="M36" s="6" t="str">
        <f>IF($D36="","",IF(ISNA(MATCH($D36,'Paramètres'!$M:$M,0)),"⚠ Type inconnu",IF($L36="Crédit","",IFERROR(INDEX('Paramètres'!$O:$O,MATCH($D36,'Paramètres'!$M:$M,0))&amp;"",""))))</f>
        <v>Dépense Occasionnelle</v>
      </c>
      <c r="N36" s="6" t="str">
        <f>IF($D36="","",IFERROR(INDEX('Paramètres'!$Q:$Q,MATCH($D36,'Paramètres'!$M:$M,0))&amp;"",""))</f>
        <v>Autre</v>
      </c>
      <c r="O36" s="6">
        <f>IF($A36="","",IF(OR($J36&lt;&gt;"x",$A36&lt;=FinReleve),1,0))</f>
        <v>1</v>
      </c>
      <c r="P36" s="6">
        <f>IF($D36="","",IF(AND($L36="Crédit",OR(IFERROR(INDEX('Paramètres'!$O:$O,MATCH($D36,'Paramètres'!$M:$M,0))&amp;"","")&lt;&gt;"",ISNUMBER(SEARCH("remboursement",IFERROR(INDEX('Paramètres'!$N:$N,MATCH($D36,'Paramètres'!$M:$M,0))&amp;"",""))))),1,0))</f>
        <v>0</v>
      </c>
      <c r="Q36" s="6">
        <f>IF($K36="","",IF(ISNUMBER(SEARCH("transfert-interne",IFERROR(INDEX('Paramètres'!$N:$N,MATCH($D36,'Paramètres'!$M:$M,0))&amp;"",""))),0,IF($L36="Débit",$K36,IF($P36=1,-$K36,0))))</f>
        <v>60.9</v>
      </c>
      <c r="R36" s="6">
        <f>IF($K36="","",IF($L36="Crédit",$K36,-$K36))</f>
        <v>-60.9</v>
      </c>
      <c r="S36" s="6" t="str">
        <f>IF($C36="","",IFERROR(INDEX('Paramètres'!$H:$H,MATCH($C36,'Paramètres'!$D:$D,0))&amp;"",""))</f>
        <v/>
      </c>
      <c r="T36" s="6">
        <f>IF($K36="","",IF($S36="",0,IF(ISNUMBER(SEARCH("apport-exterieur",IFERROR(INDEX('Paramètres'!$N:$N,MATCH($D36,'Paramètres'!$M:$M,0))&amp;"",""))),0,IF(OR(IFERROR(INDEX('Paramètres'!$I:$I,MATCH($C36,'Paramètres'!$D:$D,0))&amp;"","")="Les deux",IFERROR(INDEX('Paramètres'!$I:$I,MATCH($C36,'Paramètres'!$D:$D,0))&amp;"","")=IF($P36=1,"Débit",$L36)),-IF($P36=1,-$K36,$K36),0))))</f>
        <v>0</v>
      </c>
      <c r="U36" s="6">
        <f>IF($K36="","",IF(ISNUMBER(SEARCH("sortie-epargne",IFERROR(INDEX('Paramètres'!$N:$N,MATCH($D36,'Paramètres'!$M:$M,0))&amp;"",""))),$K36,0))</f>
        <v>0</v>
      </c>
      <c r="V36" s="6" t="str">
        <f>IF(AND($A36&lt;&gt;"",$O36=1,$L36="Débit",N($Q36)&gt;0,$A36&gt;=Visualisation!$B$1,$A36&lt;Visualisation!$D$1),MAX($V$1:V35)+1,"")</f>
        <v/>
      </c>
    </row>
    <row r="37" spans="1:22" x14ac:dyDescent="0.25">
      <c r="A37" s="9">
        <v>45561</v>
      </c>
      <c r="B37" s="4" t="s">
        <v>105</v>
      </c>
      <c r="C37" s="4" t="s">
        <v>75</v>
      </c>
      <c r="D37" s="4" t="s">
        <v>110</v>
      </c>
      <c r="E37" s="10">
        <v>150</v>
      </c>
      <c r="G37" s="4"/>
      <c r="H37" s="4"/>
      <c r="I37" s="4"/>
      <c r="K37" s="11">
        <f>IF($E37="","",ROUND($E37*IF(ISNA(MATCH($C37,'Paramètres'!$D:$D,0)),1,IF(INDEX('Paramètres'!$J:$J,MATCH($C37,'Paramètres'!$D:$D,0))="",1,INDEX('Paramètres'!$J:$J,MATCH($C37,'Paramètres'!$D:$D,0)))),2))</f>
        <v>150</v>
      </c>
      <c r="L37" s="6" t="str">
        <f>IF($D37="","",IF($F37&lt;&gt;"",$F37,IF(ISNA(MATCH($D37,'Paramètres'!$M:$M,0)),"⚠ Type inconnu",IFERROR(INDEX('Paramètres'!$P:$P,MATCH($D37,'Paramètres'!$M:$M,0))&amp;"",""))))</f>
        <v>Débit</v>
      </c>
      <c r="M37" s="6" t="str">
        <f>IF($D37="","",IF(ISNA(MATCH($D37,'Paramètres'!$M:$M,0)),"⚠ Type inconnu",IF($L37="Crédit","",IFERROR(INDEX('Paramètres'!$O:$O,MATCH($D37,'Paramètres'!$M:$M,0))&amp;"",""))))</f>
        <v/>
      </c>
      <c r="N37" s="6" t="str">
        <f>IF($D37="","",IFERROR(INDEX('Paramètres'!$Q:$Q,MATCH($D37,'Paramètres'!$M:$M,0))&amp;"",""))</f>
        <v>Comptes Bancaires</v>
      </c>
      <c r="O37" s="6">
        <f>IF($A37="","",IF(OR($J37&lt;&gt;"x",$A37&lt;=FinReleve),1,0))</f>
        <v>1</v>
      </c>
      <c r="P37" s="6">
        <f>IF($D37="","",IF(AND($L37="Crédit",OR(IFERROR(INDEX('Paramètres'!$O:$O,MATCH($D37,'Paramètres'!$M:$M,0))&amp;"","")&lt;&gt;"",ISNUMBER(SEARCH("remboursement",IFERROR(INDEX('Paramètres'!$N:$N,MATCH($D37,'Paramètres'!$M:$M,0))&amp;"",""))))),1,0))</f>
        <v>0</v>
      </c>
      <c r="Q37" s="6">
        <f>IF($K37="","",IF(ISNUMBER(SEARCH("transfert-interne",IFERROR(INDEX('Paramètres'!$N:$N,MATCH($D37,'Paramètres'!$M:$M,0))&amp;"",""))),0,IF($L37="Débit",$K37,IF($P37=1,-$K37,0))))</f>
        <v>0</v>
      </c>
      <c r="R37" s="6">
        <f>IF($K37="","",IF($L37="Crédit",$K37,-$K37))</f>
        <v>-150</v>
      </c>
      <c r="S37" s="6" t="str">
        <f>IF($C37="","",IFERROR(INDEX('Paramètres'!$H:$H,MATCH($C37,'Paramètres'!$D:$D,0))&amp;"",""))</f>
        <v/>
      </c>
      <c r="T37" s="6">
        <f>IF($K37="","",IF($S37="",0,IF(ISNUMBER(SEARCH("apport-exterieur",IFERROR(INDEX('Paramètres'!$N:$N,MATCH($D37,'Paramètres'!$M:$M,0))&amp;"",""))),0,IF(OR(IFERROR(INDEX('Paramètres'!$I:$I,MATCH($C37,'Paramètres'!$D:$D,0))&amp;"","")="Les deux",IFERROR(INDEX('Paramètres'!$I:$I,MATCH($C37,'Paramètres'!$D:$D,0))&amp;"","")=IF($P37=1,"Débit",$L37)),-IF($P37=1,-$K37,$K37),0))))</f>
        <v>0</v>
      </c>
      <c r="U37" s="6">
        <f>IF($K37="","",IF(ISNUMBER(SEARCH("sortie-epargne",IFERROR(INDEX('Paramètres'!$N:$N,MATCH($D37,'Paramètres'!$M:$M,0))&amp;"",""))),$K37,0))</f>
        <v>0</v>
      </c>
      <c r="V37" s="6" t="str">
        <f>IF(AND($A37&lt;&gt;"",$O37=1,$L37="Débit",N($Q37)&gt;0,$A37&gt;=Visualisation!$B$1,$A37&lt;Visualisation!$D$1),MAX($V$1:V36)+1,"")</f>
        <v/>
      </c>
    </row>
    <row r="38" spans="1:22" x14ac:dyDescent="0.25">
      <c r="A38" s="9">
        <v>45561</v>
      </c>
      <c r="B38" s="4" t="s">
        <v>105</v>
      </c>
      <c r="C38" s="4" t="s">
        <v>75</v>
      </c>
      <c r="D38" s="4" t="s">
        <v>111</v>
      </c>
      <c r="E38" s="10">
        <v>200</v>
      </c>
      <c r="G38" s="4"/>
      <c r="H38" s="4"/>
      <c r="I38" s="4"/>
      <c r="K38" s="11">
        <f>IF($E38="","",ROUND($E38*IF(ISNA(MATCH($C38,'Paramètres'!$D:$D,0)),1,IF(INDEX('Paramètres'!$J:$J,MATCH($C38,'Paramètres'!$D:$D,0))="",1,INDEX('Paramètres'!$J:$J,MATCH($C38,'Paramètres'!$D:$D,0)))),2))</f>
        <v>200</v>
      </c>
      <c r="L38" s="6" t="str">
        <f>IF($D38="","",IF($F38&lt;&gt;"",$F38,IF(ISNA(MATCH($D38,'Paramètres'!$M:$M,0)),"⚠ Type inconnu",IFERROR(INDEX('Paramètres'!$P:$P,MATCH($D38,'Paramètres'!$M:$M,0))&amp;"",""))))</f>
        <v>Débit</v>
      </c>
      <c r="M38" s="6" t="str">
        <f>IF($D38="","",IF(ISNA(MATCH($D38,'Paramètres'!$M:$M,0)),"⚠ Type inconnu",IF($L38="Crédit","",IFERROR(INDEX('Paramètres'!$O:$O,MATCH($D38,'Paramètres'!$M:$M,0))&amp;"",""))))</f>
        <v/>
      </c>
      <c r="N38" s="6" t="str">
        <f>IF($D38="","",IFERROR(INDEX('Paramètres'!$Q:$Q,MATCH($D38,'Paramètres'!$M:$M,0))&amp;"",""))</f>
        <v>Comptes Bancaires</v>
      </c>
      <c r="O38" s="6">
        <f>IF($A38="","",IF(OR($J38&lt;&gt;"x",$A38&lt;=FinReleve),1,0))</f>
        <v>1</v>
      </c>
      <c r="P38" s="6">
        <f>IF($D38="","",IF(AND($L38="Crédit",OR(IFERROR(INDEX('Paramètres'!$O:$O,MATCH($D38,'Paramètres'!$M:$M,0))&amp;"","")&lt;&gt;"",ISNUMBER(SEARCH("remboursement",IFERROR(INDEX('Paramètres'!$N:$N,MATCH($D38,'Paramètres'!$M:$M,0))&amp;"",""))))),1,0))</f>
        <v>0</v>
      </c>
      <c r="Q38" s="6">
        <f>IF($K38="","",IF(ISNUMBER(SEARCH("transfert-interne",IFERROR(INDEX('Paramètres'!$N:$N,MATCH($D38,'Paramètres'!$M:$M,0))&amp;"",""))),0,IF($L38="Débit",$K38,IF($P38=1,-$K38,0))))</f>
        <v>200</v>
      </c>
      <c r="R38" s="6">
        <f>IF($K38="","",IF($L38="Crédit",$K38,-$K38))</f>
        <v>-200</v>
      </c>
      <c r="S38" s="6" t="str">
        <f>IF($C38="","",IFERROR(INDEX('Paramètres'!$H:$H,MATCH($C38,'Paramètres'!$D:$D,0))&amp;"",""))</f>
        <v/>
      </c>
      <c r="T38" s="6">
        <f>IF($K38="","",IF($S38="",0,IF(ISNUMBER(SEARCH("apport-exterieur",IFERROR(INDEX('Paramètres'!$N:$N,MATCH($D38,'Paramètres'!$M:$M,0))&amp;"",""))),0,IF(OR(IFERROR(INDEX('Paramètres'!$I:$I,MATCH($C38,'Paramètres'!$D:$D,0))&amp;"","")="Les deux",IFERROR(INDEX('Paramètres'!$I:$I,MATCH($C38,'Paramètres'!$D:$D,0))&amp;"","")=IF($P38=1,"Débit",$L38)),-IF($P38=1,-$K38,$K38),0))))</f>
        <v>0</v>
      </c>
      <c r="U38" s="6">
        <f>IF($K38="","",IF(ISNUMBER(SEARCH("sortie-epargne",IFERROR(INDEX('Paramètres'!$N:$N,MATCH($D38,'Paramètres'!$M:$M,0))&amp;"",""))),$K38,0))</f>
        <v>0</v>
      </c>
      <c r="V38" s="6" t="str">
        <f>IF(AND($A38&lt;&gt;"",$O38=1,$L38="Débit",N($Q38)&gt;0,$A38&gt;=Visualisation!$B$1,$A38&lt;Visualisation!$D$1),MAX($V$1:V37)+1,"")</f>
        <v/>
      </c>
    </row>
    <row r="39" spans="1:22" x14ac:dyDescent="0.25">
      <c r="A39" s="9">
        <v>45561</v>
      </c>
      <c r="B39" s="4" t="s">
        <v>112</v>
      </c>
      <c r="C39" s="4" t="s">
        <v>75</v>
      </c>
      <c r="D39" s="4" t="s">
        <v>113</v>
      </c>
      <c r="E39" s="10">
        <v>120</v>
      </c>
      <c r="G39" s="4"/>
      <c r="H39" s="4"/>
      <c r="I39" s="4"/>
      <c r="K39" s="11">
        <f>IF($E39="","",ROUND($E39*IF(ISNA(MATCH($C39,'Paramètres'!$D:$D,0)),1,IF(INDEX('Paramètres'!$J:$J,MATCH($C39,'Paramètres'!$D:$D,0))="",1,INDEX('Paramètres'!$J:$J,MATCH($C39,'Paramètres'!$D:$D,0)))),2))</f>
        <v>120</v>
      </c>
      <c r="L39" s="6" t="str">
        <f>IF($D39="","",IF($F39&lt;&gt;"",$F39,IF(ISNA(MATCH($D39,'Paramètres'!$M:$M,0)),"⚠ Type inconnu",IFERROR(INDEX('Paramètres'!$P:$P,MATCH($D39,'Paramètres'!$M:$M,0))&amp;"",""))))</f>
        <v>Débit</v>
      </c>
      <c r="M39" s="6" t="str">
        <f>IF($D39="","",IF(ISNA(MATCH($D39,'Paramètres'!$M:$M,0)),"⚠ Type inconnu",IF($L39="Crédit","",IFERROR(INDEX('Paramètres'!$O:$O,MATCH($D39,'Paramètres'!$M:$M,0))&amp;"",""))))</f>
        <v/>
      </c>
      <c r="N39" s="6" t="str">
        <f>IF($D39="","",IFERROR(INDEX('Paramètres'!$Q:$Q,MATCH($D39,'Paramètres'!$M:$M,0))&amp;"",""))</f>
        <v>Comptes Bancaires</v>
      </c>
      <c r="O39" s="6">
        <f>IF($A39="","",IF(OR($J39&lt;&gt;"x",$A39&lt;=FinReleve),1,0))</f>
        <v>1</v>
      </c>
      <c r="P39" s="6">
        <f>IF($D39="","",IF(AND($L39="Crédit",OR(IFERROR(INDEX('Paramètres'!$O:$O,MATCH($D39,'Paramètres'!$M:$M,0))&amp;"","")&lt;&gt;"",ISNUMBER(SEARCH("remboursement",IFERROR(INDEX('Paramètres'!$N:$N,MATCH($D39,'Paramètres'!$M:$M,0))&amp;"",""))))),1,0))</f>
        <v>0</v>
      </c>
      <c r="Q39" s="6">
        <f>IF($K39="","",IF(ISNUMBER(SEARCH("transfert-interne",IFERROR(INDEX('Paramètres'!$N:$N,MATCH($D39,'Paramètres'!$M:$M,0))&amp;"",""))),0,IF($L39="Débit",$K39,IF($P39=1,-$K39,0))))</f>
        <v>120</v>
      </c>
      <c r="R39" s="6">
        <f>IF($K39="","",IF($L39="Crédit",$K39,-$K39))</f>
        <v>-120</v>
      </c>
      <c r="S39" s="6" t="str">
        <f>IF($C39="","",IFERROR(INDEX('Paramètres'!$H:$H,MATCH($C39,'Paramètres'!$D:$D,0))&amp;"",""))</f>
        <v/>
      </c>
      <c r="T39" s="6">
        <f>IF($K39="","",IF($S39="",0,IF(ISNUMBER(SEARCH("apport-exterieur",IFERROR(INDEX('Paramètres'!$N:$N,MATCH($D39,'Paramètres'!$M:$M,0))&amp;"",""))),0,IF(OR(IFERROR(INDEX('Paramètres'!$I:$I,MATCH($C39,'Paramètres'!$D:$D,0))&amp;"","")="Les deux",IFERROR(INDEX('Paramètres'!$I:$I,MATCH($C39,'Paramètres'!$D:$D,0))&amp;"","")=IF($P39=1,"Débit",$L39)),-IF($P39=1,-$K39,$K39),0))))</f>
        <v>0</v>
      </c>
      <c r="U39" s="6">
        <f>IF($K39="","",IF(ISNUMBER(SEARCH("sortie-epargne",IFERROR(INDEX('Paramètres'!$N:$N,MATCH($D39,'Paramètres'!$M:$M,0))&amp;"",""))),$K39,0))</f>
        <v>0</v>
      </c>
      <c r="V39" s="6" t="str">
        <f>IF(AND($A39&lt;&gt;"",$O39=1,$L39="Débit",N($Q39)&gt;0,$A39&gt;=Visualisation!$B$1,$A39&lt;Visualisation!$D$1),MAX($V$1:V38)+1,"")</f>
        <v/>
      </c>
    </row>
    <row r="40" spans="1:22" x14ac:dyDescent="0.25">
      <c r="A40" s="9">
        <v>45562</v>
      </c>
      <c r="B40" s="4" t="s">
        <v>114</v>
      </c>
      <c r="C40" s="4" t="s">
        <v>75</v>
      </c>
      <c r="D40" s="4" t="s">
        <v>115</v>
      </c>
      <c r="E40" s="10">
        <v>2931.02</v>
      </c>
      <c r="G40" s="4" t="s">
        <v>115</v>
      </c>
      <c r="H40" s="4"/>
      <c r="I40" s="4"/>
      <c r="K40" s="11">
        <f>IF($E40="","",ROUND($E40*IF(ISNA(MATCH($C40,'Paramètres'!$D:$D,0)),1,IF(INDEX('Paramètres'!$J:$J,MATCH($C40,'Paramètres'!$D:$D,0))="",1,INDEX('Paramètres'!$J:$J,MATCH($C40,'Paramètres'!$D:$D,0)))),2))</f>
        <v>2931.02</v>
      </c>
      <c r="L40" s="6" t="str">
        <f>IF($D40="","",IF($F40&lt;&gt;"",$F40,IF(ISNA(MATCH($D40,'Paramètres'!$M:$M,0)),"⚠ Type inconnu",IFERROR(INDEX('Paramètres'!$P:$P,MATCH($D40,'Paramètres'!$M:$M,0))&amp;"",""))))</f>
        <v>Crédit</v>
      </c>
      <c r="M40" s="6" t="str">
        <f>IF($D40="","",IF(ISNA(MATCH($D40,'Paramètres'!$M:$M,0)),"⚠ Type inconnu",IF($L40="Crédit","",IFERROR(INDEX('Paramètres'!$O:$O,MATCH($D40,'Paramètres'!$M:$M,0))&amp;"",""))))</f>
        <v/>
      </c>
      <c r="N40" s="6" t="str">
        <f>IF($D40="","",IFERROR(INDEX('Paramètres'!$Q:$Q,MATCH($D40,'Paramètres'!$M:$M,0))&amp;"",""))</f>
        <v/>
      </c>
      <c r="O40" s="6">
        <f>IF($A40="","",IF(OR($J40&lt;&gt;"x",$A40&lt;=FinReleve),1,0))</f>
        <v>1</v>
      </c>
      <c r="P40" s="6">
        <f>IF($D40="","",IF(AND($L40="Crédit",OR(IFERROR(INDEX('Paramètres'!$O:$O,MATCH($D40,'Paramètres'!$M:$M,0))&amp;"","")&lt;&gt;"",ISNUMBER(SEARCH("remboursement",IFERROR(INDEX('Paramètres'!$N:$N,MATCH($D40,'Paramètres'!$M:$M,0))&amp;"",""))))),1,0))</f>
        <v>0</v>
      </c>
      <c r="Q40" s="6">
        <f>IF($K40="","",IF(ISNUMBER(SEARCH("transfert-interne",IFERROR(INDEX('Paramètres'!$N:$N,MATCH($D40,'Paramètres'!$M:$M,0))&amp;"",""))),0,IF($L40="Débit",$K40,IF($P40=1,-$K40,0))))</f>
        <v>0</v>
      </c>
      <c r="R40" s="6">
        <f>IF($K40="","",IF($L40="Crédit",$K40,-$K40))</f>
        <v>2931.02</v>
      </c>
      <c r="S40" s="6" t="str">
        <f>IF($C40="","",IFERROR(INDEX('Paramètres'!$H:$H,MATCH($C40,'Paramètres'!$D:$D,0))&amp;"",""))</f>
        <v/>
      </c>
      <c r="T40" s="6">
        <f>IF($K40="","",IF($S40="",0,IF(ISNUMBER(SEARCH("apport-exterieur",IFERROR(INDEX('Paramètres'!$N:$N,MATCH($D40,'Paramètres'!$M:$M,0))&amp;"",""))),0,IF(OR(IFERROR(INDEX('Paramètres'!$I:$I,MATCH($C40,'Paramètres'!$D:$D,0))&amp;"","")="Les deux",IFERROR(INDEX('Paramètres'!$I:$I,MATCH($C40,'Paramètres'!$D:$D,0))&amp;"","")=IF($P40=1,"Débit",$L40)),-IF($P40=1,-$K40,$K40),0))))</f>
        <v>0</v>
      </c>
      <c r="U40" s="6">
        <f>IF($K40="","",IF(ISNUMBER(SEARCH("sortie-epargne",IFERROR(INDEX('Paramètres'!$N:$N,MATCH($D40,'Paramètres'!$M:$M,0))&amp;"",""))),$K40,0))</f>
        <v>0</v>
      </c>
      <c r="V40" s="6" t="str">
        <f>IF(AND($A40&lt;&gt;"",$O40=1,$L40="Débit",N($Q40)&gt;0,$A40&gt;=Visualisation!$B$1,$A40&lt;Visualisation!$D$1),MAX($V$1:V39)+1,"")</f>
        <v/>
      </c>
    </row>
    <row r="41" spans="1:22" x14ac:dyDescent="0.25">
      <c r="A41" s="9">
        <v>45562</v>
      </c>
      <c r="B41" s="4" t="s">
        <v>76</v>
      </c>
      <c r="C41" s="4" t="s">
        <v>60</v>
      </c>
      <c r="D41" s="4" t="s">
        <v>77</v>
      </c>
      <c r="E41" s="10">
        <v>142.96</v>
      </c>
      <c r="G41" s="4" t="s">
        <v>78</v>
      </c>
      <c r="H41" s="4"/>
      <c r="I41" s="4" t="s">
        <v>63</v>
      </c>
      <c r="K41" s="11">
        <f>IF($E41="","",ROUND($E41*IF(ISNA(MATCH($C41,'Paramètres'!$D:$D,0)),1,IF(INDEX('Paramètres'!$J:$J,MATCH($C41,'Paramètres'!$D:$D,0))="",1,INDEX('Paramètres'!$J:$J,MATCH($C41,'Paramètres'!$D:$D,0)))),2))</f>
        <v>71.48</v>
      </c>
      <c r="L41" s="6" t="str">
        <f>IF($D41="","",IF($F41&lt;&gt;"",$F41,IF(ISNA(MATCH($D41,'Paramètres'!$M:$M,0)),"⚠ Type inconnu",IFERROR(INDEX('Paramètres'!$P:$P,MATCH($D41,'Paramètres'!$M:$M,0))&amp;"",""))))</f>
        <v>Débit</v>
      </c>
      <c r="M41" s="6" t="str">
        <f>IF($D41="","",IF(ISNA(MATCH($D41,'Paramètres'!$M:$M,0)),"⚠ Type inconnu",IF($L41="Crédit","",IFERROR(INDEX('Paramètres'!$O:$O,MATCH($D41,'Paramètres'!$M:$M,0))&amp;"",""))))</f>
        <v>Dépense Courante</v>
      </c>
      <c r="N41" s="6" t="str">
        <f>IF($D41="","",IFERROR(INDEX('Paramètres'!$Q:$Q,MATCH($D41,'Paramètres'!$M:$M,0))&amp;"",""))</f>
        <v>Alimentation</v>
      </c>
      <c r="O41" s="6">
        <f>IF($A41="","",IF(OR($J41&lt;&gt;"x",$A41&lt;=FinReleve),1,0))</f>
        <v>1</v>
      </c>
      <c r="P41" s="6">
        <f>IF($D41="","",IF(AND($L41="Crédit",OR(IFERROR(INDEX('Paramètres'!$O:$O,MATCH($D41,'Paramètres'!$M:$M,0))&amp;"","")&lt;&gt;"",ISNUMBER(SEARCH("remboursement",IFERROR(INDEX('Paramètres'!$N:$N,MATCH($D41,'Paramètres'!$M:$M,0))&amp;"",""))))),1,0))</f>
        <v>0</v>
      </c>
      <c r="Q41" s="6">
        <f>IF($K41="","",IF(ISNUMBER(SEARCH("transfert-interne",IFERROR(INDEX('Paramètres'!$N:$N,MATCH($D41,'Paramètres'!$M:$M,0))&amp;"",""))),0,IF($L41="Débit",$K41,IF($P41=1,-$K41,0))))</f>
        <v>71.48</v>
      </c>
      <c r="R41" s="6">
        <f>IF($K41="","",IF($L41="Crédit",$K41,-$K41))</f>
        <v>-71.48</v>
      </c>
      <c r="S41" s="6" t="str">
        <f>IF($C41="","",IFERROR(INDEX('Paramètres'!$H:$H,MATCH($C41,'Paramètres'!$D:$D,0))&amp;"",""))</f>
        <v>Banque A - Courant</v>
      </c>
      <c r="T41" s="6">
        <f>IF($K41="","",IF($S41="",0,IF(ISNUMBER(SEARCH("apport-exterieur",IFERROR(INDEX('Paramètres'!$N:$N,MATCH($D41,'Paramètres'!$M:$M,0))&amp;"",""))),0,IF(OR(IFERROR(INDEX('Paramètres'!$I:$I,MATCH($C41,'Paramètres'!$D:$D,0))&amp;"","")="Les deux",IFERROR(INDEX('Paramètres'!$I:$I,MATCH($C41,'Paramètres'!$D:$D,0))&amp;"","")=IF($P41=1,"Débit",$L41)),-IF($P41=1,-$K41,$K41),0))))</f>
        <v>-71.48</v>
      </c>
      <c r="U41" s="6">
        <f>IF($K41="","",IF(ISNUMBER(SEARCH("sortie-epargne",IFERROR(INDEX('Paramètres'!$N:$N,MATCH($D41,'Paramètres'!$M:$M,0))&amp;"",""))),$K41,0))</f>
        <v>0</v>
      </c>
      <c r="V41" s="6" t="str">
        <f>IF(AND($A41&lt;&gt;"",$O41=1,$L41="Débit",N($Q41)&gt;0,$A41&gt;=Visualisation!$B$1,$A41&lt;Visualisation!$D$1),MAX($V$1:V40)+1,"")</f>
        <v/>
      </c>
    </row>
    <row r="42" spans="1:22" x14ac:dyDescent="0.25">
      <c r="A42" s="9">
        <v>45562</v>
      </c>
      <c r="B42" s="4" t="s">
        <v>69</v>
      </c>
      <c r="C42" s="4" t="s">
        <v>70</v>
      </c>
      <c r="D42" s="4" t="s">
        <v>71</v>
      </c>
      <c r="E42" s="10">
        <v>10</v>
      </c>
      <c r="G42" s="4" t="s">
        <v>72</v>
      </c>
      <c r="H42" s="4"/>
      <c r="I42" s="4" t="s">
        <v>79</v>
      </c>
      <c r="K42" s="11">
        <f>IF($E42="","",ROUND($E42*IF(ISNA(MATCH($C42,'Paramètres'!$D:$D,0)),1,IF(INDEX('Paramètres'!$J:$J,MATCH($C42,'Paramètres'!$D:$D,0))="",1,INDEX('Paramètres'!$J:$J,MATCH($C42,'Paramètres'!$D:$D,0)))),2))</f>
        <v>10</v>
      </c>
      <c r="L42" s="6" t="str">
        <f>IF($D42="","",IF($F42&lt;&gt;"",$F42,IF(ISNA(MATCH($D42,'Paramètres'!$M:$M,0)),"⚠ Type inconnu",IFERROR(INDEX('Paramètres'!$P:$P,MATCH($D42,'Paramètres'!$M:$M,0))&amp;"",""))))</f>
        <v>Débit</v>
      </c>
      <c r="M42" s="6" t="str">
        <f>IF($D42="","",IF(ISNA(MATCH($D42,'Paramètres'!$M:$M,0)),"⚠ Type inconnu",IF($L42="Crédit","",IFERROR(INDEX('Paramètres'!$O:$O,MATCH($D42,'Paramètres'!$M:$M,0))&amp;"",""))))</f>
        <v>Dépense Courante</v>
      </c>
      <c r="N42" s="6" t="str">
        <f>IF($D42="","",IFERROR(INDEX('Paramètres'!$Q:$Q,MATCH($D42,'Paramètres'!$M:$M,0))&amp;"",""))</f>
        <v>Alimentation</v>
      </c>
      <c r="O42" s="6">
        <f>IF($A42="","",IF(OR($J42&lt;&gt;"x",$A42&lt;=FinReleve),1,0))</f>
        <v>1</v>
      </c>
      <c r="P42" s="6">
        <f>IF($D42="","",IF(AND($L42="Crédit",OR(IFERROR(INDEX('Paramètres'!$O:$O,MATCH($D42,'Paramètres'!$M:$M,0))&amp;"","")&lt;&gt;"",ISNUMBER(SEARCH("remboursement",IFERROR(INDEX('Paramètres'!$N:$N,MATCH($D42,'Paramètres'!$M:$M,0))&amp;"",""))))),1,0))</f>
        <v>0</v>
      </c>
      <c r="Q42" s="6">
        <f>IF($K42="","",IF(ISNUMBER(SEARCH("transfert-interne",IFERROR(INDEX('Paramètres'!$N:$N,MATCH($D42,'Paramètres'!$M:$M,0))&amp;"",""))),0,IF($L42="Débit",$K42,IF($P42=1,-$K42,0))))</f>
        <v>10</v>
      </c>
      <c r="R42" s="6">
        <f>IF($K42="","",IF($L42="Crédit",$K42,-$K42))</f>
        <v>-10</v>
      </c>
      <c r="S42" s="6" t="str">
        <f>IF($C42="","",IFERROR(INDEX('Paramètres'!$H:$H,MATCH($C42,'Paramètres'!$D:$D,0))&amp;"",""))</f>
        <v/>
      </c>
      <c r="T42" s="6">
        <f>IF($K42="","",IF($S42="",0,IF(ISNUMBER(SEARCH("apport-exterieur",IFERROR(INDEX('Paramètres'!$N:$N,MATCH($D42,'Paramètres'!$M:$M,0))&amp;"",""))),0,IF(OR(IFERROR(INDEX('Paramètres'!$I:$I,MATCH($C42,'Paramètres'!$D:$D,0))&amp;"","")="Les deux",IFERROR(INDEX('Paramètres'!$I:$I,MATCH($C42,'Paramètres'!$D:$D,0))&amp;"","")=IF($P42=1,"Débit",$L42)),-IF($P42=1,-$K42,$K42),0))))</f>
        <v>0</v>
      </c>
      <c r="U42" s="6">
        <f>IF($K42="","",IF(ISNUMBER(SEARCH("sortie-epargne",IFERROR(INDEX('Paramètres'!$N:$N,MATCH($D42,'Paramètres'!$M:$M,0))&amp;"",""))),$K42,0))</f>
        <v>0</v>
      </c>
      <c r="V42" s="6" t="str">
        <f>IF(AND($A42&lt;&gt;"",$O42=1,$L42="Débit",N($Q42)&gt;0,$A42&gt;=Visualisation!$B$1,$A42&lt;Visualisation!$D$1),MAX($V$1:V41)+1,"")</f>
        <v/>
      </c>
    </row>
    <row r="43" spans="1:22" x14ac:dyDescent="0.25">
      <c r="A43" s="9">
        <v>45562</v>
      </c>
      <c r="B43" s="4" t="s">
        <v>116</v>
      </c>
      <c r="C43" s="4" t="s">
        <v>60</v>
      </c>
      <c r="D43" s="4" t="s">
        <v>116</v>
      </c>
      <c r="E43" s="10">
        <v>366.04</v>
      </c>
      <c r="G43" s="4" t="s">
        <v>117</v>
      </c>
      <c r="H43" s="4"/>
      <c r="I43" s="4"/>
      <c r="K43" s="11">
        <f>IF($E43="","",ROUND($E43*IF(ISNA(MATCH($C43,'Paramètres'!$D:$D,0)),1,IF(INDEX('Paramètres'!$J:$J,MATCH($C43,'Paramètres'!$D:$D,0))="",1,INDEX('Paramètres'!$J:$J,MATCH($C43,'Paramètres'!$D:$D,0)))),2))</f>
        <v>183.02</v>
      </c>
      <c r="L43" s="6" t="str">
        <f>IF($D43="","",IF($F43&lt;&gt;"",$F43,IF(ISNA(MATCH($D43,'Paramètres'!$M:$M,0)),"⚠ Type inconnu",IFERROR(INDEX('Paramètres'!$P:$P,MATCH($D43,'Paramètres'!$M:$M,0))&amp;"",""))))</f>
        <v>Débit</v>
      </c>
      <c r="M43" s="6" t="str">
        <f>IF($D43="","",IF(ISNA(MATCH($D43,'Paramètres'!$M:$M,0)),"⚠ Type inconnu",IF($L43="Crédit","",IFERROR(INDEX('Paramètres'!$O:$O,MATCH($D43,'Paramètres'!$M:$M,0))&amp;"",""))))</f>
        <v>Dépense Occasionnelle</v>
      </c>
      <c r="N43" s="6" t="str">
        <f>IF($D43="","",IFERROR(INDEX('Paramètres'!$Q:$Q,MATCH($D43,'Paramètres'!$M:$M,0))&amp;"",""))</f>
        <v>Autre</v>
      </c>
      <c r="O43" s="6">
        <f>IF($A43="","",IF(OR($J43&lt;&gt;"x",$A43&lt;=FinReleve),1,0))</f>
        <v>1</v>
      </c>
      <c r="P43" s="6">
        <f>IF($D43="","",IF(AND($L43="Crédit",OR(IFERROR(INDEX('Paramètres'!$O:$O,MATCH($D43,'Paramètres'!$M:$M,0))&amp;"","")&lt;&gt;"",ISNUMBER(SEARCH("remboursement",IFERROR(INDEX('Paramètres'!$N:$N,MATCH($D43,'Paramètres'!$M:$M,0))&amp;"",""))))),1,0))</f>
        <v>0</v>
      </c>
      <c r="Q43" s="6">
        <f>IF($K43="","",IF(ISNUMBER(SEARCH("transfert-interne",IFERROR(INDEX('Paramètres'!$N:$N,MATCH($D43,'Paramètres'!$M:$M,0))&amp;"",""))),0,IF($L43="Débit",$K43,IF($P43=1,-$K43,0))))</f>
        <v>183.02</v>
      </c>
      <c r="R43" s="6">
        <f>IF($K43="","",IF($L43="Crédit",$K43,-$K43))</f>
        <v>-183.02</v>
      </c>
      <c r="S43" s="6" t="str">
        <f>IF($C43="","",IFERROR(INDEX('Paramètres'!$H:$H,MATCH($C43,'Paramètres'!$D:$D,0))&amp;"",""))</f>
        <v>Banque A - Courant</v>
      </c>
      <c r="T43" s="6">
        <f>IF($K43="","",IF($S43="",0,IF(ISNUMBER(SEARCH("apport-exterieur",IFERROR(INDEX('Paramètres'!$N:$N,MATCH($D43,'Paramètres'!$M:$M,0))&amp;"",""))),0,IF(OR(IFERROR(INDEX('Paramètres'!$I:$I,MATCH($C43,'Paramètres'!$D:$D,0))&amp;"","")="Les deux",IFERROR(INDEX('Paramètres'!$I:$I,MATCH($C43,'Paramètres'!$D:$D,0))&amp;"","")=IF($P43=1,"Débit",$L43)),-IF($P43=1,-$K43,$K43),0))))</f>
        <v>-183.02</v>
      </c>
      <c r="U43" s="6">
        <f>IF($K43="","",IF(ISNUMBER(SEARCH("sortie-epargne",IFERROR(INDEX('Paramètres'!$N:$N,MATCH($D43,'Paramètres'!$M:$M,0))&amp;"",""))),$K43,0))</f>
        <v>0</v>
      </c>
      <c r="V43" s="6" t="str">
        <f>IF(AND($A43&lt;&gt;"",$O43=1,$L43="Débit",N($Q43)&gt;0,$A43&gt;=Visualisation!$B$1,$A43&lt;Visualisation!$D$1),MAX($V$1:V42)+1,"")</f>
        <v/>
      </c>
    </row>
    <row r="44" spans="1:22" x14ac:dyDescent="0.25">
      <c r="A44" s="9">
        <v>45563</v>
      </c>
      <c r="B44" s="4" t="s">
        <v>118</v>
      </c>
      <c r="C44" s="4" t="s">
        <v>75</v>
      </c>
      <c r="D44" s="4" t="s">
        <v>118</v>
      </c>
      <c r="E44" s="10">
        <v>3</v>
      </c>
      <c r="G44" s="4"/>
      <c r="H44" s="4"/>
      <c r="I44" s="4"/>
      <c r="K44" s="11">
        <f>IF($E44="","",ROUND($E44*IF(ISNA(MATCH($C44,'Paramètres'!$D:$D,0)),1,IF(INDEX('Paramètres'!$J:$J,MATCH($C44,'Paramètres'!$D:$D,0))="",1,INDEX('Paramètres'!$J:$J,MATCH($C44,'Paramètres'!$D:$D,0)))),2))</f>
        <v>3</v>
      </c>
      <c r="L44" s="6" t="str">
        <f>IF($D44="","",IF($F44&lt;&gt;"",$F44,IF(ISNA(MATCH($D44,'Paramètres'!$M:$M,0)),"⚠ Type inconnu",IFERROR(INDEX('Paramètres'!$P:$P,MATCH($D44,'Paramètres'!$M:$M,0))&amp;"",""))))</f>
        <v>Débit</v>
      </c>
      <c r="M44" s="6" t="str">
        <f>IF($D44="","",IF(ISNA(MATCH($D44,'Paramètres'!$M:$M,0)),"⚠ Type inconnu",IF($L44="Crédit","",IFERROR(INDEX('Paramètres'!$O:$O,MATCH($D44,'Paramètres'!$M:$M,0))&amp;"",""))))</f>
        <v>Dépense Fixe</v>
      </c>
      <c r="N44" s="6" t="str">
        <f>IF($D44="","",IFERROR(INDEX('Paramètres'!$Q:$Q,MATCH($D44,'Paramètres'!$M:$M,0))&amp;"",""))</f>
        <v>Banque</v>
      </c>
      <c r="O44" s="6">
        <f>IF($A44="","",IF(OR($J44&lt;&gt;"x",$A44&lt;=FinReleve),1,0))</f>
        <v>1</v>
      </c>
      <c r="P44" s="6">
        <f>IF($D44="","",IF(AND($L44="Crédit",OR(IFERROR(INDEX('Paramètres'!$O:$O,MATCH($D44,'Paramètres'!$M:$M,0))&amp;"","")&lt;&gt;"",ISNUMBER(SEARCH("remboursement",IFERROR(INDEX('Paramètres'!$N:$N,MATCH($D44,'Paramètres'!$M:$M,0))&amp;"",""))))),1,0))</f>
        <v>0</v>
      </c>
      <c r="Q44" s="6">
        <f>IF($K44="","",IF(ISNUMBER(SEARCH("transfert-interne",IFERROR(INDEX('Paramètres'!$N:$N,MATCH($D44,'Paramètres'!$M:$M,0))&amp;"",""))),0,IF($L44="Débit",$K44,IF($P44=1,-$K44,0))))</f>
        <v>3</v>
      </c>
      <c r="R44" s="6">
        <f>IF($K44="","",IF($L44="Crédit",$K44,-$K44))</f>
        <v>-3</v>
      </c>
      <c r="S44" s="6" t="str">
        <f>IF($C44="","",IFERROR(INDEX('Paramètres'!$H:$H,MATCH($C44,'Paramètres'!$D:$D,0))&amp;"",""))</f>
        <v/>
      </c>
      <c r="T44" s="6">
        <f>IF($K44="","",IF($S44="",0,IF(ISNUMBER(SEARCH("apport-exterieur",IFERROR(INDEX('Paramètres'!$N:$N,MATCH($D44,'Paramètres'!$M:$M,0))&amp;"",""))),0,IF(OR(IFERROR(INDEX('Paramètres'!$I:$I,MATCH($C44,'Paramètres'!$D:$D,0))&amp;"","")="Les deux",IFERROR(INDEX('Paramètres'!$I:$I,MATCH($C44,'Paramètres'!$D:$D,0))&amp;"","")=IF($P44=1,"Débit",$L44)),-IF($P44=1,-$K44,$K44),0))))</f>
        <v>0</v>
      </c>
      <c r="U44" s="6">
        <f>IF($K44="","",IF(ISNUMBER(SEARCH("sortie-epargne",IFERROR(INDEX('Paramètres'!$N:$N,MATCH($D44,'Paramètres'!$M:$M,0))&amp;"",""))),$K44,0))</f>
        <v>0</v>
      </c>
      <c r="V44" s="6" t="str">
        <f>IF(AND($A44&lt;&gt;"",$O44=1,$L44="Débit",N($Q44)&gt;0,$A44&gt;=Visualisation!$B$1,$A44&lt;Visualisation!$D$1),MAX($V$1:V43)+1,"")</f>
        <v/>
      </c>
    </row>
    <row r="45" spans="1:22" x14ac:dyDescent="0.25">
      <c r="A45" s="9">
        <v>45566</v>
      </c>
      <c r="B45" s="4" t="s">
        <v>69</v>
      </c>
      <c r="C45" s="4" t="s">
        <v>70</v>
      </c>
      <c r="D45" s="4" t="s">
        <v>71</v>
      </c>
      <c r="E45" s="10">
        <v>8.25</v>
      </c>
      <c r="G45" s="4" t="s">
        <v>72</v>
      </c>
      <c r="H45" s="4"/>
      <c r="I45" s="4" t="s">
        <v>93</v>
      </c>
      <c r="K45" s="11">
        <f>IF($E45="","",ROUND($E45*IF(ISNA(MATCH($C45,'Paramètres'!$D:$D,0)),1,IF(INDEX('Paramètres'!$J:$J,MATCH($C45,'Paramètres'!$D:$D,0))="",1,INDEX('Paramètres'!$J:$J,MATCH($C45,'Paramètres'!$D:$D,0)))),2))</f>
        <v>8.25</v>
      </c>
      <c r="L45" s="6" t="str">
        <f>IF($D45="","",IF($F45&lt;&gt;"",$F45,IF(ISNA(MATCH($D45,'Paramètres'!$M:$M,0)),"⚠ Type inconnu",IFERROR(INDEX('Paramètres'!$P:$P,MATCH($D45,'Paramètres'!$M:$M,0))&amp;"",""))))</f>
        <v>Débit</v>
      </c>
      <c r="M45" s="6" t="str">
        <f>IF($D45="","",IF(ISNA(MATCH($D45,'Paramètres'!$M:$M,0)),"⚠ Type inconnu",IF($L45="Crédit","",IFERROR(INDEX('Paramètres'!$O:$O,MATCH($D45,'Paramètres'!$M:$M,0))&amp;"",""))))</f>
        <v>Dépense Courante</v>
      </c>
      <c r="N45" s="6" t="str">
        <f>IF($D45="","",IFERROR(INDEX('Paramètres'!$Q:$Q,MATCH($D45,'Paramètres'!$M:$M,0))&amp;"",""))</f>
        <v>Alimentation</v>
      </c>
      <c r="O45" s="6">
        <f>IF($A45="","",IF(OR($J45&lt;&gt;"x",$A45&lt;=FinReleve),1,0))</f>
        <v>1</v>
      </c>
      <c r="P45" s="6">
        <f>IF($D45="","",IF(AND($L45="Crédit",OR(IFERROR(INDEX('Paramètres'!$O:$O,MATCH($D45,'Paramètres'!$M:$M,0))&amp;"","")&lt;&gt;"",ISNUMBER(SEARCH("remboursement",IFERROR(INDEX('Paramètres'!$N:$N,MATCH($D45,'Paramètres'!$M:$M,0))&amp;"",""))))),1,0))</f>
        <v>0</v>
      </c>
      <c r="Q45" s="6">
        <f>IF($K45="","",IF(ISNUMBER(SEARCH("transfert-interne",IFERROR(INDEX('Paramètres'!$N:$N,MATCH($D45,'Paramètres'!$M:$M,0))&amp;"",""))),0,IF($L45="Débit",$K45,IF($P45=1,-$K45,0))))</f>
        <v>8.25</v>
      </c>
      <c r="R45" s="6">
        <f>IF($K45="","",IF($L45="Crédit",$K45,-$K45))</f>
        <v>-8.25</v>
      </c>
      <c r="S45" s="6" t="str">
        <f>IF($C45="","",IFERROR(INDEX('Paramètres'!$H:$H,MATCH($C45,'Paramètres'!$D:$D,0))&amp;"",""))</f>
        <v/>
      </c>
      <c r="T45" s="6">
        <f>IF($K45="","",IF($S45="",0,IF(ISNUMBER(SEARCH("apport-exterieur",IFERROR(INDEX('Paramètres'!$N:$N,MATCH($D45,'Paramètres'!$M:$M,0))&amp;"",""))),0,IF(OR(IFERROR(INDEX('Paramètres'!$I:$I,MATCH($C45,'Paramètres'!$D:$D,0))&amp;"","")="Les deux",IFERROR(INDEX('Paramètres'!$I:$I,MATCH($C45,'Paramètres'!$D:$D,0))&amp;"","")=IF($P45=1,"Débit",$L45)),-IF($P45=1,-$K45,$K45),0))))</f>
        <v>0</v>
      </c>
      <c r="U45" s="6">
        <f>IF($K45="","",IF(ISNUMBER(SEARCH("sortie-epargne",IFERROR(INDEX('Paramètres'!$N:$N,MATCH($D45,'Paramètres'!$M:$M,0))&amp;"",""))),$K45,0))</f>
        <v>0</v>
      </c>
      <c r="V45" s="6" t="str">
        <f>IF(AND($A45&lt;&gt;"",$O45=1,$L45="Débit",N($Q45)&gt;0,$A45&gt;=Visualisation!$B$1,$A45&lt;Visualisation!$D$1),MAX($V$1:V44)+1,"")</f>
        <v/>
      </c>
    </row>
    <row r="46" spans="1:22" x14ac:dyDescent="0.25">
      <c r="A46" s="9">
        <v>45566</v>
      </c>
      <c r="B46" s="4" t="s">
        <v>90</v>
      </c>
      <c r="C46" s="4" t="s">
        <v>75</v>
      </c>
      <c r="D46" s="4" t="s">
        <v>91</v>
      </c>
      <c r="E46" s="10">
        <v>70.7</v>
      </c>
      <c r="G46" s="4" t="s">
        <v>104</v>
      </c>
      <c r="H46" s="4"/>
      <c r="I46" s="4" t="s">
        <v>79</v>
      </c>
      <c r="K46" s="11">
        <f>IF($E46="","",ROUND($E46*IF(ISNA(MATCH($C46,'Paramètres'!$D:$D,0)),1,IF(INDEX('Paramètres'!$J:$J,MATCH($C46,'Paramètres'!$D:$D,0))="",1,INDEX('Paramètres'!$J:$J,MATCH($C46,'Paramètres'!$D:$D,0)))),2))</f>
        <v>70.7</v>
      </c>
      <c r="L46" s="6" t="str">
        <f>IF($D46="","",IF($F46&lt;&gt;"",$F46,IF(ISNA(MATCH($D46,'Paramètres'!$M:$M,0)),"⚠ Type inconnu",IFERROR(INDEX('Paramètres'!$P:$P,MATCH($D46,'Paramètres'!$M:$M,0))&amp;"",""))))</f>
        <v>Débit</v>
      </c>
      <c r="M46" s="6" t="str">
        <f>IF($D46="","",IF(ISNA(MATCH($D46,'Paramètres'!$M:$M,0)),"⚠ Type inconnu",IF($L46="Crédit","",IFERROR(INDEX('Paramètres'!$O:$O,MATCH($D46,'Paramètres'!$M:$M,0))&amp;"",""))))</f>
        <v>Dépense Courante</v>
      </c>
      <c r="N46" s="6" t="str">
        <f>IF($D46="","",IFERROR(INDEX('Paramètres'!$Q:$Q,MATCH($D46,'Paramètres'!$M:$M,0))&amp;"",""))</f>
        <v>Transport</v>
      </c>
      <c r="O46" s="6">
        <f>IF($A46="","",IF(OR($J46&lt;&gt;"x",$A46&lt;=FinReleve),1,0))</f>
        <v>1</v>
      </c>
      <c r="P46" s="6">
        <f>IF($D46="","",IF(AND($L46="Crédit",OR(IFERROR(INDEX('Paramètres'!$O:$O,MATCH($D46,'Paramètres'!$M:$M,0))&amp;"","")&lt;&gt;"",ISNUMBER(SEARCH("remboursement",IFERROR(INDEX('Paramètres'!$N:$N,MATCH($D46,'Paramètres'!$M:$M,0))&amp;"",""))))),1,0))</f>
        <v>0</v>
      </c>
      <c r="Q46" s="6">
        <f>IF($K46="","",IF(ISNUMBER(SEARCH("transfert-interne",IFERROR(INDEX('Paramètres'!$N:$N,MATCH($D46,'Paramètres'!$M:$M,0))&amp;"",""))),0,IF($L46="Débit",$K46,IF($P46=1,-$K46,0))))</f>
        <v>70.7</v>
      </c>
      <c r="R46" s="6">
        <f>IF($K46="","",IF($L46="Crédit",$K46,-$K46))</f>
        <v>-70.7</v>
      </c>
      <c r="S46" s="6" t="str">
        <f>IF($C46="","",IFERROR(INDEX('Paramètres'!$H:$H,MATCH($C46,'Paramètres'!$D:$D,0))&amp;"",""))</f>
        <v/>
      </c>
      <c r="T46" s="6">
        <f>IF($K46="","",IF($S46="",0,IF(ISNUMBER(SEARCH("apport-exterieur",IFERROR(INDEX('Paramètres'!$N:$N,MATCH($D46,'Paramètres'!$M:$M,0))&amp;"",""))),0,IF(OR(IFERROR(INDEX('Paramètres'!$I:$I,MATCH($C46,'Paramètres'!$D:$D,0))&amp;"","")="Les deux",IFERROR(INDEX('Paramètres'!$I:$I,MATCH($C46,'Paramètres'!$D:$D,0))&amp;"","")=IF($P46=1,"Débit",$L46)),-IF($P46=1,-$K46,$K46),0))))</f>
        <v>0</v>
      </c>
      <c r="U46" s="6">
        <f>IF($K46="","",IF(ISNUMBER(SEARCH("sortie-epargne",IFERROR(INDEX('Paramètres'!$N:$N,MATCH($D46,'Paramètres'!$M:$M,0))&amp;"",""))),$K46,0))</f>
        <v>0</v>
      </c>
      <c r="V46" s="6" t="str">
        <f>IF(AND($A46&lt;&gt;"",$O46=1,$L46="Débit",N($Q46)&gt;0,$A46&gt;=Visualisation!$B$1,$A46&lt;Visualisation!$D$1),MAX($V$1:V45)+1,"")</f>
        <v/>
      </c>
    </row>
    <row r="47" spans="1:22" x14ac:dyDescent="0.25">
      <c r="A47" s="9">
        <v>45567</v>
      </c>
      <c r="B47" s="4" t="s">
        <v>64</v>
      </c>
      <c r="C47" s="4" t="s">
        <v>65</v>
      </c>
      <c r="D47" s="4" t="s">
        <v>66</v>
      </c>
      <c r="E47" s="10">
        <v>1160</v>
      </c>
      <c r="G47" s="4"/>
      <c r="H47" s="4"/>
      <c r="I47" s="4"/>
      <c r="K47" s="11">
        <f>IF($E47="","",ROUND($E47*IF(ISNA(MATCH($C47,'Paramètres'!$D:$D,0)),1,IF(INDEX('Paramètres'!$J:$J,MATCH($C47,'Paramètres'!$D:$D,0))="",1,INDEX('Paramètres'!$J:$J,MATCH($C47,'Paramètres'!$D:$D,0)))),2))</f>
        <v>1160</v>
      </c>
      <c r="L47" s="6" t="str">
        <f>IF($D47="","",IF($F47&lt;&gt;"",$F47,IF(ISNA(MATCH($D47,'Paramètres'!$M:$M,0)),"⚠ Type inconnu",IFERROR(INDEX('Paramètres'!$P:$P,MATCH($D47,'Paramètres'!$M:$M,0))&amp;"",""))))</f>
        <v>Crédit</v>
      </c>
      <c r="M47" s="6" t="str">
        <f>IF($D47="","",IF(ISNA(MATCH($D47,'Paramètres'!$M:$M,0)),"⚠ Type inconnu",IF($L47="Crédit","",IFERROR(INDEX('Paramètres'!$O:$O,MATCH($D47,'Paramètres'!$M:$M,0))&amp;"",""))))</f>
        <v/>
      </c>
      <c r="N47" s="6" t="str">
        <f>IF($D47="","",IFERROR(INDEX('Paramètres'!$Q:$Q,MATCH($D47,'Paramètres'!$M:$M,0))&amp;"",""))</f>
        <v>Comptes Bancaires</v>
      </c>
      <c r="O47" s="6">
        <f>IF($A47="","",IF(OR($J47&lt;&gt;"x",$A47&lt;=FinReleve),1,0))</f>
        <v>1</v>
      </c>
      <c r="P47" s="6">
        <f>IF($D47="","",IF(AND($L47="Crédit",OR(IFERROR(INDEX('Paramètres'!$O:$O,MATCH($D47,'Paramètres'!$M:$M,0))&amp;"","")&lt;&gt;"",ISNUMBER(SEARCH("remboursement",IFERROR(INDEX('Paramètres'!$N:$N,MATCH($D47,'Paramètres'!$M:$M,0))&amp;"",""))))),1,0))</f>
        <v>0</v>
      </c>
      <c r="Q47" s="6">
        <f>IF($K47="","",IF(ISNUMBER(SEARCH("transfert-interne",IFERROR(INDEX('Paramètres'!$N:$N,MATCH($D47,'Paramètres'!$M:$M,0))&amp;"",""))),0,IF($L47="Débit",$K47,IF($P47=1,-$K47,0))))</f>
        <v>0</v>
      </c>
      <c r="R47" s="6">
        <f>IF($K47="","",IF($L47="Crédit",$K47,-$K47))</f>
        <v>1160</v>
      </c>
      <c r="S47" s="6" t="str">
        <f>IF($C47="","",IFERROR(INDEX('Paramètres'!$H:$H,MATCH($C47,'Paramètres'!$D:$D,0))&amp;"",""))</f>
        <v>Banque A - Courant</v>
      </c>
      <c r="T47" s="6">
        <f>IF($K47="","",IF($S47="",0,IF(ISNUMBER(SEARCH("apport-exterieur",IFERROR(INDEX('Paramètres'!$N:$N,MATCH($D47,'Paramètres'!$M:$M,0))&amp;"",""))),0,IF(OR(IFERROR(INDEX('Paramètres'!$I:$I,MATCH($C47,'Paramètres'!$D:$D,0))&amp;"","")="Les deux",IFERROR(INDEX('Paramètres'!$I:$I,MATCH($C47,'Paramètres'!$D:$D,0))&amp;"","")=IF($P47=1,"Débit",$L47)),-IF($P47=1,-$K47,$K47),0))))</f>
        <v>-1160</v>
      </c>
      <c r="U47" s="6">
        <f>IF($K47="","",IF(ISNUMBER(SEARCH("sortie-epargne",IFERROR(INDEX('Paramètres'!$N:$N,MATCH($D47,'Paramètres'!$M:$M,0))&amp;"",""))),$K47,0))</f>
        <v>0</v>
      </c>
      <c r="V47" s="6" t="str">
        <f>IF(AND($A47&lt;&gt;"",$O47=1,$L47="Débit",N($Q47)&gt;0,$A47&gt;=Visualisation!$B$1,$A47&lt;Visualisation!$D$1),MAX($V$1:V46)+1,"")</f>
        <v/>
      </c>
    </row>
    <row r="48" spans="1:22" x14ac:dyDescent="0.25">
      <c r="A48" s="9">
        <v>45567</v>
      </c>
      <c r="B48" s="4" t="s">
        <v>64</v>
      </c>
      <c r="C48" s="4" t="s">
        <v>67</v>
      </c>
      <c r="D48" s="4" t="s">
        <v>68</v>
      </c>
      <c r="E48" s="10">
        <v>600</v>
      </c>
      <c r="G48" s="4"/>
      <c r="H48" s="4"/>
      <c r="I48" s="4"/>
      <c r="K48" s="11">
        <f>IF($E48="","",ROUND($E48*IF(ISNA(MATCH($C48,'Paramètres'!$D:$D,0)),1,IF(INDEX('Paramètres'!$J:$J,MATCH($C48,'Paramètres'!$D:$D,0))="",1,INDEX('Paramètres'!$J:$J,MATCH($C48,'Paramètres'!$D:$D,0)))),2))</f>
        <v>300</v>
      </c>
      <c r="L48" s="6" t="str">
        <f>IF($D48="","",IF($F48&lt;&gt;"",$F48,IF(ISNA(MATCH($D48,'Paramètres'!$M:$M,0)),"⚠ Type inconnu",IFERROR(INDEX('Paramètres'!$P:$P,MATCH($D48,'Paramètres'!$M:$M,0))&amp;"",""))))</f>
        <v>Crédit</v>
      </c>
      <c r="M48" s="6" t="str">
        <f>IF($D48="","",IF(ISNA(MATCH($D48,'Paramètres'!$M:$M,0)),"⚠ Type inconnu",IF($L48="Crédit","",IFERROR(INDEX('Paramètres'!$O:$O,MATCH($D48,'Paramètres'!$M:$M,0))&amp;"",""))))</f>
        <v/>
      </c>
      <c r="N48" s="6" t="str">
        <f>IF($D48="","",IFERROR(INDEX('Paramètres'!$Q:$Q,MATCH($D48,'Paramètres'!$M:$M,0))&amp;"",""))</f>
        <v>Comptes Bancaires</v>
      </c>
      <c r="O48" s="6">
        <f>IF($A48="","",IF(OR($J48&lt;&gt;"x",$A48&lt;=FinReleve),1,0))</f>
        <v>1</v>
      </c>
      <c r="P48" s="6">
        <f>IF($D48="","",IF(AND($L48="Crédit",OR(IFERROR(INDEX('Paramètres'!$O:$O,MATCH($D48,'Paramètres'!$M:$M,0))&amp;"","")&lt;&gt;"",ISNUMBER(SEARCH("remboursement",IFERROR(INDEX('Paramètres'!$N:$N,MATCH($D48,'Paramètres'!$M:$M,0))&amp;"",""))))),1,0))</f>
        <v>0</v>
      </c>
      <c r="Q48" s="6">
        <f>IF($K48="","",IF(ISNUMBER(SEARCH("transfert-interne",IFERROR(INDEX('Paramètres'!$N:$N,MATCH($D48,'Paramètres'!$M:$M,0))&amp;"",""))),0,IF($L48="Débit",$K48,IF($P48=1,-$K48,0))))</f>
        <v>0</v>
      </c>
      <c r="R48" s="6">
        <f>IF($K48="","",IF($L48="Crédit",$K48,-$K48))</f>
        <v>300</v>
      </c>
      <c r="S48" s="6" t="str">
        <f>IF($C48="","",IFERROR(INDEX('Paramètres'!$H:$H,MATCH($C48,'Paramètres'!$D:$D,0))&amp;"",""))</f>
        <v>Banque A - Courant</v>
      </c>
      <c r="T48" s="6">
        <f>IF($K48="","",IF($S48="",0,IF(ISNUMBER(SEARCH("apport-exterieur",IFERROR(INDEX('Paramètres'!$N:$N,MATCH($D48,'Paramètres'!$M:$M,0))&amp;"",""))),0,IF(OR(IFERROR(INDEX('Paramètres'!$I:$I,MATCH($C48,'Paramètres'!$D:$D,0))&amp;"","")="Les deux",IFERROR(INDEX('Paramètres'!$I:$I,MATCH($C48,'Paramètres'!$D:$D,0))&amp;"","")=IF($P48=1,"Débit",$L48)),-IF($P48=1,-$K48,$K48),0))))</f>
        <v>-300</v>
      </c>
      <c r="U48" s="6">
        <f>IF($K48="","",IF(ISNUMBER(SEARCH("sortie-epargne",IFERROR(INDEX('Paramètres'!$N:$N,MATCH($D48,'Paramètres'!$M:$M,0))&amp;"",""))),$K48,0))</f>
        <v>0</v>
      </c>
      <c r="V48" s="6" t="str">
        <f>IF(AND($A48&lt;&gt;"",$O48=1,$L48="Débit",N($Q48)&gt;0,$A48&gt;=Visualisation!$B$1,$A48&lt;Visualisation!$D$1),MAX($V$1:V47)+1,"")</f>
        <v/>
      </c>
    </row>
    <row r="49" spans="1:22" x14ac:dyDescent="0.25">
      <c r="A49" s="9">
        <v>45567</v>
      </c>
      <c r="B49" s="4" t="s">
        <v>69</v>
      </c>
      <c r="C49" s="4" t="s">
        <v>70</v>
      </c>
      <c r="D49" s="4" t="s">
        <v>71</v>
      </c>
      <c r="E49" s="10">
        <v>12.56</v>
      </c>
      <c r="G49" s="4" t="s">
        <v>72</v>
      </c>
      <c r="H49" s="4"/>
      <c r="I49" s="4" t="s">
        <v>79</v>
      </c>
      <c r="K49" s="11">
        <f>IF($E49="","",ROUND($E49*IF(ISNA(MATCH($C49,'Paramètres'!$D:$D,0)),1,IF(INDEX('Paramètres'!$J:$J,MATCH($C49,'Paramètres'!$D:$D,0))="",1,INDEX('Paramètres'!$J:$J,MATCH($C49,'Paramètres'!$D:$D,0)))),2))</f>
        <v>12.56</v>
      </c>
      <c r="L49" s="6" t="str">
        <f>IF($D49="","",IF($F49&lt;&gt;"",$F49,IF(ISNA(MATCH($D49,'Paramètres'!$M:$M,0)),"⚠ Type inconnu",IFERROR(INDEX('Paramètres'!$P:$P,MATCH($D49,'Paramètres'!$M:$M,0))&amp;"",""))))</f>
        <v>Débit</v>
      </c>
      <c r="M49" s="6" t="str">
        <f>IF($D49="","",IF(ISNA(MATCH($D49,'Paramètres'!$M:$M,0)),"⚠ Type inconnu",IF($L49="Crédit","",IFERROR(INDEX('Paramètres'!$O:$O,MATCH($D49,'Paramètres'!$M:$M,0))&amp;"",""))))</f>
        <v>Dépense Courante</v>
      </c>
      <c r="N49" s="6" t="str">
        <f>IF($D49="","",IFERROR(INDEX('Paramètres'!$Q:$Q,MATCH($D49,'Paramètres'!$M:$M,0))&amp;"",""))</f>
        <v>Alimentation</v>
      </c>
      <c r="O49" s="6">
        <f>IF($A49="","",IF(OR($J49&lt;&gt;"x",$A49&lt;=FinReleve),1,0))</f>
        <v>1</v>
      </c>
      <c r="P49" s="6">
        <f>IF($D49="","",IF(AND($L49="Crédit",OR(IFERROR(INDEX('Paramètres'!$O:$O,MATCH($D49,'Paramètres'!$M:$M,0))&amp;"","")&lt;&gt;"",ISNUMBER(SEARCH("remboursement",IFERROR(INDEX('Paramètres'!$N:$N,MATCH($D49,'Paramètres'!$M:$M,0))&amp;"",""))))),1,0))</f>
        <v>0</v>
      </c>
      <c r="Q49" s="6">
        <f>IF($K49="","",IF(ISNUMBER(SEARCH("transfert-interne",IFERROR(INDEX('Paramètres'!$N:$N,MATCH($D49,'Paramètres'!$M:$M,0))&amp;"",""))),0,IF($L49="Débit",$K49,IF($P49=1,-$K49,0))))</f>
        <v>12.56</v>
      </c>
      <c r="R49" s="6">
        <f>IF($K49="","",IF($L49="Crédit",$K49,-$K49))</f>
        <v>-12.56</v>
      </c>
      <c r="S49" s="6" t="str">
        <f>IF($C49="","",IFERROR(INDEX('Paramètres'!$H:$H,MATCH($C49,'Paramètres'!$D:$D,0))&amp;"",""))</f>
        <v/>
      </c>
      <c r="T49" s="6">
        <f>IF($K49="","",IF($S49="",0,IF(ISNUMBER(SEARCH("apport-exterieur",IFERROR(INDEX('Paramètres'!$N:$N,MATCH($D49,'Paramètres'!$M:$M,0))&amp;"",""))),0,IF(OR(IFERROR(INDEX('Paramètres'!$I:$I,MATCH($C49,'Paramètres'!$D:$D,0))&amp;"","")="Les deux",IFERROR(INDEX('Paramètres'!$I:$I,MATCH($C49,'Paramètres'!$D:$D,0))&amp;"","")=IF($P49=1,"Débit",$L49)),-IF($P49=1,-$K49,$K49),0))))</f>
        <v>0</v>
      </c>
      <c r="U49" s="6">
        <f>IF($K49="","",IF(ISNUMBER(SEARCH("sortie-epargne",IFERROR(INDEX('Paramètres'!$N:$N,MATCH($D49,'Paramètres'!$M:$M,0))&amp;"",""))),$K49,0))</f>
        <v>0</v>
      </c>
      <c r="V49" s="6" t="str">
        <f>IF(AND($A49&lt;&gt;"",$O49=1,$L49="Débit",N($Q49)&gt;0,$A49&gt;=Visualisation!$B$1,$A49&lt;Visualisation!$D$1),MAX($V$1:V48)+1,"")</f>
        <v/>
      </c>
    </row>
    <row r="50" spans="1:22" x14ac:dyDescent="0.25">
      <c r="A50" s="9">
        <v>45568</v>
      </c>
      <c r="B50" s="4" t="s">
        <v>74</v>
      </c>
      <c r="C50" s="4" t="s">
        <v>75</v>
      </c>
      <c r="D50" s="4" t="s">
        <v>74</v>
      </c>
      <c r="E50" s="10">
        <v>88.8</v>
      </c>
      <c r="G50" s="4"/>
      <c r="H50" s="4"/>
      <c r="I50" s="4"/>
      <c r="K50" s="11">
        <f>IF($E50="","",ROUND($E50*IF(ISNA(MATCH($C50,'Paramètres'!$D:$D,0)),1,IF(INDEX('Paramètres'!$J:$J,MATCH($C50,'Paramètres'!$D:$D,0))="",1,INDEX('Paramètres'!$J:$J,MATCH($C50,'Paramètres'!$D:$D,0)))),2))</f>
        <v>88.8</v>
      </c>
      <c r="L50" s="6" t="str">
        <f>IF($D50="","",IF($F50&lt;&gt;"",$F50,IF(ISNA(MATCH($D50,'Paramètres'!$M:$M,0)),"⚠ Type inconnu",IFERROR(INDEX('Paramètres'!$P:$P,MATCH($D50,'Paramètres'!$M:$M,0))&amp;"",""))))</f>
        <v>Débit</v>
      </c>
      <c r="M50" s="6" t="str">
        <f>IF($D50="","",IF(ISNA(MATCH($D50,'Paramètres'!$M:$M,0)),"⚠ Type inconnu",IF($L50="Crédit","",IFERROR(INDEX('Paramètres'!$O:$O,MATCH($D50,'Paramètres'!$M:$M,0))&amp;"",""))))</f>
        <v>Dépense Fixe</v>
      </c>
      <c r="N50" s="6" t="str">
        <f>IF($D50="","",IFERROR(INDEX('Paramètres'!$Q:$Q,MATCH($D50,'Paramètres'!$M:$M,0))&amp;"",""))</f>
        <v>Transport</v>
      </c>
      <c r="O50" s="6">
        <f>IF($A50="","",IF(OR($J50&lt;&gt;"x",$A50&lt;=FinReleve),1,0))</f>
        <v>1</v>
      </c>
      <c r="P50" s="6">
        <f>IF($D50="","",IF(AND($L50="Crédit",OR(IFERROR(INDEX('Paramètres'!$O:$O,MATCH($D50,'Paramètres'!$M:$M,0))&amp;"","")&lt;&gt;"",ISNUMBER(SEARCH("remboursement",IFERROR(INDEX('Paramètres'!$N:$N,MATCH($D50,'Paramètres'!$M:$M,0))&amp;"",""))))),1,0))</f>
        <v>0</v>
      </c>
      <c r="Q50" s="6">
        <f>IF($K50="","",IF(ISNUMBER(SEARCH("transfert-interne",IFERROR(INDEX('Paramètres'!$N:$N,MATCH($D50,'Paramètres'!$M:$M,0))&amp;"",""))),0,IF($L50="Débit",$K50,IF($P50=1,-$K50,0))))</f>
        <v>88.8</v>
      </c>
      <c r="R50" s="6">
        <f>IF($K50="","",IF($L50="Crédit",$K50,-$K50))</f>
        <v>-88.8</v>
      </c>
      <c r="S50" s="6" t="str">
        <f>IF($C50="","",IFERROR(INDEX('Paramètres'!$H:$H,MATCH($C50,'Paramètres'!$D:$D,0))&amp;"",""))</f>
        <v/>
      </c>
      <c r="T50" s="6">
        <f>IF($K50="","",IF($S50="",0,IF(ISNUMBER(SEARCH("apport-exterieur",IFERROR(INDEX('Paramètres'!$N:$N,MATCH($D50,'Paramètres'!$M:$M,0))&amp;"",""))),0,IF(OR(IFERROR(INDEX('Paramètres'!$I:$I,MATCH($C50,'Paramètres'!$D:$D,0))&amp;"","")="Les deux",IFERROR(INDEX('Paramètres'!$I:$I,MATCH($C50,'Paramètres'!$D:$D,0))&amp;"","")=IF($P50=1,"Débit",$L50)),-IF($P50=1,-$K50,$K50),0))))</f>
        <v>0</v>
      </c>
      <c r="U50" s="6">
        <f>IF($K50="","",IF(ISNUMBER(SEARCH("sortie-epargne",IFERROR(INDEX('Paramètres'!$N:$N,MATCH($D50,'Paramètres'!$M:$M,0))&amp;"",""))),$K50,0))</f>
        <v>0</v>
      </c>
      <c r="V50" s="6" t="str">
        <f>IF(AND($A50&lt;&gt;"",$O50=1,$L50="Débit",N($Q50)&gt;0,$A50&gt;=Visualisation!$B$1,$A50&lt;Visualisation!$D$1),MAX($V$1:V49)+1,"")</f>
        <v/>
      </c>
    </row>
    <row r="51" spans="1:22" x14ac:dyDescent="0.25">
      <c r="A51" s="9">
        <v>45568</v>
      </c>
      <c r="B51" s="4" t="s">
        <v>76</v>
      </c>
      <c r="C51" s="4" t="s">
        <v>67</v>
      </c>
      <c r="D51" s="4" t="s">
        <v>77</v>
      </c>
      <c r="E51" s="10">
        <v>135.24</v>
      </c>
      <c r="G51" s="4" t="s">
        <v>102</v>
      </c>
      <c r="H51" s="4"/>
      <c r="I51" s="4" t="s">
        <v>63</v>
      </c>
      <c r="K51" s="11">
        <f>IF($E51="","",ROUND($E51*IF(ISNA(MATCH($C51,'Paramètres'!$D:$D,0)),1,IF(INDEX('Paramètres'!$J:$J,MATCH($C51,'Paramètres'!$D:$D,0))="",1,INDEX('Paramètres'!$J:$J,MATCH($C51,'Paramètres'!$D:$D,0)))),2))</f>
        <v>67.62</v>
      </c>
      <c r="L51" s="6" t="str">
        <f>IF($D51="","",IF($F51&lt;&gt;"",$F51,IF(ISNA(MATCH($D51,'Paramètres'!$M:$M,0)),"⚠ Type inconnu",IFERROR(INDEX('Paramètres'!$P:$P,MATCH($D51,'Paramètres'!$M:$M,0))&amp;"",""))))</f>
        <v>Débit</v>
      </c>
      <c r="M51" s="6" t="str">
        <f>IF($D51="","",IF(ISNA(MATCH($D51,'Paramètres'!$M:$M,0)),"⚠ Type inconnu",IF($L51="Crédit","",IFERROR(INDEX('Paramètres'!$O:$O,MATCH($D51,'Paramètres'!$M:$M,0))&amp;"",""))))</f>
        <v>Dépense Courante</v>
      </c>
      <c r="N51" s="6" t="str">
        <f>IF($D51="","",IFERROR(INDEX('Paramètres'!$Q:$Q,MATCH($D51,'Paramètres'!$M:$M,0))&amp;"",""))</f>
        <v>Alimentation</v>
      </c>
      <c r="O51" s="6">
        <f>IF($A51="","",IF(OR($J51&lt;&gt;"x",$A51&lt;=FinReleve),1,0))</f>
        <v>1</v>
      </c>
      <c r="P51" s="6">
        <f>IF($D51="","",IF(AND($L51="Crédit",OR(IFERROR(INDEX('Paramètres'!$O:$O,MATCH($D51,'Paramètres'!$M:$M,0))&amp;"","")&lt;&gt;"",ISNUMBER(SEARCH("remboursement",IFERROR(INDEX('Paramètres'!$N:$N,MATCH($D51,'Paramètres'!$M:$M,0))&amp;"",""))))),1,0))</f>
        <v>0</v>
      </c>
      <c r="Q51" s="6">
        <f>IF($K51="","",IF(ISNUMBER(SEARCH("transfert-interne",IFERROR(INDEX('Paramètres'!$N:$N,MATCH($D51,'Paramètres'!$M:$M,0))&amp;"",""))),0,IF($L51="Débit",$K51,IF($P51=1,-$K51,0))))</f>
        <v>67.62</v>
      </c>
      <c r="R51" s="6">
        <f>IF($K51="","",IF($L51="Crédit",$K51,-$K51))</f>
        <v>-67.62</v>
      </c>
      <c r="S51" s="6" t="str">
        <f>IF($C51="","",IFERROR(INDEX('Paramètres'!$H:$H,MATCH($C51,'Paramètres'!$D:$D,0))&amp;"",""))</f>
        <v>Banque A - Courant</v>
      </c>
      <c r="T51" s="6">
        <f>IF($K51="","",IF($S51="",0,IF(ISNUMBER(SEARCH("apport-exterieur",IFERROR(INDEX('Paramètres'!$N:$N,MATCH($D51,'Paramètres'!$M:$M,0))&amp;"",""))),0,IF(OR(IFERROR(INDEX('Paramètres'!$I:$I,MATCH($C51,'Paramètres'!$D:$D,0))&amp;"","")="Les deux",IFERROR(INDEX('Paramètres'!$I:$I,MATCH($C51,'Paramètres'!$D:$D,0))&amp;"","")=IF($P51=1,"Débit",$L51)),-IF($P51=1,-$K51,$K51),0))))</f>
        <v>0</v>
      </c>
      <c r="U51" s="6">
        <f>IF($K51="","",IF(ISNUMBER(SEARCH("sortie-epargne",IFERROR(INDEX('Paramètres'!$N:$N,MATCH($D51,'Paramètres'!$M:$M,0))&amp;"",""))),$K51,0))</f>
        <v>0</v>
      </c>
      <c r="V51" s="6" t="str">
        <f>IF(AND($A51&lt;&gt;"",$O51=1,$L51="Débit",N($Q51)&gt;0,$A51&gt;=Visualisation!$B$1,$A51&lt;Visualisation!$D$1),MAX($V$1:V50)+1,"")</f>
        <v/>
      </c>
    </row>
    <row r="52" spans="1:22" x14ac:dyDescent="0.25">
      <c r="A52" s="9">
        <v>45568</v>
      </c>
      <c r="B52" s="4" t="s">
        <v>69</v>
      </c>
      <c r="C52" s="4" t="s">
        <v>70</v>
      </c>
      <c r="D52" s="4" t="s">
        <v>71</v>
      </c>
      <c r="E52" s="10">
        <v>13.98</v>
      </c>
      <c r="G52" s="4" t="s">
        <v>72</v>
      </c>
      <c r="H52" s="4"/>
      <c r="I52" s="4" t="s">
        <v>63</v>
      </c>
      <c r="K52" s="11">
        <f>IF($E52="","",ROUND($E52*IF(ISNA(MATCH($C52,'Paramètres'!$D:$D,0)),1,IF(INDEX('Paramètres'!$J:$J,MATCH($C52,'Paramètres'!$D:$D,0))="",1,INDEX('Paramètres'!$J:$J,MATCH($C52,'Paramètres'!$D:$D,0)))),2))</f>
        <v>13.98</v>
      </c>
      <c r="L52" s="6" t="str">
        <f>IF($D52="","",IF($F52&lt;&gt;"",$F52,IF(ISNA(MATCH($D52,'Paramètres'!$M:$M,0)),"⚠ Type inconnu",IFERROR(INDEX('Paramètres'!$P:$P,MATCH($D52,'Paramètres'!$M:$M,0))&amp;"",""))))</f>
        <v>Débit</v>
      </c>
      <c r="M52" s="6" t="str">
        <f>IF($D52="","",IF(ISNA(MATCH($D52,'Paramètres'!$M:$M,0)),"⚠ Type inconnu",IF($L52="Crédit","",IFERROR(INDEX('Paramètres'!$O:$O,MATCH($D52,'Paramètres'!$M:$M,0))&amp;"",""))))</f>
        <v>Dépense Courante</v>
      </c>
      <c r="N52" s="6" t="str">
        <f>IF($D52="","",IFERROR(INDEX('Paramètres'!$Q:$Q,MATCH($D52,'Paramètres'!$M:$M,0))&amp;"",""))</f>
        <v>Alimentation</v>
      </c>
      <c r="O52" s="6">
        <f>IF($A52="","",IF(OR($J52&lt;&gt;"x",$A52&lt;=FinReleve),1,0))</f>
        <v>1</v>
      </c>
      <c r="P52" s="6">
        <f>IF($D52="","",IF(AND($L52="Crédit",OR(IFERROR(INDEX('Paramètres'!$O:$O,MATCH($D52,'Paramètres'!$M:$M,0))&amp;"","")&lt;&gt;"",ISNUMBER(SEARCH("remboursement",IFERROR(INDEX('Paramètres'!$N:$N,MATCH($D52,'Paramètres'!$M:$M,0))&amp;"",""))))),1,0))</f>
        <v>0</v>
      </c>
      <c r="Q52" s="6">
        <f>IF($K52="","",IF(ISNUMBER(SEARCH("transfert-interne",IFERROR(INDEX('Paramètres'!$N:$N,MATCH($D52,'Paramètres'!$M:$M,0))&amp;"",""))),0,IF($L52="Débit",$K52,IF($P52=1,-$K52,0))))</f>
        <v>13.98</v>
      </c>
      <c r="R52" s="6">
        <f>IF($K52="","",IF($L52="Crédit",$K52,-$K52))</f>
        <v>-13.98</v>
      </c>
      <c r="S52" s="6" t="str">
        <f>IF($C52="","",IFERROR(INDEX('Paramètres'!$H:$H,MATCH($C52,'Paramètres'!$D:$D,0))&amp;"",""))</f>
        <v/>
      </c>
      <c r="T52" s="6">
        <f>IF($K52="","",IF($S52="",0,IF(ISNUMBER(SEARCH("apport-exterieur",IFERROR(INDEX('Paramètres'!$N:$N,MATCH($D52,'Paramètres'!$M:$M,0))&amp;"",""))),0,IF(OR(IFERROR(INDEX('Paramètres'!$I:$I,MATCH($C52,'Paramètres'!$D:$D,0))&amp;"","")="Les deux",IFERROR(INDEX('Paramètres'!$I:$I,MATCH($C52,'Paramètres'!$D:$D,0))&amp;"","")=IF($P52=1,"Débit",$L52)),-IF($P52=1,-$K52,$K52),0))))</f>
        <v>0</v>
      </c>
      <c r="U52" s="6">
        <f>IF($K52="","",IF(ISNUMBER(SEARCH("sortie-epargne",IFERROR(INDEX('Paramètres'!$N:$N,MATCH($D52,'Paramètres'!$M:$M,0))&amp;"",""))),$K52,0))</f>
        <v>0</v>
      </c>
      <c r="V52" s="6" t="str">
        <f>IF(AND($A52&lt;&gt;"",$O52=1,$L52="Débit",N($Q52)&gt;0,$A52&gt;=Visualisation!$B$1,$A52&lt;Visualisation!$D$1),MAX($V$1:V51)+1,"")</f>
        <v/>
      </c>
    </row>
    <row r="53" spans="1:22" x14ac:dyDescent="0.25">
      <c r="A53" s="9">
        <v>45569</v>
      </c>
      <c r="B53" s="4" t="s">
        <v>80</v>
      </c>
      <c r="C53" s="4" t="s">
        <v>70</v>
      </c>
      <c r="D53" s="4" t="s">
        <v>81</v>
      </c>
      <c r="E53" s="10">
        <v>125.23</v>
      </c>
      <c r="G53" s="4"/>
      <c r="H53" s="4"/>
      <c r="I53" s="4"/>
      <c r="K53" s="11">
        <f>IF($E53="","",ROUND($E53*IF(ISNA(MATCH($C53,'Paramètres'!$D:$D,0)),1,IF(INDEX('Paramètres'!$J:$J,MATCH($C53,'Paramètres'!$D:$D,0))="",1,INDEX('Paramètres'!$J:$J,MATCH($C53,'Paramètres'!$D:$D,0)))),2))</f>
        <v>125.23</v>
      </c>
      <c r="L53" s="6" t="str">
        <f>IF($D53="","",IF($F53&lt;&gt;"",$F53,IF(ISNA(MATCH($D53,'Paramètres'!$M:$M,0)),"⚠ Type inconnu",IFERROR(INDEX('Paramètres'!$P:$P,MATCH($D53,'Paramètres'!$M:$M,0))&amp;"",""))))</f>
        <v>Crédit</v>
      </c>
      <c r="M53" s="6" t="str">
        <f>IF($D53="","",IF(ISNA(MATCH($D53,'Paramètres'!$M:$M,0)),"⚠ Type inconnu",IF($L53="Crédit","",IFERROR(INDEX('Paramètres'!$O:$O,MATCH($D53,'Paramètres'!$M:$M,0))&amp;"",""))))</f>
        <v/>
      </c>
      <c r="N53" s="6" t="str">
        <f>IF($D53="","",IFERROR(INDEX('Paramètres'!$Q:$Q,MATCH($D53,'Paramètres'!$M:$M,0))&amp;"",""))</f>
        <v>Comptes Bancaires</v>
      </c>
      <c r="O53" s="6">
        <f>IF($A53="","",IF(OR($J53&lt;&gt;"x",$A53&lt;=FinReleve),1,0))</f>
        <v>1</v>
      </c>
      <c r="P53" s="6">
        <f>IF($D53="","",IF(AND($L53="Crédit",OR(IFERROR(INDEX('Paramètres'!$O:$O,MATCH($D53,'Paramètres'!$M:$M,0))&amp;"","")&lt;&gt;"",ISNUMBER(SEARCH("remboursement",IFERROR(INDEX('Paramètres'!$N:$N,MATCH($D53,'Paramètres'!$M:$M,0))&amp;"",""))))),1,0))</f>
        <v>0</v>
      </c>
      <c r="Q53" s="6">
        <f>IF($K53="","",IF(ISNUMBER(SEARCH("transfert-interne",IFERROR(INDEX('Paramètres'!$N:$N,MATCH($D53,'Paramètres'!$M:$M,0))&amp;"",""))),0,IF($L53="Débit",$K53,IF($P53=1,-$K53,0))))</f>
        <v>0</v>
      </c>
      <c r="R53" s="6">
        <f>IF($K53="","",IF($L53="Crédit",$K53,-$K53))</f>
        <v>125.23</v>
      </c>
      <c r="S53" s="6" t="str">
        <f>IF($C53="","",IFERROR(INDEX('Paramètres'!$H:$H,MATCH($C53,'Paramètres'!$D:$D,0))&amp;"",""))</f>
        <v/>
      </c>
      <c r="T53" s="6">
        <f>IF($K53="","",IF($S53="",0,IF(ISNUMBER(SEARCH("apport-exterieur",IFERROR(INDEX('Paramètres'!$N:$N,MATCH($D53,'Paramètres'!$M:$M,0))&amp;"",""))),0,IF(OR(IFERROR(INDEX('Paramètres'!$I:$I,MATCH($C53,'Paramètres'!$D:$D,0))&amp;"","")="Les deux",IFERROR(INDEX('Paramètres'!$I:$I,MATCH($C53,'Paramètres'!$D:$D,0))&amp;"","")=IF($P53=1,"Débit",$L53)),-IF($P53=1,-$K53,$K53),0))))</f>
        <v>0</v>
      </c>
      <c r="U53" s="6">
        <f>IF($K53="","",IF(ISNUMBER(SEARCH("sortie-epargne",IFERROR(INDEX('Paramètres'!$N:$N,MATCH($D53,'Paramètres'!$M:$M,0))&amp;"",""))),$K53,0))</f>
        <v>0</v>
      </c>
      <c r="V53" s="6" t="str">
        <f>IF(AND($A53&lt;&gt;"",$O53=1,$L53="Débit",N($Q53)&gt;0,$A53&gt;=Visualisation!$B$1,$A53&lt;Visualisation!$D$1),MAX($V$1:V52)+1,"")</f>
        <v/>
      </c>
    </row>
    <row r="54" spans="1:22" x14ac:dyDescent="0.25">
      <c r="A54" s="9">
        <v>45570</v>
      </c>
      <c r="B54" s="4" t="s">
        <v>82</v>
      </c>
      <c r="C54" s="4" t="s">
        <v>65</v>
      </c>
      <c r="D54" s="4" t="s">
        <v>83</v>
      </c>
      <c r="E54" s="10">
        <v>646.48</v>
      </c>
      <c r="G54" s="4" t="s">
        <v>84</v>
      </c>
      <c r="H54" s="4"/>
      <c r="I54" s="4"/>
      <c r="K54" s="11">
        <f>IF($E54="","",ROUND($E54*IF(ISNA(MATCH($C54,'Paramètres'!$D:$D,0)),1,IF(INDEX('Paramètres'!$J:$J,MATCH($C54,'Paramètres'!$D:$D,0))="",1,INDEX('Paramètres'!$J:$J,MATCH($C54,'Paramètres'!$D:$D,0)))),2))</f>
        <v>646.48</v>
      </c>
      <c r="L54" s="6" t="str">
        <f>IF($D54="","",IF($F54&lt;&gt;"",$F54,IF(ISNA(MATCH($D54,'Paramètres'!$M:$M,0)),"⚠ Type inconnu",IFERROR(INDEX('Paramètres'!$P:$P,MATCH($D54,'Paramètres'!$M:$M,0))&amp;"",""))))</f>
        <v>Débit</v>
      </c>
      <c r="M54" s="6" t="str">
        <f>IF($D54="","",IF(ISNA(MATCH($D54,'Paramètres'!$M:$M,0)),"⚠ Type inconnu",IF($L54="Crédit","",IFERROR(INDEX('Paramètres'!$O:$O,MATCH($D54,'Paramètres'!$M:$M,0))&amp;"",""))))</f>
        <v/>
      </c>
      <c r="N54" s="6" t="str">
        <f>IF($D54="","",IFERROR(INDEX('Paramètres'!$Q:$Q,MATCH($D54,'Paramètres'!$M:$M,0))&amp;"",""))</f>
        <v>Immobilier</v>
      </c>
      <c r="O54" s="6">
        <f>IF($A54="","",IF(OR($J54&lt;&gt;"x",$A54&lt;=FinReleve),1,0))</f>
        <v>1</v>
      </c>
      <c r="P54" s="6">
        <f>IF($D54="","",IF(AND($L54="Crédit",OR(IFERROR(INDEX('Paramètres'!$O:$O,MATCH($D54,'Paramètres'!$M:$M,0))&amp;"","")&lt;&gt;"",ISNUMBER(SEARCH("remboursement",IFERROR(INDEX('Paramètres'!$N:$N,MATCH($D54,'Paramètres'!$M:$M,0))&amp;"",""))))),1,0))</f>
        <v>0</v>
      </c>
      <c r="Q54" s="6">
        <f>IF($K54="","",IF(ISNUMBER(SEARCH("transfert-interne",IFERROR(INDEX('Paramètres'!$N:$N,MATCH($D54,'Paramètres'!$M:$M,0))&amp;"",""))),0,IF($L54="Débit",$K54,IF($P54=1,-$K54,0))))</f>
        <v>646.48</v>
      </c>
      <c r="R54" s="6">
        <f>IF($K54="","",IF($L54="Crédit",$K54,-$K54))</f>
        <v>-646.48</v>
      </c>
      <c r="S54" s="6" t="str">
        <f>IF($C54="","",IFERROR(INDEX('Paramètres'!$H:$H,MATCH($C54,'Paramètres'!$D:$D,0))&amp;"",""))</f>
        <v>Banque A - Courant</v>
      </c>
      <c r="T54" s="6">
        <f>IF($K54="","",IF($S54="",0,IF(ISNUMBER(SEARCH("apport-exterieur",IFERROR(INDEX('Paramètres'!$N:$N,MATCH($D54,'Paramètres'!$M:$M,0))&amp;"",""))),0,IF(OR(IFERROR(INDEX('Paramètres'!$I:$I,MATCH($C54,'Paramètres'!$D:$D,0))&amp;"","")="Les deux",IFERROR(INDEX('Paramètres'!$I:$I,MATCH($C54,'Paramètres'!$D:$D,0))&amp;"","")=IF($P54=1,"Débit",$L54)),-IF($P54=1,-$K54,$K54),0))))</f>
        <v>0</v>
      </c>
      <c r="U54" s="6">
        <f>IF($K54="","",IF(ISNUMBER(SEARCH("sortie-epargne",IFERROR(INDEX('Paramètres'!$N:$N,MATCH($D54,'Paramètres'!$M:$M,0))&amp;"",""))),$K54,0))</f>
        <v>0</v>
      </c>
      <c r="V54" s="6" t="str">
        <f>IF(AND($A54&lt;&gt;"",$O54=1,$L54="Débit",N($Q54)&gt;0,$A54&gt;=Visualisation!$B$1,$A54&lt;Visualisation!$D$1),MAX($V$1:V53)+1,"")</f>
        <v/>
      </c>
    </row>
    <row r="55" spans="1:22" x14ac:dyDescent="0.25">
      <c r="A55" s="9">
        <v>45570</v>
      </c>
      <c r="B55" s="4" t="s">
        <v>85</v>
      </c>
      <c r="C55" s="4" t="s">
        <v>65</v>
      </c>
      <c r="D55" s="4" t="s">
        <v>86</v>
      </c>
      <c r="E55" s="10">
        <v>247.16</v>
      </c>
      <c r="G55" s="4" t="s">
        <v>87</v>
      </c>
      <c r="H55" s="4"/>
      <c r="I55" s="4"/>
      <c r="K55" s="11">
        <f>IF($E55="","",ROUND($E55*IF(ISNA(MATCH($C55,'Paramètres'!$D:$D,0)),1,IF(INDEX('Paramètres'!$J:$J,MATCH($C55,'Paramètres'!$D:$D,0))="",1,INDEX('Paramètres'!$J:$J,MATCH($C55,'Paramètres'!$D:$D,0)))),2))</f>
        <v>247.16</v>
      </c>
      <c r="L55" s="6" t="str">
        <f>IF($D55="","",IF($F55&lt;&gt;"",$F55,IF(ISNA(MATCH($D55,'Paramètres'!$M:$M,0)),"⚠ Type inconnu",IFERROR(INDEX('Paramètres'!$P:$P,MATCH($D55,'Paramètres'!$M:$M,0))&amp;"",""))))</f>
        <v>Débit</v>
      </c>
      <c r="M55" s="6" t="str">
        <f>IF($D55="","",IF(ISNA(MATCH($D55,'Paramètres'!$M:$M,0)),"⚠ Type inconnu",IF($L55="Crédit","",IFERROR(INDEX('Paramètres'!$O:$O,MATCH($D55,'Paramètres'!$M:$M,0))&amp;"",""))))</f>
        <v>Dépense Fixe</v>
      </c>
      <c r="N55" s="6" t="str">
        <f>IF($D55="","",IFERROR(INDEX('Paramètres'!$Q:$Q,MATCH($D55,'Paramètres'!$M:$M,0))&amp;"",""))</f>
        <v>Immobilier</v>
      </c>
      <c r="O55" s="6">
        <f>IF($A55="","",IF(OR($J55&lt;&gt;"x",$A55&lt;=FinReleve),1,0))</f>
        <v>1</v>
      </c>
      <c r="P55" s="6">
        <f>IF($D55="","",IF(AND($L55="Crédit",OR(IFERROR(INDEX('Paramètres'!$O:$O,MATCH($D55,'Paramètres'!$M:$M,0))&amp;"","")&lt;&gt;"",ISNUMBER(SEARCH("remboursement",IFERROR(INDEX('Paramètres'!$N:$N,MATCH($D55,'Paramètres'!$M:$M,0))&amp;"",""))))),1,0))</f>
        <v>0</v>
      </c>
      <c r="Q55" s="6">
        <f>IF($K55="","",IF(ISNUMBER(SEARCH("transfert-interne",IFERROR(INDEX('Paramètres'!$N:$N,MATCH($D55,'Paramètres'!$M:$M,0))&amp;"",""))),0,IF($L55="Débit",$K55,IF($P55=1,-$K55,0))))</f>
        <v>247.16</v>
      </c>
      <c r="R55" s="6">
        <f>IF($K55="","",IF($L55="Crédit",$K55,-$K55))</f>
        <v>-247.16</v>
      </c>
      <c r="S55" s="6" t="str">
        <f>IF($C55="","",IFERROR(INDEX('Paramètres'!$H:$H,MATCH($C55,'Paramètres'!$D:$D,0))&amp;"",""))</f>
        <v>Banque A - Courant</v>
      </c>
      <c r="T55" s="6">
        <f>IF($K55="","",IF($S55="",0,IF(ISNUMBER(SEARCH("apport-exterieur",IFERROR(INDEX('Paramètres'!$N:$N,MATCH($D55,'Paramètres'!$M:$M,0))&amp;"",""))),0,IF(OR(IFERROR(INDEX('Paramètres'!$I:$I,MATCH($C55,'Paramètres'!$D:$D,0))&amp;"","")="Les deux",IFERROR(INDEX('Paramètres'!$I:$I,MATCH($C55,'Paramètres'!$D:$D,0))&amp;"","")=IF($P55=1,"Débit",$L55)),-IF($P55=1,-$K55,$K55),0))))</f>
        <v>0</v>
      </c>
      <c r="U55" s="6">
        <f>IF($K55="","",IF(ISNUMBER(SEARCH("sortie-epargne",IFERROR(INDEX('Paramètres'!$N:$N,MATCH($D55,'Paramètres'!$M:$M,0))&amp;"",""))),$K55,0))</f>
        <v>0</v>
      </c>
      <c r="V55" s="6" t="str">
        <f>IF(AND($A55&lt;&gt;"",$O55=1,$L55="Débit",N($Q55)&gt;0,$A55&gt;=Visualisation!$B$1,$A55&lt;Visualisation!$D$1),MAX($V$1:V54)+1,"")</f>
        <v/>
      </c>
    </row>
    <row r="56" spans="1:22" x14ac:dyDescent="0.25">
      <c r="A56" s="9">
        <v>45570</v>
      </c>
      <c r="B56" s="4" t="s">
        <v>88</v>
      </c>
      <c r="C56" s="4" t="s">
        <v>65</v>
      </c>
      <c r="D56" s="4" t="s">
        <v>88</v>
      </c>
      <c r="E56" s="10">
        <v>31.2</v>
      </c>
      <c r="G56" s="4"/>
      <c r="H56" s="4"/>
      <c r="I56" s="4"/>
      <c r="K56" s="11">
        <f>IF($E56="","",ROUND($E56*IF(ISNA(MATCH($C56,'Paramètres'!$D:$D,0)),1,IF(INDEX('Paramètres'!$J:$J,MATCH($C56,'Paramètres'!$D:$D,0))="",1,INDEX('Paramètres'!$J:$J,MATCH($C56,'Paramètres'!$D:$D,0)))),2))</f>
        <v>31.2</v>
      </c>
      <c r="L56" s="6" t="str">
        <f>IF($D56="","",IF($F56&lt;&gt;"",$F56,IF(ISNA(MATCH($D56,'Paramètres'!$M:$M,0)),"⚠ Type inconnu",IFERROR(INDEX('Paramètres'!$P:$P,MATCH($D56,'Paramètres'!$M:$M,0))&amp;"",""))))</f>
        <v>Débit</v>
      </c>
      <c r="M56" s="6" t="str">
        <f>IF($D56="","",IF(ISNA(MATCH($D56,'Paramètres'!$M:$M,0)),"⚠ Type inconnu",IF($L56="Crédit","",IFERROR(INDEX('Paramètres'!$O:$O,MATCH($D56,'Paramètres'!$M:$M,0))&amp;"",""))))</f>
        <v>Dépense Fixe</v>
      </c>
      <c r="N56" s="6" t="str">
        <f>IF($D56="","",IFERROR(INDEX('Paramètres'!$Q:$Q,MATCH($D56,'Paramètres'!$M:$M,0))&amp;"",""))</f>
        <v>Assurances</v>
      </c>
      <c r="O56" s="6">
        <f>IF($A56="","",IF(OR($J56&lt;&gt;"x",$A56&lt;=FinReleve),1,0))</f>
        <v>1</v>
      </c>
      <c r="P56" s="6">
        <f>IF($D56="","",IF(AND($L56="Crédit",OR(IFERROR(INDEX('Paramètres'!$O:$O,MATCH($D56,'Paramètres'!$M:$M,0))&amp;"","")&lt;&gt;"",ISNUMBER(SEARCH("remboursement",IFERROR(INDEX('Paramètres'!$N:$N,MATCH($D56,'Paramètres'!$M:$M,0))&amp;"",""))))),1,0))</f>
        <v>0</v>
      </c>
      <c r="Q56" s="6">
        <f>IF($K56="","",IF(ISNUMBER(SEARCH("transfert-interne",IFERROR(INDEX('Paramètres'!$N:$N,MATCH($D56,'Paramètres'!$M:$M,0))&amp;"",""))),0,IF($L56="Débit",$K56,IF($P56=1,-$K56,0))))</f>
        <v>31.2</v>
      </c>
      <c r="R56" s="6">
        <f>IF($K56="","",IF($L56="Crédit",$K56,-$K56))</f>
        <v>-31.2</v>
      </c>
      <c r="S56" s="6" t="str">
        <f>IF($C56="","",IFERROR(INDEX('Paramètres'!$H:$H,MATCH($C56,'Paramètres'!$D:$D,0))&amp;"",""))</f>
        <v>Banque A - Courant</v>
      </c>
      <c r="T56" s="6">
        <f>IF($K56="","",IF($S56="",0,IF(ISNUMBER(SEARCH("apport-exterieur",IFERROR(INDEX('Paramètres'!$N:$N,MATCH($D56,'Paramètres'!$M:$M,0))&amp;"",""))),0,IF(OR(IFERROR(INDEX('Paramètres'!$I:$I,MATCH($C56,'Paramètres'!$D:$D,0))&amp;"","")="Les deux",IFERROR(INDEX('Paramètres'!$I:$I,MATCH($C56,'Paramètres'!$D:$D,0))&amp;"","")=IF($P56=1,"Débit",$L56)),-IF($P56=1,-$K56,$K56),0))))</f>
        <v>0</v>
      </c>
      <c r="U56" s="6">
        <f>IF($K56="","",IF(ISNUMBER(SEARCH("sortie-epargne",IFERROR(INDEX('Paramètres'!$N:$N,MATCH($D56,'Paramètres'!$M:$M,0))&amp;"",""))),$K56,0))</f>
        <v>0</v>
      </c>
      <c r="V56" s="6" t="str">
        <f>IF(AND($A56&lt;&gt;"",$O56=1,$L56="Débit",N($Q56)&gt;0,$A56&gt;=Visualisation!$B$1,$A56&lt;Visualisation!$D$1),MAX($V$1:V55)+1,"")</f>
        <v/>
      </c>
    </row>
    <row r="57" spans="1:22" x14ac:dyDescent="0.25">
      <c r="A57" s="9">
        <v>45571</v>
      </c>
      <c r="B57" s="4" t="s">
        <v>89</v>
      </c>
      <c r="C57" s="4" t="s">
        <v>75</v>
      </c>
      <c r="D57" s="4" t="s">
        <v>89</v>
      </c>
      <c r="E57" s="10">
        <v>49.9</v>
      </c>
      <c r="G57" s="4"/>
      <c r="H57" s="4"/>
      <c r="I57" s="4"/>
      <c r="K57" s="11">
        <f>IF($E57="","",ROUND($E57*IF(ISNA(MATCH($C57,'Paramètres'!$D:$D,0)),1,IF(INDEX('Paramètres'!$J:$J,MATCH($C57,'Paramètres'!$D:$D,0))="",1,INDEX('Paramètres'!$J:$J,MATCH($C57,'Paramètres'!$D:$D,0)))),2))</f>
        <v>49.9</v>
      </c>
      <c r="L57" s="6" t="str">
        <f>IF($D57="","",IF($F57&lt;&gt;"",$F57,IF(ISNA(MATCH($D57,'Paramètres'!$M:$M,0)),"⚠ Type inconnu",IFERROR(INDEX('Paramètres'!$P:$P,MATCH($D57,'Paramètres'!$M:$M,0))&amp;"",""))))</f>
        <v>Débit</v>
      </c>
      <c r="M57" s="6" t="str">
        <f>IF($D57="","",IF(ISNA(MATCH($D57,'Paramètres'!$M:$M,0)),"⚠ Type inconnu",IF($L57="Crédit","",IFERROR(INDEX('Paramètres'!$O:$O,MATCH($D57,'Paramètres'!$M:$M,0))&amp;"",""))))</f>
        <v>Dépense Fixe</v>
      </c>
      <c r="N57" s="6" t="str">
        <f>IF($D57="","",IFERROR(INDEX('Paramètres'!$Q:$Q,MATCH($D57,'Paramètres'!$M:$M,0))&amp;"",""))</f>
        <v>Autre</v>
      </c>
      <c r="O57" s="6">
        <f>IF($A57="","",IF(OR($J57&lt;&gt;"x",$A57&lt;=FinReleve),1,0))</f>
        <v>1</v>
      </c>
      <c r="P57" s="6">
        <f>IF($D57="","",IF(AND($L57="Crédit",OR(IFERROR(INDEX('Paramètres'!$O:$O,MATCH($D57,'Paramètres'!$M:$M,0))&amp;"","")&lt;&gt;"",ISNUMBER(SEARCH("remboursement",IFERROR(INDEX('Paramètres'!$N:$N,MATCH($D57,'Paramètres'!$M:$M,0))&amp;"",""))))),1,0))</f>
        <v>0</v>
      </c>
      <c r="Q57" s="6">
        <f>IF($K57="","",IF(ISNUMBER(SEARCH("transfert-interne",IFERROR(INDEX('Paramètres'!$N:$N,MATCH($D57,'Paramètres'!$M:$M,0))&amp;"",""))),0,IF($L57="Débit",$K57,IF($P57=1,-$K57,0))))</f>
        <v>49.9</v>
      </c>
      <c r="R57" s="6">
        <f>IF($K57="","",IF($L57="Crédit",$K57,-$K57))</f>
        <v>-49.9</v>
      </c>
      <c r="S57" s="6" t="str">
        <f>IF($C57="","",IFERROR(INDEX('Paramètres'!$H:$H,MATCH($C57,'Paramètres'!$D:$D,0))&amp;"",""))</f>
        <v/>
      </c>
      <c r="T57" s="6">
        <f>IF($K57="","",IF($S57="",0,IF(ISNUMBER(SEARCH("apport-exterieur",IFERROR(INDEX('Paramètres'!$N:$N,MATCH($D57,'Paramètres'!$M:$M,0))&amp;"",""))),0,IF(OR(IFERROR(INDEX('Paramètres'!$I:$I,MATCH($C57,'Paramètres'!$D:$D,0))&amp;"","")="Les deux",IFERROR(INDEX('Paramètres'!$I:$I,MATCH($C57,'Paramètres'!$D:$D,0))&amp;"","")=IF($P57=1,"Débit",$L57)),-IF($P57=1,-$K57,$K57),0))))</f>
        <v>0</v>
      </c>
      <c r="U57" s="6">
        <f>IF($K57="","",IF(ISNUMBER(SEARCH("sortie-epargne",IFERROR(INDEX('Paramètres'!$N:$N,MATCH($D57,'Paramètres'!$M:$M,0))&amp;"",""))),$K57,0))</f>
        <v>0</v>
      </c>
      <c r="V57" s="6" t="str">
        <f>IF(AND($A57&lt;&gt;"",$O57=1,$L57="Débit",N($Q57)&gt;0,$A57&gt;=Visualisation!$B$1,$A57&lt;Visualisation!$D$1),MAX($V$1:V56)+1,"")</f>
        <v/>
      </c>
    </row>
    <row r="58" spans="1:22" x14ac:dyDescent="0.25">
      <c r="A58" s="9">
        <v>45572</v>
      </c>
      <c r="B58" s="4" t="s">
        <v>76</v>
      </c>
      <c r="C58" s="4" t="s">
        <v>60</v>
      </c>
      <c r="D58" s="4" t="s">
        <v>77</v>
      </c>
      <c r="E58" s="10">
        <v>171.78</v>
      </c>
      <c r="G58" s="4" t="s">
        <v>102</v>
      </c>
      <c r="H58" s="4"/>
      <c r="I58" s="4" t="s">
        <v>73</v>
      </c>
      <c r="K58" s="11">
        <f>IF($E58="","",ROUND($E58*IF(ISNA(MATCH($C58,'Paramètres'!$D:$D,0)),1,IF(INDEX('Paramètres'!$J:$J,MATCH($C58,'Paramètres'!$D:$D,0))="",1,INDEX('Paramètres'!$J:$J,MATCH($C58,'Paramètres'!$D:$D,0)))),2))</f>
        <v>85.89</v>
      </c>
      <c r="L58" s="6" t="str">
        <f>IF($D58="","",IF($F58&lt;&gt;"",$F58,IF(ISNA(MATCH($D58,'Paramètres'!$M:$M,0)),"⚠ Type inconnu",IFERROR(INDEX('Paramètres'!$P:$P,MATCH($D58,'Paramètres'!$M:$M,0))&amp;"",""))))</f>
        <v>Débit</v>
      </c>
      <c r="M58" s="6" t="str">
        <f>IF($D58="","",IF(ISNA(MATCH($D58,'Paramètres'!$M:$M,0)),"⚠ Type inconnu",IF($L58="Crédit","",IFERROR(INDEX('Paramètres'!$O:$O,MATCH($D58,'Paramètres'!$M:$M,0))&amp;"",""))))</f>
        <v>Dépense Courante</v>
      </c>
      <c r="N58" s="6" t="str">
        <f>IF($D58="","",IFERROR(INDEX('Paramètres'!$Q:$Q,MATCH($D58,'Paramètres'!$M:$M,0))&amp;"",""))</f>
        <v>Alimentation</v>
      </c>
      <c r="O58" s="6">
        <f>IF($A58="","",IF(OR($J58&lt;&gt;"x",$A58&lt;=FinReleve),1,0))</f>
        <v>1</v>
      </c>
      <c r="P58" s="6">
        <f>IF($D58="","",IF(AND($L58="Crédit",OR(IFERROR(INDEX('Paramètres'!$O:$O,MATCH($D58,'Paramètres'!$M:$M,0))&amp;"","")&lt;&gt;"",ISNUMBER(SEARCH("remboursement",IFERROR(INDEX('Paramètres'!$N:$N,MATCH($D58,'Paramètres'!$M:$M,0))&amp;"",""))))),1,0))</f>
        <v>0</v>
      </c>
      <c r="Q58" s="6">
        <f>IF($K58="","",IF(ISNUMBER(SEARCH("transfert-interne",IFERROR(INDEX('Paramètres'!$N:$N,MATCH($D58,'Paramètres'!$M:$M,0))&amp;"",""))),0,IF($L58="Débit",$K58,IF($P58=1,-$K58,0))))</f>
        <v>85.89</v>
      </c>
      <c r="R58" s="6">
        <f>IF($K58="","",IF($L58="Crédit",$K58,-$K58))</f>
        <v>-85.89</v>
      </c>
      <c r="S58" s="6" t="str">
        <f>IF($C58="","",IFERROR(INDEX('Paramètres'!$H:$H,MATCH($C58,'Paramètres'!$D:$D,0))&amp;"",""))</f>
        <v>Banque A - Courant</v>
      </c>
      <c r="T58" s="6">
        <f>IF($K58="","",IF($S58="",0,IF(ISNUMBER(SEARCH("apport-exterieur",IFERROR(INDEX('Paramètres'!$N:$N,MATCH($D58,'Paramètres'!$M:$M,0))&amp;"",""))),0,IF(OR(IFERROR(INDEX('Paramètres'!$I:$I,MATCH($C58,'Paramètres'!$D:$D,0))&amp;"","")="Les deux",IFERROR(INDEX('Paramètres'!$I:$I,MATCH($C58,'Paramètres'!$D:$D,0))&amp;"","")=IF($P58=1,"Débit",$L58)),-IF($P58=1,-$K58,$K58),0))))</f>
        <v>-85.89</v>
      </c>
      <c r="U58" s="6">
        <f>IF($K58="","",IF(ISNUMBER(SEARCH("sortie-epargne",IFERROR(INDEX('Paramètres'!$N:$N,MATCH($D58,'Paramètres'!$M:$M,0))&amp;"",""))),$K58,0))</f>
        <v>0</v>
      </c>
      <c r="V58" s="6" t="str">
        <f>IF(AND($A58&lt;&gt;"",$O58=1,$L58="Débit",N($Q58)&gt;0,$A58&gt;=Visualisation!$B$1,$A58&lt;Visualisation!$D$1),MAX($V$1:V57)+1,"")</f>
        <v/>
      </c>
    </row>
    <row r="59" spans="1:22" x14ac:dyDescent="0.25">
      <c r="A59" s="9">
        <v>45573</v>
      </c>
      <c r="B59" s="4" t="s">
        <v>94</v>
      </c>
      <c r="C59" s="4" t="s">
        <v>65</v>
      </c>
      <c r="D59" s="4" t="s">
        <v>94</v>
      </c>
      <c r="E59" s="10">
        <v>168</v>
      </c>
      <c r="G59" s="4"/>
      <c r="H59" s="4"/>
      <c r="I59" s="4"/>
      <c r="K59" s="11">
        <f>IF($E59="","",ROUND($E59*IF(ISNA(MATCH($C59,'Paramètres'!$D:$D,0)),1,IF(INDEX('Paramètres'!$J:$J,MATCH($C59,'Paramètres'!$D:$D,0))="",1,INDEX('Paramètres'!$J:$J,MATCH($C59,'Paramètres'!$D:$D,0)))),2))</f>
        <v>168</v>
      </c>
      <c r="L59" s="6" t="str">
        <f>IF($D59="","",IF($F59&lt;&gt;"",$F59,IF(ISNA(MATCH($D59,'Paramètres'!$M:$M,0)),"⚠ Type inconnu",IFERROR(INDEX('Paramètres'!$P:$P,MATCH($D59,'Paramètres'!$M:$M,0))&amp;"",""))))</f>
        <v>Débit</v>
      </c>
      <c r="M59" s="6" t="str">
        <f>IF($D59="","",IF(ISNA(MATCH($D59,'Paramètres'!$M:$M,0)),"⚠ Type inconnu",IF($L59="Crédit","",IFERROR(INDEX('Paramètres'!$O:$O,MATCH($D59,'Paramètres'!$M:$M,0))&amp;"",""))))</f>
        <v>Dépense Fixe</v>
      </c>
      <c r="N59" s="6" t="str">
        <f>IF($D59="","",IFERROR(INDEX('Paramètres'!$Q:$Q,MATCH($D59,'Paramètres'!$M:$M,0))&amp;"",""))</f>
        <v>Immobilier</v>
      </c>
      <c r="O59" s="6">
        <f>IF($A59="","",IF(OR($J59&lt;&gt;"x",$A59&lt;=FinReleve),1,0))</f>
        <v>1</v>
      </c>
      <c r="P59" s="6">
        <f>IF($D59="","",IF(AND($L59="Crédit",OR(IFERROR(INDEX('Paramètres'!$O:$O,MATCH($D59,'Paramètres'!$M:$M,0))&amp;"","")&lt;&gt;"",ISNUMBER(SEARCH("remboursement",IFERROR(INDEX('Paramètres'!$N:$N,MATCH($D59,'Paramètres'!$M:$M,0))&amp;"",""))))),1,0))</f>
        <v>0</v>
      </c>
      <c r="Q59" s="6">
        <f>IF($K59="","",IF(ISNUMBER(SEARCH("transfert-interne",IFERROR(INDEX('Paramètres'!$N:$N,MATCH($D59,'Paramètres'!$M:$M,0))&amp;"",""))),0,IF($L59="Débit",$K59,IF($P59=1,-$K59,0))))</f>
        <v>168</v>
      </c>
      <c r="R59" s="6">
        <f>IF($K59="","",IF($L59="Crédit",$K59,-$K59))</f>
        <v>-168</v>
      </c>
      <c r="S59" s="6" t="str">
        <f>IF($C59="","",IFERROR(INDEX('Paramètres'!$H:$H,MATCH($C59,'Paramètres'!$D:$D,0))&amp;"",""))</f>
        <v>Banque A - Courant</v>
      </c>
      <c r="T59" s="6">
        <f>IF($K59="","",IF($S59="",0,IF(ISNUMBER(SEARCH("apport-exterieur",IFERROR(INDEX('Paramètres'!$N:$N,MATCH($D59,'Paramètres'!$M:$M,0))&amp;"",""))),0,IF(OR(IFERROR(INDEX('Paramètres'!$I:$I,MATCH($C59,'Paramètres'!$D:$D,0))&amp;"","")="Les deux",IFERROR(INDEX('Paramètres'!$I:$I,MATCH($C59,'Paramètres'!$D:$D,0))&amp;"","")=IF($P59=1,"Débit",$L59)),-IF($P59=1,-$K59,$K59),0))))</f>
        <v>0</v>
      </c>
      <c r="U59" s="6">
        <f>IF($K59="","",IF(ISNUMBER(SEARCH("sortie-epargne",IFERROR(INDEX('Paramètres'!$N:$N,MATCH($D59,'Paramètres'!$M:$M,0))&amp;"",""))),$K59,0))</f>
        <v>0</v>
      </c>
      <c r="V59" s="6" t="str">
        <f>IF(AND($A59&lt;&gt;"",$O59=1,$L59="Débit",N($Q59)&gt;0,$A59&gt;=Visualisation!$B$1,$A59&lt;Visualisation!$D$1),MAX($V$1:V58)+1,"")</f>
        <v/>
      </c>
    </row>
    <row r="60" spans="1:22" x14ac:dyDescent="0.25">
      <c r="A60" s="9">
        <v>45573</v>
      </c>
      <c r="B60" s="4" t="s">
        <v>76</v>
      </c>
      <c r="C60" s="4" t="s">
        <v>67</v>
      </c>
      <c r="D60" s="4" t="s">
        <v>77</v>
      </c>
      <c r="E60" s="10">
        <v>120.62</v>
      </c>
      <c r="G60" s="4" t="s">
        <v>78</v>
      </c>
      <c r="H60" s="4"/>
      <c r="I60" s="4" t="s">
        <v>63</v>
      </c>
      <c r="K60" s="11">
        <f>IF($E60="","",ROUND($E60*IF(ISNA(MATCH($C60,'Paramètres'!$D:$D,0)),1,IF(INDEX('Paramètres'!$J:$J,MATCH($C60,'Paramètres'!$D:$D,0))="",1,INDEX('Paramètres'!$J:$J,MATCH($C60,'Paramètres'!$D:$D,0)))),2))</f>
        <v>60.31</v>
      </c>
      <c r="L60" s="6" t="str">
        <f>IF($D60="","",IF($F60&lt;&gt;"",$F60,IF(ISNA(MATCH($D60,'Paramètres'!$M:$M,0)),"⚠ Type inconnu",IFERROR(INDEX('Paramètres'!$P:$P,MATCH($D60,'Paramètres'!$M:$M,0))&amp;"",""))))</f>
        <v>Débit</v>
      </c>
      <c r="M60" s="6" t="str">
        <f>IF($D60="","",IF(ISNA(MATCH($D60,'Paramètres'!$M:$M,0)),"⚠ Type inconnu",IF($L60="Crédit","",IFERROR(INDEX('Paramètres'!$O:$O,MATCH($D60,'Paramètres'!$M:$M,0))&amp;"",""))))</f>
        <v>Dépense Courante</v>
      </c>
      <c r="N60" s="6" t="str">
        <f>IF($D60="","",IFERROR(INDEX('Paramètres'!$Q:$Q,MATCH($D60,'Paramètres'!$M:$M,0))&amp;"",""))</f>
        <v>Alimentation</v>
      </c>
      <c r="O60" s="6">
        <f>IF($A60="","",IF(OR($J60&lt;&gt;"x",$A60&lt;=FinReleve),1,0))</f>
        <v>1</v>
      </c>
      <c r="P60" s="6">
        <f>IF($D60="","",IF(AND($L60="Crédit",OR(IFERROR(INDEX('Paramètres'!$O:$O,MATCH($D60,'Paramètres'!$M:$M,0))&amp;"","")&lt;&gt;"",ISNUMBER(SEARCH("remboursement",IFERROR(INDEX('Paramètres'!$N:$N,MATCH($D60,'Paramètres'!$M:$M,0))&amp;"",""))))),1,0))</f>
        <v>0</v>
      </c>
      <c r="Q60" s="6">
        <f>IF($K60="","",IF(ISNUMBER(SEARCH("transfert-interne",IFERROR(INDEX('Paramètres'!$N:$N,MATCH($D60,'Paramètres'!$M:$M,0))&amp;"",""))),0,IF($L60="Débit",$K60,IF($P60=1,-$K60,0))))</f>
        <v>60.31</v>
      </c>
      <c r="R60" s="6">
        <f>IF($K60="","",IF($L60="Crédit",$K60,-$K60))</f>
        <v>-60.31</v>
      </c>
      <c r="S60" s="6" t="str">
        <f>IF($C60="","",IFERROR(INDEX('Paramètres'!$H:$H,MATCH($C60,'Paramètres'!$D:$D,0))&amp;"",""))</f>
        <v>Banque A - Courant</v>
      </c>
      <c r="T60" s="6">
        <f>IF($K60="","",IF($S60="",0,IF(ISNUMBER(SEARCH("apport-exterieur",IFERROR(INDEX('Paramètres'!$N:$N,MATCH($D60,'Paramètres'!$M:$M,0))&amp;"",""))),0,IF(OR(IFERROR(INDEX('Paramètres'!$I:$I,MATCH($C60,'Paramètres'!$D:$D,0))&amp;"","")="Les deux",IFERROR(INDEX('Paramètres'!$I:$I,MATCH($C60,'Paramètres'!$D:$D,0))&amp;"","")=IF($P60=1,"Débit",$L60)),-IF($P60=1,-$K60,$K60),0))))</f>
        <v>0</v>
      </c>
      <c r="U60" s="6">
        <f>IF($K60="","",IF(ISNUMBER(SEARCH("sortie-epargne",IFERROR(INDEX('Paramètres'!$N:$N,MATCH($D60,'Paramètres'!$M:$M,0))&amp;"",""))),$K60,0))</f>
        <v>0</v>
      </c>
      <c r="V60" s="6" t="str">
        <f>IF(AND($A60&lt;&gt;"",$O60=1,$L60="Débit",N($Q60)&gt;0,$A60&gt;=Visualisation!$B$1,$A60&lt;Visualisation!$D$1),MAX($V$1:V59)+1,"")</f>
        <v/>
      </c>
    </row>
    <row r="61" spans="1:22" x14ac:dyDescent="0.25">
      <c r="A61" s="9">
        <v>45573</v>
      </c>
      <c r="B61" s="4" t="s">
        <v>69</v>
      </c>
      <c r="C61" s="4" t="s">
        <v>70</v>
      </c>
      <c r="D61" s="4" t="s">
        <v>71</v>
      </c>
      <c r="E61" s="10">
        <v>11.11</v>
      </c>
      <c r="G61" s="4" t="s">
        <v>72</v>
      </c>
      <c r="H61" s="4"/>
      <c r="I61" s="4" t="s">
        <v>79</v>
      </c>
      <c r="K61" s="11">
        <f>IF($E61="","",ROUND($E61*IF(ISNA(MATCH($C61,'Paramètres'!$D:$D,0)),1,IF(INDEX('Paramètres'!$J:$J,MATCH($C61,'Paramètres'!$D:$D,0))="",1,INDEX('Paramètres'!$J:$J,MATCH($C61,'Paramètres'!$D:$D,0)))),2))</f>
        <v>11.11</v>
      </c>
      <c r="L61" s="6" t="str">
        <f>IF($D61="","",IF($F61&lt;&gt;"",$F61,IF(ISNA(MATCH($D61,'Paramètres'!$M:$M,0)),"⚠ Type inconnu",IFERROR(INDEX('Paramètres'!$P:$P,MATCH($D61,'Paramètres'!$M:$M,0))&amp;"",""))))</f>
        <v>Débit</v>
      </c>
      <c r="M61" s="6" t="str">
        <f>IF($D61="","",IF(ISNA(MATCH($D61,'Paramètres'!$M:$M,0)),"⚠ Type inconnu",IF($L61="Crédit","",IFERROR(INDEX('Paramètres'!$O:$O,MATCH($D61,'Paramètres'!$M:$M,0))&amp;"",""))))</f>
        <v>Dépense Courante</v>
      </c>
      <c r="N61" s="6" t="str">
        <f>IF($D61="","",IFERROR(INDEX('Paramètres'!$Q:$Q,MATCH($D61,'Paramètres'!$M:$M,0))&amp;"",""))</f>
        <v>Alimentation</v>
      </c>
      <c r="O61" s="6">
        <f>IF($A61="","",IF(OR($J61&lt;&gt;"x",$A61&lt;=FinReleve),1,0))</f>
        <v>1</v>
      </c>
      <c r="P61" s="6">
        <f>IF($D61="","",IF(AND($L61="Crédit",OR(IFERROR(INDEX('Paramètres'!$O:$O,MATCH($D61,'Paramètres'!$M:$M,0))&amp;"","")&lt;&gt;"",ISNUMBER(SEARCH("remboursement",IFERROR(INDEX('Paramètres'!$N:$N,MATCH($D61,'Paramètres'!$M:$M,0))&amp;"",""))))),1,0))</f>
        <v>0</v>
      </c>
      <c r="Q61" s="6">
        <f>IF($K61="","",IF(ISNUMBER(SEARCH("transfert-interne",IFERROR(INDEX('Paramètres'!$N:$N,MATCH($D61,'Paramètres'!$M:$M,0))&amp;"",""))),0,IF($L61="Débit",$K61,IF($P61=1,-$K61,0))))</f>
        <v>11.11</v>
      </c>
      <c r="R61" s="6">
        <f>IF($K61="","",IF($L61="Crédit",$K61,-$K61))</f>
        <v>-11.11</v>
      </c>
      <c r="S61" s="6" t="str">
        <f>IF($C61="","",IFERROR(INDEX('Paramètres'!$H:$H,MATCH($C61,'Paramètres'!$D:$D,0))&amp;"",""))</f>
        <v/>
      </c>
      <c r="T61" s="6">
        <f>IF($K61="","",IF($S61="",0,IF(ISNUMBER(SEARCH("apport-exterieur",IFERROR(INDEX('Paramètres'!$N:$N,MATCH($D61,'Paramètres'!$M:$M,0))&amp;"",""))),0,IF(OR(IFERROR(INDEX('Paramètres'!$I:$I,MATCH($C61,'Paramètres'!$D:$D,0))&amp;"","")="Les deux",IFERROR(INDEX('Paramètres'!$I:$I,MATCH($C61,'Paramètres'!$D:$D,0))&amp;"","")=IF($P61=1,"Débit",$L61)),-IF($P61=1,-$K61,$K61),0))))</f>
        <v>0</v>
      </c>
      <c r="U61" s="6">
        <f>IF($K61="","",IF(ISNUMBER(SEARCH("sortie-epargne",IFERROR(INDEX('Paramètres'!$N:$N,MATCH($D61,'Paramètres'!$M:$M,0))&amp;"",""))),$K61,0))</f>
        <v>0</v>
      </c>
      <c r="V61" s="6" t="str">
        <f>IF(AND($A61&lt;&gt;"",$O61=1,$L61="Débit",N($Q61)&gt;0,$A61&gt;=Visualisation!$B$1,$A61&lt;Visualisation!$D$1),MAX($V$1:V60)+1,"")</f>
        <v/>
      </c>
    </row>
    <row r="62" spans="1:22" x14ac:dyDescent="0.25">
      <c r="A62" s="9">
        <v>45575</v>
      </c>
      <c r="B62" s="4" t="s">
        <v>96</v>
      </c>
      <c r="C62" s="4" t="s">
        <v>75</v>
      </c>
      <c r="D62" s="4" t="s">
        <v>96</v>
      </c>
      <c r="E62" s="10">
        <v>22.4</v>
      </c>
      <c r="G62" s="4"/>
      <c r="H62" s="4"/>
      <c r="I62" s="4"/>
      <c r="K62" s="11">
        <f>IF($E62="","",ROUND($E62*IF(ISNA(MATCH($C62,'Paramètres'!$D:$D,0)),1,IF(INDEX('Paramètres'!$J:$J,MATCH($C62,'Paramètres'!$D:$D,0))="",1,INDEX('Paramètres'!$J:$J,MATCH($C62,'Paramètres'!$D:$D,0)))),2))</f>
        <v>22.4</v>
      </c>
      <c r="L62" s="6" t="str">
        <f>IF($D62="","",IF($F62&lt;&gt;"",$F62,IF(ISNA(MATCH($D62,'Paramètres'!$M:$M,0)),"⚠ Type inconnu",IFERROR(INDEX('Paramètres'!$P:$P,MATCH($D62,'Paramètres'!$M:$M,0))&amp;"",""))))</f>
        <v>Débit</v>
      </c>
      <c r="M62" s="6" t="str">
        <f>IF($D62="","",IF(ISNA(MATCH($D62,'Paramètres'!$M:$M,0)),"⚠ Type inconnu",IF($L62="Crédit","",IFERROR(INDEX('Paramètres'!$O:$O,MATCH($D62,'Paramètres'!$M:$M,0))&amp;"",""))))</f>
        <v>Dépense Fixe</v>
      </c>
      <c r="N62" s="6" t="str">
        <f>IF($D62="","",IFERROR(INDEX('Paramètres'!$Q:$Q,MATCH($D62,'Paramètres'!$M:$M,0))&amp;"",""))</f>
        <v>Assurances</v>
      </c>
      <c r="O62" s="6">
        <f>IF($A62="","",IF(OR($J62&lt;&gt;"x",$A62&lt;=FinReleve),1,0))</f>
        <v>1</v>
      </c>
      <c r="P62" s="6">
        <f>IF($D62="","",IF(AND($L62="Crédit",OR(IFERROR(INDEX('Paramètres'!$O:$O,MATCH($D62,'Paramètres'!$M:$M,0))&amp;"","")&lt;&gt;"",ISNUMBER(SEARCH("remboursement",IFERROR(INDEX('Paramètres'!$N:$N,MATCH($D62,'Paramètres'!$M:$M,0))&amp;"",""))))),1,0))</f>
        <v>0</v>
      </c>
      <c r="Q62" s="6">
        <f>IF($K62="","",IF(ISNUMBER(SEARCH("transfert-interne",IFERROR(INDEX('Paramètres'!$N:$N,MATCH($D62,'Paramètres'!$M:$M,0))&amp;"",""))),0,IF($L62="Débit",$K62,IF($P62=1,-$K62,0))))</f>
        <v>22.4</v>
      </c>
      <c r="R62" s="6">
        <f>IF($K62="","",IF($L62="Crédit",$K62,-$K62))</f>
        <v>-22.4</v>
      </c>
      <c r="S62" s="6" t="str">
        <f>IF($C62="","",IFERROR(INDEX('Paramètres'!$H:$H,MATCH($C62,'Paramètres'!$D:$D,0))&amp;"",""))</f>
        <v/>
      </c>
      <c r="T62" s="6">
        <f>IF($K62="","",IF($S62="",0,IF(ISNUMBER(SEARCH("apport-exterieur",IFERROR(INDEX('Paramètres'!$N:$N,MATCH($D62,'Paramètres'!$M:$M,0))&amp;"",""))),0,IF(OR(IFERROR(INDEX('Paramètres'!$I:$I,MATCH($C62,'Paramètres'!$D:$D,0))&amp;"","")="Les deux",IFERROR(INDEX('Paramètres'!$I:$I,MATCH($C62,'Paramètres'!$D:$D,0))&amp;"","")=IF($P62=1,"Débit",$L62)),-IF($P62=1,-$K62,$K62),0))))</f>
        <v>0</v>
      </c>
      <c r="U62" s="6">
        <f>IF($K62="","",IF(ISNUMBER(SEARCH("sortie-epargne",IFERROR(INDEX('Paramètres'!$N:$N,MATCH($D62,'Paramètres'!$M:$M,0))&amp;"",""))),$K62,0))</f>
        <v>0</v>
      </c>
      <c r="V62" s="6" t="str">
        <f>IF(AND($A62&lt;&gt;"",$O62=1,$L62="Débit",N($Q62)&gt;0,$A62&gt;=Visualisation!$B$1,$A62&lt;Visualisation!$D$1),MAX($V$1:V61)+1,"")</f>
        <v/>
      </c>
    </row>
    <row r="63" spans="1:22" x14ac:dyDescent="0.25">
      <c r="A63" s="9">
        <v>45575</v>
      </c>
      <c r="B63" s="4" t="s">
        <v>69</v>
      </c>
      <c r="C63" s="4" t="s">
        <v>70</v>
      </c>
      <c r="D63" s="4" t="s">
        <v>71</v>
      </c>
      <c r="E63" s="10">
        <v>8.43</v>
      </c>
      <c r="G63" s="4" t="s">
        <v>72</v>
      </c>
      <c r="H63" s="4"/>
      <c r="I63" s="4" t="s">
        <v>63</v>
      </c>
      <c r="K63" s="11">
        <f>IF($E63="","",ROUND($E63*IF(ISNA(MATCH($C63,'Paramètres'!$D:$D,0)),1,IF(INDEX('Paramètres'!$J:$J,MATCH($C63,'Paramètres'!$D:$D,0))="",1,INDEX('Paramètres'!$J:$J,MATCH($C63,'Paramètres'!$D:$D,0)))),2))</f>
        <v>8.43</v>
      </c>
      <c r="L63" s="6" t="str">
        <f>IF($D63="","",IF($F63&lt;&gt;"",$F63,IF(ISNA(MATCH($D63,'Paramètres'!$M:$M,0)),"⚠ Type inconnu",IFERROR(INDEX('Paramètres'!$P:$P,MATCH($D63,'Paramètres'!$M:$M,0))&amp;"",""))))</f>
        <v>Débit</v>
      </c>
      <c r="M63" s="6" t="str">
        <f>IF($D63="","",IF(ISNA(MATCH($D63,'Paramètres'!$M:$M,0)),"⚠ Type inconnu",IF($L63="Crédit","",IFERROR(INDEX('Paramètres'!$O:$O,MATCH($D63,'Paramètres'!$M:$M,0))&amp;"",""))))</f>
        <v>Dépense Courante</v>
      </c>
      <c r="N63" s="6" t="str">
        <f>IF($D63="","",IFERROR(INDEX('Paramètres'!$Q:$Q,MATCH($D63,'Paramètres'!$M:$M,0))&amp;"",""))</f>
        <v>Alimentation</v>
      </c>
      <c r="O63" s="6">
        <f>IF($A63="","",IF(OR($J63&lt;&gt;"x",$A63&lt;=FinReleve),1,0))</f>
        <v>1</v>
      </c>
      <c r="P63" s="6">
        <f>IF($D63="","",IF(AND($L63="Crédit",OR(IFERROR(INDEX('Paramètres'!$O:$O,MATCH($D63,'Paramètres'!$M:$M,0))&amp;"","")&lt;&gt;"",ISNUMBER(SEARCH("remboursement",IFERROR(INDEX('Paramètres'!$N:$N,MATCH($D63,'Paramètres'!$M:$M,0))&amp;"",""))))),1,0))</f>
        <v>0</v>
      </c>
      <c r="Q63" s="6">
        <f>IF($K63="","",IF(ISNUMBER(SEARCH("transfert-interne",IFERROR(INDEX('Paramètres'!$N:$N,MATCH($D63,'Paramètres'!$M:$M,0))&amp;"",""))),0,IF($L63="Débit",$K63,IF($P63=1,-$K63,0))))</f>
        <v>8.43</v>
      </c>
      <c r="R63" s="6">
        <f>IF($K63="","",IF($L63="Crédit",$K63,-$K63))</f>
        <v>-8.43</v>
      </c>
      <c r="S63" s="6" t="str">
        <f>IF($C63="","",IFERROR(INDEX('Paramètres'!$H:$H,MATCH($C63,'Paramètres'!$D:$D,0))&amp;"",""))</f>
        <v/>
      </c>
      <c r="T63" s="6">
        <f>IF($K63="","",IF($S63="",0,IF(ISNUMBER(SEARCH("apport-exterieur",IFERROR(INDEX('Paramètres'!$N:$N,MATCH($D63,'Paramètres'!$M:$M,0))&amp;"",""))),0,IF(OR(IFERROR(INDEX('Paramètres'!$I:$I,MATCH($C63,'Paramètres'!$D:$D,0))&amp;"","")="Les deux",IFERROR(INDEX('Paramètres'!$I:$I,MATCH($C63,'Paramètres'!$D:$D,0))&amp;"","")=IF($P63=1,"Débit",$L63)),-IF($P63=1,-$K63,$K63),0))))</f>
        <v>0</v>
      </c>
      <c r="U63" s="6">
        <f>IF($K63="","",IF(ISNUMBER(SEARCH("sortie-epargne",IFERROR(INDEX('Paramètres'!$N:$N,MATCH($D63,'Paramètres'!$M:$M,0))&amp;"",""))),$K63,0))</f>
        <v>0</v>
      </c>
      <c r="V63" s="6" t="str">
        <f>IF(AND($A63&lt;&gt;"",$O63=1,$L63="Débit",N($Q63)&gt;0,$A63&gt;=Visualisation!$B$1,$A63&lt;Visualisation!$D$1),MAX($V$1:V62)+1,"")</f>
        <v/>
      </c>
    </row>
    <row r="64" spans="1:22" x14ac:dyDescent="0.25">
      <c r="A64" s="9">
        <v>45576</v>
      </c>
      <c r="B64" s="4" t="s">
        <v>76</v>
      </c>
      <c r="C64" s="4" t="s">
        <v>67</v>
      </c>
      <c r="D64" s="4" t="s">
        <v>77</v>
      </c>
      <c r="E64" s="10">
        <v>163.12</v>
      </c>
      <c r="G64" s="4" t="s">
        <v>102</v>
      </c>
      <c r="H64" s="4"/>
      <c r="I64" s="4" t="s">
        <v>73</v>
      </c>
      <c r="K64" s="11">
        <f>IF($E64="","",ROUND($E64*IF(ISNA(MATCH($C64,'Paramètres'!$D:$D,0)),1,IF(INDEX('Paramètres'!$J:$J,MATCH($C64,'Paramètres'!$D:$D,0))="",1,INDEX('Paramètres'!$J:$J,MATCH($C64,'Paramètres'!$D:$D,0)))),2))</f>
        <v>81.56</v>
      </c>
      <c r="L64" s="6" t="str">
        <f>IF($D64="","",IF($F64&lt;&gt;"",$F64,IF(ISNA(MATCH($D64,'Paramètres'!$M:$M,0)),"⚠ Type inconnu",IFERROR(INDEX('Paramètres'!$P:$P,MATCH($D64,'Paramètres'!$M:$M,0))&amp;"",""))))</f>
        <v>Débit</v>
      </c>
      <c r="M64" s="6" t="str">
        <f>IF($D64="","",IF(ISNA(MATCH($D64,'Paramètres'!$M:$M,0)),"⚠ Type inconnu",IF($L64="Crédit","",IFERROR(INDEX('Paramètres'!$O:$O,MATCH($D64,'Paramètres'!$M:$M,0))&amp;"",""))))</f>
        <v>Dépense Courante</v>
      </c>
      <c r="N64" s="6" t="str">
        <f>IF($D64="","",IFERROR(INDEX('Paramètres'!$Q:$Q,MATCH($D64,'Paramètres'!$M:$M,0))&amp;"",""))</f>
        <v>Alimentation</v>
      </c>
      <c r="O64" s="6">
        <f>IF($A64="","",IF(OR($J64&lt;&gt;"x",$A64&lt;=FinReleve),1,0))</f>
        <v>1</v>
      </c>
      <c r="P64" s="6">
        <f>IF($D64="","",IF(AND($L64="Crédit",OR(IFERROR(INDEX('Paramètres'!$O:$O,MATCH($D64,'Paramètres'!$M:$M,0))&amp;"","")&lt;&gt;"",ISNUMBER(SEARCH("remboursement",IFERROR(INDEX('Paramètres'!$N:$N,MATCH($D64,'Paramètres'!$M:$M,0))&amp;"",""))))),1,0))</f>
        <v>0</v>
      </c>
      <c r="Q64" s="6">
        <f>IF($K64="","",IF(ISNUMBER(SEARCH("transfert-interne",IFERROR(INDEX('Paramètres'!$N:$N,MATCH($D64,'Paramètres'!$M:$M,0))&amp;"",""))),0,IF($L64="Débit",$K64,IF($P64=1,-$K64,0))))</f>
        <v>81.56</v>
      </c>
      <c r="R64" s="6">
        <f>IF($K64="","",IF($L64="Crédit",$K64,-$K64))</f>
        <v>-81.56</v>
      </c>
      <c r="S64" s="6" t="str">
        <f>IF($C64="","",IFERROR(INDEX('Paramètres'!$H:$H,MATCH($C64,'Paramètres'!$D:$D,0))&amp;"",""))</f>
        <v>Banque A - Courant</v>
      </c>
      <c r="T64" s="6">
        <f>IF($K64="","",IF($S64="",0,IF(ISNUMBER(SEARCH("apport-exterieur",IFERROR(INDEX('Paramètres'!$N:$N,MATCH($D64,'Paramètres'!$M:$M,0))&amp;"",""))),0,IF(OR(IFERROR(INDEX('Paramètres'!$I:$I,MATCH($C64,'Paramètres'!$D:$D,0))&amp;"","")="Les deux",IFERROR(INDEX('Paramètres'!$I:$I,MATCH($C64,'Paramètres'!$D:$D,0))&amp;"","")=IF($P64=1,"Débit",$L64)),-IF($P64=1,-$K64,$K64),0))))</f>
        <v>0</v>
      </c>
      <c r="U64" s="6">
        <f>IF($K64="","",IF(ISNUMBER(SEARCH("sortie-epargne",IFERROR(INDEX('Paramètres'!$N:$N,MATCH($D64,'Paramètres'!$M:$M,0))&amp;"",""))),$K64,0))</f>
        <v>0</v>
      </c>
      <c r="V64" s="6" t="str">
        <f>IF(AND($A64&lt;&gt;"",$O64=1,$L64="Débit",N($Q64)&gt;0,$A64&gt;=Visualisation!$B$1,$A64&lt;Visualisation!$D$1),MAX($V$1:V63)+1,"")</f>
        <v/>
      </c>
    </row>
    <row r="65" spans="1:22" x14ac:dyDescent="0.25">
      <c r="A65" s="9">
        <v>45576</v>
      </c>
      <c r="B65" s="4" t="s">
        <v>76</v>
      </c>
      <c r="C65" s="4" t="s">
        <v>67</v>
      </c>
      <c r="D65" s="4" t="s">
        <v>77</v>
      </c>
      <c r="E65" s="10">
        <v>114.72</v>
      </c>
      <c r="G65" s="4" t="s">
        <v>102</v>
      </c>
      <c r="H65" s="4"/>
      <c r="I65" s="4" t="s">
        <v>63</v>
      </c>
      <c r="K65" s="11">
        <f>IF($E65="","",ROUND($E65*IF(ISNA(MATCH($C65,'Paramètres'!$D:$D,0)),1,IF(INDEX('Paramètres'!$J:$J,MATCH($C65,'Paramètres'!$D:$D,0))="",1,INDEX('Paramètres'!$J:$J,MATCH($C65,'Paramètres'!$D:$D,0)))),2))</f>
        <v>57.36</v>
      </c>
      <c r="L65" s="6" t="str">
        <f>IF($D65="","",IF($F65&lt;&gt;"",$F65,IF(ISNA(MATCH($D65,'Paramètres'!$M:$M,0)),"⚠ Type inconnu",IFERROR(INDEX('Paramètres'!$P:$P,MATCH($D65,'Paramètres'!$M:$M,0))&amp;"",""))))</f>
        <v>Débit</v>
      </c>
      <c r="M65" s="6" t="str">
        <f>IF($D65="","",IF(ISNA(MATCH($D65,'Paramètres'!$M:$M,0)),"⚠ Type inconnu",IF($L65="Crédit","",IFERROR(INDEX('Paramètres'!$O:$O,MATCH($D65,'Paramètres'!$M:$M,0))&amp;"",""))))</f>
        <v>Dépense Courante</v>
      </c>
      <c r="N65" s="6" t="str">
        <f>IF($D65="","",IFERROR(INDEX('Paramètres'!$Q:$Q,MATCH($D65,'Paramètres'!$M:$M,0))&amp;"",""))</f>
        <v>Alimentation</v>
      </c>
      <c r="O65" s="6">
        <f>IF($A65="","",IF(OR($J65&lt;&gt;"x",$A65&lt;=FinReleve),1,0))</f>
        <v>1</v>
      </c>
      <c r="P65" s="6">
        <f>IF($D65="","",IF(AND($L65="Crédit",OR(IFERROR(INDEX('Paramètres'!$O:$O,MATCH($D65,'Paramètres'!$M:$M,0))&amp;"","")&lt;&gt;"",ISNUMBER(SEARCH("remboursement",IFERROR(INDEX('Paramètres'!$N:$N,MATCH($D65,'Paramètres'!$M:$M,0))&amp;"",""))))),1,0))</f>
        <v>0</v>
      </c>
      <c r="Q65" s="6">
        <f>IF($K65="","",IF(ISNUMBER(SEARCH("transfert-interne",IFERROR(INDEX('Paramètres'!$N:$N,MATCH($D65,'Paramètres'!$M:$M,0))&amp;"",""))),0,IF($L65="Débit",$K65,IF($P65=1,-$K65,0))))</f>
        <v>57.36</v>
      </c>
      <c r="R65" s="6">
        <f>IF($K65="","",IF($L65="Crédit",$K65,-$K65))</f>
        <v>-57.36</v>
      </c>
      <c r="S65" s="6" t="str">
        <f>IF($C65="","",IFERROR(INDEX('Paramètres'!$H:$H,MATCH($C65,'Paramètres'!$D:$D,0))&amp;"",""))</f>
        <v>Banque A - Courant</v>
      </c>
      <c r="T65" s="6">
        <f>IF($K65="","",IF($S65="",0,IF(ISNUMBER(SEARCH("apport-exterieur",IFERROR(INDEX('Paramètres'!$N:$N,MATCH($D65,'Paramètres'!$M:$M,0))&amp;"",""))),0,IF(OR(IFERROR(INDEX('Paramètres'!$I:$I,MATCH($C65,'Paramètres'!$D:$D,0))&amp;"","")="Les deux",IFERROR(INDEX('Paramètres'!$I:$I,MATCH($C65,'Paramètres'!$D:$D,0))&amp;"","")=IF($P65=1,"Débit",$L65)),-IF($P65=1,-$K65,$K65),0))))</f>
        <v>0</v>
      </c>
      <c r="U65" s="6">
        <f>IF($K65="","",IF(ISNUMBER(SEARCH("sortie-epargne",IFERROR(INDEX('Paramètres'!$N:$N,MATCH($D65,'Paramètres'!$M:$M,0))&amp;"",""))),$K65,0))</f>
        <v>0</v>
      </c>
      <c r="V65" s="6" t="str">
        <f>IF(AND($A65&lt;&gt;"",$O65=1,$L65="Débit",N($Q65)&gt;0,$A65&gt;=Visualisation!$B$1,$A65&lt;Visualisation!$D$1),MAX($V$1:V64)+1,"")</f>
        <v/>
      </c>
    </row>
    <row r="66" spans="1:22" x14ac:dyDescent="0.25">
      <c r="A66" s="9">
        <v>45576</v>
      </c>
      <c r="B66" s="4" t="s">
        <v>119</v>
      </c>
      <c r="C66" s="4" t="s">
        <v>60</v>
      </c>
      <c r="D66" s="4" t="s">
        <v>119</v>
      </c>
      <c r="E66" s="10">
        <v>60.42</v>
      </c>
      <c r="G66" s="4" t="s">
        <v>119</v>
      </c>
      <c r="H66" s="4" t="s">
        <v>120</v>
      </c>
      <c r="I66" s="4" t="s">
        <v>79</v>
      </c>
      <c r="K66" s="11">
        <f>IF($E66="","",ROUND($E66*IF(ISNA(MATCH($C66,'Paramètres'!$D:$D,0)),1,IF(INDEX('Paramètres'!$J:$J,MATCH($C66,'Paramètres'!$D:$D,0))="",1,INDEX('Paramètres'!$J:$J,MATCH($C66,'Paramètres'!$D:$D,0)))),2))</f>
        <v>30.21</v>
      </c>
      <c r="L66" s="6" t="str">
        <f>IF($D66="","",IF($F66&lt;&gt;"",$F66,IF(ISNA(MATCH($D66,'Paramètres'!$M:$M,0)),"⚠ Type inconnu",IFERROR(INDEX('Paramètres'!$P:$P,MATCH($D66,'Paramètres'!$M:$M,0))&amp;"",""))))</f>
        <v>Débit</v>
      </c>
      <c r="M66" s="6" t="str">
        <f>IF($D66="","",IF(ISNA(MATCH($D66,'Paramètres'!$M:$M,0)),"⚠ Type inconnu",IF($L66="Crédit","",IFERROR(INDEX('Paramètres'!$O:$O,MATCH($D66,'Paramètres'!$M:$M,0))&amp;"",""))))</f>
        <v>Dépense Occasionnelle</v>
      </c>
      <c r="N66" s="6" t="str">
        <f>IF($D66="","",IFERROR(INDEX('Paramètres'!$Q:$Q,MATCH($D66,'Paramètres'!$M:$M,0))&amp;"",""))</f>
        <v>Alimentation</v>
      </c>
      <c r="O66" s="6">
        <f>IF($A66="","",IF(OR($J66&lt;&gt;"x",$A66&lt;=FinReleve),1,0))</f>
        <v>1</v>
      </c>
      <c r="P66" s="6">
        <f>IF($D66="","",IF(AND($L66="Crédit",OR(IFERROR(INDEX('Paramètres'!$O:$O,MATCH($D66,'Paramètres'!$M:$M,0))&amp;"","")&lt;&gt;"",ISNUMBER(SEARCH("remboursement",IFERROR(INDEX('Paramètres'!$N:$N,MATCH($D66,'Paramètres'!$M:$M,0))&amp;"",""))))),1,0))</f>
        <v>0</v>
      </c>
      <c r="Q66" s="6">
        <f>IF($K66="","",IF(ISNUMBER(SEARCH("transfert-interne",IFERROR(INDEX('Paramètres'!$N:$N,MATCH($D66,'Paramètres'!$M:$M,0))&amp;"",""))),0,IF($L66="Débit",$K66,IF($P66=1,-$K66,0))))</f>
        <v>30.21</v>
      </c>
      <c r="R66" s="6">
        <f>IF($K66="","",IF($L66="Crédit",$K66,-$K66))</f>
        <v>-30.21</v>
      </c>
      <c r="S66" s="6" t="str">
        <f>IF($C66="","",IFERROR(INDEX('Paramètres'!$H:$H,MATCH($C66,'Paramètres'!$D:$D,0))&amp;"",""))</f>
        <v>Banque A - Courant</v>
      </c>
      <c r="T66" s="6">
        <f>IF($K66="","",IF($S66="",0,IF(ISNUMBER(SEARCH("apport-exterieur",IFERROR(INDEX('Paramètres'!$N:$N,MATCH($D66,'Paramètres'!$M:$M,0))&amp;"",""))),0,IF(OR(IFERROR(INDEX('Paramètres'!$I:$I,MATCH($C66,'Paramètres'!$D:$D,0))&amp;"","")="Les deux",IFERROR(INDEX('Paramètres'!$I:$I,MATCH($C66,'Paramètres'!$D:$D,0))&amp;"","")=IF($P66=1,"Débit",$L66)),-IF($P66=1,-$K66,$K66),0))))</f>
        <v>-30.21</v>
      </c>
      <c r="U66" s="6">
        <f>IF($K66="","",IF(ISNUMBER(SEARCH("sortie-epargne",IFERROR(INDEX('Paramètres'!$N:$N,MATCH($D66,'Paramètres'!$M:$M,0))&amp;"",""))),$K66,0))</f>
        <v>0</v>
      </c>
      <c r="V66" s="6" t="str">
        <f>IF(AND($A66&lt;&gt;"",$O66=1,$L66="Débit",N($Q66)&gt;0,$A66&gt;=Visualisation!$B$1,$A66&lt;Visualisation!$D$1),MAX($V$1:V65)+1,"")</f>
        <v/>
      </c>
    </row>
    <row r="67" spans="1:22" x14ac:dyDescent="0.25">
      <c r="A67" s="9">
        <v>45577</v>
      </c>
      <c r="B67" s="4" t="s">
        <v>97</v>
      </c>
      <c r="C67" s="4" t="s">
        <v>75</v>
      </c>
      <c r="D67" s="4" t="s">
        <v>97</v>
      </c>
      <c r="E67" s="10">
        <v>47.9</v>
      </c>
      <c r="G67" s="4"/>
      <c r="H67" s="4"/>
      <c r="I67" s="4"/>
      <c r="K67" s="11">
        <f>IF($E67="","",ROUND($E67*IF(ISNA(MATCH($C67,'Paramètres'!$D:$D,0)),1,IF(INDEX('Paramètres'!$J:$J,MATCH($C67,'Paramètres'!$D:$D,0))="",1,INDEX('Paramètres'!$J:$J,MATCH($C67,'Paramètres'!$D:$D,0)))),2))</f>
        <v>47.9</v>
      </c>
      <c r="L67" s="6" t="str">
        <f>IF($D67="","",IF($F67&lt;&gt;"",$F67,IF(ISNA(MATCH($D67,'Paramètres'!$M:$M,0)),"⚠ Type inconnu",IFERROR(INDEX('Paramètres'!$P:$P,MATCH($D67,'Paramètres'!$M:$M,0))&amp;"",""))))</f>
        <v>Débit</v>
      </c>
      <c r="M67" s="6" t="str">
        <f>IF($D67="","",IF(ISNA(MATCH($D67,'Paramètres'!$M:$M,0)),"⚠ Type inconnu",IF($L67="Crédit","",IFERROR(INDEX('Paramètres'!$O:$O,MATCH($D67,'Paramètres'!$M:$M,0))&amp;"",""))))</f>
        <v>Dépense Fixe</v>
      </c>
      <c r="N67" s="6" t="str">
        <f>IF($D67="","",IFERROR(INDEX('Paramètres'!$Q:$Q,MATCH($D67,'Paramètres'!$M:$M,0))&amp;"",""))</f>
        <v>Assurances</v>
      </c>
      <c r="O67" s="6">
        <f>IF($A67="","",IF(OR($J67&lt;&gt;"x",$A67&lt;=FinReleve),1,0))</f>
        <v>1</v>
      </c>
      <c r="P67" s="6">
        <f>IF($D67="","",IF(AND($L67="Crédit",OR(IFERROR(INDEX('Paramètres'!$O:$O,MATCH($D67,'Paramètres'!$M:$M,0))&amp;"","")&lt;&gt;"",ISNUMBER(SEARCH("remboursement",IFERROR(INDEX('Paramètres'!$N:$N,MATCH($D67,'Paramètres'!$M:$M,0))&amp;"",""))))),1,0))</f>
        <v>0</v>
      </c>
      <c r="Q67" s="6">
        <f>IF($K67="","",IF(ISNUMBER(SEARCH("transfert-interne",IFERROR(INDEX('Paramètres'!$N:$N,MATCH($D67,'Paramètres'!$M:$M,0))&amp;"",""))),0,IF($L67="Débit",$K67,IF($P67=1,-$K67,0))))</f>
        <v>47.9</v>
      </c>
      <c r="R67" s="6">
        <f>IF($K67="","",IF($L67="Crédit",$K67,-$K67))</f>
        <v>-47.9</v>
      </c>
      <c r="S67" s="6" t="str">
        <f>IF($C67="","",IFERROR(INDEX('Paramètres'!$H:$H,MATCH($C67,'Paramètres'!$D:$D,0))&amp;"",""))</f>
        <v/>
      </c>
      <c r="T67" s="6">
        <f>IF($K67="","",IF($S67="",0,IF(ISNUMBER(SEARCH("apport-exterieur",IFERROR(INDEX('Paramètres'!$N:$N,MATCH($D67,'Paramètres'!$M:$M,0))&amp;"",""))),0,IF(OR(IFERROR(INDEX('Paramètres'!$I:$I,MATCH($C67,'Paramètres'!$D:$D,0))&amp;"","")="Les deux",IFERROR(INDEX('Paramètres'!$I:$I,MATCH($C67,'Paramètres'!$D:$D,0))&amp;"","")=IF($P67=1,"Débit",$L67)),-IF($P67=1,-$K67,$K67),0))))</f>
        <v>0</v>
      </c>
      <c r="U67" s="6">
        <f>IF($K67="","",IF(ISNUMBER(SEARCH("sortie-epargne",IFERROR(INDEX('Paramètres'!$N:$N,MATCH($D67,'Paramètres'!$M:$M,0))&amp;"",""))),$K67,0))</f>
        <v>0</v>
      </c>
      <c r="V67" s="6" t="str">
        <f>IF(AND($A67&lt;&gt;"",$O67=1,$L67="Débit",N($Q67)&gt;0,$A67&gt;=Visualisation!$B$1,$A67&lt;Visualisation!$D$1),MAX($V$1:V66)+1,"")</f>
        <v/>
      </c>
    </row>
    <row r="68" spans="1:22" x14ac:dyDescent="0.25">
      <c r="A68" s="9">
        <v>45578</v>
      </c>
      <c r="B68" s="4" t="s">
        <v>69</v>
      </c>
      <c r="C68" s="4" t="s">
        <v>70</v>
      </c>
      <c r="D68" s="4" t="s">
        <v>71</v>
      </c>
      <c r="E68" s="10">
        <v>7.72</v>
      </c>
      <c r="G68" s="4" t="s">
        <v>72</v>
      </c>
      <c r="H68" s="4"/>
      <c r="I68" s="4" t="s">
        <v>79</v>
      </c>
      <c r="K68" s="11">
        <f>IF($E68="","",ROUND($E68*IF(ISNA(MATCH($C68,'Paramètres'!$D:$D,0)),1,IF(INDEX('Paramètres'!$J:$J,MATCH($C68,'Paramètres'!$D:$D,0))="",1,INDEX('Paramètres'!$J:$J,MATCH($C68,'Paramètres'!$D:$D,0)))),2))</f>
        <v>7.72</v>
      </c>
      <c r="L68" s="6" t="str">
        <f>IF($D68="","",IF($F68&lt;&gt;"",$F68,IF(ISNA(MATCH($D68,'Paramètres'!$M:$M,0)),"⚠ Type inconnu",IFERROR(INDEX('Paramètres'!$P:$P,MATCH($D68,'Paramètres'!$M:$M,0))&amp;"",""))))</f>
        <v>Débit</v>
      </c>
      <c r="M68" s="6" t="str">
        <f>IF($D68="","",IF(ISNA(MATCH($D68,'Paramètres'!$M:$M,0)),"⚠ Type inconnu",IF($L68="Crédit","",IFERROR(INDEX('Paramètres'!$O:$O,MATCH($D68,'Paramètres'!$M:$M,0))&amp;"",""))))</f>
        <v>Dépense Courante</v>
      </c>
      <c r="N68" s="6" t="str">
        <f>IF($D68="","",IFERROR(INDEX('Paramètres'!$Q:$Q,MATCH($D68,'Paramètres'!$M:$M,0))&amp;"",""))</f>
        <v>Alimentation</v>
      </c>
      <c r="O68" s="6">
        <f>IF($A68="","",IF(OR($J68&lt;&gt;"x",$A68&lt;=FinReleve),1,0))</f>
        <v>1</v>
      </c>
      <c r="P68" s="6">
        <f>IF($D68="","",IF(AND($L68="Crédit",OR(IFERROR(INDEX('Paramètres'!$O:$O,MATCH($D68,'Paramètres'!$M:$M,0))&amp;"","")&lt;&gt;"",ISNUMBER(SEARCH("remboursement",IFERROR(INDEX('Paramètres'!$N:$N,MATCH($D68,'Paramètres'!$M:$M,0))&amp;"",""))))),1,0))</f>
        <v>0</v>
      </c>
      <c r="Q68" s="6">
        <f>IF($K68="","",IF(ISNUMBER(SEARCH("transfert-interne",IFERROR(INDEX('Paramètres'!$N:$N,MATCH($D68,'Paramètres'!$M:$M,0))&amp;"",""))),0,IF($L68="Débit",$K68,IF($P68=1,-$K68,0))))</f>
        <v>7.72</v>
      </c>
      <c r="R68" s="6">
        <f>IF($K68="","",IF($L68="Crédit",$K68,-$K68))</f>
        <v>-7.72</v>
      </c>
      <c r="S68" s="6" t="str">
        <f>IF($C68="","",IFERROR(INDEX('Paramètres'!$H:$H,MATCH($C68,'Paramètres'!$D:$D,0))&amp;"",""))</f>
        <v/>
      </c>
      <c r="T68" s="6">
        <f>IF($K68="","",IF($S68="",0,IF(ISNUMBER(SEARCH("apport-exterieur",IFERROR(INDEX('Paramètres'!$N:$N,MATCH($D68,'Paramètres'!$M:$M,0))&amp;"",""))),0,IF(OR(IFERROR(INDEX('Paramètres'!$I:$I,MATCH($C68,'Paramètres'!$D:$D,0))&amp;"","")="Les deux",IFERROR(INDEX('Paramètres'!$I:$I,MATCH($C68,'Paramètres'!$D:$D,0))&amp;"","")=IF($P68=1,"Débit",$L68)),-IF($P68=1,-$K68,$K68),0))))</f>
        <v>0</v>
      </c>
      <c r="U68" s="6">
        <f>IF($K68="","",IF(ISNUMBER(SEARCH("sortie-epargne",IFERROR(INDEX('Paramètres'!$N:$N,MATCH($D68,'Paramètres'!$M:$M,0))&amp;"",""))),$K68,0))</f>
        <v>0</v>
      </c>
      <c r="V68" s="6" t="str">
        <f>IF(AND($A68&lt;&gt;"",$O68=1,$L68="Débit",N($Q68)&gt;0,$A68&gt;=Visualisation!$B$1,$A68&lt;Visualisation!$D$1),MAX($V$1:V67)+1,"")</f>
        <v/>
      </c>
    </row>
    <row r="69" spans="1:22" x14ac:dyDescent="0.25">
      <c r="A69" s="9">
        <v>45579</v>
      </c>
      <c r="B69" s="4" t="s">
        <v>76</v>
      </c>
      <c r="C69" s="4" t="s">
        <v>60</v>
      </c>
      <c r="D69" s="4" t="s">
        <v>77</v>
      </c>
      <c r="E69" s="10">
        <v>59.3</v>
      </c>
      <c r="G69" s="4" t="s">
        <v>102</v>
      </c>
      <c r="H69" s="4"/>
      <c r="I69" s="4" t="s">
        <v>79</v>
      </c>
      <c r="K69" s="11">
        <f>IF($E69="","",ROUND($E69*IF(ISNA(MATCH($C69,'Paramètres'!$D:$D,0)),1,IF(INDEX('Paramètres'!$J:$J,MATCH($C69,'Paramètres'!$D:$D,0))="",1,INDEX('Paramètres'!$J:$J,MATCH($C69,'Paramètres'!$D:$D,0)))),2))</f>
        <v>29.65</v>
      </c>
      <c r="L69" s="6" t="str">
        <f>IF($D69="","",IF($F69&lt;&gt;"",$F69,IF(ISNA(MATCH($D69,'Paramètres'!$M:$M,0)),"⚠ Type inconnu",IFERROR(INDEX('Paramètres'!$P:$P,MATCH($D69,'Paramètres'!$M:$M,0))&amp;"",""))))</f>
        <v>Débit</v>
      </c>
      <c r="M69" s="6" t="str">
        <f>IF($D69="","",IF(ISNA(MATCH($D69,'Paramètres'!$M:$M,0)),"⚠ Type inconnu",IF($L69="Crédit","",IFERROR(INDEX('Paramètres'!$O:$O,MATCH($D69,'Paramètres'!$M:$M,0))&amp;"",""))))</f>
        <v>Dépense Courante</v>
      </c>
      <c r="N69" s="6" t="str">
        <f>IF($D69="","",IFERROR(INDEX('Paramètres'!$Q:$Q,MATCH($D69,'Paramètres'!$M:$M,0))&amp;"",""))</f>
        <v>Alimentation</v>
      </c>
      <c r="O69" s="6">
        <f>IF($A69="","",IF(OR($J69&lt;&gt;"x",$A69&lt;=FinReleve),1,0))</f>
        <v>1</v>
      </c>
      <c r="P69" s="6">
        <f>IF($D69="","",IF(AND($L69="Crédit",OR(IFERROR(INDEX('Paramètres'!$O:$O,MATCH($D69,'Paramètres'!$M:$M,0))&amp;"","")&lt;&gt;"",ISNUMBER(SEARCH("remboursement",IFERROR(INDEX('Paramètres'!$N:$N,MATCH($D69,'Paramètres'!$M:$M,0))&amp;"",""))))),1,0))</f>
        <v>0</v>
      </c>
      <c r="Q69" s="6">
        <f>IF($K69="","",IF(ISNUMBER(SEARCH("transfert-interne",IFERROR(INDEX('Paramètres'!$N:$N,MATCH($D69,'Paramètres'!$M:$M,0))&amp;"",""))),0,IF($L69="Débit",$K69,IF($P69=1,-$K69,0))))</f>
        <v>29.65</v>
      </c>
      <c r="R69" s="6">
        <f>IF($K69="","",IF($L69="Crédit",$K69,-$K69))</f>
        <v>-29.65</v>
      </c>
      <c r="S69" s="6" t="str">
        <f>IF($C69="","",IFERROR(INDEX('Paramètres'!$H:$H,MATCH($C69,'Paramètres'!$D:$D,0))&amp;"",""))</f>
        <v>Banque A - Courant</v>
      </c>
      <c r="T69" s="6">
        <f>IF($K69="","",IF($S69="",0,IF(ISNUMBER(SEARCH("apport-exterieur",IFERROR(INDEX('Paramètres'!$N:$N,MATCH($D69,'Paramètres'!$M:$M,0))&amp;"",""))),0,IF(OR(IFERROR(INDEX('Paramètres'!$I:$I,MATCH($C69,'Paramètres'!$D:$D,0))&amp;"","")="Les deux",IFERROR(INDEX('Paramètres'!$I:$I,MATCH($C69,'Paramètres'!$D:$D,0))&amp;"","")=IF($P69=1,"Débit",$L69)),-IF($P69=1,-$K69,$K69),0))))</f>
        <v>-29.65</v>
      </c>
      <c r="U69" s="6">
        <f>IF($K69="","",IF(ISNUMBER(SEARCH("sortie-epargne",IFERROR(INDEX('Paramètres'!$N:$N,MATCH($D69,'Paramètres'!$M:$M,0))&amp;"",""))),$K69,0))</f>
        <v>0</v>
      </c>
      <c r="V69" s="6" t="str">
        <f>IF(AND($A69&lt;&gt;"",$O69=1,$L69="Débit",N($Q69)&gt;0,$A69&gt;=Visualisation!$B$1,$A69&lt;Visualisation!$D$1),MAX($V$1:V68)+1,"")</f>
        <v/>
      </c>
    </row>
    <row r="70" spans="1:22" x14ac:dyDescent="0.25">
      <c r="A70" s="9">
        <v>45579</v>
      </c>
      <c r="B70" s="4" t="s">
        <v>121</v>
      </c>
      <c r="C70" s="4" t="s">
        <v>60</v>
      </c>
      <c r="D70" s="4" t="s">
        <v>121</v>
      </c>
      <c r="E70" s="10">
        <v>200.8</v>
      </c>
      <c r="G70" s="4" t="s">
        <v>122</v>
      </c>
      <c r="H70" s="4" t="s">
        <v>120</v>
      </c>
      <c r="I70" s="4" t="s">
        <v>63</v>
      </c>
      <c r="K70" s="11">
        <f>IF($E70="","",ROUND($E70*IF(ISNA(MATCH($C70,'Paramètres'!$D:$D,0)),1,IF(INDEX('Paramètres'!$J:$J,MATCH($C70,'Paramètres'!$D:$D,0))="",1,INDEX('Paramètres'!$J:$J,MATCH($C70,'Paramètres'!$D:$D,0)))),2))</f>
        <v>100.4</v>
      </c>
      <c r="L70" s="6" t="str">
        <f>IF($D70="","",IF($F70&lt;&gt;"",$F70,IF(ISNA(MATCH($D70,'Paramètres'!$M:$M,0)),"⚠ Type inconnu",IFERROR(INDEX('Paramètres'!$P:$P,MATCH($D70,'Paramètres'!$M:$M,0))&amp;"",""))))</f>
        <v>Débit</v>
      </c>
      <c r="M70" s="6" t="str">
        <f>IF($D70="","",IF(ISNA(MATCH($D70,'Paramètres'!$M:$M,0)),"⚠ Type inconnu",IF($L70="Crédit","",IFERROR(INDEX('Paramètres'!$O:$O,MATCH($D70,'Paramètres'!$M:$M,0))&amp;"",""))))</f>
        <v>Dépense Occasionnelle</v>
      </c>
      <c r="N70" s="6" t="str">
        <f>IF($D70="","",IFERROR(INDEX('Paramètres'!$Q:$Q,MATCH($D70,'Paramètres'!$M:$M,0))&amp;"",""))</f>
        <v>Autre</v>
      </c>
      <c r="O70" s="6">
        <f>IF($A70="","",IF(OR($J70&lt;&gt;"x",$A70&lt;=FinReleve),1,0))</f>
        <v>1</v>
      </c>
      <c r="P70" s="6">
        <f>IF($D70="","",IF(AND($L70="Crédit",OR(IFERROR(INDEX('Paramètres'!$O:$O,MATCH($D70,'Paramètres'!$M:$M,0))&amp;"","")&lt;&gt;"",ISNUMBER(SEARCH("remboursement",IFERROR(INDEX('Paramètres'!$N:$N,MATCH($D70,'Paramètres'!$M:$M,0))&amp;"",""))))),1,0))</f>
        <v>0</v>
      </c>
      <c r="Q70" s="6">
        <f>IF($K70="","",IF(ISNUMBER(SEARCH("transfert-interne",IFERROR(INDEX('Paramètres'!$N:$N,MATCH($D70,'Paramètres'!$M:$M,0))&amp;"",""))),0,IF($L70="Débit",$K70,IF($P70=1,-$K70,0))))</f>
        <v>100.4</v>
      </c>
      <c r="R70" s="6">
        <f>IF($K70="","",IF($L70="Crédit",$K70,-$K70))</f>
        <v>-100.4</v>
      </c>
      <c r="S70" s="6" t="str">
        <f>IF($C70="","",IFERROR(INDEX('Paramètres'!$H:$H,MATCH($C70,'Paramètres'!$D:$D,0))&amp;"",""))</f>
        <v>Banque A - Courant</v>
      </c>
      <c r="T70" s="6">
        <f>IF($K70="","",IF($S70="",0,IF(ISNUMBER(SEARCH("apport-exterieur",IFERROR(INDEX('Paramètres'!$N:$N,MATCH($D70,'Paramètres'!$M:$M,0))&amp;"",""))),0,IF(OR(IFERROR(INDEX('Paramètres'!$I:$I,MATCH($C70,'Paramètres'!$D:$D,0))&amp;"","")="Les deux",IFERROR(INDEX('Paramètres'!$I:$I,MATCH($C70,'Paramètres'!$D:$D,0))&amp;"","")=IF($P70=1,"Débit",$L70)),-IF($P70=1,-$K70,$K70),0))))</f>
        <v>-100.4</v>
      </c>
      <c r="U70" s="6">
        <f>IF($K70="","",IF(ISNUMBER(SEARCH("sortie-epargne",IFERROR(INDEX('Paramètres'!$N:$N,MATCH($D70,'Paramètres'!$M:$M,0))&amp;"",""))),$K70,0))</f>
        <v>0</v>
      </c>
      <c r="V70" s="6" t="str">
        <f>IF(AND($A70&lt;&gt;"",$O70=1,$L70="Débit",N($Q70)&gt;0,$A70&gt;=Visualisation!$B$1,$A70&lt;Visualisation!$D$1),MAX($V$1:V69)+1,"")</f>
        <v/>
      </c>
    </row>
    <row r="71" spans="1:22" x14ac:dyDescent="0.25">
      <c r="A71" s="9">
        <v>45580</v>
      </c>
      <c r="B71" s="4" t="s">
        <v>100</v>
      </c>
      <c r="C71" s="4" t="s">
        <v>65</v>
      </c>
      <c r="D71" s="4" t="s">
        <v>100</v>
      </c>
      <c r="E71" s="10">
        <v>63.83</v>
      </c>
      <c r="G71" s="4"/>
      <c r="H71" s="4"/>
      <c r="I71" s="4"/>
      <c r="K71" s="11">
        <f>IF($E71="","",ROUND($E71*IF(ISNA(MATCH($C71,'Paramètres'!$D:$D,0)),1,IF(INDEX('Paramètres'!$J:$J,MATCH($C71,'Paramètres'!$D:$D,0))="",1,INDEX('Paramètres'!$J:$J,MATCH($C71,'Paramètres'!$D:$D,0)))),2))</f>
        <v>63.83</v>
      </c>
      <c r="L71" s="6" t="str">
        <f>IF($D71="","",IF($F71&lt;&gt;"",$F71,IF(ISNA(MATCH($D71,'Paramètres'!$M:$M,0)),"⚠ Type inconnu",IFERROR(INDEX('Paramètres'!$P:$P,MATCH($D71,'Paramètres'!$M:$M,0))&amp;"",""))))</f>
        <v>Débit</v>
      </c>
      <c r="M71" s="6" t="str">
        <f>IF($D71="","",IF(ISNA(MATCH($D71,'Paramètres'!$M:$M,0)),"⚠ Type inconnu",IF($L71="Crédit","",IFERROR(INDEX('Paramètres'!$O:$O,MATCH($D71,'Paramètres'!$M:$M,0))&amp;"",""))))</f>
        <v>Dépense Fixe</v>
      </c>
      <c r="N71" s="6" t="str">
        <f>IF($D71="","",IFERROR(INDEX('Paramètres'!$Q:$Q,MATCH($D71,'Paramètres'!$M:$M,0))&amp;"",""))</f>
        <v>Immobilier</v>
      </c>
      <c r="O71" s="6">
        <f>IF($A71="","",IF(OR($J71&lt;&gt;"x",$A71&lt;=FinReleve),1,0))</f>
        <v>1</v>
      </c>
      <c r="P71" s="6">
        <f>IF($D71="","",IF(AND($L71="Crédit",OR(IFERROR(INDEX('Paramètres'!$O:$O,MATCH($D71,'Paramètres'!$M:$M,0))&amp;"","")&lt;&gt;"",ISNUMBER(SEARCH("remboursement",IFERROR(INDEX('Paramètres'!$N:$N,MATCH($D71,'Paramètres'!$M:$M,0))&amp;"",""))))),1,0))</f>
        <v>0</v>
      </c>
      <c r="Q71" s="6">
        <f>IF($K71="","",IF(ISNUMBER(SEARCH("transfert-interne",IFERROR(INDEX('Paramètres'!$N:$N,MATCH($D71,'Paramètres'!$M:$M,0))&amp;"",""))),0,IF($L71="Débit",$K71,IF($P71=1,-$K71,0))))</f>
        <v>63.83</v>
      </c>
      <c r="R71" s="6">
        <f>IF($K71="","",IF($L71="Crédit",$K71,-$K71))</f>
        <v>-63.83</v>
      </c>
      <c r="S71" s="6" t="str">
        <f>IF($C71="","",IFERROR(INDEX('Paramètres'!$H:$H,MATCH($C71,'Paramètres'!$D:$D,0))&amp;"",""))</f>
        <v>Banque A - Courant</v>
      </c>
      <c r="T71" s="6">
        <f>IF($K71="","",IF($S71="",0,IF(ISNUMBER(SEARCH("apport-exterieur",IFERROR(INDEX('Paramètres'!$N:$N,MATCH($D71,'Paramètres'!$M:$M,0))&amp;"",""))),0,IF(OR(IFERROR(INDEX('Paramètres'!$I:$I,MATCH($C71,'Paramètres'!$D:$D,0))&amp;"","")="Les deux",IFERROR(INDEX('Paramètres'!$I:$I,MATCH($C71,'Paramètres'!$D:$D,0))&amp;"","")=IF($P71=1,"Débit",$L71)),-IF($P71=1,-$K71,$K71),0))))</f>
        <v>0</v>
      </c>
      <c r="U71" s="6">
        <f>IF($K71="","",IF(ISNUMBER(SEARCH("sortie-epargne",IFERROR(INDEX('Paramètres'!$N:$N,MATCH($D71,'Paramètres'!$M:$M,0))&amp;"",""))),$K71,0))</f>
        <v>0</v>
      </c>
      <c r="V71" s="6" t="str">
        <f>IF(AND($A71&lt;&gt;"",$O71=1,$L71="Débit",N($Q71)&gt;0,$A71&gt;=Visualisation!$B$1,$A71&lt;Visualisation!$D$1),MAX($V$1:V70)+1,"")</f>
        <v/>
      </c>
    </row>
    <row r="72" spans="1:22" x14ac:dyDescent="0.25">
      <c r="A72" s="9">
        <v>45580</v>
      </c>
      <c r="B72" s="4" t="s">
        <v>76</v>
      </c>
      <c r="C72" s="4" t="s">
        <v>60</v>
      </c>
      <c r="D72" s="4" t="s">
        <v>77</v>
      </c>
      <c r="E72" s="10">
        <v>58.76</v>
      </c>
      <c r="G72" s="4" t="s">
        <v>102</v>
      </c>
      <c r="H72" s="4"/>
      <c r="I72" s="4"/>
      <c r="K72" s="11">
        <f>IF($E72="","",ROUND($E72*IF(ISNA(MATCH($C72,'Paramètres'!$D:$D,0)),1,IF(INDEX('Paramètres'!$J:$J,MATCH($C72,'Paramètres'!$D:$D,0))="",1,INDEX('Paramètres'!$J:$J,MATCH($C72,'Paramètres'!$D:$D,0)))),2))</f>
        <v>29.38</v>
      </c>
      <c r="L72" s="6" t="str">
        <f>IF($D72="","",IF($F72&lt;&gt;"",$F72,IF(ISNA(MATCH($D72,'Paramètres'!$M:$M,0)),"⚠ Type inconnu",IFERROR(INDEX('Paramètres'!$P:$P,MATCH($D72,'Paramètres'!$M:$M,0))&amp;"",""))))</f>
        <v>Débit</v>
      </c>
      <c r="M72" s="6" t="str">
        <f>IF($D72="","",IF(ISNA(MATCH($D72,'Paramètres'!$M:$M,0)),"⚠ Type inconnu",IF($L72="Crédit","",IFERROR(INDEX('Paramètres'!$O:$O,MATCH($D72,'Paramètres'!$M:$M,0))&amp;"",""))))</f>
        <v>Dépense Courante</v>
      </c>
      <c r="N72" s="6" t="str">
        <f>IF($D72="","",IFERROR(INDEX('Paramètres'!$Q:$Q,MATCH($D72,'Paramètres'!$M:$M,0))&amp;"",""))</f>
        <v>Alimentation</v>
      </c>
      <c r="O72" s="6">
        <f>IF($A72="","",IF(OR($J72&lt;&gt;"x",$A72&lt;=FinReleve),1,0))</f>
        <v>1</v>
      </c>
      <c r="P72" s="6">
        <f>IF($D72="","",IF(AND($L72="Crédit",OR(IFERROR(INDEX('Paramètres'!$O:$O,MATCH($D72,'Paramètres'!$M:$M,0))&amp;"","")&lt;&gt;"",ISNUMBER(SEARCH("remboursement",IFERROR(INDEX('Paramètres'!$N:$N,MATCH($D72,'Paramètres'!$M:$M,0))&amp;"",""))))),1,0))</f>
        <v>0</v>
      </c>
      <c r="Q72" s="6">
        <f>IF($K72="","",IF(ISNUMBER(SEARCH("transfert-interne",IFERROR(INDEX('Paramètres'!$N:$N,MATCH($D72,'Paramètres'!$M:$M,0))&amp;"",""))),0,IF($L72="Débit",$K72,IF($P72=1,-$K72,0))))</f>
        <v>29.38</v>
      </c>
      <c r="R72" s="6">
        <f>IF($K72="","",IF($L72="Crédit",$K72,-$K72))</f>
        <v>-29.38</v>
      </c>
      <c r="S72" s="6" t="str">
        <f>IF($C72="","",IFERROR(INDEX('Paramètres'!$H:$H,MATCH($C72,'Paramètres'!$D:$D,0))&amp;"",""))</f>
        <v>Banque A - Courant</v>
      </c>
      <c r="T72" s="6">
        <f>IF($K72="","",IF($S72="",0,IF(ISNUMBER(SEARCH("apport-exterieur",IFERROR(INDEX('Paramètres'!$N:$N,MATCH($D72,'Paramètres'!$M:$M,0))&amp;"",""))),0,IF(OR(IFERROR(INDEX('Paramètres'!$I:$I,MATCH($C72,'Paramètres'!$D:$D,0))&amp;"","")="Les deux",IFERROR(INDEX('Paramètres'!$I:$I,MATCH($C72,'Paramètres'!$D:$D,0))&amp;"","")=IF($P72=1,"Débit",$L72)),-IF($P72=1,-$K72,$K72),0))))</f>
        <v>-29.38</v>
      </c>
      <c r="U72" s="6">
        <f>IF($K72="","",IF(ISNUMBER(SEARCH("sortie-epargne",IFERROR(INDEX('Paramètres'!$N:$N,MATCH($D72,'Paramètres'!$M:$M,0))&amp;"",""))),$K72,0))</f>
        <v>0</v>
      </c>
      <c r="V72" s="6" t="str">
        <f>IF(AND($A72&lt;&gt;"",$O72=1,$L72="Débit",N($Q72)&gt;0,$A72&gt;=Visualisation!$B$1,$A72&lt;Visualisation!$D$1),MAX($V$1:V71)+1,"")</f>
        <v/>
      </c>
    </row>
    <row r="73" spans="1:22" x14ac:dyDescent="0.25">
      <c r="A73" s="9">
        <v>45580</v>
      </c>
      <c r="B73" s="4" t="s">
        <v>119</v>
      </c>
      <c r="C73" s="4" t="s">
        <v>60</v>
      </c>
      <c r="D73" s="4" t="s">
        <v>119</v>
      </c>
      <c r="E73" s="10">
        <v>48.12</v>
      </c>
      <c r="G73" s="4" t="s">
        <v>109</v>
      </c>
      <c r="H73" s="4" t="s">
        <v>120</v>
      </c>
      <c r="I73" s="4" t="s">
        <v>79</v>
      </c>
      <c r="K73" s="11">
        <f>IF($E73="","",ROUND($E73*IF(ISNA(MATCH($C73,'Paramètres'!$D:$D,0)),1,IF(INDEX('Paramètres'!$J:$J,MATCH($C73,'Paramètres'!$D:$D,0))="",1,INDEX('Paramètres'!$J:$J,MATCH($C73,'Paramètres'!$D:$D,0)))),2))</f>
        <v>24.06</v>
      </c>
      <c r="L73" s="6" t="str">
        <f>IF($D73="","",IF($F73&lt;&gt;"",$F73,IF(ISNA(MATCH($D73,'Paramètres'!$M:$M,0)),"⚠ Type inconnu",IFERROR(INDEX('Paramètres'!$P:$P,MATCH($D73,'Paramètres'!$M:$M,0))&amp;"",""))))</f>
        <v>Débit</v>
      </c>
      <c r="M73" s="6" t="str">
        <f>IF($D73="","",IF(ISNA(MATCH($D73,'Paramètres'!$M:$M,0)),"⚠ Type inconnu",IF($L73="Crédit","",IFERROR(INDEX('Paramètres'!$O:$O,MATCH($D73,'Paramètres'!$M:$M,0))&amp;"",""))))</f>
        <v>Dépense Occasionnelle</v>
      </c>
      <c r="N73" s="6" t="str">
        <f>IF($D73="","",IFERROR(INDEX('Paramètres'!$Q:$Q,MATCH($D73,'Paramètres'!$M:$M,0))&amp;"",""))</f>
        <v>Alimentation</v>
      </c>
      <c r="O73" s="6">
        <f>IF($A73="","",IF(OR($J73&lt;&gt;"x",$A73&lt;=FinReleve),1,0))</f>
        <v>1</v>
      </c>
      <c r="P73" s="6">
        <f>IF($D73="","",IF(AND($L73="Crédit",OR(IFERROR(INDEX('Paramètres'!$O:$O,MATCH($D73,'Paramètres'!$M:$M,0))&amp;"","")&lt;&gt;"",ISNUMBER(SEARCH("remboursement",IFERROR(INDEX('Paramètres'!$N:$N,MATCH($D73,'Paramètres'!$M:$M,0))&amp;"",""))))),1,0))</f>
        <v>0</v>
      </c>
      <c r="Q73" s="6">
        <f>IF($K73="","",IF(ISNUMBER(SEARCH("transfert-interne",IFERROR(INDEX('Paramètres'!$N:$N,MATCH($D73,'Paramètres'!$M:$M,0))&amp;"",""))),0,IF($L73="Débit",$K73,IF($P73=1,-$K73,0))))</f>
        <v>24.06</v>
      </c>
      <c r="R73" s="6">
        <f>IF($K73="","",IF($L73="Crédit",$K73,-$K73))</f>
        <v>-24.06</v>
      </c>
      <c r="S73" s="6" t="str">
        <f>IF($C73="","",IFERROR(INDEX('Paramètres'!$H:$H,MATCH($C73,'Paramètres'!$D:$D,0))&amp;"",""))</f>
        <v>Banque A - Courant</v>
      </c>
      <c r="T73" s="6">
        <f>IF($K73="","",IF($S73="",0,IF(ISNUMBER(SEARCH("apport-exterieur",IFERROR(INDEX('Paramètres'!$N:$N,MATCH($D73,'Paramètres'!$M:$M,0))&amp;"",""))),0,IF(OR(IFERROR(INDEX('Paramètres'!$I:$I,MATCH($C73,'Paramètres'!$D:$D,0))&amp;"","")="Les deux",IFERROR(INDEX('Paramètres'!$I:$I,MATCH($C73,'Paramètres'!$D:$D,0))&amp;"","")=IF($P73=1,"Débit",$L73)),-IF($P73=1,-$K73,$K73),0))))</f>
        <v>-24.06</v>
      </c>
      <c r="U73" s="6">
        <f>IF($K73="","",IF(ISNUMBER(SEARCH("sortie-epargne",IFERROR(INDEX('Paramètres'!$N:$N,MATCH($D73,'Paramètres'!$M:$M,0))&amp;"",""))),$K73,0))</f>
        <v>0</v>
      </c>
      <c r="V73" s="6" t="str">
        <f>IF(AND($A73&lt;&gt;"",$O73=1,$L73="Débit",N($Q73)&gt;0,$A73&gt;=Visualisation!$B$1,$A73&lt;Visualisation!$D$1),MAX($V$1:V72)+1,"")</f>
        <v/>
      </c>
    </row>
    <row r="74" spans="1:22" x14ac:dyDescent="0.25">
      <c r="A74" s="9">
        <v>45583</v>
      </c>
      <c r="B74" s="4" t="s">
        <v>103</v>
      </c>
      <c r="C74" s="4" t="s">
        <v>75</v>
      </c>
      <c r="D74" s="4" t="s">
        <v>103</v>
      </c>
      <c r="E74" s="10">
        <v>212</v>
      </c>
      <c r="G74" s="4"/>
      <c r="H74" s="4"/>
      <c r="I74" s="4"/>
      <c r="K74" s="11">
        <f>IF($E74="","",ROUND($E74*IF(ISNA(MATCH($C74,'Paramètres'!$D:$D,0)),1,IF(INDEX('Paramètres'!$J:$J,MATCH($C74,'Paramètres'!$D:$D,0))="",1,INDEX('Paramètres'!$J:$J,MATCH($C74,'Paramètres'!$D:$D,0)))),2))</f>
        <v>212</v>
      </c>
      <c r="L74" s="6" t="str">
        <f>IF($D74="","",IF($F74&lt;&gt;"",$F74,IF(ISNA(MATCH($D74,'Paramètres'!$M:$M,0)),"⚠ Type inconnu",IFERROR(INDEX('Paramètres'!$P:$P,MATCH($D74,'Paramètres'!$M:$M,0))&amp;"",""))))</f>
        <v>Débit</v>
      </c>
      <c r="M74" s="6" t="str">
        <f>IF($D74="","",IF(ISNA(MATCH($D74,'Paramètres'!$M:$M,0)),"⚠ Type inconnu",IF($L74="Crédit","",IFERROR(INDEX('Paramètres'!$O:$O,MATCH($D74,'Paramètres'!$M:$M,0))&amp;"",""))))</f>
        <v>Dépense Fixe</v>
      </c>
      <c r="N74" s="6" t="str">
        <f>IF($D74="","",IFERROR(INDEX('Paramètres'!$Q:$Q,MATCH($D74,'Paramètres'!$M:$M,0))&amp;"",""))</f>
        <v>Impots</v>
      </c>
      <c r="O74" s="6">
        <f>IF($A74="","",IF(OR($J74&lt;&gt;"x",$A74&lt;=FinReleve),1,0))</f>
        <v>1</v>
      </c>
      <c r="P74" s="6">
        <f>IF($D74="","",IF(AND($L74="Crédit",OR(IFERROR(INDEX('Paramètres'!$O:$O,MATCH($D74,'Paramètres'!$M:$M,0))&amp;"","")&lt;&gt;"",ISNUMBER(SEARCH("remboursement",IFERROR(INDEX('Paramètres'!$N:$N,MATCH($D74,'Paramètres'!$M:$M,0))&amp;"",""))))),1,0))</f>
        <v>0</v>
      </c>
      <c r="Q74" s="6">
        <f>IF($K74="","",IF(ISNUMBER(SEARCH("transfert-interne",IFERROR(INDEX('Paramètres'!$N:$N,MATCH($D74,'Paramètres'!$M:$M,0))&amp;"",""))),0,IF($L74="Débit",$K74,IF($P74=1,-$K74,0))))</f>
        <v>212</v>
      </c>
      <c r="R74" s="6">
        <f>IF($K74="","",IF($L74="Crédit",$K74,-$K74))</f>
        <v>-212</v>
      </c>
      <c r="S74" s="6" t="str">
        <f>IF($C74="","",IFERROR(INDEX('Paramètres'!$H:$H,MATCH($C74,'Paramètres'!$D:$D,0))&amp;"",""))</f>
        <v/>
      </c>
      <c r="T74" s="6">
        <f>IF($K74="","",IF($S74="",0,IF(ISNUMBER(SEARCH("apport-exterieur",IFERROR(INDEX('Paramètres'!$N:$N,MATCH($D74,'Paramètres'!$M:$M,0))&amp;"",""))),0,IF(OR(IFERROR(INDEX('Paramètres'!$I:$I,MATCH($C74,'Paramètres'!$D:$D,0))&amp;"","")="Les deux",IFERROR(INDEX('Paramètres'!$I:$I,MATCH($C74,'Paramètres'!$D:$D,0))&amp;"","")=IF($P74=1,"Débit",$L74)),-IF($P74=1,-$K74,$K74),0))))</f>
        <v>0</v>
      </c>
      <c r="U74" s="6">
        <f>IF($K74="","",IF(ISNUMBER(SEARCH("sortie-epargne",IFERROR(INDEX('Paramètres'!$N:$N,MATCH($D74,'Paramètres'!$M:$M,0))&amp;"",""))),$K74,0))</f>
        <v>0</v>
      </c>
      <c r="V74" s="6" t="str">
        <f>IF(AND($A74&lt;&gt;"",$O74=1,$L74="Débit",N($Q74)&gt;0,$A74&gt;=Visualisation!$B$1,$A74&lt;Visualisation!$D$1),MAX($V$1:V73)+1,"")</f>
        <v/>
      </c>
    </row>
    <row r="75" spans="1:22" x14ac:dyDescent="0.25">
      <c r="A75" s="9">
        <v>45583</v>
      </c>
      <c r="B75" s="4" t="s">
        <v>76</v>
      </c>
      <c r="C75" s="4" t="s">
        <v>60</v>
      </c>
      <c r="D75" s="4" t="s">
        <v>77</v>
      </c>
      <c r="E75" s="10">
        <v>99.66</v>
      </c>
      <c r="G75" s="4" t="s">
        <v>95</v>
      </c>
      <c r="H75" s="4"/>
      <c r="I75" s="4" t="s">
        <v>79</v>
      </c>
      <c r="K75" s="11">
        <f>IF($E75="","",ROUND($E75*IF(ISNA(MATCH($C75,'Paramètres'!$D:$D,0)),1,IF(INDEX('Paramètres'!$J:$J,MATCH($C75,'Paramètres'!$D:$D,0))="",1,INDEX('Paramètres'!$J:$J,MATCH($C75,'Paramètres'!$D:$D,0)))),2))</f>
        <v>49.83</v>
      </c>
      <c r="L75" s="6" t="str">
        <f>IF($D75="","",IF($F75&lt;&gt;"",$F75,IF(ISNA(MATCH($D75,'Paramètres'!$M:$M,0)),"⚠ Type inconnu",IFERROR(INDEX('Paramètres'!$P:$P,MATCH($D75,'Paramètres'!$M:$M,0))&amp;"",""))))</f>
        <v>Débit</v>
      </c>
      <c r="M75" s="6" t="str">
        <f>IF($D75="","",IF(ISNA(MATCH($D75,'Paramètres'!$M:$M,0)),"⚠ Type inconnu",IF($L75="Crédit","",IFERROR(INDEX('Paramètres'!$O:$O,MATCH($D75,'Paramètres'!$M:$M,0))&amp;"",""))))</f>
        <v>Dépense Courante</v>
      </c>
      <c r="N75" s="6" t="str">
        <f>IF($D75="","",IFERROR(INDEX('Paramètres'!$Q:$Q,MATCH($D75,'Paramètres'!$M:$M,0))&amp;"",""))</f>
        <v>Alimentation</v>
      </c>
      <c r="O75" s="6">
        <f>IF($A75="","",IF(OR($J75&lt;&gt;"x",$A75&lt;=FinReleve),1,0))</f>
        <v>1</v>
      </c>
      <c r="P75" s="6">
        <f>IF($D75="","",IF(AND($L75="Crédit",OR(IFERROR(INDEX('Paramètres'!$O:$O,MATCH($D75,'Paramètres'!$M:$M,0))&amp;"","")&lt;&gt;"",ISNUMBER(SEARCH("remboursement",IFERROR(INDEX('Paramètres'!$N:$N,MATCH($D75,'Paramètres'!$M:$M,0))&amp;"",""))))),1,0))</f>
        <v>0</v>
      </c>
      <c r="Q75" s="6">
        <f>IF($K75="","",IF(ISNUMBER(SEARCH("transfert-interne",IFERROR(INDEX('Paramètres'!$N:$N,MATCH($D75,'Paramètres'!$M:$M,0))&amp;"",""))),0,IF($L75="Débit",$K75,IF($P75=1,-$K75,0))))</f>
        <v>49.83</v>
      </c>
      <c r="R75" s="6">
        <f>IF($K75="","",IF($L75="Crédit",$K75,-$K75))</f>
        <v>-49.83</v>
      </c>
      <c r="S75" s="6" t="str">
        <f>IF($C75="","",IFERROR(INDEX('Paramètres'!$H:$H,MATCH($C75,'Paramètres'!$D:$D,0))&amp;"",""))</f>
        <v>Banque A - Courant</v>
      </c>
      <c r="T75" s="6">
        <f>IF($K75="","",IF($S75="",0,IF(ISNUMBER(SEARCH("apport-exterieur",IFERROR(INDEX('Paramètres'!$N:$N,MATCH($D75,'Paramètres'!$M:$M,0))&amp;"",""))),0,IF(OR(IFERROR(INDEX('Paramètres'!$I:$I,MATCH($C75,'Paramètres'!$D:$D,0))&amp;"","")="Les deux",IFERROR(INDEX('Paramètres'!$I:$I,MATCH($C75,'Paramètres'!$D:$D,0))&amp;"","")=IF($P75=1,"Débit",$L75)),-IF($P75=1,-$K75,$K75),0))))</f>
        <v>-49.83</v>
      </c>
      <c r="U75" s="6">
        <f>IF($K75="","",IF(ISNUMBER(SEARCH("sortie-epargne",IFERROR(INDEX('Paramètres'!$N:$N,MATCH($D75,'Paramètres'!$M:$M,0))&amp;"",""))),$K75,0))</f>
        <v>0</v>
      </c>
      <c r="V75" s="6" t="str">
        <f>IF(AND($A75&lt;&gt;"",$O75=1,$L75="Débit",N($Q75)&gt;0,$A75&gt;=Visualisation!$B$1,$A75&lt;Visualisation!$D$1),MAX($V$1:V74)+1,"")</f>
        <v/>
      </c>
    </row>
    <row r="76" spans="1:22" x14ac:dyDescent="0.25">
      <c r="A76" s="9">
        <v>45583</v>
      </c>
      <c r="B76" s="4" t="s">
        <v>123</v>
      </c>
      <c r="C76" s="4" t="s">
        <v>75</v>
      </c>
      <c r="D76" s="4" t="s">
        <v>124</v>
      </c>
      <c r="E76" s="10">
        <v>88.21</v>
      </c>
      <c r="G76" s="4" t="s">
        <v>125</v>
      </c>
      <c r="H76" s="4"/>
      <c r="I76" s="4" t="s">
        <v>73</v>
      </c>
      <c r="K76" s="11">
        <f>IF($E76="","",ROUND($E76*IF(ISNA(MATCH($C76,'Paramètres'!$D:$D,0)),1,IF(INDEX('Paramètres'!$J:$J,MATCH($C76,'Paramètres'!$D:$D,0))="",1,INDEX('Paramètres'!$J:$J,MATCH($C76,'Paramètres'!$D:$D,0)))),2))</f>
        <v>88.21</v>
      </c>
      <c r="L76" s="6" t="str">
        <f>IF($D76="","",IF($F76&lt;&gt;"",$F76,IF(ISNA(MATCH($D76,'Paramètres'!$M:$M,0)),"⚠ Type inconnu",IFERROR(INDEX('Paramètres'!$P:$P,MATCH($D76,'Paramètres'!$M:$M,0))&amp;"",""))))</f>
        <v>Débit</v>
      </c>
      <c r="M76" s="6" t="str">
        <f>IF($D76="","",IF(ISNA(MATCH($D76,'Paramètres'!$M:$M,0)),"⚠ Type inconnu",IF($L76="Crédit","",IFERROR(INDEX('Paramètres'!$O:$O,MATCH($D76,'Paramètres'!$M:$M,0))&amp;"",""))))</f>
        <v>Dépense Courante</v>
      </c>
      <c r="N76" s="6" t="str">
        <f>IF($D76="","",IFERROR(INDEX('Paramètres'!$Q:$Q,MATCH($D76,'Paramètres'!$M:$M,0))&amp;"",""))</f>
        <v>Habillement</v>
      </c>
      <c r="O76" s="6">
        <f>IF($A76="","",IF(OR($J76&lt;&gt;"x",$A76&lt;=FinReleve),1,0))</f>
        <v>1</v>
      </c>
      <c r="P76" s="6">
        <f>IF($D76="","",IF(AND($L76="Crédit",OR(IFERROR(INDEX('Paramètres'!$O:$O,MATCH($D76,'Paramètres'!$M:$M,0))&amp;"","")&lt;&gt;"",ISNUMBER(SEARCH("remboursement",IFERROR(INDEX('Paramètres'!$N:$N,MATCH($D76,'Paramètres'!$M:$M,0))&amp;"",""))))),1,0))</f>
        <v>0</v>
      </c>
      <c r="Q76" s="6">
        <f>IF($K76="","",IF(ISNUMBER(SEARCH("transfert-interne",IFERROR(INDEX('Paramètres'!$N:$N,MATCH($D76,'Paramètres'!$M:$M,0))&amp;"",""))),0,IF($L76="Débit",$K76,IF($P76=1,-$K76,0))))</f>
        <v>88.21</v>
      </c>
      <c r="R76" s="6">
        <f>IF($K76="","",IF($L76="Crédit",$K76,-$K76))</f>
        <v>-88.21</v>
      </c>
      <c r="S76" s="6" t="str">
        <f>IF($C76="","",IFERROR(INDEX('Paramètres'!$H:$H,MATCH($C76,'Paramètres'!$D:$D,0))&amp;"",""))</f>
        <v/>
      </c>
      <c r="T76" s="6">
        <f>IF($K76="","",IF($S76="",0,IF(ISNUMBER(SEARCH("apport-exterieur",IFERROR(INDEX('Paramètres'!$N:$N,MATCH($D76,'Paramètres'!$M:$M,0))&amp;"",""))),0,IF(OR(IFERROR(INDEX('Paramètres'!$I:$I,MATCH($C76,'Paramètres'!$D:$D,0))&amp;"","")="Les deux",IFERROR(INDEX('Paramètres'!$I:$I,MATCH($C76,'Paramètres'!$D:$D,0))&amp;"","")=IF($P76=1,"Débit",$L76)),-IF($P76=1,-$K76,$K76),0))))</f>
        <v>0</v>
      </c>
      <c r="U76" s="6">
        <f>IF($K76="","",IF(ISNUMBER(SEARCH("sortie-epargne",IFERROR(INDEX('Paramètres'!$N:$N,MATCH($D76,'Paramètres'!$M:$M,0))&amp;"",""))),$K76,0))</f>
        <v>0</v>
      </c>
      <c r="V76" s="6" t="str">
        <f>IF(AND($A76&lt;&gt;"",$O76=1,$L76="Débit",N($Q76)&gt;0,$A76&gt;=Visualisation!$B$1,$A76&lt;Visualisation!$D$1),MAX($V$1:V75)+1,"")</f>
        <v/>
      </c>
    </row>
    <row r="77" spans="1:22" x14ac:dyDescent="0.25">
      <c r="A77" s="9">
        <v>45584</v>
      </c>
      <c r="B77" s="4" t="s">
        <v>119</v>
      </c>
      <c r="C77" s="4" t="s">
        <v>126</v>
      </c>
      <c r="D77" s="4" t="s">
        <v>119</v>
      </c>
      <c r="E77" s="10">
        <v>164.98</v>
      </c>
      <c r="G77" s="4" t="s">
        <v>122</v>
      </c>
      <c r="H77" s="4" t="s">
        <v>120</v>
      </c>
      <c r="I77" s="4" t="s">
        <v>63</v>
      </c>
      <c r="K77" s="11">
        <f>IF($E77="","",ROUND($E77*IF(ISNA(MATCH($C77,'Paramètres'!$D:$D,0)),1,IF(INDEX('Paramètres'!$J:$J,MATCH($C77,'Paramètres'!$D:$D,0))="",1,INDEX('Paramètres'!$J:$J,MATCH($C77,'Paramètres'!$D:$D,0)))),2))</f>
        <v>82.49</v>
      </c>
      <c r="L77" s="6" t="str">
        <f>IF($D77="","",IF($F77&lt;&gt;"",$F77,IF(ISNA(MATCH($D77,'Paramètres'!$M:$M,0)),"⚠ Type inconnu",IFERROR(INDEX('Paramètres'!$P:$P,MATCH($D77,'Paramètres'!$M:$M,0))&amp;"",""))))</f>
        <v>Débit</v>
      </c>
      <c r="M77" s="6" t="str">
        <f>IF($D77="","",IF(ISNA(MATCH($D77,'Paramètres'!$M:$M,0)),"⚠ Type inconnu",IF($L77="Crédit","",IFERROR(INDEX('Paramètres'!$O:$O,MATCH($D77,'Paramètres'!$M:$M,0))&amp;"",""))))</f>
        <v>Dépense Occasionnelle</v>
      </c>
      <c r="N77" s="6" t="str">
        <f>IF($D77="","",IFERROR(INDEX('Paramètres'!$Q:$Q,MATCH($D77,'Paramètres'!$M:$M,0))&amp;"",""))</f>
        <v>Alimentation</v>
      </c>
      <c r="O77" s="6">
        <f>IF($A77="","",IF(OR($J77&lt;&gt;"x",$A77&lt;=FinReleve),1,0))</f>
        <v>1</v>
      </c>
      <c r="P77" s="6">
        <f>IF($D77="","",IF(AND($L77="Crédit",OR(IFERROR(INDEX('Paramètres'!$O:$O,MATCH($D77,'Paramètres'!$M:$M,0))&amp;"","")&lt;&gt;"",ISNUMBER(SEARCH("remboursement",IFERROR(INDEX('Paramètres'!$N:$N,MATCH($D77,'Paramètres'!$M:$M,0))&amp;"",""))))),1,0))</f>
        <v>0</v>
      </c>
      <c r="Q77" s="6">
        <f>IF($K77="","",IF(ISNUMBER(SEARCH("transfert-interne",IFERROR(INDEX('Paramètres'!$N:$N,MATCH($D77,'Paramètres'!$M:$M,0))&amp;"",""))),0,IF($L77="Débit",$K77,IF($P77=1,-$K77,0))))</f>
        <v>82.49</v>
      </c>
      <c r="R77" s="6">
        <f>IF($K77="","",IF($L77="Crédit",$K77,-$K77))</f>
        <v>-82.49</v>
      </c>
      <c r="S77" s="6" t="str">
        <f>IF($C77="","",IFERROR(INDEX('Paramètres'!$H:$H,MATCH($C77,'Paramètres'!$D:$D,0))&amp;"",""))</f>
        <v>Banque A - Courant</v>
      </c>
      <c r="T77" s="6">
        <f>IF($K77="","",IF($S77="",0,IF(ISNUMBER(SEARCH("apport-exterieur",IFERROR(INDEX('Paramètres'!$N:$N,MATCH($D77,'Paramètres'!$M:$M,0))&amp;"",""))),0,IF(OR(IFERROR(INDEX('Paramètres'!$I:$I,MATCH($C77,'Paramètres'!$D:$D,0))&amp;"","")="Les deux",IFERROR(INDEX('Paramètres'!$I:$I,MATCH($C77,'Paramètres'!$D:$D,0))&amp;"","")=IF($P77=1,"Débit",$L77)),-IF($P77=1,-$K77,$K77),0))))</f>
        <v>-82.49</v>
      </c>
      <c r="U77" s="6">
        <f>IF($K77="","",IF(ISNUMBER(SEARCH("sortie-epargne",IFERROR(INDEX('Paramètres'!$N:$N,MATCH($D77,'Paramètres'!$M:$M,0))&amp;"",""))),$K77,0))</f>
        <v>0</v>
      </c>
      <c r="V77" s="6" t="str">
        <f>IF(AND($A77&lt;&gt;"",$O77=1,$L77="Débit",N($Q77)&gt;0,$A77&gt;=Visualisation!$B$1,$A77&lt;Visualisation!$D$1),MAX($V$1:V76)+1,"")</f>
        <v/>
      </c>
    </row>
    <row r="78" spans="1:22" x14ac:dyDescent="0.25">
      <c r="A78" s="9">
        <v>45585</v>
      </c>
      <c r="B78" s="4" t="s">
        <v>90</v>
      </c>
      <c r="C78" s="4" t="s">
        <v>75</v>
      </c>
      <c r="D78" s="4" t="s">
        <v>91</v>
      </c>
      <c r="E78" s="10">
        <v>50.23</v>
      </c>
      <c r="G78" s="4" t="s">
        <v>92</v>
      </c>
      <c r="H78" s="4"/>
      <c r="I78" s="4" t="s">
        <v>73</v>
      </c>
      <c r="K78" s="11">
        <f>IF($E78="","",ROUND($E78*IF(ISNA(MATCH($C78,'Paramètres'!$D:$D,0)),1,IF(INDEX('Paramètres'!$J:$J,MATCH($C78,'Paramètres'!$D:$D,0))="",1,INDEX('Paramètres'!$J:$J,MATCH($C78,'Paramètres'!$D:$D,0)))),2))</f>
        <v>50.23</v>
      </c>
      <c r="L78" s="6" t="str">
        <f>IF($D78="","",IF($F78&lt;&gt;"",$F78,IF(ISNA(MATCH($D78,'Paramètres'!$M:$M,0)),"⚠ Type inconnu",IFERROR(INDEX('Paramètres'!$P:$P,MATCH($D78,'Paramètres'!$M:$M,0))&amp;"",""))))</f>
        <v>Débit</v>
      </c>
      <c r="M78" s="6" t="str">
        <f>IF($D78="","",IF(ISNA(MATCH($D78,'Paramètres'!$M:$M,0)),"⚠ Type inconnu",IF($L78="Crédit","",IFERROR(INDEX('Paramètres'!$O:$O,MATCH($D78,'Paramètres'!$M:$M,0))&amp;"",""))))</f>
        <v>Dépense Courante</v>
      </c>
      <c r="N78" s="6" t="str">
        <f>IF($D78="","",IFERROR(INDEX('Paramètres'!$Q:$Q,MATCH($D78,'Paramètres'!$M:$M,0))&amp;"",""))</f>
        <v>Transport</v>
      </c>
      <c r="O78" s="6">
        <f>IF($A78="","",IF(OR($J78&lt;&gt;"x",$A78&lt;=FinReleve),1,0))</f>
        <v>1</v>
      </c>
      <c r="P78" s="6">
        <f>IF($D78="","",IF(AND($L78="Crédit",OR(IFERROR(INDEX('Paramètres'!$O:$O,MATCH($D78,'Paramètres'!$M:$M,0))&amp;"","")&lt;&gt;"",ISNUMBER(SEARCH("remboursement",IFERROR(INDEX('Paramètres'!$N:$N,MATCH($D78,'Paramètres'!$M:$M,0))&amp;"",""))))),1,0))</f>
        <v>0</v>
      </c>
      <c r="Q78" s="6">
        <f>IF($K78="","",IF(ISNUMBER(SEARCH("transfert-interne",IFERROR(INDEX('Paramètres'!$N:$N,MATCH($D78,'Paramètres'!$M:$M,0))&amp;"",""))),0,IF($L78="Débit",$K78,IF($P78=1,-$K78,0))))</f>
        <v>50.23</v>
      </c>
      <c r="R78" s="6">
        <f>IF($K78="","",IF($L78="Crédit",$K78,-$K78))</f>
        <v>-50.23</v>
      </c>
      <c r="S78" s="6" t="str">
        <f>IF($C78="","",IFERROR(INDEX('Paramètres'!$H:$H,MATCH($C78,'Paramètres'!$D:$D,0))&amp;"",""))</f>
        <v/>
      </c>
      <c r="T78" s="6">
        <f>IF($K78="","",IF($S78="",0,IF(ISNUMBER(SEARCH("apport-exterieur",IFERROR(INDEX('Paramètres'!$N:$N,MATCH($D78,'Paramètres'!$M:$M,0))&amp;"",""))),0,IF(OR(IFERROR(INDEX('Paramètres'!$I:$I,MATCH($C78,'Paramètres'!$D:$D,0))&amp;"","")="Les deux",IFERROR(INDEX('Paramètres'!$I:$I,MATCH($C78,'Paramètres'!$D:$D,0))&amp;"","")=IF($P78=1,"Débit",$L78)),-IF($P78=1,-$K78,$K78),0))))</f>
        <v>0</v>
      </c>
      <c r="U78" s="6">
        <f>IF($K78="","",IF(ISNUMBER(SEARCH("sortie-epargne",IFERROR(INDEX('Paramètres'!$N:$N,MATCH($D78,'Paramètres'!$M:$M,0))&amp;"",""))),$K78,0))</f>
        <v>0</v>
      </c>
      <c r="V78" s="6" t="str">
        <f>IF(AND($A78&lt;&gt;"",$O78=1,$L78="Débit",N($Q78)&gt;0,$A78&gt;=Visualisation!$B$1,$A78&lt;Visualisation!$D$1),MAX($V$1:V77)+1,"")</f>
        <v/>
      </c>
    </row>
    <row r="79" spans="1:22" x14ac:dyDescent="0.25">
      <c r="A79" s="9">
        <v>45587</v>
      </c>
      <c r="B79" s="4" t="s">
        <v>76</v>
      </c>
      <c r="C79" s="4" t="s">
        <v>67</v>
      </c>
      <c r="D79" s="4" t="s">
        <v>77</v>
      </c>
      <c r="E79" s="10">
        <v>36.96</v>
      </c>
      <c r="G79" s="4" t="s">
        <v>95</v>
      </c>
      <c r="H79" s="4"/>
      <c r="I79" s="4"/>
      <c r="K79" s="11">
        <f>IF($E79="","",ROUND($E79*IF(ISNA(MATCH($C79,'Paramètres'!$D:$D,0)),1,IF(INDEX('Paramètres'!$J:$J,MATCH($C79,'Paramètres'!$D:$D,0))="",1,INDEX('Paramètres'!$J:$J,MATCH($C79,'Paramètres'!$D:$D,0)))),2))</f>
        <v>18.48</v>
      </c>
      <c r="L79" s="6" t="str">
        <f>IF($D79="","",IF($F79&lt;&gt;"",$F79,IF(ISNA(MATCH($D79,'Paramètres'!$M:$M,0)),"⚠ Type inconnu",IFERROR(INDEX('Paramètres'!$P:$P,MATCH($D79,'Paramètres'!$M:$M,0))&amp;"",""))))</f>
        <v>Débit</v>
      </c>
      <c r="M79" s="6" t="str">
        <f>IF($D79="","",IF(ISNA(MATCH($D79,'Paramètres'!$M:$M,0)),"⚠ Type inconnu",IF($L79="Crédit","",IFERROR(INDEX('Paramètres'!$O:$O,MATCH($D79,'Paramètres'!$M:$M,0))&amp;"",""))))</f>
        <v>Dépense Courante</v>
      </c>
      <c r="N79" s="6" t="str">
        <f>IF($D79="","",IFERROR(INDEX('Paramètres'!$Q:$Q,MATCH($D79,'Paramètres'!$M:$M,0))&amp;"",""))</f>
        <v>Alimentation</v>
      </c>
      <c r="O79" s="6">
        <f>IF($A79="","",IF(OR($J79&lt;&gt;"x",$A79&lt;=FinReleve),1,0))</f>
        <v>1</v>
      </c>
      <c r="P79" s="6">
        <f>IF($D79="","",IF(AND($L79="Crédit",OR(IFERROR(INDEX('Paramètres'!$O:$O,MATCH($D79,'Paramètres'!$M:$M,0))&amp;"","")&lt;&gt;"",ISNUMBER(SEARCH("remboursement",IFERROR(INDEX('Paramètres'!$N:$N,MATCH($D79,'Paramètres'!$M:$M,0))&amp;"",""))))),1,0))</f>
        <v>0</v>
      </c>
      <c r="Q79" s="6">
        <f>IF($K79="","",IF(ISNUMBER(SEARCH("transfert-interne",IFERROR(INDEX('Paramètres'!$N:$N,MATCH($D79,'Paramètres'!$M:$M,0))&amp;"",""))),0,IF($L79="Débit",$K79,IF($P79=1,-$K79,0))))</f>
        <v>18.48</v>
      </c>
      <c r="R79" s="6">
        <f>IF($K79="","",IF($L79="Crédit",$K79,-$K79))</f>
        <v>-18.48</v>
      </c>
      <c r="S79" s="6" t="str">
        <f>IF($C79="","",IFERROR(INDEX('Paramètres'!$H:$H,MATCH($C79,'Paramètres'!$D:$D,0))&amp;"",""))</f>
        <v>Banque A - Courant</v>
      </c>
      <c r="T79" s="6">
        <f>IF($K79="","",IF($S79="",0,IF(ISNUMBER(SEARCH("apport-exterieur",IFERROR(INDEX('Paramètres'!$N:$N,MATCH($D79,'Paramètres'!$M:$M,0))&amp;"",""))),0,IF(OR(IFERROR(INDEX('Paramètres'!$I:$I,MATCH($C79,'Paramètres'!$D:$D,0))&amp;"","")="Les deux",IFERROR(INDEX('Paramètres'!$I:$I,MATCH($C79,'Paramètres'!$D:$D,0))&amp;"","")=IF($P79=1,"Débit",$L79)),-IF($P79=1,-$K79,$K79),0))))</f>
        <v>0</v>
      </c>
      <c r="U79" s="6">
        <f>IF($K79="","",IF(ISNUMBER(SEARCH("sortie-epargne",IFERROR(INDEX('Paramètres'!$N:$N,MATCH($D79,'Paramètres'!$M:$M,0))&amp;"",""))),$K79,0))</f>
        <v>0</v>
      </c>
      <c r="V79" s="6" t="str">
        <f>IF(AND($A79&lt;&gt;"",$O79=1,$L79="Débit",N($Q79)&gt;0,$A79&gt;=Visualisation!$B$1,$A79&lt;Visualisation!$D$1),MAX($V$1:V78)+1,"")</f>
        <v/>
      </c>
    </row>
    <row r="80" spans="1:22" x14ac:dyDescent="0.25">
      <c r="A80" s="9">
        <v>45587</v>
      </c>
      <c r="B80" s="4" t="s">
        <v>69</v>
      </c>
      <c r="C80" s="4" t="s">
        <v>70</v>
      </c>
      <c r="D80" s="4" t="s">
        <v>71</v>
      </c>
      <c r="E80" s="10">
        <v>14.07</v>
      </c>
      <c r="G80" s="4" t="s">
        <v>72</v>
      </c>
      <c r="H80" s="4"/>
      <c r="I80" s="4" t="s">
        <v>73</v>
      </c>
      <c r="K80" s="11">
        <f>IF($E80="","",ROUND($E80*IF(ISNA(MATCH($C80,'Paramètres'!$D:$D,0)),1,IF(INDEX('Paramètres'!$J:$J,MATCH($C80,'Paramètres'!$D:$D,0))="",1,INDEX('Paramètres'!$J:$J,MATCH($C80,'Paramètres'!$D:$D,0)))),2))</f>
        <v>14.07</v>
      </c>
      <c r="L80" s="6" t="str">
        <f>IF($D80="","",IF($F80&lt;&gt;"",$F80,IF(ISNA(MATCH($D80,'Paramètres'!$M:$M,0)),"⚠ Type inconnu",IFERROR(INDEX('Paramètres'!$P:$P,MATCH($D80,'Paramètres'!$M:$M,0))&amp;"",""))))</f>
        <v>Débit</v>
      </c>
      <c r="M80" s="6" t="str">
        <f>IF($D80="","",IF(ISNA(MATCH($D80,'Paramètres'!$M:$M,0)),"⚠ Type inconnu",IF($L80="Crédit","",IFERROR(INDEX('Paramètres'!$O:$O,MATCH($D80,'Paramètres'!$M:$M,0))&amp;"",""))))</f>
        <v>Dépense Courante</v>
      </c>
      <c r="N80" s="6" t="str">
        <f>IF($D80="","",IFERROR(INDEX('Paramètres'!$Q:$Q,MATCH($D80,'Paramètres'!$M:$M,0))&amp;"",""))</f>
        <v>Alimentation</v>
      </c>
      <c r="O80" s="6">
        <f>IF($A80="","",IF(OR($J80&lt;&gt;"x",$A80&lt;=FinReleve),1,0))</f>
        <v>1</v>
      </c>
      <c r="P80" s="6">
        <f>IF($D80="","",IF(AND($L80="Crédit",OR(IFERROR(INDEX('Paramètres'!$O:$O,MATCH($D80,'Paramètres'!$M:$M,0))&amp;"","")&lt;&gt;"",ISNUMBER(SEARCH("remboursement",IFERROR(INDEX('Paramètres'!$N:$N,MATCH($D80,'Paramètres'!$M:$M,0))&amp;"",""))))),1,0))</f>
        <v>0</v>
      </c>
      <c r="Q80" s="6">
        <f>IF($K80="","",IF(ISNUMBER(SEARCH("transfert-interne",IFERROR(INDEX('Paramètres'!$N:$N,MATCH($D80,'Paramètres'!$M:$M,0))&amp;"",""))),0,IF($L80="Débit",$K80,IF($P80=1,-$K80,0))))</f>
        <v>14.07</v>
      </c>
      <c r="R80" s="6">
        <f>IF($K80="","",IF($L80="Crédit",$K80,-$K80))</f>
        <v>-14.07</v>
      </c>
      <c r="S80" s="6" t="str">
        <f>IF($C80="","",IFERROR(INDEX('Paramètres'!$H:$H,MATCH($C80,'Paramètres'!$D:$D,0))&amp;"",""))</f>
        <v/>
      </c>
      <c r="T80" s="6">
        <f>IF($K80="","",IF($S80="",0,IF(ISNUMBER(SEARCH("apport-exterieur",IFERROR(INDEX('Paramètres'!$N:$N,MATCH($D80,'Paramètres'!$M:$M,0))&amp;"",""))),0,IF(OR(IFERROR(INDEX('Paramètres'!$I:$I,MATCH($C80,'Paramètres'!$D:$D,0))&amp;"","")="Les deux",IFERROR(INDEX('Paramètres'!$I:$I,MATCH($C80,'Paramètres'!$D:$D,0))&amp;"","")=IF($P80=1,"Débit",$L80)),-IF($P80=1,-$K80,$K80),0))))</f>
        <v>0</v>
      </c>
      <c r="U80" s="6">
        <f>IF($K80="","",IF(ISNUMBER(SEARCH("sortie-epargne",IFERROR(INDEX('Paramètres'!$N:$N,MATCH($D80,'Paramètres'!$M:$M,0))&amp;"",""))),$K80,0))</f>
        <v>0</v>
      </c>
      <c r="V80" s="6" t="str">
        <f>IF(AND($A80&lt;&gt;"",$O80=1,$L80="Débit",N($Q80)&gt;0,$A80&gt;=Visualisation!$B$1,$A80&lt;Visualisation!$D$1),MAX($V$1:V79)+1,"")</f>
        <v/>
      </c>
    </row>
    <row r="81" spans="1:22" x14ac:dyDescent="0.25">
      <c r="A81" s="9">
        <v>45587</v>
      </c>
      <c r="B81" s="4" t="s">
        <v>105</v>
      </c>
      <c r="C81" s="4" t="s">
        <v>75</v>
      </c>
      <c r="D81" s="4" t="s">
        <v>106</v>
      </c>
      <c r="E81" s="10">
        <v>285.2</v>
      </c>
      <c r="G81" s="4"/>
      <c r="H81" s="4"/>
      <c r="I81" s="4"/>
      <c r="K81" s="11">
        <f>IF($E81="","",ROUND($E81*IF(ISNA(MATCH($C81,'Paramètres'!$D:$D,0)),1,IF(INDEX('Paramètres'!$J:$J,MATCH($C81,'Paramètres'!$D:$D,0))="",1,INDEX('Paramètres'!$J:$J,MATCH($C81,'Paramètres'!$D:$D,0)))),2))</f>
        <v>285.2</v>
      </c>
      <c r="L81" s="6" t="str">
        <f>IF($D81="","",IF($F81&lt;&gt;"",$F81,IF(ISNA(MATCH($D81,'Paramètres'!$M:$M,0)),"⚠ Type inconnu",IFERROR(INDEX('Paramètres'!$P:$P,MATCH($D81,'Paramètres'!$M:$M,0))&amp;"",""))))</f>
        <v>Débit</v>
      </c>
      <c r="M81" s="6" t="str">
        <f>IF($D81="","",IF(ISNA(MATCH($D81,'Paramètres'!$M:$M,0)),"⚠ Type inconnu",IF($L81="Crédit","",IFERROR(INDEX('Paramètres'!$O:$O,MATCH($D81,'Paramètres'!$M:$M,0))&amp;"",""))))</f>
        <v/>
      </c>
      <c r="N81" s="6" t="str">
        <f>IF($D81="","",IFERROR(INDEX('Paramètres'!$Q:$Q,MATCH($D81,'Paramètres'!$M:$M,0))&amp;"",""))</f>
        <v>Comptes Bancaires</v>
      </c>
      <c r="O81" s="6">
        <f>IF($A81="","",IF(OR($J81&lt;&gt;"x",$A81&lt;=FinReleve),1,0))</f>
        <v>1</v>
      </c>
      <c r="P81" s="6">
        <f>IF($D81="","",IF(AND($L81="Crédit",OR(IFERROR(INDEX('Paramètres'!$O:$O,MATCH($D81,'Paramètres'!$M:$M,0))&amp;"","")&lt;&gt;"",ISNUMBER(SEARCH("remboursement",IFERROR(INDEX('Paramètres'!$N:$N,MATCH($D81,'Paramètres'!$M:$M,0))&amp;"",""))))),1,0))</f>
        <v>0</v>
      </c>
      <c r="Q81" s="6">
        <f>IF($K81="","",IF(ISNUMBER(SEARCH("transfert-interne",IFERROR(INDEX('Paramètres'!$N:$N,MATCH($D81,'Paramètres'!$M:$M,0))&amp;"",""))),0,IF($L81="Débit",$K81,IF($P81=1,-$K81,0))))</f>
        <v>285.2</v>
      </c>
      <c r="R81" s="6">
        <f>IF($K81="","",IF($L81="Crédit",$K81,-$K81))</f>
        <v>-285.2</v>
      </c>
      <c r="S81" s="6" t="str">
        <f>IF($C81="","",IFERROR(INDEX('Paramètres'!$H:$H,MATCH($C81,'Paramètres'!$D:$D,0))&amp;"",""))</f>
        <v/>
      </c>
      <c r="T81" s="6">
        <f>IF($K81="","",IF($S81="",0,IF(ISNUMBER(SEARCH("apport-exterieur",IFERROR(INDEX('Paramètres'!$N:$N,MATCH($D81,'Paramètres'!$M:$M,0))&amp;"",""))),0,IF(OR(IFERROR(INDEX('Paramètres'!$I:$I,MATCH($C81,'Paramètres'!$D:$D,0))&amp;"","")="Les deux",IFERROR(INDEX('Paramètres'!$I:$I,MATCH($C81,'Paramètres'!$D:$D,0))&amp;"","")=IF($P81=1,"Débit",$L81)),-IF($P81=1,-$K81,$K81),0))))</f>
        <v>0</v>
      </c>
      <c r="U81" s="6">
        <f>IF($K81="","",IF(ISNUMBER(SEARCH("sortie-epargne",IFERROR(INDEX('Paramètres'!$N:$N,MATCH($D81,'Paramètres'!$M:$M,0))&amp;"",""))),$K81,0))</f>
        <v>0</v>
      </c>
      <c r="V81" s="6" t="str">
        <f>IF(AND($A81&lt;&gt;"",$O81=1,$L81="Débit",N($Q81)&gt;0,$A81&gt;=Visualisation!$B$1,$A81&lt;Visualisation!$D$1),MAX($V$1:V80)+1,"")</f>
        <v/>
      </c>
    </row>
    <row r="82" spans="1:22" x14ac:dyDescent="0.25">
      <c r="A82" s="9">
        <v>45589</v>
      </c>
      <c r="B82" s="4" t="s">
        <v>76</v>
      </c>
      <c r="C82" s="4" t="s">
        <v>60</v>
      </c>
      <c r="D82" s="4" t="s">
        <v>77</v>
      </c>
      <c r="E82" s="10">
        <v>172.02</v>
      </c>
      <c r="G82" s="4" t="s">
        <v>98</v>
      </c>
      <c r="H82" s="4"/>
      <c r="I82" s="4" t="s">
        <v>93</v>
      </c>
      <c r="K82" s="11">
        <f>IF($E82="","",ROUND($E82*IF(ISNA(MATCH($C82,'Paramètres'!$D:$D,0)),1,IF(INDEX('Paramètres'!$J:$J,MATCH($C82,'Paramètres'!$D:$D,0))="",1,INDEX('Paramètres'!$J:$J,MATCH($C82,'Paramètres'!$D:$D,0)))),2))</f>
        <v>86.01</v>
      </c>
      <c r="L82" s="6" t="str">
        <f>IF($D82="","",IF($F82&lt;&gt;"",$F82,IF(ISNA(MATCH($D82,'Paramètres'!$M:$M,0)),"⚠ Type inconnu",IFERROR(INDEX('Paramètres'!$P:$P,MATCH($D82,'Paramètres'!$M:$M,0))&amp;"",""))))</f>
        <v>Débit</v>
      </c>
      <c r="M82" s="6" t="str">
        <f>IF($D82="","",IF(ISNA(MATCH($D82,'Paramètres'!$M:$M,0)),"⚠ Type inconnu",IF($L82="Crédit","",IFERROR(INDEX('Paramètres'!$O:$O,MATCH($D82,'Paramètres'!$M:$M,0))&amp;"",""))))</f>
        <v>Dépense Courante</v>
      </c>
      <c r="N82" s="6" t="str">
        <f>IF($D82="","",IFERROR(INDEX('Paramètres'!$Q:$Q,MATCH($D82,'Paramètres'!$M:$M,0))&amp;"",""))</f>
        <v>Alimentation</v>
      </c>
      <c r="O82" s="6">
        <f>IF($A82="","",IF(OR($J82&lt;&gt;"x",$A82&lt;=FinReleve),1,0))</f>
        <v>1</v>
      </c>
      <c r="P82" s="6">
        <f>IF($D82="","",IF(AND($L82="Crédit",OR(IFERROR(INDEX('Paramètres'!$O:$O,MATCH($D82,'Paramètres'!$M:$M,0))&amp;"","")&lt;&gt;"",ISNUMBER(SEARCH("remboursement",IFERROR(INDEX('Paramètres'!$N:$N,MATCH($D82,'Paramètres'!$M:$M,0))&amp;"",""))))),1,0))</f>
        <v>0</v>
      </c>
      <c r="Q82" s="6">
        <f>IF($K82="","",IF(ISNUMBER(SEARCH("transfert-interne",IFERROR(INDEX('Paramètres'!$N:$N,MATCH($D82,'Paramètres'!$M:$M,0))&amp;"",""))),0,IF($L82="Débit",$K82,IF($P82=1,-$K82,0))))</f>
        <v>86.01</v>
      </c>
      <c r="R82" s="6">
        <f>IF($K82="","",IF($L82="Crédit",$K82,-$K82))</f>
        <v>-86.01</v>
      </c>
      <c r="S82" s="6" t="str">
        <f>IF($C82="","",IFERROR(INDEX('Paramètres'!$H:$H,MATCH($C82,'Paramètres'!$D:$D,0))&amp;"",""))</f>
        <v>Banque A - Courant</v>
      </c>
      <c r="T82" s="6">
        <f>IF($K82="","",IF($S82="",0,IF(ISNUMBER(SEARCH("apport-exterieur",IFERROR(INDEX('Paramètres'!$N:$N,MATCH($D82,'Paramètres'!$M:$M,0))&amp;"",""))),0,IF(OR(IFERROR(INDEX('Paramètres'!$I:$I,MATCH($C82,'Paramètres'!$D:$D,0))&amp;"","")="Les deux",IFERROR(INDEX('Paramètres'!$I:$I,MATCH($C82,'Paramètres'!$D:$D,0))&amp;"","")=IF($P82=1,"Débit",$L82)),-IF($P82=1,-$K82,$K82),0))))</f>
        <v>-86.01</v>
      </c>
      <c r="U82" s="6">
        <f>IF($K82="","",IF(ISNUMBER(SEARCH("sortie-epargne",IFERROR(INDEX('Paramètres'!$N:$N,MATCH($D82,'Paramètres'!$M:$M,0))&amp;"",""))),$K82,0))</f>
        <v>0</v>
      </c>
      <c r="V82" s="6" t="str">
        <f>IF(AND($A82&lt;&gt;"",$O82=1,$L82="Débit",N($Q82)&gt;0,$A82&gt;=Visualisation!$B$1,$A82&lt;Visualisation!$D$1),MAX($V$1:V81)+1,"")</f>
        <v/>
      </c>
    </row>
    <row r="83" spans="1:22" x14ac:dyDescent="0.25">
      <c r="A83" s="9">
        <v>45589</v>
      </c>
      <c r="B83" s="4" t="s">
        <v>76</v>
      </c>
      <c r="C83" s="4" t="s">
        <v>60</v>
      </c>
      <c r="D83" s="4" t="s">
        <v>77</v>
      </c>
      <c r="E83" s="10">
        <v>145.44</v>
      </c>
      <c r="G83" s="4" t="s">
        <v>95</v>
      </c>
      <c r="H83" s="4"/>
      <c r="I83" s="4" t="s">
        <v>93</v>
      </c>
      <c r="K83" s="11">
        <f>IF($E83="","",ROUND($E83*IF(ISNA(MATCH($C83,'Paramètres'!$D:$D,0)),1,IF(INDEX('Paramètres'!$J:$J,MATCH($C83,'Paramètres'!$D:$D,0))="",1,INDEX('Paramètres'!$J:$J,MATCH($C83,'Paramètres'!$D:$D,0)))),2))</f>
        <v>72.72</v>
      </c>
      <c r="L83" s="6" t="str">
        <f>IF($D83="","",IF($F83&lt;&gt;"",$F83,IF(ISNA(MATCH($D83,'Paramètres'!$M:$M,0)),"⚠ Type inconnu",IFERROR(INDEX('Paramètres'!$P:$P,MATCH($D83,'Paramètres'!$M:$M,0))&amp;"",""))))</f>
        <v>Débit</v>
      </c>
      <c r="M83" s="6" t="str">
        <f>IF($D83="","",IF(ISNA(MATCH($D83,'Paramètres'!$M:$M,0)),"⚠ Type inconnu",IF($L83="Crédit","",IFERROR(INDEX('Paramètres'!$O:$O,MATCH($D83,'Paramètres'!$M:$M,0))&amp;"",""))))</f>
        <v>Dépense Courante</v>
      </c>
      <c r="N83" s="6" t="str">
        <f>IF($D83="","",IFERROR(INDEX('Paramètres'!$Q:$Q,MATCH($D83,'Paramètres'!$M:$M,0))&amp;"",""))</f>
        <v>Alimentation</v>
      </c>
      <c r="O83" s="6">
        <f>IF($A83="","",IF(OR($J83&lt;&gt;"x",$A83&lt;=FinReleve),1,0))</f>
        <v>1</v>
      </c>
      <c r="P83" s="6">
        <f>IF($D83="","",IF(AND($L83="Crédit",OR(IFERROR(INDEX('Paramètres'!$O:$O,MATCH($D83,'Paramètres'!$M:$M,0))&amp;"","")&lt;&gt;"",ISNUMBER(SEARCH("remboursement",IFERROR(INDEX('Paramètres'!$N:$N,MATCH($D83,'Paramètres'!$M:$M,0))&amp;"",""))))),1,0))</f>
        <v>0</v>
      </c>
      <c r="Q83" s="6">
        <f>IF($K83="","",IF(ISNUMBER(SEARCH("transfert-interne",IFERROR(INDEX('Paramètres'!$N:$N,MATCH($D83,'Paramètres'!$M:$M,0))&amp;"",""))),0,IF($L83="Débit",$K83,IF($P83=1,-$K83,0))))</f>
        <v>72.72</v>
      </c>
      <c r="R83" s="6">
        <f>IF($K83="","",IF($L83="Crédit",$K83,-$K83))</f>
        <v>-72.72</v>
      </c>
      <c r="S83" s="6" t="str">
        <f>IF($C83="","",IFERROR(INDEX('Paramètres'!$H:$H,MATCH($C83,'Paramètres'!$D:$D,0))&amp;"",""))</f>
        <v>Banque A - Courant</v>
      </c>
      <c r="T83" s="6">
        <f>IF($K83="","",IF($S83="",0,IF(ISNUMBER(SEARCH("apport-exterieur",IFERROR(INDEX('Paramètres'!$N:$N,MATCH($D83,'Paramètres'!$M:$M,0))&amp;"",""))),0,IF(OR(IFERROR(INDEX('Paramètres'!$I:$I,MATCH($C83,'Paramètres'!$D:$D,0))&amp;"","")="Les deux",IFERROR(INDEX('Paramètres'!$I:$I,MATCH($C83,'Paramètres'!$D:$D,0))&amp;"","")=IF($P83=1,"Débit",$L83)),-IF($P83=1,-$K83,$K83),0))))</f>
        <v>-72.72</v>
      </c>
      <c r="U83" s="6">
        <f>IF($K83="","",IF(ISNUMBER(SEARCH("sortie-epargne",IFERROR(INDEX('Paramètres'!$N:$N,MATCH($D83,'Paramètres'!$M:$M,0))&amp;"",""))),$K83,0))</f>
        <v>0</v>
      </c>
      <c r="V83" s="6" t="str">
        <f>IF(AND($A83&lt;&gt;"",$O83=1,$L83="Débit",N($Q83)&gt;0,$A83&gt;=Visualisation!$B$1,$A83&lt;Visualisation!$D$1),MAX($V$1:V82)+1,"")</f>
        <v/>
      </c>
    </row>
    <row r="84" spans="1:22" x14ac:dyDescent="0.25">
      <c r="A84" s="9">
        <v>45589</v>
      </c>
      <c r="B84" s="4" t="s">
        <v>121</v>
      </c>
      <c r="C84" s="4" t="s">
        <v>126</v>
      </c>
      <c r="D84" s="4" t="s">
        <v>121</v>
      </c>
      <c r="E84" s="10">
        <v>235.42</v>
      </c>
      <c r="G84" s="4" t="s">
        <v>122</v>
      </c>
      <c r="H84" s="4" t="s">
        <v>120</v>
      </c>
      <c r="I84" s="4" t="s">
        <v>93</v>
      </c>
      <c r="K84" s="11">
        <f>IF($E84="","",ROUND($E84*IF(ISNA(MATCH($C84,'Paramètres'!$D:$D,0)),1,IF(INDEX('Paramètres'!$J:$J,MATCH($C84,'Paramètres'!$D:$D,0))="",1,INDEX('Paramètres'!$J:$J,MATCH($C84,'Paramètres'!$D:$D,0)))),2))</f>
        <v>117.71</v>
      </c>
      <c r="L84" s="6" t="str">
        <f>IF($D84="","",IF($F84&lt;&gt;"",$F84,IF(ISNA(MATCH($D84,'Paramètres'!$M:$M,0)),"⚠ Type inconnu",IFERROR(INDEX('Paramètres'!$P:$P,MATCH($D84,'Paramètres'!$M:$M,0))&amp;"",""))))</f>
        <v>Débit</v>
      </c>
      <c r="M84" s="6" t="str">
        <f>IF($D84="","",IF(ISNA(MATCH($D84,'Paramètres'!$M:$M,0)),"⚠ Type inconnu",IF($L84="Crédit","",IFERROR(INDEX('Paramètres'!$O:$O,MATCH($D84,'Paramètres'!$M:$M,0))&amp;"",""))))</f>
        <v>Dépense Occasionnelle</v>
      </c>
      <c r="N84" s="6" t="str">
        <f>IF($D84="","",IFERROR(INDEX('Paramètres'!$Q:$Q,MATCH($D84,'Paramètres'!$M:$M,0))&amp;"",""))</f>
        <v>Autre</v>
      </c>
      <c r="O84" s="6">
        <f>IF($A84="","",IF(OR($J84&lt;&gt;"x",$A84&lt;=FinReleve),1,0))</f>
        <v>1</v>
      </c>
      <c r="P84" s="6">
        <f>IF($D84="","",IF(AND($L84="Crédit",OR(IFERROR(INDEX('Paramètres'!$O:$O,MATCH($D84,'Paramètres'!$M:$M,0))&amp;"","")&lt;&gt;"",ISNUMBER(SEARCH("remboursement",IFERROR(INDEX('Paramètres'!$N:$N,MATCH($D84,'Paramètres'!$M:$M,0))&amp;"",""))))),1,0))</f>
        <v>0</v>
      </c>
      <c r="Q84" s="6">
        <f>IF($K84="","",IF(ISNUMBER(SEARCH("transfert-interne",IFERROR(INDEX('Paramètres'!$N:$N,MATCH($D84,'Paramètres'!$M:$M,0))&amp;"",""))),0,IF($L84="Débit",$K84,IF($P84=1,-$K84,0))))</f>
        <v>117.71</v>
      </c>
      <c r="R84" s="6">
        <f>IF($K84="","",IF($L84="Crédit",$K84,-$K84))</f>
        <v>-117.71</v>
      </c>
      <c r="S84" s="6" t="str">
        <f>IF($C84="","",IFERROR(INDEX('Paramètres'!$H:$H,MATCH($C84,'Paramètres'!$D:$D,0))&amp;"",""))</f>
        <v>Banque A - Courant</v>
      </c>
      <c r="T84" s="6">
        <f>IF($K84="","",IF($S84="",0,IF(ISNUMBER(SEARCH("apport-exterieur",IFERROR(INDEX('Paramètres'!$N:$N,MATCH($D84,'Paramètres'!$M:$M,0))&amp;"",""))),0,IF(OR(IFERROR(INDEX('Paramètres'!$I:$I,MATCH($C84,'Paramètres'!$D:$D,0))&amp;"","")="Les deux",IFERROR(INDEX('Paramètres'!$I:$I,MATCH($C84,'Paramètres'!$D:$D,0))&amp;"","")=IF($P84=1,"Débit",$L84)),-IF($P84=1,-$K84,$K84),0))))</f>
        <v>-117.71</v>
      </c>
      <c r="U84" s="6">
        <f>IF($K84="","",IF(ISNUMBER(SEARCH("sortie-epargne",IFERROR(INDEX('Paramètres'!$N:$N,MATCH($D84,'Paramètres'!$M:$M,0))&amp;"",""))),$K84,0))</f>
        <v>0</v>
      </c>
      <c r="V84" s="6" t="str">
        <f>IF(AND($A84&lt;&gt;"",$O84=1,$L84="Débit",N($Q84)&gt;0,$A84&gt;=Visualisation!$B$1,$A84&lt;Visualisation!$D$1),MAX($V$1:V83)+1,"")</f>
        <v/>
      </c>
    </row>
    <row r="85" spans="1:22" x14ac:dyDescent="0.25">
      <c r="A85" s="9">
        <v>45591</v>
      </c>
      <c r="B85" s="4" t="s">
        <v>76</v>
      </c>
      <c r="C85" s="4" t="s">
        <v>67</v>
      </c>
      <c r="D85" s="4" t="s">
        <v>77</v>
      </c>
      <c r="E85" s="10">
        <v>26.24</v>
      </c>
      <c r="G85" s="4" t="s">
        <v>78</v>
      </c>
      <c r="H85" s="4"/>
      <c r="I85" s="4"/>
      <c r="K85" s="11">
        <f>IF($E85="","",ROUND($E85*IF(ISNA(MATCH($C85,'Paramètres'!$D:$D,0)),1,IF(INDEX('Paramètres'!$J:$J,MATCH($C85,'Paramètres'!$D:$D,0))="",1,INDEX('Paramètres'!$J:$J,MATCH($C85,'Paramètres'!$D:$D,0)))),2))</f>
        <v>13.12</v>
      </c>
      <c r="L85" s="6" t="str">
        <f>IF($D85="","",IF($F85&lt;&gt;"",$F85,IF(ISNA(MATCH($D85,'Paramètres'!$M:$M,0)),"⚠ Type inconnu",IFERROR(INDEX('Paramètres'!$P:$P,MATCH($D85,'Paramètres'!$M:$M,0))&amp;"",""))))</f>
        <v>Débit</v>
      </c>
      <c r="M85" s="6" t="str">
        <f>IF($D85="","",IF(ISNA(MATCH($D85,'Paramètres'!$M:$M,0)),"⚠ Type inconnu",IF($L85="Crédit","",IFERROR(INDEX('Paramètres'!$O:$O,MATCH($D85,'Paramètres'!$M:$M,0))&amp;"",""))))</f>
        <v>Dépense Courante</v>
      </c>
      <c r="N85" s="6" t="str">
        <f>IF($D85="","",IFERROR(INDEX('Paramètres'!$Q:$Q,MATCH($D85,'Paramètres'!$M:$M,0))&amp;"",""))</f>
        <v>Alimentation</v>
      </c>
      <c r="O85" s="6">
        <f>IF($A85="","",IF(OR($J85&lt;&gt;"x",$A85&lt;=FinReleve),1,0))</f>
        <v>1</v>
      </c>
      <c r="P85" s="6">
        <f>IF($D85="","",IF(AND($L85="Crédit",OR(IFERROR(INDEX('Paramètres'!$O:$O,MATCH($D85,'Paramètres'!$M:$M,0))&amp;"","")&lt;&gt;"",ISNUMBER(SEARCH("remboursement",IFERROR(INDEX('Paramètres'!$N:$N,MATCH($D85,'Paramètres'!$M:$M,0))&amp;"",""))))),1,0))</f>
        <v>0</v>
      </c>
      <c r="Q85" s="6">
        <f>IF($K85="","",IF(ISNUMBER(SEARCH("transfert-interne",IFERROR(INDEX('Paramètres'!$N:$N,MATCH($D85,'Paramètres'!$M:$M,0))&amp;"",""))),0,IF($L85="Débit",$K85,IF($P85=1,-$K85,0))))</f>
        <v>13.12</v>
      </c>
      <c r="R85" s="6">
        <f>IF($K85="","",IF($L85="Crédit",$K85,-$K85))</f>
        <v>-13.12</v>
      </c>
      <c r="S85" s="6" t="str">
        <f>IF($C85="","",IFERROR(INDEX('Paramètres'!$H:$H,MATCH($C85,'Paramètres'!$D:$D,0))&amp;"",""))</f>
        <v>Banque A - Courant</v>
      </c>
      <c r="T85" s="6">
        <f>IF($K85="","",IF($S85="",0,IF(ISNUMBER(SEARCH("apport-exterieur",IFERROR(INDEX('Paramètres'!$N:$N,MATCH($D85,'Paramètres'!$M:$M,0))&amp;"",""))),0,IF(OR(IFERROR(INDEX('Paramètres'!$I:$I,MATCH($C85,'Paramètres'!$D:$D,0))&amp;"","")="Les deux",IFERROR(INDEX('Paramètres'!$I:$I,MATCH($C85,'Paramètres'!$D:$D,0))&amp;"","")=IF($P85=1,"Débit",$L85)),-IF($P85=1,-$K85,$K85),0))))</f>
        <v>0</v>
      </c>
      <c r="U85" s="6">
        <f>IF($K85="","",IF(ISNUMBER(SEARCH("sortie-epargne",IFERROR(INDEX('Paramètres'!$N:$N,MATCH($D85,'Paramètres'!$M:$M,0))&amp;"",""))),$K85,0))</f>
        <v>0</v>
      </c>
      <c r="V85" s="6" t="str">
        <f>IF(AND($A85&lt;&gt;"",$O85=1,$L85="Débit",N($Q85)&gt;0,$A85&gt;=Visualisation!$B$1,$A85&lt;Visualisation!$D$1),MAX($V$1:V84)+1,"")</f>
        <v/>
      </c>
    </row>
    <row r="86" spans="1:22" x14ac:dyDescent="0.25">
      <c r="A86" s="9">
        <v>45591</v>
      </c>
      <c r="B86" s="4" t="s">
        <v>105</v>
      </c>
      <c r="C86" s="4" t="s">
        <v>75</v>
      </c>
      <c r="D86" s="4" t="s">
        <v>110</v>
      </c>
      <c r="E86" s="10">
        <v>150</v>
      </c>
      <c r="G86" s="4"/>
      <c r="H86" s="4"/>
      <c r="I86" s="4"/>
      <c r="K86" s="11">
        <f>IF($E86="","",ROUND($E86*IF(ISNA(MATCH($C86,'Paramètres'!$D:$D,0)),1,IF(INDEX('Paramètres'!$J:$J,MATCH($C86,'Paramètres'!$D:$D,0))="",1,INDEX('Paramètres'!$J:$J,MATCH($C86,'Paramètres'!$D:$D,0)))),2))</f>
        <v>150</v>
      </c>
      <c r="L86" s="6" t="str">
        <f>IF($D86="","",IF($F86&lt;&gt;"",$F86,IF(ISNA(MATCH($D86,'Paramètres'!$M:$M,0)),"⚠ Type inconnu",IFERROR(INDEX('Paramètres'!$P:$P,MATCH($D86,'Paramètres'!$M:$M,0))&amp;"",""))))</f>
        <v>Débit</v>
      </c>
      <c r="M86" s="6" t="str">
        <f>IF($D86="","",IF(ISNA(MATCH($D86,'Paramètres'!$M:$M,0)),"⚠ Type inconnu",IF($L86="Crédit","",IFERROR(INDEX('Paramètres'!$O:$O,MATCH($D86,'Paramètres'!$M:$M,0))&amp;"",""))))</f>
        <v/>
      </c>
      <c r="N86" s="6" t="str">
        <f>IF($D86="","",IFERROR(INDEX('Paramètres'!$Q:$Q,MATCH($D86,'Paramètres'!$M:$M,0))&amp;"",""))</f>
        <v>Comptes Bancaires</v>
      </c>
      <c r="O86" s="6">
        <f>IF($A86="","",IF(OR($J86&lt;&gt;"x",$A86&lt;=FinReleve),1,0))</f>
        <v>1</v>
      </c>
      <c r="P86" s="6">
        <f>IF($D86="","",IF(AND($L86="Crédit",OR(IFERROR(INDEX('Paramètres'!$O:$O,MATCH($D86,'Paramètres'!$M:$M,0))&amp;"","")&lt;&gt;"",ISNUMBER(SEARCH("remboursement",IFERROR(INDEX('Paramètres'!$N:$N,MATCH($D86,'Paramètres'!$M:$M,0))&amp;"",""))))),1,0))</f>
        <v>0</v>
      </c>
      <c r="Q86" s="6">
        <f>IF($K86="","",IF(ISNUMBER(SEARCH("transfert-interne",IFERROR(INDEX('Paramètres'!$N:$N,MATCH($D86,'Paramètres'!$M:$M,0))&amp;"",""))),0,IF($L86="Débit",$K86,IF($P86=1,-$K86,0))))</f>
        <v>0</v>
      </c>
      <c r="R86" s="6">
        <f>IF($K86="","",IF($L86="Crédit",$K86,-$K86))</f>
        <v>-150</v>
      </c>
      <c r="S86" s="6" t="str">
        <f>IF($C86="","",IFERROR(INDEX('Paramètres'!$H:$H,MATCH($C86,'Paramètres'!$D:$D,0))&amp;"",""))</f>
        <v/>
      </c>
      <c r="T86" s="6">
        <f>IF($K86="","",IF($S86="",0,IF(ISNUMBER(SEARCH("apport-exterieur",IFERROR(INDEX('Paramètres'!$N:$N,MATCH($D86,'Paramètres'!$M:$M,0))&amp;"",""))),0,IF(OR(IFERROR(INDEX('Paramètres'!$I:$I,MATCH($C86,'Paramètres'!$D:$D,0))&amp;"","")="Les deux",IFERROR(INDEX('Paramètres'!$I:$I,MATCH($C86,'Paramètres'!$D:$D,0))&amp;"","")=IF($P86=1,"Débit",$L86)),-IF($P86=1,-$K86,$K86),0))))</f>
        <v>0</v>
      </c>
      <c r="U86" s="6">
        <f>IF($K86="","",IF(ISNUMBER(SEARCH("sortie-epargne",IFERROR(INDEX('Paramètres'!$N:$N,MATCH($D86,'Paramètres'!$M:$M,0))&amp;"",""))),$K86,0))</f>
        <v>0</v>
      </c>
      <c r="V86" s="6" t="str">
        <f>IF(AND($A86&lt;&gt;"",$O86=1,$L86="Débit",N($Q86)&gt;0,$A86&gt;=Visualisation!$B$1,$A86&lt;Visualisation!$D$1),MAX($V$1:V85)+1,"")</f>
        <v/>
      </c>
    </row>
    <row r="87" spans="1:22" x14ac:dyDescent="0.25">
      <c r="A87" s="9">
        <v>45591</v>
      </c>
      <c r="B87" s="4" t="s">
        <v>105</v>
      </c>
      <c r="C87" s="4" t="s">
        <v>75</v>
      </c>
      <c r="D87" s="4" t="s">
        <v>111</v>
      </c>
      <c r="E87" s="10">
        <v>200</v>
      </c>
      <c r="G87" s="4"/>
      <c r="H87" s="4"/>
      <c r="I87" s="4"/>
      <c r="K87" s="11">
        <f>IF($E87="","",ROUND($E87*IF(ISNA(MATCH($C87,'Paramètres'!$D:$D,0)),1,IF(INDEX('Paramètres'!$J:$J,MATCH($C87,'Paramètres'!$D:$D,0))="",1,INDEX('Paramètres'!$J:$J,MATCH($C87,'Paramètres'!$D:$D,0)))),2))</f>
        <v>200</v>
      </c>
      <c r="L87" s="6" t="str">
        <f>IF($D87="","",IF($F87&lt;&gt;"",$F87,IF(ISNA(MATCH($D87,'Paramètres'!$M:$M,0)),"⚠ Type inconnu",IFERROR(INDEX('Paramètres'!$P:$P,MATCH($D87,'Paramètres'!$M:$M,0))&amp;"",""))))</f>
        <v>Débit</v>
      </c>
      <c r="M87" s="6" t="str">
        <f>IF($D87="","",IF(ISNA(MATCH($D87,'Paramètres'!$M:$M,0)),"⚠ Type inconnu",IF($L87="Crédit","",IFERROR(INDEX('Paramètres'!$O:$O,MATCH($D87,'Paramètres'!$M:$M,0))&amp;"",""))))</f>
        <v/>
      </c>
      <c r="N87" s="6" t="str">
        <f>IF($D87="","",IFERROR(INDEX('Paramètres'!$Q:$Q,MATCH($D87,'Paramètres'!$M:$M,0))&amp;"",""))</f>
        <v>Comptes Bancaires</v>
      </c>
      <c r="O87" s="6">
        <f>IF($A87="","",IF(OR($J87&lt;&gt;"x",$A87&lt;=FinReleve),1,0))</f>
        <v>1</v>
      </c>
      <c r="P87" s="6">
        <f>IF($D87="","",IF(AND($L87="Crédit",OR(IFERROR(INDEX('Paramètres'!$O:$O,MATCH($D87,'Paramètres'!$M:$M,0))&amp;"","")&lt;&gt;"",ISNUMBER(SEARCH("remboursement",IFERROR(INDEX('Paramètres'!$N:$N,MATCH($D87,'Paramètres'!$M:$M,0))&amp;"",""))))),1,0))</f>
        <v>0</v>
      </c>
      <c r="Q87" s="6">
        <f>IF($K87="","",IF(ISNUMBER(SEARCH("transfert-interne",IFERROR(INDEX('Paramètres'!$N:$N,MATCH($D87,'Paramètres'!$M:$M,0))&amp;"",""))),0,IF($L87="Débit",$K87,IF($P87=1,-$K87,0))))</f>
        <v>200</v>
      </c>
      <c r="R87" s="6">
        <f>IF($K87="","",IF($L87="Crédit",$K87,-$K87))</f>
        <v>-200</v>
      </c>
      <c r="S87" s="6" t="str">
        <f>IF($C87="","",IFERROR(INDEX('Paramètres'!$H:$H,MATCH($C87,'Paramètres'!$D:$D,0))&amp;"",""))</f>
        <v/>
      </c>
      <c r="T87" s="6">
        <f>IF($K87="","",IF($S87="",0,IF(ISNUMBER(SEARCH("apport-exterieur",IFERROR(INDEX('Paramètres'!$N:$N,MATCH($D87,'Paramètres'!$M:$M,0))&amp;"",""))),0,IF(OR(IFERROR(INDEX('Paramètres'!$I:$I,MATCH($C87,'Paramètres'!$D:$D,0))&amp;"","")="Les deux",IFERROR(INDEX('Paramètres'!$I:$I,MATCH($C87,'Paramètres'!$D:$D,0))&amp;"","")=IF($P87=1,"Débit",$L87)),-IF($P87=1,-$K87,$K87),0))))</f>
        <v>0</v>
      </c>
      <c r="U87" s="6">
        <f>IF($K87="","",IF(ISNUMBER(SEARCH("sortie-epargne",IFERROR(INDEX('Paramètres'!$N:$N,MATCH($D87,'Paramètres'!$M:$M,0))&amp;"",""))),$K87,0))</f>
        <v>0</v>
      </c>
      <c r="V87" s="6" t="str">
        <f>IF(AND($A87&lt;&gt;"",$O87=1,$L87="Débit",N($Q87)&gt;0,$A87&gt;=Visualisation!$B$1,$A87&lt;Visualisation!$D$1),MAX($V$1:V86)+1,"")</f>
        <v/>
      </c>
    </row>
    <row r="88" spans="1:22" x14ac:dyDescent="0.25">
      <c r="A88" s="9">
        <v>45591</v>
      </c>
      <c r="B88" s="4" t="s">
        <v>112</v>
      </c>
      <c r="C88" s="4" t="s">
        <v>75</v>
      </c>
      <c r="D88" s="4" t="s">
        <v>113</v>
      </c>
      <c r="E88" s="10">
        <v>120</v>
      </c>
      <c r="G88" s="4"/>
      <c r="H88" s="4"/>
      <c r="I88" s="4"/>
      <c r="K88" s="11">
        <f>IF($E88="","",ROUND($E88*IF(ISNA(MATCH($C88,'Paramètres'!$D:$D,0)),1,IF(INDEX('Paramètres'!$J:$J,MATCH($C88,'Paramètres'!$D:$D,0))="",1,INDEX('Paramètres'!$J:$J,MATCH($C88,'Paramètres'!$D:$D,0)))),2))</f>
        <v>120</v>
      </c>
      <c r="L88" s="6" t="str">
        <f>IF($D88="","",IF($F88&lt;&gt;"",$F88,IF(ISNA(MATCH($D88,'Paramètres'!$M:$M,0)),"⚠ Type inconnu",IFERROR(INDEX('Paramètres'!$P:$P,MATCH($D88,'Paramètres'!$M:$M,0))&amp;"",""))))</f>
        <v>Débit</v>
      </c>
      <c r="M88" s="6" t="str">
        <f>IF($D88="","",IF(ISNA(MATCH($D88,'Paramètres'!$M:$M,0)),"⚠ Type inconnu",IF($L88="Crédit","",IFERROR(INDEX('Paramètres'!$O:$O,MATCH($D88,'Paramètres'!$M:$M,0))&amp;"",""))))</f>
        <v/>
      </c>
      <c r="N88" s="6" t="str">
        <f>IF($D88="","",IFERROR(INDEX('Paramètres'!$Q:$Q,MATCH($D88,'Paramètres'!$M:$M,0))&amp;"",""))</f>
        <v>Comptes Bancaires</v>
      </c>
      <c r="O88" s="6">
        <f>IF($A88="","",IF(OR($J88&lt;&gt;"x",$A88&lt;=FinReleve),1,0))</f>
        <v>1</v>
      </c>
      <c r="P88" s="6">
        <f>IF($D88="","",IF(AND($L88="Crédit",OR(IFERROR(INDEX('Paramètres'!$O:$O,MATCH($D88,'Paramètres'!$M:$M,0))&amp;"","")&lt;&gt;"",ISNUMBER(SEARCH("remboursement",IFERROR(INDEX('Paramètres'!$N:$N,MATCH($D88,'Paramètres'!$M:$M,0))&amp;"",""))))),1,0))</f>
        <v>0</v>
      </c>
      <c r="Q88" s="6">
        <f>IF($K88="","",IF(ISNUMBER(SEARCH("transfert-interne",IFERROR(INDEX('Paramètres'!$N:$N,MATCH($D88,'Paramètres'!$M:$M,0))&amp;"",""))),0,IF($L88="Débit",$K88,IF($P88=1,-$K88,0))))</f>
        <v>120</v>
      </c>
      <c r="R88" s="6">
        <f>IF($K88="","",IF($L88="Crédit",$K88,-$K88))</f>
        <v>-120</v>
      </c>
      <c r="S88" s="6" t="str">
        <f>IF($C88="","",IFERROR(INDEX('Paramètres'!$H:$H,MATCH($C88,'Paramètres'!$D:$D,0))&amp;"",""))</f>
        <v/>
      </c>
      <c r="T88" s="6">
        <f>IF($K88="","",IF($S88="",0,IF(ISNUMBER(SEARCH("apport-exterieur",IFERROR(INDEX('Paramètres'!$N:$N,MATCH($D88,'Paramètres'!$M:$M,0))&amp;"",""))),0,IF(OR(IFERROR(INDEX('Paramètres'!$I:$I,MATCH($C88,'Paramètres'!$D:$D,0))&amp;"","")="Les deux",IFERROR(INDEX('Paramètres'!$I:$I,MATCH($C88,'Paramètres'!$D:$D,0))&amp;"","")=IF($P88=1,"Débit",$L88)),-IF($P88=1,-$K88,$K88),0))))</f>
        <v>0</v>
      </c>
      <c r="U88" s="6">
        <f>IF($K88="","",IF(ISNUMBER(SEARCH("sortie-epargne",IFERROR(INDEX('Paramètres'!$N:$N,MATCH($D88,'Paramètres'!$M:$M,0))&amp;"",""))),$K88,0))</f>
        <v>0</v>
      </c>
      <c r="V88" s="6" t="str">
        <f>IF(AND($A88&lt;&gt;"",$O88=1,$L88="Débit",N($Q88)&gt;0,$A88&gt;=Visualisation!$B$1,$A88&lt;Visualisation!$D$1),MAX($V$1:V87)+1,"")</f>
        <v/>
      </c>
    </row>
    <row r="89" spans="1:22" x14ac:dyDescent="0.25">
      <c r="A89" s="9">
        <v>45592</v>
      </c>
      <c r="B89" s="4" t="s">
        <v>114</v>
      </c>
      <c r="C89" s="4" t="s">
        <v>75</v>
      </c>
      <c r="D89" s="4" t="s">
        <v>115</v>
      </c>
      <c r="E89" s="10">
        <v>2968.34</v>
      </c>
      <c r="G89" s="4" t="s">
        <v>115</v>
      </c>
      <c r="H89" s="4"/>
      <c r="I89" s="4"/>
      <c r="K89" s="11">
        <f>IF($E89="","",ROUND($E89*IF(ISNA(MATCH($C89,'Paramètres'!$D:$D,0)),1,IF(INDEX('Paramètres'!$J:$J,MATCH($C89,'Paramètres'!$D:$D,0))="",1,INDEX('Paramètres'!$J:$J,MATCH($C89,'Paramètres'!$D:$D,0)))),2))</f>
        <v>2968.34</v>
      </c>
      <c r="L89" s="6" t="str">
        <f>IF($D89="","",IF($F89&lt;&gt;"",$F89,IF(ISNA(MATCH($D89,'Paramètres'!$M:$M,0)),"⚠ Type inconnu",IFERROR(INDEX('Paramètres'!$P:$P,MATCH($D89,'Paramètres'!$M:$M,0))&amp;"",""))))</f>
        <v>Crédit</v>
      </c>
      <c r="M89" s="6" t="str">
        <f>IF($D89="","",IF(ISNA(MATCH($D89,'Paramètres'!$M:$M,0)),"⚠ Type inconnu",IF($L89="Crédit","",IFERROR(INDEX('Paramètres'!$O:$O,MATCH($D89,'Paramètres'!$M:$M,0))&amp;"",""))))</f>
        <v/>
      </c>
      <c r="N89" s="6" t="str">
        <f>IF($D89="","",IFERROR(INDEX('Paramètres'!$Q:$Q,MATCH($D89,'Paramètres'!$M:$M,0))&amp;"",""))</f>
        <v/>
      </c>
      <c r="O89" s="6">
        <f>IF($A89="","",IF(OR($J89&lt;&gt;"x",$A89&lt;=FinReleve),1,0))</f>
        <v>1</v>
      </c>
      <c r="P89" s="6">
        <f>IF($D89="","",IF(AND($L89="Crédit",OR(IFERROR(INDEX('Paramètres'!$O:$O,MATCH($D89,'Paramètres'!$M:$M,0))&amp;"","")&lt;&gt;"",ISNUMBER(SEARCH("remboursement",IFERROR(INDEX('Paramètres'!$N:$N,MATCH($D89,'Paramètres'!$M:$M,0))&amp;"",""))))),1,0))</f>
        <v>0</v>
      </c>
      <c r="Q89" s="6">
        <f>IF($K89="","",IF(ISNUMBER(SEARCH("transfert-interne",IFERROR(INDEX('Paramètres'!$N:$N,MATCH($D89,'Paramètres'!$M:$M,0))&amp;"",""))),0,IF($L89="Débit",$K89,IF($P89=1,-$K89,0))))</f>
        <v>0</v>
      </c>
      <c r="R89" s="6">
        <f>IF($K89="","",IF($L89="Crédit",$K89,-$K89))</f>
        <v>2968.34</v>
      </c>
      <c r="S89" s="6" t="str">
        <f>IF($C89="","",IFERROR(INDEX('Paramètres'!$H:$H,MATCH($C89,'Paramètres'!$D:$D,0))&amp;"",""))</f>
        <v/>
      </c>
      <c r="T89" s="6">
        <f>IF($K89="","",IF($S89="",0,IF(ISNUMBER(SEARCH("apport-exterieur",IFERROR(INDEX('Paramètres'!$N:$N,MATCH($D89,'Paramètres'!$M:$M,0))&amp;"",""))),0,IF(OR(IFERROR(INDEX('Paramètres'!$I:$I,MATCH($C89,'Paramètres'!$D:$D,0))&amp;"","")="Les deux",IFERROR(INDEX('Paramètres'!$I:$I,MATCH($C89,'Paramètres'!$D:$D,0))&amp;"","")=IF($P89=1,"Débit",$L89)),-IF($P89=1,-$K89,$K89),0))))</f>
        <v>0</v>
      </c>
      <c r="U89" s="6">
        <f>IF($K89="","",IF(ISNUMBER(SEARCH("sortie-epargne",IFERROR(INDEX('Paramètres'!$N:$N,MATCH($D89,'Paramètres'!$M:$M,0))&amp;"",""))),$K89,0))</f>
        <v>0</v>
      </c>
      <c r="V89" s="6" t="str">
        <f>IF(AND($A89&lt;&gt;"",$O89=1,$L89="Débit",N($Q89)&gt;0,$A89&gt;=Visualisation!$B$1,$A89&lt;Visualisation!$D$1),MAX($V$1:V88)+1,"")</f>
        <v/>
      </c>
    </row>
    <row r="90" spans="1:22" x14ac:dyDescent="0.25">
      <c r="A90" s="9">
        <v>45592</v>
      </c>
      <c r="B90" s="4" t="s">
        <v>76</v>
      </c>
      <c r="C90" s="4" t="s">
        <v>67</v>
      </c>
      <c r="D90" s="4" t="s">
        <v>77</v>
      </c>
      <c r="E90" s="10">
        <v>54.88</v>
      </c>
      <c r="G90" s="4" t="s">
        <v>98</v>
      </c>
      <c r="H90" s="4"/>
      <c r="I90" s="4" t="s">
        <v>63</v>
      </c>
      <c r="K90" s="11">
        <f>IF($E90="","",ROUND($E90*IF(ISNA(MATCH($C90,'Paramètres'!$D:$D,0)),1,IF(INDEX('Paramètres'!$J:$J,MATCH($C90,'Paramètres'!$D:$D,0))="",1,INDEX('Paramètres'!$J:$J,MATCH($C90,'Paramètres'!$D:$D,0)))),2))</f>
        <v>27.44</v>
      </c>
      <c r="L90" s="6" t="str">
        <f>IF($D90="","",IF($F90&lt;&gt;"",$F90,IF(ISNA(MATCH($D90,'Paramètres'!$M:$M,0)),"⚠ Type inconnu",IFERROR(INDEX('Paramètres'!$P:$P,MATCH($D90,'Paramètres'!$M:$M,0))&amp;"",""))))</f>
        <v>Débit</v>
      </c>
      <c r="M90" s="6" t="str">
        <f>IF($D90="","",IF(ISNA(MATCH($D90,'Paramètres'!$M:$M,0)),"⚠ Type inconnu",IF($L90="Crédit","",IFERROR(INDEX('Paramètres'!$O:$O,MATCH($D90,'Paramètres'!$M:$M,0))&amp;"",""))))</f>
        <v>Dépense Courante</v>
      </c>
      <c r="N90" s="6" t="str">
        <f>IF($D90="","",IFERROR(INDEX('Paramètres'!$Q:$Q,MATCH($D90,'Paramètres'!$M:$M,0))&amp;"",""))</f>
        <v>Alimentation</v>
      </c>
      <c r="O90" s="6">
        <f>IF($A90="","",IF(OR($J90&lt;&gt;"x",$A90&lt;=FinReleve),1,0))</f>
        <v>1</v>
      </c>
      <c r="P90" s="6">
        <f>IF($D90="","",IF(AND($L90="Crédit",OR(IFERROR(INDEX('Paramètres'!$O:$O,MATCH($D90,'Paramètres'!$M:$M,0))&amp;"","")&lt;&gt;"",ISNUMBER(SEARCH("remboursement",IFERROR(INDEX('Paramètres'!$N:$N,MATCH($D90,'Paramètres'!$M:$M,0))&amp;"",""))))),1,0))</f>
        <v>0</v>
      </c>
      <c r="Q90" s="6">
        <f>IF($K90="","",IF(ISNUMBER(SEARCH("transfert-interne",IFERROR(INDEX('Paramètres'!$N:$N,MATCH($D90,'Paramètres'!$M:$M,0))&amp;"",""))),0,IF($L90="Débit",$K90,IF($P90=1,-$K90,0))))</f>
        <v>27.44</v>
      </c>
      <c r="R90" s="6">
        <f>IF($K90="","",IF($L90="Crédit",$K90,-$K90))</f>
        <v>-27.44</v>
      </c>
      <c r="S90" s="6" t="str">
        <f>IF($C90="","",IFERROR(INDEX('Paramètres'!$H:$H,MATCH($C90,'Paramètres'!$D:$D,0))&amp;"",""))</f>
        <v>Banque A - Courant</v>
      </c>
      <c r="T90" s="6">
        <f>IF($K90="","",IF($S90="",0,IF(ISNUMBER(SEARCH("apport-exterieur",IFERROR(INDEX('Paramètres'!$N:$N,MATCH($D90,'Paramètres'!$M:$M,0))&amp;"",""))),0,IF(OR(IFERROR(INDEX('Paramètres'!$I:$I,MATCH($C90,'Paramètres'!$D:$D,0))&amp;"","")="Les deux",IFERROR(INDEX('Paramètres'!$I:$I,MATCH($C90,'Paramètres'!$D:$D,0))&amp;"","")=IF($P90=1,"Débit",$L90)),-IF($P90=1,-$K90,$K90),0))))</f>
        <v>0</v>
      </c>
      <c r="U90" s="6">
        <f>IF($K90="","",IF(ISNUMBER(SEARCH("sortie-epargne",IFERROR(INDEX('Paramètres'!$N:$N,MATCH($D90,'Paramètres'!$M:$M,0))&amp;"",""))),$K90,0))</f>
        <v>0</v>
      </c>
      <c r="V90" s="6" t="str">
        <f>IF(AND($A90&lt;&gt;"",$O90=1,$L90="Débit",N($Q90)&gt;0,$A90&gt;=Visualisation!$B$1,$A90&lt;Visualisation!$D$1),MAX($V$1:V89)+1,"")</f>
        <v/>
      </c>
    </row>
    <row r="91" spans="1:22" x14ac:dyDescent="0.25">
      <c r="A91" s="9">
        <v>45592</v>
      </c>
      <c r="B91" s="4" t="s">
        <v>119</v>
      </c>
      <c r="C91" s="4" t="s">
        <v>126</v>
      </c>
      <c r="D91" s="4" t="s">
        <v>119</v>
      </c>
      <c r="E91" s="10">
        <v>57.4</v>
      </c>
      <c r="G91" s="4" t="s">
        <v>127</v>
      </c>
      <c r="H91" s="4" t="s">
        <v>120</v>
      </c>
      <c r="I91" s="4"/>
      <c r="K91" s="11">
        <f>IF($E91="","",ROUND($E91*IF(ISNA(MATCH($C91,'Paramètres'!$D:$D,0)),1,IF(INDEX('Paramètres'!$J:$J,MATCH($C91,'Paramètres'!$D:$D,0))="",1,INDEX('Paramètres'!$J:$J,MATCH($C91,'Paramètres'!$D:$D,0)))),2))</f>
        <v>28.7</v>
      </c>
      <c r="L91" s="6" t="str">
        <f>IF($D91="","",IF($F91&lt;&gt;"",$F91,IF(ISNA(MATCH($D91,'Paramètres'!$M:$M,0)),"⚠ Type inconnu",IFERROR(INDEX('Paramètres'!$P:$P,MATCH($D91,'Paramètres'!$M:$M,0))&amp;"",""))))</f>
        <v>Débit</v>
      </c>
      <c r="M91" s="6" t="str">
        <f>IF($D91="","",IF(ISNA(MATCH($D91,'Paramètres'!$M:$M,0)),"⚠ Type inconnu",IF($L91="Crédit","",IFERROR(INDEX('Paramètres'!$O:$O,MATCH($D91,'Paramètres'!$M:$M,0))&amp;"",""))))</f>
        <v>Dépense Occasionnelle</v>
      </c>
      <c r="N91" s="6" t="str">
        <f>IF($D91="","",IFERROR(INDEX('Paramètres'!$Q:$Q,MATCH($D91,'Paramètres'!$M:$M,0))&amp;"",""))</f>
        <v>Alimentation</v>
      </c>
      <c r="O91" s="6">
        <f>IF($A91="","",IF(OR($J91&lt;&gt;"x",$A91&lt;=FinReleve),1,0))</f>
        <v>1</v>
      </c>
      <c r="P91" s="6">
        <f>IF($D91="","",IF(AND($L91="Crédit",OR(IFERROR(INDEX('Paramètres'!$O:$O,MATCH($D91,'Paramètres'!$M:$M,0))&amp;"","")&lt;&gt;"",ISNUMBER(SEARCH("remboursement",IFERROR(INDEX('Paramètres'!$N:$N,MATCH($D91,'Paramètres'!$M:$M,0))&amp;"",""))))),1,0))</f>
        <v>0</v>
      </c>
      <c r="Q91" s="6">
        <f>IF($K91="","",IF(ISNUMBER(SEARCH("transfert-interne",IFERROR(INDEX('Paramètres'!$N:$N,MATCH($D91,'Paramètres'!$M:$M,0))&amp;"",""))),0,IF($L91="Débit",$K91,IF($P91=1,-$K91,0))))</f>
        <v>28.7</v>
      </c>
      <c r="R91" s="6">
        <f>IF($K91="","",IF($L91="Crédit",$K91,-$K91))</f>
        <v>-28.7</v>
      </c>
      <c r="S91" s="6" t="str">
        <f>IF($C91="","",IFERROR(INDEX('Paramètres'!$H:$H,MATCH($C91,'Paramètres'!$D:$D,0))&amp;"",""))</f>
        <v>Banque A - Courant</v>
      </c>
      <c r="T91" s="6">
        <f>IF($K91="","",IF($S91="",0,IF(ISNUMBER(SEARCH("apport-exterieur",IFERROR(INDEX('Paramètres'!$N:$N,MATCH($D91,'Paramètres'!$M:$M,0))&amp;"",""))),0,IF(OR(IFERROR(INDEX('Paramètres'!$I:$I,MATCH($C91,'Paramètres'!$D:$D,0))&amp;"","")="Les deux",IFERROR(INDEX('Paramètres'!$I:$I,MATCH($C91,'Paramètres'!$D:$D,0))&amp;"","")=IF($P91=1,"Débit",$L91)),-IF($P91=1,-$K91,$K91),0))))</f>
        <v>-28.7</v>
      </c>
      <c r="U91" s="6">
        <f>IF($K91="","",IF(ISNUMBER(SEARCH("sortie-epargne",IFERROR(INDEX('Paramètres'!$N:$N,MATCH($D91,'Paramètres'!$M:$M,0))&amp;"",""))),$K91,0))</f>
        <v>0</v>
      </c>
      <c r="V91" s="6" t="str">
        <f>IF(AND($A91&lt;&gt;"",$O91=1,$L91="Débit",N($Q91)&gt;0,$A91&gt;=Visualisation!$B$1,$A91&lt;Visualisation!$D$1),MAX($V$1:V90)+1,"")</f>
        <v/>
      </c>
    </row>
    <row r="92" spans="1:22" x14ac:dyDescent="0.25">
      <c r="A92" s="9">
        <v>45593</v>
      </c>
      <c r="B92" s="4" t="s">
        <v>118</v>
      </c>
      <c r="C92" s="4" t="s">
        <v>75</v>
      </c>
      <c r="D92" s="4" t="s">
        <v>118</v>
      </c>
      <c r="E92" s="10">
        <v>3</v>
      </c>
      <c r="G92" s="4"/>
      <c r="H92" s="4"/>
      <c r="I92" s="4"/>
      <c r="K92" s="11">
        <f>IF($E92="","",ROUND($E92*IF(ISNA(MATCH($C92,'Paramètres'!$D:$D,0)),1,IF(INDEX('Paramètres'!$J:$J,MATCH($C92,'Paramètres'!$D:$D,0))="",1,INDEX('Paramètres'!$J:$J,MATCH($C92,'Paramètres'!$D:$D,0)))),2))</f>
        <v>3</v>
      </c>
      <c r="L92" s="6" t="str">
        <f>IF($D92="","",IF($F92&lt;&gt;"",$F92,IF(ISNA(MATCH($D92,'Paramètres'!$M:$M,0)),"⚠ Type inconnu",IFERROR(INDEX('Paramètres'!$P:$P,MATCH($D92,'Paramètres'!$M:$M,0))&amp;"",""))))</f>
        <v>Débit</v>
      </c>
      <c r="M92" s="6" t="str">
        <f>IF($D92="","",IF(ISNA(MATCH($D92,'Paramètres'!$M:$M,0)),"⚠ Type inconnu",IF($L92="Crédit","",IFERROR(INDEX('Paramètres'!$O:$O,MATCH($D92,'Paramètres'!$M:$M,0))&amp;"",""))))</f>
        <v>Dépense Fixe</v>
      </c>
      <c r="N92" s="6" t="str">
        <f>IF($D92="","",IFERROR(INDEX('Paramètres'!$Q:$Q,MATCH($D92,'Paramètres'!$M:$M,0))&amp;"",""))</f>
        <v>Banque</v>
      </c>
      <c r="O92" s="6">
        <f>IF($A92="","",IF(OR($J92&lt;&gt;"x",$A92&lt;=FinReleve),1,0))</f>
        <v>1</v>
      </c>
      <c r="P92" s="6">
        <f>IF($D92="","",IF(AND($L92="Crédit",OR(IFERROR(INDEX('Paramètres'!$O:$O,MATCH($D92,'Paramètres'!$M:$M,0))&amp;"","")&lt;&gt;"",ISNUMBER(SEARCH("remboursement",IFERROR(INDEX('Paramètres'!$N:$N,MATCH($D92,'Paramètres'!$M:$M,0))&amp;"",""))))),1,0))</f>
        <v>0</v>
      </c>
      <c r="Q92" s="6">
        <f>IF($K92="","",IF(ISNUMBER(SEARCH("transfert-interne",IFERROR(INDEX('Paramètres'!$N:$N,MATCH($D92,'Paramètres'!$M:$M,0))&amp;"",""))),0,IF($L92="Débit",$K92,IF($P92=1,-$K92,0))))</f>
        <v>3</v>
      </c>
      <c r="R92" s="6">
        <f>IF($K92="","",IF($L92="Crédit",$K92,-$K92))</f>
        <v>-3</v>
      </c>
      <c r="S92" s="6" t="str">
        <f>IF($C92="","",IFERROR(INDEX('Paramètres'!$H:$H,MATCH($C92,'Paramètres'!$D:$D,0))&amp;"",""))</f>
        <v/>
      </c>
      <c r="T92" s="6">
        <f>IF($K92="","",IF($S92="",0,IF(ISNUMBER(SEARCH("apport-exterieur",IFERROR(INDEX('Paramètres'!$N:$N,MATCH($D92,'Paramètres'!$M:$M,0))&amp;"",""))),0,IF(OR(IFERROR(INDEX('Paramètres'!$I:$I,MATCH($C92,'Paramètres'!$D:$D,0))&amp;"","")="Les deux",IFERROR(INDEX('Paramètres'!$I:$I,MATCH($C92,'Paramètres'!$D:$D,0))&amp;"","")=IF($P92=1,"Débit",$L92)),-IF($P92=1,-$K92,$K92),0))))</f>
        <v>0</v>
      </c>
      <c r="U92" s="6">
        <f>IF($K92="","",IF(ISNUMBER(SEARCH("sortie-epargne",IFERROR(INDEX('Paramètres'!$N:$N,MATCH($D92,'Paramètres'!$M:$M,0))&amp;"",""))),$K92,0))</f>
        <v>0</v>
      </c>
      <c r="V92" s="6" t="str">
        <f>IF(AND($A92&lt;&gt;"",$O92=1,$L92="Débit",N($Q92)&gt;0,$A92&gt;=Visualisation!$B$1,$A92&lt;Visualisation!$D$1),MAX($V$1:V91)+1,"")</f>
        <v/>
      </c>
    </row>
    <row r="93" spans="1:22" x14ac:dyDescent="0.25">
      <c r="A93" s="9">
        <v>45597</v>
      </c>
      <c r="B93" s="4" t="s">
        <v>76</v>
      </c>
      <c r="C93" s="4" t="s">
        <v>60</v>
      </c>
      <c r="D93" s="4" t="s">
        <v>77</v>
      </c>
      <c r="E93" s="10">
        <v>92.36</v>
      </c>
      <c r="G93" s="4" t="s">
        <v>102</v>
      </c>
      <c r="H93" s="4"/>
      <c r="I93" s="4" t="s">
        <v>73</v>
      </c>
      <c r="K93" s="11">
        <f>IF($E93="","",ROUND($E93*IF(ISNA(MATCH($C93,'Paramètres'!$D:$D,0)),1,IF(INDEX('Paramètres'!$J:$J,MATCH($C93,'Paramètres'!$D:$D,0))="",1,INDEX('Paramètres'!$J:$J,MATCH($C93,'Paramètres'!$D:$D,0)))),2))</f>
        <v>46.18</v>
      </c>
      <c r="L93" s="6" t="str">
        <f>IF($D93="","",IF($F93&lt;&gt;"",$F93,IF(ISNA(MATCH($D93,'Paramètres'!$M:$M,0)),"⚠ Type inconnu",IFERROR(INDEX('Paramètres'!$P:$P,MATCH($D93,'Paramètres'!$M:$M,0))&amp;"",""))))</f>
        <v>Débit</v>
      </c>
      <c r="M93" s="6" t="str">
        <f>IF($D93="","",IF(ISNA(MATCH($D93,'Paramètres'!$M:$M,0)),"⚠ Type inconnu",IF($L93="Crédit","",IFERROR(INDEX('Paramètres'!$O:$O,MATCH($D93,'Paramètres'!$M:$M,0))&amp;"",""))))</f>
        <v>Dépense Courante</v>
      </c>
      <c r="N93" s="6" t="str">
        <f>IF($D93="","",IFERROR(INDEX('Paramètres'!$Q:$Q,MATCH($D93,'Paramètres'!$M:$M,0))&amp;"",""))</f>
        <v>Alimentation</v>
      </c>
      <c r="O93" s="6">
        <f>IF($A93="","",IF(OR($J93&lt;&gt;"x",$A93&lt;=FinReleve),1,0))</f>
        <v>1</v>
      </c>
      <c r="P93" s="6">
        <f>IF($D93="","",IF(AND($L93="Crédit",OR(IFERROR(INDEX('Paramètres'!$O:$O,MATCH($D93,'Paramètres'!$M:$M,0))&amp;"","")&lt;&gt;"",ISNUMBER(SEARCH("remboursement",IFERROR(INDEX('Paramètres'!$N:$N,MATCH($D93,'Paramètres'!$M:$M,0))&amp;"",""))))),1,0))</f>
        <v>0</v>
      </c>
      <c r="Q93" s="6">
        <f>IF($K93="","",IF(ISNUMBER(SEARCH("transfert-interne",IFERROR(INDEX('Paramètres'!$N:$N,MATCH($D93,'Paramètres'!$M:$M,0))&amp;"",""))),0,IF($L93="Débit",$K93,IF($P93=1,-$K93,0))))</f>
        <v>46.18</v>
      </c>
      <c r="R93" s="6">
        <f>IF($K93="","",IF($L93="Crédit",$K93,-$K93))</f>
        <v>-46.18</v>
      </c>
      <c r="S93" s="6" t="str">
        <f>IF($C93="","",IFERROR(INDEX('Paramètres'!$H:$H,MATCH($C93,'Paramètres'!$D:$D,0))&amp;"",""))</f>
        <v>Banque A - Courant</v>
      </c>
      <c r="T93" s="6">
        <f>IF($K93="","",IF($S93="",0,IF(ISNUMBER(SEARCH("apport-exterieur",IFERROR(INDEX('Paramètres'!$N:$N,MATCH($D93,'Paramètres'!$M:$M,0))&amp;"",""))),0,IF(OR(IFERROR(INDEX('Paramètres'!$I:$I,MATCH($C93,'Paramètres'!$D:$D,0))&amp;"","")="Les deux",IFERROR(INDEX('Paramètres'!$I:$I,MATCH($C93,'Paramètres'!$D:$D,0))&amp;"","")=IF($P93=1,"Débit",$L93)),-IF($P93=1,-$K93,$K93),0))))</f>
        <v>-46.18</v>
      </c>
      <c r="U93" s="6">
        <f>IF($K93="","",IF(ISNUMBER(SEARCH("sortie-epargne",IFERROR(INDEX('Paramètres'!$N:$N,MATCH($D93,'Paramètres'!$M:$M,0))&amp;"",""))),$K93,0))</f>
        <v>0</v>
      </c>
      <c r="V93" s="6" t="str">
        <f>IF(AND($A93&lt;&gt;"",$O93=1,$L93="Débit",N($Q93)&gt;0,$A93&gt;=Visualisation!$B$1,$A93&lt;Visualisation!$D$1),MAX($V$1:V92)+1,"")</f>
        <v/>
      </c>
    </row>
    <row r="94" spans="1:22" x14ac:dyDescent="0.25">
      <c r="A94" s="9">
        <v>45597</v>
      </c>
      <c r="B94" s="4" t="s">
        <v>76</v>
      </c>
      <c r="C94" s="4" t="s">
        <v>67</v>
      </c>
      <c r="D94" s="4" t="s">
        <v>77</v>
      </c>
      <c r="E94" s="10">
        <v>120.06</v>
      </c>
      <c r="G94" s="4" t="s">
        <v>102</v>
      </c>
      <c r="H94" s="4"/>
      <c r="I94" s="4" t="s">
        <v>79</v>
      </c>
      <c r="K94" s="11">
        <f>IF($E94="","",ROUND($E94*IF(ISNA(MATCH($C94,'Paramètres'!$D:$D,0)),1,IF(INDEX('Paramètres'!$J:$J,MATCH($C94,'Paramètres'!$D:$D,0))="",1,INDEX('Paramètres'!$J:$J,MATCH($C94,'Paramètres'!$D:$D,0)))),2))</f>
        <v>60.03</v>
      </c>
      <c r="L94" s="6" t="str">
        <f>IF($D94="","",IF($F94&lt;&gt;"",$F94,IF(ISNA(MATCH($D94,'Paramètres'!$M:$M,0)),"⚠ Type inconnu",IFERROR(INDEX('Paramètres'!$P:$P,MATCH($D94,'Paramètres'!$M:$M,0))&amp;"",""))))</f>
        <v>Débit</v>
      </c>
      <c r="M94" s="6" t="str">
        <f>IF($D94="","",IF(ISNA(MATCH($D94,'Paramètres'!$M:$M,0)),"⚠ Type inconnu",IF($L94="Crédit","",IFERROR(INDEX('Paramètres'!$O:$O,MATCH($D94,'Paramètres'!$M:$M,0))&amp;"",""))))</f>
        <v>Dépense Courante</v>
      </c>
      <c r="N94" s="6" t="str">
        <f>IF($D94="","",IFERROR(INDEX('Paramètres'!$Q:$Q,MATCH($D94,'Paramètres'!$M:$M,0))&amp;"",""))</f>
        <v>Alimentation</v>
      </c>
      <c r="O94" s="6">
        <f>IF($A94="","",IF(OR($J94&lt;&gt;"x",$A94&lt;=FinReleve),1,0))</f>
        <v>1</v>
      </c>
      <c r="P94" s="6">
        <f>IF($D94="","",IF(AND($L94="Crédit",OR(IFERROR(INDEX('Paramètres'!$O:$O,MATCH($D94,'Paramètres'!$M:$M,0))&amp;"","")&lt;&gt;"",ISNUMBER(SEARCH("remboursement",IFERROR(INDEX('Paramètres'!$N:$N,MATCH($D94,'Paramètres'!$M:$M,0))&amp;"",""))))),1,0))</f>
        <v>0</v>
      </c>
      <c r="Q94" s="6">
        <f>IF($K94="","",IF(ISNUMBER(SEARCH("transfert-interne",IFERROR(INDEX('Paramètres'!$N:$N,MATCH($D94,'Paramètres'!$M:$M,0))&amp;"",""))),0,IF($L94="Débit",$K94,IF($P94=1,-$K94,0))))</f>
        <v>60.03</v>
      </c>
      <c r="R94" s="6">
        <f>IF($K94="","",IF($L94="Crédit",$K94,-$K94))</f>
        <v>-60.03</v>
      </c>
      <c r="S94" s="6" t="str">
        <f>IF($C94="","",IFERROR(INDEX('Paramètres'!$H:$H,MATCH($C94,'Paramètres'!$D:$D,0))&amp;"",""))</f>
        <v>Banque A - Courant</v>
      </c>
      <c r="T94" s="6">
        <f>IF($K94="","",IF($S94="",0,IF(ISNUMBER(SEARCH("apport-exterieur",IFERROR(INDEX('Paramètres'!$N:$N,MATCH($D94,'Paramètres'!$M:$M,0))&amp;"",""))),0,IF(OR(IFERROR(INDEX('Paramètres'!$I:$I,MATCH($C94,'Paramètres'!$D:$D,0))&amp;"","")="Les deux",IFERROR(INDEX('Paramètres'!$I:$I,MATCH($C94,'Paramètres'!$D:$D,0))&amp;"","")=IF($P94=1,"Débit",$L94)),-IF($P94=1,-$K94,$K94),0))))</f>
        <v>0</v>
      </c>
      <c r="U94" s="6">
        <f>IF($K94="","",IF(ISNUMBER(SEARCH("sortie-epargne",IFERROR(INDEX('Paramètres'!$N:$N,MATCH($D94,'Paramètres'!$M:$M,0))&amp;"",""))),$K94,0))</f>
        <v>0</v>
      </c>
      <c r="V94" s="6" t="str">
        <f>IF(AND($A94&lt;&gt;"",$O94=1,$L94="Débit",N($Q94)&gt;0,$A94&gt;=Visualisation!$B$1,$A94&lt;Visualisation!$D$1),MAX($V$1:V93)+1,"")</f>
        <v/>
      </c>
    </row>
    <row r="95" spans="1:22" x14ac:dyDescent="0.25">
      <c r="A95" s="9">
        <v>45597</v>
      </c>
      <c r="B95" s="4" t="s">
        <v>76</v>
      </c>
      <c r="C95" s="4" t="s">
        <v>67</v>
      </c>
      <c r="D95" s="4" t="s">
        <v>77</v>
      </c>
      <c r="E95" s="10">
        <v>123.24</v>
      </c>
      <c r="G95" s="4" t="s">
        <v>95</v>
      </c>
      <c r="H95" s="4"/>
      <c r="I95" s="4" t="s">
        <v>79</v>
      </c>
      <c r="K95" s="11">
        <f>IF($E95="","",ROUND($E95*IF(ISNA(MATCH($C95,'Paramètres'!$D:$D,0)),1,IF(INDEX('Paramètres'!$J:$J,MATCH($C95,'Paramètres'!$D:$D,0))="",1,INDEX('Paramètres'!$J:$J,MATCH($C95,'Paramètres'!$D:$D,0)))),2))</f>
        <v>61.62</v>
      </c>
      <c r="L95" s="6" t="str">
        <f>IF($D95="","",IF($F95&lt;&gt;"",$F95,IF(ISNA(MATCH($D95,'Paramètres'!$M:$M,0)),"⚠ Type inconnu",IFERROR(INDEX('Paramètres'!$P:$P,MATCH($D95,'Paramètres'!$M:$M,0))&amp;"",""))))</f>
        <v>Débit</v>
      </c>
      <c r="M95" s="6" t="str">
        <f>IF($D95="","",IF(ISNA(MATCH($D95,'Paramètres'!$M:$M,0)),"⚠ Type inconnu",IF($L95="Crédit","",IFERROR(INDEX('Paramètres'!$O:$O,MATCH($D95,'Paramètres'!$M:$M,0))&amp;"",""))))</f>
        <v>Dépense Courante</v>
      </c>
      <c r="N95" s="6" t="str">
        <f>IF($D95="","",IFERROR(INDEX('Paramètres'!$Q:$Q,MATCH($D95,'Paramètres'!$M:$M,0))&amp;"",""))</f>
        <v>Alimentation</v>
      </c>
      <c r="O95" s="6">
        <f>IF($A95="","",IF(OR($J95&lt;&gt;"x",$A95&lt;=FinReleve),1,0))</f>
        <v>1</v>
      </c>
      <c r="P95" s="6">
        <f>IF($D95="","",IF(AND($L95="Crédit",OR(IFERROR(INDEX('Paramètres'!$O:$O,MATCH($D95,'Paramètres'!$M:$M,0))&amp;"","")&lt;&gt;"",ISNUMBER(SEARCH("remboursement",IFERROR(INDEX('Paramètres'!$N:$N,MATCH($D95,'Paramètres'!$M:$M,0))&amp;"",""))))),1,0))</f>
        <v>0</v>
      </c>
      <c r="Q95" s="6">
        <f>IF($K95="","",IF(ISNUMBER(SEARCH("transfert-interne",IFERROR(INDEX('Paramètres'!$N:$N,MATCH($D95,'Paramètres'!$M:$M,0))&amp;"",""))),0,IF($L95="Débit",$K95,IF($P95=1,-$K95,0))))</f>
        <v>61.62</v>
      </c>
      <c r="R95" s="6">
        <f>IF($K95="","",IF($L95="Crédit",$K95,-$K95))</f>
        <v>-61.62</v>
      </c>
      <c r="S95" s="6" t="str">
        <f>IF($C95="","",IFERROR(INDEX('Paramètres'!$H:$H,MATCH($C95,'Paramètres'!$D:$D,0))&amp;"",""))</f>
        <v>Banque A - Courant</v>
      </c>
      <c r="T95" s="6">
        <f>IF($K95="","",IF($S95="",0,IF(ISNUMBER(SEARCH("apport-exterieur",IFERROR(INDEX('Paramètres'!$N:$N,MATCH($D95,'Paramètres'!$M:$M,0))&amp;"",""))),0,IF(OR(IFERROR(INDEX('Paramètres'!$I:$I,MATCH($C95,'Paramètres'!$D:$D,0))&amp;"","")="Les deux",IFERROR(INDEX('Paramètres'!$I:$I,MATCH($C95,'Paramètres'!$D:$D,0))&amp;"","")=IF($P95=1,"Débit",$L95)),-IF($P95=1,-$K95,$K95),0))))</f>
        <v>0</v>
      </c>
      <c r="U95" s="6">
        <f>IF($K95="","",IF(ISNUMBER(SEARCH("sortie-epargne",IFERROR(INDEX('Paramètres'!$N:$N,MATCH($D95,'Paramètres'!$M:$M,0))&amp;"",""))),$K95,0))</f>
        <v>0</v>
      </c>
      <c r="V95" s="6" t="str">
        <f>IF(AND($A95&lt;&gt;"",$O95=1,$L95="Débit",N($Q95)&gt;0,$A95&gt;=Visualisation!$B$1,$A95&lt;Visualisation!$D$1),MAX($V$1:V94)+1,"")</f>
        <v/>
      </c>
    </row>
    <row r="96" spans="1:22" x14ac:dyDescent="0.25">
      <c r="A96" s="9">
        <v>45598</v>
      </c>
      <c r="B96" s="4" t="s">
        <v>64</v>
      </c>
      <c r="C96" s="4" t="s">
        <v>65</v>
      </c>
      <c r="D96" s="4" t="s">
        <v>66</v>
      </c>
      <c r="E96" s="10">
        <v>1160</v>
      </c>
      <c r="G96" s="4"/>
      <c r="H96" s="4"/>
      <c r="I96" s="4"/>
      <c r="K96" s="11">
        <f>IF($E96="","",ROUND($E96*IF(ISNA(MATCH($C96,'Paramètres'!$D:$D,0)),1,IF(INDEX('Paramètres'!$J:$J,MATCH($C96,'Paramètres'!$D:$D,0))="",1,INDEX('Paramètres'!$J:$J,MATCH($C96,'Paramètres'!$D:$D,0)))),2))</f>
        <v>1160</v>
      </c>
      <c r="L96" s="6" t="str">
        <f>IF($D96="","",IF($F96&lt;&gt;"",$F96,IF(ISNA(MATCH($D96,'Paramètres'!$M:$M,0)),"⚠ Type inconnu",IFERROR(INDEX('Paramètres'!$P:$P,MATCH($D96,'Paramètres'!$M:$M,0))&amp;"",""))))</f>
        <v>Crédit</v>
      </c>
      <c r="M96" s="6" t="str">
        <f>IF($D96="","",IF(ISNA(MATCH($D96,'Paramètres'!$M:$M,0)),"⚠ Type inconnu",IF($L96="Crédit","",IFERROR(INDEX('Paramètres'!$O:$O,MATCH($D96,'Paramètres'!$M:$M,0))&amp;"",""))))</f>
        <v/>
      </c>
      <c r="N96" s="6" t="str">
        <f>IF($D96="","",IFERROR(INDEX('Paramètres'!$Q:$Q,MATCH($D96,'Paramètres'!$M:$M,0))&amp;"",""))</f>
        <v>Comptes Bancaires</v>
      </c>
      <c r="O96" s="6">
        <f>IF($A96="","",IF(OR($J96&lt;&gt;"x",$A96&lt;=FinReleve),1,0))</f>
        <v>1</v>
      </c>
      <c r="P96" s="6">
        <f>IF($D96="","",IF(AND($L96="Crédit",OR(IFERROR(INDEX('Paramètres'!$O:$O,MATCH($D96,'Paramètres'!$M:$M,0))&amp;"","")&lt;&gt;"",ISNUMBER(SEARCH("remboursement",IFERROR(INDEX('Paramètres'!$N:$N,MATCH($D96,'Paramètres'!$M:$M,0))&amp;"",""))))),1,0))</f>
        <v>0</v>
      </c>
      <c r="Q96" s="6">
        <f>IF($K96="","",IF(ISNUMBER(SEARCH("transfert-interne",IFERROR(INDEX('Paramètres'!$N:$N,MATCH($D96,'Paramètres'!$M:$M,0))&amp;"",""))),0,IF($L96="Débit",$K96,IF($P96=1,-$K96,0))))</f>
        <v>0</v>
      </c>
      <c r="R96" s="6">
        <f>IF($K96="","",IF($L96="Crédit",$K96,-$K96))</f>
        <v>1160</v>
      </c>
      <c r="S96" s="6" t="str">
        <f>IF($C96="","",IFERROR(INDEX('Paramètres'!$H:$H,MATCH($C96,'Paramètres'!$D:$D,0))&amp;"",""))</f>
        <v>Banque A - Courant</v>
      </c>
      <c r="T96" s="6">
        <f>IF($K96="","",IF($S96="",0,IF(ISNUMBER(SEARCH("apport-exterieur",IFERROR(INDEX('Paramètres'!$N:$N,MATCH($D96,'Paramètres'!$M:$M,0))&amp;"",""))),0,IF(OR(IFERROR(INDEX('Paramètres'!$I:$I,MATCH($C96,'Paramètres'!$D:$D,0))&amp;"","")="Les deux",IFERROR(INDEX('Paramètres'!$I:$I,MATCH($C96,'Paramètres'!$D:$D,0))&amp;"","")=IF($P96=1,"Débit",$L96)),-IF($P96=1,-$K96,$K96),0))))</f>
        <v>-1160</v>
      </c>
      <c r="U96" s="6">
        <f>IF($K96="","",IF(ISNUMBER(SEARCH("sortie-epargne",IFERROR(INDEX('Paramètres'!$N:$N,MATCH($D96,'Paramètres'!$M:$M,0))&amp;"",""))),$K96,0))</f>
        <v>0</v>
      </c>
      <c r="V96" s="6" t="str">
        <f>IF(AND($A96&lt;&gt;"",$O96=1,$L96="Débit",N($Q96)&gt;0,$A96&gt;=Visualisation!$B$1,$A96&lt;Visualisation!$D$1),MAX($V$1:V95)+1,"")</f>
        <v/>
      </c>
    </row>
    <row r="97" spans="1:22" x14ac:dyDescent="0.25">
      <c r="A97" s="9">
        <v>45598</v>
      </c>
      <c r="B97" s="4" t="s">
        <v>64</v>
      </c>
      <c r="C97" s="4" t="s">
        <v>67</v>
      </c>
      <c r="D97" s="4" t="s">
        <v>68</v>
      </c>
      <c r="E97" s="10">
        <v>600</v>
      </c>
      <c r="G97" s="4"/>
      <c r="H97" s="4"/>
      <c r="I97" s="4"/>
      <c r="K97" s="11">
        <f>IF($E97="","",ROUND($E97*IF(ISNA(MATCH($C97,'Paramètres'!$D:$D,0)),1,IF(INDEX('Paramètres'!$J:$J,MATCH($C97,'Paramètres'!$D:$D,0))="",1,INDEX('Paramètres'!$J:$J,MATCH($C97,'Paramètres'!$D:$D,0)))),2))</f>
        <v>300</v>
      </c>
      <c r="L97" s="6" t="str">
        <f>IF($D97="","",IF($F97&lt;&gt;"",$F97,IF(ISNA(MATCH($D97,'Paramètres'!$M:$M,0)),"⚠ Type inconnu",IFERROR(INDEX('Paramètres'!$P:$P,MATCH($D97,'Paramètres'!$M:$M,0))&amp;"",""))))</f>
        <v>Crédit</v>
      </c>
      <c r="M97" s="6" t="str">
        <f>IF($D97="","",IF(ISNA(MATCH($D97,'Paramètres'!$M:$M,0)),"⚠ Type inconnu",IF($L97="Crédit","",IFERROR(INDEX('Paramètres'!$O:$O,MATCH($D97,'Paramètres'!$M:$M,0))&amp;"",""))))</f>
        <v/>
      </c>
      <c r="N97" s="6" t="str">
        <f>IF($D97="","",IFERROR(INDEX('Paramètres'!$Q:$Q,MATCH($D97,'Paramètres'!$M:$M,0))&amp;"",""))</f>
        <v>Comptes Bancaires</v>
      </c>
      <c r="O97" s="6">
        <f>IF($A97="","",IF(OR($J97&lt;&gt;"x",$A97&lt;=FinReleve),1,0))</f>
        <v>1</v>
      </c>
      <c r="P97" s="6">
        <f>IF($D97="","",IF(AND($L97="Crédit",OR(IFERROR(INDEX('Paramètres'!$O:$O,MATCH($D97,'Paramètres'!$M:$M,0))&amp;"","")&lt;&gt;"",ISNUMBER(SEARCH("remboursement",IFERROR(INDEX('Paramètres'!$N:$N,MATCH($D97,'Paramètres'!$M:$M,0))&amp;"",""))))),1,0))</f>
        <v>0</v>
      </c>
      <c r="Q97" s="6">
        <f>IF($K97="","",IF(ISNUMBER(SEARCH("transfert-interne",IFERROR(INDEX('Paramètres'!$N:$N,MATCH($D97,'Paramètres'!$M:$M,0))&amp;"",""))),0,IF($L97="Débit",$K97,IF($P97=1,-$K97,0))))</f>
        <v>0</v>
      </c>
      <c r="R97" s="6">
        <f>IF($K97="","",IF($L97="Crédit",$K97,-$K97))</f>
        <v>300</v>
      </c>
      <c r="S97" s="6" t="str">
        <f>IF($C97="","",IFERROR(INDEX('Paramètres'!$H:$H,MATCH($C97,'Paramètres'!$D:$D,0))&amp;"",""))</f>
        <v>Banque A - Courant</v>
      </c>
      <c r="T97" s="6">
        <f>IF($K97="","",IF($S97="",0,IF(ISNUMBER(SEARCH("apport-exterieur",IFERROR(INDEX('Paramètres'!$N:$N,MATCH($D97,'Paramètres'!$M:$M,0))&amp;"",""))),0,IF(OR(IFERROR(INDEX('Paramètres'!$I:$I,MATCH($C97,'Paramètres'!$D:$D,0))&amp;"","")="Les deux",IFERROR(INDEX('Paramètres'!$I:$I,MATCH($C97,'Paramètres'!$D:$D,0))&amp;"","")=IF($P97=1,"Débit",$L97)),-IF($P97=1,-$K97,$K97),0))))</f>
        <v>-300</v>
      </c>
      <c r="U97" s="6">
        <f>IF($K97="","",IF(ISNUMBER(SEARCH("sortie-epargne",IFERROR(INDEX('Paramètres'!$N:$N,MATCH($D97,'Paramètres'!$M:$M,0))&amp;"",""))),$K97,0))</f>
        <v>0</v>
      </c>
      <c r="V97" s="6" t="str">
        <f>IF(AND($A97&lt;&gt;"",$O97=1,$L97="Débit",N($Q97)&gt;0,$A97&gt;=Visualisation!$B$1,$A97&lt;Visualisation!$D$1),MAX($V$1:V96)+1,"")</f>
        <v/>
      </c>
    </row>
    <row r="98" spans="1:22" x14ac:dyDescent="0.25">
      <c r="A98" s="9">
        <v>45598</v>
      </c>
      <c r="B98" s="4" t="s">
        <v>59</v>
      </c>
      <c r="C98" s="4" t="s">
        <v>126</v>
      </c>
      <c r="D98" s="4" t="s">
        <v>59</v>
      </c>
      <c r="E98" s="10">
        <v>131.08</v>
      </c>
      <c r="G98" s="4" t="s">
        <v>128</v>
      </c>
      <c r="H98" s="4"/>
      <c r="I98" s="4"/>
      <c r="K98" s="11">
        <f>IF($E98="","",ROUND($E98*IF(ISNA(MATCH($C98,'Paramètres'!$D:$D,0)),1,IF(INDEX('Paramètres'!$J:$J,MATCH($C98,'Paramètres'!$D:$D,0))="",1,INDEX('Paramètres'!$J:$J,MATCH($C98,'Paramètres'!$D:$D,0)))),2))</f>
        <v>65.54</v>
      </c>
      <c r="L98" s="6" t="str">
        <f>IF($D98="","",IF($F98&lt;&gt;"",$F98,IF(ISNA(MATCH($D98,'Paramètres'!$M:$M,0)),"⚠ Type inconnu",IFERROR(INDEX('Paramètres'!$P:$P,MATCH($D98,'Paramètres'!$M:$M,0))&amp;"",""))))</f>
        <v>Débit</v>
      </c>
      <c r="M98" s="6" t="str">
        <f>IF($D98="","",IF(ISNA(MATCH($D98,'Paramètres'!$M:$M,0)),"⚠ Type inconnu",IF($L98="Crédit","",IFERROR(INDEX('Paramètres'!$O:$O,MATCH($D98,'Paramètres'!$M:$M,0))&amp;"",""))))</f>
        <v>Dépense Occasionnelle</v>
      </c>
      <c r="N98" s="6" t="str">
        <f>IF($D98="","",IFERROR(INDEX('Paramètres'!$Q:$Q,MATCH($D98,'Paramètres'!$M:$M,0))&amp;"",""))</f>
        <v>Loisir</v>
      </c>
      <c r="O98" s="6">
        <f>IF($A98="","",IF(OR($J98&lt;&gt;"x",$A98&lt;=FinReleve),1,0))</f>
        <v>1</v>
      </c>
      <c r="P98" s="6">
        <f>IF($D98="","",IF(AND($L98="Crédit",OR(IFERROR(INDEX('Paramètres'!$O:$O,MATCH($D98,'Paramètres'!$M:$M,0))&amp;"","")&lt;&gt;"",ISNUMBER(SEARCH("remboursement",IFERROR(INDEX('Paramètres'!$N:$N,MATCH($D98,'Paramètres'!$M:$M,0))&amp;"",""))))),1,0))</f>
        <v>0</v>
      </c>
      <c r="Q98" s="6">
        <f>IF($K98="","",IF(ISNUMBER(SEARCH("transfert-interne",IFERROR(INDEX('Paramètres'!$N:$N,MATCH($D98,'Paramètres'!$M:$M,0))&amp;"",""))),0,IF($L98="Débit",$K98,IF($P98=1,-$K98,0))))</f>
        <v>65.54</v>
      </c>
      <c r="R98" s="6">
        <f>IF($K98="","",IF($L98="Crédit",$K98,-$K98))</f>
        <v>-65.54</v>
      </c>
      <c r="S98" s="6" t="str">
        <f>IF($C98="","",IFERROR(INDEX('Paramètres'!$H:$H,MATCH($C98,'Paramètres'!$D:$D,0))&amp;"",""))</f>
        <v>Banque A - Courant</v>
      </c>
      <c r="T98" s="6">
        <f>IF($K98="","",IF($S98="",0,IF(ISNUMBER(SEARCH("apport-exterieur",IFERROR(INDEX('Paramètres'!$N:$N,MATCH($D98,'Paramètres'!$M:$M,0))&amp;"",""))),0,IF(OR(IFERROR(INDEX('Paramètres'!$I:$I,MATCH($C98,'Paramètres'!$D:$D,0))&amp;"","")="Les deux",IFERROR(INDEX('Paramètres'!$I:$I,MATCH($C98,'Paramètres'!$D:$D,0))&amp;"","")=IF($P98=1,"Débit",$L98)),-IF($P98=1,-$K98,$K98),0))))</f>
        <v>-65.54</v>
      </c>
      <c r="U98" s="6">
        <f>IF($K98="","",IF(ISNUMBER(SEARCH("sortie-epargne",IFERROR(INDEX('Paramètres'!$N:$N,MATCH($D98,'Paramètres'!$M:$M,0))&amp;"",""))),$K98,0))</f>
        <v>0</v>
      </c>
      <c r="V98" s="6" t="str">
        <f>IF(AND($A98&lt;&gt;"",$O98=1,$L98="Débit",N($Q98)&gt;0,$A98&gt;=Visualisation!$B$1,$A98&lt;Visualisation!$D$1),MAX($V$1:V97)+1,"")</f>
        <v/>
      </c>
    </row>
    <row r="99" spans="1:22" x14ac:dyDescent="0.25">
      <c r="A99" s="9">
        <v>45599</v>
      </c>
      <c r="B99" s="4" t="s">
        <v>74</v>
      </c>
      <c r="C99" s="4" t="s">
        <v>75</v>
      </c>
      <c r="D99" s="4" t="s">
        <v>74</v>
      </c>
      <c r="E99" s="10">
        <v>88.8</v>
      </c>
      <c r="G99" s="4"/>
      <c r="H99" s="4"/>
      <c r="I99" s="4"/>
      <c r="K99" s="11">
        <f>IF($E99="","",ROUND($E99*IF(ISNA(MATCH($C99,'Paramètres'!$D:$D,0)),1,IF(INDEX('Paramètres'!$J:$J,MATCH($C99,'Paramètres'!$D:$D,0))="",1,INDEX('Paramètres'!$J:$J,MATCH($C99,'Paramètres'!$D:$D,0)))),2))</f>
        <v>88.8</v>
      </c>
      <c r="L99" s="6" t="str">
        <f>IF($D99="","",IF($F99&lt;&gt;"",$F99,IF(ISNA(MATCH($D99,'Paramètres'!$M:$M,0)),"⚠ Type inconnu",IFERROR(INDEX('Paramètres'!$P:$P,MATCH($D99,'Paramètres'!$M:$M,0))&amp;"",""))))</f>
        <v>Débit</v>
      </c>
      <c r="M99" s="6" t="str">
        <f>IF($D99="","",IF(ISNA(MATCH($D99,'Paramètres'!$M:$M,0)),"⚠ Type inconnu",IF($L99="Crédit","",IFERROR(INDEX('Paramètres'!$O:$O,MATCH($D99,'Paramètres'!$M:$M,0))&amp;"",""))))</f>
        <v>Dépense Fixe</v>
      </c>
      <c r="N99" s="6" t="str">
        <f>IF($D99="","",IFERROR(INDEX('Paramètres'!$Q:$Q,MATCH($D99,'Paramètres'!$M:$M,0))&amp;"",""))</f>
        <v>Transport</v>
      </c>
      <c r="O99" s="6">
        <f>IF($A99="","",IF(OR($J99&lt;&gt;"x",$A99&lt;=FinReleve),1,0))</f>
        <v>1</v>
      </c>
      <c r="P99" s="6">
        <f>IF($D99="","",IF(AND($L99="Crédit",OR(IFERROR(INDEX('Paramètres'!$O:$O,MATCH($D99,'Paramètres'!$M:$M,0))&amp;"","")&lt;&gt;"",ISNUMBER(SEARCH("remboursement",IFERROR(INDEX('Paramètres'!$N:$N,MATCH($D99,'Paramètres'!$M:$M,0))&amp;"",""))))),1,0))</f>
        <v>0</v>
      </c>
      <c r="Q99" s="6">
        <f>IF($K99="","",IF(ISNUMBER(SEARCH("transfert-interne",IFERROR(INDEX('Paramètres'!$N:$N,MATCH($D99,'Paramètres'!$M:$M,0))&amp;"",""))),0,IF($L99="Débit",$K99,IF($P99=1,-$K99,0))))</f>
        <v>88.8</v>
      </c>
      <c r="R99" s="6">
        <f>IF($K99="","",IF($L99="Crédit",$K99,-$K99))</f>
        <v>-88.8</v>
      </c>
      <c r="S99" s="6" t="str">
        <f>IF($C99="","",IFERROR(INDEX('Paramètres'!$H:$H,MATCH($C99,'Paramètres'!$D:$D,0))&amp;"",""))</f>
        <v/>
      </c>
      <c r="T99" s="6">
        <f>IF($K99="","",IF($S99="",0,IF(ISNUMBER(SEARCH("apport-exterieur",IFERROR(INDEX('Paramètres'!$N:$N,MATCH($D99,'Paramètres'!$M:$M,0))&amp;"",""))),0,IF(OR(IFERROR(INDEX('Paramètres'!$I:$I,MATCH($C99,'Paramètres'!$D:$D,0))&amp;"","")="Les deux",IFERROR(INDEX('Paramètres'!$I:$I,MATCH($C99,'Paramètres'!$D:$D,0))&amp;"","")=IF($P99=1,"Débit",$L99)),-IF($P99=1,-$K99,$K99),0))))</f>
        <v>0</v>
      </c>
      <c r="U99" s="6">
        <f>IF($K99="","",IF(ISNUMBER(SEARCH("sortie-epargne",IFERROR(INDEX('Paramètres'!$N:$N,MATCH($D99,'Paramètres'!$M:$M,0))&amp;"",""))),$K99,0))</f>
        <v>0</v>
      </c>
      <c r="V99" s="6" t="str">
        <f>IF(AND($A99&lt;&gt;"",$O99=1,$L99="Débit",N($Q99)&gt;0,$A99&gt;=Visualisation!$B$1,$A99&lt;Visualisation!$D$1),MAX($V$1:V98)+1,"")</f>
        <v/>
      </c>
    </row>
    <row r="100" spans="1:22" x14ac:dyDescent="0.25">
      <c r="A100" s="9">
        <v>45600</v>
      </c>
      <c r="B100" s="4" t="s">
        <v>69</v>
      </c>
      <c r="C100" s="4" t="s">
        <v>70</v>
      </c>
      <c r="D100" s="4" t="s">
        <v>71</v>
      </c>
      <c r="E100" s="10">
        <v>12.46</v>
      </c>
      <c r="G100" s="4" t="s">
        <v>72</v>
      </c>
      <c r="H100" s="4"/>
      <c r="I100" s="4"/>
      <c r="K100" s="11">
        <f>IF($E100="","",ROUND($E100*IF(ISNA(MATCH($C100,'Paramètres'!$D:$D,0)),1,IF(INDEX('Paramètres'!$J:$J,MATCH($C100,'Paramètres'!$D:$D,0))="",1,INDEX('Paramètres'!$J:$J,MATCH($C100,'Paramètres'!$D:$D,0)))),2))</f>
        <v>12.46</v>
      </c>
      <c r="L100" s="6" t="str">
        <f>IF($D100="","",IF($F100&lt;&gt;"",$F100,IF(ISNA(MATCH($D100,'Paramètres'!$M:$M,0)),"⚠ Type inconnu",IFERROR(INDEX('Paramètres'!$P:$P,MATCH($D100,'Paramètres'!$M:$M,0))&amp;"",""))))</f>
        <v>Débit</v>
      </c>
      <c r="M100" s="6" t="str">
        <f>IF($D100="","",IF(ISNA(MATCH($D100,'Paramètres'!$M:$M,0)),"⚠ Type inconnu",IF($L100="Crédit","",IFERROR(INDEX('Paramètres'!$O:$O,MATCH($D100,'Paramètres'!$M:$M,0))&amp;"",""))))</f>
        <v>Dépense Courante</v>
      </c>
      <c r="N100" s="6" t="str">
        <f>IF($D100="","",IFERROR(INDEX('Paramètres'!$Q:$Q,MATCH($D100,'Paramètres'!$M:$M,0))&amp;"",""))</f>
        <v>Alimentation</v>
      </c>
      <c r="O100" s="6">
        <f>IF($A100="","",IF(OR($J100&lt;&gt;"x",$A100&lt;=FinReleve),1,0))</f>
        <v>1</v>
      </c>
      <c r="P100" s="6">
        <f>IF($D100="","",IF(AND($L100="Crédit",OR(IFERROR(INDEX('Paramètres'!$O:$O,MATCH($D100,'Paramètres'!$M:$M,0))&amp;"","")&lt;&gt;"",ISNUMBER(SEARCH("remboursement",IFERROR(INDEX('Paramètres'!$N:$N,MATCH($D100,'Paramètres'!$M:$M,0))&amp;"",""))))),1,0))</f>
        <v>0</v>
      </c>
      <c r="Q100" s="6">
        <f>IF($K100="","",IF(ISNUMBER(SEARCH("transfert-interne",IFERROR(INDEX('Paramètres'!$N:$N,MATCH($D100,'Paramètres'!$M:$M,0))&amp;"",""))),0,IF($L100="Débit",$K100,IF($P100=1,-$K100,0))))</f>
        <v>12.46</v>
      </c>
      <c r="R100" s="6">
        <f>IF($K100="","",IF($L100="Crédit",$K100,-$K100))</f>
        <v>-12.46</v>
      </c>
      <c r="S100" s="6" t="str">
        <f>IF($C100="","",IFERROR(INDEX('Paramètres'!$H:$H,MATCH($C100,'Paramètres'!$D:$D,0))&amp;"",""))</f>
        <v/>
      </c>
      <c r="T100" s="6">
        <f>IF($K100="","",IF($S100="",0,IF(ISNUMBER(SEARCH("apport-exterieur",IFERROR(INDEX('Paramètres'!$N:$N,MATCH($D100,'Paramètres'!$M:$M,0))&amp;"",""))),0,IF(OR(IFERROR(INDEX('Paramètres'!$I:$I,MATCH($C100,'Paramètres'!$D:$D,0))&amp;"","")="Les deux",IFERROR(INDEX('Paramètres'!$I:$I,MATCH($C100,'Paramètres'!$D:$D,0))&amp;"","")=IF($P100=1,"Débit",$L100)),-IF($P100=1,-$K100,$K100),0))))</f>
        <v>0</v>
      </c>
      <c r="U100" s="6">
        <f>IF($K100="","",IF(ISNUMBER(SEARCH("sortie-epargne",IFERROR(INDEX('Paramètres'!$N:$N,MATCH($D100,'Paramètres'!$M:$M,0))&amp;"",""))),$K100,0))</f>
        <v>0</v>
      </c>
      <c r="V100" s="6" t="str">
        <f>IF(AND($A100&lt;&gt;"",$O100=1,$L100="Débit",N($Q100)&gt;0,$A100&gt;=Visualisation!$B$1,$A100&lt;Visualisation!$D$1),MAX($V$1:V99)+1,"")</f>
        <v/>
      </c>
    </row>
    <row r="101" spans="1:22" x14ac:dyDescent="0.25">
      <c r="A101" s="9">
        <v>45600</v>
      </c>
      <c r="B101" s="4" t="s">
        <v>59</v>
      </c>
      <c r="C101" s="4" t="s">
        <v>60</v>
      </c>
      <c r="D101" s="4" t="s">
        <v>59</v>
      </c>
      <c r="E101" s="10">
        <v>126.36</v>
      </c>
      <c r="G101" s="4" t="s">
        <v>128</v>
      </c>
      <c r="H101" s="4"/>
      <c r="I101" s="4" t="s">
        <v>63</v>
      </c>
      <c r="K101" s="11">
        <f>IF($E101="","",ROUND($E101*IF(ISNA(MATCH($C101,'Paramètres'!$D:$D,0)),1,IF(INDEX('Paramètres'!$J:$J,MATCH($C101,'Paramètres'!$D:$D,0))="",1,INDEX('Paramètres'!$J:$J,MATCH($C101,'Paramètres'!$D:$D,0)))),2))</f>
        <v>63.18</v>
      </c>
      <c r="L101" s="6" t="str">
        <f>IF($D101="","",IF($F101&lt;&gt;"",$F101,IF(ISNA(MATCH($D101,'Paramètres'!$M:$M,0)),"⚠ Type inconnu",IFERROR(INDEX('Paramètres'!$P:$P,MATCH($D101,'Paramètres'!$M:$M,0))&amp;"",""))))</f>
        <v>Débit</v>
      </c>
      <c r="M101" s="6" t="str">
        <f>IF($D101="","",IF(ISNA(MATCH($D101,'Paramètres'!$M:$M,0)),"⚠ Type inconnu",IF($L101="Crédit","",IFERROR(INDEX('Paramètres'!$O:$O,MATCH($D101,'Paramètres'!$M:$M,0))&amp;"",""))))</f>
        <v>Dépense Occasionnelle</v>
      </c>
      <c r="N101" s="6" t="str">
        <f>IF($D101="","",IFERROR(INDEX('Paramètres'!$Q:$Q,MATCH($D101,'Paramètres'!$M:$M,0))&amp;"",""))</f>
        <v>Loisir</v>
      </c>
      <c r="O101" s="6">
        <f>IF($A101="","",IF(OR($J101&lt;&gt;"x",$A101&lt;=FinReleve),1,0))</f>
        <v>1</v>
      </c>
      <c r="P101" s="6">
        <f>IF($D101="","",IF(AND($L101="Crédit",OR(IFERROR(INDEX('Paramètres'!$O:$O,MATCH($D101,'Paramètres'!$M:$M,0))&amp;"","")&lt;&gt;"",ISNUMBER(SEARCH("remboursement",IFERROR(INDEX('Paramètres'!$N:$N,MATCH($D101,'Paramètres'!$M:$M,0))&amp;"",""))))),1,0))</f>
        <v>0</v>
      </c>
      <c r="Q101" s="6">
        <f>IF($K101="","",IF(ISNUMBER(SEARCH("transfert-interne",IFERROR(INDEX('Paramètres'!$N:$N,MATCH($D101,'Paramètres'!$M:$M,0))&amp;"",""))),0,IF($L101="Débit",$K101,IF($P101=1,-$K101,0))))</f>
        <v>63.18</v>
      </c>
      <c r="R101" s="6">
        <f>IF($K101="","",IF($L101="Crédit",$K101,-$K101))</f>
        <v>-63.18</v>
      </c>
      <c r="S101" s="6" t="str">
        <f>IF($C101="","",IFERROR(INDEX('Paramètres'!$H:$H,MATCH($C101,'Paramètres'!$D:$D,0))&amp;"",""))</f>
        <v>Banque A - Courant</v>
      </c>
      <c r="T101" s="6">
        <f>IF($K101="","",IF($S101="",0,IF(ISNUMBER(SEARCH("apport-exterieur",IFERROR(INDEX('Paramètres'!$N:$N,MATCH($D101,'Paramètres'!$M:$M,0))&amp;"",""))),0,IF(OR(IFERROR(INDEX('Paramètres'!$I:$I,MATCH($C101,'Paramètres'!$D:$D,0))&amp;"","")="Les deux",IFERROR(INDEX('Paramètres'!$I:$I,MATCH($C101,'Paramètres'!$D:$D,0))&amp;"","")=IF($P101=1,"Débit",$L101)),-IF($P101=1,-$K101,$K101),0))))</f>
        <v>-63.18</v>
      </c>
      <c r="U101" s="6">
        <f>IF($K101="","",IF(ISNUMBER(SEARCH("sortie-epargne",IFERROR(INDEX('Paramètres'!$N:$N,MATCH($D101,'Paramètres'!$M:$M,0))&amp;"",""))),$K101,0))</f>
        <v>0</v>
      </c>
      <c r="V101" s="6" t="str">
        <f>IF(AND($A101&lt;&gt;"",$O101=1,$L101="Débit",N($Q101)&gt;0,$A101&gt;=Visualisation!$B$1,$A101&lt;Visualisation!$D$1),MAX($V$1:V100)+1,"")</f>
        <v/>
      </c>
    </row>
    <row r="102" spans="1:22" x14ac:dyDescent="0.25">
      <c r="A102" s="9">
        <v>45600</v>
      </c>
      <c r="B102" s="4" t="s">
        <v>80</v>
      </c>
      <c r="C102" s="4" t="s">
        <v>70</v>
      </c>
      <c r="D102" s="4" t="s">
        <v>81</v>
      </c>
      <c r="E102" s="10">
        <v>118.76</v>
      </c>
      <c r="G102" s="4"/>
      <c r="H102" s="4"/>
      <c r="I102" s="4"/>
      <c r="K102" s="11">
        <f>IF($E102="","",ROUND($E102*IF(ISNA(MATCH($C102,'Paramètres'!$D:$D,0)),1,IF(INDEX('Paramètres'!$J:$J,MATCH($C102,'Paramètres'!$D:$D,0))="",1,INDEX('Paramètres'!$J:$J,MATCH($C102,'Paramètres'!$D:$D,0)))),2))</f>
        <v>118.76</v>
      </c>
      <c r="L102" s="6" t="str">
        <f>IF($D102="","",IF($F102&lt;&gt;"",$F102,IF(ISNA(MATCH($D102,'Paramètres'!$M:$M,0)),"⚠ Type inconnu",IFERROR(INDEX('Paramètres'!$P:$P,MATCH($D102,'Paramètres'!$M:$M,0))&amp;"",""))))</f>
        <v>Crédit</v>
      </c>
      <c r="M102" s="6" t="str">
        <f>IF($D102="","",IF(ISNA(MATCH($D102,'Paramètres'!$M:$M,0)),"⚠ Type inconnu",IF($L102="Crédit","",IFERROR(INDEX('Paramètres'!$O:$O,MATCH($D102,'Paramètres'!$M:$M,0))&amp;"",""))))</f>
        <v/>
      </c>
      <c r="N102" s="6" t="str">
        <f>IF($D102="","",IFERROR(INDEX('Paramètres'!$Q:$Q,MATCH($D102,'Paramètres'!$M:$M,0))&amp;"",""))</f>
        <v>Comptes Bancaires</v>
      </c>
      <c r="O102" s="6">
        <f>IF($A102="","",IF(OR($J102&lt;&gt;"x",$A102&lt;=FinReleve),1,0))</f>
        <v>1</v>
      </c>
      <c r="P102" s="6">
        <f>IF($D102="","",IF(AND($L102="Crédit",OR(IFERROR(INDEX('Paramètres'!$O:$O,MATCH($D102,'Paramètres'!$M:$M,0))&amp;"","")&lt;&gt;"",ISNUMBER(SEARCH("remboursement",IFERROR(INDEX('Paramètres'!$N:$N,MATCH($D102,'Paramètres'!$M:$M,0))&amp;"",""))))),1,0))</f>
        <v>0</v>
      </c>
      <c r="Q102" s="6">
        <f>IF($K102="","",IF(ISNUMBER(SEARCH("transfert-interne",IFERROR(INDEX('Paramètres'!$N:$N,MATCH($D102,'Paramètres'!$M:$M,0))&amp;"",""))),0,IF($L102="Débit",$K102,IF($P102=1,-$K102,0))))</f>
        <v>0</v>
      </c>
      <c r="R102" s="6">
        <f>IF($K102="","",IF($L102="Crédit",$K102,-$K102))</f>
        <v>118.76</v>
      </c>
      <c r="S102" s="6" t="str">
        <f>IF($C102="","",IFERROR(INDEX('Paramètres'!$H:$H,MATCH($C102,'Paramètres'!$D:$D,0))&amp;"",""))</f>
        <v/>
      </c>
      <c r="T102" s="6">
        <f>IF($K102="","",IF($S102="",0,IF(ISNUMBER(SEARCH("apport-exterieur",IFERROR(INDEX('Paramètres'!$N:$N,MATCH($D102,'Paramètres'!$M:$M,0))&amp;"",""))),0,IF(OR(IFERROR(INDEX('Paramètres'!$I:$I,MATCH($C102,'Paramètres'!$D:$D,0))&amp;"","")="Les deux",IFERROR(INDEX('Paramètres'!$I:$I,MATCH($C102,'Paramètres'!$D:$D,0))&amp;"","")=IF($P102=1,"Débit",$L102)),-IF($P102=1,-$K102,$K102),0))))</f>
        <v>0</v>
      </c>
      <c r="U102" s="6">
        <f>IF($K102="","",IF(ISNUMBER(SEARCH("sortie-epargne",IFERROR(INDEX('Paramètres'!$N:$N,MATCH($D102,'Paramètres'!$M:$M,0))&amp;"",""))),$K102,0))</f>
        <v>0</v>
      </c>
      <c r="V102" s="6" t="str">
        <f>IF(AND($A102&lt;&gt;"",$O102=1,$L102="Débit",N($Q102)&gt;0,$A102&gt;=Visualisation!$B$1,$A102&lt;Visualisation!$D$1),MAX($V$1:V101)+1,"")</f>
        <v/>
      </c>
    </row>
    <row r="103" spans="1:22" x14ac:dyDescent="0.25">
      <c r="A103" s="9">
        <v>45601</v>
      </c>
      <c r="B103" s="4" t="s">
        <v>82</v>
      </c>
      <c r="C103" s="4" t="s">
        <v>65</v>
      </c>
      <c r="D103" s="4" t="s">
        <v>83</v>
      </c>
      <c r="E103" s="10">
        <v>647.45</v>
      </c>
      <c r="G103" s="4" t="s">
        <v>84</v>
      </c>
      <c r="H103" s="4"/>
      <c r="I103" s="4"/>
      <c r="K103" s="11">
        <f>IF($E103="","",ROUND($E103*IF(ISNA(MATCH($C103,'Paramètres'!$D:$D,0)),1,IF(INDEX('Paramètres'!$J:$J,MATCH($C103,'Paramètres'!$D:$D,0))="",1,INDEX('Paramètres'!$J:$J,MATCH($C103,'Paramètres'!$D:$D,0)))),2))</f>
        <v>647.45</v>
      </c>
      <c r="L103" s="6" t="str">
        <f>IF($D103="","",IF($F103&lt;&gt;"",$F103,IF(ISNA(MATCH($D103,'Paramètres'!$M:$M,0)),"⚠ Type inconnu",IFERROR(INDEX('Paramètres'!$P:$P,MATCH($D103,'Paramètres'!$M:$M,0))&amp;"",""))))</f>
        <v>Débit</v>
      </c>
      <c r="M103" s="6" t="str">
        <f>IF($D103="","",IF(ISNA(MATCH($D103,'Paramètres'!$M:$M,0)),"⚠ Type inconnu",IF($L103="Crédit","",IFERROR(INDEX('Paramètres'!$O:$O,MATCH($D103,'Paramètres'!$M:$M,0))&amp;"",""))))</f>
        <v/>
      </c>
      <c r="N103" s="6" t="str">
        <f>IF($D103="","",IFERROR(INDEX('Paramètres'!$Q:$Q,MATCH($D103,'Paramètres'!$M:$M,0))&amp;"",""))</f>
        <v>Immobilier</v>
      </c>
      <c r="O103" s="6">
        <f>IF($A103="","",IF(OR($J103&lt;&gt;"x",$A103&lt;=FinReleve),1,0))</f>
        <v>1</v>
      </c>
      <c r="P103" s="6">
        <f>IF($D103="","",IF(AND($L103="Crédit",OR(IFERROR(INDEX('Paramètres'!$O:$O,MATCH($D103,'Paramètres'!$M:$M,0))&amp;"","")&lt;&gt;"",ISNUMBER(SEARCH("remboursement",IFERROR(INDEX('Paramètres'!$N:$N,MATCH($D103,'Paramètres'!$M:$M,0))&amp;"",""))))),1,0))</f>
        <v>0</v>
      </c>
      <c r="Q103" s="6">
        <f>IF($K103="","",IF(ISNUMBER(SEARCH("transfert-interne",IFERROR(INDEX('Paramètres'!$N:$N,MATCH($D103,'Paramètres'!$M:$M,0))&amp;"",""))),0,IF($L103="Débit",$K103,IF($P103=1,-$K103,0))))</f>
        <v>647.45</v>
      </c>
      <c r="R103" s="6">
        <f>IF($K103="","",IF($L103="Crédit",$K103,-$K103))</f>
        <v>-647.45</v>
      </c>
      <c r="S103" s="6" t="str">
        <f>IF($C103="","",IFERROR(INDEX('Paramètres'!$H:$H,MATCH($C103,'Paramètres'!$D:$D,0))&amp;"",""))</f>
        <v>Banque A - Courant</v>
      </c>
      <c r="T103" s="6">
        <f>IF($K103="","",IF($S103="",0,IF(ISNUMBER(SEARCH("apport-exterieur",IFERROR(INDEX('Paramètres'!$N:$N,MATCH($D103,'Paramètres'!$M:$M,0))&amp;"",""))),0,IF(OR(IFERROR(INDEX('Paramètres'!$I:$I,MATCH($C103,'Paramètres'!$D:$D,0))&amp;"","")="Les deux",IFERROR(INDEX('Paramètres'!$I:$I,MATCH($C103,'Paramètres'!$D:$D,0))&amp;"","")=IF($P103=1,"Débit",$L103)),-IF($P103=1,-$K103,$K103),0))))</f>
        <v>0</v>
      </c>
      <c r="U103" s="6">
        <f>IF($K103="","",IF(ISNUMBER(SEARCH("sortie-epargne",IFERROR(INDEX('Paramètres'!$N:$N,MATCH($D103,'Paramètres'!$M:$M,0))&amp;"",""))),$K103,0))</f>
        <v>0</v>
      </c>
      <c r="V103" s="6" t="str">
        <f>IF(AND($A103&lt;&gt;"",$O103=1,$L103="Débit",N($Q103)&gt;0,$A103&gt;=Visualisation!$B$1,$A103&lt;Visualisation!$D$1),MAX($V$1:V102)+1,"")</f>
        <v/>
      </c>
    </row>
    <row r="104" spans="1:22" x14ac:dyDescent="0.25">
      <c r="A104" s="9">
        <v>45601</v>
      </c>
      <c r="B104" s="4" t="s">
        <v>85</v>
      </c>
      <c r="C104" s="4" t="s">
        <v>65</v>
      </c>
      <c r="D104" s="4" t="s">
        <v>86</v>
      </c>
      <c r="E104" s="10">
        <v>246.19</v>
      </c>
      <c r="G104" s="4" t="s">
        <v>87</v>
      </c>
      <c r="H104" s="4"/>
      <c r="I104" s="4"/>
      <c r="K104" s="11">
        <f>IF($E104="","",ROUND($E104*IF(ISNA(MATCH($C104,'Paramètres'!$D:$D,0)),1,IF(INDEX('Paramètres'!$J:$J,MATCH($C104,'Paramètres'!$D:$D,0))="",1,INDEX('Paramètres'!$J:$J,MATCH($C104,'Paramètres'!$D:$D,0)))),2))</f>
        <v>246.19</v>
      </c>
      <c r="L104" s="6" t="str">
        <f>IF($D104="","",IF($F104&lt;&gt;"",$F104,IF(ISNA(MATCH($D104,'Paramètres'!$M:$M,0)),"⚠ Type inconnu",IFERROR(INDEX('Paramètres'!$P:$P,MATCH($D104,'Paramètres'!$M:$M,0))&amp;"",""))))</f>
        <v>Débit</v>
      </c>
      <c r="M104" s="6" t="str">
        <f>IF($D104="","",IF(ISNA(MATCH($D104,'Paramètres'!$M:$M,0)),"⚠ Type inconnu",IF($L104="Crédit","",IFERROR(INDEX('Paramètres'!$O:$O,MATCH($D104,'Paramètres'!$M:$M,0))&amp;"",""))))</f>
        <v>Dépense Fixe</v>
      </c>
      <c r="N104" s="6" t="str">
        <f>IF($D104="","",IFERROR(INDEX('Paramètres'!$Q:$Q,MATCH($D104,'Paramètres'!$M:$M,0))&amp;"",""))</f>
        <v>Immobilier</v>
      </c>
      <c r="O104" s="6">
        <f>IF($A104="","",IF(OR($J104&lt;&gt;"x",$A104&lt;=FinReleve),1,0))</f>
        <v>1</v>
      </c>
      <c r="P104" s="6">
        <f>IF($D104="","",IF(AND($L104="Crédit",OR(IFERROR(INDEX('Paramètres'!$O:$O,MATCH($D104,'Paramètres'!$M:$M,0))&amp;"","")&lt;&gt;"",ISNUMBER(SEARCH("remboursement",IFERROR(INDEX('Paramètres'!$N:$N,MATCH($D104,'Paramètres'!$M:$M,0))&amp;"",""))))),1,0))</f>
        <v>0</v>
      </c>
      <c r="Q104" s="6">
        <f>IF($K104="","",IF(ISNUMBER(SEARCH("transfert-interne",IFERROR(INDEX('Paramètres'!$N:$N,MATCH($D104,'Paramètres'!$M:$M,0))&amp;"",""))),0,IF($L104="Débit",$K104,IF($P104=1,-$K104,0))))</f>
        <v>246.19</v>
      </c>
      <c r="R104" s="6">
        <f>IF($K104="","",IF($L104="Crédit",$K104,-$K104))</f>
        <v>-246.19</v>
      </c>
      <c r="S104" s="6" t="str">
        <f>IF($C104="","",IFERROR(INDEX('Paramètres'!$H:$H,MATCH($C104,'Paramètres'!$D:$D,0))&amp;"",""))</f>
        <v>Banque A - Courant</v>
      </c>
      <c r="T104" s="6">
        <f>IF($K104="","",IF($S104="",0,IF(ISNUMBER(SEARCH("apport-exterieur",IFERROR(INDEX('Paramètres'!$N:$N,MATCH($D104,'Paramètres'!$M:$M,0))&amp;"",""))),0,IF(OR(IFERROR(INDEX('Paramètres'!$I:$I,MATCH($C104,'Paramètres'!$D:$D,0))&amp;"","")="Les deux",IFERROR(INDEX('Paramètres'!$I:$I,MATCH($C104,'Paramètres'!$D:$D,0))&amp;"","")=IF($P104=1,"Débit",$L104)),-IF($P104=1,-$K104,$K104),0))))</f>
        <v>0</v>
      </c>
      <c r="U104" s="6">
        <f>IF($K104="","",IF(ISNUMBER(SEARCH("sortie-epargne",IFERROR(INDEX('Paramètres'!$N:$N,MATCH($D104,'Paramètres'!$M:$M,0))&amp;"",""))),$K104,0))</f>
        <v>0</v>
      </c>
      <c r="V104" s="6" t="str">
        <f>IF(AND($A104&lt;&gt;"",$O104=1,$L104="Débit",N($Q104)&gt;0,$A104&gt;=Visualisation!$B$1,$A104&lt;Visualisation!$D$1),MAX($V$1:V103)+1,"")</f>
        <v/>
      </c>
    </row>
    <row r="105" spans="1:22" x14ac:dyDescent="0.25">
      <c r="A105" s="9">
        <v>45601</v>
      </c>
      <c r="B105" s="4" t="s">
        <v>88</v>
      </c>
      <c r="C105" s="4" t="s">
        <v>65</v>
      </c>
      <c r="D105" s="4" t="s">
        <v>88</v>
      </c>
      <c r="E105" s="10">
        <v>31.2</v>
      </c>
      <c r="G105" s="4"/>
      <c r="H105" s="4"/>
      <c r="I105" s="4"/>
      <c r="K105" s="11">
        <f>IF($E105="","",ROUND($E105*IF(ISNA(MATCH($C105,'Paramètres'!$D:$D,0)),1,IF(INDEX('Paramètres'!$J:$J,MATCH($C105,'Paramètres'!$D:$D,0))="",1,INDEX('Paramètres'!$J:$J,MATCH($C105,'Paramètres'!$D:$D,0)))),2))</f>
        <v>31.2</v>
      </c>
      <c r="L105" s="6" t="str">
        <f>IF($D105="","",IF($F105&lt;&gt;"",$F105,IF(ISNA(MATCH($D105,'Paramètres'!$M:$M,0)),"⚠ Type inconnu",IFERROR(INDEX('Paramètres'!$P:$P,MATCH($D105,'Paramètres'!$M:$M,0))&amp;"",""))))</f>
        <v>Débit</v>
      </c>
      <c r="M105" s="6" t="str">
        <f>IF($D105="","",IF(ISNA(MATCH($D105,'Paramètres'!$M:$M,0)),"⚠ Type inconnu",IF($L105="Crédit","",IFERROR(INDEX('Paramètres'!$O:$O,MATCH($D105,'Paramètres'!$M:$M,0))&amp;"",""))))</f>
        <v>Dépense Fixe</v>
      </c>
      <c r="N105" s="6" t="str">
        <f>IF($D105="","",IFERROR(INDEX('Paramètres'!$Q:$Q,MATCH($D105,'Paramètres'!$M:$M,0))&amp;"",""))</f>
        <v>Assurances</v>
      </c>
      <c r="O105" s="6">
        <f>IF($A105="","",IF(OR($J105&lt;&gt;"x",$A105&lt;=FinReleve),1,0))</f>
        <v>1</v>
      </c>
      <c r="P105" s="6">
        <f>IF($D105="","",IF(AND($L105="Crédit",OR(IFERROR(INDEX('Paramètres'!$O:$O,MATCH($D105,'Paramètres'!$M:$M,0))&amp;"","")&lt;&gt;"",ISNUMBER(SEARCH("remboursement",IFERROR(INDEX('Paramètres'!$N:$N,MATCH($D105,'Paramètres'!$M:$M,0))&amp;"",""))))),1,0))</f>
        <v>0</v>
      </c>
      <c r="Q105" s="6">
        <f>IF($K105="","",IF(ISNUMBER(SEARCH("transfert-interne",IFERROR(INDEX('Paramètres'!$N:$N,MATCH($D105,'Paramètres'!$M:$M,0))&amp;"",""))),0,IF($L105="Débit",$K105,IF($P105=1,-$K105,0))))</f>
        <v>31.2</v>
      </c>
      <c r="R105" s="6">
        <f>IF($K105="","",IF($L105="Crédit",$K105,-$K105))</f>
        <v>-31.2</v>
      </c>
      <c r="S105" s="6" t="str">
        <f>IF($C105="","",IFERROR(INDEX('Paramètres'!$H:$H,MATCH($C105,'Paramètres'!$D:$D,0))&amp;"",""))</f>
        <v>Banque A - Courant</v>
      </c>
      <c r="T105" s="6">
        <f>IF($K105="","",IF($S105="",0,IF(ISNUMBER(SEARCH("apport-exterieur",IFERROR(INDEX('Paramètres'!$N:$N,MATCH($D105,'Paramètres'!$M:$M,0))&amp;"",""))),0,IF(OR(IFERROR(INDEX('Paramètres'!$I:$I,MATCH($C105,'Paramètres'!$D:$D,0))&amp;"","")="Les deux",IFERROR(INDEX('Paramètres'!$I:$I,MATCH($C105,'Paramètres'!$D:$D,0))&amp;"","")=IF($P105=1,"Débit",$L105)),-IF($P105=1,-$K105,$K105),0))))</f>
        <v>0</v>
      </c>
      <c r="U105" s="6">
        <f>IF($K105="","",IF(ISNUMBER(SEARCH("sortie-epargne",IFERROR(INDEX('Paramètres'!$N:$N,MATCH($D105,'Paramètres'!$M:$M,0))&amp;"",""))),$K105,0))</f>
        <v>0</v>
      </c>
      <c r="V105" s="6" t="str">
        <f>IF(AND($A105&lt;&gt;"",$O105=1,$L105="Débit",N($Q105)&gt;0,$A105&gt;=Visualisation!$B$1,$A105&lt;Visualisation!$D$1),MAX($V$1:V104)+1,"")</f>
        <v/>
      </c>
    </row>
    <row r="106" spans="1:22" x14ac:dyDescent="0.25">
      <c r="A106" s="9">
        <v>45601</v>
      </c>
      <c r="B106" s="4" t="s">
        <v>69</v>
      </c>
      <c r="C106" s="4" t="s">
        <v>70</v>
      </c>
      <c r="D106" s="4" t="s">
        <v>71</v>
      </c>
      <c r="E106" s="10">
        <v>8.78</v>
      </c>
      <c r="G106" s="4" t="s">
        <v>72</v>
      </c>
      <c r="H106" s="4"/>
      <c r="I106" s="4" t="s">
        <v>79</v>
      </c>
      <c r="K106" s="11">
        <f>IF($E106="","",ROUND($E106*IF(ISNA(MATCH($C106,'Paramètres'!$D:$D,0)),1,IF(INDEX('Paramètres'!$J:$J,MATCH($C106,'Paramètres'!$D:$D,0))="",1,INDEX('Paramètres'!$J:$J,MATCH($C106,'Paramètres'!$D:$D,0)))),2))</f>
        <v>8.78</v>
      </c>
      <c r="L106" s="6" t="str">
        <f>IF($D106="","",IF($F106&lt;&gt;"",$F106,IF(ISNA(MATCH($D106,'Paramètres'!$M:$M,0)),"⚠ Type inconnu",IFERROR(INDEX('Paramètres'!$P:$P,MATCH($D106,'Paramètres'!$M:$M,0))&amp;"",""))))</f>
        <v>Débit</v>
      </c>
      <c r="M106" s="6" t="str">
        <f>IF($D106="","",IF(ISNA(MATCH($D106,'Paramètres'!$M:$M,0)),"⚠ Type inconnu",IF($L106="Crédit","",IFERROR(INDEX('Paramètres'!$O:$O,MATCH($D106,'Paramètres'!$M:$M,0))&amp;"",""))))</f>
        <v>Dépense Courante</v>
      </c>
      <c r="N106" s="6" t="str">
        <f>IF($D106="","",IFERROR(INDEX('Paramètres'!$Q:$Q,MATCH($D106,'Paramètres'!$M:$M,0))&amp;"",""))</f>
        <v>Alimentation</v>
      </c>
      <c r="O106" s="6">
        <f>IF($A106="","",IF(OR($J106&lt;&gt;"x",$A106&lt;=FinReleve),1,0))</f>
        <v>1</v>
      </c>
      <c r="P106" s="6">
        <f>IF($D106="","",IF(AND($L106="Crédit",OR(IFERROR(INDEX('Paramètres'!$O:$O,MATCH($D106,'Paramètres'!$M:$M,0))&amp;"","")&lt;&gt;"",ISNUMBER(SEARCH("remboursement",IFERROR(INDEX('Paramètres'!$N:$N,MATCH($D106,'Paramètres'!$M:$M,0))&amp;"",""))))),1,0))</f>
        <v>0</v>
      </c>
      <c r="Q106" s="6">
        <f>IF($K106="","",IF(ISNUMBER(SEARCH("transfert-interne",IFERROR(INDEX('Paramètres'!$N:$N,MATCH($D106,'Paramètres'!$M:$M,0))&amp;"",""))),0,IF($L106="Débit",$K106,IF($P106=1,-$K106,0))))</f>
        <v>8.78</v>
      </c>
      <c r="R106" s="6">
        <f>IF($K106="","",IF($L106="Crédit",$K106,-$K106))</f>
        <v>-8.78</v>
      </c>
      <c r="S106" s="6" t="str">
        <f>IF($C106="","",IFERROR(INDEX('Paramètres'!$H:$H,MATCH($C106,'Paramètres'!$D:$D,0))&amp;"",""))</f>
        <v/>
      </c>
      <c r="T106" s="6">
        <f>IF($K106="","",IF($S106="",0,IF(ISNUMBER(SEARCH("apport-exterieur",IFERROR(INDEX('Paramètres'!$N:$N,MATCH($D106,'Paramètres'!$M:$M,0))&amp;"",""))),0,IF(OR(IFERROR(INDEX('Paramètres'!$I:$I,MATCH($C106,'Paramètres'!$D:$D,0))&amp;"","")="Les deux",IFERROR(INDEX('Paramètres'!$I:$I,MATCH($C106,'Paramètres'!$D:$D,0))&amp;"","")=IF($P106=1,"Débit",$L106)),-IF($P106=1,-$K106,$K106),0))))</f>
        <v>0</v>
      </c>
      <c r="U106" s="6">
        <f>IF($K106="","",IF(ISNUMBER(SEARCH("sortie-epargne",IFERROR(INDEX('Paramètres'!$N:$N,MATCH($D106,'Paramètres'!$M:$M,0))&amp;"",""))),$K106,0))</f>
        <v>0</v>
      </c>
      <c r="V106" s="6" t="str">
        <f>IF(AND($A106&lt;&gt;"",$O106=1,$L106="Débit",N($Q106)&gt;0,$A106&gt;=Visualisation!$B$1,$A106&lt;Visualisation!$D$1),MAX($V$1:V105)+1,"")</f>
        <v/>
      </c>
    </row>
    <row r="107" spans="1:22" x14ac:dyDescent="0.25">
      <c r="A107" s="9">
        <v>45602</v>
      </c>
      <c r="B107" s="4" t="s">
        <v>89</v>
      </c>
      <c r="C107" s="4" t="s">
        <v>75</v>
      </c>
      <c r="D107" s="4" t="s">
        <v>89</v>
      </c>
      <c r="E107" s="10">
        <v>49.9</v>
      </c>
      <c r="G107" s="4"/>
      <c r="H107" s="4"/>
      <c r="I107" s="4"/>
      <c r="K107" s="11">
        <f>IF($E107="","",ROUND($E107*IF(ISNA(MATCH($C107,'Paramètres'!$D:$D,0)),1,IF(INDEX('Paramètres'!$J:$J,MATCH($C107,'Paramètres'!$D:$D,0))="",1,INDEX('Paramètres'!$J:$J,MATCH($C107,'Paramètres'!$D:$D,0)))),2))</f>
        <v>49.9</v>
      </c>
      <c r="L107" s="6" t="str">
        <f>IF($D107="","",IF($F107&lt;&gt;"",$F107,IF(ISNA(MATCH($D107,'Paramètres'!$M:$M,0)),"⚠ Type inconnu",IFERROR(INDEX('Paramètres'!$P:$P,MATCH($D107,'Paramètres'!$M:$M,0))&amp;"",""))))</f>
        <v>Débit</v>
      </c>
      <c r="M107" s="6" t="str">
        <f>IF($D107="","",IF(ISNA(MATCH($D107,'Paramètres'!$M:$M,0)),"⚠ Type inconnu",IF($L107="Crédit","",IFERROR(INDEX('Paramètres'!$O:$O,MATCH($D107,'Paramètres'!$M:$M,0))&amp;"",""))))</f>
        <v>Dépense Fixe</v>
      </c>
      <c r="N107" s="6" t="str">
        <f>IF($D107="","",IFERROR(INDEX('Paramètres'!$Q:$Q,MATCH($D107,'Paramètres'!$M:$M,0))&amp;"",""))</f>
        <v>Autre</v>
      </c>
      <c r="O107" s="6">
        <f>IF($A107="","",IF(OR($J107&lt;&gt;"x",$A107&lt;=FinReleve),1,0))</f>
        <v>1</v>
      </c>
      <c r="P107" s="6">
        <f>IF($D107="","",IF(AND($L107="Crédit",OR(IFERROR(INDEX('Paramètres'!$O:$O,MATCH($D107,'Paramètres'!$M:$M,0))&amp;"","")&lt;&gt;"",ISNUMBER(SEARCH("remboursement",IFERROR(INDEX('Paramètres'!$N:$N,MATCH($D107,'Paramètres'!$M:$M,0))&amp;"",""))))),1,0))</f>
        <v>0</v>
      </c>
      <c r="Q107" s="6">
        <f>IF($K107="","",IF(ISNUMBER(SEARCH("transfert-interne",IFERROR(INDEX('Paramètres'!$N:$N,MATCH($D107,'Paramètres'!$M:$M,0))&amp;"",""))),0,IF($L107="Débit",$K107,IF($P107=1,-$K107,0))))</f>
        <v>49.9</v>
      </c>
      <c r="R107" s="6">
        <f>IF($K107="","",IF($L107="Crédit",$K107,-$K107))</f>
        <v>-49.9</v>
      </c>
      <c r="S107" s="6" t="str">
        <f>IF($C107="","",IFERROR(INDEX('Paramètres'!$H:$H,MATCH($C107,'Paramètres'!$D:$D,0))&amp;"",""))</f>
        <v/>
      </c>
      <c r="T107" s="6">
        <f>IF($K107="","",IF($S107="",0,IF(ISNUMBER(SEARCH("apport-exterieur",IFERROR(INDEX('Paramètres'!$N:$N,MATCH($D107,'Paramètres'!$M:$M,0))&amp;"",""))),0,IF(OR(IFERROR(INDEX('Paramètres'!$I:$I,MATCH($C107,'Paramètres'!$D:$D,0))&amp;"","")="Les deux",IFERROR(INDEX('Paramètres'!$I:$I,MATCH($C107,'Paramètres'!$D:$D,0))&amp;"","")=IF($P107=1,"Débit",$L107)),-IF($P107=1,-$K107,$K107),0))))</f>
        <v>0</v>
      </c>
      <c r="U107" s="6">
        <f>IF($K107="","",IF(ISNUMBER(SEARCH("sortie-epargne",IFERROR(INDEX('Paramètres'!$N:$N,MATCH($D107,'Paramètres'!$M:$M,0))&amp;"",""))),$K107,0))</f>
        <v>0</v>
      </c>
      <c r="V107" s="6" t="str">
        <f>IF(AND($A107&lt;&gt;"",$O107=1,$L107="Débit",N($Q107)&gt;0,$A107&gt;=Visualisation!$B$1,$A107&lt;Visualisation!$D$1),MAX($V$1:V106)+1,"")</f>
        <v/>
      </c>
    </row>
    <row r="108" spans="1:22" x14ac:dyDescent="0.25">
      <c r="A108" s="9">
        <v>45602</v>
      </c>
      <c r="B108" s="4" t="s">
        <v>76</v>
      </c>
      <c r="C108" s="4" t="s">
        <v>60</v>
      </c>
      <c r="D108" s="4" t="s">
        <v>77</v>
      </c>
      <c r="E108" s="10">
        <v>88.8</v>
      </c>
      <c r="G108" s="4" t="s">
        <v>98</v>
      </c>
      <c r="H108" s="4"/>
      <c r="I108" s="4" t="s">
        <v>73</v>
      </c>
      <c r="K108" s="11">
        <f>IF($E108="","",ROUND($E108*IF(ISNA(MATCH($C108,'Paramètres'!$D:$D,0)),1,IF(INDEX('Paramètres'!$J:$J,MATCH($C108,'Paramètres'!$D:$D,0))="",1,INDEX('Paramètres'!$J:$J,MATCH($C108,'Paramètres'!$D:$D,0)))),2))</f>
        <v>44.4</v>
      </c>
      <c r="L108" s="6" t="str">
        <f>IF($D108="","",IF($F108&lt;&gt;"",$F108,IF(ISNA(MATCH($D108,'Paramètres'!$M:$M,0)),"⚠ Type inconnu",IFERROR(INDEX('Paramètres'!$P:$P,MATCH($D108,'Paramètres'!$M:$M,0))&amp;"",""))))</f>
        <v>Débit</v>
      </c>
      <c r="M108" s="6" t="str">
        <f>IF($D108="","",IF(ISNA(MATCH($D108,'Paramètres'!$M:$M,0)),"⚠ Type inconnu",IF($L108="Crédit","",IFERROR(INDEX('Paramètres'!$O:$O,MATCH($D108,'Paramètres'!$M:$M,0))&amp;"",""))))</f>
        <v>Dépense Courante</v>
      </c>
      <c r="N108" s="6" t="str">
        <f>IF($D108="","",IFERROR(INDEX('Paramètres'!$Q:$Q,MATCH($D108,'Paramètres'!$M:$M,0))&amp;"",""))</f>
        <v>Alimentation</v>
      </c>
      <c r="O108" s="6">
        <f>IF($A108="","",IF(OR($J108&lt;&gt;"x",$A108&lt;=FinReleve),1,0))</f>
        <v>1</v>
      </c>
      <c r="P108" s="6">
        <f>IF($D108="","",IF(AND($L108="Crédit",OR(IFERROR(INDEX('Paramètres'!$O:$O,MATCH($D108,'Paramètres'!$M:$M,0))&amp;"","")&lt;&gt;"",ISNUMBER(SEARCH("remboursement",IFERROR(INDEX('Paramètres'!$N:$N,MATCH($D108,'Paramètres'!$M:$M,0))&amp;"",""))))),1,0))</f>
        <v>0</v>
      </c>
      <c r="Q108" s="6">
        <f>IF($K108="","",IF(ISNUMBER(SEARCH("transfert-interne",IFERROR(INDEX('Paramètres'!$N:$N,MATCH($D108,'Paramètres'!$M:$M,0))&amp;"",""))),0,IF($L108="Débit",$K108,IF($P108=1,-$K108,0))))</f>
        <v>44.4</v>
      </c>
      <c r="R108" s="6">
        <f>IF($K108="","",IF($L108="Crédit",$K108,-$K108))</f>
        <v>-44.4</v>
      </c>
      <c r="S108" s="6" t="str">
        <f>IF($C108="","",IFERROR(INDEX('Paramètres'!$H:$H,MATCH($C108,'Paramètres'!$D:$D,0))&amp;"",""))</f>
        <v>Banque A - Courant</v>
      </c>
      <c r="T108" s="6">
        <f>IF($K108="","",IF($S108="",0,IF(ISNUMBER(SEARCH("apport-exterieur",IFERROR(INDEX('Paramètres'!$N:$N,MATCH($D108,'Paramètres'!$M:$M,0))&amp;"",""))),0,IF(OR(IFERROR(INDEX('Paramètres'!$I:$I,MATCH($C108,'Paramètres'!$D:$D,0))&amp;"","")="Les deux",IFERROR(INDEX('Paramètres'!$I:$I,MATCH($C108,'Paramètres'!$D:$D,0))&amp;"","")=IF($P108=1,"Débit",$L108)),-IF($P108=1,-$K108,$K108),0))))</f>
        <v>-44.4</v>
      </c>
      <c r="U108" s="6">
        <f>IF($K108="","",IF(ISNUMBER(SEARCH("sortie-epargne",IFERROR(INDEX('Paramètres'!$N:$N,MATCH($D108,'Paramètres'!$M:$M,0))&amp;"",""))),$K108,0))</f>
        <v>0</v>
      </c>
      <c r="V108" s="6" t="str">
        <f>IF(AND($A108&lt;&gt;"",$O108=1,$L108="Débit",N($Q108)&gt;0,$A108&gt;=Visualisation!$B$1,$A108&lt;Visualisation!$D$1),MAX($V$1:V107)+1,"")</f>
        <v/>
      </c>
    </row>
    <row r="109" spans="1:22" x14ac:dyDescent="0.25">
      <c r="A109" s="9">
        <v>45602</v>
      </c>
      <c r="B109" s="4" t="s">
        <v>76</v>
      </c>
      <c r="C109" s="4" t="s">
        <v>60</v>
      </c>
      <c r="D109" s="4" t="s">
        <v>77</v>
      </c>
      <c r="E109" s="10">
        <v>110.42</v>
      </c>
      <c r="G109" s="4" t="s">
        <v>98</v>
      </c>
      <c r="H109" s="4"/>
      <c r="I109" s="4" t="s">
        <v>63</v>
      </c>
      <c r="K109" s="11">
        <f>IF($E109="","",ROUND($E109*IF(ISNA(MATCH($C109,'Paramètres'!$D:$D,0)),1,IF(INDEX('Paramètres'!$J:$J,MATCH($C109,'Paramètres'!$D:$D,0))="",1,INDEX('Paramètres'!$J:$J,MATCH($C109,'Paramètres'!$D:$D,0)))),2))</f>
        <v>55.21</v>
      </c>
      <c r="L109" s="6" t="str">
        <f>IF($D109="","",IF($F109&lt;&gt;"",$F109,IF(ISNA(MATCH($D109,'Paramètres'!$M:$M,0)),"⚠ Type inconnu",IFERROR(INDEX('Paramètres'!$P:$P,MATCH($D109,'Paramètres'!$M:$M,0))&amp;"",""))))</f>
        <v>Débit</v>
      </c>
      <c r="M109" s="6" t="str">
        <f>IF($D109="","",IF(ISNA(MATCH($D109,'Paramètres'!$M:$M,0)),"⚠ Type inconnu",IF($L109="Crédit","",IFERROR(INDEX('Paramètres'!$O:$O,MATCH($D109,'Paramètres'!$M:$M,0))&amp;"",""))))</f>
        <v>Dépense Courante</v>
      </c>
      <c r="N109" s="6" t="str">
        <f>IF($D109="","",IFERROR(INDEX('Paramètres'!$Q:$Q,MATCH($D109,'Paramètres'!$M:$M,0))&amp;"",""))</f>
        <v>Alimentation</v>
      </c>
      <c r="O109" s="6">
        <f>IF($A109="","",IF(OR($J109&lt;&gt;"x",$A109&lt;=FinReleve),1,0))</f>
        <v>1</v>
      </c>
      <c r="P109" s="6">
        <f>IF($D109="","",IF(AND($L109="Crédit",OR(IFERROR(INDEX('Paramètres'!$O:$O,MATCH($D109,'Paramètres'!$M:$M,0))&amp;"","")&lt;&gt;"",ISNUMBER(SEARCH("remboursement",IFERROR(INDEX('Paramètres'!$N:$N,MATCH($D109,'Paramètres'!$M:$M,0))&amp;"",""))))),1,0))</f>
        <v>0</v>
      </c>
      <c r="Q109" s="6">
        <f>IF($K109="","",IF(ISNUMBER(SEARCH("transfert-interne",IFERROR(INDEX('Paramètres'!$N:$N,MATCH($D109,'Paramètres'!$M:$M,0))&amp;"",""))),0,IF($L109="Débit",$K109,IF($P109=1,-$K109,0))))</f>
        <v>55.21</v>
      </c>
      <c r="R109" s="6">
        <f>IF($K109="","",IF($L109="Crédit",$K109,-$K109))</f>
        <v>-55.21</v>
      </c>
      <c r="S109" s="6" t="str">
        <f>IF($C109="","",IFERROR(INDEX('Paramètres'!$H:$H,MATCH($C109,'Paramètres'!$D:$D,0))&amp;"",""))</f>
        <v>Banque A - Courant</v>
      </c>
      <c r="T109" s="6">
        <f>IF($K109="","",IF($S109="",0,IF(ISNUMBER(SEARCH("apport-exterieur",IFERROR(INDEX('Paramètres'!$N:$N,MATCH($D109,'Paramètres'!$M:$M,0))&amp;"",""))),0,IF(OR(IFERROR(INDEX('Paramètres'!$I:$I,MATCH($C109,'Paramètres'!$D:$D,0))&amp;"","")="Les deux",IFERROR(INDEX('Paramètres'!$I:$I,MATCH($C109,'Paramètres'!$D:$D,0))&amp;"","")=IF($P109=1,"Débit",$L109)),-IF($P109=1,-$K109,$K109),0))))</f>
        <v>-55.21</v>
      </c>
      <c r="U109" s="6">
        <f>IF($K109="","",IF(ISNUMBER(SEARCH("sortie-epargne",IFERROR(INDEX('Paramètres'!$N:$N,MATCH($D109,'Paramètres'!$M:$M,0))&amp;"",""))),$K109,0))</f>
        <v>0</v>
      </c>
      <c r="V109" s="6" t="str">
        <f>IF(AND($A109&lt;&gt;"",$O109=1,$L109="Débit",N($Q109)&gt;0,$A109&gt;=Visualisation!$B$1,$A109&lt;Visualisation!$D$1),MAX($V$1:V108)+1,"")</f>
        <v/>
      </c>
    </row>
    <row r="110" spans="1:22" x14ac:dyDescent="0.25">
      <c r="A110" s="9">
        <v>45602</v>
      </c>
      <c r="B110" s="4" t="s">
        <v>129</v>
      </c>
      <c r="C110" s="4" t="s">
        <v>126</v>
      </c>
      <c r="D110" s="4" t="s">
        <v>130</v>
      </c>
      <c r="E110" s="10">
        <v>148.86</v>
      </c>
      <c r="G110" s="4"/>
      <c r="H110" s="4"/>
      <c r="I110" s="4"/>
      <c r="K110" s="11">
        <f>IF($E110="","",ROUND($E110*IF(ISNA(MATCH($C110,'Paramètres'!$D:$D,0)),1,IF(INDEX('Paramètres'!$J:$J,MATCH($C110,'Paramètres'!$D:$D,0))="",1,INDEX('Paramètres'!$J:$J,MATCH($C110,'Paramètres'!$D:$D,0)))),2))</f>
        <v>74.43</v>
      </c>
      <c r="L110" s="6" t="str">
        <f>IF($D110="","",IF($F110&lt;&gt;"",$F110,IF(ISNA(MATCH($D110,'Paramètres'!$M:$M,0)),"⚠ Type inconnu",IFERROR(INDEX('Paramètres'!$P:$P,MATCH($D110,'Paramètres'!$M:$M,0))&amp;"",""))))</f>
        <v>Débit</v>
      </c>
      <c r="M110" s="6" t="str">
        <f>IF($D110="","",IF(ISNA(MATCH($D110,'Paramètres'!$M:$M,0)),"⚠ Type inconnu",IF($L110="Crédit","",IFERROR(INDEX('Paramètres'!$O:$O,MATCH($D110,'Paramètres'!$M:$M,0))&amp;"",""))))</f>
        <v/>
      </c>
      <c r="N110" s="6" t="str">
        <f>IF($D110="","",IFERROR(INDEX('Paramètres'!$Q:$Q,MATCH($D110,'Paramètres'!$M:$M,0))&amp;"",""))</f>
        <v>Comptes Bancaires</v>
      </c>
      <c r="O110" s="6">
        <f>IF($A110="","",IF(OR($J110&lt;&gt;"x",$A110&lt;=FinReleve),1,0))</f>
        <v>1</v>
      </c>
      <c r="P110" s="6">
        <f>IF($D110="","",IF(AND($L110="Crédit",OR(IFERROR(INDEX('Paramètres'!$O:$O,MATCH($D110,'Paramètres'!$M:$M,0))&amp;"","")&lt;&gt;"",ISNUMBER(SEARCH("remboursement",IFERROR(INDEX('Paramètres'!$N:$N,MATCH($D110,'Paramètres'!$M:$M,0))&amp;"",""))))),1,0))</f>
        <v>0</v>
      </c>
      <c r="Q110" s="6">
        <f>IF($K110="","",IF(ISNUMBER(SEARCH("transfert-interne",IFERROR(INDEX('Paramètres'!$N:$N,MATCH($D110,'Paramètres'!$M:$M,0))&amp;"",""))),0,IF($L110="Débit",$K110,IF($P110=1,-$K110,0))))</f>
        <v>74.43</v>
      </c>
      <c r="R110" s="6">
        <f>IF($K110="","",IF($L110="Crédit",$K110,-$K110))</f>
        <v>-74.43</v>
      </c>
      <c r="S110" s="6" t="str">
        <f>IF($C110="","",IFERROR(INDEX('Paramètres'!$H:$H,MATCH($C110,'Paramètres'!$D:$D,0))&amp;"",""))</f>
        <v>Banque A - Courant</v>
      </c>
      <c r="T110" s="6">
        <f>IF($K110="","",IF($S110="",0,IF(ISNUMBER(SEARCH("apport-exterieur",IFERROR(INDEX('Paramètres'!$N:$N,MATCH($D110,'Paramètres'!$M:$M,0))&amp;"",""))),0,IF(OR(IFERROR(INDEX('Paramètres'!$I:$I,MATCH($C110,'Paramètres'!$D:$D,0))&amp;"","")="Les deux",IFERROR(INDEX('Paramètres'!$I:$I,MATCH($C110,'Paramètres'!$D:$D,0))&amp;"","")=IF($P110=1,"Débit",$L110)),-IF($P110=1,-$K110,$K110),0))))</f>
        <v>-74.43</v>
      </c>
      <c r="U110" s="6">
        <f>IF($K110="","",IF(ISNUMBER(SEARCH("sortie-epargne",IFERROR(INDEX('Paramètres'!$N:$N,MATCH($D110,'Paramètres'!$M:$M,0))&amp;"",""))),$K110,0))</f>
        <v>0</v>
      </c>
      <c r="V110" s="6" t="str">
        <f>IF(AND($A110&lt;&gt;"",$O110=1,$L110="Débit",N($Q110)&gt;0,$A110&gt;=Visualisation!$B$1,$A110&lt;Visualisation!$D$1),MAX($V$1:V109)+1,"")</f>
        <v/>
      </c>
    </row>
    <row r="111" spans="1:22" x14ac:dyDescent="0.25">
      <c r="A111" s="9">
        <v>45603</v>
      </c>
      <c r="B111" s="4" t="s">
        <v>131</v>
      </c>
      <c r="C111" s="4" t="s">
        <v>75</v>
      </c>
      <c r="D111" s="4" t="s">
        <v>132</v>
      </c>
      <c r="E111" s="10">
        <v>39.96</v>
      </c>
      <c r="G111" s="4" t="s">
        <v>133</v>
      </c>
      <c r="H111" s="4"/>
      <c r="I111" s="4" t="s">
        <v>93</v>
      </c>
      <c r="K111" s="11">
        <f>IF($E111="","",ROUND($E111*IF(ISNA(MATCH($C111,'Paramètres'!$D:$D,0)),1,IF(INDEX('Paramètres'!$J:$J,MATCH($C111,'Paramètres'!$D:$D,0))="",1,INDEX('Paramètres'!$J:$J,MATCH($C111,'Paramètres'!$D:$D,0)))),2))</f>
        <v>39.96</v>
      </c>
      <c r="L111" s="6" t="str">
        <f>IF($D111="","",IF($F111&lt;&gt;"",$F111,IF(ISNA(MATCH($D111,'Paramètres'!$M:$M,0)),"⚠ Type inconnu",IFERROR(INDEX('Paramètres'!$P:$P,MATCH($D111,'Paramètres'!$M:$M,0))&amp;"",""))))</f>
        <v>Débit</v>
      </c>
      <c r="M111" s="6" t="str">
        <f>IF($D111="","",IF(ISNA(MATCH($D111,'Paramètres'!$M:$M,0)),"⚠ Type inconnu",IF($L111="Crédit","",IFERROR(INDEX('Paramètres'!$O:$O,MATCH($D111,'Paramètres'!$M:$M,0))&amp;"",""))))</f>
        <v>Dépense Courante</v>
      </c>
      <c r="N111" s="6" t="str">
        <f>IF($D111="","",IFERROR(INDEX('Paramètres'!$Q:$Q,MATCH($D111,'Paramètres'!$M:$M,0))&amp;"",""))</f>
        <v>Santé</v>
      </c>
      <c r="O111" s="6">
        <f>IF($A111="","",IF(OR($J111&lt;&gt;"x",$A111&lt;=FinReleve),1,0))</f>
        <v>1</v>
      </c>
      <c r="P111" s="6">
        <f>IF($D111="","",IF(AND($L111="Crédit",OR(IFERROR(INDEX('Paramètres'!$O:$O,MATCH($D111,'Paramètres'!$M:$M,0))&amp;"","")&lt;&gt;"",ISNUMBER(SEARCH("remboursement",IFERROR(INDEX('Paramètres'!$N:$N,MATCH($D111,'Paramètres'!$M:$M,0))&amp;"",""))))),1,0))</f>
        <v>0</v>
      </c>
      <c r="Q111" s="6">
        <f>IF($K111="","",IF(ISNUMBER(SEARCH("transfert-interne",IFERROR(INDEX('Paramètres'!$N:$N,MATCH($D111,'Paramètres'!$M:$M,0))&amp;"",""))),0,IF($L111="Débit",$K111,IF($P111=1,-$K111,0))))</f>
        <v>39.96</v>
      </c>
      <c r="R111" s="6">
        <f>IF($K111="","",IF($L111="Crédit",$K111,-$K111))</f>
        <v>-39.96</v>
      </c>
      <c r="S111" s="6" t="str">
        <f>IF($C111="","",IFERROR(INDEX('Paramètres'!$H:$H,MATCH($C111,'Paramètres'!$D:$D,0))&amp;"",""))</f>
        <v/>
      </c>
      <c r="T111" s="6">
        <f>IF($K111="","",IF($S111="",0,IF(ISNUMBER(SEARCH("apport-exterieur",IFERROR(INDEX('Paramètres'!$N:$N,MATCH($D111,'Paramètres'!$M:$M,0))&amp;"",""))),0,IF(OR(IFERROR(INDEX('Paramètres'!$I:$I,MATCH($C111,'Paramètres'!$D:$D,0))&amp;"","")="Les deux",IFERROR(INDEX('Paramètres'!$I:$I,MATCH($C111,'Paramètres'!$D:$D,0))&amp;"","")=IF($P111=1,"Débit",$L111)),-IF($P111=1,-$K111,$K111),0))))</f>
        <v>0</v>
      </c>
      <c r="U111" s="6">
        <f>IF($K111="","",IF(ISNUMBER(SEARCH("sortie-epargne",IFERROR(INDEX('Paramètres'!$N:$N,MATCH($D111,'Paramètres'!$M:$M,0))&amp;"",""))),$K111,0))</f>
        <v>0</v>
      </c>
      <c r="V111" s="6" t="str">
        <f>IF(AND($A111&lt;&gt;"",$O111=1,$L111="Débit",N($Q111)&gt;0,$A111&gt;=Visualisation!$B$1,$A111&lt;Visualisation!$D$1),MAX($V$1:V110)+1,"")</f>
        <v/>
      </c>
    </row>
    <row r="112" spans="1:22" x14ac:dyDescent="0.25">
      <c r="A112" s="9">
        <v>45603</v>
      </c>
      <c r="B112" s="4" t="s">
        <v>59</v>
      </c>
      <c r="C112" s="4" t="s">
        <v>126</v>
      </c>
      <c r="D112" s="4" t="s">
        <v>59</v>
      </c>
      <c r="E112" s="10">
        <v>100.46</v>
      </c>
      <c r="G112" s="4" t="s">
        <v>134</v>
      </c>
      <c r="H112" s="4"/>
      <c r="I112" s="4"/>
      <c r="K112" s="11">
        <f>IF($E112="","",ROUND($E112*IF(ISNA(MATCH($C112,'Paramètres'!$D:$D,0)),1,IF(INDEX('Paramètres'!$J:$J,MATCH($C112,'Paramètres'!$D:$D,0))="",1,INDEX('Paramètres'!$J:$J,MATCH($C112,'Paramètres'!$D:$D,0)))),2))</f>
        <v>50.23</v>
      </c>
      <c r="L112" s="6" t="str">
        <f>IF($D112="","",IF($F112&lt;&gt;"",$F112,IF(ISNA(MATCH($D112,'Paramètres'!$M:$M,0)),"⚠ Type inconnu",IFERROR(INDEX('Paramètres'!$P:$P,MATCH($D112,'Paramètres'!$M:$M,0))&amp;"",""))))</f>
        <v>Débit</v>
      </c>
      <c r="M112" s="6" t="str">
        <f>IF($D112="","",IF(ISNA(MATCH($D112,'Paramètres'!$M:$M,0)),"⚠ Type inconnu",IF($L112="Crédit","",IFERROR(INDEX('Paramètres'!$O:$O,MATCH($D112,'Paramètres'!$M:$M,0))&amp;"",""))))</f>
        <v>Dépense Occasionnelle</v>
      </c>
      <c r="N112" s="6" t="str">
        <f>IF($D112="","",IFERROR(INDEX('Paramètres'!$Q:$Q,MATCH($D112,'Paramètres'!$M:$M,0))&amp;"",""))</f>
        <v>Loisir</v>
      </c>
      <c r="O112" s="6">
        <f>IF($A112="","",IF(OR($J112&lt;&gt;"x",$A112&lt;=FinReleve),1,0))</f>
        <v>1</v>
      </c>
      <c r="P112" s="6">
        <f>IF($D112="","",IF(AND($L112="Crédit",OR(IFERROR(INDEX('Paramètres'!$O:$O,MATCH($D112,'Paramètres'!$M:$M,0))&amp;"","")&lt;&gt;"",ISNUMBER(SEARCH("remboursement",IFERROR(INDEX('Paramètres'!$N:$N,MATCH($D112,'Paramètres'!$M:$M,0))&amp;"",""))))),1,0))</f>
        <v>0</v>
      </c>
      <c r="Q112" s="6">
        <f>IF($K112="","",IF(ISNUMBER(SEARCH("transfert-interne",IFERROR(INDEX('Paramètres'!$N:$N,MATCH($D112,'Paramètres'!$M:$M,0))&amp;"",""))),0,IF($L112="Débit",$K112,IF($P112=1,-$K112,0))))</f>
        <v>50.23</v>
      </c>
      <c r="R112" s="6">
        <f>IF($K112="","",IF($L112="Crédit",$K112,-$K112))</f>
        <v>-50.23</v>
      </c>
      <c r="S112" s="6" t="str">
        <f>IF($C112="","",IFERROR(INDEX('Paramètres'!$H:$H,MATCH($C112,'Paramètres'!$D:$D,0))&amp;"",""))</f>
        <v>Banque A - Courant</v>
      </c>
      <c r="T112" s="6">
        <f>IF($K112="","",IF($S112="",0,IF(ISNUMBER(SEARCH("apport-exterieur",IFERROR(INDEX('Paramètres'!$N:$N,MATCH($D112,'Paramètres'!$M:$M,0))&amp;"",""))),0,IF(OR(IFERROR(INDEX('Paramètres'!$I:$I,MATCH($C112,'Paramètres'!$D:$D,0))&amp;"","")="Les deux",IFERROR(INDEX('Paramètres'!$I:$I,MATCH($C112,'Paramètres'!$D:$D,0))&amp;"","")=IF($P112=1,"Débit",$L112)),-IF($P112=1,-$K112,$K112),0))))</f>
        <v>-50.23</v>
      </c>
      <c r="U112" s="6">
        <f>IF($K112="","",IF(ISNUMBER(SEARCH("sortie-epargne",IFERROR(INDEX('Paramètres'!$N:$N,MATCH($D112,'Paramètres'!$M:$M,0))&amp;"",""))),$K112,0))</f>
        <v>0</v>
      </c>
      <c r="V112" s="6" t="str">
        <f>IF(AND($A112&lt;&gt;"",$O112=1,$L112="Débit",N($Q112)&gt;0,$A112&gt;=Visualisation!$B$1,$A112&lt;Visualisation!$D$1),MAX($V$1:V111)+1,"")</f>
        <v/>
      </c>
    </row>
    <row r="113" spans="1:22" x14ac:dyDescent="0.25">
      <c r="A113" s="9">
        <v>45604</v>
      </c>
      <c r="B113" s="4" t="s">
        <v>94</v>
      </c>
      <c r="C113" s="4" t="s">
        <v>65</v>
      </c>
      <c r="D113" s="4" t="s">
        <v>94</v>
      </c>
      <c r="E113" s="10">
        <v>168</v>
      </c>
      <c r="G113" s="4"/>
      <c r="H113" s="4"/>
      <c r="I113" s="4"/>
      <c r="K113" s="11">
        <f>IF($E113="","",ROUND($E113*IF(ISNA(MATCH($C113,'Paramètres'!$D:$D,0)),1,IF(INDEX('Paramètres'!$J:$J,MATCH($C113,'Paramètres'!$D:$D,0))="",1,INDEX('Paramètres'!$J:$J,MATCH($C113,'Paramètres'!$D:$D,0)))),2))</f>
        <v>168</v>
      </c>
      <c r="L113" s="6" t="str">
        <f>IF($D113="","",IF($F113&lt;&gt;"",$F113,IF(ISNA(MATCH($D113,'Paramètres'!$M:$M,0)),"⚠ Type inconnu",IFERROR(INDEX('Paramètres'!$P:$P,MATCH($D113,'Paramètres'!$M:$M,0))&amp;"",""))))</f>
        <v>Débit</v>
      </c>
      <c r="M113" s="6" t="str">
        <f>IF($D113="","",IF(ISNA(MATCH($D113,'Paramètres'!$M:$M,0)),"⚠ Type inconnu",IF($L113="Crédit","",IFERROR(INDEX('Paramètres'!$O:$O,MATCH($D113,'Paramètres'!$M:$M,0))&amp;"",""))))</f>
        <v>Dépense Fixe</v>
      </c>
      <c r="N113" s="6" t="str">
        <f>IF($D113="","",IFERROR(INDEX('Paramètres'!$Q:$Q,MATCH($D113,'Paramètres'!$M:$M,0))&amp;"",""))</f>
        <v>Immobilier</v>
      </c>
      <c r="O113" s="6">
        <f>IF($A113="","",IF(OR($J113&lt;&gt;"x",$A113&lt;=FinReleve),1,0))</f>
        <v>1</v>
      </c>
      <c r="P113" s="6">
        <f>IF($D113="","",IF(AND($L113="Crédit",OR(IFERROR(INDEX('Paramètres'!$O:$O,MATCH($D113,'Paramètres'!$M:$M,0))&amp;"","")&lt;&gt;"",ISNUMBER(SEARCH("remboursement",IFERROR(INDEX('Paramètres'!$N:$N,MATCH($D113,'Paramètres'!$M:$M,0))&amp;"",""))))),1,0))</f>
        <v>0</v>
      </c>
      <c r="Q113" s="6">
        <f>IF($K113="","",IF(ISNUMBER(SEARCH("transfert-interne",IFERROR(INDEX('Paramètres'!$N:$N,MATCH($D113,'Paramètres'!$M:$M,0))&amp;"",""))),0,IF($L113="Débit",$K113,IF($P113=1,-$K113,0))))</f>
        <v>168</v>
      </c>
      <c r="R113" s="6">
        <f>IF($K113="","",IF($L113="Crédit",$K113,-$K113))</f>
        <v>-168</v>
      </c>
      <c r="S113" s="6" t="str">
        <f>IF($C113="","",IFERROR(INDEX('Paramètres'!$H:$H,MATCH($C113,'Paramètres'!$D:$D,0))&amp;"",""))</f>
        <v>Banque A - Courant</v>
      </c>
      <c r="T113" s="6">
        <f>IF($K113="","",IF($S113="",0,IF(ISNUMBER(SEARCH("apport-exterieur",IFERROR(INDEX('Paramètres'!$N:$N,MATCH($D113,'Paramètres'!$M:$M,0))&amp;"",""))),0,IF(OR(IFERROR(INDEX('Paramètres'!$I:$I,MATCH($C113,'Paramètres'!$D:$D,0))&amp;"","")="Les deux",IFERROR(INDEX('Paramètres'!$I:$I,MATCH($C113,'Paramètres'!$D:$D,0))&amp;"","")=IF($P113=1,"Débit",$L113)),-IF($P113=1,-$K113,$K113),0))))</f>
        <v>0</v>
      </c>
      <c r="U113" s="6">
        <f>IF($K113="","",IF(ISNUMBER(SEARCH("sortie-epargne",IFERROR(INDEX('Paramètres'!$N:$N,MATCH($D113,'Paramètres'!$M:$M,0))&amp;"",""))),$K113,0))</f>
        <v>0</v>
      </c>
      <c r="V113" s="6" t="str">
        <f>IF(AND($A113&lt;&gt;"",$O113=1,$L113="Débit",N($Q113)&gt;0,$A113&gt;=Visualisation!$B$1,$A113&lt;Visualisation!$D$1),MAX($V$1:V112)+1,"")</f>
        <v/>
      </c>
    </row>
    <row r="114" spans="1:22" x14ac:dyDescent="0.25">
      <c r="A114" s="9">
        <v>45606</v>
      </c>
      <c r="B114" s="4" t="s">
        <v>96</v>
      </c>
      <c r="C114" s="4" t="s">
        <v>75</v>
      </c>
      <c r="D114" s="4" t="s">
        <v>96</v>
      </c>
      <c r="E114" s="10">
        <v>22.4</v>
      </c>
      <c r="G114" s="4"/>
      <c r="H114" s="4"/>
      <c r="I114" s="4"/>
      <c r="K114" s="11">
        <f>IF($E114="","",ROUND($E114*IF(ISNA(MATCH($C114,'Paramètres'!$D:$D,0)),1,IF(INDEX('Paramètres'!$J:$J,MATCH($C114,'Paramètres'!$D:$D,0))="",1,INDEX('Paramètres'!$J:$J,MATCH($C114,'Paramètres'!$D:$D,0)))),2))</f>
        <v>22.4</v>
      </c>
      <c r="L114" s="6" t="str">
        <f>IF($D114="","",IF($F114&lt;&gt;"",$F114,IF(ISNA(MATCH($D114,'Paramètres'!$M:$M,0)),"⚠ Type inconnu",IFERROR(INDEX('Paramètres'!$P:$P,MATCH($D114,'Paramètres'!$M:$M,0))&amp;"",""))))</f>
        <v>Débit</v>
      </c>
      <c r="M114" s="6" t="str">
        <f>IF($D114="","",IF(ISNA(MATCH($D114,'Paramètres'!$M:$M,0)),"⚠ Type inconnu",IF($L114="Crédit","",IFERROR(INDEX('Paramètres'!$O:$O,MATCH($D114,'Paramètres'!$M:$M,0))&amp;"",""))))</f>
        <v>Dépense Fixe</v>
      </c>
      <c r="N114" s="6" t="str">
        <f>IF($D114="","",IFERROR(INDEX('Paramètres'!$Q:$Q,MATCH($D114,'Paramètres'!$M:$M,0))&amp;"",""))</f>
        <v>Assurances</v>
      </c>
      <c r="O114" s="6">
        <f>IF($A114="","",IF(OR($J114&lt;&gt;"x",$A114&lt;=FinReleve),1,0))</f>
        <v>1</v>
      </c>
      <c r="P114" s="6">
        <f>IF($D114="","",IF(AND($L114="Crédit",OR(IFERROR(INDEX('Paramètres'!$O:$O,MATCH($D114,'Paramètres'!$M:$M,0))&amp;"","")&lt;&gt;"",ISNUMBER(SEARCH("remboursement",IFERROR(INDEX('Paramètres'!$N:$N,MATCH($D114,'Paramètres'!$M:$M,0))&amp;"",""))))),1,0))</f>
        <v>0</v>
      </c>
      <c r="Q114" s="6">
        <f>IF($K114="","",IF(ISNUMBER(SEARCH("transfert-interne",IFERROR(INDEX('Paramètres'!$N:$N,MATCH($D114,'Paramètres'!$M:$M,0))&amp;"",""))),0,IF($L114="Débit",$K114,IF($P114=1,-$K114,0))))</f>
        <v>22.4</v>
      </c>
      <c r="R114" s="6">
        <f>IF($K114="","",IF($L114="Crédit",$K114,-$K114))</f>
        <v>-22.4</v>
      </c>
      <c r="S114" s="6" t="str">
        <f>IF($C114="","",IFERROR(INDEX('Paramètres'!$H:$H,MATCH($C114,'Paramètres'!$D:$D,0))&amp;"",""))</f>
        <v/>
      </c>
      <c r="T114" s="6">
        <f>IF($K114="","",IF($S114="",0,IF(ISNUMBER(SEARCH("apport-exterieur",IFERROR(INDEX('Paramètres'!$N:$N,MATCH($D114,'Paramètres'!$M:$M,0))&amp;"",""))),0,IF(OR(IFERROR(INDEX('Paramètres'!$I:$I,MATCH($C114,'Paramètres'!$D:$D,0))&amp;"","")="Les deux",IFERROR(INDEX('Paramètres'!$I:$I,MATCH($C114,'Paramètres'!$D:$D,0))&amp;"","")=IF($P114=1,"Débit",$L114)),-IF($P114=1,-$K114,$K114),0))))</f>
        <v>0</v>
      </c>
      <c r="U114" s="6">
        <f>IF($K114="","",IF(ISNUMBER(SEARCH("sortie-epargne",IFERROR(INDEX('Paramètres'!$N:$N,MATCH($D114,'Paramètres'!$M:$M,0))&amp;"",""))),$K114,0))</f>
        <v>0</v>
      </c>
      <c r="V114" s="6" t="str">
        <f>IF(AND($A114&lt;&gt;"",$O114=1,$L114="Débit",N($Q114)&gt;0,$A114&gt;=Visualisation!$B$1,$A114&lt;Visualisation!$D$1),MAX($V$1:V113)+1,"")</f>
        <v/>
      </c>
    </row>
    <row r="115" spans="1:22" x14ac:dyDescent="0.25">
      <c r="A115" s="9">
        <v>45606</v>
      </c>
      <c r="B115" s="4" t="s">
        <v>69</v>
      </c>
      <c r="C115" s="4" t="s">
        <v>70</v>
      </c>
      <c r="D115" s="4" t="s">
        <v>71</v>
      </c>
      <c r="E115" s="10">
        <v>10.9</v>
      </c>
      <c r="G115" s="4" t="s">
        <v>72</v>
      </c>
      <c r="H115" s="4"/>
      <c r="I115" s="4" t="s">
        <v>93</v>
      </c>
      <c r="K115" s="11">
        <f>IF($E115="","",ROUND($E115*IF(ISNA(MATCH($C115,'Paramètres'!$D:$D,0)),1,IF(INDEX('Paramètres'!$J:$J,MATCH($C115,'Paramètres'!$D:$D,0))="",1,INDEX('Paramètres'!$J:$J,MATCH($C115,'Paramètres'!$D:$D,0)))),2))</f>
        <v>10.9</v>
      </c>
      <c r="L115" s="6" t="str">
        <f>IF($D115="","",IF($F115&lt;&gt;"",$F115,IF(ISNA(MATCH($D115,'Paramètres'!$M:$M,0)),"⚠ Type inconnu",IFERROR(INDEX('Paramètres'!$P:$P,MATCH($D115,'Paramètres'!$M:$M,0))&amp;"",""))))</f>
        <v>Débit</v>
      </c>
      <c r="M115" s="6" t="str">
        <f>IF($D115="","",IF(ISNA(MATCH($D115,'Paramètres'!$M:$M,0)),"⚠ Type inconnu",IF($L115="Crédit","",IFERROR(INDEX('Paramètres'!$O:$O,MATCH($D115,'Paramètres'!$M:$M,0))&amp;"",""))))</f>
        <v>Dépense Courante</v>
      </c>
      <c r="N115" s="6" t="str">
        <f>IF($D115="","",IFERROR(INDEX('Paramètres'!$Q:$Q,MATCH($D115,'Paramètres'!$M:$M,0))&amp;"",""))</f>
        <v>Alimentation</v>
      </c>
      <c r="O115" s="6">
        <f>IF($A115="","",IF(OR($J115&lt;&gt;"x",$A115&lt;=FinReleve),1,0))</f>
        <v>1</v>
      </c>
      <c r="P115" s="6">
        <f>IF($D115="","",IF(AND($L115="Crédit",OR(IFERROR(INDEX('Paramètres'!$O:$O,MATCH($D115,'Paramètres'!$M:$M,0))&amp;"","")&lt;&gt;"",ISNUMBER(SEARCH("remboursement",IFERROR(INDEX('Paramètres'!$N:$N,MATCH($D115,'Paramètres'!$M:$M,0))&amp;"",""))))),1,0))</f>
        <v>0</v>
      </c>
      <c r="Q115" s="6">
        <f>IF($K115="","",IF(ISNUMBER(SEARCH("transfert-interne",IFERROR(INDEX('Paramètres'!$N:$N,MATCH($D115,'Paramètres'!$M:$M,0))&amp;"",""))),0,IF($L115="Débit",$K115,IF($P115=1,-$K115,0))))</f>
        <v>10.9</v>
      </c>
      <c r="R115" s="6">
        <f>IF($K115="","",IF($L115="Crédit",$K115,-$K115))</f>
        <v>-10.9</v>
      </c>
      <c r="S115" s="6" t="str">
        <f>IF($C115="","",IFERROR(INDEX('Paramètres'!$H:$H,MATCH($C115,'Paramètres'!$D:$D,0))&amp;"",""))</f>
        <v/>
      </c>
      <c r="T115" s="6">
        <f>IF($K115="","",IF($S115="",0,IF(ISNUMBER(SEARCH("apport-exterieur",IFERROR(INDEX('Paramètres'!$N:$N,MATCH($D115,'Paramètres'!$M:$M,0))&amp;"",""))),0,IF(OR(IFERROR(INDEX('Paramètres'!$I:$I,MATCH($C115,'Paramètres'!$D:$D,0))&amp;"","")="Les deux",IFERROR(INDEX('Paramètres'!$I:$I,MATCH($C115,'Paramètres'!$D:$D,0))&amp;"","")=IF($P115=1,"Débit",$L115)),-IF($P115=1,-$K115,$K115),0))))</f>
        <v>0</v>
      </c>
      <c r="U115" s="6">
        <f>IF($K115="","",IF(ISNUMBER(SEARCH("sortie-epargne",IFERROR(INDEX('Paramètres'!$N:$N,MATCH($D115,'Paramètres'!$M:$M,0))&amp;"",""))),$K115,0))</f>
        <v>0</v>
      </c>
      <c r="V115" s="6" t="str">
        <f>IF(AND($A115&lt;&gt;"",$O115=1,$L115="Débit",N($Q115)&gt;0,$A115&gt;=Visualisation!$B$1,$A115&lt;Visualisation!$D$1),MAX($V$1:V114)+1,"")</f>
        <v/>
      </c>
    </row>
    <row r="116" spans="1:22" x14ac:dyDescent="0.25">
      <c r="A116" s="9">
        <v>45606</v>
      </c>
      <c r="B116" s="4" t="s">
        <v>69</v>
      </c>
      <c r="C116" s="4" t="s">
        <v>70</v>
      </c>
      <c r="D116" s="4" t="s">
        <v>71</v>
      </c>
      <c r="E116" s="10">
        <v>7.97</v>
      </c>
      <c r="G116" s="4" t="s">
        <v>72</v>
      </c>
      <c r="H116" s="4"/>
      <c r="I116" s="4"/>
      <c r="K116" s="11">
        <f>IF($E116="","",ROUND($E116*IF(ISNA(MATCH($C116,'Paramètres'!$D:$D,0)),1,IF(INDEX('Paramètres'!$J:$J,MATCH($C116,'Paramètres'!$D:$D,0))="",1,INDEX('Paramètres'!$J:$J,MATCH($C116,'Paramètres'!$D:$D,0)))),2))</f>
        <v>7.97</v>
      </c>
      <c r="L116" s="6" t="str">
        <f>IF($D116="","",IF($F116&lt;&gt;"",$F116,IF(ISNA(MATCH($D116,'Paramètres'!$M:$M,0)),"⚠ Type inconnu",IFERROR(INDEX('Paramètres'!$P:$P,MATCH($D116,'Paramètres'!$M:$M,0))&amp;"",""))))</f>
        <v>Débit</v>
      </c>
      <c r="M116" s="6" t="str">
        <f>IF($D116="","",IF(ISNA(MATCH($D116,'Paramètres'!$M:$M,0)),"⚠ Type inconnu",IF($L116="Crédit","",IFERROR(INDEX('Paramètres'!$O:$O,MATCH($D116,'Paramètres'!$M:$M,0))&amp;"",""))))</f>
        <v>Dépense Courante</v>
      </c>
      <c r="N116" s="6" t="str">
        <f>IF($D116="","",IFERROR(INDEX('Paramètres'!$Q:$Q,MATCH($D116,'Paramètres'!$M:$M,0))&amp;"",""))</f>
        <v>Alimentation</v>
      </c>
      <c r="O116" s="6">
        <f>IF($A116="","",IF(OR($J116&lt;&gt;"x",$A116&lt;=FinReleve),1,0))</f>
        <v>1</v>
      </c>
      <c r="P116" s="6">
        <f>IF($D116="","",IF(AND($L116="Crédit",OR(IFERROR(INDEX('Paramètres'!$O:$O,MATCH($D116,'Paramètres'!$M:$M,0))&amp;"","")&lt;&gt;"",ISNUMBER(SEARCH("remboursement",IFERROR(INDEX('Paramètres'!$N:$N,MATCH($D116,'Paramètres'!$M:$M,0))&amp;"",""))))),1,0))</f>
        <v>0</v>
      </c>
      <c r="Q116" s="6">
        <f>IF($K116="","",IF(ISNUMBER(SEARCH("transfert-interne",IFERROR(INDEX('Paramètres'!$N:$N,MATCH($D116,'Paramètres'!$M:$M,0))&amp;"",""))),0,IF($L116="Débit",$K116,IF($P116=1,-$K116,0))))</f>
        <v>7.97</v>
      </c>
      <c r="R116" s="6">
        <f>IF($K116="","",IF($L116="Crédit",$K116,-$K116))</f>
        <v>-7.97</v>
      </c>
      <c r="S116" s="6" t="str">
        <f>IF($C116="","",IFERROR(INDEX('Paramètres'!$H:$H,MATCH($C116,'Paramètres'!$D:$D,0))&amp;"",""))</f>
        <v/>
      </c>
      <c r="T116" s="6">
        <f>IF($K116="","",IF($S116="",0,IF(ISNUMBER(SEARCH("apport-exterieur",IFERROR(INDEX('Paramètres'!$N:$N,MATCH($D116,'Paramètres'!$M:$M,0))&amp;"",""))),0,IF(OR(IFERROR(INDEX('Paramètres'!$I:$I,MATCH($C116,'Paramètres'!$D:$D,0))&amp;"","")="Les deux",IFERROR(INDEX('Paramètres'!$I:$I,MATCH($C116,'Paramètres'!$D:$D,0))&amp;"","")=IF($P116=1,"Débit",$L116)),-IF($P116=1,-$K116,$K116),0))))</f>
        <v>0</v>
      </c>
      <c r="U116" s="6">
        <f>IF($K116="","",IF(ISNUMBER(SEARCH("sortie-epargne",IFERROR(INDEX('Paramètres'!$N:$N,MATCH($D116,'Paramètres'!$M:$M,0))&amp;"",""))),$K116,0))</f>
        <v>0</v>
      </c>
      <c r="V116" s="6" t="str">
        <f>IF(AND($A116&lt;&gt;"",$O116=1,$L116="Débit",N($Q116)&gt;0,$A116&gt;=Visualisation!$B$1,$A116&lt;Visualisation!$D$1),MAX($V$1:V115)+1,"")</f>
        <v/>
      </c>
    </row>
    <row r="117" spans="1:22" x14ac:dyDescent="0.25">
      <c r="A117" s="9">
        <v>45606</v>
      </c>
      <c r="B117" s="4" t="s">
        <v>105</v>
      </c>
      <c r="C117" s="4" t="s">
        <v>75</v>
      </c>
      <c r="D117" s="4" t="s">
        <v>106</v>
      </c>
      <c r="E117" s="10">
        <v>193.21</v>
      </c>
      <c r="G117" s="4"/>
      <c r="H117" s="4"/>
      <c r="I117" s="4"/>
      <c r="K117" s="11">
        <f>IF($E117="","",ROUND($E117*IF(ISNA(MATCH($C117,'Paramètres'!$D:$D,0)),1,IF(INDEX('Paramètres'!$J:$J,MATCH($C117,'Paramètres'!$D:$D,0))="",1,INDEX('Paramètres'!$J:$J,MATCH($C117,'Paramètres'!$D:$D,0)))),2))</f>
        <v>193.21</v>
      </c>
      <c r="L117" s="6" t="str">
        <f>IF($D117="","",IF($F117&lt;&gt;"",$F117,IF(ISNA(MATCH($D117,'Paramètres'!$M:$M,0)),"⚠ Type inconnu",IFERROR(INDEX('Paramètres'!$P:$P,MATCH($D117,'Paramètres'!$M:$M,0))&amp;"",""))))</f>
        <v>Débit</v>
      </c>
      <c r="M117" s="6" t="str">
        <f>IF($D117="","",IF(ISNA(MATCH($D117,'Paramètres'!$M:$M,0)),"⚠ Type inconnu",IF($L117="Crédit","",IFERROR(INDEX('Paramètres'!$O:$O,MATCH($D117,'Paramètres'!$M:$M,0))&amp;"",""))))</f>
        <v/>
      </c>
      <c r="N117" s="6" t="str">
        <f>IF($D117="","",IFERROR(INDEX('Paramètres'!$Q:$Q,MATCH($D117,'Paramètres'!$M:$M,0))&amp;"",""))</f>
        <v>Comptes Bancaires</v>
      </c>
      <c r="O117" s="6">
        <f>IF($A117="","",IF(OR($J117&lt;&gt;"x",$A117&lt;=FinReleve),1,0))</f>
        <v>1</v>
      </c>
      <c r="P117" s="6">
        <f>IF($D117="","",IF(AND($L117="Crédit",OR(IFERROR(INDEX('Paramètres'!$O:$O,MATCH($D117,'Paramètres'!$M:$M,0))&amp;"","")&lt;&gt;"",ISNUMBER(SEARCH("remboursement",IFERROR(INDEX('Paramètres'!$N:$N,MATCH($D117,'Paramètres'!$M:$M,0))&amp;"",""))))),1,0))</f>
        <v>0</v>
      </c>
      <c r="Q117" s="6">
        <f>IF($K117="","",IF(ISNUMBER(SEARCH("transfert-interne",IFERROR(INDEX('Paramètres'!$N:$N,MATCH($D117,'Paramètres'!$M:$M,0))&amp;"",""))),0,IF($L117="Débit",$K117,IF($P117=1,-$K117,0))))</f>
        <v>193.21</v>
      </c>
      <c r="R117" s="6">
        <f>IF($K117="","",IF($L117="Crédit",$K117,-$K117))</f>
        <v>-193.21</v>
      </c>
      <c r="S117" s="6" t="str">
        <f>IF($C117="","",IFERROR(INDEX('Paramètres'!$H:$H,MATCH($C117,'Paramètres'!$D:$D,0))&amp;"",""))</f>
        <v/>
      </c>
      <c r="T117" s="6">
        <f>IF($K117="","",IF($S117="",0,IF(ISNUMBER(SEARCH("apport-exterieur",IFERROR(INDEX('Paramètres'!$N:$N,MATCH($D117,'Paramètres'!$M:$M,0))&amp;"",""))),0,IF(OR(IFERROR(INDEX('Paramètres'!$I:$I,MATCH($C117,'Paramètres'!$D:$D,0))&amp;"","")="Les deux",IFERROR(INDEX('Paramètres'!$I:$I,MATCH($C117,'Paramètres'!$D:$D,0))&amp;"","")=IF($P117=1,"Débit",$L117)),-IF($P117=1,-$K117,$K117),0))))</f>
        <v>0</v>
      </c>
      <c r="U117" s="6">
        <f>IF($K117="","",IF(ISNUMBER(SEARCH("sortie-epargne",IFERROR(INDEX('Paramètres'!$N:$N,MATCH($D117,'Paramètres'!$M:$M,0))&amp;"",""))),$K117,0))</f>
        <v>0</v>
      </c>
      <c r="V117" s="6" t="str">
        <f>IF(AND($A117&lt;&gt;"",$O117=1,$L117="Débit",N($Q117)&gt;0,$A117&gt;=Visualisation!$B$1,$A117&lt;Visualisation!$D$1),MAX($V$1:V116)+1,"")</f>
        <v/>
      </c>
    </row>
    <row r="118" spans="1:22" x14ac:dyDescent="0.25">
      <c r="A118" s="9">
        <v>45608</v>
      </c>
      <c r="B118" s="4" t="s">
        <v>97</v>
      </c>
      <c r="C118" s="4" t="s">
        <v>75</v>
      </c>
      <c r="D118" s="4" t="s">
        <v>97</v>
      </c>
      <c r="E118" s="10">
        <v>47.9</v>
      </c>
      <c r="G118" s="4"/>
      <c r="H118" s="4"/>
      <c r="I118" s="4"/>
      <c r="K118" s="11">
        <f>IF($E118="","",ROUND($E118*IF(ISNA(MATCH($C118,'Paramètres'!$D:$D,0)),1,IF(INDEX('Paramètres'!$J:$J,MATCH($C118,'Paramètres'!$D:$D,0))="",1,INDEX('Paramètres'!$J:$J,MATCH($C118,'Paramètres'!$D:$D,0)))),2))</f>
        <v>47.9</v>
      </c>
      <c r="L118" s="6" t="str">
        <f>IF($D118="","",IF($F118&lt;&gt;"",$F118,IF(ISNA(MATCH($D118,'Paramètres'!$M:$M,0)),"⚠ Type inconnu",IFERROR(INDEX('Paramètres'!$P:$P,MATCH($D118,'Paramètres'!$M:$M,0))&amp;"",""))))</f>
        <v>Débit</v>
      </c>
      <c r="M118" s="6" t="str">
        <f>IF($D118="","",IF(ISNA(MATCH($D118,'Paramètres'!$M:$M,0)),"⚠ Type inconnu",IF($L118="Crédit","",IFERROR(INDEX('Paramètres'!$O:$O,MATCH($D118,'Paramètres'!$M:$M,0))&amp;"",""))))</f>
        <v>Dépense Fixe</v>
      </c>
      <c r="N118" s="6" t="str">
        <f>IF($D118="","",IFERROR(INDEX('Paramètres'!$Q:$Q,MATCH($D118,'Paramètres'!$M:$M,0))&amp;"",""))</f>
        <v>Assurances</v>
      </c>
      <c r="O118" s="6">
        <f>IF($A118="","",IF(OR($J118&lt;&gt;"x",$A118&lt;=FinReleve),1,0))</f>
        <v>1</v>
      </c>
      <c r="P118" s="6">
        <f>IF($D118="","",IF(AND($L118="Crédit",OR(IFERROR(INDEX('Paramètres'!$O:$O,MATCH($D118,'Paramètres'!$M:$M,0))&amp;"","")&lt;&gt;"",ISNUMBER(SEARCH("remboursement",IFERROR(INDEX('Paramètres'!$N:$N,MATCH($D118,'Paramètres'!$M:$M,0))&amp;"",""))))),1,0))</f>
        <v>0</v>
      </c>
      <c r="Q118" s="6">
        <f>IF($K118="","",IF(ISNUMBER(SEARCH("transfert-interne",IFERROR(INDEX('Paramètres'!$N:$N,MATCH($D118,'Paramètres'!$M:$M,0))&amp;"",""))),0,IF($L118="Débit",$K118,IF($P118=1,-$K118,0))))</f>
        <v>47.9</v>
      </c>
      <c r="R118" s="6">
        <f>IF($K118="","",IF($L118="Crédit",$K118,-$K118))</f>
        <v>-47.9</v>
      </c>
      <c r="S118" s="6" t="str">
        <f>IF($C118="","",IFERROR(INDEX('Paramètres'!$H:$H,MATCH($C118,'Paramètres'!$D:$D,0))&amp;"",""))</f>
        <v/>
      </c>
      <c r="T118" s="6">
        <f>IF($K118="","",IF($S118="",0,IF(ISNUMBER(SEARCH("apport-exterieur",IFERROR(INDEX('Paramètres'!$N:$N,MATCH($D118,'Paramètres'!$M:$M,0))&amp;"",""))),0,IF(OR(IFERROR(INDEX('Paramètres'!$I:$I,MATCH($C118,'Paramètres'!$D:$D,0))&amp;"","")="Les deux",IFERROR(INDEX('Paramètres'!$I:$I,MATCH($C118,'Paramètres'!$D:$D,0))&amp;"","")=IF($P118=1,"Débit",$L118)),-IF($P118=1,-$K118,$K118),0))))</f>
        <v>0</v>
      </c>
      <c r="U118" s="6">
        <f>IF($K118="","",IF(ISNUMBER(SEARCH("sortie-epargne",IFERROR(INDEX('Paramètres'!$N:$N,MATCH($D118,'Paramètres'!$M:$M,0))&amp;"",""))),$K118,0))</f>
        <v>0</v>
      </c>
      <c r="V118" s="6" t="str">
        <f>IF(AND($A118&lt;&gt;"",$O118=1,$L118="Débit",N($Q118)&gt;0,$A118&gt;=Visualisation!$B$1,$A118&lt;Visualisation!$D$1),MAX($V$1:V117)+1,"")</f>
        <v/>
      </c>
    </row>
    <row r="119" spans="1:22" x14ac:dyDescent="0.25">
      <c r="A119" s="9">
        <v>45608</v>
      </c>
      <c r="B119" s="4" t="s">
        <v>76</v>
      </c>
      <c r="C119" s="4" t="s">
        <v>67</v>
      </c>
      <c r="D119" s="4" t="s">
        <v>77</v>
      </c>
      <c r="E119" s="10">
        <v>186.3</v>
      </c>
      <c r="G119" s="4" t="s">
        <v>78</v>
      </c>
      <c r="H119" s="4"/>
      <c r="I119" s="4" t="s">
        <v>73</v>
      </c>
      <c r="K119" s="11">
        <f>IF($E119="","",ROUND($E119*IF(ISNA(MATCH($C119,'Paramètres'!$D:$D,0)),1,IF(INDEX('Paramètres'!$J:$J,MATCH($C119,'Paramètres'!$D:$D,0))="",1,INDEX('Paramètres'!$J:$J,MATCH($C119,'Paramètres'!$D:$D,0)))),2))</f>
        <v>93.15</v>
      </c>
      <c r="L119" s="6" t="str">
        <f>IF($D119="","",IF($F119&lt;&gt;"",$F119,IF(ISNA(MATCH($D119,'Paramètres'!$M:$M,0)),"⚠ Type inconnu",IFERROR(INDEX('Paramètres'!$P:$P,MATCH($D119,'Paramètres'!$M:$M,0))&amp;"",""))))</f>
        <v>Débit</v>
      </c>
      <c r="M119" s="6" t="str">
        <f>IF($D119="","",IF(ISNA(MATCH($D119,'Paramètres'!$M:$M,0)),"⚠ Type inconnu",IF($L119="Crédit","",IFERROR(INDEX('Paramètres'!$O:$O,MATCH($D119,'Paramètres'!$M:$M,0))&amp;"",""))))</f>
        <v>Dépense Courante</v>
      </c>
      <c r="N119" s="6" t="str">
        <f>IF($D119="","",IFERROR(INDEX('Paramètres'!$Q:$Q,MATCH($D119,'Paramètres'!$M:$M,0))&amp;"",""))</f>
        <v>Alimentation</v>
      </c>
      <c r="O119" s="6">
        <f>IF($A119="","",IF(OR($J119&lt;&gt;"x",$A119&lt;=FinReleve),1,0))</f>
        <v>1</v>
      </c>
      <c r="P119" s="6">
        <f>IF($D119="","",IF(AND($L119="Crédit",OR(IFERROR(INDEX('Paramètres'!$O:$O,MATCH($D119,'Paramètres'!$M:$M,0))&amp;"","")&lt;&gt;"",ISNUMBER(SEARCH("remboursement",IFERROR(INDEX('Paramètres'!$N:$N,MATCH($D119,'Paramètres'!$M:$M,0))&amp;"",""))))),1,0))</f>
        <v>0</v>
      </c>
      <c r="Q119" s="6">
        <f>IF($K119="","",IF(ISNUMBER(SEARCH("transfert-interne",IFERROR(INDEX('Paramètres'!$N:$N,MATCH($D119,'Paramètres'!$M:$M,0))&amp;"",""))),0,IF($L119="Débit",$K119,IF($P119=1,-$K119,0))))</f>
        <v>93.15</v>
      </c>
      <c r="R119" s="6">
        <f>IF($K119="","",IF($L119="Crédit",$K119,-$K119))</f>
        <v>-93.15</v>
      </c>
      <c r="S119" s="6" t="str">
        <f>IF($C119="","",IFERROR(INDEX('Paramètres'!$H:$H,MATCH($C119,'Paramètres'!$D:$D,0))&amp;"",""))</f>
        <v>Banque A - Courant</v>
      </c>
      <c r="T119" s="6">
        <f>IF($K119="","",IF($S119="",0,IF(ISNUMBER(SEARCH("apport-exterieur",IFERROR(INDEX('Paramètres'!$N:$N,MATCH($D119,'Paramètres'!$M:$M,0))&amp;"",""))),0,IF(OR(IFERROR(INDEX('Paramètres'!$I:$I,MATCH($C119,'Paramètres'!$D:$D,0))&amp;"","")="Les deux",IFERROR(INDEX('Paramètres'!$I:$I,MATCH($C119,'Paramètres'!$D:$D,0))&amp;"","")=IF($P119=1,"Débit",$L119)),-IF($P119=1,-$K119,$K119),0))))</f>
        <v>0</v>
      </c>
      <c r="U119" s="6">
        <f>IF($K119="","",IF(ISNUMBER(SEARCH("sortie-epargne",IFERROR(INDEX('Paramètres'!$N:$N,MATCH($D119,'Paramètres'!$M:$M,0))&amp;"",""))),$K119,0))</f>
        <v>0</v>
      </c>
      <c r="V119" s="6" t="str">
        <f>IF(AND($A119&lt;&gt;"",$O119=1,$L119="Débit",N($Q119)&gt;0,$A119&gt;=Visualisation!$B$1,$A119&lt;Visualisation!$D$1),MAX($V$1:V118)+1,"")</f>
        <v/>
      </c>
    </row>
    <row r="120" spans="1:22" x14ac:dyDescent="0.25">
      <c r="A120" s="9">
        <v>45608</v>
      </c>
      <c r="B120" s="4" t="s">
        <v>76</v>
      </c>
      <c r="C120" s="4" t="s">
        <v>67</v>
      </c>
      <c r="D120" s="4" t="s">
        <v>77</v>
      </c>
      <c r="E120" s="10">
        <v>122.12</v>
      </c>
      <c r="G120" s="4" t="s">
        <v>78</v>
      </c>
      <c r="H120" s="4"/>
      <c r="I120" s="4" t="s">
        <v>63</v>
      </c>
      <c r="K120" s="11">
        <f>IF($E120="","",ROUND($E120*IF(ISNA(MATCH($C120,'Paramètres'!$D:$D,0)),1,IF(INDEX('Paramètres'!$J:$J,MATCH($C120,'Paramètres'!$D:$D,0))="",1,INDEX('Paramètres'!$J:$J,MATCH($C120,'Paramètres'!$D:$D,0)))),2))</f>
        <v>61.06</v>
      </c>
      <c r="L120" s="6" t="str">
        <f>IF($D120="","",IF($F120&lt;&gt;"",$F120,IF(ISNA(MATCH($D120,'Paramètres'!$M:$M,0)),"⚠ Type inconnu",IFERROR(INDEX('Paramètres'!$P:$P,MATCH($D120,'Paramètres'!$M:$M,0))&amp;"",""))))</f>
        <v>Débit</v>
      </c>
      <c r="M120" s="6" t="str">
        <f>IF($D120="","",IF(ISNA(MATCH($D120,'Paramètres'!$M:$M,0)),"⚠ Type inconnu",IF($L120="Crédit","",IFERROR(INDEX('Paramètres'!$O:$O,MATCH($D120,'Paramètres'!$M:$M,0))&amp;"",""))))</f>
        <v>Dépense Courante</v>
      </c>
      <c r="N120" s="6" t="str">
        <f>IF($D120="","",IFERROR(INDEX('Paramètres'!$Q:$Q,MATCH($D120,'Paramètres'!$M:$M,0))&amp;"",""))</f>
        <v>Alimentation</v>
      </c>
      <c r="O120" s="6">
        <f>IF($A120="","",IF(OR($J120&lt;&gt;"x",$A120&lt;=FinReleve),1,0))</f>
        <v>1</v>
      </c>
      <c r="P120" s="6">
        <f>IF($D120="","",IF(AND($L120="Crédit",OR(IFERROR(INDEX('Paramètres'!$O:$O,MATCH($D120,'Paramètres'!$M:$M,0))&amp;"","")&lt;&gt;"",ISNUMBER(SEARCH("remboursement",IFERROR(INDEX('Paramètres'!$N:$N,MATCH($D120,'Paramètres'!$M:$M,0))&amp;"",""))))),1,0))</f>
        <v>0</v>
      </c>
      <c r="Q120" s="6">
        <f>IF($K120="","",IF(ISNUMBER(SEARCH("transfert-interne",IFERROR(INDEX('Paramètres'!$N:$N,MATCH($D120,'Paramètres'!$M:$M,0))&amp;"",""))),0,IF($L120="Débit",$K120,IF($P120=1,-$K120,0))))</f>
        <v>61.06</v>
      </c>
      <c r="R120" s="6">
        <f>IF($K120="","",IF($L120="Crédit",$K120,-$K120))</f>
        <v>-61.06</v>
      </c>
      <c r="S120" s="6" t="str">
        <f>IF($C120="","",IFERROR(INDEX('Paramètres'!$H:$H,MATCH($C120,'Paramètres'!$D:$D,0))&amp;"",""))</f>
        <v>Banque A - Courant</v>
      </c>
      <c r="T120" s="6">
        <f>IF($K120="","",IF($S120="",0,IF(ISNUMBER(SEARCH("apport-exterieur",IFERROR(INDEX('Paramètres'!$N:$N,MATCH($D120,'Paramètres'!$M:$M,0))&amp;"",""))),0,IF(OR(IFERROR(INDEX('Paramètres'!$I:$I,MATCH($C120,'Paramètres'!$D:$D,0))&amp;"","")="Les deux",IFERROR(INDEX('Paramètres'!$I:$I,MATCH($C120,'Paramètres'!$D:$D,0))&amp;"","")=IF($P120=1,"Débit",$L120)),-IF($P120=1,-$K120,$K120),0))))</f>
        <v>0</v>
      </c>
      <c r="U120" s="6">
        <f>IF($K120="","",IF(ISNUMBER(SEARCH("sortie-epargne",IFERROR(INDEX('Paramètres'!$N:$N,MATCH($D120,'Paramètres'!$M:$M,0))&amp;"",""))),$K120,0))</f>
        <v>0</v>
      </c>
      <c r="V120" s="6" t="str">
        <f>IF(AND($A120&lt;&gt;"",$O120=1,$L120="Débit",N($Q120)&gt;0,$A120&gt;=Visualisation!$B$1,$A120&lt;Visualisation!$D$1),MAX($V$1:V119)+1,"")</f>
        <v/>
      </c>
    </row>
    <row r="121" spans="1:22" x14ac:dyDescent="0.25">
      <c r="A121" s="9">
        <v>45609</v>
      </c>
      <c r="B121" s="4" t="s">
        <v>90</v>
      </c>
      <c r="C121" s="4" t="s">
        <v>75</v>
      </c>
      <c r="D121" s="4" t="s">
        <v>91</v>
      </c>
      <c r="E121" s="10">
        <v>51.86</v>
      </c>
      <c r="G121" s="4" t="s">
        <v>135</v>
      </c>
      <c r="H121" s="4"/>
      <c r="I121" s="4" t="s">
        <v>79</v>
      </c>
      <c r="K121" s="11">
        <f>IF($E121="","",ROUND($E121*IF(ISNA(MATCH($C121,'Paramètres'!$D:$D,0)),1,IF(INDEX('Paramètres'!$J:$J,MATCH($C121,'Paramètres'!$D:$D,0))="",1,INDEX('Paramètres'!$J:$J,MATCH($C121,'Paramètres'!$D:$D,0)))),2))</f>
        <v>51.86</v>
      </c>
      <c r="L121" s="6" t="str">
        <f>IF($D121="","",IF($F121&lt;&gt;"",$F121,IF(ISNA(MATCH($D121,'Paramètres'!$M:$M,0)),"⚠ Type inconnu",IFERROR(INDEX('Paramètres'!$P:$P,MATCH($D121,'Paramètres'!$M:$M,0))&amp;"",""))))</f>
        <v>Débit</v>
      </c>
      <c r="M121" s="6" t="str">
        <f>IF($D121="","",IF(ISNA(MATCH($D121,'Paramètres'!$M:$M,0)),"⚠ Type inconnu",IF($L121="Crédit","",IFERROR(INDEX('Paramètres'!$O:$O,MATCH($D121,'Paramètres'!$M:$M,0))&amp;"",""))))</f>
        <v>Dépense Courante</v>
      </c>
      <c r="N121" s="6" t="str">
        <f>IF($D121="","",IFERROR(INDEX('Paramètres'!$Q:$Q,MATCH($D121,'Paramètres'!$M:$M,0))&amp;"",""))</f>
        <v>Transport</v>
      </c>
      <c r="O121" s="6">
        <f>IF($A121="","",IF(OR($J121&lt;&gt;"x",$A121&lt;=FinReleve),1,0))</f>
        <v>1</v>
      </c>
      <c r="P121" s="6">
        <f>IF($D121="","",IF(AND($L121="Crédit",OR(IFERROR(INDEX('Paramètres'!$O:$O,MATCH($D121,'Paramètres'!$M:$M,0))&amp;"","")&lt;&gt;"",ISNUMBER(SEARCH("remboursement",IFERROR(INDEX('Paramètres'!$N:$N,MATCH($D121,'Paramètres'!$M:$M,0))&amp;"",""))))),1,0))</f>
        <v>0</v>
      </c>
      <c r="Q121" s="6">
        <f>IF($K121="","",IF(ISNUMBER(SEARCH("transfert-interne",IFERROR(INDEX('Paramètres'!$N:$N,MATCH($D121,'Paramètres'!$M:$M,0))&amp;"",""))),0,IF($L121="Débit",$K121,IF($P121=1,-$K121,0))))</f>
        <v>51.86</v>
      </c>
      <c r="R121" s="6">
        <f>IF($K121="","",IF($L121="Crédit",$K121,-$K121))</f>
        <v>-51.86</v>
      </c>
      <c r="S121" s="6" t="str">
        <f>IF($C121="","",IFERROR(INDEX('Paramètres'!$H:$H,MATCH($C121,'Paramètres'!$D:$D,0))&amp;"",""))</f>
        <v/>
      </c>
      <c r="T121" s="6">
        <f>IF($K121="","",IF($S121="",0,IF(ISNUMBER(SEARCH("apport-exterieur",IFERROR(INDEX('Paramètres'!$N:$N,MATCH($D121,'Paramètres'!$M:$M,0))&amp;"",""))),0,IF(OR(IFERROR(INDEX('Paramètres'!$I:$I,MATCH($C121,'Paramètres'!$D:$D,0))&amp;"","")="Les deux",IFERROR(INDEX('Paramètres'!$I:$I,MATCH($C121,'Paramètres'!$D:$D,0))&amp;"","")=IF($P121=1,"Débit",$L121)),-IF($P121=1,-$K121,$K121),0))))</f>
        <v>0</v>
      </c>
      <c r="U121" s="6">
        <f>IF($K121="","",IF(ISNUMBER(SEARCH("sortie-epargne",IFERROR(INDEX('Paramètres'!$N:$N,MATCH($D121,'Paramètres'!$M:$M,0))&amp;"",""))),$K121,0))</f>
        <v>0</v>
      </c>
      <c r="V121" s="6" t="str">
        <f>IF(AND($A121&lt;&gt;"",$O121=1,$L121="Débit",N($Q121)&gt;0,$A121&gt;=Visualisation!$B$1,$A121&lt;Visualisation!$D$1),MAX($V$1:V120)+1,"")</f>
        <v/>
      </c>
    </row>
    <row r="122" spans="1:22" x14ac:dyDescent="0.25">
      <c r="A122" s="9">
        <v>45610</v>
      </c>
      <c r="B122" s="4" t="s">
        <v>76</v>
      </c>
      <c r="C122" s="4" t="s">
        <v>67</v>
      </c>
      <c r="D122" s="4" t="s">
        <v>77</v>
      </c>
      <c r="E122" s="10">
        <v>115.14</v>
      </c>
      <c r="G122" s="4" t="s">
        <v>102</v>
      </c>
      <c r="H122" s="4"/>
      <c r="I122" s="4" t="s">
        <v>79</v>
      </c>
      <c r="K122" s="11">
        <f>IF($E122="","",ROUND($E122*IF(ISNA(MATCH($C122,'Paramètres'!$D:$D,0)),1,IF(INDEX('Paramètres'!$J:$J,MATCH($C122,'Paramètres'!$D:$D,0))="",1,INDEX('Paramètres'!$J:$J,MATCH($C122,'Paramètres'!$D:$D,0)))),2))</f>
        <v>57.57</v>
      </c>
      <c r="L122" s="6" t="str">
        <f>IF($D122="","",IF($F122&lt;&gt;"",$F122,IF(ISNA(MATCH($D122,'Paramètres'!$M:$M,0)),"⚠ Type inconnu",IFERROR(INDEX('Paramètres'!$P:$P,MATCH($D122,'Paramètres'!$M:$M,0))&amp;"",""))))</f>
        <v>Débit</v>
      </c>
      <c r="M122" s="6" t="str">
        <f>IF($D122="","",IF(ISNA(MATCH($D122,'Paramètres'!$M:$M,0)),"⚠ Type inconnu",IF($L122="Crédit","",IFERROR(INDEX('Paramètres'!$O:$O,MATCH($D122,'Paramètres'!$M:$M,0))&amp;"",""))))</f>
        <v>Dépense Courante</v>
      </c>
      <c r="N122" s="6" t="str">
        <f>IF($D122="","",IFERROR(INDEX('Paramètres'!$Q:$Q,MATCH($D122,'Paramètres'!$M:$M,0))&amp;"",""))</f>
        <v>Alimentation</v>
      </c>
      <c r="O122" s="6">
        <f>IF($A122="","",IF(OR($J122&lt;&gt;"x",$A122&lt;=FinReleve),1,0))</f>
        <v>1</v>
      </c>
      <c r="P122" s="6">
        <f>IF($D122="","",IF(AND($L122="Crédit",OR(IFERROR(INDEX('Paramètres'!$O:$O,MATCH($D122,'Paramètres'!$M:$M,0))&amp;"","")&lt;&gt;"",ISNUMBER(SEARCH("remboursement",IFERROR(INDEX('Paramètres'!$N:$N,MATCH($D122,'Paramètres'!$M:$M,0))&amp;"",""))))),1,0))</f>
        <v>0</v>
      </c>
      <c r="Q122" s="6">
        <f>IF($K122="","",IF(ISNUMBER(SEARCH("transfert-interne",IFERROR(INDEX('Paramètres'!$N:$N,MATCH($D122,'Paramètres'!$M:$M,0))&amp;"",""))),0,IF($L122="Débit",$K122,IF($P122=1,-$K122,0))))</f>
        <v>57.57</v>
      </c>
      <c r="R122" s="6">
        <f>IF($K122="","",IF($L122="Crédit",$K122,-$K122))</f>
        <v>-57.57</v>
      </c>
      <c r="S122" s="6" t="str">
        <f>IF($C122="","",IFERROR(INDEX('Paramètres'!$H:$H,MATCH($C122,'Paramètres'!$D:$D,0))&amp;"",""))</f>
        <v>Banque A - Courant</v>
      </c>
      <c r="T122" s="6">
        <f>IF($K122="","",IF($S122="",0,IF(ISNUMBER(SEARCH("apport-exterieur",IFERROR(INDEX('Paramètres'!$N:$N,MATCH($D122,'Paramètres'!$M:$M,0))&amp;"",""))),0,IF(OR(IFERROR(INDEX('Paramètres'!$I:$I,MATCH($C122,'Paramètres'!$D:$D,0))&amp;"","")="Les deux",IFERROR(INDEX('Paramètres'!$I:$I,MATCH($C122,'Paramètres'!$D:$D,0))&amp;"","")=IF($P122=1,"Débit",$L122)),-IF($P122=1,-$K122,$K122),0))))</f>
        <v>0</v>
      </c>
      <c r="U122" s="6">
        <f>IF($K122="","",IF(ISNUMBER(SEARCH("sortie-epargne",IFERROR(INDEX('Paramètres'!$N:$N,MATCH($D122,'Paramètres'!$M:$M,0))&amp;"",""))),$K122,0))</f>
        <v>0</v>
      </c>
      <c r="V122" s="6" t="str">
        <f>IF(AND($A122&lt;&gt;"",$O122=1,$L122="Débit",N($Q122)&gt;0,$A122&gt;=Visualisation!$B$1,$A122&lt;Visualisation!$D$1),MAX($V$1:V121)+1,"")</f>
        <v/>
      </c>
    </row>
    <row r="123" spans="1:22" x14ac:dyDescent="0.25">
      <c r="A123" s="9">
        <v>45610</v>
      </c>
      <c r="B123" s="4" t="s">
        <v>76</v>
      </c>
      <c r="C123" s="4" t="s">
        <v>67</v>
      </c>
      <c r="D123" s="4" t="s">
        <v>77</v>
      </c>
      <c r="E123" s="10">
        <v>132.2</v>
      </c>
      <c r="G123" s="4" t="s">
        <v>78</v>
      </c>
      <c r="H123" s="4"/>
      <c r="I123" s="4" t="s">
        <v>79</v>
      </c>
      <c r="K123" s="11">
        <f>IF($E123="","",ROUND($E123*IF(ISNA(MATCH($C123,'Paramètres'!$D:$D,0)),1,IF(INDEX('Paramètres'!$J:$J,MATCH($C123,'Paramètres'!$D:$D,0))="",1,INDEX('Paramètres'!$J:$J,MATCH($C123,'Paramètres'!$D:$D,0)))),2))</f>
        <v>66.1</v>
      </c>
      <c r="L123" s="6" t="str">
        <f>IF($D123="","",IF($F123&lt;&gt;"",$F123,IF(ISNA(MATCH($D123,'Paramètres'!$M:$M,0)),"⚠ Type inconnu",IFERROR(INDEX('Paramètres'!$P:$P,MATCH($D123,'Paramètres'!$M:$M,0))&amp;"",""))))</f>
        <v>Débit</v>
      </c>
      <c r="M123" s="6" t="str">
        <f>IF($D123="","",IF(ISNA(MATCH($D123,'Paramètres'!$M:$M,0)),"⚠ Type inconnu",IF($L123="Crédit","",IFERROR(INDEX('Paramètres'!$O:$O,MATCH($D123,'Paramètres'!$M:$M,0))&amp;"",""))))</f>
        <v>Dépense Courante</v>
      </c>
      <c r="N123" s="6" t="str">
        <f>IF($D123="","",IFERROR(INDEX('Paramètres'!$Q:$Q,MATCH($D123,'Paramètres'!$M:$M,0))&amp;"",""))</f>
        <v>Alimentation</v>
      </c>
      <c r="O123" s="6">
        <f>IF($A123="","",IF(OR($J123&lt;&gt;"x",$A123&lt;=FinReleve),1,0))</f>
        <v>1</v>
      </c>
      <c r="P123" s="6">
        <f>IF($D123="","",IF(AND($L123="Crédit",OR(IFERROR(INDEX('Paramètres'!$O:$O,MATCH($D123,'Paramètres'!$M:$M,0))&amp;"","")&lt;&gt;"",ISNUMBER(SEARCH("remboursement",IFERROR(INDEX('Paramètres'!$N:$N,MATCH($D123,'Paramètres'!$M:$M,0))&amp;"",""))))),1,0))</f>
        <v>0</v>
      </c>
      <c r="Q123" s="6">
        <f>IF($K123="","",IF(ISNUMBER(SEARCH("transfert-interne",IFERROR(INDEX('Paramètres'!$N:$N,MATCH($D123,'Paramètres'!$M:$M,0))&amp;"",""))),0,IF($L123="Débit",$K123,IF($P123=1,-$K123,0))))</f>
        <v>66.1</v>
      </c>
      <c r="R123" s="6">
        <f>IF($K123="","",IF($L123="Crédit",$K123,-$K123))</f>
        <v>-66.1</v>
      </c>
      <c r="S123" s="6" t="str">
        <f>IF($C123="","",IFERROR(INDEX('Paramètres'!$H:$H,MATCH($C123,'Paramètres'!$D:$D,0))&amp;"",""))</f>
        <v>Banque A - Courant</v>
      </c>
      <c r="T123" s="6">
        <f>IF($K123="","",IF($S123="",0,IF(ISNUMBER(SEARCH("apport-exterieur",IFERROR(INDEX('Paramètres'!$N:$N,MATCH($D123,'Paramètres'!$M:$M,0))&amp;"",""))),0,IF(OR(IFERROR(INDEX('Paramètres'!$I:$I,MATCH($C123,'Paramètres'!$D:$D,0))&amp;"","")="Les deux",IFERROR(INDEX('Paramètres'!$I:$I,MATCH($C123,'Paramètres'!$D:$D,0))&amp;"","")=IF($P123=1,"Débit",$L123)),-IF($P123=1,-$K123,$K123),0))))</f>
        <v>0</v>
      </c>
      <c r="U123" s="6">
        <f>IF($K123="","",IF(ISNUMBER(SEARCH("sortie-epargne",IFERROR(INDEX('Paramètres'!$N:$N,MATCH($D123,'Paramètres'!$M:$M,0))&amp;"",""))),$K123,0))</f>
        <v>0</v>
      </c>
      <c r="V123" s="6" t="str">
        <f>IF(AND($A123&lt;&gt;"",$O123=1,$L123="Débit",N($Q123)&gt;0,$A123&gt;=Visualisation!$B$1,$A123&lt;Visualisation!$D$1),MAX($V$1:V122)+1,"")</f>
        <v/>
      </c>
    </row>
    <row r="124" spans="1:22" x14ac:dyDescent="0.25">
      <c r="A124" s="9">
        <v>45610</v>
      </c>
      <c r="B124" s="4" t="s">
        <v>90</v>
      </c>
      <c r="C124" s="4" t="s">
        <v>75</v>
      </c>
      <c r="D124" s="4" t="s">
        <v>91</v>
      </c>
      <c r="E124" s="10">
        <v>76.41</v>
      </c>
      <c r="G124" s="4" t="s">
        <v>136</v>
      </c>
      <c r="H124" s="4"/>
      <c r="I124" s="4" t="s">
        <v>63</v>
      </c>
      <c r="K124" s="11">
        <f>IF($E124="","",ROUND($E124*IF(ISNA(MATCH($C124,'Paramètres'!$D:$D,0)),1,IF(INDEX('Paramètres'!$J:$J,MATCH($C124,'Paramètres'!$D:$D,0))="",1,INDEX('Paramètres'!$J:$J,MATCH($C124,'Paramètres'!$D:$D,0)))),2))</f>
        <v>76.41</v>
      </c>
      <c r="L124" s="6" t="str">
        <f>IF($D124="","",IF($F124&lt;&gt;"",$F124,IF(ISNA(MATCH($D124,'Paramètres'!$M:$M,0)),"⚠ Type inconnu",IFERROR(INDEX('Paramètres'!$P:$P,MATCH($D124,'Paramètres'!$M:$M,0))&amp;"",""))))</f>
        <v>Débit</v>
      </c>
      <c r="M124" s="6" t="str">
        <f>IF($D124="","",IF(ISNA(MATCH($D124,'Paramètres'!$M:$M,0)),"⚠ Type inconnu",IF($L124="Crédit","",IFERROR(INDEX('Paramètres'!$O:$O,MATCH($D124,'Paramètres'!$M:$M,0))&amp;"",""))))</f>
        <v>Dépense Courante</v>
      </c>
      <c r="N124" s="6" t="str">
        <f>IF($D124="","",IFERROR(INDEX('Paramètres'!$Q:$Q,MATCH($D124,'Paramètres'!$M:$M,0))&amp;"",""))</f>
        <v>Transport</v>
      </c>
      <c r="O124" s="6">
        <f>IF($A124="","",IF(OR($J124&lt;&gt;"x",$A124&lt;=FinReleve),1,0))</f>
        <v>1</v>
      </c>
      <c r="P124" s="6">
        <f>IF($D124="","",IF(AND($L124="Crédit",OR(IFERROR(INDEX('Paramètres'!$O:$O,MATCH($D124,'Paramètres'!$M:$M,0))&amp;"","")&lt;&gt;"",ISNUMBER(SEARCH("remboursement",IFERROR(INDEX('Paramètres'!$N:$N,MATCH($D124,'Paramètres'!$M:$M,0))&amp;"",""))))),1,0))</f>
        <v>0</v>
      </c>
      <c r="Q124" s="6">
        <f>IF($K124="","",IF(ISNUMBER(SEARCH("transfert-interne",IFERROR(INDEX('Paramètres'!$N:$N,MATCH($D124,'Paramètres'!$M:$M,0))&amp;"",""))),0,IF($L124="Débit",$K124,IF($P124=1,-$K124,0))))</f>
        <v>76.41</v>
      </c>
      <c r="R124" s="6">
        <f>IF($K124="","",IF($L124="Crédit",$K124,-$K124))</f>
        <v>-76.41</v>
      </c>
      <c r="S124" s="6" t="str">
        <f>IF($C124="","",IFERROR(INDEX('Paramètres'!$H:$H,MATCH($C124,'Paramètres'!$D:$D,0))&amp;"",""))</f>
        <v/>
      </c>
      <c r="T124" s="6">
        <f>IF($K124="","",IF($S124="",0,IF(ISNUMBER(SEARCH("apport-exterieur",IFERROR(INDEX('Paramètres'!$N:$N,MATCH($D124,'Paramètres'!$M:$M,0))&amp;"",""))),0,IF(OR(IFERROR(INDEX('Paramètres'!$I:$I,MATCH($C124,'Paramètres'!$D:$D,0))&amp;"","")="Les deux",IFERROR(INDEX('Paramètres'!$I:$I,MATCH($C124,'Paramètres'!$D:$D,0))&amp;"","")=IF($P124=1,"Débit",$L124)),-IF($P124=1,-$K124,$K124),0))))</f>
        <v>0</v>
      </c>
      <c r="U124" s="6">
        <f>IF($K124="","",IF(ISNUMBER(SEARCH("sortie-epargne",IFERROR(INDEX('Paramètres'!$N:$N,MATCH($D124,'Paramètres'!$M:$M,0))&amp;"",""))),$K124,0))</f>
        <v>0</v>
      </c>
      <c r="V124" s="6" t="str">
        <f>IF(AND($A124&lt;&gt;"",$O124=1,$L124="Débit",N($Q124)&gt;0,$A124&gt;=Visualisation!$B$1,$A124&lt;Visualisation!$D$1),MAX($V$1:V123)+1,"")</f>
        <v/>
      </c>
    </row>
    <row r="125" spans="1:22" x14ac:dyDescent="0.25">
      <c r="A125" s="9">
        <v>45611</v>
      </c>
      <c r="B125" s="4" t="s">
        <v>100</v>
      </c>
      <c r="C125" s="4" t="s">
        <v>65</v>
      </c>
      <c r="D125" s="4" t="s">
        <v>100</v>
      </c>
      <c r="E125" s="10">
        <v>85.22</v>
      </c>
      <c r="G125" s="4"/>
      <c r="H125" s="4"/>
      <c r="I125" s="4"/>
      <c r="K125" s="11">
        <f>IF($E125="","",ROUND($E125*IF(ISNA(MATCH($C125,'Paramètres'!$D:$D,0)),1,IF(INDEX('Paramètres'!$J:$J,MATCH($C125,'Paramètres'!$D:$D,0))="",1,INDEX('Paramètres'!$J:$J,MATCH($C125,'Paramètres'!$D:$D,0)))),2))</f>
        <v>85.22</v>
      </c>
      <c r="L125" s="6" t="str">
        <f>IF($D125="","",IF($F125&lt;&gt;"",$F125,IF(ISNA(MATCH($D125,'Paramètres'!$M:$M,0)),"⚠ Type inconnu",IFERROR(INDEX('Paramètres'!$P:$P,MATCH($D125,'Paramètres'!$M:$M,0))&amp;"",""))))</f>
        <v>Débit</v>
      </c>
      <c r="M125" s="6" t="str">
        <f>IF($D125="","",IF(ISNA(MATCH($D125,'Paramètres'!$M:$M,0)),"⚠ Type inconnu",IF($L125="Crédit","",IFERROR(INDEX('Paramètres'!$O:$O,MATCH($D125,'Paramètres'!$M:$M,0))&amp;"",""))))</f>
        <v>Dépense Fixe</v>
      </c>
      <c r="N125" s="6" t="str">
        <f>IF($D125="","",IFERROR(INDEX('Paramètres'!$Q:$Q,MATCH($D125,'Paramètres'!$M:$M,0))&amp;"",""))</f>
        <v>Immobilier</v>
      </c>
      <c r="O125" s="6">
        <f>IF($A125="","",IF(OR($J125&lt;&gt;"x",$A125&lt;=FinReleve),1,0))</f>
        <v>1</v>
      </c>
      <c r="P125" s="6">
        <f>IF($D125="","",IF(AND($L125="Crédit",OR(IFERROR(INDEX('Paramètres'!$O:$O,MATCH($D125,'Paramètres'!$M:$M,0))&amp;"","")&lt;&gt;"",ISNUMBER(SEARCH("remboursement",IFERROR(INDEX('Paramètres'!$N:$N,MATCH($D125,'Paramètres'!$M:$M,0))&amp;"",""))))),1,0))</f>
        <v>0</v>
      </c>
      <c r="Q125" s="6">
        <f>IF($K125="","",IF(ISNUMBER(SEARCH("transfert-interne",IFERROR(INDEX('Paramètres'!$N:$N,MATCH($D125,'Paramètres'!$M:$M,0))&amp;"",""))),0,IF($L125="Débit",$K125,IF($P125=1,-$K125,0))))</f>
        <v>85.22</v>
      </c>
      <c r="R125" s="6">
        <f>IF($K125="","",IF($L125="Crédit",$K125,-$K125))</f>
        <v>-85.22</v>
      </c>
      <c r="S125" s="6" t="str">
        <f>IF($C125="","",IFERROR(INDEX('Paramètres'!$H:$H,MATCH($C125,'Paramètres'!$D:$D,0))&amp;"",""))</f>
        <v>Banque A - Courant</v>
      </c>
      <c r="T125" s="6">
        <f>IF($K125="","",IF($S125="",0,IF(ISNUMBER(SEARCH("apport-exterieur",IFERROR(INDEX('Paramètres'!$N:$N,MATCH($D125,'Paramètres'!$M:$M,0))&amp;"",""))),0,IF(OR(IFERROR(INDEX('Paramètres'!$I:$I,MATCH($C125,'Paramètres'!$D:$D,0))&amp;"","")="Les deux",IFERROR(INDEX('Paramètres'!$I:$I,MATCH($C125,'Paramètres'!$D:$D,0))&amp;"","")=IF($P125=1,"Débit",$L125)),-IF($P125=1,-$K125,$K125),0))))</f>
        <v>0</v>
      </c>
      <c r="U125" s="6">
        <f>IF($K125="","",IF(ISNUMBER(SEARCH("sortie-epargne",IFERROR(INDEX('Paramètres'!$N:$N,MATCH($D125,'Paramètres'!$M:$M,0))&amp;"",""))),$K125,0))</f>
        <v>0</v>
      </c>
      <c r="V125" s="6" t="str">
        <f>IF(AND($A125&lt;&gt;"",$O125=1,$L125="Débit",N($Q125)&gt;0,$A125&gt;=Visualisation!$B$1,$A125&lt;Visualisation!$D$1),MAX($V$1:V124)+1,"")</f>
        <v/>
      </c>
    </row>
    <row r="126" spans="1:22" x14ac:dyDescent="0.25">
      <c r="A126" s="9">
        <v>45611</v>
      </c>
      <c r="B126" s="4" t="s">
        <v>76</v>
      </c>
      <c r="C126" s="4" t="s">
        <v>67</v>
      </c>
      <c r="D126" s="4" t="s">
        <v>77</v>
      </c>
      <c r="E126" s="10">
        <v>135.58</v>
      </c>
      <c r="G126" s="4" t="s">
        <v>102</v>
      </c>
      <c r="H126" s="4"/>
      <c r="I126" s="4" t="s">
        <v>79</v>
      </c>
      <c r="K126" s="11">
        <f>IF($E126="","",ROUND($E126*IF(ISNA(MATCH($C126,'Paramètres'!$D:$D,0)),1,IF(INDEX('Paramètres'!$J:$J,MATCH($C126,'Paramètres'!$D:$D,0))="",1,INDEX('Paramètres'!$J:$J,MATCH($C126,'Paramètres'!$D:$D,0)))),2))</f>
        <v>67.79</v>
      </c>
      <c r="L126" s="6" t="str">
        <f>IF($D126="","",IF($F126&lt;&gt;"",$F126,IF(ISNA(MATCH($D126,'Paramètres'!$M:$M,0)),"⚠ Type inconnu",IFERROR(INDEX('Paramètres'!$P:$P,MATCH($D126,'Paramètres'!$M:$M,0))&amp;"",""))))</f>
        <v>Débit</v>
      </c>
      <c r="M126" s="6" t="str">
        <f>IF($D126="","",IF(ISNA(MATCH($D126,'Paramètres'!$M:$M,0)),"⚠ Type inconnu",IF($L126="Crédit","",IFERROR(INDEX('Paramètres'!$O:$O,MATCH($D126,'Paramètres'!$M:$M,0))&amp;"",""))))</f>
        <v>Dépense Courante</v>
      </c>
      <c r="N126" s="6" t="str">
        <f>IF($D126="","",IFERROR(INDEX('Paramètres'!$Q:$Q,MATCH($D126,'Paramètres'!$M:$M,0))&amp;"",""))</f>
        <v>Alimentation</v>
      </c>
      <c r="O126" s="6">
        <f>IF($A126="","",IF(OR($J126&lt;&gt;"x",$A126&lt;=FinReleve),1,0))</f>
        <v>1</v>
      </c>
      <c r="P126" s="6">
        <f>IF($D126="","",IF(AND($L126="Crédit",OR(IFERROR(INDEX('Paramètres'!$O:$O,MATCH($D126,'Paramètres'!$M:$M,0))&amp;"","")&lt;&gt;"",ISNUMBER(SEARCH("remboursement",IFERROR(INDEX('Paramètres'!$N:$N,MATCH($D126,'Paramètres'!$M:$M,0))&amp;"",""))))),1,0))</f>
        <v>0</v>
      </c>
      <c r="Q126" s="6">
        <f>IF($K126="","",IF(ISNUMBER(SEARCH("transfert-interne",IFERROR(INDEX('Paramètres'!$N:$N,MATCH($D126,'Paramètres'!$M:$M,0))&amp;"",""))),0,IF($L126="Débit",$K126,IF($P126=1,-$K126,0))))</f>
        <v>67.79</v>
      </c>
      <c r="R126" s="6">
        <f>IF($K126="","",IF($L126="Crédit",$K126,-$K126))</f>
        <v>-67.79</v>
      </c>
      <c r="S126" s="6" t="str">
        <f>IF($C126="","",IFERROR(INDEX('Paramètres'!$H:$H,MATCH($C126,'Paramètres'!$D:$D,0))&amp;"",""))</f>
        <v>Banque A - Courant</v>
      </c>
      <c r="T126" s="6">
        <f>IF($K126="","",IF($S126="",0,IF(ISNUMBER(SEARCH("apport-exterieur",IFERROR(INDEX('Paramètres'!$N:$N,MATCH($D126,'Paramètres'!$M:$M,0))&amp;"",""))),0,IF(OR(IFERROR(INDEX('Paramètres'!$I:$I,MATCH($C126,'Paramètres'!$D:$D,0))&amp;"","")="Les deux",IFERROR(INDEX('Paramètres'!$I:$I,MATCH($C126,'Paramètres'!$D:$D,0))&amp;"","")=IF($P126=1,"Débit",$L126)),-IF($P126=1,-$K126,$K126),0))))</f>
        <v>0</v>
      </c>
      <c r="U126" s="6">
        <f>IF($K126="","",IF(ISNUMBER(SEARCH("sortie-epargne",IFERROR(INDEX('Paramètres'!$N:$N,MATCH($D126,'Paramètres'!$M:$M,0))&amp;"",""))),$K126,0))</f>
        <v>0</v>
      </c>
      <c r="V126" s="6" t="str">
        <f>IF(AND($A126&lt;&gt;"",$O126=1,$L126="Débit",N($Q126)&gt;0,$A126&gt;=Visualisation!$B$1,$A126&lt;Visualisation!$D$1),MAX($V$1:V125)+1,"")</f>
        <v/>
      </c>
    </row>
    <row r="127" spans="1:22" x14ac:dyDescent="0.25">
      <c r="A127" s="9">
        <v>45611</v>
      </c>
      <c r="B127" s="4" t="s">
        <v>69</v>
      </c>
      <c r="C127" s="4" t="s">
        <v>70</v>
      </c>
      <c r="D127" s="4" t="s">
        <v>71</v>
      </c>
      <c r="E127" s="10">
        <v>12.22</v>
      </c>
      <c r="G127" s="4" t="s">
        <v>72</v>
      </c>
      <c r="H127" s="4"/>
      <c r="I127" s="4" t="s">
        <v>73</v>
      </c>
      <c r="K127" s="11">
        <f>IF($E127="","",ROUND($E127*IF(ISNA(MATCH($C127,'Paramètres'!$D:$D,0)),1,IF(INDEX('Paramètres'!$J:$J,MATCH($C127,'Paramètres'!$D:$D,0))="",1,INDEX('Paramètres'!$J:$J,MATCH($C127,'Paramètres'!$D:$D,0)))),2))</f>
        <v>12.22</v>
      </c>
      <c r="L127" s="6" t="str">
        <f>IF($D127="","",IF($F127&lt;&gt;"",$F127,IF(ISNA(MATCH($D127,'Paramètres'!$M:$M,0)),"⚠ Type inconnu",IFERROR(INDEX('Paramètres'!$P:$P,MATCH($D127,'Paramètres'!$M:$M,0))&amp;"",""))))</f>
        <v>Débit</v>
      </c>
      <c r="M127" s="6" t="str">
        <f>IF($D127="","",IF(ISNA(MATCH($D127,'Paramètres'!$M:$M,0)),"⚠ Type inconnu",IF($L127="Crédit","",IFERROR(INDEX('Paramètres'!$O:$O,MATCH($D127,'Paramètres'!$M:$M,0))&amp;"",""))))</f>
        <v>Dépense Courante</v>
      </c>
      <c r="N127" s="6" t="str">
        <f>IF($D127="","",IFERROR(INDEX('Paramètres'!$Q:$Q,MATCH($D127,'Paramètres'!$M:$M,0))&amp;"",""))</f>
        <v>Alimentation</v>
      </c>
      <c r="O127" s="6">
        <f>IF($A127="","",IF(OR($J127&lt;&gt;"x",$A127&lt;=FinReleve),1,0))</f>
        <v>1</v>
      </c>
      <c r="P127" s="6">
        <f>IF($D127="","",IF(AND($L127="Crédit",OR(IFERROR(INDEX('Paramètres'!$O:$O,MATCH($D127,'Paramètres'!$M:$M,0))&amp;"","")&lt;&gt;"",ISNUMBER(SEARCH("remboursement",IFERROR(INDEX('Paramètres'!$N:$N,MATCH($D127,'Paramètres'!$M:$M,0))&amp;"",""))))),1,0))</f>
        <v>0</v>
      </c>
      <c r="Q127" s="6">
        <f>IF($K127="","",IF(ISNUMBER(SEARCH("transfert-interne",IFERROR(INDEX('Paramètres'!$N:$N,MATCH($D127,'Paramètres'!$M:$M,0))&amp;"",""))),0,IF($L127="Débit",$K127,IF($P127=1,-$K127,0))))</f>
        <v>12.22</v>
      </c>
      <c r="R127" s="6">
        <f>IF($K127="","",IF($L127="Crédit",$K127,-$K127))</f>
        <v>-12.22</v>
      </c>
      <c r="S127" s="6" t="str">
        <f>IF($C127="","",IFERROR(INDEX('Paramètres'!$H:$H,MATCH($C127,'Paramètres'!$D:$D,0))&amp;"",""))</f>
        <v/>
      </c>
      <c r="T127" s="6">
        <f>IF($K127="","",IF($S127="",0,IF(ISNUMBER(SEARCH("apport-exterieur",IFERROR(INDEX('Paramètres'!$N:$N,MATCH($D127,'Paramètres'!$M:$M,0))&amp;"",""))),0,IF(OR(IFERROR(INDEX('Paramètres'!$I:$I,MATCH($C127,'Paramètres'!$D:$D,0))&amp;"","")="Les deux",IFERROR(INDEX('Paramètres'!$I:$I,MATCH($C127,'Paramètres'!$D:$D,0))&amp;"","")=IF($P127=1,"Débit",$L127)),-IF($P127=1,-$K127,$K127),0))))</f>
        <v>0</v>
      </c>
      <c r="U127" s="6">
        <f>IF($K127="","",IF(ISNUMBER(SEARCH("sortie-epargne",IFERROR(INDEX('Paramètres'!$N:$N,MATCH($D127,'Paramètres'!$M:$M,0))&amp;"",""))),$K127,0))</f>
        <v>0</v>
      </c>
      <c r="V127" s="6" t="str">
        <f>IF(AND($A127&lt;&gt;"",$O127=1,$L127="Débit",N($Q127)&gt;0,$A127&gt;=Visualisation!$B$1,$A127&lt;Visualisation!$D$1),MAX($V$1:V126)+1,"")</f>
        <v/>
      </c>
    </row>
    <row r="128" spans="1:22" x14ac:dyDescent="0.25">
      <c r="A128" s="9">
        <v>45611</v>
      </c>
      <c r="B128" s="4" t="s">
        <v>119</v>
      </c>
      <c r="C128" s="4" t="s">
        <v>126</v>
      </c>
      <c r="D128" s="4" t="s">
        <v>119</v>
      </c>
      <c r="E128" s="10">
        <v>186.84</v>
      </c>
      <c r="G128" s="4" t="s">
        <v>137</v>
      </c>
      <c r="H128" s="4"/>
      <c r="I128" s="4" t="s">
        <v>79</v>
      </c>
      <c r="K128" s="11">
        <f>IF($E128="","",ROUND($E128*IF(ISNA(MATCH($C128,'Paramètres'!$D:$D,0)),1,IF(INDEX('Paramètres'!$J:$J,MATCH($C128,'Paramètres'!$D:$D,0))="",1,INDEX('Paramètres'!$J:$J,MATCH($C128,'Paramètres'!$D:$D,0)))),2))</f>
        <v>93.42</v>
      </c>
      <c r="L128" s="6" t="str">
        <f>IF($D128="","",IF($F128&lt;&gt;"",$F128,IF(ISNA(MATCH($D128,'Paramètres'!$M:$M,0)),"⚠ Type inconnu",IFERROR(INDEX('Paramètres'!$P:$P,MATCH($D128,'Paramètres'!$M:$M,0))&amp;"",""))))</f>
        <v>Débit</v>
      </c>
      <c r="M128" s="6" t="str">
        <f>IF($D128="","",IF(ISNA(MATCH($D128,'Paramètres'!$M:$M,0)),"⚠ Type inconnu",IF($L128="Crédit","",IFERROR(INDEX('Paramètres'!$O:$O,MATCH($D128,'Paramètres'!$M:$M,0))&amp;"",""))))</f>
        <v>Dépense Occasionnelle</v>
      </c>
      <c r="N128" s="6" t="str">
        <f>IF($D128="","",IFERROR(INDEX('Paramètres'!$Q:$Q,MATCH($D128,'Paramètres'!$M:$M,0))&amp;"",""))</f>
        <v>Alimentation</v>
      </c>
      <c r="O128" s="6">
        <f>IF($A128="","",IF(OR($J128&lt;&gt;"x",$A128&lt;=FinReleve),1,0))</f>
        <v>1</v>
      </c>
      <c r="P128" s="6">
        <f>IF($D128="","",IF(AND($L128="Crédit",OR(IFERROR(INDEX('Paramètres'!$O:$O,MATCH($D128,'Paramètres'!$M:$M,0))&amp;"","")&lt;&gt;"",ISNUMBER(SEARCH("remboursement",IFERROR(INDEX('Paramètres'!$N:$N,MATCH($D128,'Paramètres'!$M:$M,0))&amp;"",""))))),1,0))</f>
        <v>0</v>
      </c>
      <c r="Q128" s="6">
        <f>IF($K128="","",IF(ISNUMBER(SEARCH("transfert-interne",IFERROR(INDEX('Paramètres'!$N:$N,MATCH($D128,'Paramètres'!$M:$M,0))&amp;"",""))),0,IF($L128="Débit",$K128,IF($P128=1,-$K128,0))))</f>
        <v>93.42</v>
      </c>
      <c r="R128" s="6">
        <f>IF($K128="","",IF($L128="Crédit",$K128,-$K128))</f>
        <v>-93.42</v>
      </c>
      <c r="S128" s="6" t="str">
        <f>IF($C128="","",IFERROR(INDEX('Paramètres'!$H:$H,MATCH($C128,'Paramètres'!$D:$D,0))&amp;"",""))</f>
        <v>Banque A - Courant</v>
      </c>
      <c r="T128" s="6">
        <f>IF($K128="","",IF($S128="",0,IF(ISNUMBER(SEARCH("apport-exterieur",IFERROR(INDEX('Paramètres'!$N:$N,MATCH($D128,'Paramètres'!$M:$M,0))&amp;"",""))),0,IF(OR(IFERROR(INDEX('Paramètres'!$I:$I,MATCH($C128,'Paramètres'!$D:$D,0))&amp;"","")="Les deux",IFERROR(INDEX('Paramètres'!$I:$I,MATCH($C128,'Paramètres'!$D:$D,0))&amp;"","")=IF($P128=1,"Débit",$L128)),-IF($P128=1,-$K128,$K128),0))))</f>
        <v>-93.42</v>
      </c>
      <c r="U128" s="6">
        <f>IF($K128="","",IF(ISNUMBER(SEARCH("sortie-epargne",IFERROR(INDEX('Paramètres'!$N:$N,MATCH($D128,'Paramètres'!$M:$M,0))&amp;"",""))),$K128,0))</f>
        <v>0</v>
      </c>
      <c r="V128" s="6" t="str">
        <f>IF(AND($A128&lt;&gt;"",$O128=1,$L128="Débit",N($Q128)&gt;0,$A128&gt;=Visualisation!$B$1,$A128&lt;Visualisation!$D$1),MAX($V$1:V127)+1,"")</f>
        <v/>
      </c>
    </row>
    <row r="129" spans="1:22" x14ac:dyDescent="0.25">
      <c r="A129" s="9">
        <v>45612</v>
      </c>
      <c r="B129" s="4" t="s">
        <v>69</v>
      </c>
      <c r="C129" s="4" t="s">
        <v>70</v>
      </c>
      <c r="D129" s="4" t="s">
        <v>71</v>
      </c>
      <c r="E129" s="10">
        <v>7.94</v>
      </c>
      <c r="G129" s="4" t="s">
        <v>72</v>
      </c>
      <c r="H129" s="4"/>
      <c r="I129" s="4" t="s">
        <v>73</v>
      </c>
      <c r="K129" s="11">
        <f>IF($E129="","",ROUND($E129*IF(ISNA(MATCH($C129,'Paramètres'!$D:$D,0)),1,IF(INDEX('Paramètres'!$J:$J,MATCH($C129,'Paramètres'!$D:$D,0))="",1,INDEX('Paramètres'!$J:$J,MATCH($C129,'Paramètres'!$D:$D,0)))),2))</f>
        <v>7.94</v>
      </c>
      <c r="L129" s="6" t="str">
        <f>IF($D129="","",IF($F129&lt;&gt;"",$F129,IF(ISNA(MATCH($D129,'Paramètres'!$M:$M,0)),"⚠ Type inconnu",IFERROR(INDEX('Paramètres'!$P:$P,MATCH($D129,'Paramètres'!$M:$M,0))&amp;"",""))))</f>
        <v>Débit</v>
      </c>
      <c r="M129" s="6" t="str">
        <f>IF($D129="","",IF(ISNA(MATCH($D129,'Paramètres'!$M:$M,0)),"⚠ Type inconnu",IF($L129="Crédit","",IFERROR(INDEX('Paramètres'!$O:$O,MATCH($D129,'Paramètres'!$M:$M,0))&amp;"",""))))</f>
        <v>Dépense Courante</v>
      </c>
      <c r="N129" s="6" t="str">
        <f>IF($D129="","",IFERROR(INDEX('Paramètres'!$Q:$Q,MATCH($D129,'Paramètres'!$M:$M,0))&amp;"",""))</f>
        <v>Alimentation</v>
      </c>
      <c r="O129" s="6">
        <f>IF($A129="","",IF(OR($J129&lt;&gt;"x",$A129&lt;=FinReleve),1,0))</f>
        <v>1</v>
      </c>
      <c r="P129" s="6">
        <f>IF($D129="","",IF(AND($L129="Crédit",OR(IFERROR(INDEX('Paramètres'!$O:$O,MATCH($D129,'Paramètres'!$M:$M,0))&amp;"","")&lt;&gt;"",ISNUMBER(SEARCH("remboursement",IFERROR(INDEX('Paramètres'!$N:$N,MATCH($D129,'Paramètres'!$M:$M,0))&amp;"",""))))),1,0))</f>
        <v>0</v>
      </c>
      <c r="Q129" s="6">
        <f>IF($K129="","",IF(ISNUMBER(SEARCH("transfert-interne",IFERROR(INDEX('Paramètres'!$N:$N,MATCH($D129,'Paramètres'!$M:$M,0))&amp;"",""))),0,IF($L129="Débit",$K129,IF($P129=1,-$K129,0))))</f>
        <v>7.94</v>
      </c>
      <c r="R129" s="6">
        <f>IF($K129="","",IF($L129="Crédit",$K129,-$K129))</f>
        <v>-7.94</v>
      </c>
      <c r="S129" s="6" t="str">
        <f>IF($C129="","",IFERROR(INDEX('Paramètres'!$H:$H,MATCH($C129,'Paramètres'!$D:$D,0))&amp;"",""))</f>
        <v/>
      </c>
      <c r="T129" s="6">
        <f>IF($K129="","",IF($S129="",0,IF(ISNUMBER(SEARCH("apport-exterieur",IFERROR(INDEX('Paramètres'!$N:$N,MATCH($D129,'Paramètres'!$M:$M,0))&amp;"",""))),0,IF(OR(IFERROR(INDEX('Paramètres'!$I:$I,MATCH($C129,'Paramètres'!$D:$D,0))&amp;"","")="Les deux",IFERROR(INDEX('Paramètres'!$I:$I,MATCH($C129,'Paramètres'!$D:$D,0))&amp;"","")=IF($P129=1,"Débit",$L129)),-IF($P129=1,-$K129,$K129),0))))</f>
        <v>0</v>
      </c>
      <c r="U129" s="6">
        <f>IF($K129="","",IF(ISNUMBER(SEARCH("sortie-epargne",IFERROR(INDEX('Paramètres'!$N:$N,MATCH($D129,'Paramètres'!$M:$M,0))&amp;"",""))),$K129,0))</f>
        <v>0</v>
      </c>
      <c r="V129" s="6" t="str">
        <f>IF(AND($A129&lt;&gt;"",$O129=1,$L129="Débit",N($Q129)&gt;0,$A129&gt;=Visualisation!$B$1,$A129&lt;Visualisation!$D$1),MAX($V$1:V128)+1,"")</f>
        <v/>
      </c>
    </row>
    <row r="130" spans="1:22" x14ac:dyDescent="0.25">
      <c r="A130" s="9">
        <v>45613</v>
      </c>
      <c r="B130" s="4" t="s">
        <v>59</v>
      </c>
      <c r="C130" s="4" t="s">
        <v>126</v>
      </c>
      <c r="D130" s="4" t="s">
        <v>59</v>
      </c>
      <c r="E130" s="10">
        <v>72.28</v>
      </c>
      <c r="G130" s="4" t="s">
        <v>138</v>
      </c>
      <c r="H130" s="4"/>
      <c r="I130" s="4" t="s">
        <v>63</v>
      </c>
      <c r="K130" s="11">
        <f>IF($E130="","",ROUND($E130*IF(ISNA(MATCH($C130,'Paramètres'!$D:$D,0)),1,IF(INDEX('Paramètres'!$J:$J,MATCH($C130,'Paramètres'!$D:$D,0))="",1,INDEX('Paramètres'!$J:$J,MATCH($C130,'Paramètres'!$D:$D,0)))),2))</f>
        <v>36.14</v>
      </c>
      <c r="L130" s="6" t="str">
        <f>IF($D130="","",IF($F130&lt;&gt;"",$F130,IF(ISNA(MATCH($D130,'Paramètres'!$M:$M,0)),"⚠ Type inconnu",IFERROR(INDEX('Paramètres'!$P:$P,MATCH($D130,'Paramètres'!$M:$M,0))&amp;"",""))))</f>
        <v>Débit</v>
      </c>
      <c r="M130" s="6" t="str">
        <f>IF($D130="","",IF(ISNA(MATCH($D130,'Paramètres'!$M:$M,0)),"⚠ Type inconnu",IF($L130="Crédit","",IFERROR(INDEX('Paramètres'!$O:$O,MATCH($D130,'Paramètres'!$M:$M,0))&amp;"",""))))</f>
        <v>Dépense Occasionnelle</v>
      </c>
      <c r="N130" s="6" t="str">
        <f>IF($D130="","",IFERROR(INDEX('Paramètres'!$Q:$Q,MATCH($D130,'Paramètres'!$M:$M,0))&amp;"",""))</f>
        <v>Loisir</v>
      </c>
      <c r="O130" s="6">
        <f>IF($A130="","",IF(OR($J130&lt;&gt;"x",$A130&lt;=FinReleve),1,0))</f>
        <v>1</v>
      </c>
      <c r="P130" s="6">
        <f>IF($D130="","",IF(AND($L130="Crédit",OR(IFERROR(INDEX('Paramètres'!$O:$O,MATCH($D130,'Paramètres'!$M:$M,0))&amp;"","")&lt;&gt;"",ISNUMBER(SEARCH("remboursement",IFERROR(INDEX('Paramètres'!$N:$N,MATCH($D130,'Paramètres'!$M:$M,0))&amp;"",""))))),1,0))</f>
        <v>0</v>
      </c>
      <c r="Q130" s="6">
        <f>IF($K130="","",IF(ISNUMBER(SEARCH("transfert-interne",IFERROR(INDEX('Paramètres'!$N:$N,MATCH($D130,'Paramètres'!$M:$M,0))&amp;"",""))),0,IF($L130="Débit",$K130,IF($P130=1,-$K130,0))))</f>
        <v>36.14</v>
      </c>
      <c r="R130" s="6">
        <f>IF($K130="","",IF($L130="Crédit",$K130,-$K130))</f>
        <v>-36.14</v>
      </c>
      <c r="S130" s="6" t="str">
        <f>IF($C130="","",IFERROR(INDEX('Paramètres'!$H:$H,MATCH($C130,'Paramètres'!$D:$D,0))&amp;"",""))</f>
        <v>Banque A - Courant</v>
      </c>
      <c r="T130" s="6">
        <f>IF($K130="","",IF($S130="",0,IF(ISNUMBER(SEARCH("apport-exterieur",IFERROR(INDEX('Paramètres'!$N:$N,MATCH($D130,'Paramètres'!$M:$M,0))&amp;"",""))),0,IF(OR(IFERROR(INDEX('Paramètres'!$I:$I,MATCH($C130,'Paramètres'!$D:$D,0))&amp;"","")="Les deux",IFERROR(INDEX('Paramètres'!$I:$I,MATCH($C130,'Paramètres'!$D:$D,0))&amp;"","")=IF($P130=1,"Débit",$L130)),-IF($P130=1,-$K130,$K130),0))))</f>
        <v>-36.14</v>
      </c>
      <c r="U130" s="6">
        <f>IF($K130="","",IF(ISNUMBER(SEARCH("sortie-epargne",IFERROR(INDEX('Paramètres'!$N:$N,MATCH($D130,'Paramètres'!$M:$M,0))&amp;"",""))),$K130,0))</f>
        <v>0</v>
      </c>
      <c r="V130" s="6" t="str">
        <f>IF(AND($A130&lt;&gt;"",$O130=1,$L130="Débit",N($Q130)&gt;0,$A130&gt;=Visualisation!$B$1,$A130&lt;Visualisation!$D$1),MAX($V$1:V129)+1,"")</f>
        <v/>
      </c>
    </row>
    <row r="131" spans="1:22" x14ac:dyDescent="0.25">
      <c r="A131" s="9">
        <v>45614</v>
      </c>
      <c r="B131" s="4" t="s">
        <v>103</v>
      </c>
      <c r="C131" s="4" t="s">
        <v>75</v>
      </c>
      <c r="D131" s="4" t="s">
        <v>103</v>
      </c>
      <c r="E131" s="10">
        <v>212</v>
      </c>
      <c r="G131" s="4"/>
      <c r="H131" s="4"/>
      <c r="I131" s="4"/>
      <c r="K131" s="11">
        <f>IF($E131="","",ROUND($E131*IF(ISNA(MATCH($C131,'Paramètres'!$D:$D,0)),1,IF(INDEX('Paramètres'!$J:$J,MATCH($C131,'Paramètres'!$D:$D,0))="",1,INDEX('Paramètres'!$J:$J,MATCH($C131,'Paramètres'!$D:$D,0)))),2))</f>
        <v>212</v>
      </c>
      <c r="L131" s="6" t="str">
        <f>IF($D131="","",IF($F131&lt;&gt;"",$F131,IF(ISNA(MATCH($D131,'Paramètres'!$M:$M,0)),"⚠ Type inconnu",IFERROR(INDEX('Paramètres'!$P:$P,MATCH($D131,'Paramètres'!$M:$M,0))&amp;"",""))))</f>
        <v>Débit</v>
      </c>
      <c r="M131" s="6" t="str">
        <f>IF($D131="","",IF(ISNA(MATCH($D131,'Paramètres'!$M:$M,0)),"⚠ Type inconnu",IF($L131="Crédit","",IFERROR(INDEX('Paramètres'!$O:$O,MATCH($D131,'Paramètres'!$M:$M,0))&amp;"",""))))</f>
        <v>Dépense Fixe</v>
      </c>
      <c r="N131" s="6" t="str">
        <f>IF($D131="","",IFERROR(INDEX('Paramètres'!$Q:$Q,MATCH($D131,'Paramètres'!$M:$M,0))&amp;"",""))</f>
        <v>Impots</v>
      </c>
      <c r="O131" s="6">
        <f>IF($A131="","",IF(OR($J131&lt;&gt;"x",$A131&lt;=FinReleve),1,0))</f>
        <v>1</v>
      </c>
      <c r="P131" s="6">
        <f>IF($D131="","",IF(AND($L131="Crédit",OR(IFERROR(INDEX('Paramètres'!$O:$O,MATCH($D131,'Paramètres'!$M:$M,0))&amp;"","")&lt;&gt;"",ISNUMBER(SEARCH("remboursement",IFERROR(INDEX('Paramètres'!$N:$N,MATCH($D131,'Paramètres'!$M:$M,0))&amp;"",""))))),1,0))</f>
        <v>0</v>
      </c>
      <c r="Q131" s="6">
        <f>IF($K131="","",IF(ISNUMBER(SEARCH("transfert-interne",IFERROR(INDEX('Paramètres'!$N:$N,MATCH($D131,'Paramètres'!$M:$M,0))&amp;"",""))),0,IF($L131="Débit",$K131,IF($P131=1,-$K131,0))))</f>
        <v>212</v>
      </c>
      <c r="R131" s="6">
        <f>IF($K131="","",IF($L131="Crédit",$K131,-$K131))</f>
        <v>-212</v>
      </c>
      <c r="S131" s="6" t="str">
        <f>IF($C131="","",IFERROR(INDEX('Paramètres'!$H:$H,MATCH($C131,'Paramètres'!$D:$D,0))&amp;"",""))</f>
        <v/>
      </c>
      <c r="T131" s="6">
        <f>IF($K131="","",IF($S131="",0,IF(ISNUMBER(SEARCH("apport-exterieur",IFERROR(INDEX('Paramètres'!$N:$N,MATCH($D131,'Paramètres'!$M:$M,0))&amp;"",""))),0,IF(OR(IFERROR(INDEX('Paramètres'!$I:$I,MATCH($C131,'Paramètres'!$D:$D,0))&amp;"","")="Les deux",IFERROR(INDEX('Paramètres'!$I:$I,MATCH($C131,'Paramètres'!$D:$D,0))&amp;"","")=IF($P131=1,"Débit",$L131)),-IF($P131=1,-$K131,$K131),0))))</f>
        <v>0</v>
      </c>
      <c r="U131" s="6">
        <f>IF($K131="","",IF(ISNUMBER(SEARCH("sortie-epargne",IFERROR(INDEX('Paramètres'!$N:$N,MATCH($D131,'Paramètres'!$M:$M,0))&amp;"",""))),$K131,0))</f>
        <v>0</v>
      </c>
      <c r="V131" s="6" t="str">
        <f>IF(AND($A131&lt;&gt;"",$O131=1,$L131="Débit",N($Q131)&gt;0,$A131&gt;=Visualisation!$B$1,$A131&lt;Visualisation!$D$1),MAX($V$1:V130)+1,"")</f>
        <v/>
      </c>
    </row>
    <row r="132" spans="1:22" x14ac:dyDescent="0.25">
      <c r="A132" s="9">
        <v>45615</v>
      </c>
      <c r="B132" s="4" t="s">
        <v>76</v>
      </c>
      <c r="C132" s="4" t="s">
        <v>67</v>
      </c>
      <c r="D132" s="4" t="s">
        <v>77</v>
      </c>
      <c r="E132" s="10">
        <v>63.94</v>
      </c>
      <c r="G132" s="4" t="s">
        <v>98</v>
      </c>
      <c r="H132" s="4"/>
      <c r="I132" s="4" t="s">
        <v>93</v>
      </c>
      <c r="K132" s="11">
        <f>IF($E132="","",ROUND($E132*IF(ISNA(MATCH($C132,'Paramètres'!$D:$D,0)),1,IF(INDEX('Paramètres'!$J:$J,MATCH($C132,'Paramètres'!$D:$D,0))="",1,INDEX('Paramètres'!$J:$J,MATCH($C132,'Paramètres'!$D:$D,0)))),2))</f>
        <v>31.97</v>
      </c>
      <c r="L132" s="6" t="str">
        <f>IF($D132="","",IF($F132&lt;&gt;"",$F132,IF(ISNA(MATCH($D132,'Paramètres'!$M:$M,0)),"⚠ Type inconnu",IFERROR(INDEX('Paramètres'!$P:$P,MATCH($D132,'Paramètres'!$M:$M,0))&amp;"",""))))</f>
        <v>Débit</v>
      </c>
      <c r="M132" s="6" t="str">
        <f>IF($D132="","",IF(ISNA(MATCH($D132,'Paramètres'!$M:$M,0)),"⚠ Type inconnu",IF($L132="Crédit","",IFERROR(INDEX('Paramètres'!$O:$O,MATCH($D132,'Paramètres'!$M:$M,0))&amp;"",""))))</f>
        <v>Dépense Courante</v>
      </c>
      <c r="N132" s="6" t="str">
        <f>IF($D132="","",IFERROR(INDEX('Paramètres'!$Q:$Q,MATCH($D132,'Paramètres'!$M:$M,0))&amp;"",""))</f>
        <v>Alimentation</v>
      </c>
      <c r="O132" s="6">
        <f>IF($A132="","",IF(OR($J132&lt;&gt;"x",$A132&lt;=FinReleve),1,0))</f>
        <v>1</v>
      </c>
      <c r="P132" s="6">
        <f>IF($D132="","",IF(AND($L132="Crédit",OR(IFERROR(INDEX('Paramètres'!$O:$O,MATCH($D132,'Paramètres'!$M:$M,0))&amp;"","")&lt;&gt;"",ISNUMBER(SEARCH("remboursement",IFERROR(INDEX('Paramètres'!$N:$N,MATCH($D132,'Paramètres'!$M:$M,0))&amp;"",""))))),1,0))</f>
        <v>0</v>
      </c>
      <c r="Q132" s="6">
        <f>IF($K132="","",IF(ISNUMBER(SEARCH("transfert-interne",IFERROR(INDEX('Paramètres'!$N:$N,MATCH($D132,'Paramètres'!$M:$M,0))&amp;"",""))),0,IF($L132="Débit",$K132,IF($P132=1,-$K132,0))))</f>
        <v>31.97</v>
      </c>
      <c r="R132" s="6">
        <f>IF($K132="","",IF($L132="Crédit",$K132,-$K132))</f>
        <v>-31.97</v>
      </c>
      <c r="S132" s="6" t="str">
        <f>IF($C132="","",IFERROR(INDEX('Paramètres'!$H:$H,MATCH($C132,'Paramètres'!$D:$D,0))&amp;"",""))</f>
        <v>Banque A - Courant</v>
      </c>
      <c r="T132" s="6">
        <f>IF($K132="","",IF($S132="",0,IF(ISNUMBER(SEARCH("apport-exterieur",IFERROR(INDEX('Paramètres'!$N:$N,MATCH($D132,'Paramètres'!$M:$M,0))&amp;"",""))),0,IF(OR(IFERROR(INDEX('Paramètres'!$I:$I,MATCH($C132,'Paramètres'!$D:$D,0))&amp;"","")="Les deux",IFERROR(INDEX('Paramètres'!$I:$I,MATCH($C132,'Paramètres'!$D:$D,0))&amp;"","")=IF($P132=1,"Débit",$L132)),-IF($P132=1,-$K132,$K132),0))))</f>
        <v>0</v>
      </c>
      <c r="U132" s="6">
        <f>IF($K132="","",IF(ISNUMBER(SEARCH("sortie-epargne",IFERROR(INDEX('Paramètres'!$N:$N,MATCH($D132,'Paramètres'!$M:$M,0))&amp;"",""))),$K132,0))</f>
        <v>0</v>
      </c>
      <c r="V132" s="6" t="str">
        <f>IF(AND($A132&lt;&gt;"",$O132=1,$L132="Débit",N($Q132)&gt;0,$A132&gt;=Visualisation!$B$1,$A132&lt;Visualisation!$D$1),MAX($V$1:V131)+1,"")</f>
        <v/>
      </c>
    </row>
    <row r="133" spans="1:22" x14ac:dyDescent="0.25">
      <c r="A133" s="9">
        <v>45615</v>
      </c>
      <c r="B133" s="4" t="s">
        <v>69</v>
      </c>
      <c r="C133" s="4" t="s">
        <v>70</v>
      </c>
      <c r="D133" s="4" t="s">
        <v>71</v>
      </c>
      <c r="E133" s="10">
        <v>14.08</v>
      </c>
      <c r="G133" s="4" t="s">
        <v>72</v>
      </c>
      <c r="H133" s="4"/>
      <c r="I133" s="4" t="s">
        <v>79</v>
      </c>
      <c r="K133" s="11">
        <f>IF($E133="","",ROUND($E133*IF(ISNA(MATCH($C133,'Paramètres'!$D:$D,0)),1,IF(INDEX('Paramètres'!$J:$J,MATCH($C133,'Paramètres'!$D:$D,0))="",1,INDEX('Paramètres'!$J:$J,MATCH($C133,'Paramètres'!$D:$D,0)))),2))</f>
        <v>14.08</v>
      </c>
      <c r="L133" s="6" t="str">
        <f>IF($D133="","",IF($F133&lt;&gt;"",$F133,IF(ISNA(MATCH($D133,'Paramètres'!$M:$M,0)),"⚠ Type inconnu",IFERROR(INDEX('Paramètres'!$P:$P,MATCH($D133,'Paramètres'!$M:$M,0))&amp;"",""))))</f>
        <v>Débit</v>
      </c>
      <c r="M133" s="6" t="str">
        <f>IF($D133="","",IF(ISNA(MATCH($D133,'Paramètres'!$M:$M,0)),"⚠ Type inconnu",IF($L133="Crédit","",IFERROR(INDEX('Paramètres'!$O:$O,MATCH($D133,'Paramètres'!$M:$M,0))&amp;"",""))))</f>
        <v>Dépense Courante</v>
      </c>
      <c r="N133" s="6" t="str">
        <f>IF($D133="","",IFERROR(INDEX('Paramètres'!$Q:$Q,MATCH($D133,'Paramètres'!$M:$M,0))&amp;"",""))</f>
        <v>Alimentation</v>
      </c>
      <c r="O133" s="6">
        <f>IF($A133="","",IF(OR($J133&lt;&gt;"x",$A133&lt;=FinReleve),1,0))</f>
        <v>1</v>
      </c>
      <c r="P133" s="6">
        <f>IF($D133="","",IF(AND($L133="Crédit",OR(IFERROR(INDEX('Paramètres'!$O:$O,MATCH($D133,'Paramètres'!$M:$M,0))&amp;"","")&lt;&gt;"",ISNUMBER(SEARCH("remboursement",IFERROR(INDEX('Paramètres'!$N:$N,MATCH($D133,'Paramètres'!$M:$M,0))&amp;"",""))))),1,0))</f>
        <v>0</v>
      </c>
      <c r="Q133" s="6">
        <f>IF($K133="","",IF(ISNUMBER(SEARCH("transfert-interne",IFERROR(INDEX('Paramètres'!$N:$N,MATCH($D133,'Paramètres'!$M:$M,0))&amp;"",""))),0,IF($L133="Débit",$K133,IF($P133=1,-$K133,0))))</f>
        <v>14.08</v>
      </c>
      <c r="R133" s="6">
        <f>IF($K133="","",IF($L133="Crédit",$K133,-$K133))</f>
        <v>-14.08</v>
      </c>
      <c r="S133" s="6" t="str">
        <f>IF($C133="","",IFERROR(INDEX('Paramètres'!$H:$H,MATCH($C133,'Paramètres'!$D:$D,0))&amp;"",""))</f>
        <v/>
      </c>
      <c r="T133" s="6">
        <f>IF($K133="","",IF($S133="",0,IF(ISNUMBER(SEARCH("apport-exterieur",IFERROR(INDEX('Paramètres'!$N:$N,MATCH($D133,'Paramètres'!$M:$M,0))&amp;"",""))),0,IF(OR(IFERROR(INDEX('Paramètres'!$I:$I,MATCH($C133,'Paramètres'!$D:$D,0))&amp;"","")="Les deux",IFERROR(INDEX('Paramètres'!$I:$I,MATCH($C133,'Paramètres'!$D:$D,0))&amp;"","")=IF($P133=1,"Débit",$L133)),-IF($P133=1,-$K133,$K133),0))))</f>
        <v>0</v>
      </c>
      <c r="U133" s="6">
        <f>IF($K133="","",IF(ISNUMBER(SEARCH("sortie-epargne",IFERROR(INDEX('Paramètres'!$N:$N,MATCH($D133,'Paramètres'!$M:$M,0))&amp;"",""))),$K133,0))</f>
        <v>0</v>
      </c>
      <c r="V133" s="6" t="str">
        <f>IF(AND($A133&lt;&gt;"",$O133=1,$L133="Débit",N($Q133)&gt;0,$A133&gt;=Visualisation!$B$1,$A133&lt;Visualisation!$D$1),MAX($V$1:V132)+1,"")</f>
        <v/>
      </c>
    </row>
    <row r="134" spans="1:22" x14ac:dyDescent="0.25">
      <c r="A134" s="9">
        <v>45616</v>
      </c>
      <c r="B134" s="4" t="s">
        <v>69</v>
      </c>
      <c r="C134" s="4" t="s">
        <v>70</v>
      </c>
      <c r="D134" s="4" t="s">
        <v>71</v>
      </c>
      <c r="E134" s="10">
        <v>10.51</v>
      </c>
      <c r="G134" s="4" t="s">
        <v>72</v>
      </c>
      <c r="H134" s="4"/>
      <c r="I134" s="4" t="s">
        <v>73</v>
      </c>
      <c r="K134" s="11">
        <f>IF($E134="","",ROUND($E134*IF(ISNA(MATCH($C134,'Paramètres'!$D:$D,0)),1,IF(INDEX('Paramètres'!$J:$J,MATCH($C134,'Paramètres'!$D:$D,0))="",1,INDEX('Paramètres'!$J:$J,MATCH($C134,'Paramètres'!$D:$D,0)))),2))</f>
        <v>10.51</v>
      </c>
      <c r="L134" s="6" t="str">
        <f>IF($D134="","",IF($F134&lt;&gt;"",$F134,IF(ISNA(MATCH($D134,'Paramètres'!$M:$M,0)),"⚠ Type inconnu",IFERROR(INDEX('Paramètres'!$P:$P,MATCH($D134,'Paramètres'!$M:$M,0))&amp;"",""))))</f>
        <v>Débit</v>
      </c>
      <c r="M134" s="6" t="str">
        <f>IF($D134="","",IF(ISNA(MATCH($D134,'Paramètres'!$M:$M,0)),"⚠ Type inconnu",IF($L134="Crédit","",IFERROR(INDEX('Paramètres'!$O:$O,MATCH($D134,'Paramètres'!$M:$M,0))&amp;"",""))))</f>
        <v>Dépense Courante</v>
      </c>
      <c r="N134" s="6" t="str">
        <f>IF($D134="","",IFERROR(INDEX('Paramètres'!$Q:$Q,MATCH($D134,'Paramètres'!$M:$M,0))&amp;"",""))</f>
        <v>Alimentation</v>
      </c>
      <c r="O134" s="6">
        <f>IF($A134="","",IF(OR($J134&lt;&gt;"x",$A134&lt;=FinReleve),1,0))</f>
        <v>1</v>
      </c>
      <c r="P134" s="6">
        <f>IF($D134="","",IF(AND($L134="Crédit",OR(IFERROR(INDEX('Paramètres'!$O:$O,MATCH($D134,'Paramètres'!$M:$M,0))&amp;"","")&lt;&gt;"",ISNUMBER(SEARCH("remboursement",IFERROR(INDEX('Paramètres'!$N:$N,MATCH($D134,'Paramètres'!$M:$M,0))&amp;"",""))))),1,0))</f>
        <v>0</v>
      </c>
      <c r="Q134" s="6">
        <f>IF($K134="","",IF(ISNUMBER(SEARCH("transfert-interne",IFERROR(INDEX('Paramètres'!$N:$N,MATCH($D134,'Paramètres'!$M:$M,0))&amp;"",""))),0,IF($L134="Débit",$K134,IF($P134=1,-$K134,0))))</f>
        <v>10.51</v>
      </c>
      <c r="R134" s="6">
        <f>IF($K134="","",IF($L134="Crédit",$K134,-$K134))</f>
        <v>-10.51</v>
      </c>
      <c r="S134" s="6" t="str">
        <f>IF($C134="","",IFERROR(INDEX('Paramètres'!$H:$H,MATCH($C134,'Paramètres'!$D:$D,0))&amp;"",""))</f>
        <v/>
      </c>
      <c r="T134" s="6">
        <f>IF($K134="","",IF($S134="",0,IF(ISNUMBER(SEARCH("apport-exterieur",IFERROR(INDEX('Paramètres'!$N:$N,MATCH($D134,'Paramètres'!$M:$M,0))&amp;"",""))),0,IF(OR(IFERROR(INDEX('Paramètres'!$I:$I,MATCH($C134,'Paramètres'!$D:$D,0))&amp;"","")="Les deux",IFERROR(INDEX('Paramètres'!$I:$I,MATCH($C134,'Paramètres'!$D:$D,0))&amp;"","")=IF($P134=1,"Débit",$L134)),-IF($P134=1,-$K134,$K134),0))))</f>
        <v>0</v>
      </c>
      <c r="U134" s="6">
        <f>IF($K134="","",IF(ISNUMBER(SEARCH("sortie-epargne",IFERROR(INDEX('Paramètres'!$N:$N,MATCH($D134,'Paramètres'!$M:$M,0))&amp;"",""))),$K134,0))</f>
        <v>0</v>
      </c>
      <c r="V134" s="6" t="str">
        <f>IF(AND($A134&lt;&gt;"",$O134=1,$L134="Débit",N($Q134)&gt;0,$A134&gt;=Visualisation!$B$1,$A134&lt;Visualisation!$D$1),MAX($V$1:V133)+1,"")</f>
        <v/>
      </c>
    </row>
    <row r="135" spans="1:22" x14ac:dyDescent="0.25">
      <c r="A135" s="9">
        <v>45616</v>
      </c>
      <c r="B135" s="4" t="s">
        <v>76</v>
      </c>
      <c r="C135" s="4" t="s">
        <v>107</v>
      </c>
      <c r="D135" s="4" t="s">
        <v>108</v>
      </c>
      <c r="E135" s="10">
        <v>28.85</v>
      </c>
      <c r="G135" s="4" t="s">
        <v>122</v>
      </c>
      <c r="H135" s="4"/>
      <c r="I135" s="4" t="s">
        <v>73</v>
      </c>
      <c r="K135" s="11">
        <f>IF($E135="","",ROUND($E135*IF(ISNA(MATCH($C135,'Paramètres'!$D:$D,0)),1,IF(INDEX('Paramètres'!$J:$J,MATCH($C135,'Paramètres'!$D:$D,0))="",1,INDEX('Paramètres'!$J:$J,MATCH($C135,'Paramètres'!$D:$D,0)))),2))</f>
        <v>28.85</v>
      </c>
      <c r="L135" s="6" t="str">
        <f>IF($D135="","",IF($F135&lt;&gt;"",$F135,IF(ISNA(MATCH($D135,'Paramètres'!$M:$M,0)),"⚠ Type inconnu",IFERROR(INDEX('Paramètres'!$P:$P,MATCH($D135,'Paramètres'!$M:$M,0))&amp;"",""))))</f>
        <v>Débit</v>
      </c>
      <c r="M135" s="6" t="str">
        <f>IF($D135="","",IF(ISNA(MATCH($D135,'Paramètres'!$M:$M,0)),"⚠ Type inconnu",IF($L135="Crédit","",IFERROR(INDEX('Paramètres'!$O:$O,MATCH($D135,'Paramètres'!$M:$M,0))&amp;"",""))))</f>
        <v>Dépense Occasionnelle</v>
      </c>
      <c r="N135" s="6" t="str">
        <f>IF($D135="","",IFERROR(INDEX('Paramètres'!$Q:$Q,MATCH($D135,'Paramètres'!$M:$M,0))&amp;"",""))</f>
        <v>Autre</v>
      </c>
      <c r="O135" s="6">
        <f>IF($A135="","",IF(OR($J135&lt;&gt;"x",$A135&lt;=FinReleve),1,0))</f>
        <v>1</v>
      </c>
      <c r="P135" s="6">
        <f>IF($D135="","",IF(AND($L135="Crédit",OR(IFERROR(INDEX('Paramètres'!$O:$O,MATCH($D135,'Paramètres'!$M:$M,0))&amp;"","")&lt;&gt;"",ISNUMBER(SEARCH("remboursement",IFERROR(INDEX('Paramètres'!$N:$N,MATCH($D135,'Paramètres'!$M:$M,0))&amp;"",""))))),1,0))</f>
        <v>0</v>
      </c>
      <c r="Q135" s="6">
        <f>IF($K135="","",IF(ISNUMBER(SEARCH("transfert-interne",IFERROR(INDEX('Paramètres'!$N:$N,MATCH($D135,'Paramètres'!$M:$M,0))&amp;"",""))),0,IF($L135="Débit",$K135,IF($P135=1,-$K135,0))))</f>
        <v>28.85</v>
      </c>
      <c r="R135" s="6">
        <f>IF($K135="","",IF($L135="Crédit",$K135,-$K135))</f>
        <v>-28.85</v>
      </c>
      <c r="S135" s="6" t="str">
        <f>IF($C135="","",IFERROR(INDEX('Paramètres'!$H:$H,MATCH($C135,'Paramètres'!$D:$D,0))&amp;"",""))</f>
        <v/>
      </c>
      <c r="T135" s="6">
        <f>IF($K135="","",IF($S135="",0,IF(ISNUMBER(SEARCH("apport-exterieur",IFERROR(INDEX('Paramètres'!$N:$N,MATCH($D135,'Paramètres'!$M:$M,0))&amp;"",""))),0,IF(OR(IFERROR(INDEX('Paramètres'!$I:$I,MATCH($C135,'Paramètres'!$D:$D,0))&amp;"","")="Les deux",IFERROR(INDEX('Paramètres'!$I:$I,MATCH($C135,'Paramètres'!$D:$D,0))&amp;"","")=IF($P135=1,"Débit",$L135)),-IF($P135=1,-$K135,$K135),0))))</f>
        <v>0</v>
      </c>
      <c r="U135" s="6">
        <f>IF($K135="","",IF(ISNUMBER(SEARCH("sortie-epargne",IFERROR(INDEX('Paramètres'!$N:$N,MATCH($D135,'Paramètres'!$M:$M,0))&amp;"",""))),$K135,0))</f>
        <v>0</v>
      </c>
      <c r="V135" s="6" t="str">
        <f>IF(AND($A135&lt;&gt;"",$O135=1,$L135="Débit",N($Q135)&gt;0,$A135&gt;=Visualisation!$B$1,$A135&lt;Visualisation!$D$1),MAX($V$1:V134)+1,"")</f>
        <v/>
      </c>
    </row>
    <row r="136" spans="1:22" x14ac:dyDescent="0.25">
      <c r="A136" s="9">
        <v>45617</v>
      </c>
      <c r="B136" s="4" t="s">
        <v>59</v>
      </c>
      <c r="C136" s="4" t="s">
        <v>126</v>
      </c>
      <c r="D136" s="4" t="s">
        <v>59</v>
      </c>
      <c r="E136" s="10">
        <v>47.32</v>
      </c>
      <c r="G136" s="4" t="s">
        <v>138</v>
      </c>
      <c r="H136" s="4"/>
      <c r="I136" s="4" t="s">
        <v>79</v>
      </c>
      <c r="K136" s="11">
        <f>IF($E136="","",ROUND($E136*IF(ISNA(MATCH($C136,'Paramètres'!$D:$D,0)),1,IF(INDEX('Paramètres'!$J:$J,MATCH($C136,'Paramètres'!$D:$D,0))="",1,INDEX('Paramètres'!$J:$J,MATCH($C136,'Paramètres'!$D:$D,0)))),2))</f>
        <v>23.66</v>
      </c>
      <c r="L136" s="6" t="str">
        <f>IF($D136="","",IF($F136&lt;&gt;"",$F136,IF(ISNA(MATCH($D136,'Paramètres'!$M:$M,0)),"⚠ Type inconnu",IFERROR(INDEX('Paramètres'!$P:$P,MATCH($D136,'Paramètres'!$M:$M,0))&amp;"",""))))</f>
        <v>Débit</v>
      </c>
      <c r="M136" s="6" t="str">
        <f>IF($D136="","",IF(ISNA(MATCH($D136,'Paramètres'!$M:$M,0)),"⚠ Type inconnu",IF($L136="Crédit","",IFERROR(INDEX('Paramètres'!$O:$O,MATCH($D136,'Paramètres'!$M:$M,0))&amp;"",""))))</f>
        <v>Dépense Occasionnelle</v>
      </c>
      <c r="N136" s="6" t="str">
        <f>IF($D136="","",IFERROR(INDEX('Paramètres'!$Q:$Q,MATCH($D136,'Paramètres'!$M:$M,0))&amp;"",""))</f>
        <v>Loisir</v>
      </c>
      <c r="O136" s="6">
        <f>IF($A136="","",IF(OR($J136&lt;&gt;"x",$A136&lt;=FinReleve),1,0))</f>
        <v>1</v>
      </c>
      <c r="P136" s="6">
        <f>IF($D136="","",IF(AND($L136="Crédit",OR(IFERROR(INDEX('Paramètres'!$O:$O,MATCH($D136,'Paramètres'!$M:$M,0))&amp;"","")&lt;&gt;"",ISNUMBER(SEARCH("remboursement",IFERROR(INDEX('Paramètres'!$N:$N,MATCH($D136,'Paramètres'!$M:$M,0))&amp;"",""))))),1,0))</f>
        <v>0</v>
      </c>
      <c r="Q136" s="6">
        <f>IF($K136="","",IF(ISNUMBER(SEARCH("transfert-interne",IFERROR(INDEX('Paramètres'!$N:$N,MATCH($D136,'Paramètres'!$M:$M,0))&amp;"",""))),0,IF($L136="Débit",$K136,IF($P136=1,-$K136,0))))</f>
        <v>23.66</v>
      </c>
      <c r="R136" s="6">
        <f>IF($K136="","",IF($L136="Crédit",$K136,-$K136))</f>
        <v>-23.66</v>
      </c>
      <c r="S136" s="6" t="str">
        <f>IF($C136="","",IFERROR(INDEX('Paramètres'!$H:$H,MATCH($C136,'Paramètres'!$D:$D,0))&amp;"",""))</f>
        <v>Banque A - Courant</v>
      </c>
      <c r="T136" s="6">
        <f>IF($K136="","",IF($S136="",0,IF(ISNUMBER(SEARCH("apport-exterieur",IFERROR(INDEX('Paramètres'!$N:$N,MATCH($D136,'Paramètres'!$M:$M,0))&amp;"",""))),0,IF(OR(IFERROR(INDEX('Paramètres'!$I:$I,MATCH($C136,'Paramètres'!$D:$D,0))&amp;"","")="Les deux",IFERROR(INDEX('Paramètres'!$I:$I,MATCH($C136,'Paramètres'!$D:$D,0))&amp;"","")=IF($P136=1,"Débit",$L136)),-IF($P136=1,-$K136,$K136),0))))</f>
        <v>-23.66</v>
      </c>
      <c r="U136" s="6">
        <f>IF($K136="","",IF(ISNUMBER(SEARCH("sortie-epargne",IFERROR(INDEX('Paramètres'!$N:$N,MATCH($D136,'Paramètres'!$M:$M,0))&amp;"",""))),$K136,0))</f>
        <v>0</v>
      </c>
      <c r="V136" s="6" t="str">
        <f>IF(AND($A136&lt;&gt;"",$O136=1,$L136="Débit",N($Q136)&gt;0,$A136&gt;=Visualisation!$B$1,$A136&lt;Visualisation!$D$1),MAX($V$1:V135)+1,"")</f>
        <v/>
      </c>
    </row>
    <row r="137" spans="1:22" x14ac:dyDescent="0.25">
      <c r="A137" s="9">
        <v>45617</v>
      </c>
      <c r="B137" s="4" t="s">
        <v>76</v>
      </c>
      <c r="C137" s="4" t="s">
        <v>107</v>
      </c>
      <c r="D137" s="4" t="s">
        <v>108</v>
      </c>
      <c r="E137" s="10">
        <v>45.84</v>
      </c>
      <c r="G137" s="4" t="s">
        <v>109</v>
      </c>
      <c r="H137" s="4"/>
      <c r="I137" s="4"/>
      <c r="K137" s="11">
        <f>IF($E137="","",ROUND($E137*IF(ISNA(MATCH($C137,'Paramètres'!$D:$D,0)),1,IF(INDEX('Paramètres'!$J:$J,MATCH($C137,'Paramètres'!$D:$D,0))="",1,INDEX('Paramètres'!$J:$J,MATCH($C137,'Paramètres'!$D:$D,0)))),2))</f>
        <v>45.84</v>
      </c>
      <c r="L137" s="6" t="str">
        <f>IF($D137="","",IF($F137&lt;&gt;"",$F137,IF(ISNA(MATCH($D137,'Paramètres'!$M:$M,0)),"⚠ Type inconnu",IFERROR(INDEX('Paramètres'!$P:$P,MATCH($D137,'Paramètres'!$M:$M,0))&amp;"",""))))</f>
        <v>Débit</v>
      </c>
      <c r="M137" s="6" t="str">
        <f>IF($D137="","",IF(ISNA(MATCH($D137,'Paramètres'!$M:$M,0)),"⚠ Type inconnu",IF($L137="Crédit","",IFERROR(INDEX('Paramètres'!$O:$O,MATCH($D137,'Paramètres'!$M:$M,0))&amp;"",""))))</f>
        <v>Dépense Occasionnelle</v>
      </c>
      <c r="N137" s="6" t="str">
        <f>IF($D137="","",IFERROR(INDEX('Paramètres'!$Q:$Q,MATCH($D137,'Paramètres'!$M:$M,0))&amp;"",""))</f>
        <v>Autre</v>
      </c>
      <c r="O137" s="6">
        <f>IF($A137="","",IF(OR($J137&lt;&gt;"x",$A137&lt;=FinReleve),1,0))</f>
        <v>1</v>
      </c>
      <c r="P137" s="6">
        <f>IF($D137="","",IF(AND($L137="Crédit",OR(IFERROR(INDEX('Paramètres'!$O:$O,MATCH($D137,'Paramètres'!$M:$M,0))&amp;"","")&lt;&gt;"",ISNUMBER(SEARCH("remboursement",IFERROR(INDEX('Paramètres'!$N:$N,MATCH($D137,'Paramètres'!$M:$M,0))&amp;"",""))))),1,0))</f>
        <v>0</v>
      </c>
      <c r="Q137" s="6">
        <f>IF($K137="","",IF(ISNUMBER(SEARCH("transfert-interne",IFERROR(INDEX('Paramètres'!$N:$N,MATCH($D137,'Paramètres'!$M:$M,0))&amp;"",""))),0,IF($L137="Débit",$K137,IF($P137=1,-$K137,0))))</f>
        <v>45.84</v>
      </c>
      <c r="R137" s="6">
        <f>IF($K137="","",IF($L137="Crédit",$K137,-$K137))</f>
        <v>-45.84</v>
      </c>
      <c r="S137" s="6" t="str">
        <f>IF($C137="","",IFERROR(INDEX('Paramètres'!$H:$H,MATCH($C137,'Paramètres'!$D:$D,0))&amp;"",""))</f>
        <v/>
      </c>
      <c r="T137" s="6">
        <f>IF($K137="","",IF($S137="",0,IF(ISNUMBER(SEARCH("apport-exterieur",IFERROR(INDEX('Paramètres'!$N:$N,MATCH($D137,'Paramètres'!$M:$M,0))&amp;"",""))),0,IF(OR(IFERROR(INDEX('Paramètres'!$I:$I,MATCH($C137,'Paramètres'!$D:$D,0))&amp;"","")="Les deux",IFERROR(INDEX('Paramètres'!$I:$I,MATCH($C137,'Paramètres'!$D:$D,0))&amp;"","")=IF($P137=1,"Débit",$L137)),-IF($P137=1,-$K137,$K137),0))))</f>
        <v>0</v>
      </c>
      <c r="U137" s="6">
        <f>IF($K137="","",IF(ISNUMBER(SEARCH("sortie-epargne",IFERROR(INDEX('Paramètres'!$N:$N,MATCH($D137,'Paramètres'!$M:$M,0))&amp;"",""))),$K137,0))</f>
        <v>0</v>
      </c>
      <c r="V137" s="6" t="str">
        <f>IF(AND($A137&lt;&gt;"",$O137=1,$L137="Débit",N($Q137)&gt;0,$A137&gt;=Visualisation!$B$1,$A137&lt;Visualisation!$D$1),MAX($V$1:V136)+1,"")</f>
        <v/>
      </c>
    </row>
    <row r="138" spans="1:22" x14ac:dyDescent="0.25">
      <c r="A138" s="9">
        <v>45618</v>
      </c>
      <c r="B138" s="4" t="s">
        <v>76</v>
      </c>
      <c r="C138" s="4" t="s">
        <v>60</v>
      </c>
      <c r="D138" s="4" t="s">
        <v>77</v>
      </c>
      <c r="E138" s="10">
        <v>84.8</v>
      </c>
      <c r="G138" s="4" t="s">
        <v>78</v>
      </c>
      <c r="H138" s="4"/>
      <c r="I138" s="4"/>
      <c r="K138" s="11">
        <f>IF($E138="","",ROUND($E138*IF(ISNA(MATCH($C138,'Paramètres'!$D:$D,0)),1,IF(INDEX('Paramètres'!$J:$J,MATCH($C138,'Paramètres'!$D:$D,0))="",1,INDEX('Paramètres'!$J:$J,MATCH($C138,'Paramètres'!$D:$D,0)))),2))</f>
        <v>42.4</v>
      </c>
      <c r="L138" s="6" t="str">
        <f>IF($D138="","",IF($F138&lt;&gt;"",$F138,IF(ISNA(MATCH($D138,'Paramètres'!$M:$M,0)),"⚠ Type inconnu",IFERROR(INDEX('Paramètres'!$P:$P,MATCH($D138,'Paramètres'!$M:$M,0))&amp;"",""))))</f>
        <v>Débit</v>
      </c>
      <c r="M138" s="6" t="str">
        <f>IF($D138="","",IF(ISNA(MATCH($D138,'Paramètres'!$M:$M,0)),"⚠ Type inconnu",IF($L138="Crédit","",IFERROR(INDEX('Paramètres'!$O:$O,MATCH($D138,'Paramètres'!$M:$M,0))&amp;"",""))))</f>
        <v>Dépense Courante</v>
      </c>
      <c r="N138" s="6" t="str">
        <f>IF($D138="","",IFERROR(INDEX('Paramètres'!$Q:$Q,MATCH($D138,'Paramètres'!$M:$M,0))&amp;"",""))</f>
        <v>Alimentation</v>
      </c>
      <c r="O138" s="6">
        <f>IF($A138="","",IF(OR($J138&lt;&gt;"x",$A138&lt;=FinReleve),1,0))</f>
        <v>1</v>
      </c>
      <c r="P138" s="6">
        <f>IF($D138="","",IF(AND($L138="Crédit",OR(IFERROR(INDEX('Paramètres'!$O:$O,MATCH($D138,'Paramètres'!$M:$M,0))&amp;"","")&lt;&gt;"",ISNUMBER(SEARCH("remboursement",IFERROR(INDEX('Paramètres'!$N:$N,MATCH($D138,'Paramètres'!$M:$M,0))&amp;"",""))))),1,0))</f>
        <v>0</v>
      </c>
      <c r="Q138" s="6">
        <f>IF($K138="","",IF(ISNUMBER(SEARCH("transfert-interne",IFERROR(INDEX('Paramètres'!$N:$N,MATCH($D138,'Paramètres'!$M:$M,0))&amp;"",""))),0,IF($L138="Débit",$K138,IF($P138=1,-$K138,0))))</f>
        <v>42.4</v>
      </c>
      <c r="R138" s="6">
        <f>IF($K138="","",IF($L138="Crédit",$K138,-$K138))</f>
        <v>-42.4</v>
      </c>
      <c r="S138" s="6" t="str">
        <f>IF($C138="","",IFERROR(INDEX('Paramètres'!$H:$H,MATCH($C138,'Paramètres'!$D:$D,0))&amp;"",""))</f>
        <v>Banque A - Courant</v>
      </c>
      <c r="T138" s="6">
        <f>IF($K138="","",IF($S138="",0,IF(ISNUMBER(SEARCH("apport-exterieur",IFERROR(INDEX('Paramètres'!$N:$N,MATCH($D138,'Paramètres'!$M:$M,0))&amp;"",""))),0,IF(OR(IFERROR(INDEX('Paramètres'!$I:$I,MATCH($C138,'Paramètres'!$D:$D,0))&amp;"","")="Les deux",IFERROR(INDEX('Paramètres'!$I:$I,MATCH($C138,'Paramètres'!$D:$D,0))&amp;"","")=IF($P138=1,"Débit",$L138)),-IF($P138=1,-$K138,$K138),0))))</f>
        <v>-42.4</v>
      </c>
      <c r="U138" s="6">
        <f>IF($K138="","",IF(ISNUMBER(SEARCH("sortie-epargne",IFERROR(INDEX('Paramètres'!$N:$N,MATCH($D138,'Paramètres'!$M:$M,0))&amp;"",""))),$K138,0))</f>
        <v>0</v>
      </c>
      <c r="V138" s="6" t="str">
        <f>IF(AND($A138&lt;&gt;"",$O138=1,$L138="Débit",N($Q138)&gt;0,$A138&gt;=Visualisation!$B$1,$A138&lt;Visualisation!$D$1),MAX($V$1:V137)+1,"")</f>
        <v/>
      </c>
    </row>
    <row r="139" spans="1:22" x14ac:dyDescent="0.25">
      <c r="A139" s="9">
        <v>45620</v>
      </c>
      <c r="B139" s="4" t="s">
        <v>76</v>
      </c>
      <c r="C139" s="4" t="s">
        <v>67</v>
      </c>
      <c r="D139" s="4" t="s">
        <v>77</v>
      </c>
      <c r="E139" s="10">
        <v>126</v>
      </c>
      <c r="G139" s="4" t="s">
        <v>102</v>
      </c>
      <c r="H139" s="4"/>
      <c r="I139" s="4"/>
      <c r="K139" s="11">
        <f>IF($E139="","",ROUND($E139*IF(ISNA(MATCH($C139,'Paramètres'!$D:$D,0)),1,IF(INDEX('Paramètres'!$J:$J,MATCH($C139,'Paramètres'!$D:$D,0))="",1,INDEX('Paramètres'!$J:$J,MATCH($C139,'Paramètres'!$D:$D,0)))),2))</f>
        <v>63</v>
      </c>
      <c r="L139" s="6" t="str">
        <f>IF($D139="","",IF($F139&lt;&gt;"",$F139,IF(ISNA(MATCH($D139,'Paramètres'!$M:$M,0)),"⚠ Type inconnu",IFERROR(INDEX('Paramètres'!$P:$P,MATCH($D139,'Paramètres'!$M:$M,0))&amp;"",""))))</f>
        <v>Débit</v>
      </c>
      <c r="M139" s="6" t="str">
        <f>IF($D139="","",IF(ISNA(MATCH($D139,'Paramètres'!$M:$M,0)),"⚠ Type inconnu",IF($L139="Crédit","",IFERROR(INDEX('Paramètres'!$O:$O,MATCH($D139,'Paramètres'!$M:$M,0))&amp;"",""))))</f>
        <v>Dépense Courante</v>
      </c>
      <c r="N139" s="6" t="str">
        <f>IF($D139="","",IFERROR(INDEX('Paramètres'!$Q:$Q,MATCH($D139,'Paramètres'!$M:$M,0))&amp;"",""))</f>
        <v>Alimentation</v>
      </c>
      <c r="O139" s="6">
        <f>IF($A139="","",IF(OR($J139&lt;&gt;"x",$A139&lt;=FinReleve),1,0))</f>
        <v>1</v>
      </c>
      <c r="P139" s="6">
        <f>IF($D139="","",IF(AND($L139="Crédit",OR(IFERROR(INDEX('Paramètres'!$O:$O,MATCH($D139,'Paramètres'!$M:$M,0))&amp;"","")&lt;&gt;"",ISNUMBER(SEARCH("remboursement",IFERROR(INDEX('Paramètres'!$N:$N,MATCH($D139,'Paramètres'!$M:$M,0))&amp;"",""))))),1,0))</f>
        <v>0</v>
      </c>
      <c r="Q139" s="6">
        <f>IF($K139="","",IF(ISNUMBER(SEARCH("transfert-interne",IFERROR(INDEX('Paramètres'!$N:$N,MATCH($D139,'Paramètres'!$M:$M,0))&amp;"",""))),0,IF($L139="Débit",$K139,IF($P139=1,-$K139,0))))</f>
        <v>63</v>
      </c>
      <c r="R139" s="6">
        <f>IF($K139="","",IF($L139="Crédit",$K139,-$K139))</f>
        <v>-63</v>
      </c>
      <c r="S139" s="6" t="str">
        <f>IF($C139="","",IFERROR(INDEX('Paramètres'!$H:$H,MATCH($C139,'Paramètres'!$D:$D,0))&amp;"",""))</f>
        <v>Banque A - Courant</v>
      </c>
      <c r="T139" s="6">
        <f>IF($K139="","",IF($S139="",0,IF(ISNUMBER(SEARCH("apport-exterieur",IFERROR(INDEX('Paramètres'!$N:$N,MATCH($D139,'Paramètres'!$M:$M,0))&amp;"",""))),0,IF(OR(IFERROR(INDEX('Paramètres'!$I:$I,MATCH($C139,'Paramètres'!$D:$D,0))&amp;"","")="Les deux",IFERROR(INDEX('Paramètres'!$I:$I,MATCH($C139,'Paramètres'!$D:$D,0))&amp;"","")=IF($P139=1,"Débit",$L139)),-IF($P139=1,-$K139,$K139),0))))</f>
        <v>0</v>
      </c>
      <c r="U139" s="6">
        <f>IF($K139="","",IF(ISNUMBER(SEARCH("sortie-epargne",IFERROR(INDEX('Paramètres'!$N:$N,MATCH($D139,'Paramètres'!$M:$M,0))&amp;"",""))),$K139,0))</f>
        <v>0</v>
      </c>
      <c r="V139" s="6" t="str">
        <f>IF(AND($A139&lt;&gt;"",$O139=1,$L139="Débit",N($Q139)&gt;0,$A139&gt;=Visualisation!$B$1,$A139&lt;Visualisation!$D$1),MAX($V$1:V138)+1,"")</f>
        <v/>
      </c>
    </row>
    <row r="140" spans="1:22" x14ac:dyDescent="0.25">
      <c r="A140" s="9">
        <v>45620</v>
      </c>
      <c r="B140" s="4" t="s">
        <v>59</v>
      </c>
      <c r="C140" s="4" t="s">
        <v>60</v>
      </c>
      <c r="D140" s="4" t="s">
        <v>59</v>
      </c>
      <c r="E140" s="10">
        <v>91.08</v>
      </c>
      <c r="G140" s="4" t="s">
        <v>134</v>
      </c>
      <c r="H140" s="4"/>
      <c r="I140" s="4" t="s">
        <v>73</v>
      </c>
      <c r="K140" s="11">
        <f>IF($E140="","",ROUND($E140*IF(ISNA(MATCH($C140,'Paramètres'!$D:$D,0)),1,IF(INDEX('Paramètres'!$J:$J,MATCH($C140,'Paramètres'!$D:$D,0))="",1,INDEX('Paramètres'!$J:$J,MATCH($C140,'Paramètres'!$D:$D,0)))),2))</f>
        <v>45.54</v>
      </c>
      <c r="L140" s="6" t="str">
        <f>IF($D140="","",IF($F140&lt;&gt;"",$F140,IF(ISNA(MATCH($D140,'Paramètres'!$M:$M,0)),"⚠ Type inconnu",IFERROR(INDEX('Paramètres'!$P:$P,MATCH($D140,'Paramètres'!$M:$M,0))&amp;"",""))))</f>
        <v>Débit</v>
      </c>
      <c r="M140" s="6" t="str">
        <f>IF($D140="","",IF(ISNA(MATCH($D140,'Paramètres'!$M:$M,0)),"⚠ Type inconnu",IF($L140="Crédit","",IFERROR(INDEX('Paramètres'!$O:$O,MATCH($D140,'Paramètres'!$M:$M,0))&amp;"",""))))</f>
        <v>Dépense Occasionnelle</v>
      </c>
      <c r="N140" s="6" t="str">
        <f>IF($D140="","",IFERROR(INDEX('Paramètres'!$Q:$Q,MATCH($D140,'Paramètres'!$M:$M,0))&amp;"",""))</f>
        <v>Loisir</v>
      </c>
      <c r="O140" s="6">
        <f>IF($A140="","",IF(OR($J140&lt;&gt;"x",$A140&lt;=FinReleve),1,0))</f>
        <v>1</v>
      </c>
      <c r="P140" s="6">
        <f>IF($D140="","",IF(AND($L140="Crédit",OR(IFERROR(INDEX('Paramètres'!$O:$O,MATCH($D140,'Paramètres'!$M:$M,0))&amp;"","")&lt;&gt;"",ISNUMBER(SEARCH("remboursement",IFERROR(INDEX('Paramètres'!$N:$N,MATCH($D140,'Paramètres'!$M:$M,0))&amp;"",""))))),1,0))</f>
        <v>0</v>
      </c>
      <c r="Q140" s="6">
        <f>IF($K140="","",IF(ISNUMBER(SEARCH("transfert-interne",IFERROR(INDEX('Paramètres'!$N:$N,MATCH($D140,'Paramètres'!$M:$M,0))&amp;"",""))),0,IF($L140="Débit",$K140,IF($P140=1,-$K140,0))))</f>
        <v>45.54</v>
      </c>
      <c r="R140" s="6">
        <f>IF($K140="","",IF($L140="Crédit",$K140,-$K140))</f>
        <v>-45.54</v>
      </c>
      <c r="S140" s="6" t="str">
        <f>IF($C140="","",IFERROR(INDEX('Paramètres'!$H:$H,MATCH($C140,'Paramètres'!$D:$D,0))&amp;"",""))</f>
        <v>Banque A - Courant</v>
      </c>
      <c r="T140" s="6">
        <f>IF($K140="","",IF($S140="",0,IF(ISNUMBER(SEARCH("apport-exterieur",IFERROR(INDEX('Paramètres'!$N:$N,MATCH($D140,'Paramètres'!$M:$M,0))&amp;"",""))),0,IF(OR(IFERROR(INDEX('Paramètres'!$I:$I,MATCH($C140,'Paramètres'!$D:$D,0))&amp;"","")="Les deux",IFERROR(INDEX('Paramètres'!$I:$I,MATCH($C140,'Paramètres'!$D:$D,0))&amp;"","")=IF($P140=1,"Débit",$L140)),-IF($P140=1,-$K140,$K140),0))))</f>
        <v>-45.54</v>
      </c>
      <c r="U140" s="6">
        <f>IF($K140="","",IF(ISNUMBER(SEARCH("sortie-epargne",IFERROR(INDEX('Paramètres'!$N:$N,MATCH($D140,'Paramètres'!$M:$M,0))&amp;"",""))),$K140,0))</f>
        <v>0</v>
      </c>
      <c r="V140" s="6" t="str">
        <f>IF(AND($A140&lt;&gt;"",$O140=1,$L140="Débit",N($Q140)&gt;0,$A140&gt;=Visualisation!$B$1,$A140&lt;Visualisation!$D$1),MAX($V$1:V139)+1,"")</f>
        <v/>
      </c>
    </row>
    <row r="141" spans="1:22" x14ac:dyDescent="0.25">
      <c r="A141" s="9">
        <v>45622</v>
      </c>
      <c r="B141" s="4" t="s">
        <v>76</v>
      </c>
      <c r="C141" s="4" t="s">
        <v>60</v>
      </c>
      <c r="D141" s="4" t="s">
        <v>77</v>
      </c>
      <c r="E141" s="10">
        <v>97.92</v>
      </c>
      <c r="G141" s="4" t="s">
        <v>102</v>
      </c>
      <c r="H141" s="4"/>
      <c r="I141" s="4"/>
      <c r="K141" s="11">
        <f>IF($E141="","",ROUND($E141*IF(ISNA(MATCH($C141,'Paramètres'!$D:$D,0)),1,IF(INDEX('Paramètres'!$J:$J,MATCH($C141,'Paramètres'!$D:$D,0))="",1,INDEX('Paramètres'!$J:$J,MATCH($C141,'Paramètres'!$D:$D,0)))),2))</f>
        <v>48.96</v>
      </c>
      <c r="L141" s="6" t="str">
        <f>IF($D141="","",IF($F141&lt;&gt;"",$F141,IF(ISNA(MATCH($D141,'Paramètres'!$M:$M,0)),"⚠ Type inconnu",IFERROR(INDEX('Paramètres'!$P:$P,MATCH($D141,'Paramètres'!$M:$M,0))&amp;"",""))))</f>
        <v>Débit</v>
      </c>
      <c r="M141" s="6" t="str">
        <f>IF($D141="","",IF(ISNA(MATCH($D141,'Paramètres'!$M:$M,0)),"⚠ Type inconnu",IF($L141="Crédit","",IFERROR(INDEX('Paramètres'!$O:$O,MATCH($D141,'Paramètres'!$M:$M,0))&amp;"",""))))</f>
        <v>Dépense Courante</v>
      </c>
      <c r="N141" s="6" t="str">
        <f>IF($D141="","",IFERROR(INDEX('Paramètres'!$Q:$Q,MATCH($D141,'Paramètres'!$M:$M,0))&amp;"",""))</f>
        <v>Alimentation</v>
      </c>
      <c r="O141" s="6">
        <f>IF($A141="","",IF(OR($J141&lt;&gt;"x",$A141&lt;=FinReleve),1,0))</f>
        <v>1</v>
      </c>
      <c r="P141" s="6">
        <f>IF($D141="","",IF(AND($L141="Crédit",OR(IFERROR(INDEX('Paramètres'!$O:$O,MATCH($D141,'Paramètres'!$M:$M,0))&amp;"","")&lt;&gt;"",ISNUMBER(SEARCH("remboursement",IFERROR(INDEX('Paramètres'!$N:$N,MATCH($D141,'Paramètres'!$M:$M,0))&amp;"",""))))),1,0))</f>
        <v>0</v>
      </c>
      <c r="Q141" s="6">
        <f>IF($K141="","",IF(ISNUMBER(SEARCH("transfert-interne",IFERROR(INDEX('Paramètres'!$N:$N,MATCH($D141,'Paramètres'!$M:$M,0))&amp;"",""))),0,IF($L141="Débit",$K141,IF($P141=1,-$K141,0))))</f>
        <v>48.96</v>
      </c>
      <c r="R141" s="6">
        <f>IF($K141="","",IF($L141="Crédit",$K141,-$K141))</f>
        <v>-48.96</v>
      </c>
      <c r="S141" s="6" t="str">
        <f>IF($C141="","",IFERROR(INDEX('Paramètres'!$H:$H,MATCH($C141,'Paramètres'!$D:$D,0))&amp;"",""))</f>
        <v>Banque A - Courant</v>
      </c>
      <c r="T141" s="6">
        <f>IF($K141="","",IF($S141="",0,IF(ISNUMBER(SEARCH("apport-exterieur",IFERROR(INDEX('Paramètres'!$N:$N,MATCH($D141,'Paramètres'!$M:$M,0))&amp;"",""))),0,IF(OR(IFERROR(INDEX('Paramètres'!$I:$I,MATCH($C141,'Paramètres'!$D:$D,0))&amp;"","")="Les deux",IFERROR(INDEX('Paramètres'!$I:$I,MATCH($C141,'Paramètres'!$D:$D,0))&amp;"","")=IF($P141=1,"Débit",$L141)),-IF($P141=1,-$K141,$K141),0))))</f>
        <v>-48.96</v>
      </c>
      <c r="U141" s="6">
        <f>IF($K141="","",IF(ISNUMBER(SEARCH("sortie-epargne",IFERROR(INDEX('Paramètres'!$N:$N,MATCH($D141,'Paramètres'!$M:$M,0))&amp;"",""))),$K141,0))</f>
        <v>0</v>
      </c>
      <c r="V141" s="6" t="str">
        <f>IF(AND($A141&lt;&gt;"",$O141=1,$L141="Débit",N($Q141)&gt;0,$A141&gt;=Visualisation!$B$1,$A141&lt;Visualisation!$D$1),MAX($V$1:V140)+1,"")</f>
        <v/>
      </c>
    </row>
    <row r="142" spans="1:22" x14ac:dyDescent="0.25">
      <c r="A142" s="9">
        <v>45622</v>
      </c>
      <c r="B142" s="4" t="s">
        <v>105</v>
      </c>
      <c r="C142" s="4" t="s">
        <v>75</v>
      </c>
      <c r="D142" s="4" t="s">
        <v>110</v>
      </c>
      <c r="E142" s="10">
        <v>150</v>
      </c>
      <c r="G142" s="4"/>
      <c r="H142" s="4"/>
      <c r="I142" s="4"/>
      <c r="K142" s="11">
        <f>IF($E142="","",ROUND($E142*IF(ISNA(MATCH($C142,'Paramètres'!$D:$D,0)),1,IF(INDEX('Paramètres'!$J:$J,MATCH($C142,'Paramètres'!$D:$D,0))="",1,INDEX('Paramètres'!$J:$J,MATCH($C142,'Paramètres'!$D:$D,0)))),2))</f>
        <v>150</v>
      </c>
      <c r="L142" s="6" t="str">
        <f>IF($D142="","",IF($F142&lt;&gt;"",$F142,IF(ISNA(MATCH($D142,'Paramètres'!$M:$M,0)),"⚠ Type inconnu",IFERROR(INDEX('Paramètres'!$P:$P,MATCH($D142,'Paramètres'!$M:$M,0))&amp;"",""))))</f>
        <v>Débit</v>
      </c>
      <c r="M142" s="6" t="str">
        <f>IF($D142="","",IF(ISNA(MATCH($D142,'Paramètres'!$M:$M,0)),"⚠ Type inconnu",IF($L142="Crédit","",IFERROR(INDEX('Paramètres'!$O:$O,MATCH($D142,'Paramètres'!$M:$M,0))&amp;"",""))))</f>
        <v/>
      </c>
      <c r="N142" s="6" t="str">
        <f>IF($D142="","",IFERROR(INDEX('Paramètres'!$Q:$Q,MATCH($D142,'Paramètres'!$M:$M,0))&amp;"",""))</f>
        <v>Comptes Bancaires</v>
      </c>
      <c r="O142" s="6">
        <f>IF($A142="","",IF(OR($J142&lt;&gt;"x",$A142&lt;=FinReleve),1,0))</f>
        <v>1</v>
      </c>
      <c r="P142" s="6">
        <f>IF($D142="","",IF(AND($L142="Crédit",OR(IFERROR(INDEX('Paramètres'!$O:$O,MATCH($D142,'Paramètres'!$M:$M,0))&amp;"","")&lt;&gt;"",ISNUMBER(SEARCH("remboursement",IFERROR(INDEX('Paramètres'!$N:$N,MATCH($D142,'Paramètres'!$M:$M,0))&amp;"",""))))),1,0))</f>
        <v>0</v>
      </c>
      <c r="Q142" s="6">
        <f>IF($K142="","",IF(ISNUMBER(SEARCH("transfert-interne",IFERROR(INDEX('Paramètres'!$N:$N,MATCH($D142,'Paramètres'!$M:$M,0))&amp;"",""))),0,IF($L142="Débit",$K142,IF($P142=1,-$K142,0))))</f>
        <v>0</v>
      </c>
      <c r="R142" s="6">
        <f>IF($K142="","",IF($L142="Crédit",$K142,-$K142))</f>
        <v>-150</v>
      </c>
      <c r="S142" s="6" t="str">
        <f>IF($C142="","",IFERROR(INDEX('Paramètres'!$H:$H,MATCH($C142,'Paramètres'!$D:$D,0))&amp;"",""))</f>
        <v/>
      </c>
      <c r="T142" s="6">
        <f>IF($K142="","",IF($S142="",0,IF(ISNUMBER(SEARCH("apport-exterieur",IFERROR(INDEX('Paramètres'!$N:$N,MATCH($D142,'Paramètres'!$M:$M,0))&amp;"",""))),0,IF(OR(IFERROR(INDEX('Paramètres'!$I:$I,MATCH($C142,'Paramètres'!$D:$D,0))&amp;"","")="Les deux",IFERROR(INDEX('Paramètres'!$I:$I,MATCH($C142,'Paramètres'!$D:$D,0))&amp;"","")=IF($P142=1,"Débit",$L142)),-IF($P142=1,-$K142,$K142),0))))</f>
        <v>0</v>
      </c>
      <c r="U142" s="6">
        <f>IF($K142="","",IF(ISNUMBER(SEARCH("sortie-epargne",IFERROR(INDEX('Paramètres'!$N:$N,MATCH($D142,'Paramètres'!$M:$M,0))&amp;"",""))),$K142,0))</f>
        <v>0</v>
      </c>
      <c r="V142" s="6" t="str">
        <f>IF(AND($A142&lt;&gt;"",$O142=1,$L142="Débit",N($Q142)&gt;0,$A142&gt;=Visualisation!$B$1,$A142&lt;Visualisation!$D$1),MAX($V$1:V141)+1,"")</f>
        <v/>
      </c>
    </row>
    <row r="143" spans="1:22" x14ac:dyDescent="0.25">
      <c r="A143" s="9">
        <v>45622</v>
      </c>
      <c r="B143" s="4" t="s">
        <v>105</v>
      </c>
      <c r="C143" s="4" t="s">
        <v>75</v>
      </c>
      <c r="D143" s="4" t="s">
        <v>111</v>
      </c>
      <c r="E143" s="10">
        <v>200</v>
      </c>
      <c r="G143" s="4"/>
      <c r="H143" s="4"/>
      <c r="I143" s="4"/>
      <c r="K143" s="11">
        <f>IF($E143="","",ROUND($E143*IF(ISNA(MATCH($C143,'Paramètres'!$D:$D,0)),1,IF(INDEX('Paramètres'!$J:$J,MATCH($C143,'Paramètres'!$D:$D,0))="",1,INDEX('Paramètres'!$J:$J,MATCH($C143,'Paramètres'!$D:$D,0)))),2))</f>
        <v>200</v>
      </c>
      <c r="L143" s="6" t="str">
        <f>IF($D143="","",IF($F143&lt;&gt;"",$F143,IF(ISNA(MATCH($D143,'Paramètres'!$M:$M,0)),"⚠ Type inconnu",IFERROR(INDEX('Paramètres'!$P:$P,MATCH($D143,'Paramètres'!$M:$M,0))&amp;"",""))))</f>
        <v>Débit</v>
      </c>
      <c r="M143" s="6" t="str">
        <f>IF($D143="","",IF(ISNA(MATCH($D143,'Paramètres'!$M:$M,0)),"⚠ Type inconnu",IF($L143="Crédit","",IFERROR(INDEX('Paramètres'!$O:$O,MATCH($D143,'Paramètres'!$M:$M,0))&amp;"",""))))</f>
        <v/>
      </c>
      <c r="N143" s="6" t="str">
        <f>IF($D143="","",IFERROR(INDEX('Paramètres'!$Q:$Q,MATCH($D143,'Paramètres'!$M:$M,0))&amp;"",""))</f>
        <v>Comptes Bancaires</v>
      </c>
      <c r="O143" s="6">
        <f>IF($A143="","",IF(OR($J143&lt;&gt;"x",$A143&lt;=FinReleve),1,0))</f>
        <v>1</v>
      </c>
      <c r="P143" s="6">
        <f>IF($D143="","",IF(AND($L143="Crédit",OR(IFERROR(INDEX('Paramètres'!$O:$O,MATCH($D143,'Paramètres'!$M:$M,0))&amp;"","")&lt;&gt;"",ISNUMBER(SEARCH("remboursement",IFERROR(INDEX('Paramètres'!$N:$N,MATCH($D143,'Paramètres'!$M:$M,0))&amp;"",""))))),1,0))</f>
        <v>0</v>
      </c>
      <c r="Q143" s="6">
        <f>IF($K143="","",IF(ISNUMBER(SEARCH("transfert-interne",IFERROR(INDEX('Paramètres'!$N:$N,MATCH($D143,'Paramètres'!$M:$M,0))&amp;"",""))),0,IF($L143="Débit",$K143,IF($P143=1,-$K143,0))))</f>
        <v>200</v>
      </c>
      <c r="R143" s="6">
        <f>IF($K143="","",IF($L143="Crédit",$K143,-$K143))</f>
        <v>-200</v>
      </c>
      <c r="S143" s="6" t="str">
        <f>IF($C143="","",IFERROR(INDEX('Paramètres'!$H:$H,MATCH($C143,'Paramètres'!$D:$D,0))&amp;"",""))</f>
        <v/>
      </c>
      <c r="T143" s="6">
        <f>IF($K143="","",IF($S143="",0,IF(ISNUMBER(SEARCH("apport-exterieur",IFERROR(INDEX('Paramètres'!$N:$N,MATCH($D143,'Paramètres'!$M:$M,0))&amp;"",""))),0,IF(OR(IFERROR(INDEX('Paramètres'!$I:$I,MATCH($C143,'Paramètres'!$D:$D,0))&amp;"","")="Les deux",IFERROR(INDEX('Paramètres'!$I:$I,MATCH($C143,'Paramètres'!$D:$D,0))&amp;"","")=IF($P143=1,"Débit",$L143)),-IF($P143=1,-$K143,$K143),0))))</f>
        <v>0</v>
      </c>
      <c r="U143" s="6">
        <f>IF($K143="","",IF(ISNUMBER(SEARCH("sortie-epargne",IFERROR(INDEX('Paramètres'!$N:$N,MATCH($D143,'Paramètres'!$M:$M,0))&amp;"",""))),$K143,0))</f>
        <v>0</v>
      </c>
      <c r="V143" s="6" t="str">
        <f>IF(AND($A143&lt;&gt;"",$O143=1,$L143="Débit",N($Q143)&gt;0,$A143&gt;=Visualisation!$B$1,$A143&lt;Visualisation!$D$1),MAX($V$1:V142)+1,"")</f>
        <v/>
      </c>
    </row>
    <row r="144" spans="1:22" x14ac:dyDescent="0.25">
      <c r="A144" s="9">
        <v>45622</v>
      </c>
      <c r="B144" s="4" t="s">
        <v>112</v>
      </c>
      <c r="C144" s="4" t="s">
        <v>75</v>
      </c>
      <c r="D144" s="4" t="s">
        <v>113</v>
      </c>
      <c r="E144" s="10">
        <v>120</v>
      </c>
      <c r="G144" s="4"/>
      <c r="H144" s="4"/>
      <c r="I144" s="4"/>
      <c r="K144" s="11">
        <f>IF($E144="","",ROUND($E144*IF(ISNA(MATCH($C144,'Paramètres'!$D:$D,0)),1,IF(INDEX('Paramètres'!$J:$J,MATCH($C144,'Paramètres'!$D:$D,0))="",1,INDEX('Paramètres'!$J:$J,MATCH($C144,'Paramètres'!$D:$D,0)))),2))</f>
        <v>120</v>
      </c>
      <c r="L144" s="6" t="str">
        <f>IF($D144="","",IF($F144&lt;&gt;"",$F144,IF(ISNA(MATCH($D144,'Paramètres'!$M:$M,0)),"⚠ Type inconnu",IFERROR(INDEX('Paramètres'!$P:$P,MATCH($D144,'Paramètres'!$M:$M,0))&amp;"",""))))</f>
        <v>Débit</v>
      </c>
      <c r="M144" s="6" t="str">
        <f>IF($D144="","",IF(ISNA(MATCH($D144,'Paramètres'!$M:$M,0)),"⚠ Type inconnu",IF($L144="Crédit","",IFERROR(INDEX('Paramètres'!$O:$O,MATCH($D144,'Paramètres'!$M:$M,0))&amp;"",""))))</f>
        <v/>
      </c>
      <c r="N144" s="6" t="str">
        <f>IF($D144="","",IFERROR(INDEX('Paramètres'!$Q:$Q,MATCH($D144,'Paramètres'!$M:$M,0))&amp;"",""))</f>
        <v>Comptes Bancaires</v>
      </c>
      <c r="O144" s="6">
        <f>IF($A144="","",IF(OR($J144&lt;&gt;"x",$A144&lt;=FinReleve),1,0))</f>
        <v>1</v>
      </c>
      <c r="P144" s="6">
        <f>IF($D144="","",IF(AND($L144="Crédit",OR(IFERROR(INDEX('Paramètres'!$O:$O,MATCH($D144,'Paramètres'!$M:$M,0))&amp;"","")&lt;&gt;"",ISNUMBER(SEARCH("remboursement",IFERROR(INDEX('Paramètres'!$N:$N,MATCH($D144,'Paramètres'!$M:$M,0))&amp;"",""))))),1,0))</f>
        <v>0</v>
      </c>
      <c r="Q144" s="6">
        <f>IF($K144="","",IF(ISNUMBER(SEARCH("transfert-interne",IFERROR(INDEX('Paramètres'!$N:$N,MATCH($D144,'Paramètres'!$M:$M,0))&amp;"",""))),0,IF($L144="Débit",$K144,IF($P144=1,-$K144,0))))</f>
        <v>120</v>
      </c>
      <c r="R144" s="6">
        <f>IF($K144="","",IF($L144="Crédit",$K144,-$K144))</f>
        <v>-120</v>
      </c>
      <c r="S144" s="6" t="str">
        <f>IF($C144="","",IFERROR(INDEX('Paramètres'!$H:$H,MATCH($C144,'Paramètres'!$D:$D,0))&amp;"",""))</f>
        <v/>
      </c>
      <c r="T144" s="6">
        <f>IF($K144="","",IF($S144="",0,IF(ISNUMBER(SEARCH("apport-exterieur",IFERROR(INDEX('Paramètres'!$N:$N,MATCH($D144,'Paramètres'!$M:$M,0))&amp;"",""))),0,IF(OR(IFERROR(INDEX('Paramètres'!$I:$I,MATCH($C144,'Paramètres'!$D:$D,0))&amp;"","")="Les deux",IFERROR(INDEX('Paramètres'!$I:$I,MATCH($C144,'Paramètres'!$D:$D,0))&amp;"","")=IF($P144=1,"Débit",$L144)),-IF($P144=1,-$K144,$K144),0))))</f>
        <v>0</v>
      </c>
      <c r="U144" s="6">
        <f>IF($K144="","",IF(ISNUMBER(SEARCH("sortie-epargne",IFERROR(INDEX('Paramètres'!$N:$N,MATCH($D144,'Paramètres'!$M:$M,0))&amp;"",""))),$K144,0))</f>
        <v>0</v>
      </c>
      <c r="V144" s="6" t="str">
        <f>IF(AND($A144&lt;&gt;"",$O144=1,$L144="Débit",N($Q144)&gt;0,$A144&gt;=Visualisation!$B$1,$A144&lt;Visualisation!$D$1),MAX($V$1:V143)+1,"")</f>
        <v/>
      </c>
    </row>
    <row r="145" spans="1:22" x14ac:dyDescent="0.25">
      <c r="A145" s="9">
        <v>45623</v>
      </c>
      <c r="B145" s="4" t="s">
        <v>114</v>
      </c>
      <c r="C145" s="4" t="s">
        <v>75</v>
      </c>
      <c r="D145" s="4" t="s">
        <v>115</v>
      </c>
      <c r="E145" s="10">
        <v>2879.74</v>
      </c>
      <c r="G145" s="4" t="s">
        <v>115</v>
      </c>
      <c r="H145" s="4"/>
      <c r="I145" s="4"/>
      <c r="K145" s="11">
        <f>IF($E145="","",ROUND($E145*IF(ISNA(MATCH($C145,'Paramètres'!$D:$D,0)),1,IF(INDEX('Paramètres'!$J:$J,MATCH($C145,'Paramètres'!$D:$D,0))="",1,INDEX('Paramètres'!$J:$J,MATCH($C145,'Paramètres'!$D:$D,0)))),2))</f>
        <v>2879.74</v>
      </c>
      <c r="L145" s="6" t="str">
        <f>IF($D145="","",IF($F145&lt;&gt;"",$F145,IF(ISNA(MATCH($D145,'Paramètres'!$M:$M,0)),"⚠ Type inconnu",IFERROR(INDEX('Paramètres'!$P:$P,MATCH($D145,'Paramètres'!$M:$M,0))&amp;"",""))))</f>
        <v>Crédit</v>
      </c>
      <c r="M145" s="6" t="str">
        <f>IF($D145="","",IF(ISNA(MATCH($D145,'Paramètres'!$M:$M,0)),"⚠ Type inconnu",IF($L145="Crédit","",IFERROR(INDEX('Paramètres'!$O:$O,MATCH($D145,'Paramètres'!$M:$M,0))&amp;"",""))))</f>
        <v/>
      </c>
      <c r="N145" s="6" t="str">
        <f>IF($D145="","",IFERROR(INDEX('Paramètres'!$Q:$Q,MATCH($D145,'Paramètres'!$M:$M,0))&amp;"",""))</f>
        <v/>
      </c>
      <c r="O145" s="6">
        <f>IF($A145="","",IF(OR($J145&lt;&gt;"x",$A145&lt;=FinReleve),1,0))</f>
        <v>1</v>
      </c>
      <c r="P145" s="6">
        <f>IF($D145="","",IF(AND($L145="Crédit",OR(IFERROR(INDEX('Paramètres'!$O:$O,MATCH($D145,'Paramètres'!$M:$M,0))&amp;"","")&lt;&gt;"",ISNUMBER(SEARCH("remboursement",IFERROR(INDEX('Paramètres'!$N:$N,MATCH($D145,'Paramètres'!$M:$M,0))&amp;"",""))))),1,0))</f>
        <v>0</v>
      </c>
      <c r="Q145" s="6">
        <f>IF($K145="","",IF(ISNUMBER(SEARCH("transfert-interne",IFERROR(INDEX('Paramètres'!$N:$N,MATCH($D145,'Paramètres'!$M:$M,0))&amp;"",""))),0,IF($L145="Débit",$K145,IF($P145=1,-$K145,0))))</f>
        <v>0</v>
      </c>
      <c r="R145" s="6">
        <f>IF($K145="","",IF($L145="Crédit",$K145,-$K145))</f>
        <v>2879.74</v>
      </c>
      <c r="S145" s="6" t="str">
        <f>IF($C145="","",IFERROR(INDEX('Paramètres'!$H:$H,MATCH($C145,'Paramètres'!$D:$D,0))&amp;"",""))</f>
        <v/>
      </c>
      <c r="T145" s="6">
        <f>IF($K145="","",IF($S145="",0,IF(ISNUMBER(SEARCH("apport-exterieur",IFERROR(INDEX('Paramètres'!$N:$N,MATCH($D145,'Paramètres'!$M:$M,0))&amp;"",""))),0,IF(OR(IFERROR(INDEX('Paramètres'!$I:$I,MATCH($C145,'Paramètres'!$D:$D,0))&amp;"","")="Les deux",IFERROR(INDEX('Paramètres'!$I:$I,MATCH($C145,'Paramètres'!$D:$D,0))&amp;"","")=IF($P145=1,"Débit",$L145)),-IF($P145=1,-$K145,$K145),0))))</f>
        <v>0</v>
      </c>
      <c r="U145" s="6">
        <f>IF($K145="","",IF(ISNUMBER(SEARCH("sortie-epargne",IFERROR(INDEX('Paramètres'!$N:$N,MATCH($D145,'Paramètres'!$M:$M,0))&amp;"",""))),$K145,0))</f>
        <v>0</v>
      </c>
      <c r="V145" s="6" t="str">
        <f>IF(AND($A145&lt;&gt;"",$O145=1,$L145="Débit",N($Q145)&gt;0,$A145&gt;=Visualisation!$B$1,$A145&lt;Visualisation!$D$1),MAX($V$1:V144)+1,"")</f>
        <v/>
      </c>
    </row>
    <row r="146" spans="1:22" x14ac:dyDescent="0.25">
      <c r="A146" s="9">
        <v>45623</v>
      </c>
      <c r="B146" s="4" t="s">
        <v>69</v>
      </c>
      <c r="C146" s="4" t="s">
        <v>70</v>
      </c>
      <c r="D146" s="4" t="s">
        <v>71</v>
      </c>
      <c r="E146" s="10">
        <v>12.75</v>
      </c>
      <c r="G146" s="4" t="s">
        <v>72</v>
      </c>
      <c r="H146" s="4"/>
      <c r="I146" s="4" t="s">
        <v>93</v>
      </c>
      <c r="K146" s="11">
        <f>IF($E146="","",ROUND($E146*IF(ISNA(MATCH($C146,'Paramètres'!$D:$D,0)),1,IF(INDEX('Paramètres'!$J:$J,MATCH($C146,'Paramètres'!$D:$D,0))="",1,INDEX('Paramètres'!$J:$J,MATCH($C146,'Paramètres'!$D:$D,0)))),2))</f>
        <v>12.75</v>
      </c>
      <c r="L146" s="6" t="str">
        <f>IF($D146="","",IF($F146&lt;&gt;"",$F146,IF(ISNA(MATCH($D146,'Paramètres'!$M:$M,0)),"⚠ Type inconnu",IFERROR(INDEX('Paramètres'!$P:$P,MATCH($D146,'Paramètres'!$M:$M,0))&amp;"",""))))</f>
        <v>Débit</v>
      </c>
      <c r="M146" s="6" t="str">
        <f>IF($D146="","",IF(ISNA(MATCH($D146,'Paramètres'!$M:$M,0)),"⚠ Type inconnu",IF($L146="Crédit","",IFERROR(INDEX('Paramètres'!$O:$O,MATCH($D146,'Paramètres'!$M:$M,0))&amp;"",""))))</f>
        <v>Dépense Courante</v>
      </c>
      <c r="N146" s="6" t="str">
        <f>IF($D146="","",IFERROR(INDEX('Paramètres'!$Q:$Q,MATCH($D146,'Paramètres'!$M:$M,0))&amp;"",""))</f>
        <v>Alimentation</v>
      </c>
      <c r="O146" s="6">
        <f>IF($A146="","",IF(OR($J146&lt;&gt;"x",$A146&lt;=FinReleve),1,0))</f>
        <v>1</v>
      </c>
      <c r="P146" s="6">
        <f>IF($D146="","",IF(AND($L146="Crédit",OR(IFERROR(INDEX('Paramètres'!$O:$O,MATCH($D146,'Paramètres'!$M:$M,0))&amp;"","")&lt;&gt;"",ISNUMBER(SEARCH("remboursement",IFERROR(INDEX('Paramètres'!$N:$N,MATCH($D146,'Paramètres'!$M:$M,0))&amp;"",""))))),1,0))</f>
        <v>0</v>
      </c>
      <c r="Q146" s="6">
        <f>IF($K146="","",IF(ISNUMBER(SEARCH("transfert-interne",IFERROR(INDEX('Paramètres'!$N:$N,MATCH($D146,'Paramètres'!$M:$M,0))&amp;"",""))),0,IF($L146="Débit",$K146,IF($P146=1,-$K146,0))))</f>
        <v>12.75</v>
      </c>
      <c r="R146" s="6">
        <f>IF($K146="","",IF($L146="Crédit",$K146,-$K146))</f>
        <v>-12.75</v>
      </c>
      <c r="S146" s="6" t="str">
        <f>IF($C146="","",IFERROR(INDEX('Paramètres'!$H:$H,MATCH($C146,'Paramètres'!$D:$D,0))&amp;"",""))</f>
        <v/>
      </c>
      <c r="T146" s="6">
        <f>IF($K146="","",IF($S146="",0,IF(ISNUMBER(SEARCH("apport-exterieur",IFERROR(INDEX('Paramètres'!$N:$N,MATCH($D146,'Paramètres'!$M:$M,0))&amp;"",""))),0,IF(OR(IFERROR(INDEX('Paramètres'!$I:$I,MATCH($C146,'Paramètres'!$D:$D,0))&amp;"","")="Les deux",IFERROR(INDEX('Paramètres'!$I:$I,MATCH($C146,'Paramètres'!$D:$D,0))&amp;"","")=IF($P146=1,"Débit",$L146)),-IF($P146=1,-$K146,$K146),0))))</f>
        <v>0</v>
      </c>
      <c r="U146" s="6">
        <f>IF($K146="","",IF(ISNUMBER(SEARCH("sortie-epargne",IFERROR(INDEX('Paramètres'!$N:$N,MATCH($D146,'Paramètres'!$M:$M,0))&amp;"",""))),$K146,0))</f>
        <v>0</v>
      </c>
      <c r="V146" s="6" t="str">
        <f>IF(AND($A146&lt;&gt;"",$O146=1,$L146="Débit",N($Q146)&gt;0,$A146&gt;=Visualisation!$B$1,$A146&lt;Visualisation!$D$1),MAX($V$1:V145)+1,"")</f>
        <v/>
      </c>
    </row>
    <row r="147" spans="1:22" x14ac:dyDescent="0.25">
      <c r="A147" s="9">
        <v>45624</v>
      </c>
      <c r="B147" s="4" t="s">
        <v>118</v>
      </c>
      <c r="C147" s="4" t="s">
        <v>75</v>
      </c>
      <c r="D147" s="4" t="s">
        <v>118</v>
      </c>
      <c r="E147" s="10">
        <v>3</v>
      </c>
      <c r="G147" s="4"/>
      <c r="H147" s="4"/>
      <c r="I147" s="4"/>
      <c r="K147" s="11">
        <f>IF($E147="","",ROUND($E147*IF(ISNA(MATCH($C147,'Paramètres'!$D:$D,0)),1,IF(INDEX('Paramètres'!$J:$J,MATCH($C147,'Paramètres'!$D:$D,0))="",1,INDEX('Paramètres'!$J:$J,MATCH($C147,'Paramètres'!$D:$D,0)))),2))</f>
        <v>3</v>
      </c>
      <c r="L147" s="6" t="str">
        <f>IF($D147="","",IF($F147&lt;&gt;"",$F147,IF(ISNA(MATCH($D147,'Paramètres'!$M:$M,0)),"⚠ Type inconnu",IFERROR(INDEX('Paramètres'!$P:$P,MATCH($D147,'Paramètres'!$M:$M,0))&amp;"",""))))</f>
        <v>Débit</v>
      </c>
      <c r="M147" s="6" t="str">
        <f>IF($D147="","",IF(ISNA(MATCH($D147,'Paramètres'!$M:$M,0)),"⚠ Type inconnu",IF($L147="Crédit","",IFERROR(INDEX('Paramètres'!$O:$O,MATCH($D147,'Paramètres'!$M:$M,0))&amp;"",""))))</f>
        <v>Dépense Fixe</v>
      </c>
      <c r="N147" s="6" t="str">
        <f>IF($D147="","",IFERROR(INDEX('Paramètres'!$Q:$Q,MATCH($D147,'Paramètres'!$M:$M,0))&amp;"",""))</f>
        <v>Banque</v>
      </c>
      <c r="O147" s="6">
        <f>IF($A147="","",IF(OR($J147&lt;&gt;"x",$A147&lt;=FinReleve),1,0))</f>
        <v>1</v>
      </c>
      <c r="P147" s="6">
        <f>IF($D147="","",IF(AND($L147="Crédit",OR(IFERROR(INDEX('Paramètres'!$O:$O,MATCH($D147,'Paramètres'!$M:$M,0))&amp;"","")&lt;&gt;"",ISNUMBER(SEARCH("remboursement",IFERROR(INDEX('Paramètres'!$N:$N,MATCH($D147,'Paramètres'!$M:$M,0))&amp;"",""))))),1,0))</f>
        <v>0</v>
      </c>
      <c r="Q147" s="6">
        <f>IF($K147="","",IF(ISNUMBER(SEARCH("transfert-interne",IFERROR(INDEX('Paramètres'!$N:$N,MATCH($D147,'Paramètres'!$M:$M,0))&amp;"",""))),0,IF($L147="Débit",$K147,IF($P147=1,-$K147,0))))</f>
        <v>3</v>
      </c>
      <c r="R147" s="6">
        <f>IF($K147="","",IF($L147="Crédit",$K147,-$K147))</f>
        <v>-3</v>
      </c>
      <c r="S147" s="6" t="str">
        <f>IF($C147="","",IFERROR(INDEX('Paramètres'!$H:$H,MATCH($C147,'Paramètres'!$D:$D,0))&amp;"",""))</f>
        <v/>
      </c>
      <c r="T147" s="6">
        <f>IF($K147="","",IF($S147="",0,IF(ISNUMBER(SEARCH("apport-exterieur",IFERROR(INDEX('Paramètres'!$N:$N,MATCH($D147,'Paramètres'!$M:$M,0))&amp;"",""))),0,IF(OR(IFERROR(INDEX('Paramètres'!$I:$I,MATCH($C147,'Paramètres'!$D:$D,0))&amp;"","")="Les deux",IFERROR(INDEX('Paramètres'!$I:$I,MATCH($C147,'Paramètres'!$D:$D,0))&amp;"","")=IF($P147=1,"Débit",$L147)),-IF($P147=1,-$K147,$K147),0))))</f>
        <v>0</v>
      </c>
      <c r="U147" s="6">
        <f>IF($K147="","",IF(ISNUMBER(SEARCH("sortie-epargne",IFERROR(INDEX('Paramètres'!$N:$N,MATCH($D147,'Paramètres'!$M:$M,0))&amp;"",""))),$K147,0))</f>
        <v>0</v>
      </c>
      <c r="V147" s="6" t="str">
        <f>IF(AND($A147&lt;&gt;"",$O147=1,$L147="Débit",N($Q147)&gt;0,$A147&gt;=Visualisation!$B$1,$A147&lt;Visualisation!$D$1),MAX($V$1:V146)+1,"")</f>
        <v/>
      </c>
    </row>
    <row r="148" spans="1:22" x14ac:dyDescent="0.25">
      <c r="A148" s="9">
        <v>45628</v>
      </c>
      <c r="B148" s="4" t="s">
        <v>64</v>
      </c>
      <c r="C148" s="4" t="s">
        <v>65</v>
      </c>
      <c r="D148" s="4" t="s">
        <v>66</v>
      </c>
      <c r="E148" s="10">
        <v>1160</v>
      </c>
      <c r="G148" s="4"/>
      <c r="H148" s="4"/>
      <c r="I148" s="4"/>
      <c r="K148" s="11">
        <f>IF($E148="","",ROUND($E148*IF(ISNA(MATCH($C148,'Paramètres'!$D:$D,0)),1,IF(INDEX('Paramètres'!$J:$J,MATCH($C148,'Paramètres'!$D:$D,0))="",1,INDEX('Paramètres'!$J:$J,MATCH($C148,'Paramètres'!$D:$D,0)))),2))</f>
        <v>1160</v>
      </c>
      <c r="L148" s="6" t="str">
        <f>IF($D148="","",IF($F148&lt;&gt;"",$F148,IF(ISNA(MATCH($D148,'Paramètres'!$M:$M,0)),"⚠ Type inconnu",IFERROR(INDEX('Paramètres'!$P:$P,MATCH($D148,'Paramètres'!$M:$M,0))&amp;"",""))))</f>
        <v>Crédit</v>
      </c>
      <c r="M148" s="6" t="str">
        <f>IF($D148="","",IF(ISNA(MATCH($D148,'Paramètres'!$M:$M,0)),"⚠ Type inconnu",IF($L148="Crédit","",IFERROR(INDEX('Paramètres'!$O:$O,MATCH($D148,'Paramètres'!$M:$M,0))&amp;"",""))))</f>
        <v/>
      </c>
      <c r="N148" s="6" t="str">
        <f>IF($D148="","",IFERROR(INDEX('Paramètres'!$Q:$Q,MATCH($D148,'Paramètres'!$M:$M,0))&amp;"",""))</f>
        <v>Comptes Bancaires</v>
      </c>
      <c r="O148" s="6">
        <f>IF($A148="","",IF(OR($J148&lt;&gt;"x",$A148&lt;=FinReleve),1,0))</f>
        <v>1</v>
      </c>
      <c r="P148" s="6">
        <f>IF($D148="","",IF(AND($L148="Crédit",OR(IFERROR(INDEX('Paramètres'!$O:$O,MATCH($D148,'Paramètres'!$M:$M,0))&amp;"","")&lt;&gt;"",ISNUMBER(SEARCH("remboursement",IFERROR(INDEX('Paramètres'!$N:$N,MATCH($D148,'Paramètres'!$M:$M,0))&amp;"",""))))),1,0))</f>
        <v>0</v>
      </c>
      <c r="Q148" s="6">
        <f>IF($K148="","",IF(ISNUMBER(SEARCH("transfert-interne",IFERROR(INDEX('Paramètres'!$N:$N,MATCH($D148,'Paramètres'!$M:$M,0))&amp;"",""))),0,IF($L148="Débit",$K148,IF($P148=1,-$K148,0))))</f>
        <v>0</v>
      </c>
      <c r="R148" s="6">
        <f>IF($K148="","",IF($L148="Crédit",$K148,-$K148))</f>
        <v>1160</v>
      </c>
      <c r="S148" s="6" t="str">
        <f>IF($C148="","",IFERROR(INDEX('Paramètres'!$H:$H,MATCH($C148,'Paramètres'!$D:$D,0))&amp;"",""))</f>
        <v>Banque A - Courant</v>
      </c>
      <c r="T148" s="6">
        <f>IF($K148="","",IF($S148="",0,IF(ISNUMBER(SEARCH("apport-exterieur",IFERROR(INDEX('Paramètres'!$N:$N,MATCH($D148,'Paramètres'!$M:$M,0))&amp;"",""))),0,IF(OR(IFERROR(INDEX('Paramètres'!$I:$I,MATCH($C148,'Paramètres'!$D:$D,0))&amp;"","")="Les deux",IFERROR(INDEX('Paramètres'!$I:$I,MATCH($C148,'Paramètres'!$D:$D,0))&amp;"","")=IF($P148=1,"Débit",$L148)),-IF($P148=1,-$K148,$K148),0))))</f>
        <v>-1160</v>
      </c>
      <c r="U148" s="6">
        <f>IF($K148="","",IF(ISNUMBER(SEARCH("sortie-epargne",IFERROR(INDEX('Paramètres'!$N:$N,MATCH($D148,'Paramètres'!$M:$M,0))&amp;"",""))),$K148,0))</f>
        <v>0</v>
      </c>
      <c r="V148" s="6" t="str">
        <f>IF(AND($A148&lt;&gt;"",$O148=1,$L148="Débit",N($Q148)&gt;0,$A148&gt;=Visualisation!$B$1,$A148&lt;Visualisation!$D$1),MAX($V$1:V147)+1,"")</f>
        <v/>
      </c>
    </row>
    <row r="149" spans="1:22" x14ac:dyDescent="0.25">
      <c r="A149" s="9">
        <v>45628</v>
      </c>
      <c r="B149" s="4" t="s">
        <v>64</v>
      </c>
      <c r="C149" s="4" t="s">
        <v>67</v>
      </c>
      <c r="D149" s="4" t="s">
        <v>68</v>
      </c>
      <c r="E149" s="10">
        <v>600</v>
      </c>
      <c r="G149" s="4"/>
      <c r="H149" s="4"/>
      <c r="I149" s="4"/>
      <c r="K149" s="11">
        <f>IF($E149="","",ROUND($E149*IF(ISNA(MATCH($C149,'Paramètres'!$D:$D,0)),1,IF(INDEX('Paramètres'!$J:$J,MATCH($C149,'Paramètres'!$D:$D,0))="",1,INDEX('Paramètres'!$J:$J,MATCH($C149,'Paramètres'!$D:$D,0)))),2))</f>
        <v>300</v>
      </c>
      <c r="L149" s="6" t="str">
        <f>IF($D149="","",IF($F149&lt;&gt;"",$F149,IF(ISNA(MATCH($D149,'Paramètres'!$M:$M,0)),"⚠ Type inconnu",IFERROR(INDEX('Paramètres'!$P:$P,MATCH($D149,'Paramètres'!$M:$M,0))&amp;"",""))))</f>
        <v>Crédit</v>
      </c>
      <c r="M149" s="6" t="str">
        <f>IF($D149="","",IF(ISNA(MATCH($D149,'Paramètres'!$M:$M,0)),"⚠ Type inconnu",IF($L149="Crédit","",IFERROR(INDEX('Paramètres'!$O:$O,MATCH($D149,'Paramètres'!$M:$M,0))&amp;"",""))))</f>
        <v/>
      </c>
      <c r="N149" s="6" t="str">
        <f>IF($D149="","",IFERROR(INDEX('Paramètres'!$Q:$Q,MATCH($D149,'Paramètres'!$M:$M,0))&amp;"",""))</f>
        <v>Comptes Bancaires</v>
      </c>
      <c r="O149" s="6">
        <f>IF($A149="","",IF(OR($J149&lt;&gt;"x",$A149&lt;=FinReleve),1,0))</f>
        <v>1</v>
      </c>
      <c r="P149" s="6">
        <f>IF($D149="","",IF(AND($L149="Crédit",OR(IFERROR(INDEX('Paramètres'!$O:$O,MATCH($D149,'Paramètres'!$M:$M,0))&amp;"","")&lt;&gt;"",ISNUMBER(SEARCH("remboursement",IFERROR(INDEX('Paramètres'!$N:$N,MATCH($D149,'Paramètres'!$M:$M,0))&amp;"",""))))),1,0))</f>
        <v>0</v>
      </c>
      <c r="Q149" s="6">
        <f>IF($K149="","",IF(ISNUMBER(SEARCH("transfert-interne",IFERROR(INDEX('Paramètres'!$N:$N,MATCH($D149,'Paramètres'!$M:$M,0))&amp;"",""))),0,IF($L149="Débit",$K149,IF($P149=1,-$K149,0))))</f>
        <v>0</v>
      </c>
      <c r="R149" s="6">
        <f>IF($K149="","",IF($L149="Crédit",$K149,-$K149))</f>
        <v>300</v>
      </c>
      <c r="S149" s="6" t="str">
        <f>IF($C149="","",IFERROR(INDEX('Paramètres'!$H:$H,MATCH($C149,'Paramètres'!$D:$D,0))&amp;"",""))</f>
        <v>Banque A - Courant</v>
      </c>
      <c r="T149" s="6">
        <f>IF($K149="","",IF($S149="",0,IF(ISNUMBER(SEARCH("apport-exterieur",IFERROR(INDEX('Paramètres'!$N:$N,MATCH($D149,'Paramètres'!$M:$M,0))&amp;"",""))),0,IF(OR(IFERROR(INDEX('Paramètres'!$I:$I,MATCH($C149,'Paramètres'!$D:$D,0))&amp;"","")="Les deux",IFERROR(INDEX('Paramètres'!$I:$I,MATCH($C149,'Paramètres'!$D:$D,0))&amp;"","")=IF($P149=1,"Débit",$L149)),-IF($P149=1,-$K149,$K149),0))))</f>
        <v>-300</v>
      </c>
      <c r="U149" s="6">
        <f>IF($K149="","",IF(ISNUMBER(SEARCH("sortie-epargne",IFERROR(INDEX('Paramètres'!$N:$N,MATCH($D149,'Paramètres'!$M:$M,0))&amp;"",""))),$K149,0))</f>
        <v>0</v>
      </c>
      <c r="V149" s="6" t="str">
        <f>IF(AND($A149&lt;&gt;"",$O149=1,$L149="Débit",N($Q149)&gt;0,$A149&gt;=Visualisation!$B$1,$A149&lt;Visualisation!$D$1),MAX($V$1:V148)+1,"")</f>
        <v/>
      </c>
    </row>
    <row r="150" spans="1:22" x14ac:dyDescent="0.25">
      <c r="A150" s="9">
        <v>45628</v>
      </c>
      <c r="B150" s="4" t="s">
        <v>76</v>
      </c>
      <c r="C150" s="4" t="s">
        <v>67</v>
      </c>
      <c r="D150" s="4" t="s">
        <v>77</v>
      </c>
      <c r="E150" s="10">
        <v>96.82</v>
      </c>
      <c r="G150" s="4" t="s">
        <v>98</v>
      </c>
      <c r="H150" s="4"/>
      <c r="I150" s="4" t="s">
        <v>79</v>
      </c>
      <c r="K150" s="11">
        <f>IF($E150="","",ROUND($E150*IF(ISNA(MATCH($C150,'Paramètres'!$D:$D,0)),1,IF(INDEX('Paramètres'!$J:$J,MATCH($C150,'Paramètres'!$D:$D,0))="",1,INDEX('Paramètres'!$J:$J,MATCH($C150,'Paramètres'!$D:$D,0)))),2))</f>
        <v>48.41</v>
      </c>
      <c r="L150" s="6" t="str">
        <f>IF($D150="","",IF($F150&lt;&gt;"",$F150,IF(ISNA(MATCH($D150,'Paramètres'!$M:$M,0)),"⚠ Type inconnu",IFERROR(INDEX('Paramètres'!$P:$P,MATCH($D150,'Paramètres'!$M:$M,0))&amp;"",""))))</f>
        <v>Débit</v>
      </c>
      <c r="M150" s="6" t="str">
        <f>IF($D150="","",IF(ISNA(MATCH($D150,'Paramètres'!$M:$M,0)),"⚠ Type inconnu",IF($L150="Crédit","",IFERROR(INDEX('Paramètres'!$O:$O,MATCH($D150,'Paramètres'!$M:$M,0))&amp;"",""))))</f>
        <v>Dépense Courante</v>
      </c>
      <c r="N150" s="6" t="str">
        <f>IF($D150="","",IFERROR(INDEX('Paramètres'!$Q:$Q,MATCH($D150,'Paramètres'!$M:$M,0))&amp;"",""))</f>
        <v>Alimentation</v>
      </c>
      <c r="O150" s="6">
        <f>IF($A150="","",IF(OR($J150&lt;&gt;"x",$A150&lt;=FinReleve),1,0))</f>
        <v>1</v>
      </c>
      <c r="P150" s="6">
        <f>IF($D150="","",IF(AND($L150="Crédit",OR(IFERROR(INDEX('Paramètres'!$O:$O,MATCH($D150,'Paramètres'!$M:$M,0))&amp;"","")&lt;&gt;"",ISNUMBER(SEARCH("remboursement",IFERROR(INDEX('Paramètres'!$N:$N,MATCH($D150,'Paramètres'!$M:$M,0))&amp;"",""))))),1,0))</f>
        <v>0</v>
      </c>
      <c r="Q150" s="6">
        <f>IF($K150="","",IF(ISNUMBER(SEARCH("transfert-interne",IFERROR(INDEX('Paramètres'!$N:$N,MATCH($D150,'Paramètres'!$M:$M,0))&amp;"",""))),0,IF($L150="Débit",$K150,IF($P150=1,-$K150,0))))</f>
        <v>48.41</v>
      </c>
      <c r="R150" s="6">
        <f>IF($K150="","",IF($L150="Crédit",$K150,-$K150))</f>
        <v>-48.41</v>
      </c>
      <c r="S150" s="6" t="str">
        <f>IF($C150="","",IFERROR(INDEX('Paramètres'!$H:$H,MATCH($C150,'Paramètres'!$D:$D,0))&amp;"",""))</f>
        <v>Banque A - Courant</v>
      </c>
      <c r="T150" s="6">
        <f>IF($K150="","",IF($S150="",0,IF(ISNUMBER(SEARCH("apport-exterieur",IFERROR(INDEX('Paramètres'!$N:$N,MATCH($D150,'Paramètres'!$M:$M,0))&amp;"",""))),0,IF(OR(IFERROR(INDEX('Paramètres'!$I:$I,MATCH($C150,'Paramètres'!$D:$D,0))&amp;"","")="Les deux",IFERROR(INDEX('Paramètres'!$I:$I,MATCH($C150,'Paramètres'!$D:$D,0))&amp;"","")=IF($P150=1,"Débit",$L150)),-IF($P150=1,-$K150,$K150),0))))</f>
        <v>0</v>
      </c>
      <c r="U150" s="6">
        <f>IF($K150="","",IF(ISNUMBER(SEARCH("sortie-epargne",IFERROR(INDEX('Paramètres'!$N:$N,MATCH($D150,'Paramètres'!$M:$M,0))&amp;"",""))),$K150,0))</f>
        <v>0</v>
      </c>
      <c r="V150" s="6" t="str">
        <f>IF(AND($A150&lt;&gt;"",$O150=1,$L150="Débit",N($Q150)&gt;0,$A150&gt;=Visualisation!$B$1,$A150&lt;Visualisation!$D$1),MAX($V$1:V149)+1,"")</f>
        <v/>
      </c>
    </row>
    <row r="151" spans="1:22" x14ac:dyDescent="0.25">
      <c r="A151" s="9">
        <v>45629</v>
      </c>
      <c r="B151" s="4" t="s">
        <v>74</v>
      </c>
      <c r="C151" s="4" t="s">
        <v>75</v>
      </c>
      <c r="D151" s="4" t="s">
        <v>74</v>
      </c>
      <c r="E151" s="10">
        <v>88.8</v>
      </c>
      <c r="G151" s="4"/>
      <c r="H151" s="4"/>
      <c r="I151" s="4"/>
      <c r="K151" s="11">
        <f>IF($E151="","",ROUND($E151*IF(ISNA(MATCH($C151,'Paramètres'!$D:$D,0)),1,IF(INDEX('Paramètres'!$J:$J,MATCH($C151,'Paramètres'!$D:$D,0))="",1,INDEX('Paramètres'!$J:$J,MATCH($C151,'Paramètres'!$D:$D,0)))),2))</f>
        <v>88.8</v>
      </c>
      <c r="L151" s="6" t="str">
        <f>IF($D151="","",IF($F151&lt;&gt;"",$F151,IF(ISNA(MATCH($D151,'Paramètres'!$M:$M,0)),"⚠ Type inconnu",IFERROR(INDEX('Paramètres'!$P:$P,MATCH($D151,'Paramètres'!$M:$M,0))&amp;"",""))))</f>
        <v>Débit</v>
      </c>
      <c r="M151" s="6" t="str">
        <f>IF($D151="","",IF(ISNA(MATCH($D151,'Paramètres'!$M:$M,0)),"⚠ Type inconnu",IF($L151="Crédit","",IFERROR(INDEX('Paramètres'!$O:$O,MATCH($D151,'Paramètres'!$M:$M,0))&amp;"",""))))</f>
        <v>Dépense Fixe</v>
      </c>
      <c r="N151" s="6" t="str">
        <f>IF($D151="","",IFERROR(INDEX('Paramètres'!$Q:$Q,MATCH($D151,'Paramètres'!$M:$M,0))&amp;"",""))</f>
        <v>Transport</v>
      </c>
      <c r="O151" s="6">
        <f>IF($A151="","",IF(OR($J151&lt;&gt;"x",$A151&lt;=FinReleve),1,0))</f>
        <v>1</v>
      </c>
      <c r="P151" s="6">
        <f>IF($D151="","",IF(AND($L151="Crédit",OR(IFERROR(INDEX('Paramètres'!$O:$O,MATCH($D151,'Paramètres'!$M:$M,0))&amp;"","")&lt;&gt;"",ISNUMBER(SEARCH("remboursement",IFERROR(INDEX('Paramètres'!$N:$N,MATCH($D151,'Paramètres'!$M:$M,0))&amp;"",""))))),1,0))</f>
        <v>0</v>
      </c>
      <c r="Q151" s="6">
        <f>IF($K151="","",IF(ISNUMBER(SEARCH("transfert-interne",IFERROR(INDEX('Paramètres'!$N:$N,MATCH($D151,'Paramètres'!$M:$M,0))&amp;"",""))),0,IF($L151="Débit",$K151,IF($P151=1,-$K151,0))))</f>
        <v>88.8</v>
      </c>
      <c r="R151" s="6">
        <f>IF($K151="","",IF($L151="Crédit",$K151,-$K151))</f>
        <v>-88.8</v>
      </c>
      <c r="S151" s="6" t="str">
        <f>IF($C151="","",IFERROR(INDEX('Paramètres'!$H:$H,MATCH($C151,'Paramètres'!$D:$D,0))&amp;"",""))</f>
        <v/>
      </c>
      <c r="T151" s="6">
        <f>IF($K151="","",IF($S151="",0,IF(ISNUMBER(SEARCH("apport-exterieur",IFERROR(INDEX('Paramètres'!$N:$N,MATCH($D151,'Paramètres'!$M:$M,0))&amp;"",""))),0,IF(OR(IFERROR(INDEX('Paramètres'!$I:$I,MATCH($C151,'Paramètres'!$D:$D,0))&amp;"","")="Les deux",IFERROR(INDEX('Paramètres'!$I:$I,MATCH($C151,'Paramètres'!$D:$D,0))&amp;"","")=IF($P151=1,"Débit",$L151)),-IF($P151=1,-$K151,$K151),0))))</f>
        <v>0</v>
      </c>
      <c r="U151" s="6">
        <f>IF($K151="","",IF(ISNUMBER(SEARCH("sortie-epargne",IFERROR(INDEX('Paramètres'!$N:$N,MATCH($D151,'Paramètres'!$M:$M,0))&amp;"",""))),$K151,0))</f>
        <v>0</v>
      </c>
      <c r="V151" s="6" t="str">
        <f>IF(AND($A151&lt;&gt;"",$O151=1,$L151="Débit",N($Q151)&gt;0,$A151&gt;=Visualisation!$B$1,$A151&lt;Visualisation!$D$1),MAX($V$1:V150)+1,"")</f>
        <v/>
      </c>
    </row>
    <row r="152" spans="1:22" x14ac:dyDescent="0.25">
      <c r="A152" s="9">
        <v>45629</v>
      </c>
      <c r="B152" s="4" t="s">
        <v>76</v>
      </c>
      <c r="C152" s="4" t="s">
        <v>67</v>
      </c>
      <c r="D152" s="4" t="s">
        <v>77</v>
      </c>
      <c r="E152" s="10">
        <v>191.76</v>
      </c>
      <c r="G152" s="4" t="s">
        <v>95</v>
      </c>
      <c r="H152" s="4"/>
      <c r="I152" s="4" t="s">
        <v>79</v>
      </c>
      <c r="K152" s="11">
        <f>IF($E152="","",ROUND($E152*IF(ISNA(MATCH($C152,'Paramètres'!$D:$D,0)),1,IF(INDEX('Paramètres'!$J:$J,MATCH($C152,'Paramètres'!$D:$D,0))="",1,INDEX('Paramètres'!$J:$J,MATCH($C152,'Paramètres'!$D:$D,0)))),2))</f>
        <v>95.88</v>
      </c>
      <c r="L152" s="6" t="str">
        <f>IF($D152="","",IF($F152&lt;&gt;"",$F152,IF(ISNA(MATCH($D152,'Paramètres'!$M:$M,0)),"⚠ Type inconnu",IFERROR(INDEX('Paramètres'!$P:$P,MATCH($D152,'Paramètres'!$M:$M,0))&amp;"",""))))</f>
        <v>Débit</v>
      </c>
      <c r="M152" s="6" t="str">
        <f>IF($D152="","",IF(ISNA(MATCH($D152,'Paramètres'!$M:$M,0)),"⚠ Type inconnu",IF($L152="Crédit","",IFERROR(INDEX('Paramètres'!$O:$O,MATCH($D152,'Paramètres'!$M:$M,0))&amp;"",""))))</f>
        <v>Dépense Courante</v>
      </c>
      <c r="N152" s="6" t="str">
        <f>IF($D152="","",IFERROR(INDEX('Paramètres'!$Q:$Q,MATCH($D152,'Paramètres'!$M:$M,0))&amp;"",""))</f>
        <v>Alimentation</v>
      </c>
      <c r="O152" s="6">
        <f>IF($A152="","",IF(OR($J152&lt;&gt;"x",$A152&lt;=FinReleve),1,0))</f>
        <v>1</v>
      </c>
      <c r="P152" s="6">
        <f>IF($D152="","",IF(AND($L152="Crédit",OR(IFERROR(INDEX('Paramètres'!$O:$O,MATCH($D152,'Paramètres'!$M:$M,0))&amp;"","")&lt;&gt;"",ISNUMBER(SEARCH("remboursement",IFERROR(INDEX('Paramètres'!$N:$N,MATCH($D152,'Paramètres'!$M:$M,0))&amp;"",""))))),1,0))</f>
        <v>0</v>
      </c>
      <c r="Q152" s="6">
        <f>IF($K152="","",IF(ISNUMBER(SEARCH("transfert-interne",IFERROR(INDEX('Paramètres'!$N:$N,MATCH($D152,'Paramètres'!$M:$M,0))&amp;"",""))),0,IF($L152="Débit",$K152,IF($P152=1,-$K152,0))))</f>
        <v>95.88</v>
      </c>
      <c r="R152" s="6">
        <f>IF($K152="","",IF($L152="Crédit",$K152,-$K152))</f>
        <v>-95.88</v>
      </c>
      <c r="S152" s="6" t="str">
        <f>IF($C152="","",IFERROR(INDEX('Paramètres'!$H:$H,MATCH($C152,'Paramètres'!$D:$D,0))&amp;"",""))</f>
        <v>Banque A - Courant</v>
      </c>
      <c r="T152" s="6">
        <f>IF($K152="","",IF($S152="",0,IF(ISNUMBER(SEARCH("apport-exterieur",IFERROR(INDEX('Paramètres'!$N:$N,MATCH($D152,'Paramètres'!$M:$M,0))&amp;"",""))),0,IF(OR(IFERROR(INDEX('Paramètres'!$I:$I,MATCH($C152,'Paramètres'!$D:$D,0))&amp;"","")="Les deux",IFERROR(INDEX('Paramètres'!$I:$I,MATCH($C152,'Paramètres'!$D:$D,0))&amp;"","")=IF($P152=1,"Débit",$L152)),-IF($P152=1,-$K152,$K152),0))))</f>
        <v>0</v>
      </c>
      <c r="U152" s="6">
        <f>IF($K152="","",IF(ISNUMBER(SEARCH("sortie-epargne",IFERROR(INDEX('Paramètres'!$N:$N,MATCH($D152,'Paramètres'!$M:$M,0))&amp;"",""))),$K152,0))</f>
        <v>0</v>
      </c>
      <c r="V152" s="6" t="str">
        <f>IF(AND($A152&lt;&gt;"",$O152=1,$L152="Débit",N($Q152)&gt;0,$A152&gt;=Visualisation!$B$1,$A152&lt;Visualisation!$D$1),MAX($V$1:V151)+1,"")</f>
        <v/>
      </c>
    </row>
    <row r="153" spans="1:22" x14ac:dyDescent="0.25">
      <c r="A153" s="9">
        <v>45630</v>
      </c>
      <c r="B153" s="4" t="s">
        <v>123</v>
      </c>
      <c r="C153" s="4" t="s">
        <v>75</v>
      </c>
      <c r="D153" s="4" t="s">
        <v>124</v>
      </c>
      <c r="E153" s="10">
        <v>122.23</v>
      </c>
      <c r="G153" s="4" t="s">
        <v>125</v>
      </c>
      <c r="H153" s="4"/>
      <c r="I153" s="4" t="s">
        <v>73</v>
      </c>
      <c r="K153" s="11">
        <f>IF($E153="","",ROUND($E153*IF(ISNA(MATCH($C153,'Paramètres'!$D:$D,0)),1,IF(INDEX('Paramètres'!$J:$J,MATCH($C153,'Paramètres'!$D:$D,0))="",1,INDEX('Paramètres'!$J:$J,MATCH($C153,'Paramètres'!$D:$D,0)))),2))</f>
        <v>122.23</v>
      </c>
      <c r="L153" s="6" t="str">
        <f>IF($D153="","",IF($F153&lt;&gt;"",$F153,IF(ISNA(MATCH($D153,'Paramètres'!$M:$M,0)),"⚠ Type inconnu",IFERROR(INDEX('Paramètres'!$P:$P,MATCH($D153,'Paramètres'!$M:$M,0))&amp;"",""))))</f>
        <v>Débit</v>
      </c>
      <c r="M153" s="6" t="str">
        <f>IF($D153="","",IF(ISNA(MATCH($D153,'Paramètres'!$M:$M,0)),"⚠ Type inconnu",IF($L153="Crédit","",IFERROR(INDEX('Paramètres'!$O:$O,MATCH($D153,'Paramètres'!$M:$M,0))&amp;"",""))))</f>
        <v>Dépense Courante</v>
      </c>
      <c r="N153" s="6" t="str">
        <f>IF($D153="","",IFERROR(INDEX('Paramètres'!$Q:$Q,MATCH($D153,'Paramètres'!$M:$M,0))&amp;"",""))</f>
        <v>Habillement</v>
      </c>
      <c r="O153" s="6">
        <f>IF($A153="","",IF(OR($J153&lt;&gt;"x",$A153&lt;=FinReleve),1,0))</f>
        <v>1</v>
      </c>
      <c r="P153" s="6">
        <f>IF($D153="","",IF(AND($L153="Crédit",OR(IFERROR(INDEX('Paramètres'!$O:$O,MATCH($D153,'Paramètres'!$M:$M,0))&amp;"","")&lt;&gt;"",ISNUMBER(SEARCH("remboursement",IFERROR(INDEX('Paramètres'!$N:$N,MATCH($D153,'Paramètres'!$M:$M,0))&amp;"",""))))),1,0))</f>
        <v>0</v>
      </c>
      <c r="Q153" s="6">
        <f>IF($K153="","",IF(ISNUMBER(SEARCH("transfert-interne",IFERROR(INDEX('Paramètres'!$N:$N,MATCH($D153,'Paramètres'!$M:$M,0))&amp;"",""))),0,IF($L153="Débit",$K153,IF($P153=1,-$K153,0))))</f>
        <v>122.23</v>
      </c>
      <c r="R153" s="6">
        <f>IF($K153="","",IF($L153="Crédit",$K153,-$K153))</f>
        <v>-122.23</v>
      </c>
      <c r="S153" s="6" t="str">
        <f>IF($C153="","",IFERROR(INDEX('Paramètres'!$H:$H,MATCH($C153,'Paramètres'!$D:$D,0))&amp;"",""))</f>
        <v/>
      </c>
      <c r="T153" s="6">
        <f>IF($K153="","",IF($S153="",0,IF(ISNUMBER(SEARCH("apport-exterieur",IFERROR(INDEX('Paramètres'!$N:$N,MATCH($D153,'Paramètres'!$M:$M,0))&amp;"",""))),0,IF(OR(IFERROR(INDEX('Paramètres'!$I:$I,MATCH($C153,'Paramètres'!$D:$D,0))&amp;"","")="Les deux",IFERROR(INDEX('Paramètres'!$I:$I,MATCH($C153,'Paramètres'!$D:$D,0))&amp;"","")=IF($P153=1,"Débit",$L153)),-IF($P153=1,-$K153,$K153),0))))</f>
        <v>0</v>
      </c>
      <c r="U153" s="6">
        <f>IF($K153="","",IF(ISNUMBER(SEARCH("sortie-epargne",IFERROR(INDEX('Paramètres'!$N:$N,MATCH($D153,'Paramètres'!$M:$M,0))&amp;"",""))),$K153,0))</f>
        <v>0</v>
      </c>
      <c r="V153" s="6" t="str">
        <f>IF(AND($A153&lt;&gt;"",$O153=1,$L153="Débit",N($Q153)&gt;0,$A153&gt;=Visualisation!$B$1,$A153&lt;Visualisation!$D$1),MAX($V$1:V152)+1,"")</f>
        <v/>
      </c>
    </row>
    <row r="154" spans="1:22" x14ac:dyDescent="0.25">
      <c r="A154" s="9">
        <v>45630</v>
      </c>
      <c r="B154" s="4" t="s">
        <v>80</v>
      </c>
      <c r="C154" s="4" t="s">
        <v>70</v>
      </c>
      <c r="D154" s="4" t="s">
        <v>81</v>
      </c>
      <c r="E154" s="10">
        <v>125.76</v>
      </c>
      <c r="G154" s="4"/>
      <c r="H154" s="4"/>
      <c r="I154" s="4"/>
      <c r="K154" s="11">
        <f>IF($E154="","",ROUND($E154*IF(ISNA(MATCH($C154,'Paramètres'!$D:$D,0)),1,IF(INDEX('Paramètres'!$J:$J,MATCH($C154,'Paramètres'!$D:$D,0))="",1,INDEX('Paramètres'!$J:$J,MATCH($C154,'Paramètres'!$D:$D,0)))),2))</f>
        <v>125.76</v>
      </c>
      <c r="L154" s="6" t="str">
        <f>IF($D154="","",IF($F154&lt;&gt;"",$F154,IF(ISNA(MATCH($D154,'Paramètres'!$M:$M,0)),"⚠ Type inconnu",IFERROR(INDEX('Paramètres'!$P:$P,MATCH($D154,'Paramètres'!$M:$M,0))&amp;"",""))))</f>
        <v>Crédit</v>
      </c>
      <c r="M154" s="6" t="str">
        <f>IF($D154="","",IF(ISNA(MATCH($D154,'Paramètres'!$M:$M,0)),"⚠ Type inconnu",IF($L154="Crédit","",IFERROR(INDEX('Paramètres'!$O:$O,MATCH($D154,'Paramètres'!$M:$M,0))&amp;"",""))))</f>
        <v/>
      </c>
      <c r="N154" s="6" t="str">
        <f>IF($D154="","",IFERROR(INDEX('Paramètres'!$Q:$Q,MATCH($D154,'Paramètres'!$M:$M,0))&amp;"",""))</f>
        <v>Comptes Bancaires</v>
      </c>
      <c r="O154" s="6">
        <f>IF($A154="","",IF(OR($J154&lt;&gt;"x",$A154&lt;=FinReleve),1,0))</f>
        <v>1</v>
      </c>
      <c r="P154" s="6">
        <f>IF($D154="","",IF(AND($L154="Crédit",OR(IFERROR(INDEX('Paramètres'!$O:$O,MATCH($D154,'Paramètres'!$M:$M,0))&amp;"","")&lt;&gt;"",ISNUMBER(SEARCH("remboursement",IFERROR(INDEX('Paramètres'!$N:$N,MATCH($D154,'Paramètres'!$M:$M,0))&amp;"",""))))),1,0))</f>
        <v>0</v>
      </c>
      <c r="Q154" s="6">
        <f>IF($K154="","",IF(ISNUMBER(SEARCH("transfert-interne",IFERROR(INDEX('Paramètres'!$N:$N,MATCH($D154,'Paramètres'!$M:$M,0))&amp;"",""))),0,IF($L154="Débit",$K154,IF($P154=1,-$K154,0))))</f>
        <v>0</v>
      </c>
      <c r="R154" s="6">
        <f>IF($K154="","",IF($L154="Crédit",$K154,-$K154))</f>
        <v>125.76</v>
      </c>
      <c r="S154" s="6" t="str">
        <f>IF($C154="","",IFERROR(INDEX('Paramètres'!$H:$H,MATCH($C154,'Paramètres'!$D:$D,0))&amp;"",""))</f>
        <v/>
      </c>
      <c r="T154" s="6">
        <f>IF($K154="","",IF($S154="",0,IF(ISNUMBER(SEARCH("apport-exterieur",IFERROR(INDEX('Paramètres'!$N:$N,MATCH($D154,'Paramètres'!$M:$M,0))&amp;"",""))),0,IF(OR(IFERROR(INDEX('Paramètres'!$I:$I,MATCH($C154,'Paramètres'!$D:$D,0))&amp;"","")="Les deux",IFERROR(INDEX('Paramètres'!$I:$I,MATCH($C154,'Paramètres'!$D:$D,0))&amp;"","")=IF($P154=1,"Débit",$L154)),-IF($P154=1,-$K154,$K154),0))))</f>
        <v>0</v>
      </c>
      <c r="U154" s="6">
        <f>IF($K154="","",IF(ISNUMBER(SEARCH("sortie-epargne",IFERROR(INDEX('Paramètres'!$N:$N,MATCH($D154,'Paramètres'!$M:$M,0))&amp;"",""))),$K154,0))</f>
        <v>0</v>
      </c>
      <c r="V154" s="6" t="str">
        <f>IF(AND($A154&lt;&gt;"",$O154=1,$L154="Débit",N($Q154)&gt;0,$A154&gt;=Visualisation!$B$1,$A154&lt;Visualisation!$D$1),MAX($V$1:V153)+1,"")</f>
        <v/>
      </c>
    </row>
    <row r="155" spans="1:22" x14ac:dyDescent="0.25">
      <c r="A155" s="9">
        <v>45631</v>
      </c>
      <c r="B155" s="4" t="s">
        <v>82</v>
      </c>
      <c r="C155" s="4" t="s">
        <v>65</v>
      </c>
      <c r="D155" s="4" t="s">
        <v>83</v>
      </c>
      <c r="E155" s="10">
        <v>648.42</v>
      </c>
      <c r="G155" s="4" t="s">
        <v>84</v>
      </c>
      <c r="H155" s="4"/>
      <c r="I155" s="4"/>
      <c r="K155" s="11">
        <f>IF($E155="","",ROUND($E155*IF(ISNA(MATCH($C155,'Paramètres'!$D:$D,0)),1,IF(INDEX('Paramètres'!$J:$J,MATCH($C155,'Paramètres'!$D:$D,0))="",1,INDEX('Paramètres'!$J:$J,MATCH($C155,'Paramètres'!$D:$D,0)))),2))</f>
        <v>648.42</v>
      </c>
      <c r="L155" s="6" t="str">
        <f>IF($D155="","",IF($F155&lt;&gt;"",$F155,IF(ISNA(MATCH($D155,'Paramètres'!$M:$M,0)),"⚠ Type inconnu",IFERROR(INDEX('Paramètres'!$P:$P,MATCH($D155,'Paramètres'!$M:$M,0))&amp;"",""))))</f>
        <v>Débit</v>
      </c>
      <c r="M155" s="6" t="str">
        <f>IF($D155="","",IF(ISNA(MATCH($D155,'Paramètres'!$M:$M,0)),"⚠ Type inconnu",IF($L155="Crédit","",IFERROR(INDEX('Paramètres'!$O:$O,MATCH($D155,'Paramètres'!$M:$M,0))&amp;"",""))))</f>
        <v/>
      </c>
      <c r="N155" s="6" t="str">
        <f>IF($D155="","",IFERROR(INDEX('Paramètres'!$Q:$Q,MATCH($D155,'Paramètres'!$M:$M,0))&amp;"",""))</f>
        <v>Immobilier</v>
      </c>
      <c r="O155" s="6">
        <f>IF($A155="","",IF(OR($J155&lt;&gt;"x",$A155&lt;=FinReleve),1,0))</f>
        <v>1</v>
      </c>
      <c r="P155" s="6">
        <f>IF($D155="","",IF(AND($L155="Crédit",OR(IFERROR(INDEX('Paramètres'!$O:$O,MATCH($D155,'Paramètres'!$M:$M,0))&amp;"","")&lt;&gt;"",ISNUMBER(SEARCH("remboursement",IFERROR(INDEX('Paramètres'!$N:$N,MATCH($D155,'Paramètres'!$M:$M,0))&amp;"",""))))),1,0))</f>
        <v>0</v>
      </c>
      <c r="Q155" s="6">
        <f>IF($K155="","",IF(ISNUMBER(SEARCH("transfert-interne",IFERROR(INDEX('Paramètres'!$N:$N,MATCH($D155,'Paramètres'!$M:$M,0))&amp;"",""))),0,IF($L155="Débit",$K155,IF($P155=1,-$K155,0))))</f>
        <v>648.42</v>
      </c>
      <c r="R155" s="6">
        <f>IF($K155="","",IF($L155="Crédit",$K155,-$K155))</f>
        <v>-648.42</v>
      </c>
      <c r="S155" s="6" t="str">
        <f>IF($C155="","",IFERROR(INDEX('Paramètres'!$H:$H,MATCH($C155,'Paramètres'!$D:$D,0))&amp;"",""))</f>
        <v>Banque A - Courant</v>
      </c>
      <c r="T155" s="6">
        <f>IF($K155="","",IF($S155="",0,IF(ISNUMBER(SEARCH("apport-exterieur",IFERROR(INDEX('Paramètres'!$N:$N,MATCH($D155,'Paramètres'!$M:$M,0))&amp;"",""))),0,IF(OR(IFERROR(INDEX('Paramètres'!$I:$I,MATCH($C155,'Paramètres'!$D:$D,0))&amp;"","")="Les deux",IFERROR(INDEX('Paramètres'!$I:$I,MATCH($C155,'Paramètres'!$D:$D,0))&amp;"","")=IF($P155=1,"Débit",$L155)),-IF($P155=1,-$K155,$K155),0))))</f>
        <v>0</v>
      </c>
      <c r="U155" s="6">
        <f>IF($K155="","",IF(ISNUMBER(SEARCH("sortie-epargne",IFERROR(INDEX('Paramètres'!$N:$N,MATCH($D155,'Paramètres'!$M:$M,0))&amp;"",""))),$K155,0))</f>
        <v>0</v>
      </c>
      <c r="V155" s="6" t="str">
        <f>IF(AND($A155&lt;&gt;"",$O155=1,$L155="Débit",N($Q155)&gt;0,$A155&gt;=Visualisation!$B$1,$A155&lt;Visualisation!$D$1),MAX($V$1:V154)+1,"")</f>
        <v/>
      </c>
    </row>
    <row r="156" spans="1:22" x14ac:dyDescent="0.25">
      <c r="A156" s="9">
        <v>45631</v>
      </c>
      <c r="B156" s="4" t="s">
        <v>85</v>
      </c>
      <c r="C156" s="4" t="s">
        <v>65</v>
      </c>
      <c r="D156" s="4" t="s">
        <v>86</v>
      </c>
      <c r="E156" s="10">
        <v>245.22</v>
      </c>
      <c r="G156" s="4" t="s">
        <v>87</v>
      </c>
      <c r="H156" s="4"/>
      <c r="I156" s="4"/>
      <c r="K156" s="11">
        <f>IF($E156="","",ROUND($E156*IF(ISNA(MATCH($C156,'Paramètres'!$D:$D,0)),1,IF(INDEX('Paramètres'!$J:$J,MATCH($C156,'Paramètres'!$D:$D,0))="",1,INDEX('Paramètres'!$J:$J,MATCH($C156,'Paramètres'!$D:$D,0)))),2))</f>
        <v>245.22</v>
      </c>
      <c r="L156" s="6" t="str">
        <f>IF($D156="","",IF($F156&lt;&gt;"",$F156,IF(ISNA(MATCH($D156,'Paramètres'!$M:$M,0)),"⚠ Type inconnu",IFERROR(INDEX('Paramètres'!$P:$P,MATCH($D156,'Paramètres'!$M:$M,0))&amp;"",""))))</f>
        <v>Débit</v>
      </c>
      <c r="M156" s="6" t="str">
        <f>IF($D156="","",IF(ISNA(MATCH($D156,'Paramètres'!$M:$M,0)),"⚠ Type inconnu",IF($L156="Crédit","",IFERROR(INDEX('Paramètres'!$O:$O,MATCH($D156,'Paramètres'!$M:$M,0))&amp;"",""))))</f>
        <v>Dépense Fixe</v>
      </c>
      <c r="N156" s="6" t="str">
        <f>IF($D156="","",IFERROR(INDEX('Paramètres'!$Q:$Q,MATCH($D156,'Paramètres'!$M:$M,0))&amp;"",""))</f>
        <v>Immobilier</v>
      </c>
      <c r="O156" s="6">
        <f>IF($A156="","",IF(OR($J156&lt;&gt;"x",$A156&lt;=FinReleve),1,0))</f>
        <v>1</v>
      </c>
      <c r="P156" s="6">
        <f>IF($D156="","",IF(AND($L156="Crédit",OR(IFERROR(INDEX('Paramètres'!$O:$O,MATCH($D156,'Paramètres'!$M:$M,0))&amp;"","")&lt;&gt;"",ISNUMBER(SEARCH("remboursement",IFERROR(INDEX('Paramètres'!$N:$N,MATCH($D156,'Paramètres'!$M:$M,0))&amp;"",""))))),1,0))</f>
        <v>0</v>
      </c>
      <c r="Q156" s="6">
        <f>IF($K156="","",IF(ISNUMBER(SEARCH("transfert-interne",IFERROR(INDEX('Paramètres'!$N:$N,MATCH($D156,'Paramètres'!$M:$M,0))&amp;"",""))),0,IF($L156="Débit",$K156,IF($P156=1,-$K156,0))))</f>
        <v>245.22</v>
      </c>
      <c r="R156" s="6">
        <f>IF($K156="","",IF($L156="Crédit",$K156,-$K156))</f>
        <v>-245.22</v>
      </c>
      <c r="S156" s="6" t="str">
        <f>IF($C156="","",IFERROR(INDEX('Paramètres'!$H:$H,MATCH($C156,'Paramètres'!$D:$D,0))&amp;"",""))</f>
        <v>Banque A - Courant</v>
      </c>
      <c r="T156" s="6">
        <f>IF($K156="","",IF($S156="",0,IF(ISNUMBER(SEARCH("apport-exterieur",IFERROR(INDEX('Paramètres'!$N:$N,MATCH($D156,'Paramètres'!$M:$M,0))&amp;"",""))),0,IF(OR(IFERROR(INDEX('Paramètres'!$I:$I,MATCH($C156,'Paramètres'!$D:$D,0))&amp;"","")="Les deux",IFERROR(INDEX('Paramètres'!$I:$I,MATCH($C156,'Paramètres'!$D:$D,0))&amp;"","")=IF($P156=1,"Débit",$L156)),-IF($P156=1,-$K156,$K156),0))))</f>
        <v>0</v>
      </c>
      <c r="U156" s="6">
        <f>IF($K156="","",IF(ISNUMBER(SEARCH("sortie-epargne",IFERROR(INDEX('Paramètres'!$N:$N,MATCH($D156,'Paramètres'!$M:$M,0))&amp;"",""))),$K156,0))</f>
        <v>0</v>
      </c>
      <c r="V156" s="6" t="str">
        <f>IF(AND($A156&lt;&gt;"",$O156=1,$L156="Débit",N($Q156)&gt;0,$A156&gt;=Visualisation!$B$1,$A156&lt;Visualisation!$D$1),MAX($V$1:V155)+1,"")</f>
        <v/>
      </c>
    </row>
    <row r="157" spans="1:22" x14ac:dyDescent="0.25">
      <c r="A157" s="9">
        <v>45631</v>
      </c>
      <c r="B157" s="4" t="s">
        <v>88</v>
      </c>
      <c r="C157" s="4" t="s">
        <v>65</v>
      </c>
      <c r="D157" s="4" t="s">
        <v>88</v>
      </c>
      <c r="E157" s="10">
        <v>31.2</v>
      </c>
      <c r="G157" s="4"/>
      <c r="H157" s="4"/>
      <c r="I157" s="4"/>
      <c r="K157" s="11">
        <f>IF($E157="","",ROUND($E157*IF(ISNA(MATCH($C157,'Paramètres'!$D:$D,0)),1,IF(INDEX('Paramètres'!$J:$J,MATCH($C157,'Paramètres'!$D:$D,0))="",1,INDEX('Paramètres'!$J:$J,MATCH($C157,'Paramètres'!$D:$D,0)))),2))</f>
        <v>31.2</v>
      </c>
      <c r="L157" s="6" t="str">
        <f>IF($D157="","",IF($F157&lt;&gt;"",$F157,IF(ISNA(MATCH($D157,'Paramètres'!$M:$M,0)),"⚠ Type inconnu",IFERROR(INDEX('Paramètres'!$P:$P,MATCH($D157,'Paramètres'!$M:$M,0))&amp;"",""))))</f>
        <v>Débit</v>
      </c>
      <c r="M157" s="6" t="str">
        <f>IF($D157="","",IF(ISNA(MATCH($D157,'Paramètres'!$M:$M,0)),"⚠ Type inconnu",IF($L157="Crédit","",IFERROR(INDEX('Paramètres'!$O:$O,MATCH($D157,'Paramètres'!$M:$M,0))&amp;"",""))))</f>
        <v>Dépense Fixe</v>
      </c>
      <c r="N157" s="6" t="str">
        <f>IF($D157="","",IFERROR(INDEX('Paramètres'!$Q:$Q,MATCH($D157,'Paramètres'!$M:$M,0))&amp;"",""))</f>
        <v>Assurances</v>
      </c>
      <c r="O157" s="6">
        <f>IF($A157="","",IF(OR($J157&lt;&gt;"x",$A157&lt;=FinReleve),1,0))</f>
        <v>1</v>
      </c>
      <c r="P157" s="6">
        <f>IF($D157="","",IF(AND($L157="Crédit",OR(IFERROR(INDEX('Paramètres'!$O:$O,MATCH($D157,'Paramètres'!$M:$M,0))&amp;"","")&lt;&gt;"",ISNUMBER(SEARCH("remboursement",IFERROR(INDEX('Paramètres'!$N:$N,MATCH($D157,'Paramètres'!$M:$M,0))&amp;"",""))))),1,0))</f>
        <v>0</v>
      </c>
      <c r="Q157" s="6">
        <f>IF($K157="","",IF(ISNUMBER(SEARCH("transfert-interne",IFERROR(INDEX('Paramètres'!$N:$N,MATCH($D157,'Paramètres'!$M:$M,0))&amp;"",""))),0,IF($L157="Débit",$K157,IF($P157=1,-$K157,0))))</f>
        <v>31.2</v>
      </c>
      <c r="R157" s="6">
        <f>IF($K157="","",IF($L157="Crédit",$K157,-$K157))</f>
        <v>-31.2</v>
      </c>
      <c r="S157" s="6" t="str">
        <f>IF($C157="","",IFERROR(INDEX('Paramètres'!$H:$H,MATCH($C157,'Paramètres'!$D:$D,0))&amp;"",""))</f>
        <v>Banque A - Courant</v>
      </c>
      <c r="T157" s="6">
        <f>IF($K157="","",IF($S157="",0,IF(ISNUMBER(SEARCH("apport-exterieur",IFERROR(INDEX('Paramètres'!$N:$N,MATCH($D157,'Paramètres'!$M:$M,0))&amp;"",""))),0,IF(OR(IFERROR(INDEX('Paramètres'!$I:$I,MATCH($C157,'Paramètres'!$D:$D,0))&amp;"","")="Les deux",IFERROR(INDEX('Paramètres'!$I:$I,MATCH($C157,'Paramètres'!$D:$D,0))&amp;"","")=IF($P157=1,"Débit",$L157)),-IF($P157=1,-$K157,$K157),0))))</f>
        <v>0</v>
      </c>
      <c r="U157" s="6">
        <f>IF($K157="","",IF(ISNUMBER(SEARCH("sortie-epargne",IFERROR(INDEX('Paramètres'!$N:$N,MATCH($D157,'Paramètres'!$M:$M,0))&amp;"",""))),$K157,0))</f>
        <v>0</v>
      </c>
      <c r="V157" s="6" t="str">
        <f>IF(AND($A157&lt;&gt;"",$O157=1,$L157="Débit",N($Q157)&gt;0,$A157&gt;=Visualisation!$B$1,$A157&lt;Visualisation!$D$1),MAX($V$1:V156)+1,"")</f>
        <v/>
      </c>
    </row>
    <row r="158" spans="1:22" x14ac:dyDescent="0.25">
      <c r="A158" s="9">
        <v>45632</v>
      </c>
      <c r="B158" s="4" t="s">
        <v>89</v>
      </c>
      <c r="C158" s="4" t="s">
        <v>75</v>
      </c>
      <c r="D158" s="4" t="s">
        <v>89</v>
      </c>
      <c r="E158" s="10">
        <v>49.9</v>
      </c>
      <c r="G158" s="4"/>
      <c r="H158" s="4"/>
      <c r="I158" s="4"/>
      <c r="K158" s="11">
        <f>IF($E158="","",ROUND($E158*IF(ISNA(MATCH($C158,'Paramètres'!$D:$D,0)),1,IF(INDEX('Paramètres'!$J:$J,MATCH($C158,'Paramètres'!$D:$D,0))="",1,INDEX('Paramètres'!$J:$J,MATCH($C158,'Paramètres'!$D:$D,0)))),2))</f>
        <v>49.9</v>
      </c>
      <c r="L158" s="6" t="str">
        <f>IF($D158="","",IF($F158&lt;&gt;"",$F158,IF(ISNA(MATCH($D158,'Paramètres'!$M:$M,0)),"⚠ Type inconnu",IFERROR(INDEX('Paramètres'!$P:$P,MATCH($D158,'Paramètres'!$M:$M,0))&amp;"",""))))</f>
        <v>Débit</v>
      </c>
      <c r="M158" s="6" t="str">
        <f>IF($D158="","",IF(ISNA(MATCH($D158,'Paramètres'!$M:$M,0)),"⚠ Type inconnu",IF($L158="Crédit","",IFERROR(INDEX('Paramètres'!$O:$O,MATCH($D158,'Paramètres'!$M:$M,0))&amp;"",""))))</f>
        <v>Dépense Fixe</v>
      </c>
      <c r="N158" s="6" t="str">
        <f>IF($D158="","",IFERROR(INDEX('Paramètres'!$Q:$Q,MATCH($D158,'Paramètres'!$M:$M,0))&amp;"",""))</f>
        <v>Autre</v>
      </c>
      <c r="O158" s="6">
        <f>IF($A158="","",IF(OR($J158&lt;&gt;"x",$A158&lt;=FinReleve),1,0))</f>
        <v>1</v>
      </c>
      <c r="P158" s="6">
        <f>IF($D158="","",IF(AND($L158="Crédit",OR(IFERROR(INDEX('Paramètres'!$O:$O,MATCH($D158,'Paramètres'!$M:$M,0))&amp;"","")&lt;&gt;"",ISNUMBER(SEARCH("remboursement",IFERROR(INDEX('Paramètres'!$N:$N,MATCH($D158,'Paramètres'!$M:$M,0))&amp;"",""))))),1,0))</f>
        <v>0</v>
      </c>
      <c r="Q158" s="6">
        <f>IF($K158="","",IF(ISNUMBER(SEARCH("transfert-interne",IFERROR(INDEX('Paramètres'!$N:$N,MATCH($D158,'Paramètres'!$M:$M,0))&amp;"",""))),0,IF($L158="Débit",$K158,IF($P158=1,-$K158,0))))</f>
        <v>49.9</v>
      </c>
      <c r="R158" s="6">
        <f>IF($K158="","",IF($L158="Crédit",$K158,-$K158))</f>
        <v>-49.9</v>
      </c>
      <c r="S158" s="6" t="str">
        <f>IF($C158="","",IFERROR(INDEX('Paramètres'!$H:$H,MATCH($C158,'Paramètres'!$D:$D,0))&amp;"",""))</f>
        <v/>
      </c>
      <c r="T158" s="6">
        <f>IF($K158="","",IF($S158="",0,IF(ISNUMBER(SEARCH("apport-exterieur",IFERROR(INDEX('Paramètres'!$N:$N,MATCH($D158,'Paramètres'!$M:$M,0))&amp;"",""))),0,IF(OR(IFERROR(INDEX('Paramètres'!$I:$I,MATCH($C158,'Paramètres'!$D:$D,0))&amp;"","")="Les deux",IFERROR(INDEX('Paramètres'!$I:$I,MATCH($C158,'Paramètres'!$D:$D,0))&amp;"","")=IF($P158=1,"Débit",$L158)),-IF($P158=1,-$K158,$K158),0))))</f>
        <v>0</v>
      </c>
      <c r="U158" s="6">
        <f>IF($K158="","",IF(ISNUMBER(SEARCH("sortie-epargne",IFERROR(INDEX('Paramètres'!$N:$N,MATCH($D158,'Paramètres'!$M:$M,0))&amp;"",""))),$K158,0))</f>
        <v>0</v>
      </c>
      <c r="V158" s="6" t="str">
        <f>IF(AND($A158&lt;&gt;"",$O158=1,$L158="Débit",N($Q158)&gt;0,$A158&gt;=Visualisation!$B$1,$A158&lt;Visualisation!$D$1),MAX($V$1:V157)+1,"")</f>
        <v/>
      </c>
    </row>
    <row r="159" spans="1:22" x14ac:dyDescent="0.25">
      <c r="A159" s="9">
        <v>45632</v>
      </c>
      <c r="B159" s="4" t="s">
        <v>76</v>
      </c>
      <c r="C159" s="4" t="s">
        <v>67</v>
      </c>
      <c r="D159" s="4" t="s">
        <v>77</v>
      </c>
      <c r="E159" s="10">
        <v>184.58</v>
      </c>
      <c r="G159" s="4" t="s">
        <v>78</v>
      </c>
      <c r="H159" s="4"/>
      <c r="I159" s="4" t="s">
        <v>73</v>
      </c>
      <c r="K159" s="11">
        <f>IF($E159="","",ROUND($E159*IF(ISNA(MATCH($C159,'Paramètres'!$D:$D,0)),1,IF(INDEX('Paramètres'!$J:$J,MATCH($C159,'Paramètres'!$D:$D,0))="",1,INDEX('Paramètres'!$J:$J,MATCH($C159,'Paramètres'!$D:$D,0)))),2))</f>
        <v>92.29</v>
      </c>
      <c r="L159" s="6" t="str">
        <f>IF($D159="","",IF($F159&lt;&gt;"",$F159,IF(ISNA(MATCH($D159,'Paramètres'!$M:$M,0)),"⚠ Type inconnu",IFERROR(INDEX('Paramètres'!$P:$P,MATCH($D159,'Paramètres'!$M:$M,0))&amp;"",""))))</f>
        <v>Débit</v>
      </c>
      <c r="M159" s="6" t="str">
        <f>IF($D159="","",IF(ISNA(MATCH($D159,'Paramètres'!$M:$M,0)),"⚠ Type inconnu",IF($L159="Crédit","",IFERROR(INDEX('Paramètres'!$O:$O,MATCH($D159,'Paramètres'!$M:$M,0))&amp;"",""))))</f>
        <v>Dépense Courante</v>
      </c>
      <c r="N159" s="6" t="str">
        <f>IF($D159="","",IFERROR(INDEX('Paramètres'!$Q:$Q,MATCH($D159,'Paramètres'!$M:$M,0))&amp;"",""))</f>
        <v>Alimentation</v>
      </c>
      <c r="O159" s="6">
        <f>IF($A159="","",IF(OR($J159&lt;&gt;"x",$A159&lt;=FinReleve),1,0))</f>
        <v>1</v>
      </c>
      <c r="P159" s="6">
        <f>IF($D159="","",IF(AND($L159="Crédit",OR(IFERROR(INDEX('Paramètres'!$O:$O,MATCH($D159,'Paramètres'!$M:$M,0))&amp;"","")&lt;&gt;"",ISNUMBER(SEARCH("remboursement",IFERROR(INDEX('Paramètres'!$N:$N,MATCH($D159,'Paramètres'!$M:$M,0))&amp;"",""))))),1,0))</f>
        <v>0</v>
      </c>
      <c r="Q159" s="6">
        <f>IF($K159="","",IF(ISNUMBER(SEARCH("transfert-interne",IFERROR(INDEX('Paramètres'!$N:$N,MATCH($D159,'Paramètres'!$M:$M,0))&amp;"",""))),0,IF($L159="Débit",$K159,IF($P159=1,-$K159,0))))</f>
        <v>92.29</v>
      </c>
      <c r="R159" s="6">
        <f>IF($K159="","",IF($L159="Crédit",$K159,-$K159))</f>
        <v>-92.29</v>
      </c>
      <c r="S159" s="6" t="str">
        <f>IF($C159="","",IFERROR(INDEX('Paramètres'!$H:$H,MATCH($C159,'Paramètres'!$D:$D,0))&amp;"",""))</f>
        <v>Banque A - Courant</v>
      </c>
      <c r="T159" s="6">
        <f>IF($K159="","",IF($S159="",0,IF(ISNUMBER(SEARCH("apport-exterieur",IFERROR(INDEX('Paramètres'!$N:$N,MATCH($D159,'Paramètres'!$M:$M,0))&amp;"",""))),0,IF(OR(IFERROR(INDEX('Paramètres'!$I:$I,MATCH($C159,'Paramètres'!$D:$D,0))&amp;"","")="Les deux",IFERROR(INDEX('Paramètres'!$I:$I,MATCH($C159,'Paramètres'!$D:$D,0))&amp;"","")=IF($P159=1,"Débit",$L159)),-IF($P159=1,-$K159,$K159),0))))</f>
        <v>0</v>
      </c>
      <c r="U159" s="6">
        <f>IF($K159="","",IF(ISNUMBER(SEARCH("sortie-epargne",IFERROR(INDEX('Paramètres'!$N:$N,MATCH($D159,'Paramètres'!$M:$M,0))&amp;"",""))),$K159,0))</f>
        <v>0</v>
      </c>
      <c r="V159" s="6" t="str">
        <f>IF(AND($A159&lt;&gt;"",$O159=1,$L159="Débit",N($Q159)&gt;0,$A159&gt;=Visualisation!$B$1,$A159&lt;Visualisation!$D$1),MAX($V$1:V158)+1,"")</f>
        <v/>
      </c>
    </row>
    <row r="160" spans="1:22" x14ac:dyDescent="0.25">
      <c r="A160" s="9">
        <v>45633</v>
      </c>
      <c r="B160" s="4" t="s">
        <v>76</v>
      </c>
      <c r="C160" s="4" t="s">
        <v>67</v>
      </c>
      <c r="D160" s="4" t="s">
        <v>77</v>
      </c>
      <c r="E160" s="10">
        <v>64.2</v>
      </c>
      <c r="G160" s="4" t="s">
        <v>98</v>
      </c>
      <c r="H160" s="4"/>
      <c r="I160" s="4" t="s">
        <v>63</v>
      </c>
      <c r="K160" s="11">
        <f>IF($E160="","",ROUND($E160*IF(ISNA(MATCH($C160,'Paramètres'!$D:$D,0)),1,IF(INDEX('Paramètres'!$J:$J,MATCH($C160,'Paramètres'!$D:$D,0))="",1,INDEX('Paramètres'!$J:$J,MATCH($C160,'Paramètres'!$D:$D,0)))),2))</f>
        <v>32.1</v>
      </c>
      <c r="L160" s="6" t="str">
        <f>IF($D160="","",IF($F160&lt;&gt;"",$F160,IF(ISNA(MATCH($D160,'Paramètres'!$M:$M,0)),"⚠ Type inconnu",IFERROR(INDEX('Paramètres'!$P:$P,MATCH($D160,'Paramètres'!$M:$M,0))&amp;"",""))))</f>
        <v>Débit</v>
      </c>
      <c r="M160" s="6" t="str">
        <f>IF($D160="","",IF(ISNA(MATCH($D160,'Paramètres'!$M:$M,0)),"⚠ Type inconnu",IF($L160="Crédit","",IFERROR(INDEX('Paramètres'!$O:$O,MATCH($D160,'Paramètres'!$M:$M,0))&amp;"",""))))</f>
        <v>Dépense Courante</v>
      </c>
      <c r="N160" s="6" t="str">
        <f>IF($D160="","",IFERROR(INDEX('Paramètres'!$Q:$Q,MATCH($D160,'Paramètres'!$M:$M,0))&amp;"",""))</f>
        <v>Alimentation</v>
      </c>
      <c r="O160" s="6">
        <f>IF($A160="","",IF(OR($J160&lt;&gt;"x",$A160&lt;=FinReleve),1,0))</f>
        <v>1</v>
      </c>
      <c r="P160" s="6">
        <f>IF($D160="","",IF(AND($L160="Crédit",OR(IFERROR(INDEX('Paramètres'!$O:$O,MATCH($D160,'Paramètres'!$M:$M,0))&amp;"","")&lt;&gt;"",ISNUMBER(SEARCH("remboursement",IFERROR(INDEX('Paramètres'!$N:$N,MATCH($D160,'Paramètres'!$M:$M,0))&amp;"",""))))),1,0))</f>
        <v>0</v>
      </c>
      <c r="Q160" s="6">
        <f>IF($K160="","",IF(ISNUMBER(SEARCH("transfert-interne",IFERROR(INDEX('Paramètres'!$N:$N,MATCH($D160,'Paramètres'!$M:$M,0))&amp;"",""))),0,IF($L160="Débit",$K160,IF($P160=1,-$K160,0))))</f>
        <v>32.1</v>
      </c>
      <c r="R160" s="6">
        <f>IF($K160="","",IF($L160="Crédit",$K160,-$K160))</f>
        <v>-32.1</v>
      </c>
      <c r="S160" s="6" t="str">
        <f>IF($C160="","",IFERROR(INDEX('Paramètres'!$H:$H,MATCH($C160,'Paramètres'!$D:$D,0))&amp;"",""))</f>
        <v>Banque A - Courant</v>
      </c>
      <c r="T160" s="6">
        <f>IF($K160="","",IF($S160="",0,IF(ISNUMBER(SEARCH("apport-exterieur",IFERROR(INDEX('Paramètres'!$N:$N,MATCH($D160,'Paramètres'!$M:$M,0))&amp;"",""))),0,IF(OR(IFERROR(INDEX('Paramètres'!$I:$I,MATCH($C160,'Paramètres'!$D:$D,0))&amp;"","")="Les deux",IFERROR(INDEX('Paramètres'!$I:$I,MATCH($C160,'Paramètres'!$D:$D,0))&amp;"","")=IF($P160=1,"Débit",$L160)),-IF($P160=1,-$K160,$K160),0))))</f>
        <v>0</v>
      </c>
      <c r="U160" s="6">
        <f>IF($K160="","",IF(ISNUMBER(SEARCH("sortie-epargne",IFERROR(INDEX('Paramètres'!$N:$N,MATCH($D160,'Paramètres'!$M:$M,0))&amp;"",""))),$K160,0))</f>
        <v>0</v>
      </c>
      <c r="V160" s="6" t="str">
        <f>IF(AND($A160&lt;&gt;"",$O160=1,$L160="Débit",N($Q160)&gt;0,$A160&gt;=Visualisation!$B$1,$A160&lt;Visualisation!$D$1),MAX($V$1:V159)+1,"")</f>
        <v/>
      </c>
    </row>
    <row r="161" spans="1:22" x14ac:dyDescent="0.25">
      <c r="A161" s="9">
        <v>45633</v>
      </c>
      <c r="B161" s="4" t="s">
        <v>69</v>
      </c>
      <c r="C161" s="4" t="s">
        <v>70</v>
      </c>
      <c r="D161" s="4" t="s">
        <v>71</v>
      </c>
      <c r="E161" s="10">
        <v>10.71</v>
      </c>
      <c r="G161" s="4" t="s">
        <v>72</v>
      </c>
      <c r="H161" s="4"/>
      <c r="I161" s="4" t="s">
        <v>73</v>
      </c>
      <c r="K161" s="11">
        <f>IF($E161="","",ROUND($E161*IF(ISNA(MATCH($C161,'Paramètres'!$D:$D,0)),1,IF(INDEX('Paramètres'!$J:$J,MATCH($C161,'Paramètres'!$D:$D,0))="",1,INDEX('Paramètres'!$J:$J,MATCH($C161,'Paramètres'!$D:$D,0)))),2))</f>
        <v>10.71</v>
      </c>
      <c r="L161" s="6" t="str">
        <f>IF($D161="","",IF($F161&lt;&gt;"",$F161,IF(ISNA(MATCH($D161,'Paramètres'!$M:$M,0)),"⚠ Type inconnu",IFERROR(INDEX('Paramètres'!$P:$P,MATCH($D161,'Paramètres'!$M:$M,0))&amp;"",""))))</f>
        <v>Débit</v>
      </c>
      <c r="M161" s="6" t="str">
        <f>IF($D161="","",IF(ISNA(MATCH($D161,'Paramètres'!$M:$M,0)),"⚠ Type inconnu",IF($L161="Crédit","",IFERROR(INDEX('Paramètres'!$O:$O,MATCH($D161,'Paramètres'!$M:$M,0))&amp;"",""))))</f>
        <v>Dépense Courante</v>
      </c>
      <c r="N161" s="6" t="str">
        <f>IF($D161="","",IFERROR(INDEX('Paramètres'!$Q:$Q,MATCH($D161,'Paramètres'!$M:$M,0))&amp;"",""))</f>
        <v>Alimentation</v>
      </c>
      <c r="O161" s="6">
        <f>IF($A161="","",IF(OR($J161&lt;&gt;"x",$A161&lt;=FinReleve),1,0))</f>
        <v>1</v>
      </c>
      <c r="P161" s="6">
        <f>IF($D161="","",IF(AND($L161="Crédit",OR(IFERROR(INDEX('Paramètres'!$O:$O,MATCH($D161,'Paramètres'!$M:$M,0))&amp;"","")&lt;&gt;"",ISNUMBER(SEARCH("remboursement",IFERROR(INDEX('Paramètres'!$N:$N,MATCH($D161,'Paramètres'!$M:$M,0))&amp;"",""))))),1,0))</f>
        <v>0</v>
      </c>
      <c r="Q161" s="6">
        <f>IF($K161="","",IF(ISNUMBER(SEARCH("transfert-interne",IFERROR(INDEX('Paramètres'!$N:$N,MATCH($D161,'Paramètres'!$M:$M,0))&amp;"",""))),0,IF($L161="Débit",$K161,IF($P161=1,-$K161,0))))</f>
        <v>10.71</v>
      </c>
      <c r="R161" s="6">
        <f>IF($K161="","",IF($L161="Crédit",$K161,-$K161))</f>
        <v>-10.71</v>
      </c>
      <c r="S161" s="6" t="str">
        <f>IF($C161="","",IFERROR(INDEX('Paramètres'!$H:$H,MATCH($C161,'Paramètres'!$D:$D,0))&amp;"",""))</f>
        <v/>
      </c>
      <c r="T161" s="6">
        <f>IF($K161="","",IF($S161="",0,IF(ISNUMBER(SEARCH("apport-exterieur",IFERROR(INDEX('Paramètres'!$N:$N,MATCH($D161,'Paramètres'!$M:$M,0))&amp;"",""))),0,IF(OR(IFERROR(INDEX('Paramètres'!$I:$I,MATCH($C161,'Paramètres'!$D:$D,0))&amp;"","")="Les deux",IFERROR(INDEX('Paramètres'!$I:$I,MATCH($C161,'Paramètres'!$D:$D,0))&amp;"","")=IF($P161=1,"Débit",$L161)),-IF($P161=1,-$K161,$K161),0))))</f>
        <v>0</v>
      </c>
      <c r="U161" s="6">
        <f>IF($K161="","",IF(ISNUMBER(SEARCH("sortie-epargne",IFERROR(INDEX('Paramètres'!$N:$N,MATCH($D161,'Paramètres'!$M:$M,0))&amp;"",""))),$K161,0))</f>
        <v>0</v>
      </c>
      <c r="V161" s="6" t="str">
        <f>IF(AND($A161&lt;&gt;"",$O161=1,$L161="Débit",N($Q161)&gt;0,$A161&gt;=Visualisation!$B$1,$A161&lt;Visualisation!$D$1),MAX($V$1:V160)+1,"")</f>
        <v/>
      </c>
    </row>
    <row r="162" spans="1:22" x14ac:dyDescent="0.25">
      <c r="A162" s="9">
        <v>45634</v>
      </c>
      <c r="B162" s="4" t="s">
        <v>94</v>
      </c>
      <c r="C162" s="4" t="s">
        <v>65</v>
      </c>
      <c r="D162" s="4" t="s">
        <v>94</v>
      </c>
      <c r="E162" s="10">
        <v>168</v>
      </c>
      <c r="G162" s="4"/>
      <c r="H162" s="4"/>
      <c r="I162" s="4"/>
      <c r="K162" s="11">
        <f>IF($E162="","",ROUND($E162*IF(ISNA(MATCH($C162,'Paramètres'!$D:$D,0)),1,IF(INDEX('Paramètres'!$J:$J,MATCH($C162,'Paramètres'!$D:$D,0))="",1,INDEX('Paramètres'!$J:$J,MATCH($C162,'Paramètres'!$D:$D,0)))),2))</f>
        <v>168</v>
      </c>
      <c r="L162" s="6" t="str">
        <f>IF($D162="","",IF($F162&lt;&gt;"",$F162,IF(ISNA(MATCH($D162,'Paramètres'!$M:$M,0)),"⚠ Type inconnu",IFERROR(INDEX('Paramètres'!$P:$P,MATCH($D162,'Paramètres'!$M:$M,0))&amp;"",""))))</f>
        <v>Débit</v>
      </c>
      <c r="M162" s="6" t="str">
        <f>IF($D162="","",IF(ISNA(MATCH($D162,'Paramètres'!$M:$M,0)),"⚠ Type inconnu",IF($L162="Crédit","",IFERROR(INDEX('Paramètres'!$O:$O,MATCH($D162,'Paramètres'!$M:$M,0))&amp;"",""))))</f>
        <v>Dépense Fixe</v>
      </c>
      <c r="N162" s="6" t="str">
        <f>IF($D162="","",IFERROR(INDEX('Paramètres'!$Q:$Q,MATCH($D162,'Paramètres'!$M:$M,0))&amp;"",""))</f>
        <v>Immobilier</v>
      </c>
      <c r="O162" s="6">
        <f>IF($A162="","",IF(OR($J162&lt;&gt;"x",$A162&lt;=FinReleve),1,0))</f>
        <v>1</v>
      </c>
      <c r="P162" s="6">
        <f>IF($D162="","",IF(AND($L162="Crédit",OR(IFERROR(INDEX('Paramètres'!$O:$O,MATCH($D162,'Paramètres'!$M:$M,0))&amp;"","")&lt;&gt;"",ISNUMBER(SEARCH("remboursement",IFERROR(INDEX('Paramètres'!$N:$N,MATCH($D162,'Paramètres'!$M:$M,0))&amp;"",""))))),1,0))</f>
        <v>0</v>
      </c>
      <c r="Q162" s="6">
        <f>IF($K162="","",IF(ISNUMBER(SEARCH("transfert-interne",IFERROR(INDEX('Paramètres'!$N:$N,MATCH($D162,'Paramètres'!$M:$M,0))&amp;"",""))),0,IF($L162="Débit",$K162,IF($P162=1,-$K162,0))))</f>
        <v>168</v>
      </c>
      <c r="R162" s="6">
        <f>IF($K162="","",IF($L162="Crédit",$K162,-$K162))</f>
        <v>-168</v>
      </c>
      <c r="S162" s="6" t="str">
        <f>IF($C162="","",IFERROR(INDEX('Paramètres'!$H:$H,MATCH($C162,'Paramètres'!$D:$D,0))&amp;"",""))</f>
        <v>Banque A - Courant</v>
      </c>
      <c r="T162" s="6">
        <f>IF($K162="","",IF($S162="",0,IF(ISNUMBER(SEARCH("apport-exterieur",IFERROR(INDEX('Paramètres'!$N:$N,MATCH($D162,'Paramètres'!$M:$M,0))&amp;"",""))),0,IF(OR(IFERROR(INDEX('Paramètres'!$I:$I,MATCH($C162,'Paramètres'!$D:$D,0))&amp;"","")="Les deux",IFERROR(INDEX('Paramètres'!$I:$I,MATCH($C162,'Paramètres'!$D:$D,0))&amp;"","")=IF($P162=1,"Débit",$L162)),-IF($P162=1,-$K162,$K162),0))))</f>
        <v>0</v>
      </c>
      <c r="U162" s="6">
        <f>IF($K162="","",IF(ISNUMBER(SEARCH("sortie-epargne",IFERROR(INDEX('Paramètres'!$N:$N,MATCH($D162,'Paramètres'!$M:$M,0))&amp;"",""))),$K162,0))</f>
        <v>0</v>
      </c>
      <c r="V162" s="6" t="str">
        <f>IF(AND($A162&lt;&gt;"",$O162=1,$L162="Débit",N($Q162)&gt;0,$A162&gt;=Visualisation!$B$1,$A162&lt;Visualisation!$D$1),MAX($V$1:V161)+1,"")</f>
        <v/>
      </c>
    </row>
    <row r="163" spans="1:22" x14ac:dyDescent="0.25">
      <c r="A163" s="9">
        <v>45634</v>
      </c>
      <c r="B163" s="4" t="s">
        <v>69</v>
      </c>
      <c r="C163" s="4" t="s">
        <v>70</v>
      </c>
      <c r="D163" s="4" t="s">
        <v>71</v>
      </c>
      <c r="E163" s="10">
        <v>11.96</v>
      </c>
      <c r="G163" s="4" t="s">
        <v>72</v>
      </c>
      <c r="H163" s="4"/>
      <c r="I163" s="4" t="s">
        <v>73</v>
      </c>
      <c r="K163" s="11">
        <f>IF($E163="","",ROUND($E163*IF(ISNA(MATCH($C163,'Paramètres'!$D:$D,0)),1,IF(INDEX('Paramètres'!$J:$J,MATCH($C163,'Paramètres'!$D:$D,0))="",1,INDEX('Paramètres'!$J:$J,MATCH($C163,'Paramètres'!$D:$D,0)))),2))</f>
        <v>11.96</v>
      </c>
      <c r="L163" s="6" t="str">
        <f>IF($D163="","",IF($F163&lt;&gt;"",$F163,IF(ISNA(MATCH($D163,'Paramètres'!$M:$M,0)),"⚠ Type inconnu",IFERROR(INDEX('Paramètres'!$P:$P,MATCH($D163,'Paramètres'!$M:$M,0))&amp;"",""))))</f>
        <v>Débit</v>
      </c>
      <c r="M163" s="6" t="str">
        <f>IF($D163="","",IF(ISNA(MATCH($D163,'Paramètres'!$M:$M,0)),"⚠ Type inconnu",IF($L163="Crédit","",IFERROR(INDEX('Paramètres'!$O:$O,MATCH($D163,'Paramètres'!$M:$M,0))&amp;"",""))))</f>
        <v>Dépense Courante</v>
      </c>
      <c r="N163" s="6" t="str">
        <f>IF($D163="","",IFERROR(INDEX('Paramètres'!$Q:$Q,MATCH($D163,'Paramètres'!$M:$M,0))&amp;"",""))</f>
        <v>Alimentation</v>
      </c>
      <c r="O163" s="6">
        <f>IF($A163="","",IF(OR($J163&lt;&gt;"x",$A163&lt;=FinReleve),1,0))</f>
        <v>1</v>
      </c>
      <c r="P163" s="6">
        <f>IF($D163="","",IF(AND($L163="Crédit",OR(IFERROR(INDEX('Paramètres'!$O:$O,MATCH($D163,'Paramètres'!$M:$M,0))&amp;"","")&lt;&gt;"",ISNUMBER(SEARCH("remboursement",IFERROR(INDEX('Paramètres'!$N:$N,MATCH($D163,'Paramètres'!$M:$M,0))&amp;"",""))))),1,0))</f>
        <v>0</v>
      </c>
      <c r="Q163" s="6">
        <f>IF($K163="","",IF(ISNUMBER(SEARCH("transfert-interne",IFERROR(INDEX('Paramètres'!$N:$N,MATCH($D163,'Paramètres'!$M:$M,0))&amp;"",""))),0,IF($L163="Débit",$K163,IF($P163=1,-$K163,0))))</f>
        <v>11.96</v>
      </c>
      <c r="R163" s="6">
        <f>IF($K163="","",IF($L163="Crédit",$K163,-$K163))</f>
        <v>-11.96</v>
      </c>
      <c r="S163" s="6" t="str">
        <f>IF($C163="","",IFERROR(INDEX('Paramètres'!$H:$H,MATCH($C163,'Paramètres'!$D:$D,0))&amp;"",""))</f>
        <v/>
      </c>
      <c r="T163" s="6">
        <f>IF($K163="","",IF($S163="",0,IF(ISNUMBER(SEARCH("apport-exterieur",IFERROR(INDEX('Paramètres'!$N:$N,MATCH($D163,'Paramètres'!$M:$M,0))&amp;"",""))),0,IF(OR(IFERROR(INDEX('Paramètres'!$I:$I,MATCH($C163,'Paramètres'!$D:$D,0))&amp;"","")="Les deux",IFERROR(INDEX('Paramètres'!$I:$I,MATCH($C163,'Paramètres'!$D:$D,0))&amp;"","")=IF($P163=1,"Débit",$L163)),-IF($P163=1,-$K163,$K163),0))))</f>
        <v>0</v>
      </c>
      <c r="U163" s="6">
        <f>IF($K163="","",IF(ISNUMBER(SEARCH("sortie-epargne",IFERROR(INDEX('Paramètres'!$N:$N,MATCH($D163,'Paramètres'!$M:$M,0))&amp;"",""))),$K163,0))</f>
        <v>0</v>
      </c>
      <c r="V163" s="6" t="str">
        <f>IF(AND($A163&lt;&gt;"",$O163=1,$L163="Débit",N($Q163)&gt;0,$A163&gt;=Visualisation!$B$1,$A163&lt;Visualisation!$D$1),MAX($V$1:V162)+1,"")</f>
        <v/>
      </c>
    </row>
    <row r="164" spans="1:22" x14ac:dyDescent="0.25">
      <c r="A164" s="9">
        <v>45635</v>
      </c>
      <c r="B164" s="4" t="s">
        <v>69</v>
      </c>
      <c r="C164" s="4" t="s">
        <v>70</v>
      </c>
      <c r="D164" s="4" t="s">
        <v>71</v>
      </c>
      <c r="E164" s="10">
        <v>8.08</v>
      </c>
      <c r="G164" s="4" t="s">
        <v>72</v>
      </c>
      <c r="H164" s="4"/>
      <c r="I164" s="4" t="s">
        <v>93</v>
      </c>
      <c r="K164" s="11">
        <f>IF($E164="","",ROUND($E164*IF(ISNA(MATCH($C164,'Paramètres'!$D:$D,0)),1,IF(INDEX('Paramètres'!$J:$J,MATCH($C164,'Paramètres'!$D:$D,0))="",1,INDEX('Paramètres'!$J:$J,MATCH($C164,'Paramètres'!$D:$D,0)))),2))</f>
        <v>8.08</v>
      </c>
      <c r="L164" s="6" t="str">
        <f>IF($D164="","",IF($F164&lt;&gt;"",$F164,IF(ISNA(MATCH($D164,'Paramètres'!$M:$M,0)),"⚠ Type inconnu",IFERROR(INDEX('Paramètres'!$P:$P,MATCH($D164,'Paramètres'!$M:$M,0))&amp;"",""))))</f>
        <v>Débit</v>
      </c>
      <c r="M164" s="6" t="str">
        <f>IF($D164="","",IF(ISNA(MATCH($D164,'Paramètres'!$M:$M,0)),"⚠ Type inconnu",IF($L164="Crédit","",IFERROR(INDEX('Paramètres'!$O:$O,MATCH($D164,'Paramètres'!$M:$M,0))&amp;"",""))))</f>
        <v>Dépense Courante</v>
      </c>
      <c r="N164" s="6" t="str">
        <f>IF($D164="","",IFERROR(INDEX('Paramètres'!$Q:$Q,MATCH($D164,'Paramètres'!$M:$M,0))&amp;"",""))</f>
        <v>Alimentation</v>
      </c>
      <c r="O164" s="6">
        <f>IF($A164="","",IF(OR($J164&lt;&gt;"x",$A164&lt;=FinReleve),1,0))</f>
        <v>1</v>
      </c>
      <c r="P164" s="6">
        <f>IF($D164="","",IF(AND($L164="Crédit",OR(IFERROR(INDEX('Paramètres'!$O:$O,MATCH($D164,'Paramètres'!$M:$M,0))&amp;"","")&lt;&gt;"",ISNUMBER(SEARCH("remboursement",IFERROR(INDEX('Paramètres'!$N:$N,MATCH($D164,'Paramètres'!$M:$M,0))&amp;"",""))))),1,0))</f>
        <v>0</v>
      </c>
      <c r="Q164" s="6">
        <f>IF($K164="","",IF(ISNUMBER(SEARCH("transfert-interne",IFERROR(INDEX('Paramètres'!$N:$N,MATCH($D164,'Paramètres'!$M:$M,0))&amp;"",""))),0,IF($L164="Débit",$K164,IF($P164=1,-$K164,0))))</f>
        <v>8.08</v>
      </c>
      <c r="R164" s="6">
        <f>IF($K164="","",IF($L164="Crédit",$K164,-$K164))</f>
        <v>-8.08</v>
      </c>
      <c r="S164" s="6" t="str">
        <f>IF($C164="","",IFERROR(INDEX('Paramètres'!$H:$H,MATCH($C164,'Paramètres'!$D:$D,0))&amp;"",""))</f>
        <v/>
      </c>
      <c r="T164" s="6">
        <f>IF($K164="","",IF($S164="",0,IF(ISNUMBER(SEARCH("apport-exterieur",IFERROR(INDEX('Paramètres'!$N:$N,MATCH($D164,'Paramètres'!$M:$M,0))&amp;"",""))),0,IF(OR(IFERROR(INDEX('Paramètres'!$I:$I,MATCH($C164,'Paramètres'!$D:$D,0))&amp;"","")="Les deux",IFERROR(INDEX('Paramètres'!$I:$I,MATCH($C164,'Paramètres'!$D:$D,0))&amp;"","")=IF($P164=1,"Débit",$L164)),-IF($P164=1,-$K164,$K164),0))))</f>
        <v>0</v>
      </c>
      <c r="U164" s="6">
        <f>IF($K164="","",IF(ISNUMBER(SEARCH("sortie-epargne",IFERROR(INDEX('Paramètres'!$N:$N,MATCH($D164,'Paramètres'!$M:$M,0))&amp;"",""))),$K164,0))</f>
        <v>0</v>
      </c>
      <c r="V164" s="6" t="str">
        <f>IF(AND($A164&lt;&gt;"",$O164=1,$L164="Débit",N($Q164)&gt;0,$A164&gt;=Visualisation!$B$1,$A164&lt;Visualisation!$D$1),MAX($V$1:V163)+1,"")</f>
        <v/>
      </c>
    </row>
    <row r="165" spans="1:22" x14ac:dyDescent="0.25">
      <c r="A165" s="9">
        <v>45635</v>
      </c>
      <c r="B165" s="4" t="s">
        <v>116</v>
      </c>
      <c r="C165" s="4" t="s">
        <v>126</v>
      </c>
      <c r="D165" s="4" t="s">
        <v>116</v>
      </c>
      <c r="E165" s="10">
        <v>133.42</v>
      </c>
      <c r="G165" s="4" t="s">
        <v>139</v>
      </c>
      <c r="H165" s="4"/>
      <c r="I165" s="4"/>
      <c r="K165" s="11">
        <f>IF($E165="","",ROUND($E165*IF(ISNA(MATCH($C165,'Paramètres'!$D:$D,0)),1,IF(INDEX('Paramètres'!$J:$J,MATCH($C165,'Paramètres'!$D:$D,0))="",1,INDEX('Paramètres'!$J:$J,MATCH($C165,'Paramètres'!$D:$D,0)))),2))</f>
        <v>66.71</v>
      </c>
      <c r="L165" s="6" t="str">
        <f>IF($D165="","",IF($F165&lt;&gt;"",$F165,IF(ISNA(MATCH($D165,'Paramètres'!$M:$M,0)),"⚠ Type inconnu",IFERROR(INDEX('Paramètres'!$P:$P,MATCH($D165,'Paramètres'!$M:$M,0))&amp;"",""))))</f>
        <v>Débit</v>
      </c>
      <c r="M165" s="6" t="str">
        <f>IF($D165="","",IF(ISNA(MATCH($D165,'Paramètres'!$M:$M,0)),"⚠ Type inconnu",IF($L165="Crédit","",IFERROR(INDEX('Paramètres'!$O:$O,MATCH($D165,'Paramètres'!$M:$M,0))&amp;"",""))))</f>
        <v>Dépense Occasionnelle</v>
      </c>
      <c r="N165" s="6" t="str">
        <f>IF($D165="","",IFERROR(INDEX('Paramètres'!$Q:$Q,MATCH($D165,'Paramètres'!$M:$M,0))&amp;"",""))</f>
        <v>Autre</v>
      </c>
      <c r="O165" s="6">
        <f>IF($A165="","",IF(OR($J165&lt;&gt;"x",$A165&lt;=FinReleve),1,0))</f>
        <v>1</v>
      </c>
      <c r="P165" s="6">
        <f>IF($D165="","",IF(AND($L165="Crédit",OR(IFERROR(INDEX('Paramètres'!$O:$O,MATCH($D165,'Paramètres'!$M:$M,0))&amp;"","")&lt;&gt;"",ISNUMBER(SEARCH("remboursement",IFERROR(INDEX('Paramètres'!$N:$N,MATCH($D165,'Paramètres'!$M:$M,0))&amp;"",""))))),1,0))</f>
        <v>0</v>
      </c>
      <c r="Q165" s="6">
        <f>IF($K165="","",IF(ISNUMBER(SEARCH("transfert-interne",IFERROR(INDEX('Paramètres'!$N:$N,MATCH($D165,'Paramètres'!$M:$M,0))&amp;"",""))),0,IF($L165="Débit",$K165,IF($P165=1,-$K165,0))))</f>
        <v>66.71</v>
      </c>
      <c r="R165" s="6">
        <f>IF($K165="","",IF($L165="Crédit",$K165,-$K165))</f>
        <v>-66.71</v>
      </c>
      <c r="S165" s="6" t="str">
        <f>IF($C165="","",IFERROR(INDEX('Paramètres'!$H:$H,MATCH($C165,'Paramètres'!$D:$D,0))&amp;"",""))</f>
        <v>Banque A - Courant</v>
      </c>
      <c r="T165" s="6">
        <f>IF($K165="","",IF($S165="",0,IF(ISNUMBER(SEARCH("apport-exterieur",IFERROR(INDEX('Paramètres'!$N:$N,MATCH($D165,'Paramètres'!$M:$M,0))&amp;"",""))),0,IF(OR(IFERROR(INDEX('Paramètres'!$I:$I,MATCH($C165,'Paramètres'!$D:$D,0))&amp;"","")="Les deux",IFERROR(INDEX('Paramètres'!$I:$I,MATCH($C165,'Paramètres'!$D:$D,0))&amp;"","")=IF($P165=1,"Débit",$L165)),-IF($P165=1,-$K165,$K165),0))))</f>
        <v>-66.71</v>
      </c>
      <c r="U165" s="6">
        <f>IF($K165="","",IF(ISNUMBER(SEARCH("sortie-epargne",IFERROR(INDEX('Paramètres'!$N:$N,MATCH($D165,'Paramètres'!$M:$M,0))&amp;"",""))),$K165,0))</f>
        <v>0</v>
      </c>
      <c r="V165" s="6" t="str">
        <f>IF(AND($A165&lt;&gt;"",$O165=1,$L165="Débit",N($Q165)&gt;0,$A165&gt;=Visualisation!$B$1,$A165&lt;Visualisation!$D$1),MAX($V$1:V164)+1,"")</f>
        <v/>
      </c>
    </row>
    <row r="166" spans="1:22" x14ac:dyDescent="0.25">
      <c r="A166" s="9">
        <v>45635</v>
      </c>
      <c r="B166" s="4" t="s">
        <v>121</v>
      </c>
      <c r="C166" s="4" t="s">
        <v>126</v>
      </c>
      <c r="D166" s="4" t="s">
        <v>121</v>
      </c>
      <c r="E166" s="10">
        <v>182.82</v>
      </c>
      <c r="G166" s="4" t="s">
        <v>122</v>
      </c>
      <c r="H166" s="4"/>
      <c r="I166" s="4" t="s">
        <v>63</v>
      </c>
      <c r="K166" s="11">
        <f>IF($E166="","",ROUND($E166*IF(ISNA(MATCH($C166,'Paramètres'!$D:$D,0)),1,IF(INDEX('Paramètres'!$J:$J,MATCH($C166,'Paramètres'!$D:$D,0))="",1,INDEX('Paramètres'!$J:$J,MATCH($C166,'Paramètres'!$D:$D,0)))),2))</f>
        <v>91.41</v>
      </c>
      <c r="L166" s="6" t="str">
        <f>IF($D166="","",IF($F166&lt;&gt;"",$F166,IF(ISNA(MATCH($D166,'Paramètres'!$M:$M,0)),"⚠ Type inconnu",IFERROR(INDEX('Paramètres'!$P:$P,MATCH($D166,'Paramètres'!$M:$M,0))&amp;"",""))))</f>
        <v>Débit</v>
      </c>
      <c r="M166" s="6" t="str">
        <f>IF($D166="","",IF(ISNA(MATCH($D166,'Paramètres'!$M:$M,0)),"⚠ Type inconnu",IF($L166="Crédit","",IFERROR(INDEX('Paramètres'!$O:$O,MATCH($D166,'Paramètres'!$M:$M,0))&amp;"",""))))</f>
        <v>Dépense Occasionnelle</v>
      </c>
      <c r="N166" s="6" t="str">
        <f>IF($D166="","",IFERROR(INDEX('Paramètres'!$Q:$Q,MATCH($D166,'Paramètres'!$M:$M,0))&amp;"",""))</f>
        <v>Autre</v>
      </c>
      <c r="O166" s="6">
        <f>IF($A166="","",IF(OR($J166&lt;&gt;"x",$A166&lt;=FinReleve),1,0))</f>
        <v>1</v>
      </c>
      <c r="P166" s="6">
        <f>IF($D166="","",IF(AND($L166="Crédit",OR(IFERROR(INDEX('Paramètres'!$O:$O,MATCH($D166,'Paramètres'!$M:$M,0))&amp;"","")&lt;&gt;"",ISNUMBER(SEARCH("remboursement",IFERROR(INDEX('Paramètres'!$N:$N,MATCH($D166,'Paramètres'!$M:$M,0))&amp;"",""))))),1,0))</f>
        <v>0</v>
      </c>
      <c r="Q166" s="6">
        <f>IF($K166="","",IF(ISNUMBER(SEARCH("transfert-interne",IFERROR(INDEX('Paramètres'!$N:$N,MATCH($D166,'Paramètres'!$M:$M,0))&amp;"",""))),0,IF($L166="Débit",$K166,IF($P166=1,-$K166,0))))</f>
        <v>91.41</v>
      </c>
      <c r="R166" s="6">
        <f>IF($K166="","",IF($L166="Crédit",$K166,-$K166))</f>
        <v>-91.41</v>
      </c>
      <c r="S166" s="6" t="str">
        <f>IF($C166="","",IFERROR(INDEX('Paramètres'!$H:$H,MATCH($C166,'Paramètres'!$D:$D,0))&amp;"",""))</f>
        <v>Banque A - Courant</v>
      </c>
      <c r="T166" s="6">
        <f>IF($K166="","",IF($S166="",0,IF(ISNUMBER(SEARCH("apport-exterieur",IFERROR(INDEX('Paramètres'!$N:$N,MATCH($D166,'Paramètres'!$M:$M,0))&amp;"",""))),0,IF(OR(IFERROR(INDEX('Paramètres'!$I:$I,MATCH($C166,'Paramètres'!$D:$D,0))&amp;"","")="Les deux",IFERROR(INDEX('Paramètres'!$I:$I,MATCH($C166,'Paramètres'!$D:$D,0))&amp;"","")=IF($P166=1,"Débit",$L166)),-IF($P166=1,-$K166,$K166),0))))</f>
        <v>-91.41</v>
      </c>
      <c r="U166" s="6">
        <f>IF($K166="","",IF(ISNUMBER(SEARCH("sortie-epargne",IFERROR(INDEX('Paramètres'!$N:$N,MATCH($D166,'Paramètres'!$M:$M,0))&amp;"",""))),$K166,0))</f>
        <v>0</v>
      </c>
      <c r="V166" s="6" t="str">
        <f>IF(AND($A166&lt;&gt;"",$O166=1,$L166="Débit",N($Q166)&gt;0,$A166&gt;=Visualisation!$B$1,$A166&lt;Visualisation!$D$1),MAX($V$1:V165)+1,"")</f>
        <v/>
      </c>
    </row>
    <row r="167" spans="1:22" x14ac:dyDescent="0.25">
      <c r="A167" s="9">
        <v>45636</v>
      </c>
      <c r="B167" s="4" t="s">
        <v>96</v>
      </c>
      <c r="C167" s="4" t="s">
        <v>75</v>
      </c>
      <c r="D167" s="4" t="s">
        <v>96</v>
      </c>
      <c r="E167" s="10">
        <v>22.4</v>
      </c>
      <c r="G167" s="4"/>
      <c r="H167" s="4"/>
      <c r="I167" s="4"/>
      <c r="K167" s="11">
        <f>IF($E167="","",ROUND($E167*IF(ISNA(MATCH($C167,'Paramètres'!$D:$D,0)),1,IF(INDEX('Paramètres'!$J:$J,MATCH($C167,'Paramètres'!$D:$D,0))="",1,INDEX('Paramètres'!$J:$J,MATCH($C167,'Paramètres'!$D:$D,0)))),2))</f>
        <v>22.4</v>
      </c>
      <c r="L167" s="6" t="str">
        <f>IF($D167="","",IF($F167&lt;&gt;"",$F167,IF(ISNA(MATCH($D167,'Paramètres'!$M:$M,0)),"⚠ Type inconnu",IFERROR(INDEX('Paramètres'!$P:$P,MATCH($D167,'Paramètres'!$M:$M,0))&amp;"",""))))</f>
        <v>Débit</v>
      </c>
      <c r="M167" s="6" t="str">
        <f>IF($D167="","",IF(ISNA(MATCH($D167,'Paramètres'!$M:$M,0)),"⚠ Type inconnu",IF($L167="Crédit","",IFERROR(INDEX('Paramètres'!$O:$O,MATCH($D167,'Paramètres'!$M:$M,0))&amp;"",""))))</f>
        <v>Dépense Fixe</v>
      </c>
      <c r="N167" s="6" t="str">
        <f>IF($D167="","",IFERROR(INDEX('Paramètres'!$Q:$Q,MATCH($D167,'Paramètres'!$M:$M,0))&amp;"",""))</f>
        <v>Assurances</v>
      </c>
      <c r="O167" s="6">
        <f>IF($A167="","",IF(OR($J167&lt;&gt;"x",$A167&lt;=FinReleve),1,0))</f>
        <v>1</v>
      </c>
      <c r="P167" s="6">
        <f>IF($D167="","",IF(AND($L167="Crédit",OR(IFERROR(INDEX('Paramètres'!$O:$O,MATCH($D167,'Paramètres'!$M:$M,0))&amp;"","")&lt;&gt;"",ISNUMBER(SEARCH("remboursement",IFERROR(INDEX('Paramètres'!$N:$N,MATCH($D167,'Paramètres'!$M:$M,0))&amp;"",""))))),1,0))</f>
        <v>0</v>
      </c>
      <c r="Q167" s="6">
        <f>IF($K167="","",IF(ISNUMBER(SEARCH("transfert-interne",IFERROR(INDEX('Paramètres'!$N:$N,MATCH($D167,'Paramètres'!$M:$M,0))&amp;"",""))),0,IF($L167="Débit",$K167,IF($P167=1,-$K167,0))))</f>
        <v>22.4</v>
      </c>
      <c r="R167" s="6">
        <f>IF($K167="","",IF($L167="Crédit",$K167,-$K167))</f>
        <v>-22.4</v>
      </c>
      <c r="S167" s="6" t="str">
        <f>IF($C167="","",IFERROR(INDEX('Paramètres'!$H:$H,MATCH($C167,'Paramètres'!$D:$D,0))&amp;"",""))</f>
        <v/>
      </c>
      <c r="T167" s="6">
        <f>IF($K167="","",IF($S167="",0,IF(ISNUMBER(SEARCH("apport-exterieur",IFERROR(INDEX('Paramètres'!$N:$N,MATCH($D167,'Paramètres'!$M:$M,0))&amp;"",""))),0,IF(OR(IFERROR(INDEX('Paramètres'!$I:$I,MATCH($C167,'Paramètres'!$D:$D,0))&amp;"","")="Les deux",IFERROR(INDEX('Paramètres'!$I:$I,MATCH($C167,'Paramètres'!$D:$D,0))&amp;"","")=IF($P167=1,"Débit",$L167)),-IF($P167=1,-$K167,$K167),0))))</f>
        <v>0</v>
      </c>
      <c r="U167" s="6">
        <f>IF($K167="","",IF(ISNUMBER(SEARCH("sortie-epargne",IFERROR(INDEX('Paramètres'!$N:$N,MATCH($D167,'Paramètres'!$M:$M,0))&amp;"",""))),$K167,0))</f>
        <v>0</v>
      </c>
      <c r="V167" s="6" t="str">
        <f>IF(AND($A167&lt;&gt;"",$O167=1,$L167="Débit",N($Q167)&gt;0,$A167&gt;=Visualisation!$B$1,$A167&lt;Visualisation!$D$1),MAX($V$1:V166)+1,"")</f>
        <v/>
      </c>
    </row>
    <row r="168" spans="1:22" x14ac:dyDescent="0.25">
      <c r="A168" s="9">
        <v>45636</v>
      </c>
      <c r="B168" s="4" t="s">
        <v>76</v>
      </c>
      <c r="C168" s="4" t="s">
        <v>67</v>
      </c>
      <c r="D168" s="4" t="s">
        <v>77</v>
      </c>
      <c r="E168" s="10">
        <v>171.8</v>
      </c>
      <c r="G168" s="4" t="s">
        <v>78</v>
      </c>
      <c r="H168" s="4" t="s">
        <v>140</v>
      </c>
      <c r="I168" s="4" t="s">
        <v>63</v>
      </c>
      <c r="K168" s="11">
        <f>IF($E168="","",ROUND($E168*IF(ISNA(MATCH($C168,'Paramètres'!$D:$D,0)),1,IF(INDEX('Paramètres'!$J:$J,MATCH($C168,'Paramètres'!$D:$D,0))="",1,INDEX('Paramètres'!$J:$J,MATCH($C168,'Paramètres'!$D:$D,0)))),2))</f>
        <v>85.9</v>
      </c>
      <c r="L168" s="6" t="str">
        <f>IF($D168="","",IF($F168&lt;&gt;"",$F168,IF(ISNA(MATCH($D168,'Paramètres'!$M:$M,0)),"⚠ Type inconnu",IFERROR(INDEX('Paramètres'!$P:$P,MATCH($D168,'Paramètres'!$M:$M,0))&amp;"",""))))</f>
        <v>Débit</v>
      </c>
      <c r="M168" s="6" t="str">
        <f>IF($D168="","",IF(ISNA(MATCH($D168,'Paramètres'!$M:$M,0)),"⚠ Type inconnu",IF($L168="Crédit","",IFERROR(INDEX('Paramètres'!$O:$O,MATCH($D168,'Paramètres'!$M:$M,0))&amp;"",""))))</f>
        <v>Dépense Courante</v>
      </c>
      <c r="N168" s="6" t="str">
        <f>IF($D168="","",IFERROR(INDEX('Paramètres'!$Q:$Q,MATCH($D168,'Paramètres'!$M:$M,0))&amp;"",""))</f>
        <v>Alimentation</v>
      </c>
      <c r="O168" s="6">
        <f>IF($A168="","",IF(OR($J168&lt;&gt;"x",$A168&lt;=FinReleve),1,0))</f>
        <v>1</v>
      </c>
      <c r="P168" s="6">
        <f>IF($D168="","",IF(AND($L168="Crédit",OR(IFERROR(INDEX('Paramètres'!$O:$O,MATCH($D168,'Paramètres'!$M:$M,0))&amp;"","")&lt;&gt;"",ISNUMBER(SEARCH("remboursement",IFERROR(INDEX('Paramètres'!$N:$N,MATCH($D168,'Paramètres'!$M:$M,0))&amp;"",""))))),1,0))</f>
        <v>0</v>
      </c>
      <c r="Q168" s="6">
        <f>IF($K168="","",IF(ISNUMBER(SEARCH("transfert-interne",IFERROR(INDEX('Paramètres'!$N:$N,MATCH($D168,'Paramètres'!$M:$M,0))&amp;"",""))),0,IF($L168="Débit",$K168,IF($P168=1,-$K168,0))))</f>
        <v>85.9</v>
      </c>
      <c r="R168" s="6">
        <f>IF($K168="","",IF($L168="Crédit",$K168,-$K168))</f>
        <v>-85.9</v>
      </c>
      <c r="S168" s="6" t="str">
        <f>IF($C168="","",IFERROR(INDEX('Paramètres'!$H:$H,MATCH($C168,'Paramètres'!$D:$D,0))&amp;"",""))</f>
        <v>Banque A - Courant</v>
      </c>
      <c r="T168" s="6">
        <f>IF($K168="","",IF($S168="",0,IF(ISNUMBER(SEARCH("apport-exterieur",IFERROR(INDEX('Paramètres'!$N:$N,MATCH($D168,'Paramètres'!$M:$M,0))&amp;"",""))),0,IF(OR(IFERROR(INDEX('Paramètres'!$I:$I,MATCH($C168,'Paramètres'!$D:$D,0))&amp;"","")="Les deux",IFERROR(INDEX('Paramètres'!$I:$I,MATCH($C168,'Paramètres'!$D:$D,0))&amp;"","")=IF($P168=1,"Débit",$L168)),-IF($P168=1,-$K168,$K168),0))))</f>
        <v>0</v>
      </c>
      <c r="U168" s="6">
        <f>IF($K168="","",IF(ISNUMBER(SEARCH("sortie-epargne",IFERROR(INDEX('Paramètres'!$N:$N,MATCH($D168,'Paramètres'!$M:$M,0))&amp;"",""))),$K168,0))</f>
        <v>0</v>
      </c>
      <c r="V168" s="6" t="str">
        <f>IF(AND($A168&lt;&gt;"",$O168=1,$L168="Débit",N($Q168)&gt;0,$A168&gt;=Visualisation!$B$1,$A168&lt;Visualisation!$D$1),MAX($V$1:V167)+1,"")</f>
        <v/>
      </c>
    </row>
    <row r="169" spans="1:22" x14ac:dyDescent="0.25">
      <c r="A169" s="9">
        <v>45638</v>
      </c>
      <c r="B169" s="4" t="s">
        <v>97</v>
      </c>
      <c r="C169" s="4" t="s">
        <v>75</v>
      </c>
      <c r="D169" s="4" t="s">
        <v>97</v>
      </c>
      <c r="E169" s="10">
        <v>47.9</v>
      </c>
      <c r="G169" s="4"/>
      <c r="H169" s="4"/>
      <c r="I169" s="4"/>
      <c r="K169" s="11">
        <f>IF($E169="","",ROUND($E169*IF(ISNA(MATCH($C169,'Paramètres'!$D:$D,0)),1,IF(INDEX('Paramètres'!$J:$J,MATCH($C169,'Paramètres'!$D:$D,0))="",1,INDEX('Paramètres'!$J:$J,MATCH($C169,'Paramètres'!$D:$D,0)))),2))</f>
        <v>47.9</v>
      </c>
      <c r="L169" s="6" t="str">
        <f>IF($D169="","",IF($F169&lt;&gt;"",$F169,IF(ISNA(MATCH($D169,'Paramètres'!$M:$M,0)),"⚠ Type inconnu",IFERROR(INDEX('Paramètres'!$P:$P,MATCH($D169,'Paramètres'!$M:$M,0))&amp;"",""))))</f>
        <v>Débit</v>
      </c>
      <c r="M169" s="6" t="str">
        <f>IF($D169="","",IF(ISNA(MATCH($D169,'Paramètres'!$M:$M,0)),"⚠ Type inconnu",IF($L169="Crédit","",IFERROR(INDEX('Paramètres'!$O:$O,MATCH($D169,'Paramètres'!$M:$M,0))&amp;"",""))))</f>
        <v>Dépense Fixe</v>
      </c>
      <c r="N169" s="6" t="str">
        <f>IF($D169="","",IFERROR(INDEX('Paramètres'!$Q:$Q,MATCH($D169,'Paramètres'!$M:$M,0))&amp;"",""))</f>
        <v>Assurances</v>
      </c>
      <c r="O169" s="6">
        <f>IF($A169="","",IF(OR($J169&lt;&gt;"x",$A169&lt;=FinReleve),1,0))</f>
        <v>1</v>
      </c>
      <c r="P169" s="6">
        <f>IF($D169="","",IF(AND($L169="Crédit",OR(IFERROR(INDEX('Paramètres'!$O:$O,MATCH($D169,'Paramètres'!$M:$M,0))&amp;"","")&lt;&gt;"",ISNUMBER(SEARCH("remboursement",IFERROR(INDEX('Paramètres'!$N:$N,MATCH($D169,'Paramètres'!$M:$M,0))&amp;"",""))))),1,0))</f>
        <v>0</v>
      </c>
      <c r="Q169" s="6">
        <f>IF($K169="","",IF(ISNUMBER(SEARCH("transfert-interne",IFERROR(INDEX('Paramètres'!$N:$N,MATCH($D169,'Paramètres'!$M:$M,0))&amp;"",""))),0,IF($L169="Débit",$K169,IF($P169=1,-$K169,0))))</f>
        <v>47.9</v>
      </c>
      <c r="R169" s="6">
        <f>IF($K169="","",IF($L169="Crédit",$K169,-$K169))</f>
        <v>-47.9</v>
      </c>
      <c r="S169" s="6" t="str">
        <f>IF($C169="","",IFERROR(INDEX('Paramètres'!$H:$H,MATCH($C169,'Paramètres'!$D:$D,0))&amp;"",""))</f>
        <v/>
      </c>
      <c r="T169" s="6">
        <f>IF($K169="","",IF($S169="",0,IF(ISNUMBER(SEARCH("apport-exterieur",IFERROR(INDEX('Paramètres'!$N:$N,MATCH($D169,'Paramètres'!$M:$M,0))&amp;"",""))),0,IF(OR(IFERROR(INDEX('Paramètres'!$I:$I,MATCH($C169,'Paramètres'!$D:$D,0))&amp;"","")="Les deux",IFERROR(INDEX('Paramètres'!$I:$I,MATCH($C169,'Paramètres'!$D:$D,0))&amp;"","")=IF($P169=1,"Débit",$L169)),-IF($P169=1,-$K169,$K169),0))))</f>
        <v>0</v>
      </c>
      <c r="U169" s="6">
        <f>IF($K169="","",IF(ISNUMBER(SEARCH("sortie-epargne",IFERROR(INDEX('Paramètres'!$N:$N,MATCH($D169,'Paramètres'!$M:$M,0))&amp;"",""))),$K169,0))</f>
        <v>0</v>
      </c>
      <c r="V169" s="6" t="str">
        <f>IF(AND($A169&lt;&gt;"",$O169=1,$L169="Débit",N($Q169)&gt;0,$A169&gt;=Visualisation!$B$1,$A169&lt;Visualisation!$D$1),MAX($V$1:V168)+1,"")</f>
        <v/>
      </c>
    </row>
    <row r="170" spans="1:22" x14ac:dyDescent="0.25">
      <c r="A170" s="9">
        <v>45638</v>
      </c>
      <c r="B170" s="4" t="s">
        <v>69</v>
      </c>
      <c r="C170" s="4" t="s">
        <v>70</v>
      </c>
      <c r="D170" s="4" t="s">
        <v>71</v>
      </c>
      <c r="E170" s="10">
        <v>8.47</v>
      </c>
      <c r="G170" s="4" t="s">
        <v>72</v>
      </c>
      <c r="H170" s="4"/>
      <c r="I170" s="4"/>
      <c r="K170" s="11">
        <f>IF($E170="","",ROUND($E170*IF(ISNA(MATCH($C170,'Paramètres'!$D:$D,0)),1,IF(INDEX('Paramètres'!$J:$J,MATCH($C170,'Paramètres'!$D:$D,0))="",1,INDEX('Paramètres'!$J:$J,MATCH($C170,'Paramètres'!$D:$D,0)))),2))</f>
        <v>8.47</v>
      </c>
      <c r="L170" s="6" t="str">
        <f>IF($D170="","",IF($F170&lt;&gt;"",$F170,IF(ISNA(MATCH($D170,'Paramètres'!$M:$M,0)),"⚠ Type inconnu",IFERROR(INDEX('Paramètres'!$P:$P,MATCH($D170,'Paramètres'!$M:$M,0))&amp;"",""))))</f>
        <v>Débit</v>
      </c>
      <c r="M170" s="6" t="str">
        <f>IF($D170="","",IF(ISNA(MATCH($D170,'Paramètres'!$M:$M,0)),"⚠ Type inconnu",IF($L170="Crédit","",IFERROR(INDEX('Paramètres'!$O:$O,MATCH($D170,'Paramètres'!$M:$M,0))&amp;"",""))))</f>
        <v>Dépense Courante</v>
      </c>
      <c r="N170" s="6" t="str">
        <f>IF($D170="","",IFERROR(INDEX('Paramètres'!$Q:$Q,MATCH($D170,'Paramètres'!$M:$M,0))&amp;"",""))</f>
        <v>Alimentation</v>
      </c>
      <c r="O170" s="6">
        <f>IF($A170="","",IF(OR($J170&lt;&gt;"x",$A170&lt;=FinReleve),1,0))</f>
        <v>1</v>
      </c>
      <c r="P170" s="6">
        <f>IF($D170="","",IF(AND($L170="Crédit",OR(IFERROR(INDEX('Paramètres'!$O:$O,MATCH($D170,'Paramètres'!$M:$M,0))&amp;"","")&lt;&gt;"",ISNUMBER(SEARCH("remboursement",IFERROR(INDEX('Paramètres'!$N:$N,MATCH($D170,'Paramètres'!$M:$M,0))&amp;"",""))))),1,0))</f>
        <v>0</v>
      </c>
      <c r="Q170" s="6">
        <f>IF($K170="","",IF(ISNUMBER(SEARCH("transfert-interne",IFERROR(INDEX('Paramètres'!$N:$N,MATCH($D170,'Paramètres'!$M:$M,0))&amp;"",""))),0,IF($L170="Débit",$K170,IF($P170=1,-$K170,0))))</f>
        <v>8.47</v>
      </c>
      <c r="R170" s="6">
        <f>IF($K170="","",IF($L170="Crédit",$K170,-$K170))</f>
        <v>-8.47</v>
      </c>
      <c r="S170" s="6" t="str">
        <f>IF($C170="","",IFERROR(INDEX('Paramètres'!$H:$H,MATCH($C170,'Paramètres'!$D:$D,0))&amp;"",""))</f>
        <v/>
      </c>
      <c r="T170" s="6">
        <f>IF($K170="","",IF($S170="",0,IF(ISNUMBER(SEARCH("apport-exterieur",IFERROR(INDEX('Paramètres'!$N:$N,MATCH($D170,'Paramètres'!$M:$M,0))&amp;"",""))),0,IF(OR(IFERROR(INDEX('Paramètres'!$I:$I,MATCH($C170,'Paramètres'!$D:$D,0))&amp;"","")="Les deux",IFERROR(INDEX('Paramètres'!$I:$I,MATCH($C170,'Paramètres'!$D:$D,0))&amp;"","")=IF($P170=1,"Débit",$L170)),-IF($P170=1,-$K170,$K170),0))))</f>
        <v>0</v>
      </c>
      <c r="U170" s="6">
        <f>IF($K170="","",IF(ISNUMBER(SEARCH("sortie-epargne",IFERROR(INDEX('Paramètres'!$N:$N,MATCH($D170,'Paramètres'!$M:$M,0))&amp;"",""))),$K170,0))</f>
        <v>0</v>
      </c>
      <c r="V170" s="6" t="str">
        <f>IF(AND($A170&lt;&gt;"",$O170=1,$L170="Débit",N($Q170)&gt;0,$A170&gt;=Visualisation!$B$1,$A170&lt;Visualisation!$D$1),MAX($V$1:V169)+1,"")</f>
        <v/>
      </c>
    </row>
    <row r="171" spans="1:22" x14ac:dyDescent="0.25">
      <c r="A171" s="9">
        <v>45638</v>
      </c>
      <c r="B171" s="4" t="s">
        <v>59</v>
      </c>
      <c r="C171" s="4" t="s">
        <v>60</v>
      </c>
      <c r="D171" s="4" t="s">
        <v>59</v>
      </c>
      <c r="E171" s="10">
        <v>20.88</v>
      </c>
      <c r="G171" s="4" t="s">
        <v>61</v>
      </c>
      <c r="H171" s="4" t="s">
        <v>140</v>
      </c>
      <c r="I171" s="4" t="s">
        <v>73</v>
      </c>
      <c r="K171" s="11">
        <f>IF($E171="","",ROUND($E171*IF(ISNA(MATCH($C171,'Paramètres'!$D:$D,0)),1,IF(INDEX('Paramètres'!$J:$J,MATCH($C171,'Paramètres'!$D:$D,0))="",1,INDEX('Paramètres'!$J:$J,MATCH($C171,'Paramètres'!$D:$D,0)))),2))</f>
        <v>10.44</v>
      </c>
      <c r="L171" s="6" t="str">
        <f>IF($D171="","",IF($F171&lt;&gt;"",$F171,IF(ISNA(MATCH($D171,'Paramètres'!$M:$M,0)),"⚠ Type inconnu",IFERROR(INDEX('Paramètres'!$P:$P,MATCH($D171,'Paramètres'!$M:$M,0))&amp;"",""))))</f>
        <v>Débit</v>
      </c>
      <c r="M171" s="6" t="str">
        <f>IF($D171="","",IF(ISNA(MATCH($D171,'Paramètres'!$M:$M,0)),"⚠ Type inconnu",IF($L171="Crédit","",IFERROR(INDEX('Paramètres'!$O:$O,MATCH($D171,'Paramètres'!$M:$M,0))&amp;"",""))))</f>
        <v>Dépense Occasionnelle</v>
      </c>
      <c r="N171" s="6" t="str">
        <f>IF($D171="","",IFERROR(INDEX('Paramètres'!$Q:$Q,MATCH($D171,'Paramètres'!$M:$M,0))&amp;"",""))</f>
        <v>Loisir</v>
      </c>
      <c r="O171" s="6">
        <f>IF($A171="","",IF(OR($J171&lt;&gt;"x",$A171&lt;=FinReleve),1,0))</f>
        <v>1</v>
      </c>
      <c r="P171" s="6">
        <f>IF($D171="","",IF(AND($L171="Crédit",OR(IFERROR(INDEX('Paramètres'!$O:$O,MATCH($D171,'Paramètres'!$M:$M,0))&amp;"","")&lt;&gt;"",ISNUMBER(SEARCH("remboursement",IFERROR(INDEX('Paramètres'!$N:$N,MATCH($D171,'Paramètres'!$M:$M,0))&amp;"",""))))),1,0))</f>
        <v>0</v>
      </c>
      <c r="Q171" s="6">
        <f>IF($K171="","",IF(ISNUMBER(SEARCH("transfert-interne",IFERROR(INDEX('Paramètres'!$N:$N,MATCH($D171,'Paramètres'!$M:$M,0))&amp;"",""))),0,IF($L171="Débit",$K171,IF($P171=1,-$K171,0))))</f>
        <v>10.44</v>
      </c>
      <c r="R171" s="6">
        <f>IF($K171="","",IF($L171="Crédit",$K171,-$K171))</f>
        <v>-10.44</v>
      </c>
      <c r="S171" s="6" t="str">
        <f>IF($C171="","",IFERROR(INDEX('Paramètres'!$H:$H,MATCH($C171,'Paramètres'!$D:$D,0))&amp;"",""))</f>
        <v>Banque A - Courant</v>
      </c>
      <c r="T171" s="6">
        <f>IF($K171="","",IF($S171="",0,IF(ISNUMBER(SEARCH("apport-exterieur",IFERROR(INDEX('Paramètres'!$N:$N,MATCH($D171,'Paramètres'!$M:$M,0))&amp;"",""))),0,IF(OR(IFERROR(INDEX('Paramètres'!$I:$I,MATCH($C171,'Paramètres'!$D:$D,0))&amp;"","")="Les deux",IFERROR(INDEX('Paramètres'!$I:$I,MATCH($C171,'Paramètres'!$D:$D,0))&amp;"","")=IF($P171=1,"Débit",$L171)),-IF($P171=1,-$K171,$K171),0))))</f>
        <v>-10.44</v>
      </c>
      <c r="U171" s="6">
        <f>IF($K171="","",IF(ISNUMBER(SEARCH("sortie-epargne",IFERROR(INDEX('Paramètres'!$N:$N,MATCH($D171,'Paramètres'!$M:$M,0))&amp;"",""))),$K171,0))</f>
        <v>0</v>
      </c>
      <c r="V171" s="6" t="str">
        <f>IF(AND($A171&lt;&gt;"",$O171=1,$L171="Débit",N($Q171)&gt;0,$A171&gt;=Visualisation!$B$1,$A171&lt;Visualisation!$D$1),MAX($V$1:V170)+1,"")</f>
        <v/>
      </c>
    </row>
    <row r="172" spans="1:22" x14ac:dyDescent="0.25">
      <c r="A172" s="9">
        <v>45639</v>
      </c>
      <c r="B172" s="4" t="s">
        <v>76</v>
      </c>
      <c r="C172" s="4" t="s">
        <v>60</v>
      </c>
      <c r="D172" s="4" t="s">
        <v>77</v>
      </c>
      <c r="E172" s="10">
        <v>37.28</v>
      </c>
      <c r="G172" s="4" t="s">
        <v>78</v>
      </c>
      <c r="H172" s="4" t="s">
        <v>140</v>
      </c>
      <c r="I172" s="4"/>
      <c r="K172" s="11">
        <f>IF($E172="","",ROUND($E172*IF(ISNA(MATCH($C172,'Paramètres'!$D:$D,0)),1,IF(INDEX('Paramètres'!$J:$J,MATCH($C172,'Paramètres'!$D:$D,0))="",1,INDEX('Paramètres'!$J:$J,MATCH($C172,'Paramètres'!$D:$D,0)))),2))</f>
        <v>18.64</v>
      </c>
      <c r="L172" s="6" t="str">
        <f>IF($D172="","",IF($F172&lt;&gt;"",$F172,IF(ISNA(MATCH($D172,'Paramètres'!$M:$M,0)),"⚠ Type inconnu",IFERROR(INDEX('Paramètres'!$P:$P,MATCH($D172,'Paramètres'!$M:$M,0))&amp;"",""))))</f>
        <v>Débit</v>
      </c>
      <c r="M172" s="6" t="str">
        <f>IF($D172="","",IF(ISNA(MATCH($D172,'Paramètres'!$M:$M,0)),"⚠ Type inconnu",IF($L172="Crédit","",IFERROR(INDEX('Paramètres'!$O:$O,MATCH($D172,'Paramètres'!$M:$M,0))&amp;"",""))))</f>
        <v>Dépense Courante</v>
      </c>
      <c r="N172" s="6" t="str">
        <f>IF($D172="","",IFERROR(INDEX('Paramètres'!$Q:$Q,MATCH($D172,'Paramètres'!$M:$M,0))&amp;"",""))</f>
        <v>Alimentation</v>
      </c>
      <c r="O172" s="6">
        <f>IF($A172="","",IF(OR($J172&lt;&gt;"x",$A172&lt;=FinReleve),1,0))</f>
        <v>1</v>
      </c>
      <c r="P172" s="6">
        <f>IF($D172="","",IF(AND($L172="Crédit",OR(IFERROR(INDEX('Paramètres'!$O:$O,MATCH($D172,'Paramètres'!$M:$M,0))&amp;"","")&lt;&gt;"",ISNUMBER(SEARCH("remboursement",IFERROR(INDEX('Paramètres'!$N:$N,MATCH($D172,'Paramètres'!$M:$M,0))&amp;"",""))))),1,0))</f>
        <v>0</v>
      </c>
      <c r="Q172" s="6">
        <f>IF($K172="","",IF(ISNUMBER(SEARCH("transfert-interne",IFERROR(INDEX('Paramètres'!$N:$N,MATCH($D172,'Paramètres'!$M:$M,0))&amp;"",""))),0,IF($L172="Débit",$K172,IF($P172=1,-$K172,0))))</f>
        <v>18.64</v>
      </c>
      <c r="R172" s="6">
        <f>IF($K172="","",IF($L172="Crédit",$K172,-$K172))</f>
        <v>-18.64</v>
      </c>
      <c r="S172" s="6" t="str">
        <f>IF($C172="","",IFERROR(INDEX('Paramètres'!$H:$H,MATCH($C172,'Paramètres'!$D:$D,0))&amp;"",""))</f>
        <v>Banque A - Courant</v>
      </c>
      <c r="T172" s="6">
        <f>IF($K172="","",IF($S172="",0,IF(ISNUMBER(SEARCH("apport-exterieur",IFERROR(INDEX('Paramètres'!$N:$N,MATCH($D172,'Paramètres'!$M:$M,0))&amp;"",""))),0,IF(OR(IFERROR(INDEX('Paramètres'!$I:$I,MATCH($C172,'Paramètres'!$D:$D,0))&amp;"","")="Les deux",IFERROR(INDEX('Paramètres'!$I:$I,MATCH($C172,'Paramètres'!$D:$D,0))&amp;"","")=IF($P172=1,"Débit",$L172)),-IF($P172=1,-$K172,$K172),0))))</f>
        <v>-18.64</v>
      </c>
      <c r="U172" s="6">
        <f>IF($K172="","",IF(ISNUMBER(SEARCH("sortie-epargne",IFERROR(INDEX('Paramètres'!$N:$N,MATCH($D172,'Paramètres'!$M:$M,0))&amp;"",""))),$K172,0))</f>
        <v>0</v>
      </c>
      <c r="V172" s="6" t="str">
        <f>IF(AND($A172&lt;&gt;"",$O172=1,$L172="Débit",N($Q172)&gt;0,$A172&gt;=Visualisation!$B$1,$A172&lt;Visualisation!$D$1),MAX($V$1:V171)+1,"")</f>
        <v/>
      </c>
    </row>
    <row r="173" spans="1:22" x14ac:dyDescent="0.25">
      <c r="A173" s="9">
        <v>45641</v>
      </c>
      <c r="B173" s="4" t="s">
        <v>100</v>
      </c>
      <c r="C173" s="4" t="s">
        <v>65</v>
      </c>
      <c r="D173" s="4" t="s">
        <v>100</v>
      </c>
      <c r="E173" s="10">
        <v>77.84</v>
      </c>
      <c r="G173" s="4"/>
      <c r="H173" s="4"/>
      <c r="I173" s="4"/>
      <c r="K173" s="11">
        <f>IF($E173="","",ROUND($E173*IF(ISNA(MATCH($C173,'Paramètres'!$D:$D,0)),1,IF(INDEX('Paramètres'!$J:$J,MATCH($C173,'Paramètres'!$D:$D,0))="",1,INDEX('Paramètres'!$J:$J,MATCH($C173,'Paramètres'!$D:$D,0)))),2))</f>
        <v>77.84</v>
      </c>
      <c r="L173" s="6" t="str">
        <f>IF($D173="","",IF($F173&lt;&gt;"",$F173,IF(ISNA(MATCH($D173,'Paramètres'!$M:$M,0)),"⚠ Type inconnu",IFERROR(INDEX('Paramètres'!$P:$P,MATCH($D173,'Paramètres'!$M:$M,0))&amp;"",""))))</f>
        <v>Débit</v>
      </c>
      <c r="M173" s="6" t="str">
        <f>IF($D173="","",IF(ISNA(MATCH($D173,'Paramètres'!$M:$M,0)),"⚠ Type inconnu",IF($L173="Crédit","",IFERROR(INDEX('Paramètres'!$O:$O,MATCH($D173,'Paramètres'!$M:$M,0))&amp;"",""))))</f>
        <v>Dépense Fixe</v>
      </c>
      <c r="N173" s="6" t="str">
        <f>IF($D173="","",IFERROR(INDEX('Paramètres'!$Q:$Q,MATCH($D173,'Paramètres'!$M:$M,0))&amp;"",""))</f>
        <v>Immobilier</v>
      </c>
      <c r="O173" s="6">
        <f>IF($A173="","",IF(OR($J173&lt;&gt;"x",$A173&lt;=FinReleve),1,0))</f>
        <v>1</v>
      </c>
      <c r="P173" s="6">
        <f>IF($D173="","",IF(AND($L173="Crédit",OR(IFERROR(INDEX('Paramètres'!$O:$O,MATCH($D173,'Paramètres'!$M:$M,0))&amp;"","")&lt;&gt;"",ISNUMBER(SEARCH("remboursement",IFERROR(INDEX('Paramètres'!$N:$N,MATCH($D173,'Paramètres'!$M:$M,0))&amp;"",""))))),1,0))</f>
        <v>0</v>
      </c>
      <c r="Q173" s="6">
        <f>IF($K173="","",IF(ISNUMBER(SEARCH("transfert-interne",IFERROR(INDEX('Paramètres'!$N:$N,MATCH($D173,'Paramètres'!$M:$M,0))&amp;"",""))),0,IF($L173="Débit",$K173,IF($P173=1,-$K173,0))))</f>
        <v>77.84</v>
      </c>
      <c r="R173" s="6">
        <f>IF($K173="","",IF($L173="Crédit",$K173,-$K173))</f>
        <v>-77.84</v>
      </c>
      <c r="S173" s="6" t="str">
        <f>IF($C173="","",IFERROR(INDEX('Paramètres'!$H:$H,MATCH($C173,'Paramètres'!$D:$D,0))&amp;"",""))</f>
        <v>Banque A - Courant</v>
      </c>
      <c r="T173" s="6">
        <f>IF($K173="","",IF($S173="",0,IF(ISNUMBER(SEARCH("apport-exterieur",IFERROR(INDEX('Paramètres'!$N:$N,MATCH($D173,'Paramètres'!$M:$M,0))&amp;"",""))),0,IF(OR(IFERROR(INDEX('Paramètres'!$I:$I,MATCH($C173,'Paramètres'!$D:$D,0))&amp;"","")="Les deux",IFERROR(INDEX('Paramètres'!$I:$I,MATCH($C173,'Paramètres'!$D:$D,0))&amp;"","")=IF($P173=1,"Débit",$L173)),-IF($P173=1,-$K173,$K173),0))))</f>
        <v>0</v>
      </c>
      <c r="U173" s="6">
        <f>IF($K173="","",IF(ISNUMBER(SEARCH("sortie-epargne",IFERROR(INDEX('Paramètres'!$N:$N,MATCH($D173,'Paramètres'!$M:$M,0))&amp;"",""))),$K173,0))</f>
        <v>0</v>
      </c>
      <c r="V173" s="6" t="str">
        <f>IF(AND($A173&lt;&gt;"",$O173=1,$L173="Débit",N($Q173)&gt;0,$A173&gt;=Visualisation!$B$1,$A173&lt;Visualisation!$D$1),MAX($V$1:V172)+1,"")</f>
        <v/>
      </c>
    </row>
    <row r="174" spans="1:22" x14ac:dyDescent="0.25">
      <c r="A174" s="9">
        <v>45641</v>
      </c>
      <c r="B174" s="4" t="s">
        <v>59</v>
      </c>
      <c r="C174" s="4" t="s">
        <v>60</v>
      </c>
      <c r="D174" s="4" t="s">
        <v>59</v>
      </c>
      <c r="E174" s="10">
        <v>90.46</v>
      </c>
      <c r="G174" s="4" t="s">
        <v>61</v>
      </c>
      <c r="H174" s="4" t="s">
        <v>140</v>
      </c>
      <c r="I174" s="4" t="s">
        <v>79</v>
      </c>
      <c r="K174" s="11">
        <f>IF($E174="","",ROUND($E174*IF(ISNA(MATCH($C174,'Paramètres'!$D:$D,0)),1,IF(INDEX('Paramètres'!$J:$J,MATCH($C174,'Paramètres'!$D:$D,0))="",1,INDEX('Paramètres'!$J:$J,MATCH($C174,'Paramètres'!$D:$D,0)))),2))</f>
        <v>45.23</v>
      </c>
      <c r="L174" s="6" t="str">
        <f>IF($D174="","",IF($F174&lt;&gt;"",$F174,IF(ISNA(MATCH($D174,'Paramètres'!$M:$M,0)),"⚠ Type inconnu",IFERROR(INDEX('Paramètres'!$P:$P,MATCH($D174,'Paramètres'!$M:$M,0))&amp;"",""))))</f>
        <v>Débit</v>
      </c>
      <c r="M174" s="6" t="str">
        <f>IF($D174="","",IF(ISNA(MATCH($D174,'Paramètres'!$M:$M,0)),"⚠ Type inconnu",IF($L174="Crédit","",IFERROR(INDEX('Paramètres'!$O:$O,MATCH($D174,'Paramètres'!$M:$M,0))&amp;"",""))))</f>
        <v>Dépense Occasionnelle</v>
      </c>
      <c r="N174" s="6" t="str">
        <f>IF($D174="","",IFERROR(INDEX('Paramètres'!$Q:$Q,MATCH($D174,'Paramètres'!$M:$M,0))&amp;"",""))</f>
        <v>Loisir</v>
      </c>
      <c r="O174" s="6">
        <f>IF($A174="","",IF(OR($J174&lt;&gt;"x",$A174&lt;=FinReleve),1,0))</f>
        <v>1</v>
      </c>
      <c r="P174" s="6">
        <f>IF($D174="","",IF(AND($L174="Crédit",OR(IFERROR(INDEX('Paramètres'!$O:$O,MATCH($D174,'Paramètres'!$M:$M,0))&amp;"","")&lt;&gt;"",ISNUMBER(SEARCH("remboursement",IFERROR(INDEX('Paramètres'!$N:$N,MATCH($D174,'Paramètres'!$M:$M,0))&amp;"",""))))),1,0))</f>
        <v>0</v>
      </c>
      <c r="Q174" s="6">
        <f>IF($K174="","",IF(ISNUMBER(SEARCH("transfert-interne",IFERROR(INDEX('Paramètres'!$N:$N,MATCH($D174,'Paramètres'!$M:$M,0))&amp;"",""))),0,IF($L174="Débit",$K174,IF($P174=1,-$K174,0))))</f>
        <v>45.23</v>
      </c>
      <c r="R174" s="6">
        <f>IF($K174="","",IF($L174="Crédit",$K174,-$K174))</f>
        <v>-45.23</v>
      </c>
      <c r="S174" s="6" t="str">
        <f>IF($C174="","",IFERROR(INDEX('Paramètres'!$H:$H,MATCH($C174,'Paramètres'!$D:$D,0))&amp;"",""))</f>
        <v>Banque A - Courant</v>
      </c>
      <c r="T174" s="6">
        <f>IF($K174="","",IF($S174="",0,IF(ISNUMBER(SEARCH("apport-exterieur",IFERROR(INDEX('Paramètres'!$N:$N,MATCH($D174,'Paramètres'!$M:$M,0))&amp;"",""))),0,IF(OR(IFERROR(INDEX('Paramètres'!$I:$I,MATCH($C174,'Paramètres'!$D:$D,0))&amp;"","")="Les deux",IFERROR(INDEX('Paramètres'!$I:$I,MATCH($C174,'Paramètres'!$D:$D,0))&amp;"","")=IF($P174=1,"Débit",$L174)),-IF($P174=1,-$K174,$K174),0))))</f>
        <v>-45.23</v>
      </c>
      <c r="U174" s="6">
        <f>IF($K174="","",IF(ISNUMBER(SEARCH("sortie-epargne",IFERROR(INDEX('Paramètres'!$N:$N,MATCH($D174,'Paramètres'!$M:$M,0))&amp;"",""))),$K174,0))</f>
        <v>0</v>
      </c>
      <c r="V174" s="6" t="str">
        <f>IF(AND($A174&lt;&gt;"",$O174=1,$L174="Débit",N($Q174)&gt;0,$A174&gt;=Visualisation!$B$1,$A174&lt;Visualisation!$D$1),MAX($V$1:V173)+1,"")</f>
        <v/>
      </c>
    </row>
    <row r="175" spans="1:22" x14ac:dyDescent="0.25">
      <c r="A175" s="9">
        <v>45642</v>
      </c>
      <c r="B175" s="4" t="s">
        <v>90</v>
      </c>
      <c r="C175" s="4" t="s">
        <v>75</v>
      </c>
      <c r="D175" s="4" t="s">
        <v>91</v>
      </c>
      <c r="E175" s="10">
        <v>70.73</v>
      </c>
      <c r="G175" s="4" t="s">
        <v>104</v>
      </c>
      <c r="H175" s="4"/>
      <c r="I175" s="4" t="s">
        <v>63</v>
      </c>
      <c r="K175" s="11">
        <f>IF($E175="","",ROUND($E175*IF(ISNA(MATCH($C175,'Paramètres'!$D:$D,0)),1,IF(INDEX('Paramètres'!$J:$J,MATCH($C175,'Paramètres'!$D:$D,0))="",1,INDEX('Paramètres'!$J:$J,MATCH($C175,'Paramètres'!$D:$D,0)))),2))</f>
        <v>70.73</v>
      </c>
      <c r="L175" s="6" t="str">
        <f>IF($D175="","",IF($F175&lt;&gt;"",$F175,IF(ISNA(MATCH($D175,'Paramètres'!$M:$M,0)),"⚠ Type inconnu",IFERROR(INDEX('Paramètres'!$P:$P,MATCH($D175,'Paramètres'!$M:$M,0))&amp;"",""))))</f>
        <v>Débit</v>
      </c>
      <c r="M175" s="6" t="str">
        <f>IF($D175="","",IF(ISNA(MATCH($D175,'Paramètres'!$M:$M,0)),"⚠ Type inconnu",IF($L175="Crédit","",IFERROR(INDEX('Paramètres'!$O:$O,MATCH($D175,'Paramètres'!$M:$M,0))&amp;"",""))))</f>
        <v>Dépense Courante</v>
      </c>
      <c r="N175" s="6" t="str">
        <f>IF($D175="","",IFERROR(INDEX('Paramètres'!$Q:$Q,MATCH($D175,'Paramètres'!$M:$M,0))&amp;"",""))</f>
        <v>Transport</v>
      </c>
      <c r="O175" s="6">
        <f>IF($A175="","",IF(OR($J175&lt;&gt;"x",$A175&lt;=FinReleve),1,0))</f>
        <v>1</v>
      </c>
      <c r="P175" s="6">
        <f>IF($D175="","",IF(AND($L175="Crédit",OR(IFERROR(INDEX('Paramètres'!$O:$O,MATCH($D175,'Paramètres'!$M:$M,0))&amp;"","")&lt;&gt;"",ISNUMBER(SEARCH("remboursement",IFERROR(INDEX('Paramètres'!$N:$N,MATCH($D175,'Paramètres'!$M:$M,0))&amp;"",""))))),1,0))</f>
        <v>0</v>
      </c>
      <c r="Q175" s="6">
        <f>IF($K175="","",IF(ISNUMBER(SEARCH("transfert-interne",IFERROR(INDEX('Paramètres'!$N:$N,MATCH($D175,'Paramètres'!$M:$M,0))&amp;"",""))),0,IF($L175="Débit",$K175,IF($P175=1,-$K175,0))))</f>
        <v>70.73</v>
      </c>
      <c r="R175" s="6">
        <f>IF($K175="","",IF($L175="Crédit",$K175,-$K175))</f>
        <v>-70.73</v>
      </c>
      <c r="S175" s="6" t="str">
        <f>IF($C175="","",IFERROR(INDEX('Paramètres'!$H:$H,MATCH($C175,'Paramètres'!$D:$D,0))&amp;"",""))</f>
        <v/>
      </c>
      <c r="T175" s="6">
        <f>IF($K175="","",IF($S175="",0,IF(ISNUMBER(SEARCH("apport-exterieur",IFERROR(INDEX('Paramètres'!$N:$N,MATCH($D175,'Paramètres'!$M:$M,0))&amp;"",""))),0,IF(OR(IFERROR(INDEX('Paramètres'!$I:$I,MATCH($C175,'Paramètres'!$D:$D,0))&amp;"","")="Les deux",IFERROR(INDEX('Paramètres'!$I:$I,MATCH($C175,'Paramètres'!$D:$D,0))&amp;"","")=IF($P175=1,"Débit",$L175)),-IF($P175=1,-$K175,$K175),0))))</f>
        <v>0</v>
      </c>
      <c r="U175" s="6">
        <f>IF($K175="","",IF(ISNUMBER(SEARCH("sortie-epargne",IFERROR(INDEX('Paramètres'!$N:$N,MATCH($D175,'Paramètres'!$M:$M,0))&amp;"",""))),$K175,0))</f>
        <v>0</v>
      </c>
      <c r="V175" s="6" t="str">
        <f>IF(AND($A175&lt;&gt;"",$O175=1,$L175="Débit",N($Q175)&gt;0,$A175&gt;=Visualisation!$B$1,$A175&lt;Visualisation!$D$1),MAX($V$1:V174)+1,"")</f>
        <v/>
      </c>
    </row>
    <row r="176" spans="1:22" x14ac:dyDescent="0.25">
      <c r="A176" s="9">
        <v>45643</v>
      </c>
      <c r="B176" s="4" t="s">
        <v>69</v>
      </c>
      <c r="C176" s="4" t="s">
        <v>70</v>
      </c>
      <c r="D176" s="4" t="s">
        <v>71</v>
      </c>
      <c r="E176" s="10">
        <v>9.16</v>
      </c>
      <c r="G176" s="4" t="s">
        <v>72</v>
      </c>
      <c r="H176" s="4"/>
      <c r="I176" s="4"/>
      <c r="K176" s="11">
        <f>IF($E176="","",ROUND($E176*IF(ISNA(MATCH($C176,'Paramètres'!$D:$D,0)),1,IF(INDEX('Paramètres'!$J:$J,MATCH($C176,'Paramètres'!$D:$D,0))="",1,INDEX('Paramètres'!$J:$J,MATCH($C176,'Paramètres'!$D:$D,0)))),2))</f>
        <v>9.16</v>
      </c>
      <c r="L176" s="6" t="str">
        <f>IF($D176="","",IF($F176&lt;&gt;"",$F176,IF(ISNA(MATCH($D176,'Paramètres'!$M:$M,0)),"⚠ Type inconnu",IFERROR(INDEX('Paramètres'!$P:$P,MATCH($D176,'Paramètres'!$M:$M,0))&amp;"",""))))</f>
        <v>Débit</v>
      </c>
      <c r="M176" s="6" t="str">
        <f>IF($D176="","",IF(ISNA(MATCH($D176,'Paramètres'!$M:$M,0)),"⚠ Type inconnu",IF($L176="Crédit","",IFERROR(INDEX('Paramètres'!$O:$O,MATCH($D176,'Paramètres'!$M:$M,0))&amp;"",""))))</f>
        <v>Dépense Courante</v>
      </c>
      <c r="N176" s="6" t="str">
        <f>IF($D176="","",IFERROR(INDEX('Paramètres'!$Q:$Q,MATCH($D176,'Paramètres'!$M:$M,0))&amp;"",""))</f>
        <v>Alimentation</v>
      </c>
      <c r="O176" s="6">
        <f>IF($A176="","",IF(OR($J176&lt;&gt;"x",$A176&lt;=FinReleve),1,0))</f>
        <v>1</v>
      </c>
      <c r="P176" s="6">
        <f>IF($D176="","",IF(AND($L176="Crédit",OR(IFERROR(INDEX('Paramètres'!$O:$O,MATCH($D176,'Paramètres'!$M:$M,0))&amp;"","")&lt;&gt;"",ISNUMBER(SEARCH("remboursement",IFERROR(INDEX('Paramètres'!$N:$N,MATCH($D176,'Paramètres'!$M:$M,0))&amp;"",""))))),1,0))</f>
        <v>0</v>
      </c>
      <c r="Q176" s="6">
        <f>IF($K176="","",IF(ISNUMBER(SEARCH("transfert-interne",IFERROR(INDEX('Paramètres'!$N:$N,MATCH($D176,'Paramètres'!$M:$M,0))&amp;"",""))),0,IF($L176="Débit",$K176,IF($P176=1,-$K176,0))))</f>
        <v>9.16</v>
      </c>
      <c r="R176" s="6">
        <f>IF($K176="","",IF($L176="Crédit",$K176,-$K176))</f>
        <v>-9.16</v>
      </c>
      <c r="S176" s="6" t="str">
        <f>IF($C176="","",IFERROR(INDEX('Paramètres'!$H:$H,MATCH($C176,'Paramètres'!$D:$D,0))&amp;"",""))</f>
        <v/>
      </c>
      <c r="T176" s="6">
        <f>IF($K176="","",IF($S176="",0,IF(ISNUMBER(SEARCH("apport-exterieur",IFERROR(INDEX('Paramètres'!$N:$N,MATCH($D176,'Paramètres'!$M:$M,0))&amp;"",""))),0,IF(OR(IFERROR(INDEX('Paramètres'!$I:$I,MATCH($C176,'Paramètres'!$D:$D,0))&amp;"","")="Les deux",IFERROR(INDEX('Paramètres'!$I:$I,MATCH($C176,'Paramètres'!$D:$D,0))&amp;"","")=IF($P176=1,"Débit",$L176)),-IF($P176=1,-$K176,$K176),0))))</f>
        <v>0</v>
      </c>
      <c r="U176" s="6">
        <f>IF($K176="","",IF(ISNUMBER(SEARCH("sortie-epargne",IFERROR(INDEX('Paramètres'!$N:$N,MATCH($D176,'Paramètres'!$M:$M,0))&amp;"",""))),$K176,0))</f>
        <v>0</v>
      </c>
      <c r="V176" s="6" t="str">
        <f>IF(AND($A176&lt;&gt;"",$O176=1,$L176="Débit",N($Q176)&gt;0,$A176&gt;=Visualisation!$B$1,$A176&lt;Visualisation!$D$1),MAX($V$1:V175)+1,"")</f>
        <v/>
      </c>
    </row>
    <row r="177" spans="1:22" x14ac:dyDescent="0.25">
      <c r="A177" s="9">
        <v>45643</v>
      </c>
      <c r="B177" s="4" t="s">
        <v>90</v>
      </c>
      <c r="C177" s="4" t="s">
        <v>75</v>
      </c>
      <c r="D177" s="4" t="s">
        <v>91</v>
      </c>
      <c r="E177" s="10">
        <v>65.57</v>
      </c>
      <c r="G177" s="4" t="s">
        <v>92</v>
      </c>
      <c r="H177" s="4"/>
      <c r="I177" s="4" t="s">
        <v>93</v>
      </c>
      <c r="K177" s="11">
        <f>IF($E177="","",ROUND($E177*IF(ISNA(MATCH($C177,'Paramètres'!$D:$D,0)),1,IF(INDEX('Paramètres'!$J:$J,MATCH($C177,'Paramètres'!$D:$D,0))="",1,INDEX('Paramètres'!$J:$J,MATCH($C177,'Paramètres'!$D:$D,0)))),2))</f>
        <v>65.57</v>
      </c>
      <c r="L177" s="6" t="str">
        <f>IF($D177="","",IF($F177&lt;&gt;"",$F177,IF(ISNA(MATCH($D177,'Paramètres'!$M:$M,0)),"⚠ Type inconnu",IFERROR(INDEX('Paramètres'!$P:$P,MATCH($D177,'Paramètres'!$M:$M,0))&amp;"",""))))</f>
        <v>Débit</v>
      </c>
      <c r="M177" s="6" t="str">
        <f>IF($D177="","",IF(ISNA(MATCH($D177,'Paramètres'!$M:$M,0)),"⚠ Type inconnu",IF($L177="Crédit","",IFERROR(INDEX('Paramètres'!$O:$O,MATCH($D177,'Paramètres'!$M:$M,0))&amp;"",""))))</f>
        <v>Dépense Courante</v>
      </c>
      <c r="N177" s="6" t="str">
        <f>IF($D177="","",IFERROR(INDEX('Paramètres'!$Q:$Q,MATCH($D177,'Paramètres'!$M:$M,0))&amp;"",""))</f>
        <v>Transport</v>
      </c>
      <c r="O177" s="6">
        <f>IF($A177="","",IF(OR($J177&lt;&gt;"x",$A177&lt;=FinReleve),1,0))</f>
        <v>1</v>
      </c>
      <c r="P177" s="6">
        <f>IF($D177="","",IF(AND($L177="Crédit",OR(IFERROR(INDEX('Paramètres'!$O:$O,MATCH($D177,'Paramètres'!$M:$M,0))&amp;"","")&lt;&gt;"",ISNUMBER(SEARCH("remboursement",IFERROR(INDEX('Paramètres'!$N:$N,MATCH($D177,'Paramètres'!$M:$M,0))&amp;"",""))))),1,0))</f>
        <v>0</v>
      </c>
      <c r="Q177" s="6">
        <f>IF($K177="","",IF(ISNUMBER(SEARCH("transfert-interne",IFERROR(INDEX('Paramètres'!$N:$N,MATCH($D177,'Paramètres'!$M:$M,0))&amp;"",""))),0,IF($L177="Débit",$K177,IF($P177=1,-$K177,0))))</f>
        <v>65.57</v>
      </c>
      <c r="R177" s="6">
        <f>IF($K177="","",IF($L177="Crédit",$K177,-$K177))</f>
        <v>-65.57</v>
      </c>
      <c r="S177" s="6" t="str">
        <f>IF($C177="","",IFERROR(INDEX('Paramètres'!$H:$H,MATCH($C177,'Paramètres'!$D:$D,0))&amp;"",""))</f>
        <v/>
      </c>
      <c r="T177" s="6">
        <f>IF($K177="","",IF($S177="",0,IF(ISNUMBER(SEARCH("apport-exterieur",IFERROR(INDEX('Paramètres'!$N:$N,MATCH($D177,'Paramètres'!$M:$M,0))&amp;"",""))),0,IF(OR(IFERROR(INDEX('Paramètres'!$I:$I,MATCH($C177,'Paramètres'!$D:$D,0))&amp;"","")="Les deux",IFERROR(INDEX('Paramètres'!$I:$I,MATCH($C177,'Paramètres'!$D:$D,0))&amp;"","")=IF($P177=1,"Débit",$L177)),-IF($P177=1,-$K177,$K177),0))))</f>
        <v>0</v>
      </c>
      <c r="U177" s="6">
        <f>IF($K177="","",IF(ISNUMBER(SEARCH("sortie-epargne",IFERROR(INDEX('Paramètres'!$N:$N,MATCH($D177,'Paramètres'!$M:$M,0))&amp;"",""))),$K177,0))</f>
        <v>0</v>
      </c>
      <c r="V177" s="6" t="str">
        <f>IF(AND($A177&lt;&gt;"",$O177=1,$L177="Débit",N($Q177)&gt;0,$A177&gt;=Visualisation!$B$1,$A177&lt;Visualisation!$D$1),MAX($V$1:V176)+1,"")</f>
        <v/>
      </c>
    </row>
    <row r="178" spans="1:22" x14ac:dyDescent="0.25">
      <c r="A178" s="9">
        <v>45644</v>
      </c>
      <c r="B178" s="4" t="s">
        <v>103</v>
      </c>
      <c r="C178" s="4" t="s">
        <v>75</v>
      </c>
      <c r="D178" s="4" t="s">
        <v>103</v>
      </c>
      <c r="E178" s="10">
        <v>212</v>
      </c>
      <c r="G178" s="4"/>
      <c r="H178" s="4"/>
      <c r="I178" s="4"/>
      <c r="K178" s="11">
        <f>IF($E178="","",ROUND($E178*IF(ISNA(MATCH($C178,'Paramètres'!$D:$D,0)),1,IF(INDEX('Paramètres'!$J:$J,MATCH($C178,'Paramètres'!$D:$D,0))="",1,INDEX('Paramètres'!$J:$J,MATCH($C178,'Paramètres'!$D:$D,0)))),2))</f>
        <v>212</v>
      </c>
      <c r="L178" s="6" t="str">
        <f>IF($D178="","",IF($F178&lt;&gt;"",$F178,IF(ISNA(MATCH($D178,'Paramètres'!$M:$M,0)),"⚠ Type inconnu",IFERROR(INDEX('Paramètres'!$P:$P,MATCH($D178,'Paramètres'!$M:$M,0))&amp;"",""))))</f>
        <v>Débit</v>
      </c>
      <c r="M178" s="6" t="str">
        <f>IF($D178="","",IF(ISNA(MATCH($D178,'Paramètres'!$M:$M,0)),"⚠ Type inconnu",IF($L178="Crédit","",IFERROR(INDEX('Paramètres'!$O:$O,MATCH($D178,'Paramètres'!$M:$M,0))&amp;"",""))))</f>
        <v>Dépense Fixe</v>
      </c>
      <c r="N178" s="6" t="str">
        <f>IF($D178="","",IFERROR(INDEX('Paramètres'!$Q:$Q,MATCH($D178,'Paramètres'!$M:$M,0))&amp;"",""))</f>
        <v>Impots</v>
      </c>
      <c r="O178" s="6">
        <f>IF($A178="","",IF(OR($J178&lt;&gt;"x",$A178&lt;=FinReleve),1,0))</f>
        <v>1</v>
      </c>
      <c r="P178" s="6">
        <f>IF($D178="","",IF(AND($L178="Crédit",OR(IFERROR(INDEX('Paramètres'!$O:$O,MATCH($D178,'Paramètres'!$M:$M,0))&amp;"","")&lt;&gt;"",ISNUMBER(SEARCH("remboursement",IFERROR(INDEX('Paramètres'!$N:$N,MATCH($D178,'Paramètres'!$M:$M,0))&amp;"",""))))),1,0))</f>
        <v>0</v>
      </c>
      <c r="Q178" s="6">
        <f>IF($K178="","",IF(ISNUMBER(SEARCH("transfert-interne",IFERROR(INDEX('Paramètres'!$N:$N,MATCH($D178,'Paramètres'!$M:$M,0))&amp;"",""))),0,IF($L178="Débit",$K178,IF($P178=1,-$K178,0))))</f>
        <v>212</v>
      </c>
      <c r="R178" s="6">
        <f>IF($K178="","",IF($L178="Crédit",$K178,-$K178))</f>
        <v>-212</v>
      </c>
      <c r="S178" s="6" t="str">
        <f>IF($C178="","",IFERROR(INDEX('Paramètres'!$H:$H,MATCH($C178,'Paramètres'!$D:$D,0))&amp;"",""))</f>
        <v/>
      </c>
      <c r="T178" s="6">
        <f>IF($K178="","",IF($S178="",0,IF(ISNUMBER(SEARCH("apport-exterieur",IFERROR(INDEX('Paramètres'!$N:$N,MATCH($D178,'Paramètres'!$M:$M,0))&amp;"",""))),0,IF(OR(IFERROR(INDEX('Paramètres'!$I:$I,MATCH($C178,'Paramètres'!$D:$D,0))&amp;"","")="Les deux",IFERROR(INDEX('Paramètres'!$I:$I,MATCH($C178,'Paramètres'!$D:$D,0))&amp;"","")=IF($P178=1,"Débit",$L178)),-IF($P178=1,-$K178,$K178),0))))</f>
        <v>0</v>
      </c>
      <c r="U178" s="6">
        <f>IF($K178="","",IF(ISNUMBER(SEARCH("sortie-epargne",IFERROR(INDEX('Paramètres'!$N:$N,MATCH($D178,'Paramètres'!$M:$M,0))&amp;"",""))),$K178,0))</f>
        <v>0</v>
      </c>
      <c r="V178" s="6" t="str">
        <f>IF(AND($A178&lt;&gt;"",$O178=1,$L178="Débit",N($Q178)&gt;0,$A178&gt;=Visualisation!$B$1,$A178&lt;Visualisation!$D$1),MAX($V$1:V177)+1,"")</f>
        <v/>
      </c>
    </row>
    <row r="179" spans="1:22" x14ac:dyDescent="0.25">
      <c r="A179" s="9">
        <v>45644</v>
      </c>
      <c r="B179" s="4" t="s">
        <v>76</v>
      </c>
      <c r="C179" s="4" t="s">
        <v>67</v>
      </c>
      <c r="D179" s="4" t="s">
        <v>77</v>
      </c>
      <c r="E179" s="10">
        <v>26.58</v>
      </c>
      <c r="G179" s="4" t="s">
        <v>95</v>
      </c>
      <c r="H179" s="4" t="s">
        <v>140</v>
      </c>
      <c r="I179" s="4" t="s">
        <v>63</v>
      </c>
      <c r="K179" s="11">
        <f>IF($E179="","",ROUND($E179*IF(ISNA(MATCH($C179,'Paramètres'!$D:$D,0)),1,IF(INDEX('Paramètres'!$J:$J,MATCH($C179,'Paramètres'!$D:$D,0))="",1,INDEX('Paramètres'!$J:$J,MATCH($C179,'Paramètres'!$D:$D,0)))),2))</f>
        <v>13.29</v>
      </c>
      <c r="L179" s="6" t="str">
        <f>IF($D179="","",IF($F179&lt;&gt;"",$F179,IF(ISNA(MATCH($D179,'Paramètres'!$M:$M,0)),"⚠ Type inconnu",IFERROR(INDEX('Paramètres'!$P:$P,MATCH($D179,'Paramètres'!$M:$M,0))&amp;"",""))))</f>
        <v>Débit</v>
      </c>
      <c r="M179" s="6" t="str">
        <f>IF($D179="","",IF(ISNA(MATCH($D179,'Paramètres'!$M:$M,0)),"⚠ Type inconnu",IF($L179="Crédit","",IFERROR(INDEX('Paramètres'!$O:$O,MATCH($D179,'Paramètres'!$M:$M,0))&amp;"",""))))</f>
        <v>Dépense Courante</v>
      </c>
      <c r="N179" s="6" t="str">
        <f>IF($D179="","",IFERROR(INDEX('Paramètres'!$Q:$Q,MATCH($D179,'Paramètres'!$M:$M,0))&amp;"",""))</f>
        <v>Alimentation</v>
      </c>
      <c r="O179" s="6">
        <f>IF($A179="","",IF(OR($J179&lt;&gt;"x",$A179&lt;=FinReleve),1,0))</f>
        <v>1</v>
      </c>
      <c r="P179" s="6">
        <f>IF($D179="","",IF(AND($L179="Crédit",OR(IFERROR(INDEX('Paramètres'!$O:$O,MATCH($D179,'Paramètres'!$M:$M,0))&amp;"","")&lt;&gt;"",ISNUMBER(SEARCH("remboursement",IFERROR(INDEX('Paramètres'!$N:$N,MATCH($D179,'Paramètres'!$M:$M,0))&amp;"",""))))),1,0))</f>
        <v>0</v>
      </c>
      <c r="Q179" s="6">
        <f>IF($K179="","",IF(ISNUMBER(SEARCH("transfert-interne",IFERROR(INDEX('Paramètres'!$N:$N,MATCH($D179,'Paramètres'!$M:$M,0))&amp;"",""))),0,IF($L179="Débit",$K179,IF($P179=1,-$K179,0))))</f>
        <v>13.29</v>
      </c>
      <c r="R179" s="6">
        <f>IF($K179="","",IF($L179="Crédit",$K179,-$K179))</f>
        <v>-13.29</v>
      </c>
      <c r="S179" s="6" t="str">
        <f>IF($C179="","",IFERROR(INDEX('Paramètres'!$H:$H,MATCH($C179,'Paramètres'!$D:$D,0))&amp;"",""))</f>
        <v>Banque A - Courant</v>
      </c>
      <c r="T179" s="6">
        <f>IF($K179="","",IF($S179="",0,IF(ISNUMBER(SEARCH("apport-exterieur",IFERROR(INDEX('Paramètres'!$N:$N,MATCH($D179,'Paramètres'!$M:$M,0))&amp;"",""))),0,IF(OR(IFERROR(INDEX('Paramètres'!$I:$I,MATCH($C179,'Paramètres'!$D:$D,0))&amp;"","")="Les deux",IFERROR(INDEX('Paramètres'!$I:$I,MATCH($C179,'Paramètres'!$D:$D,0))&amp;"","")=IF($P179=1,"Débit",$L179)),-IF($P179=1,-$K179,$K179),0))))</f>
        <v>0</v>
      </c>
      <c r="U179" s="6">
        <f>IF($K179="","",IF(ISNUMBER(SEARCH("sortie-epargne",IFERROR(INDEX('Paramètres'!$N:$N,MATCH($D179,'Paramètres'!$M:$M,0))&amp;"",""))),$K179,0))</f>
        <v>0</v>
      </c>
      <c r="V179" s="6" t="str">
        <f>IF(AND($A179&lt;&gt;"",$O179=1,$L179="Débit",N($Q179)&gt;0,$A179&gt;=Visualisation!$B$1,$A179&lt;Visualisation!$D$1),MAX($V$1:V178)+1,"")</f>
        <v/>
      </c>
    </row>
    <row r="180" spans="1:22" x14ac:dyDescent="0.25">
      <c r="A180" s="9">
        <v>45645</v>
      </c>
      <c r="B180" s="4" t="s">
        <v>76</v>
      </c>
      <c r="C180" s="4" t="s">
        <v>60</v>
      </c>
      <c r="D180" s="4" t="s">
        <v>77</v>
      </c>
      <c r="E180" s="10">
        <v>155.4</v>
      </c>
      <c r="G180" s="4" t="s">
        <v>98</v>
      </c>
      <c r="H180" s="4" t="s">
        <v>140</v>
      </c>
      <c r="I180" s="4" t="s">
        <v>93</v>
      </c>
      <c r="K180" s="11">
        <f>IF($E180="","",ROUND($E180*IF(ISNA(MATCH($C180,'Paramètres'!$D:$D,0)),1,IF(INDEX('Paramètres'!$J:$J,MATCH($C180,'Paramètres'!$D:$D,0))="",1,INDEX('Paramètres'!$J:$J,MATCH($C180,'Paramètres'!$D:$D,0)))),2))</f>
        <v>77.7</v>
      </c>
      <c r="L180" s="6" t="str">
        <f>IF($D180="","",IF($F180&lt;&gt;"",$F180,IF(ISNA(MATCH($D180,'Paramètres'!$M:$M,0)),"⚠ Type inconnu",IFERROR(INDEX('Paramètres'!$P:$P,MATCH($D180,'Paramètres'!$M:$M,0))&amp;"",""))))</f>
        <v>Débit</v>
      </c>
      <c r="M180" s="6" t="str">
        <f>IF($D180="","",IF(ISNA(MATCH($D180,'Paramètres'!$M:$M,0)),"⚠ Type inconnu",IF($L180="Crédit","",IFERROR(INDEX('Paramètres'!$O:$O,MATCH($D180,'Paramètres'!$M:$M,0))&amp;"",""))))</f>
        <v>Dépense Courante</v>
      </c>
      <c r="N180" s="6" t="str">
        <f>IF($D180="","",IFERROR(INDEX('Paramètres'!$Q:$Q,MATCH($D180,'Paramètres'!$M:$M,0))&amp;"",""))</f>
        <v>Alimentation</v>
      </c>
      <c r="O180" s="6">
        <f>IF($A180="","",IF(OR($J180&lt;&gt;"x",$A180&lt;=FinReleve),1,0))</f>
        <v>1</v>
      </c>
      <c r="P180" s="6">
        <f>IF($D180="","",IF(AND($L180="Crédit",OR(IFERROR(INDEX('Paramètres'!$O:$O,MATCH($D180,'Paramètres'!$M:$M,0))&amp;"","")&lt;&gt;"",ISNUMBER(SEARCH("remboursement",IFERROR(INDEX('Paramètres'!$N:$N,MATCH($D180,'Paramètres'!$M:$M,0))&amp;"",""))))),1,0))</f>
        <v>0</v>
      </c>
      <c r="Q180" s="6">
        <f>IF($K180="","",IF(ISNUMBER(SEARCH("transfert-interne",IFERROR(INDEX('Paramètres'!$N:$N,MATCH($D180,'Paramètres'!$M:$M,0))&amp;"",""))),0,IF($L180="Débit",$K180,IF($P180=1,-$K180,0))))</f>
        <v>77.7</v>
      </c>
      <c r="R180" s="6">
        <f>IF($K180="","",IF($L180="Crédit",$K180,-$K180))</f>
        <v>-77.7</v>
      </c>
      <c r="S180" s="6" t="str">
        <f>IF($C180="","",IFERROR(INDEX('Paramètres'!$H:$H,MATCH($C180,'Paramètres'!$D:$D,0))&amp;"",""))</f>
        <v>Banque A - Courant</v>
      </c>
      <c r="T180" s="6">
        <f>IF($K180="","",IF($S180="",0,IF(ISNUMBER(SEARCH("apport-exterieur",IFERROR(INDEX('Paramètres'!$N:$N,MATCH($D180,'Paramètres'!$M:$M,0))&amp;"",""))),0,IF(OR(IFERROR(INDEX('Paramètres'!$I:$I,MATCH($C180,'Paramètres'!$D:$D,0))&amp;"","")="Les deux",IFERROR(INDEX('Paramètres'!$I:$I,MATCH($C180,'Paramètres'!$D:$D,0))&amp;"","")=IF($P180=1,"Débit",$L180)),-IF($P180=1,-$K180,$K180),0))))</f>
        <v>-77.7</v>
      </c>
      <c r="U180" s="6">
        <f>IF($K180="","",IF(ISNUMBER(SEARCH("sortie-epargne",IFERROR(INDEX('Paramètres'!$N:$N,MATCH($D180,'Paramètres'!$M:$M,0))&amp;"",""))),$K180,0))</f>
        <v>0</v>
      </c>
      <c r="V180" s="6" t="str">
        <f>IF(AND($A180&lt;&gt;"",$O180=1,$L180="Débit",N($Q180)&gt;0,$A180&gt;=Visualisation!$B$1,$A180&lt;Visualisation!$D$1),MAX($V$1:V179)+1,"")</f>
        <v/>
      </c>
    </row>
    <row r="181" spans="1:22" x14ac:dyDescent="0.25">
      <c r="A181" s="9">
        <v>45646</v>
      </c>
      <c r="B181" s="4" t="s">
        <v>119</v>
      </c>
      <c r="C181" s="4" t="s">
        <v>60</v>
      </c>
      <c r="D181" s="4" t="s">
        <v>119</v>
      </c>
      <c r="E181" s="10">
        <v>168.46</v>
      </c>
      <c r="G181" s="4" t="s">
        <v>137</v>
      </c>
      <c r="H181" s="4" t="s">
        <v>140</v>
      </c>
      <c r="I181" s="4" t="s">
        <v>93</v>
      </c>
      <c r="K181" s="11">
        <f>IF($E181="","",ROUND($E181*IF(ISNA(MATCH($C181,'Paramètres'!$D:$D,0)),1,IF(INDEX('Paramètres'!$J:$J,MATCH($C181,'Paramètres'!$D:$D,0))="",1,INDEX('Paramètres'!$J:$J,MATCH($C181,'Paramètres'!$D:$D,0)))),2))</f>
        <v>84.23</v>
      </c>
      <c r="L181" s="6" t="str">
        <f>IF($D181="","",IF($F181&lt;&gt;"",$F181,IF(ISNA(MATCH($D181,'Paramètres'!$M:$M,0)),"⚠ Type inconnu",IFERROR(INDEX('Paramètres'!$P:$P,MATCH($D181,'Paramètres'!$M:$M,0))&amp;"",""))))</f>
        <v>Débit</v>
      </c>
      <c r="M181" s="6" t="str">
        <f>IF($D181="","",IF(ISNA(MATCH($D181,'Paramètres'!$M:$M,0)),"⚠ Type inconnu",IF($L181="Crédit","",IFERROR(INDEX('Paramètres'!$O:$O,MATCH($D181,'Paramètres'!$M:$M,0))&amp;"",""))))</f>
        <v>Dépense Occasionnelle</v>
      </c>
      <c r="N181" s="6" t="str">
        <f>IF($D181="","",IFERROR(INDEX('Paramètres'!$Q:$Q,MATCH($D181,'Paramètres'!$M:$M,0))&amp;"",""))</f>
        <v>Alimentation</v>
      </c>
      <c r="O181" s="6">
        <f>IF($A181="","",IF(OR($J181&lt;&gt;"x",$A181&lt;=FinReleve),1,0))</f>
        <v>1</v>
      </c>
      <c r="P181" s="6">
        <f>IF($D181="","",IF(AND($L181="Crédit",OR(IFERROR(INDEX('Paramètres'!$O:$O,MATCH($D181,'Paramètres'!$M:$M,0))&amp;"","")&lt;&gt;"",ISNUMBER(SEARCH("remboursement",IFERROR(INDEX('Paramètres'!$N:$N,MATCH($D181,'Paramètres'!$M:$M,0))&amp;"",""))))),1,0))</f>
        <v>0</v>
      </c>
      <c r="Q181" s="6">
        <f>IF($K181="","",IF(ISNUMBER(SEARCH("transfert-interne",IFERROR(INDEX('Paramètres'!$N:$N,MATCH($D181,'Paramètres'!$M:$M,0))&amp;"",""))),0,IF($L181="Débit",$K181,IF($P181=1,-$K181,0))))</f>
        <v>84.23</v>
      </c>
      <c r="R181" s="6">
        <f>IF($K181="","",IF($L181="Crédit",$K181,-$K181))</f>
        <v>-84.23</v>
      </c>
      <c r="S181" s="6" t="str">
        <f>IF($C181="","",IFERROR(INDEX('Paramètres'!$H:$H,MATCH($C181,'Paramètres'!$D:$D,0))&amp;"",""))</f>
        <v>Banque A - Courant</v>
      </c>
      <c r="T181" s="6">
        <f>IF($K181="","",IF($S181="",0,IF(ISNUMBER(SEARCH("apport-exterieur",IFERROR(INDEX('Paramètres'!$N:$N,MATCH($D181,'Paramètres'!$M:$M,0))&amp;"",""))),0,IF(OR(IFERROR(INDEX('Paramètres'!$I:$I,MATCH($C181,'Paramètres'!$D:$D,0))&amp;"","")="Les deux",IFERROR(INDEX('Paramètres'!$I:$I,MATCH($C181,'Paramètres'!$D:$D,0))&amp;"","")=IF($P181=1,"Débit",$L181)),-IF($P181=1,-$K181,$K181),0))))</f>
        <v>-84.23</v>
      </c>
      <c r="U181" s="6">
        <f>IF($K181="","",IF(ISNUMBER(SEARCH("sortie-epargne",IFERROR(INDEX('Paramètres'!$N:$N,MATCH($D181,'Paramètres'!$M:$M,0))&amp;"",""))),$K181,0))</f>
        <v>0</v>
      </c>
      <c r="V181" s="6" t="str">
        <f>IF(AND($A181&lt;&gt;"",$O181=1,$L181="Débit",N($Q181)&gt;0,$A181&gt;=Visualisation!$B$1,$A181&lt;Visualisation!$D$1),MAX($V$1:V180)+1,"")</f>
        <v/>
      </c>
    </row>
    <row r="182" spans="1:22" x14ac:dyDescent="0.25">
      <c r="A182" s="9">
        <v>45647</v>
      </c>
      <c r="B182" s="4" t="s">
        <v>76</v>
      </c>
      <c r="C182" s="4" t="s">
        <v>60</v>
      </c>
      <c r="D182" s="4" t="s">
        <v>77</v>
      </c>
      <c r="E182" s="10">
        <v>99.2</v>
      </c>
      <c r="G182" s="4" t="s">
        <v>98</v>
      </c>
      <c r="H182" s="4" t="s">
        <v>140</v>
      </c>
      <c r="I182" s="4" t="s">
        <v>93</v>
      </c>
      <c r="K182" s="11">
        <f>IF($E182="","",ROUND($E182*IF(ISNA(MATCH($C182,'Paramètres'!$D:$D,0)),1,IF(INDEX('Paramètres'!$J:$J,MATCH($C182,'Paramètres'!$D:$D,0))="",1,INDEX('Paramètres'!$J:$J,MATCH($C182,'Paramètres'!$D:$D,0)))),2))</f>
        <v>49.6</v>
      </c>
      <c r="L182" s="6" t="str">
        <f>IF($D182="","",IF($F182&lt;&gt;"",$F182,IF(ISNA(MATCH($D182,'Paramètres'!$M:$M,0)),"⚠ Type inconnu",IFERROR(INDEX('Paramètres'!$P:$P,MATCH($D182,'Paramètres'!$M:$M,0))&amp;"",""))))</f>
        <v>Débit</v>
      </c>
      <c r="M182" s="6" t="str">
        <f>IF($D182="","",IF(ISNA(MATCH($D182,'Paramètres'!$M:$M,0)),"⚠ Type inconnu",IF($L182="Crédit","",IFERROR(INDEX('Paramètres'!$O:$O,MATCH($D182,'Paramètres'!$M:$M,0))&amp;"",""))))</f>
        <v>Dépense Courante</v>
      </c>
      <c r="N182" s="6" t="str">
        <f>IF($D182="","",IFERROR(INDEX('Paramètres'!$Q:$Q,MATCH($D182,'Paramètres'!$M:$M,0))&amp;"",""))</f>
        <v>Alimentation</v>
      </c>
      <c r="O182" s="6">
        <f>IF($A182="","",IF(OR($J182&lt;&gt;"x",$A182&lt;=FinReleve),1,0))</f>
        <v>1</v>
      </c>
      <c r="P182" s="6">
        <f>IF($D182="","",IF(AND($L182="Crédit",OR(IFERROR(INDEX('Paramètres'!$O:$O,MATCH($D182,'Paramètres'!$M:$M,0))&amp;"","")&lt;&gt;"",ISNUMBER(SEARCH("remboursement",IFERROR(INDEX('Paramètres'!$N:$N,MATCH($D182,'Paramètres'!$M:$M,0))&amp;"",""))))),1,0))</f>
        <v>0</v>
      </c>
      <c r="Q182" s="6">
        <f>IF($K182="","",IF(ISNUMBER(SEARCH("transfert-interne",IFERROR(INDEX('Paramètres'!$N:$N,MATCH($D182,'Paramètres'!$M:$M,0))&amp;"",""))),0,IF($L182="Débit",$K182,IF($P182=1,-$K182,0))))</f>
        <v>49.6</v>
      </c>
      <c r="R182" s="6">
        <f>IF($K182="","",IF($L182="Crédit",$K182,-$K182))</f>
        <v>-49.6</v>
      </c>
      <c r="S182" s="6" t="str">
        <f>IF($C182="","",IFERROR(INDEX('Paramètres'!$H:$H,MATCH($C182,'Paramètres'!$D:$D,0))&amp;"",""))</f>
        <v>Banque A - Courant</v>
      </c>
      <c r="T182" s="6">
        <f>IF($K182="","",IF($S182="",0,IF(ISNUMBER(SEARCH("apport-exterieur",IFERROR(INDEX('Paramètres'!$N:$N,MATCH($D182,'Paramètres'!$M:$M,0))&amp;"",""))),0,IF(OR(IFERROR(INDEX('Paramètres'!$I:$I,MATCH($C182,'Paramètres'!$D:$D,0))&amp;"","")="Les deux",IFERROR(INDEX('Paramètres'!$I:$I,MATCH($C182,'Paramètres'!$D:$D,0))&amp;"","")=IF($P182=1,"Débit",$L182)),-IF($P182=1,-$K182,$K182),0))))</f>
        <v>-49.6</v>
      </c>
      <c r="U182" s="6">
        <f>IF($K182="","",IF(ISNUMBER(SEARCH("sortie-epargne",IFERROR(INDEX('Paramètres'!$N:$N,MATCH($D182,'Paramètres'!$M:$M,0))&amp;"",""))),$K182,0))</f>
        <v>0</v>
      </c>
      <c r="V182" s="6" t="str">
        <f>IF(AND($A182&lt;&gt;"",$O182=1,$L182="Débit",N($Q182)&gt;0,$A182&gt;=Visualisation!$B$1,$A182&lt;Visualisation!$D$1),MAX($V$1:V181)+1,"")</f>
        <v/>
      </c>
    </row>
    <row r="183" spans="1:22" x14ac:dyDescent="0.25">
      <c r="A183" s="9">
        <v>45647</v>
      </c>
      <c r="B183" s="4" t="s">
        <v>76</v>
      </c>
      <c r="C183" s="4" t="s">
        <v>67</v>
      </c>
      <c r="D183" s="4" t="s">
        <v>77</v>
      </c>
      <c r="E183" s="10">
        <v>76.3</v>
      </c>
      <c r="G183" s="4" t="s">
        <v>95</v>
      </c>
      <c r="H183" s="4" t="s">
        <v>140</v>
      </c>
      <c r="I183" s="4" t="s">
        <v>73</v>
      </c>
      <c r="K183" s="11">
        <f>IF($E183="","",ROUND($E183*IF(ISNA(MATCH($C183,'Paramètres'!$D:$D,0)),1,IF(INDEX('Paramètres'!$J:$J,MATCH($C183,'Paramètres'!$D:$D,0))="",1,INDEX('Paramètres'!$J:$J,MATCH($C183,'Paramètres'!$D:$D,0)))),2))</f>
        <v>38.15</v>
      </c>
      <c r="L183" s="6" t="str">
        <f>IF($D183="","",IF($F183&lt;&gt;"",$F183,IF(ISNA(MATCH($D183,'Paramètres'!$M:$M,0)),"⚠ Type inconnu",IFERROR(INDEX('Paramètres'!$P:$P,MATCH($D183,'Paramètres'!$M:$M,0))&amp;"",""))))</f>
        <v>Débit</v>
      </c>
      <c r="M183" s="6" t="str">
        <f>IF($D183="","",IF(ISNA(MATCH($D183,'Paramètres'!$M:$M,0)),"⚠ Type inconnu",IF($L183="Crédit","",IFERROR(INDEX('Paramètres'!$O:$O,MATCH($D183,'Paramètres'!$M:$M,0))&amp;"",""))))</f>
        <v>Dépense Courante</v>
      </c>
      <c r="N183" s="6" t="str">
        <f>IF($D183="","",IFERROR(INDEX('Paramètres'!$Q:$Q,MATCH($D183,'Paramètres'!$M:$M,0))&amp;"",""))</f>
        <v>Alimentation</v>
      </c>
      <c r="O183" s="6">
        <f>IF($A183="","",IF(OR($J183&lt;&gt;"x",$A183&lt;=FinReleve),1,0))</f>
        <v>1</v>
      </c>
      <c r="P183" s="6">
        <f>IF($D183="","",IF(AND($L183="Crédit",OR(IFERROR(INDEX('Paramètres'!$O:$O,MATCH($D183,'Paramètres'!$M:$M,0))&amp;"","")&lt;&gt;"",ISNUMBER(SEARCH("remboursement",IFERROR(INDEX('Paramètres'!$N:$N,MATCH($D183,'Paramètres'!$M:$M,0))&amp;"",""))))),1,0))</f>
        <v>0</v>
      </c>
      <c r="Q183" s="6">
        <f>IF($K183="","",IF(ISNUMBER(SEARCH("transfert-interne",IFERROR(INDEX('Paramètres'!$N:$N,MATCH($D183,'Paramètres'!$M:$M,0))&amp;"",""))),0,IF($L183="Débit",$K183,IF($P183=1,-$K183,0))))</f>
        <v>38.15</v>
      </c>
      <c r="R183" s="6">
        <f>IF($K183="","",IF($L183="Crédit",$K183,-$K183))</f>
        <v>-38.15</v>
      </c>
      <c r="S183" s="6" t="str">
        <f>IF($C183="","",IFERROR(INDEX('Paramètres'!$H:$H,MATCH($C183,'Paramètres'!$D:$D,0))&amp;"",""))</f>
        <v>Banque A - Courant</v>
      </c>
      <c r="T183" s="6">
        <f>IF($K183="","",IF($S183="",0,IF(ISNUMBER(SEARCH("apport-exterieur",IFERROR(INDEX('Paramètres'!$N:$N,MATCH($D183,'Paramètres'!$M:$M,0))&amp;"",""))),0,IF(OR(IFERROR(INDEX('Paramètres'!$I:$I,MATCH($C183,'Paramètres'!$D:$D,0))&amp;"","")="Les deux",IFERROR(INDEX('Paramètres'!$I:$I,MATCH($C183,'Paramètres'!$D:$D,0))&amp;"","")=IF($P183=1,"Débit",$L183)),-IF($P183=1,-$K183,$K183),0))))</f>
        <v>0</v>
      </c>
      <c r="U183" s="6">
        <f>IF($K183="","",IF(ISNUMBER(SEARCH("sortie-epargne",IFERROR(INDEX('Paramètres'!$N:$N,MATCH($D183,'Paramètres'!$M:$M,0))&amp;"",""))),$K183,0))</f>
        <v>0</v>
      </c>
      <c r="V183" s="6" t="str">
        <f>IF(AND($A183&lt;&gt;"",$O183=1,$L183="Débit",N($Q183)&gt;0,$A183&gt;=Visualisation!$B$1,$A183&lt;Visualisation!$D$1),MAX($V$1:V182)+1,"")</f>
        <v/>
      </c>
    </row>
    <row r="184" spans="1:22" x14ac:dyDescent="0.25">
      <c r="A184" s="9">
        <v>45649</v>
      </c>
      <c r="B184" s="4" t="s">
        <v>121</v>
      </c>
      <c r="C184" s="4" t="s">
        <v>60</v>
      </c>
      <c r="D184" s="4" t="s">
        <v>121</v>
      </c>
      <c r="E184" s="10">
        <v>163.4</v>
      </c>
      <c r="G184" s="4" t="s">
        <v>109</v>
      </c>
      <c r="H184" s="4" t="s">
        <v>140</v>
      </c>
      <c r="I184" s="4" t="s">
        <v>79</v>
      </c>
      <c r="K184" s="11">
        <f>IF($E184="","",ROUND($E184*IF(ISNA(MATCH($C184,'Paramètres'!$D:$D,0)),1,IF(INDEX('Paramètres'!$J:$J,MATCH($C184,'Paramètres'!$D:$D,0))="",1,INDEX('Paramètres'!$J:$J,MATCH($C184,'Paramètres'!$D:$D,0)))),2))</f>
        <v>81.7</v>
      </c>
      <c r="L184" s="6" t="str">
        <f>IF($D184="","",IF($F184&lt;&gt;"",$F184,IF(ISNA(MATCH($D184,'Paramètres'!$M:$M,0)),"⚠ Type inconnu",IFERROR(INDEX('Paramètres'!$P:$P,MATCH($D184,'Paramètres'!$M:$M,0))&amp;"",""))))</f>
        <v>Débit</v>
      </c>
      <c r="M184" s="6" t="str">
        <f>IF($D184="","",IF(ISNA(MATCH($D184,'Paramètres'!$M:$M,0)),"⚠ Type inconnu",IF($L184="Crédit","",IFERROR(INDEX('Paramètres'!$O:$O,MATCH($D184,'Paramètres'!$M:$M,0))&amp;"",""))))</f>
        <v>Dépense Occasionnelle</v>
      </c>
      <c r="N184" s="6" t="str">
        <f>IF($D184="","",IFERROR(INDEX('Paramètres'!$Q:$Q,MATCH($D184,'Paramètres'!$M:$M,0))&amp;"",""))</f>
        <v>Autre</v>
      </c>
      <c r="O184" s="6">
        <f>IF($A184="","",IF(OR($J184&lt;&gt;"x",$A184&lt;=FinReleve),1,0))</f>
        <v>1</v>
      </c>
      <c r="P184" s="6">
        <f>IF($D184="","",IF(AND($L184="Crédit",OR(IFERROR(INDEX('Paramètres'!$O:$O,MATCH($D184,'Paramètres'!$M:$M,0))&amp;"","")&lt;&gt;"",ISNUMBER(SEARCH("remboursement",IFERROR(INDEX('Paramètres'!$N:$N,MATCH($D184,'Paramètres'!$M:$M,0))&amp;"",""))))),1,0))</f>
        <v>0</v>
      </c>
      <c r="Q184" s="6">
        <f>IF($K184="","",IF(ISNUMBER(SEARCH("transfert-interne",IFERROR(INDEX('Paramètres'!$N:$N,MATCH($D184,'Paramètres'!$M:$M,0))&amp;"",""))),0,IF($L184="Débit",$K184,IF($P184=1,-$K184,0))))</f>
        <v>81.7</v>
      </c>
      <c r="R184" s="6">
        <f>IF($K184="","",IF($L184="Crédit",$K184,-$K184))</f>
        <v>-81.7</v>
      </c>
      <c r="S184" s="6" t="str">
        <f>IF($C184="","",IFERROR(INDEX('Paramètres'!$H:$H,MATCH($C184,'Paramètres'!$D:$D,0))&amp;"",""))</f>
        <v>Banque A - Courant</v>
      </c>
      <c r="T184" s="6">
        <f>IF($K184="","",IF($S184="",0,IF(ISNUMBER(SEARCH("apport-exterieur",IFERROR(INDEX('Paramètres'!$N:$N,MATCH($D184,'Paramètres'!$M:$M,0))&amp;"",""))),0,IF(OR(IFERROR(INDEX('Paramètres'!$I:$I,MATCH($C184,'Paramètres'!$D:$D,0))&amp;"","")="Les deux",IFERROR(INDEX('Paramètres'!$I:$I,MATCH($C184,'Paramètres'!$D:$D,0))&amp;"","")=IF($P184=1,"Débit",$L184)),-IF($P184=1,-$K184,$K184),0))))</f>
        <v>-81.7</v>
      </c>
      <c r="U184" s="6">
        <f>IF($K184="","",IF(ISNUMBER(SEARCH("sortie-epargne",IFERROR(INDEX('Paramètres'!$N:$N,MATCH($D184,'Paramètres'!$M:$M,0))&amp;"",""))),$K184,0))</f>
        <v>0</v>
      </c>
      <c r="V184" s="6" t="str">
        <f>IF(AND($A184&lt;&gt;"",$O184=1,$L184="Débit",N($Q184)&gt;0,$A184&gt;=Visualisation!$B$1,$A184&lt;Visualisation!$D$1),MAX($V$1:V183)+1,"")</f>
        <v/>
      </c>
    </row>
    <row r="185" spans="1:22" x14ac:dyDescent="0.25">
      <c r="A185" s="9">
        <v>45651</v>
      </c>
      <c r="B185" s="4" t="s">
        <v>76</v>
      </c>
      <c r="C185" s="4" t="s">
        <v>67</v>
      </c>
      <c r="D185" s="4" t="s">
        <v>77</v>
      </c>
      <c r="E185" s="10">
        <v>142.84</v>
      </c>
      <c r="G185" s="4" t="s">
        <v>102</v>
      </c>
      <c r="H185" s="4" t="s">
        <v>140</v>
      </c>
      <c r="I185" s="4" t="s">
        <v>63</v>
      </c>
      <c r="K185" s="11">
        <f>IF($E185="","",ROUND($E185*IF(ISNA(MATCH($C185,'Paramètres'!$D:$D,0)),1,IF(INDEX('Paramètres'!$J:$J,MATCH($C185,'Paramètres'!$D:$D,0))="",1,INDEX('Paramètres'!$J:$J,MATCH($C185,'Paramètres'!$D:$D,0)))),2))</f>
        <v>71.42</v>
      </c>
      <c r="L185" s="6" t="str">
        <f>IF($D185="","",IF($F185&lt;&gt;"",$F185,IF(ISNA(MATCH($D185,'Paramètres'!$M:$M,0)),"⚠ Type inconnu",IFERROR(INDEX('Paramètres'!$P:$P,MATCH($D185,'Paramètres'!$M:$M,0))&amp;"",""))))</f>
        <v>Débit</v>
      </c>
      <c r="M185" s="6" t="str">
        <f>IF($D185="","",IF(ISNA(MATCH($D185,'Paramètres'!$M:$M,0)),"⚠ Type inconnu",IF($L185="Crédit","",IFERROR(INDEX('Paramètres'!$O:$O,MATCH($D185,'Paramètres'!$M:$M,0))&amp;"",""))))</f>
        <v>Dépense Courante</v>
      </c>
      <c r="N185" s="6" t="str">
        <f>IF($D185="","",IFERROR(INDEX('Paramètres'!$Q:$Q,MATCH($D185,'Paramètres'!$M:$M,0))&amp;"",""))</f>
        <v>Alimentation</v>
      </c>
      <c r="O185" s="6">
        <f>IF($A185="","",IF(OR($J185&lt;&gt;"x",$A185&lt;=FinReleve),1,0))</f>
        <v>1</v>
      </c>
      <c r="P185" s="6">
        <f>IF($D185="","",IF(AND($L185="Crédit",OR(IFERROR(INDEX('Paramètres'!$O:$O,MATCH($D185,'Paramètres'!$M:$M,0))&amp;"","")&lt;&gt;"",ISNUMBER(SEARCH("remboursement",IFERROR(INDEX('Paramètres'!$N:$N,MATCH($D185,'Paramètres'!$M:$M,0))&amp;"",""))))),1,0))</f>
        <v>0</v>
      </c>
      <c r="Q185" s="6">
        <f>IF($K185="","",IF(ISNUMBER(SEARCH("transfert-interne",IFERROR(INDEX('Paramètres'!$N:$N,MATCH($D185,'Paramètres'!$M:$M,0))&amp;"",""))),0,IF($L185="Débit",$K185,IF($P185=1,-$K185,0))))</f>
        <v>71.42</v>
      </c>
      <c r="R185" s="6">
        <f>IF($K185="","",IF($L185="Crédit",$K185,-$K185))</f>
        <v>-71.42</v>
      </c>
      <c r="S185" s="6" t="str">
        <f>IF($C185="","",IFERROR(INDEX('Paramètres'!$H:$H,MATCH($C185,'Paramètres'!$D:$D,0))&amp;"",""))</f>
        <v>Banque A - Courant</v>
      </c>
      <c r="T185" s="6">
        <f>IF($K185="","",IF($S185="",0,IF(ISNUMBER(SEARCH("apport-exterieur",IFERROR(INDEX('Paramètres'!$N:$N,MATCH($D185,'Paramètres'!$M:$M,0))&amp;"",""))),0,IF(OR(IFERROR(INDEX('Paramètres'!$I:$I,MATCH($C185,'Paramètres'!$D:$D,0))&amp;"","")="Les deux",IFERROR(INDEX('Paramètres'!$I:$I,MATCH($C185,'Paramètres'!$D:$D,0))&amp;"","")=IF($P185=1,"Débit",$L185)),-IF($P185=1,-$K185,$K185),0))))</f>
        <v>0</v>
      </c>
      <c r="U185" s="6">
        <f>IF($K185="","",IF(ISNUMBER(SEARCH("sortie-epargne",IFERROR(INDEX('Paramètres'!$N:$N,MATCH($D185,'Paramètres'!$M:$M,0))&amp;"",""))),$K185,0))</f>
        <v>0</v>
      </c>
      <c r="V185" s="6" t="str">
        <f>IF(AND($A185&lt;&gt;"",$O185=1,$L185="Débit",N($Q185)&gt;0,$A185&gt;=Visualisation!$B$1,$A185&lt;Visualisation!$D$1),MAX($V$1:V184)+1,"")</f>
        <v/>
      </c>
    </row>
    <row r="186" spans="1:22" x14ac:dyDescent="0.25">
      <c r="A186" s="9">
        <v>45651</v>
      </c>
      <c r="B186" s="4" t="s">
        <v>76</v>
      </c>
      <c r="C186" s="4" t="s">
        <v>107</v>
      </c>
      <c r="D186" s="4" t="s">
        <v>108</v>
      </c>
      <c r="E186" s="10">
        <v>68.28</v>
      </c>
      <c r="G186" s="4" t="s">
        <v>137</v>
      </c>
      <c r="H186" s="4" t="s">
        <v>140</v>
      </c>
      <c r="I186" s="4" t="s">
        <v>63</v>
      </c>
      <c r="K186" s="11">
        <f>IF($E186="","",ROUND($E186*IF(ISNA(MATCH($C186,'Paramètres'!$D:$D,0)),1,IF(INDEX('Paramètres'!$J:$J,MATCH($C186,'Paramètres'!$D:$D,0))="",1,INDEX('Paramètres'!$J:$J,MATCH($C186,'Paramètres'!$D:$D,0)))),2))</f>
        <v>68.28</v>
      </c>
      <c r="L186" s="6" t="str">
        <f>IF($D186="","",IF($F186&lt;&gt;"",$F186,IF(ISNA(MATCH($D186,'Paramètres'!$M:$M,0)),"⚠ Type inconnu",IFERROR(INDEX('Paramètres'!$P:$P,MATCH($D186,'Paramètres'!$M:$M,0))&amp;"",""))))</f>
        <v>Débit</v>
      </c>
      <c r="M186" s="6" t="str">
        <f>IF($D186="","",IF(ISNA(MATCH($D186,'Paramètres'!$M:$M,0)),"⚠ Type inconnu",IF($L186="Crédit","",IFERROR(INDEX('Paramètres'!$O:$O,MATCH($D186,'Paramètres'!$M:$M,0))&amp;"",""))))</f>
        <v>Dépense Occasionnelle</v>
      </c>
      <c r="N186" s="6" t="str">
        <f>IF($D186="","",IFERROR(INDEX('Paramètres'!$Q:$Q,MATCH($D186,'Paramètres'!$M:$M,0))&amp;"",""))</f>
        <v>Autre</v>
      </c>
      <c r="O186" s="6">
        <f>IF($A186="","",IF(OR($J186&lt;&gt;"x",$A186&lt;=FinReleve),1,0))</f>
        <v>1</v>
      </c>
      <c r="P186" s="6">
        <f>IF($D186="","",IF(AND($L186="Crédit",OR(IFERROR(INDEX('Paramètres'!$O:$O,MATCH($D186,'Paramètres'!$M:$M,0))&amp;"","")&lt;&gt;"",ISNUMBER(SEARCH("remboursement",IFERROR(INDEX('Paramètres'!$N:$N,MATCH($D186,'Paramètres'!$M:$M,0))&amp;"",""))))),1,0))</f>
        <v>0</v>
      </c>
      <c r="Q186" s="6">
        <f>IF($K186="","",IF(ISNUMBER(SEARCH("transfert-interne",IFERROR(INDEX('Paramètres'!$N:$N,MATCH($D186,'Paramètres'!$M:$M,0))&amp;"",""))),0,IF($L186="Débit",$K186,IF($P186=1,-$K186,0))))</f>
        <v>68.28</v>
      </c>
      <c r="R186" s="6">
        <f>IF($K186="","",IF($L186="Crédit",$K186,-$K186))</f>
        <v>-68.28</v>
      </c>
      <c r="S186" s="6" t="str">
        <f>IF($C186="","",IFERROR(INDEX('Paramètres'!$H:$H,MATCH($C186,'Paramètres'!$D:$D,0))&amp;"",""))</f>
        <v/>
      </c>
      <c r="T186" s="6">
        <f>IF($K186="","",IF($S186="",0,IF(ISNUMBER(SEARCH("apport-exterieur",IFERROR(INDEX('Paramètres'!$N:$N,MATCH($D186,'Paramètres'!$M:$M,0))&amp;"",""))),0,IF(OR(IFERROR(INDEX('Paramètres'!$I:$I,MATCH($C186,'Paramètres'!$D:$D,0))&amp;"","")="Les deux",IFERROR(INDEX('Paramètres'!$I:$I,MATCH($C186,'Paramètres'!$D:$D,0))&amp;"","")=IF($P186=1,"Débit",$L186)),-IF($P186=1,-$K186,$K186),0))))</f>
        <v>0</v>
      </c>
      <c r="U186" s="6">
        <f>IF($K186="","",IF(ISNUMBER(SEARCH("sortie-epargne",IFERROR(INDEX('Paramètres'!$N:$N,MATCH($D186,'Paramètres'!$M:$M,0))&amp;"",""))),$K186,0))</f>
        <v>0</v>
      </c>
      <c r="V186" s="6" t="str">
        <f>IF(AND($A186&lt;&gt;"",$O186=1,$L186="Débit",N($Q186)&gt;0,$A186&gt;=Visualisation!$B$1,$A186&lt;Visualisation!$D$1),MAX($V$1:V185)+1,"")</f>
        <v/>
      </c>
    </row>
    <row r="187" spans="1:22" x14ac:dyDescent="0.25">
      <c r="A187" s="9">
        <v>45652</v>
      </c>
      <c r="B187" s="4" t="s">
        <v>69</v>
      </c>
      <c r="C187" s="4" t="s">
        <v>70</v>
      </c>
      <c r="D187" s="4" t="s">
        <v>71</v>
      </c>
      <c r="E187" s="10">
        <v>12.27</v>
      </c>
      <c r="G187" s="4" t="s">
        <v>72</v>
      </c>
      <c r="H187" s="4"/>
      <c r="I187" s="4" t="s">
        <v>73</v>
      </c>
      <c r="K187" s="11">
        <f>IF($E187="","",ROUND($E187*IF(ISNA(MATCH($C187,'Paramètres'!$D:$D,0)),1,IF(INDEX('Paramètres'!$J:$J,MATCH($C187,'Paramètres'!$D:$D,0))="",1,INDEX('Paramètres'!$J:$J,MATCH($C187,'Paramètres'!$D:$D,0)))),2))</f>
        <v>12.27</v>
      </c>
      <c r="L187" s="6" t="str">
        <f>IF($D187="","",IF($F187&lt;&gt;"",$F187,IF(ISNA(MATCH($D187,'Paramètres'!$M:$M,0)),"⚠ Type inconnu",IFERROR(INDEX('Paramètres'!$P:$P,MATCH($D187,'Paramètres'!$M:$M,0))&amp;"",""))))</f>
        <v>Débit</v>
      </c>
      <c r="M187" s="6" t="str">
        <f>IF($D187="","",IF(ISNA(MATCH($D187,'Paramètres'!$M:$M,0)),"⚠ Type inconnu",IF($L187="Crédit","",IFERROR(INDEX('Paramètres'!$O:$O,MATCH($D187,'Paramètres'!$M:$M,0))&amp;"",""))))</f>
        <v>Dépense Courante</v>
      </c>
      <c r="N187" s="6" t="str">
        <f>IF($D187="","",IFERROR(INDEX('Paramètres'!$Q:$Q,MATCH($D187,'Paramètres'!$M:$M,0))&amp;"",""))</f>
        <v>Alimentation</v>
      </c>
      <c r="O187" s="6">
        <f>IF($A187="","",IF(OR($J187&lt;&gt;"x",$A187&lt;=FinReleve),1,0))</f>
        <v>1</v>
      </c>
      <c r="P187" s="6">
        <f>IF($D187="","",IF(AND($L187="Crédit",OR(IFERROR(INDEX('Paramètres'!$O:$O,MATCH($D187,'Paramètres'!$M:$M,0))&amp;"","")&lt;&gt;"",ISNUMBER(SEARCH("remboursement",IFERROR(INDEX('Paramètres'!$N:$N,MATCH($D187,'Paramètres'!$M:$M,0))&amp;"",""))))),1,0))</f>
        <v>0</v>
      </c>
      <c r="Q187" s="6">
        <f>IF($K187="","",IF(ISNUMBER(SEARCH("transfert-interne",IFERROR(INDEX('Paramètres'!$N:$N,MATCH($D187,'Paramètres'!$M:$M,0))&amp;"",""))),0,IF($L187="Débit",$K187,IF($P187=1,-$K187,0))))</f>
        <v>12.27</v>
      </c>
      <c r="R187" s="6">
        <f>IF($K187="","",IF($L187="Crédit",$K187,-$K187))</f>
        <v>-12.27</v>
      </c>
      <c r="S187" s="6" t="str">
        <f>IF($C187="","",IFERROR(INDEX('Paramètres'!$H:$H,MATCH($C187,'Paramètres'!$D:$D,0))&amp;"",""))</f>
        <v/>
      </c>
      <c r="T187" s="6">
        <f>IF($K187="","",IF($S187="",0,IF(ISNUMBER(SEARCH("apport-exterieur",IFERROR(INDEX('Paramètres'!$N:$N,MATCH($D187,'Paramètres'!$M:$M,0))&amp;"",""))),0,IF(OR(IFERROR(INDEX('Paramètres'!$I:$I,MATCH($C187,'Paramètres'!$D:$D,0))&amp;"","")="Les deux",IFERROR(INDEX('Paramètres'!$I:$I,MATCH($C187,'Paramètres'!$D:$D,0))&amp;"","")=IF($P187=1,"Débit",$L187)),-IF($P187=1,-$K187,$K187),0))))</f>
        <v>0</v>
      </c>
      <c r="U187" s="6">
        <f>IF($K187="","",IF(ISNUMBER(SEARCH("sortie-epargne",IFERROR(INDEX('Paramètres'!$N:$N,MATCH($D187,'Paramètres'!$M:$M,0))&amp;"",""))),$K187,0))</f>
        <v>0</v>
      </c>
      <c r="V187" s="6" t="str">
        <f>IF(AND($A187&lt;&gt;"",$O187=1,$L187="Débit",N($Q187)&gt;0,$A187&gt;=Visualisation!$B$1,$A187&lt;Visualisation!$D$1),MAX($V$1:V186)+1,"")</f>
        <v/>
      </c>
    </row>
    <row r="188" spans="1:22" x14ac:dyDescent="0.25">
      <c r="A188" s="9">
        <v>45652</v>
      </c>
      <c r="B188" s="4" t="s">
        <v>105</v>
      </c>
      <c r="C188" s="4" t="s">
        <v>75</v>
      </c>
      <c r="D188" s="4" t="s">
        <v>110</v>
      </c>
      <c r="E188" s="10">
        <v>150</v>
      </c>
      <c r="G188" s="4"/>
      <c r="H188" s="4"/>
      <c r="I188" s="4"/>
      <c r="K188" s="11">
        <f>IF($E188="","",ROUND($E188*IF(ISNA(MATCH($C188,'Paramètres'!$D:$D,0)),1,IF(INDEX('Paramètres'!$J:$J,MATCH($C188,'Paramètres'!$D:$D,0))="",1,INDEX('Paramètres'!$J:$J,MATCH($C188,'Paramètres'!$D:$D,0)))),2))</f>
        <v>150</v>
      </c>
      <c r="L188" s="6" t="str">
        <f>IF($D188="","",IF($F188&lt;&gt;"",$F188,IF(ISNA(MATCH($D188,'Paramètres'!$M:$M,0)),"⚠ Type inconnu",IFERROR(INDEX('Paramètres'!$P:$P,MATCH($D188,'Paramètres'!$M:$M,0))&amp;"",""))))</f>
        <v>Débit</v>
      </c>
      <c r="M188" s="6" t="str">
        <f>IF($D188="","",IF(ISNA(MATCH($D188,'Paramètres'!$M:$M,0)),"⚠ Type inconnu",IF($L188="Crédit","",IFERROR(INDEX('Paramètres'!$O:$O,MATCH($D188,'Paramètres'!$M:$M,0))&amp;"",""))))</f>
        <v/>
      </c>
      <c r="N188" s="6" t="str">
        <f>IF($D188="","",IFERROR(INDEX('Paramètres'!$Q:$Q,MATCH($D188,'Paramètres'!$M:$M,0))&amp;"",""))</f>
        <v>Comptes Bancaires</v>
      </c>
      <c r="O188" s="6">
        <f>IF($A188="","",IF(OR($J188&lt;&gt;"x",$A188&lt;=FinReleve),1,0))</f>
        <v>1</v>
      </c>
      <c r="P188" s="6">
        <f>IF($D188="","",IF(AND($L188="Crédit",OR(IFERROR(INDEX('Paramètres'!$O:$O,MATCH($D188,'Paramètres'!$M:$M,0))&amp;"","")&lt;&gt;"",ISNUMBER(SEARCH("remboursement",IFERROR(INDEX('Paramètres'!$N:$N,MATCH($D188,'Paramètres'!$M:$M,0))&amp;"",""))))),1,0))</f>
        <v>0</v>
      </c>
      <c r="Q188" s="6">
        <f>IF($K188="","",IF(ISNUMBER(SEARCH("transfert-interne",IFERROR(INDEX('Paramètres'!$N:$N,MATCH($D188,'Paramètres'!$M:$M,0))&amp;"",""))),0,IF($L188="Débit",$K188,IF($P188=1,-$K188,0))))</f>
        <v>0</v>
      </c>
      <c r="R188" s="6">
        <f>IF($K188="","",IF($L188="Crédit",$K188,-$K188))</f>
        <v>-150</v>
      </c>
      <c r="S188" s="6" t="str">
        <f>IF($C188="","",IFERROR(INDEX('Paramètres'!$H:$H,MATCH($C188,'Paramètres'!$D:$D,0))&amp;"",""))</f>
        <v/>
      </c>
      <c r="T188" s="6">
        <f>IF($K188="","",IF($S188="",0,IF(ISNUMBER(SEARCH("apport-exterieur",IFERROR(INDEX('Paramètres'!$N:$N,MATCH($D188,'Paramètres'!$M:$M,0))&amp;"",""))),0,IF(OR(IFERROR(INDEX('Paramètres'!$I:$I,MATCH($C188,'Paramètres'!$D:$D,0))&amp;"","")="Les deux",IFERROR(INDEX('Paramètres'!$I:$I,MATCH($C188,'Paramètres'!$D:$D,0))&amp;"","")=IF($P188=1,"Débit",$L188)),-IF($P188=1,-$K188,$K188),0))))</f>
        <v>0</v>
      </c>
      <c r="U188" s="6">
        <f>IF($K188="","",IF(ISNUMBER(SEARCH("sortie-epargne",IFERROR(INDEX('Paramètres'!$N:$N,MATCH($D188,'Paramètres'!$M:$M,0))&amp;"",""))),$K188,0))</f>
        <v>0</v>
      </c>
      <c r="V188" s="6" t="str">
        <f>IF(AND($A188&lt;&gt;"",$O188=1,$L188="Débit",N($Q188)&gt;0,$A188&gt;=Visualisation!$B$1,$A188&lt;Visualisation!$D$1),MAX($V$1:V187)+1,"")</f>
        <v/>
      </c>
    </row>
    <row r="189" spans="1:22" x14ac:dyDescent="0.25">
      <c r="A189" s="9">
        <v>45652</v>
      </c>
      <c r="B189" s="4" t="s">
        <v>105</v>
      </c>
      <c r="C189" s="4" t="s">
        <v>75</v>
      </c>
      <c r="D189" s="4" t="s">
        <v>111</v>
      </c>
      <c r="E189" s="10">
        <v>200</v>
      </c>
      <c r="G189" s="4"/>
      <c r="H189" s="4"/>
      <c r="I189" s="4"/>
      <c r="K189" s="11">
        <f>IF($E189="","",ROUND($E189*IF(ISNA(MATCH($C189,'Paramètres'!$D:$D,0)),1,IF(INDEX('Paramètres'!$J:$J,MATCH($C189,'Paramètres'!$D:$D,0))="",1,INDEX('Paramètres'!$J:$J,MATCH($C189,'Paramètres'!$D:$D,0)))),2))</f>
        <v>200</v>
      </c>
      <c r="L189" s="6" t="str">
        <f>IF($D189="","",IF($F189&lt;&gt;"",$F189,IF(ISNA(MATCH($D189,'Paramètres'!$M:$M,0)),"⚠ Type inconnu",IFERROR(INDEX('Paramètres'!$P:$P,MATCH($D189,'Paramètres'!$M:$M,0))&amp;"",""))))</f>
        <v>Débit</v>
      </c>
      <c r="M189" s="6" t="str">
        <f>IF($D189="","",IF(ISNA(MATCH($D189,'Paramètres'!$M:$M,0)),"⚠ Type inconnu",IF($L189="Crédit","",IFERROR(INDEX('Paramètres'!$O:$O,MATCH($D189,'Paramètres'!$M:$M,0))&amp;"",""))))</f>
        <v/>
      </c>
      <c r="N189" s="6" t="str">
        <f>IF($D189="","",IFERROR(INDEX('Paramètres'!$Q:$Q,MATCH($D189,'Paramètres'!$M:$M,0))&amp;"",""))</f>
        <v>Comptes Bancaires</v>
      </c>
      <c r="O189" s="6">
        <f>IF($A189="","",IF(OR($J189&lt;&gt;"x",$A189&lt;=FinReleve),1,0))</f>
        <v>1</v>
      </c>
      <c r="P189" s="6">
        <f>IF($D189="","",IF(AND($L189="Crédit",OR(IFERROR(INDEX('Paramètres'!$O:$O,MATCH($D189,'Paramètres'!$M:$M,0))&amp;"","")&lt;&gt;"",ISNUMBER(SEARCH("remboursement",IFERROR(INDEX('Paramètres'!$N:$N,MATCH($D189,'Paramètres'!$M:$M,0))&amp;"",""))))),1,0))</f>
        <v>0</v>
      </c>
      <c r="Q189" s="6">
        <f>IF($K189="","",IF(ISNUMBER(SEARCH("transfert-interne",IFERROR(INDEX('Paramètres'!$N:$N,MATCH($D189,'Paramètres'!$M:$M,0))&amp;"",""))),0,IF($L189="Débit",$K189,IF($P189=1,-$K189,0))))</f>
        <v>200</v>
      </c>
      <c r="R189" s="6">
        <f>IF($K189="","",IF($L189="Crédit",$K189,-$K189))</f>
        <v>-200</v>
      </c>
      <c r="S189" s="6" t="str">
        <f>IF($C189="","",IFERROR(INDEX('Paramètres'!$H:$H,MATCH($C189,'Paramètres'!$D:$D,0))&amp;"",""))</f>
        <v/>
      </c>
      <c r="T189" s="6">
        <f>IF($K189="","",IF($S189="",0,IF(ISNUMBER(SEARCH("apport-exterieur",IFERROR(INDEX('Paramètres'!$N:$N,MATCH($D189,'Paramètres'!$M:$M,0))&amp;"",""))),0,IF(OR(IFERROR(INDEX('Paramètres'!$I:$I,MATCH($C189,'Paramètres'!$D:$D,0))&amp;"","")="Les deux",IFERROR(INDEX('Paramètres'!$I:$I,MATCH($C189,'Paramètres'!$D:$D,0))&amp;"","")=IF($P189=1,"Débit",$L189)),-IF($P189=1,-$K189,$K189),0))))</f>
        <v>0</v>
      </c>
      <c r="U189" s="6">
        <f>IF($K189="","",IF(ISNUMBER(SEARCH("sortie-epargne",IFERROR(INDEX('Paramètres'!$N:$N,MATCH($D189,'Paramètres'!$M:$M,0))&amp;"",""))),$K189,0))</f>
        <v>0</v>
      </c>
      <c r="V189" s="6" t="str">
        <f>IF(AND($A189&lt;&gt;"",$O189=1,$L189="Débit",N($Q189)&gt;0,$A189&gt;=Visualisation!$B$1,$A189&lt;Visualisation!$D$1),MAX($V$1:V188)+1,"")</f>
        <v/>
      </c>
    </row>
    <row r="190" spans="1:22" x14ac:dyDescent="0.25">
      <c r="A190" s="9">
        <v>45652</v>
      </c>
      <c r="B190" s="4" t="s">
        <v>112</v>
      </c>
      <c r="C190" s="4" t="s">
        <v>75</v>
      </c>
      <c r="D190" s="4" t="s">
        <v>113</v>
      </c>
      <c r="E190" s="10">
        <v>120</v>
      </c>
      <c r="G190" s="4"/>
      <c r="H190" s="4"/>
      <c r="I190" s="4"/>
      <c r="K190" s="11">
        <f>IF($E190="","",ROUND($E190*IF(ISNA(MATCH($C190,'Paramètres'!$D:$D,0)),1,IF(INDEX('Paramètres'!$J:$J,MATCH($C190,'Paramètres'!$D:$D,0))="",1,INDEX('Paramètres'!$J:$J,MATCH($C190,'Paramètres'!$D:$D,0)))),2))</f>
        <v>120</v>
      </c>
      <c r="L190" s="6" t="str">
        <f>IF($D190="","",IF($F190&lt;&gt;"",$F190,IF(ISNA(MATCH($D190,'Paramètres'!$M:$M,0)),"⚠ Type inconnu",IFERROR(INDEX('Paramètres'!$P:$P,MATCH($D190,'Paramètres'!$M:$M,0))&amp;"",""))))</f>
        <v>Débit</v>
      </c>
      <c r="M190" s="6" t="str">
        <f>IF($D190="","",IF(ISNA(MATCH($D190,'Paramètres'!$M:$M,0)),"⚠ Type inconnu",IF($L190="Crédit","",IFERROR(INDEX('Paramètres'!$O:$O,MATCH($D190,'Paramètres'!$M:$M,0))&amp;"",""))))</f>
        <v/>
      </c>
      <c r="N190" s="6" t="str">
        <f>IF($D190="","",IFERROR(INDEX('Paramètres'!$Q:$Q,MATCH($D190,'Paramètres'!$M:$M,0))&amp;"",""))</f>
        <v>Comptes Bancaires</v>
      </c>
      <c r="O190" s="6">
        <f>IF($A190="","",IF(OR($J190&lt;&gt;"x",$A190&lt;=FinReleve),1,0))</f>
        <v>1</v>
      </c>
      <c r="P190" s="6">
        <f>IF($D190="","",IF(AND($L190="Crédit",OR(IFERROR(INDEX('Paramètres'!$O:$O,MATCH($D190,'Paramètres'!$M:$M,0))&amp;"","")&lt;&gt;"",ISNUMBER(SEARCH("remboursement",IFERROR(INDEX('Paramètres'!$N:$N,MATCH($D190,'Paramètres'!$M:$M,0))&amp;"",""))))),1,0))</f>
        <v>0</v>
      </c>
      <c r="Q190" s="6">
        <f>IF($K190="","",IF(ISNUMBER(SEARCH("transfert-interne",IFERROR(INDEX('Paramètres'!$N:$N,MATCH($D190,'Paramètres'!$M:$M,0))&amp;"",""))),0,IF($L190="Débit",$K190,IF($P190=1,-$K190,0))))</f>
        <v>120</v>
      </c>
      <c r="R190" s="6">
        <f>IF($K190="","",IF($L190="Crédit",$K190,-$K190))</f>
        <v>-120</v>
      </c>
      <c r="S190" s="6" t="str">
        <f>IF($C190="","",IFERROR(INDEX('Paramètres'!$H:$H,MATCH($C190,'Paramètres'!$D:$D,0))&amp;"",""))</f>
        <v/>
      </c>
      <c r="T190" s="6">
        <f>IF($K190="","",IF($S190="",0,IF(ISNUMBER(SEARCH("apport-exterieur",IFERROR(INDEX('Paramètres'!$N:$N,MATCH($D190,'Paramètres'!$M:$M,0))&amp;"",""))),0,IF(OR(IFERROR(INDEX('Paramètres'!$I:$I,MATCH($C190,'Paramètres'!$D:$D,0))&amp;"","")="Les deux",IFERROR(INDEX('Paramètres'!$I:$I,MATCH($C190,'Paramètres'!$D:$D,0))&amp;"","")=IF($P190=1,"Débit",$L190)),-IF($P190=1,-$K190,$K190),0))))</f>
        <v>0</v>
      </c>
      <c r="U190" s="6">
        <f>IF($K190="","",IF(ISNUMBER(SEARCH("sortie-epargne",IFERROR(INDEX('Paramètres'!$N:$N,MATCH($D190,'Paramètres'!$M:$M,0))&amp;"",""))),$K190,0))</f>
        <v>0</v>
      </c>
      <c r="V190" s="6" t="str">
        <f>IF(AND($A190&lt;&gt;"",$O190=1,$L190="Débit",N($Q190)&gt;0,$A190&gt;=Visualisation!$B$1,$A190&lt;Visualisation!$D$1),MAX($V$1:V189)+1,"")</f>
        <v/>
      </c>
    </row>
    <row r="191" spans="1:22" x14ac:dyDescent="0.25">
      <c r="A191" s="9">
        <v>45652</v>
      </c>
      <c r="B191" s="4" t="s">
        <v>76</v>
      </c>
      <c r="C191" s="4" t="s">
        <v>107</v>
      </c>
      <c r="D191" s="4" t="s">
        <v>108</v>
      </c>
      <c r="E191" s="10">
        <v>61.06</v>
      </c>
      <c r="G191" s="4" t="s">
        <v>127</v>
      </c>
      <c r="H191" s="4" t="s">
        <v>140</v>
      </c>
      <c r="I191" s="4" t="s">
        <v>93</v>
      </c>
      <c r="K191" s="11">
        <f>IF($E191="","",ROUND($E191*IF(ISNA(MATCH($C191,'Paramètres'!$D:$D,0)),1,IF(INDEX('Paramètres'!$J:$J,MATCH($C191,'Paramètres'!$D:$D,0))="",1,INDEX('Paramètres'!$J:$J,MATCH($C191,'Paramètres'!$D:$D,0)))),2))</f>
        <v>61.06</v>
      </c>
      <c r="L191" s="6" t="str">
        <f>IF($D191="","",IF($F191&lt;&gt;"",$F191,IF(ISNA(MATCH($D191,'Paramètres'!$M:$M,0)),"⚠ Type inconnu",IFERROR(INDEX('Paramètres'!$P:$P,MATCH($D191,'Paramètres'!$M:$M,0))&amp;"",""))))</f>
        <v>Débit</v>
      </c>
      <c r="M191" s="6" t="str">
        <f>IF($D191="","",IF(ISNA(MATCH($D191,'Paramètres'!$M:$M,0)),"⚠ Type inconnu",IF($L191="Crédit","",IFERROR(INDEX('Paramètres'!$O:$O,MATCH($D191,'Paramètres'!$M:$M,0))&amp;"",""))))</f>
        <v>Dépense Occasionnelle</v>
      </c>
      <c r="N191" s="6" t="str">
        <f>IF($D191="","",IFERROR(INDEX('Paramètres'!$Q:$Q,MATCH($D191,'Paramètres'!$M:$M,0))&amp;"",""))</f>
        <v>Autre</v>
      </c>
      <c r="O191" s="6">
        <f>IF($A191="","",IF(OR($J191&lt;&gt;"x",$A191&lt;=FinReleve),1,0))</f>
        <v>1</v>
      </c>
      <c r="P191" s="6">
        <f>IF($D191="","",IF(AND($L191="Crédit",OR(IFERROR(INDEX('Paramètres'!$O:$O,MATCH($D191,'Paramètres'!$M:$M,0))&amp;"","")&lt;&gt;"",ISNUMBER(SEARCH("remboursement",IFERROR(INDEX('Paramètres'!$N:$N,MATCH($D191,'Paramètres'!$M:$M,0))&amp;"",""))))),1,0))</f>
        <v>0</v>
      </c>
      <c r="Q191" s="6">
        <f>IF($K191="","",IF(ISNUMBER(SEARCH("transfert-interne",IFERROR(INDEX('Paramètres'!$N:$N,MATCH($D191,'Paramètres'!$M:$M,0))&amp;"",""))),0,IF($L191="Débit",$K191,IF($P191=1,-$K191,0))))</f>
        <v>61.06</v>
      </c>
      <c r="R191" s="6">
        <f>IF($K191="","",IF($L191="Crédit",$K191,-$K191))</f>
        <v>-61.06</v>
      </c>
      <c r="S191" s="6" t="str">
        <f>IF($C191="","",IFERROR(INDEX('Paramètres'!$H:$H,MATCH($C191,'Paramètres'!$D:$D,0))&amp;"",""))</f>
        <v/>
      </c>
      <c r="T191" s="6">
        <f>IF($K191="","",IF($S191="",0,IF(ISNUMBER(SEARCH("apport-exterieur",IFERROR(INDEX('Paramètres'!$N:$N,MATCH($D191,'Paramètres'!$M:$M,0))&amp;"",""))),0,IF(OR(IFERROR(INDEX('Paramètres'!$I:$I,MATCH($C191,'Paramètres'!$D:$D,0))&amp;"","")="Les deux",IFERROR(INDEX('Paramètres'!$I:$I,MATCH($C191,'Paramètres'!$D:$D,0))&amp;"","")=IF($P191=1,"Débit",$L191)),-IF($P191=1,-$K191,$K191),0))))</f>
        <v>0</v>
      </c>
      <c r="U191" s="6">
        <f>IF($K191="","",IF(ISNUMBER(SEARCH("sortie-epargne",IFERROR(INDEX('Paramètres'!$N:$N,MATCH($D191,'Paramètres'!$M:$M,0))&amp;"",""))),$K191,0))</f>
        <v>0</v>
      </c>
      <c r="V191" s="6" t="str">
        <f>IF(AND($A191&lt;&gt;"",$O191=1,$L191="Débit",N($Q191)&gt;0,$A191&gt;=Visualisation!$B$1,$A191&lt;Visualisation!$D$1),MAX($V$1:V190)+1,"")</f>
        <v/>
      </c>
    </row>
    <row r="192" spans="1:22" x14ac:dyDescent="0.25">
      <c r="A192" s="9">
        <v>45653</v>
      </c>
      <c r="B192" s="4" t="s">
        <v>114</v>
      </c>
      <c r="C192" s="4" t="s">
        <v>75</v>
      </c>
      <c r="D192" s="4" t="s">
        <v>115</v>
      </c>
      <c r="E192" s="10">
        <v>2950.41</v>
      </c>
      <c r="G192" s="4" t="s">
        <v>115</v>
      </c>
      <c r="H192" s="4"/>
      <c r="I192" s="4"/>
      <c r="K192" s="11">
        <f>IF($E192="","",ROUND($E192*IF(ISNA(MATCH($C192,'Paramètres'!$D:$D,0)),1,IF(INDEX('Paramètres'!$J:$J,MATCH($C192,'Paramètres'!$D:$D,0))="",1,INDEX('Paramètres'!$J:$J,MATCH($C192,'Paramètres'!$D:$D,0)))),2))</f>
        <v>2950.41</v>
      </c>
      <c r="L192" s="6" t="str">
        <f>IF($D192="","",IF($F192&lt;&gt;"",$F192,IF(ISNA(MATCH($D192,'Paramètres'!$M:$M,0)),"⚠ Type inconnu",IFERROR(INDEX('Paramètres'!$P:$P,MATCH($D192,'Paramètres'!$M:$M,0))&amp;"",""))))</f>
        <v>Crédit</v>
      </c>
      <c r="M192" s="6" t="str">
        <f>IF($D192="","",IF(ISNA(MATCH($D192,'Paramètres'!$M:$M,0)),"⚠ Type inconnu",IF($L192="Crédit","",IFERROR(INDEX('Paramètres'!$O:$O,MATCH($D192,'Paramètres'!$M:$M,0))&amp;"",""))))</f>
        <v/>
      </c>
      <c r="N192" s="6" t="str">
        <f>IF($D192="","",IFERROR(INDEX('Paramètres'!$Q:$Q,MATCH($D192,'Paramètres'!$M:$M,0))&amp;"",""))</f>
        <v/>
      </c>
      <c r="O192" s="6">
        <f>IF($A192="","",IF(OR($J192&lt;&gt;"x",$A192&lt;=FinReleve),1,0))</f>
        <v>1</v>
      </c>
      <c r="P192" s="6">
        <f>IF($D192="","",IF(AND($L192="Crédit",OR(IFERROR(INDEX('Paramètres'!$O:$O,MATCH($D192,'Paramètres'!$M:$M,0))&amp;"","")&lt;&gt;"",ISNUMBER(SEARCH("remboursement",IFERROR(INDEX('Paramètres'!$N:$N,MATCH($D192,'Paramètres'!$M:$M,0))&amp;"",""))))),1,0))</f>
        <v>0</v>
      </c>
      <c r="Q192" s="6">
        <f>IF($K192="","",IF(ISNUMBER(SEARCH("transfert-interne",IFERROR(INDEX('Paramètres'!$N:$N,MATCH($D192,'Paramètres'!$M:$M,0))&amp;"",""))),0,IF($L192="Débit",$K192,IF($P192=1,-$K192,0))))</f>
        <v>0</v>
      </c>
      <c r="R192" s="6">
        <f>IF($K192="","",IF($L192="Crédit",$K192,-$K192))</f>
        <v>2950.41</v>
      </c>
      <c r="S192" s="6" t="str">
        <f>IF($C192="","",IFERROR(INDEX('Paramètres'!$H:$H,MATCH($C192,'Paramètres'!$D:$D,0))&amp;"",""))</f>
        <v/>
      </c>
      <c r="T192" s="6">
        <f>IF($K192="","",IF($S192="",0,IF(ISNUMBER(SEARCH("apport-exterieur",IFERROR(INDEX('Paramètres'!$N:$N,MATCH($D192,'Paramètres'!$M:$M,0))&amp;"",""))),0,IF(OR(IFERROR(INDEX('Paramètres'!$I:$I,MATCH($C192,'Paramètres'!$D:$D,0))&amp;"","")="Les deux",IFERROR(INDEX('Paramètres'!$I:$I,MATCH($C192,'Paramètres'!$D:$D,0))&amp;"","")=IF($P192=1,"Débit",$L192)),-IF($P192=1,-$K192,$K192),0))))</f>
        <v>0</v>
      </c>
      <c r="U192" s="6">
        <f>IF($K192="","",IF(ISNUMBER(SEARCH("sortie-epargne",IFERROR(INDEX('Paramètres'!$N:$N,MATCH($D192,'Paramètres'!$M:$M,0))&amp;"",""))),$K192,0))</f>
        <v>0</v>
      </c>
      <c r="V192" s="6" t="str">
        <f>IF(AND($A192&lt;&gt;"",$O192=1,$L192="Débit",N($Q192)&gt;0,$A192&gt;=Visualisation!$B$1,$A192&lt;Visualisation!$D$1),MAX($V$1:V191)+1,"")</f>
        <v/>
      </c>
    </row>
    <row r="193" spans="1:22" x14ac:dyDescent="0.25">
      <c r="A193" s="9">
        <v>45653</v>
      </c>
      <c r="B193" s="4" t="s">
        <v>76</v>
      </c>
      <c r="C193" s="4" t="s">
        <v>60</v>
      </c>
      <c r="D193" s="4" t="s">
        <v>77</v>
      </c>
      <c r="E193" s="10">
        <v>94.34</v>
      </c>
      <c r="G193" s="4" t="s">
        <v>95</v>
      </c>
      <c r="H193" s="4" t="s">
        <v>140</v>
      </c>
      <c r="I193" s="4" t="s">
        <v>73</v>
      </c>
      <c r="K193" s="11">
        <f>IF($E193="","",ROUND($E193*IF(ISNA(MATCH($C193,'Paramètres'!$D:$D,0)),1,IF(INDEX('Paramètres'!$J:$J,MATCH($C193,'Paramètres'!$D:$D,0))="",1,INDEX('Paramètres'!$J:$J,MATCH($C193,'Paramètres'!$D:$D,0)))),2))</f>
        <v>47.17</v>
      </c>
      <c r="L193" s="6" t="str">
        <f>IF($D193="","",IF($F193&lt;&gt;"",$F193,IF(ISNA(MATCH($D193,'Paramètres'!$M:$M,0)),"⚠ Type inconnu",IFERROR(INDEX('Paramètres'!$P:$P,MATCH($D193,'Paramètres'!$M:$M,0))&amp;"",""))))</f>
        <v>Débit</v>
      </c>
      <c r="M193" s="6" t="str">
        <f>IF($D193="","",IF(ISNA(MATCH($D193,'Paramètres'!$M:$M,0)),"⚠ Type inconnu",IF($L193="Crédit","",IFERROR(INDEX('Paramètres'!$O:$O,MATCH($D193,'Paramètres'!$M:$M,0))&amp;"",""))))</f>
        <v>Dépense Courante</v>
      </c>
      <c r="N193" s="6" t="str">
        <f>IF($D193="","",IFERROR(INDEX('Paramètres'!$Q:$Q,MATCH($D193,'Paramètres'!$M:$M,0))&amp;"",""))</f>
        <v>Alimentation</v>
      </c>
      <c r="O193" s="6">
        <f>IF($A193="","",IF(OR($J193&lt;&gt;"x",$A193&lt;=FinReleve),1,0))</f>
        <v>1</v>
      </c>
      <c r="P193" s="6">
        <f>IF($D193="","",IF(AND($L193="Crédit",OR(IFERROR(INDEX('Paramètres'!$O:$O,MATCH($D193,'Paramètres'!$M:$M,0))&amp;"","")&lt;&gt;"",ISNUMBER(SEARCH("remboursement",IFERROR(INDEX('Paramètres'!$N:$N,MATCH($D193,'Paramètres'!$M:$M,0))&amp;"",""))))),1,0))</f>
        <v>0</v>
      </c>
      <c r="Q193" s="6">
        <f>IF($K193="","",IF(ISNUMBER(SEARCH("transfert-interne",IFERROR(INDEX('Paramètres'!$N:$N,MATCH($D193,'Paramètres'!$M:$M,0))&amp;"",""))),0,IF($L193="Débit",$K193,IF($P193=1,-$K193,0))))</f>
        <v>47.17</v>
      </c>
      <c r="R193" s="6">
        <f>IF($K193="","",IF($L193="Crédit",$K193,-$K193))</f>
        <v>-47.17</v>
      </c>
      <c r="S193" s="6" t="str">
        <f>IF($C193="","",IFERROR(INDEX('Paramètres'!$H:$H,MATCH($C193,'Paramètres'!$D:$D,0))&amp;"",""))</f>
        <v>Banque A - Courant</v>
      </c>
      <c r="T193" s="6">
        <f>IF($K193="","",IF($S193="",0,IF(ISNUMBER(SEARCH("apport-exterieur",IFERROR(INDEX('Paramètres'!$N:$N,MATCH($D193,'Paramètres'!$M:$M,0))&amp;"",""))),0,IF(OR(IFERROR(INDEX('Paramètres'!$I:$I,MATCH($C193,'Paramètres'!$D:$D,0))&amp;"","")="Les deux",IFERROR(INDEX('Paramètres'!$I:$I,MATCH($C193,'Paramètres'!$D:$D,0))&amp;"","")=IF($P193=1,"Débit",$L193)),-IF($P193=1,-$K193,$K193),0))))</f>
        <v>-47.17</v>
      </c>
      <c r="U193" s="6">
        <f>IF($K193="","",IF(ISNUMBER(SEARCH("sortie-epargne",IFERROR(INDEX('Paramètres'!$N:$N,MATCH($D193,'Paramètres'!$M:$M,0))&amp;"",""))),$K193,0))</f>
        <v>0</v>
      </c>
      <c r="V193" s="6" t="str">
        <f>IF(AND($A193&lt;&gt;"",$O193=1,$L193="Débit",N($Q193)&gt;0,$A193&gt;=Visualisation!$B$1,$A193&lt;Visualisation!$D$1),MAX($V$1:V192)+1,"")</f>
        <v/>
      </c>
    </row>
    <row r="194" spans="1:22" x14ac:dyDescent="0.25">
      <c r="A194" s="9">
        <v>45654</v>
      </c>
      <c r="B194" s="4" t="s">
        <v>118</v>
      </c>
      <c r="C194" s="4" t="s">
        <v>75</v>
      </c>
      <c r="D194" s="4" t="s">
        <v>118</v>
      </c>
      <c r="E194" s="10">
        <v>3</v>
      </c>
      <c r="G194" s="4"/>
      <c r="H194" s="4"/>
      <c r="I194" s="4"/>
      <c r="K194" s="11">
        <f>IF($E194="","",ROUND($E194*IF(ISNA(MATCH($C194,'Paramètres'!$D:$D,0)),1,IF(INDEX('Paramètres'!$J:$J,MATCH($C194,'Paramètres'!$D:$D,0))="",1,INDEX('Paramètres'!$J:$J,MATCH($C194,'Paramètres'!$D:$D,0)))),2))</f>
        <v>3</v>
      </c>
      <c r="L194" s="6" t="str">
        <f>IF($D194="","",IF($F194&lt;&gt;"",$F194,IF(ISNA(MATCH($D194,'Paramètres'!$M:$M,0)),"⚠ Type inconnu",IFERROR(INDEX('Paramètres'!$P:$P,MATCH($D194,'Paramètres'!$M:$M,0))&amp;"",""))))</f>
        <v>Débit</v>
      </c>
      <c r="M194" s="6" t="str">
        <f>IF($D194="","",IF(ISNA(MATCH($D194,'Paramètres'!$M:$M,0)),"⚠ Type inconnu",IF($L194="Crédit","",IFERROR(INDEX('Paramètres'!$O:$O,MATCH($D194,'Paramètres'!$M:$M,0))&amp;"",""))))</f>
        <v>Dépense Fixe</v>
      </c>
      <c r="N194" s="6" t="str">
        <f>IF($D194="","",IFERROR(INDEX('Paramètres'!$Q:$Q,MATCH($D194,'Paramètres'!$M:$M,0))&amp;"",""))</f>
        <v>Banque</v>
      </c>
      <c r="O194" s="6">
        <f>IF($A194="","",IF(OR($J194&lt;&gt;"x",$A194&lt;=FinReleve),1,0))</f>
        <v>1</v>
      </c>
      <c r="P194" s="6">
        <f>IF($D194="","",IF(AND($L194="Crédit",OR(IFERROR(INDEX('Paramètres'!$O:$O,MATCH($D194,'Paramètres'!$M:$M,0))&amp;"","")&lt;&gt;"",ISNUMBER(SEARCH("remboursement",IFERROR(INDEX('Paramètres'!$N:$N,MATCH($D194,'Paramètres'!$M:$M,0))&amp;"",""))))),1,0))</f>
        <v>0</v>
      </c>
      <c r="Q194" s="6">
        <f>IF($K194="","",IF(ISNUMBER(SEARCH("transfert-interne",IFERROR(INDEX('Paramètres'!$N:$N,MATCH($D194,'Paramètres'!$M:$M,0))&amp;"",""))),0,IF($L194="Débit",$K194,IF($P194=1,-$K194,0))))</f>
        <v>3</v>
      </c>
      <c r="R194" s="6">
        <f>IF($K194="","",IF($L194="Crédit",$K194,-$K194))</f>
        <v>-3</v>
      </c>
      <c r="S194" s="6" t="str">
        <f>IF($C194="","",IFERROR(INDEX('Paramètres'!$H:$H,MATCH($C194,'Paramètres'!$D:$D,0))&amp;"",""))</f>
        <v/>
      </c>
      <c r="T194" s="6">
        <f>IF($K194="","",IF($S194="",0,IF(ISNUMBER(SEARCH("apport-exterieur",IFERROR(INDEX('Paramètres'!$N:$N,MATCH($D194,'Paramètres'!$M:$M,0))&amp;"",""))),0,IF(OR(IFERROR(INDEX('Paramètres'!$I:$I,MATCH($C194,'Paramètres'!$D:$D,0))&amp;"","")="Les deux",IFERROR(INDEX('Paramètres'!$I:$I,MATCH($C194,'Paramètres'!$D:$D,0))&amp;"","")=IF($P194=1,"Débit",$L194)),-IF($P194=1,-$K194,$K194),0))))</f>
        <v>0</v>
      </c>
      <c r="U194" s="6">
        <f>IF($K194="","",IF(ISNUMBER(SEARCH("sortie-epargne",IFERROR(INDEX('Paramètres'!$N:$N,MATCH($D194,'Paramètres'!$M:$M,0))&amp;"",""))),$K194,0))</f>
        <v>0</v>
      </c>
      <c r="V194" s="6" t="str">
        <f>IF(AND($A194&lt;&gt;"",$O194=1,$L194="Débit",N($Q194)&gt;0,$A194&gt;=Visualisation!$B$1,$A194&lt;Visualisation!$D$1),MAX($V$1:V193)+1,"")</f>
        <v/>
      </c>
    </row>
    <row r="195" spans="1:22" x14ac:dyDescent="0.25">
      <c r="A195" s="9">
        <v>45654</v>
      </c>
      <c r="B195" s="4" t="s">
        <v>76</v>
      </c>
      <c r="C195" s="4" t="s">
        <v>60</v>
      </c>
      <c r="D195" s="4" t="s">
        <v>77</v>
      </c>
      <c r="E195" s="10">
        <v>139.98</v>
      </c>
      <c r="G195" s="4" t="s">
        <v>102</v>
      </c>
      <c r="H195" s="4" t="s">
        <v>140</v>
      </c>
      <c r="I195" s="4" t="s">
        <v>79</v>
      </c>
      <c r="K195" s="11">
        <f>IF($E195="","",ROUND($E195*IF(ISNA(MATCH($C195,'Paramètres'!$D:$D,0)),1,IF(INDEX('Paramètres'!$J:$J,MATCH($C195,'Paramètres'!$D:$D,0))="",1,INDEX('Paramètres'!$J:$J,MATCH($C195,'Paramètres'!$D:$D,0)))),2))</f>
        <v>69.99</v>
      </c>
      <c r="L195" s="6" t="str">
        <f>IF($D195="","",IF($F195&lt;&gt;"",$F195,IF(ISNA(MATCH($D195,'Paramètres'!$M:$M,0)),"⚠ Type inconnu",IFERROR(INDEX('Paramètres'!$P:$P,MATCH($D195,'Paramètres'!$M:$M,0))&amp;"",""))))</f>
        <v>Débit</v>
      </c>
      <c r="M195" s="6" t="str">
        <f>IF($D195="","",IF(ISNA(MATCH($D195,'Paramètres'!$M:$M,0)),"⚠ Type inconnu",IF($L195="Crédit","",IFERROR(INDEX('Paramètres'!$O:$O,MATCH($D195,'Paramètres'!$M:$M,0))&amp;"",""))))</f>
        <v>Dépense Courante</v>
      </c>
      <c r="N195" s="6" t="str">
        <f>IF($D195="","",IFERROR(INDEX('Paramètres'!$Q:$Q,MATCH($D195,'Paramètres'!$M:$M,0))&amp;"",""))</f>
        <v>Alimentation</v>
      </c>
      <c r="O195" s="6">
        <f>IF($A195="","",IF(OR($J195&lt;&gt;"x",$A195&lt;=FinReleve),1,0))</f>
        <v>1</v>
      </c>
      <c r="P195" s="6">
        <f>IF($D195="","",IF(AND($L195="Crédit",OR(IFERROR(INDEX('Paramètres'!$O:$O,MATCH($D195,'Paramètres'!$M:$M,0))&amp;"","")&lt;&gt;"",ISNUMBER(SEARCH("remboursement",IFERROR(INDEX('Paramètres'!$N:$N,MATCH($D195,'Paramètres'!$M:$M,0))&amp;"",""))))),1,0))</f>
        <v>0</v>
      </c>
      <c r="Q195" s="6">
        <f>IF($K195="","",IF(ISNUMBER(SEARCH("transfert-interne",IFERROR(INDEX('Paramètres'!$N:$N,MATCH($D195,'Paramètres'!$M:$M,0))&amp;"",""))),0,IF($L195="Débit",$K195,IF($P195=1,-$K195,0))))</f>
        <v>69.99</v>
      </c>
      <c r="R195" s="6">
        <f>IF($K195="","",IF($L195="Crédit",$K195,-$K195))</f>
        <v>-69.99</v>
      </c>
      <c r="S195" s="6" t="str">
        <f>IF($C195="","",IFERROR(INDEX('Paramètres'!$H:$H,MATCH($C195,'Paramètres'!$D:$D,0))&amp;"",""))</f>
        <v>Banque A - Courant</v>
      </c>
      <c r="T195" s="6">
        <f>IF($K195="","",IF($S195="",0,IF(ISNUMBER(SEARCH("apport-exterieur",IFERROR(INDEX('Paramètres'!$N:$N,MATCH($D195,'Paramètres'!$M:$M,0))&amp;"",""))),0,IF(OR(IFERROR(INDEX('Paramètres'!$I:$I,MATCH($C195,'Paramètres'!$D:$D,0))&amp;"","")="Les deux",IFERROR(INDEX('Paramètres'!$I:$I,MATCH($C195,'Paramètres'!$D:$D,0))&amp;"","")=IF($P195=1,"Débit",$L195)),-IF($P195=1,-$K195,$K195),0))))</f>
        <v>-69.99</v>
      </c>
      <c r="U195" s="6">
        <f>IF($K195="","",IF(ISNUMBER(SEARCH("sortie-epargne",IFERROR(INDEX('Paramètres'!$N:$N,MATCH($D195,'Paramètres'!$M:$M,0))&amp;"",""))),$K195,0))</f>
        <v>0</v>
      </c>
      <c r="V195" s="6" t="str">
        <f>IF(AND($A195&lt;&gt;"",$O195=1,$L195="Débit",N($Q195)&gt;0,$A195&gt;=Visualisation!$B$1,$A195&lt;Visualisation!$D$1),MAX($V$1:V194)+1,"")</f>
        <v/>
      </c>
    </row>
    <row r="196" spans="1:22" x14ac:dyDescent="0.25">
      <c r="A196" s="9">
        <v>45659</v>
      </c>
      <c r="B196" s="4" t="s">
        <v>64</v>
      </c>
      <c r="C196" s="4" t="s">
        <v>65</v>
      </c>
      <c r="D196" s="4" t="s">
        <v>66</v>
      </c>
      <c r="E196" s="10">
        <v>1160</v>
      </c>
      <c r="G196" s="4"/>
      <c r="H196" s="4"/>
      <c r="I196" s="4"/>
      <c r="K196" s="11">
        <f>IF($E196="","",ROUND($E196*IF(ISNA(MATCH($C196,'Paramètres'!$D:$D,0)),1,IF(INDEX('Paramètres'!$J:$J,MATCH($C196,'Paramètres'!$D:$D,0))="",1,INDEX('Paramètres'!$J:$J,MATCH($C196,'Paramètres'!$D:$D,0)))),2))</f>
        <v>1160</v>
      </c>
      <c r="L196" s="6" t="str">
        <f>IF($D196="","",IF($F196&lt;&gt;"",$F196,IF(ISNA(MATCH($D196,'Paramètres'!$M:$M,0)),"⚠ Type inconnu",IFERROR(INDEX('Paramètres'!$P:$P,MATCH($D196,'Paramètres'!$M:$M,0))&amp;"",""))))</f>
        <v>Crédit</v>
      </c>
      <c r="M196" s="6" t="str">
        <f>IF($D196="","",IF(ISNA(MATCH($D196,'Paramètres'!$M:$M,0)),"⚠ Type inconnu",IF($L196="Crédit","",IFERROR(INDEX('Paramètres'!$O:$O,MATCH($D196,'Paramètres'!$M:$M,0))&amp;"",""))))</f>
        <v/>
      </c>
      <c r="N196" s="6" t="str">
        <f>IF($D196="","",IFERROR(INDEX('Paramètres'!$Q:$Q,MATCH($D196,'Paramètres'!$M:$M,0))&amp;"",""))</f>
        <v>Comptes Bancaires</v>
      </c>
      <c r="O196" s="6">
        <f>IF($A196="","",IF(OR($J196&lt;&gt;"x",$A196&lt;=FinReleve),1,0))</f>
        <v>1</v>
      </c>
      <c r="P196" s="6">
        <f>IF($D196="","",IF(AND($L196="Crédit",OR(IFERROR(INDEX('Paramètres'!$O:$O,MATCH($D196,'Paramètres'!$M:$M,0))&amp;"","")&lt;&gt;"",ISNUMBER(SEARCH("remboursement",IFERROR(INDEX('Paramètres'!$N:$N,MATCH($D196,'Paramètres'!$M:$M,0))&amp;"",""))))),1,0))</f>
        <v>0</v>
      </c>
      <c r="Q196" s="6">
        <f>IF($K196="","",IF(ISNUMBER(SEARCH("transfert-interne",IFERROR(INDEX('Paramètres'!$N:$N,MATCH($D196,'Paramètres'!$M:$M,0))&amp;"",""))),0,IF($L196="Débit",$K196,IF($P196=1,-$K196,0))))</f>
        <v>0</v>
      </c>
      <c r="R196" s="6">
        <f>IF($K196="","",IF($L196="Crédit",$K196,-$K196))</f>
        <v>1160</v>
      </c>
      <c r="S196" s="6" t="str">
        <f>IF($C196="","",IFERROR(INDEX('Paramètres'!$H:$H,MATCH($C196,'Paramètres'!$D:$D,0))&amp;"",""))</f>
        <v>Banque A - Courant</v>
      </c>
      <c r="T196" s="6">
        <f>IF($K196="","",IF($S196="",0,IF(ISNUMBER(SEARCH("apport-exterieur",IFERROR(INDEX('Paramètres'!$N:$N,MATCH($D196,'Paramètres'!$M:$M,0))&amp;"",""))),0,IF(OR(IFERROR(INDEX('Paramètres'!$I:$I,MATCH($C196,'Paramètres'!$D:$D,0))&amp;"","")="Les deux",IFERROR(INDEX('Paramètres'!$I:$I,MATCH($C196,'Paramètres'!$D:$D,0))&amp;"","")=IF($P196=1,"Débit",$L196)),-IF($P196=1,-$K196,$K196),0))))</f>
        <v>-1160</v>
      </c>
      <c r="U196" s="6">
        <f>IF($K196="","",IF(ISNUMBER(SEARCH("sortie-epargne",IFERROR(INDEX('Paramètres'!$N:$N,MATCH($D196,'Paramètres'!$M:$M,0))&amp;"",""))),$K196,0))</f>
        <v>0</v>
      </c>
      <c r="V196" s="6" t="str">
        <f>IF(AND($A196&lt;&gt;"",$O196=1,$L196="Débit",N($Q196)&gt;0,$A196&gt;=Visualisation!$B$1,$A196&lt;Visualisation!$D$1),MAX($V$1:V195)+1,"")</f>
        <v/>
      </c>
    </row>
    <row r="197" spans="1:22" x14ac:dyDescent="0.25">
      <c r="A197" s="9">
        <v>45659</v>
      </c>
      <c r="B197" s="4" t="s">
        <v>64</v>
      </c>
      <c r="C197" s="4" t="s">
        <v>67</v>
      </c>
      <c r="D197" s="4" t="s">
        <v>68</v>
      </c>
      <c r="E197" s="10">
        <v>600</v>
      </c>
      <c r="G197" s="4"/>
      <c r="H197" s="4"/>
      <c r="I197" s="4"/>
      <c r="K197" s="11">
        <f>IF($E197="","",ROUND($E197*IF(ISNA(MATCH($C197,'Paramètres'!$D:$D,0)),1,IF(INDEX('Paramètres'!$J:$J,MATCH($C197,'Paramètres'!$D:$D,0))="",1,INDEX('Paramètres'!$J:$J,MATCH($C197,'Paramètres'!$D:$D,0)))),2))</f>
        <v>300</v>
      </c>
      <c r="L197" s="6" t="str">
        <f>IF($D197="","",IF($F197&lt;&gt;"",$F197,IF(ISNA(MATCH($D197,'Paramètres'!$M:$M,0)),"⚠ Type inconnu",IFERROR(INDEX('Paramètres'!$P:$P,MATCH($D197,'Paramètres'!$M:$M,0))&amp;"",""))))</f>
        <v>Crédit</v>
      </c>
      <c r="M197" s="6" t="str">
        <f>IF($D197="","",IF(ISNA(MATCH($D197,'Paramètres'!$M:$M,0)),"⚠ Type inconnu",IF($L197="Crédit","",IFERROR(INDEX('Paramètres'!$O:$O,MATCH($D197,'Paramètres'!$M:$M,0))&amp;"",""))))</f>
        <v/>
      </c>
      <c r="N197" s="6" t="str">
        <f>IF($D197="","",IFERROR(INDEX('Paramètres'!$Q:$Q,MATCH($D197,'Paramètres'!$M:$M,0))&amp;"",""))</f>
        <v>Comptes Bancaires</v>
      </c>
      <c r="O197" s="6">
        <f>IF($A197="","",IF(OR($J197&lt;&gt;"x",$A197&lt;=FinReleve),1,0))</f>
        <v>1</v>
      </c>
      <c r="P197" s="6">
        <f>IF($D197="","",IF(AND($L197="Crédit",OR(IFERROR(INDEX('Paramètres'!$O:$O,MATCH($D197,'Paramètres'!$M:$M,0))&amp;"","")&lt;&gt;"",ISNUMBER(SEARCH("remboursement",IFERROR(INDEX('Paramètres'!$N:$N,MATCH($D197,'Paramètres'!$M:$M,0))&amp;"",""))))),1,0))</f>
        <v>0</v>
      </c>
      <c r="Q197" s="6">
        <f>IF($K197="","",IF(ISNUMBER(SEARCH("transfert-interne",IFERROR(INDEX('Paramètres'!$N:$N,MATCH($D197,'Paramètres'!$M:$M,0))&amp;"",""))),0,IF($L197="Débit",$K197,IF($P197=1,-$K197,0))))</f>
        <v>0</v>
      </c>
      <c r="R197" s="6">
        <f>IF($K197="","",IF($L197="Crédit",$K197,-$K197))</f>
        <v>300</v>
      </c>
      <c r="S197" s="6" t="str">
        <f>IF($C197="","",IFERROR(INDEX('Paramètres'!$H:$H,MATCH($C197,'Paramètres'!$D:$D,0))&amp;"",""))</f>
        <v>Banque A - Courant</v>
      </c>
      <c r="T197" s="6">
        <f>IF($K197="","",IF($S197="",0,IF(ISNUMBER(SEARCH("apport-exterieur",IFERROR(INDEX('Paramètres'!$N:$N,MATCH($D197,'Paramètres'!$M:$M,0))&amp;"",""))),0,IF(OR(IFERROR(INDEX('Paramètres'!$I:$I,MATCH($C197,'Paramètres'!$D:$D,0))&amp;"","")="Les deux",IFERROR(INDEX('Paramètres'!$I:$I,MATCH($C197,'Paramètres'!$D:$D,0))&amp;"","")=IF($P197=1,"Débit",$L197)),-IF($P197=1,-$K197,$K197),0))))</f>
        <v>-300</v>
      </c>
      <c r="U197" s="6">
        <f>IF($K197="","",IF(ISNUMBER(SEARCH("sortie-epargne",IFERROR(INDEX('Paramètres'!$N:$N,MATCH($D197,'Paramètres'!$M:$M,0))&amp;"",""))),$K197,0))</f>
        <v>0</v>
      </c>
      <c r="V197" s="6" t="str">
        <f>IF(AND($A197&lt;&gt;"",$O197=1,$L197="Débit",N($Q197)&gt;0,$A197&gt;=Visualisation!$B$1,$A197&lt;Visualisation!$D$1),MAX($V$1:V196)+1,"")</f>
        <v/>
      </c>
    </row>
    <row r="198" spans="1:22" x14ac:dyDescent="0.25">
      <c r="A198" s="9">
        <v>45659</v>
      </c>
      <c r="B198" s="4" t="s">
        <v>76</v>
      </c>
      <c r="C198" s="4" t="s">
        <v>67</v>
      </c>
      <c r="D198" s="4" t="s">
        <v>77</v>
      </c>
      <c r="E198" s="10">
        <v>191.8</v>
      </c>
      <c r="G198" s="4" t="s">
        <v>102</v>
      </c>
      <c r="H198" s="4"/>
      <c r="I198" s="4" t="s">
        <v>79</v>
      </c>
      <c r="K198" s="11">
        <f>IF($E198="","",ROUND($E198*IF(ISNA(MATCH($C198,'Paramètres'!$D:$D,0)),1,IF(INDEX('Paramètres'!$J:$J,MATCH($C198,'Paramètres'!$D:$D,0))="",1,INDEX('Paramètres'!$J:$J,MATCH($C198,'Paramètres'!$D:$D,0)))),2))</f>
        <v>95.9</v>
      </c>
      <c r="L198" s="6" t="str">
        <f>IF($D198="","",IF($F198&lt;&gt;"",$F198,IF(ISNA(MATCH($D198,'Paramètres'!$M:$M,0)),"⚠ Type inconnu",IFERROR(INDEX('Paramètres'!$P:$P,MATCH($D198,'Paramètres'!$M:$M,0))&amp;"",""))))</f>
        <v>Débit</v>
      </c>
      <c r="M198" s="6" t="str">
        <f>IF($D198="","",IF(ISNA(MATCH($D198,'Paramètres'!$M:$M,0)),"⚠ Type inconnu",IF($L198="Crédit","",IFERROR(INDEX('Paramètres'!$O:$O,MATCH($D198,'Paramètres'!$M:$M,0))&amp;"",""))))</f>
        <v>Dépense Courante</v>
      </c>
      <c r="N198" s="6" t="str">
        <f>IF($D198="","",IFERROR(INDEX('Paramètres'!$Q:$Q,MATCH($D198,'Paramètres'!$M:$M,0))&amp;"",""))</f>
        <v>Alimentation</v>
      </c>
      <c r="O198" s="6">
        <f>IF($A198="","",IF(OR($J198&lt;&gt;"x",$A198&lt;=FinReleve),1,0))</f>
        <v>1</v>
      </c>
      <c r="P198" s="6">
        <f>IF($D198="","",IF(AND($L198="Crédit",OR(IFERROR(INDEX('Paramètres'!$O:$O,MATCH($D198,'Paramètres'!$M:$M,0))&amp;"","")&lt;&gt;"",ISNUMBER(SEARCH("remboursement",IFERROR(INDEX('Paramètres'!$N:$N,MATCH($D198,'Paramètres'!$M:$M,0))&amp;"",""))))),1,0))</f>
        <v>0</v>
      </c>
      <c r="Q198" s="6">
        <f>IF($K198="","",IF(ISNUMBER(SEARCH("transfert-interne",IFERROR(INDEX('Paramètres'!$N:$N,MATCH($D198,'Paramètres'!$M:$M,0))&amp;"",""))),0,IF($L198="Débit",$K198,IF($P198=1,-$K198,0))))</f>
        <v>95.9</v>
      </c>
      <c r="R198" s="6">
        <f>IF($K198="","",IF($L198="Crédit",$K198,-$K198))</f>
        <v>-95.9</v>
      </c>
      <c r="S198" s="6" t="str">
        <f>IF($C198="","",IFERROR(INDEX('Paramètres'!$H:$H,MATCH($C198,'Paramètres'!$D:$D,0))&amp;"",""))</f>
        <v>Banque A - Courant</v>
      </c>
      <c r="T198" s="6">
        <f>IF($K198="","",IF($S198="",0,IF(ISNUMBER(SEARCH("apport-exterieur",IFERROR(INDEX('Paramètres'!$N:$N,MATCH($D198,'Paramètres'!$M:$M,0))&amp;"",""))),0,IF(OR(IFERROR(INDEX('Paramètres'!$I:$I,MATCH($C198,'Paramètres'!$D:$D,0))&amp;"","")="Les deux",IFERROR(INDEX('Paramètres'!$I:$I,MATCH($C198,'Paramètres'!$D:$D,0))&amp;"","")=IF($P198=1,"Débit",$L198)),-IF($P198=1,-$K198,$K198),0))))</f>
        <v>0</v>
      </c>
      <c r="U198" s="6">
        <f>IF($K198="","",IF(ISNUMBER(SEARCH("sortie-epargne",IFERROR(INDEX('Paramètres'!$N:$N,MATCH($D198,'Paramètres'!$M:$M,0))&amp;"",""))),$K198,0))</f>
        <v>0</v>
      </c>
      <c r="V198" s="6" t="str">
        <f>IF(AND($A198&lt;&gt;"",$O198=1,$L198="Débit",N($Q198)&gt;0,$A198&gt;=Visualisation!$B$1,$A198&lt;Visualisation!$D$1),MAX($V$1:V197)+1,"")</f>
        <v/>
      </c>
    </row>
    <row r="199" spans="1:22" x14ac:dyDescent="0.25">
      <c r="A199" s="9">
        <v>45660</v>
      </c>
      <c r="B199" s="4" t="s">
        <v>74</v>
      </c>
      <c r="C199" s="4" t="s">
        <v>75</v>
      </c>
      <c r="D199" s="4" t="s">
        <v>74</v>
      </c>
      <c r="E199" s="10">
        <v>88.8</v>
      </c>
      <c r="G199" s="4"/>
      <c r="H199" s="4"/>
      <c r="I199" s="4"/>
      <c r="K199" s="11">
        <f>IF($E199="","",ROUND($E199*IF(ISNA(MATCH($C199,'Paramètres'!$D:$D,0)),1,IF(INDEX('Paramètres'!$J:$J,MATCH($C199,'Paramètres'!$D:$D,0))="",1,INDEX('Paramètres'!$J:$J,MATCH($C199,'Paramètres'!$D:$D,0)))),2))</f>
        <v>88.8</v>
      </c>
      <c r="L199" s="6" t="str">
        <f>IF($D199="","",IF($F199&lt;&gt;"",$F199,IF(ISNA(MATCH($D199,'Paramètres'!$M:$M,0)),"⚠ Type inconnu",IFERROR(INDEX('Paramètres'!$P:$P,MATCH($D199,'Paramètres'!$M:$M,0))&amp;"",""))))</f>
        <v>Débit</v>
      </c>
      <c r="M199" s="6" t="str">
        <f>IF($D199="","",IF(ISNA(MATCH($D199,'Paramètres'!$M:$M,0)),"⚠ Type inconnu",IF($L199="Crédit","",IFERROR(INDEX('Paramètres'!$O:$O,MATCH($D199,'Paramètres'!$M:$M,0))&amp;"",""))))</f>
        <v>Dépense Fixe</v>
      </c>
      <c r="N199" s="6" t="str">
        <f>IF($D199="","",IFERROR(INDEX('Paramètres'!$Q:$Q,MATCH($D199,'Paramètres'!$M:$M,0))&amp;"",""))</f>
        <v>Transport</v>
      </c>
      <c r="O199" s="6">
        <f>IF($A199="","",IF(OR($J199&lt;&gt;"x",$A199&lt;=FinReleve),1,0))</f>
        <v>1</v>
      </c>
      <c r="P199" s="6">
        <f>IF($D199="","",IF(AND($L199="Crédit",OR(IFERROR(INDEX('Paramètres'!$O:$O,MATCH($D199,'Paramètres'!$M:$M,0))&amp;"","")&lt;&gt;"",ISNUMBER(SEARCH("remboursement",IFERROR(INDEX('Paramètres'!$N:$N,MATCH($D199,'Paramètres'!$M:$M,0))&amp;"",""))))),1,0))</f>
        <v>0</v>
      </c>
      <c r="Q199" s="6">
        <f>IF($K199="","",IF(ISNUMBER(SEARCH("transfert-interne",IFERROR(INDEX('Paramètres'!$N:$N,MATCH($D199,'Paramètres'!$M:$M,0))&amp;"",""))),0,IF($L199="Débit",$K199,IF($P199=1,-$K199,0))))</f>
        <v>88.8</v>
      </c>
      <c r="R199" s="6">
        <f>IF($K199="","",IF($L199="Crédit",$K199,-$K199))</f>
        <v>-88.8</v>
      </c>
      <c r="S199" s="6" t="str">
        <f>IF($C199="","",IFERROR(INDEX('Paramètres'!$H:$H,MATCH($C199,'Paramètres'!$D:$D,0))&amp;"",""))</f>
        <v/>
      </c>
      <c r="T199" s="6">
        <f>IF($K199="","",IF($S199="",0,IF(ISNUMBER(SEARCH("apport-exterieur",IFERROR(INDEX('Paramètres'!$N:$N,MATCH($D199,'Paramètres'!$M:$M,0))&amp;"",""))),0,IF(OR(IFERROR(INDEX('Paramètres'!$I:$I,MATCH($C199,'Paramètres'!$D:$D,0))&amp;"","")="Les deux",IFERROR(INDEX('Paramètres'!$I:$I,MATCH($C199,'Paramètres'!$D:$D,0))&amp;"","")=IF($P199=1,"Débit",$L199)),-IF($P199=1,-$K199,$K199),0))))</f>
        <v>0</v>
      </c>
      <c r="U199" s="6">
        <f>IF($K199="","",IF(ISNUMBER(SEARCH("sortie-epargne",IFERROR(INDEX('Paramètres'!$N:$N,MATCH($D199,'Paramètres'!$M:$M,0))&amp;"",""))),$K199,0))</f>
        <v>0</v>
      </c>
      <c r="V199" s="6" t="str">
        <f>IF(AND($A199&lt;&gt;"",$O199=1,$L199="Débit",N($Q199)&gt;0,$A199&gt;=Visualisation!$B$1,$A199&lt;Visualisation!$D$1),MAX($V$1:V198)+1,"")</f>
        <v/>
      </c>
    </row>
    <row r="200" spans="1:22" x14ac:dyDescent="0.25">
      <c r="A200" s="9">
        <v>45661</v>
      </c>
      <c r="B200" s="4" t="s">
        <v>69</v>
      </c>
      <c r="C200" s="4" t="s">
        <v>70</v>
      </c>
      <c r="D200" s="4" t="s">
        <v>71</v>
      </c>
      <c r="E200" s="10">
        <v>11.57</v>
      </c>
      <c r="G200" s="4" t="s">
        <v>72</v>
      </c>
      <c r="H200" s="4"/>
      <c r="I200" s="4" t="s">
        <v>63</v>
      </c>
      <c r="K200" s="11">
        <f>IF($E200="","",ROUND($E200*IF(ISNA(MATCH($C200,'Paramètres'!$D:$D,0)),1,IF(INDEX('Paramètres'!$J:$J,MATCH($C200,'Paramètres'!$D:$D,0))="",1,INDEX('Paramètres'!$J:$J,MATCH($C200,'Paramètres'!$D:$D,0)))),2))</f>
        <v>11.57</v>
      </c>
      <c r="L200" s="6" t="str">
        <f>IF($D200="","",IF($F200&lt;&gt;"",$F200,IF(ISNA(MATCH($D200,'Paramètres'!$M:$M,0)),"⚠ Type inconnu",IFERROR(INDEX('Paramètres'!$P:$P,MATCH($D200,'Paramètres'!$M:$M,0))&amp;"",""))))</f>
        <v>Débit</v>
      </c>
      <c r="M200" s="6" t="str">
        <f>IF($D200="","",IF(ISNA(MATCH($D200,'Paramètres'!$M:$M,0)),"⚠ Type inconnu",IF($L200="Crédit","",IFERROR(INDEX('Paramètres'!$O:$O,MATCH($D200,'Paramètres'!$M:$M,0))&amp;"",""))))</f>
        <v>Dépense Courante</v>
      </c>
      <c r="N200" s="6" t="str">
        <f>IF($D200="","",IFERROR(INDEX('Paramètres'!$Q:$Q,MATCH($D200,'Paramètres'!$M:$M,0))&amp;"",""))</f>
        <v>Alimentation</v>
      </c>
      <c r="O200" s="6">
        <f>IF($A200="","",IF(OR($J200&lt;&gt;"x",$A200&lt;=FinReleve),1,0))</f>
        <v>1</v>
      </c>
      <c r="P200" s="6">
        <f>IF($D200="","",IF(AND($L200="Crédit",OR(IFERROR(INDEX('Paramètres'!$O:$O,MATCH($D200,'Paramètres'!$M:$M,0))&amp;"","")&lt;&gt;"",ISNUMBER(SEARCH("remboursement",IFERROR(INDEX('Paramètres'!$N:$N,MATCH($D200,'Paramètres'!$M:$M,0))&amp;"",""))))),1,0))</f>
        <v>0</v>
      </c>
      <c r="Q200" s="6">
        <f>IF($K200="","",IF(ISNUMBER(SEARCH("transfert-interne",IFERROR(INDEX('Paramètres'!$N:$N,MATCH($D200,'Paramètres'!$M:$M,0))&amp;"",""))),0,IF($L200="Débit",$K200,IF($P200=1,-$K200,0))))</f>
        <v>11.57</v>
      </c>
      <c r="R200" s="6">
        <f>IF($K200="","",IF($L200="Crédit",$K200,-$K200))</f>
        <v>-11.57</v>
      </c>
      <c r="S200" s="6" t="str">
        <f>IF($C200="","",IFERROR(INDEX('Paramètres'!$H:$H,MATCH($C200,'Paramètres'!$D:$D,0))&amp;"",""))</f>
        <v/>
      </c>
      <c r="T200" s="6">
        <f>IF($K200="","",IF($S200="",0,IF(ISNUMBER(SEARCH("apport-exterieur",IFERROR(INDEX('Paramètres'!$N:$N,MATCH($D200,'Paramètres'!$M:$M,0))&amp;"",""))),0,IF(OR(IFERROR(INDEX('Paramètres'!$I:$I,MATCH($C200,'Paramètres'!$D:$D,0))&amp;"","")="Les deux",IFERROR(INDEX('Paramètres'!$I:$I,MATCH($C200,'Paramètres'!$D:$D,0))&amp;"","")=IF($P200=1,"Débit",$L200)),-IF($P200=1,-$K200,$K200),0))))</f>
        <v>0</v>
      </c>
      <c r="U200" s="6">
        <f>IF($K200="","",IF(ISNUMBER(SEARCH("sortie-epargne",IFERROR(INDEX('Paramètres'!$N:$N,MATCH($D200,'Paramètres'!$M:$M,0))&amp;"",""))),$K200,0))</f>
        <v>0</v>
      </c>
      <c r="V200" s="6" t="str">
        <f>IF(AND($A200&lt;&gt;"",$O200=1,$L200="Débit",N($Q200)&gt;0,$A200&gt;=Visualisation!$B$1,$A200&lt;Visualisation!$D$1),MAX($V$1:V199)+1,"")</f>
        <v/>
      </c>
    </row>
    <row r="201" spans="1:22" x14ac:dyDescent="0.25">
      <c r="A201" s="9">
        <v>45661</v>
      </c>
      <c r="B201" s="4" t="s">
        <v>80</v>
      </c>
      <c r="C201" s="4" t="s">
        <v>70</v>
      </c>
      <c r="D201" s="4" t="s">
        <v>81</v>
      </c>
      <c r="E201" s="10">
        <v>130.76</v>
      </c>
      <c r="G201" s="4"/>
      <c r="H201" s="4"/>
      <c r="I201" s="4"/>
      <c r="K201" s="11">
        <f>IF($E201="","",ROUND($E201*IF(ISNA(MATCH($C201,'Paramètres'!$D:$D,0)),1,IF(INDEX('Paramètres'!$J:$J,MATCH($C201,'Paramètres'!$D:$D,0))="",1,INDEX('Paramètres'!$J:$J,MATCH($C201,'Paramètres'!$D:$D,0)))),2))</f>
        <v>130.76</v>
      </c>
      <c r="L201" s="6" t="str">
        <f>IF($D201="","",IF($F201&lt;&gt;"",$F201,IF(ISNA(MATCH($D201,'Paramètres'!$M:$M,0)),"⚠ Type inconnu",IFERROR(INDEX('Paramètres'!$P:$P,MATCH($D201,'Paramètres'!$M:$M,0))&amp;"",""))))</f>
        <v>Crédit</v>
      </c>
      <c r="M201" s="6" t="str">
        <f>IF($D201="","",IF(ISNA(MATCH($D201,'Paramètres'!$M:$M,0)),"⚠ Type inconnu",IF($L201="Crédit","",IFERROR(INDEX('Paramètres'!$O:$O,MATCH($D201,'Paramètres'!$M:$M,0))&amp;"",""))))</f>
        <v/>
      </c>
      <c r="N201" s="6" t="str">
        <f>IF($D201="","",IFERROR(INDEX('Paramètres'!$Q:$Q,MATCH($D201,'Paramètres'!$M:$M,0))&amp;"",""))</f>
        <v>Comptes Bancaires</v>
      </c>
      <c r="O201" s="6">
        <f>IF($A201="","",IF(OR($J201&lt;&gt;"x",$A201&lt;=FinReleve),1,0))</f>
        <v>1</v>
      </c>
      <c r="P201" s="6">
        <f>IF($D201="","",IF(AND($L201="Crédit",OR(IFERROR(INDEX('Paramètres'!$O:$O,MATCH($D201,'Paramètres'!$M:$M,0))&amp;"","")&lt;&gt;"",ISNUMBER(SEARCH("remboursement",IFERROR(INDEX('Paramètres'!$N:$N,MATCH($D201,'Paramètres'!$M:$M,0))&amp;"",""))))),1,0))</f>
        <v>0</v>
      </c>
      <c r="Q201" s="6">
        <f>IF($K201="","",IF(ISNUMBER(SEARCH("transfert-interne",IFERROR(INDEX('Paramètres'!$N:$N,MATCH($D201,'Paramètres'!$M:$M,0))&amp;"",""))),0,IF($L201="Débit",$K201,IF($P201=1,-$K201,0))))</f>
        <v>0</v>
      </c>
      <c r="R201" s="6">
        <f>IF($K201="","",IF($L201="Crédit",$K201,-$K201))</f>
        <v>130.76</v>
      </c>
      <c r="S201" s="6" t="str">
        <f>IF($C201="","",IFERROR(INDEX('Paramètres'!$H:$H,MATCH($C201,'Paramètres'!$D:$D,0))&amp;"",""))</f>
        <v/>
      </c>
      <c r="T201" s="6">
        <f>IF($K201="","",IF($S201="",0,IF(ISNUMBER(SEARCH("apport-exterieur",IFERROR(INDEX('Paramètres'!$N:$N,MATCH($D201,'Paramètres'!$M:$M,0))&amp;"",""))),0,IF(OR(IFERROR(INDEX('Paramètres'!$I:$I,MATCH($C201,'Paramètres'!$D:$D,0))&amp;"","")="Les deux",IFERROR(INDEX('Paramètres'!$I:$I,MATCH($C201,'Paramètres'!$D:$D,0))&amp;"","")=IF($P201=1,"Débit",$L201)),-IF($P201=1,-$K201,$K201),0))))</f>
        <v>0</v>
      </c>
      <c r="U201" s="6">
        <f>IF($K201="","",IF(ISNUMBER(SEARCH("sortie-epargne",IFERROR(INDEX('Paramètres'!$N:$N,MATCH($D201,'Paramètres'!$M:$M,0))&amp;"",""))),$K201,0))</f>
        <v>0</v>
      </c>
      <c r="V201" s="6" t="str">
        <f>IF(AND($A201&lt;&gt;"",$O201=1,$L201="Débit",N($Q201)&gt;0,$A201&gt;=Visualisation!$B$1,$A201&lt;Visualisation!$D$1),MAX($V$1:V200)+1,"")</f>
        <v/>
      </c>
    </row>
    <row r="202" spans="1:22" x14ac:dyDescent="0.25">
      <c r="A202" s="9">
        <v>45662</v>
      </c>
      <c r="B202" s="4" t="s">
        <v>82</v>
      </c>
      <c r="C202" s="4" t="s">
        <v>65</v>
      </c>
      <c r="D202" s="4" t="s">
        <v>83</v>
      </c>
      <c r="E202" s="10">
        <v>649.4</v>
      </c>
      <c r="G202" s="4" t="s">
        <v>84</v>
      </c>
      <c r="H202" s="4"/>
      <c r="I202" s="4"/>
      <c r="K202" s="11">
        <f>IF($E202="","",ROUND($E202*IF(ISNA(MATCH($C202,'Paramètres'!$D:$D,0)),1,IF(INDEX('Paramètres'!$J:$J,MATCH($C202,'Paramètres'!$D:$D,0))="",1,INDEX('Paramètres'!$J:$J,MATCH($C202,'Paramètres'!$D:$D,0)))),2))</f>
        <v>649.4</v>
      </c>
      <c r="L202" s="6" t="str">
        <f>IF($D202="","",IF($F202&lt;&gt;"",$F202,IF(ISNA(MATCH($D202,'Paramètres'!$M:$M,0)),"⚠ Type inconnu",IFERROR(INDEX('Paramètres'!$P:$P,MATCH($D202,'Paramètres'!$M:$M,0))&amp;"",""))))</f>
        <v>Débit</v>
      </c>
      <c r="M202" s="6" t="str">
        <f>IF($D202="","",IF(ISNA(MATCH($D202,'Paramètres'!$M:$M,0)),"⚠ Type inconnu",IF($L202="Crédit","",IFERROR(INDEX('Paramètres'!$O:$O,MATCH($D202,'Paramètres'!$M:$M,0))&amp;"",""))))</f>
        <v/>
      </c>
      <c r="N202" s="6" t="str">
        <f>IF($D202="","",IFERROR(INDEX('Paramètres'!$Q:$Q,MATCH($D202,'Paramètres'!$M:$M,0))&amp;"",""))</f>
        <v>Immobilier</v>
      </c>
      <c r="O202" s="6">
        <f>IF($A202="","",IF(OR($J202&lt;&gt;"x",$A202&lt;=FinReleve),1,0))</f>
        <v>1</v>
      </c>
      <c r="P202" s="6">
        <f>IF($D202="","",IF(AND($L202="Crédit",OR(IFERROR(INDEX('Paramètres'!$O:$O,MATCH($D202,'Paramètres'!$M:$M,0))&amp;"","")&lt;&gt;"",ISNUMBER(SEARCH("remboursement",IFERROR(INDEX('Paramètres'!$N:$N,MATCH($D202,'Paramètres'!$M:$M,0))&amp;"",""))))),1,0))</f>
        <v>0</v>
      </c>
      <c r="Q202" s="6">
        <f>IF($K202="","",IF(ISNUMBER(SEARCH("transfert-interne",IFERROR(INDEX('Paramètres'!$N:$N,MATCH($D202,'Paramètres'!$M:$M,0))&amp;"",""))),0,IF($L202="Débit",$K202,IF($P202=1,-$K202,0))))</f>
        <v>649.4</v>
      </c>
      <c r="R202" s="6">
        <f>IF($K202="","",IF($L202="Crédit",$K202,-$K202))</f>
        <v>-649.4</v>
      </c>
      <c r="S202" s="6" t="str">
        <f>IF($C202="","",IFERROR(INDEX('Paramètres'!$H:$H,MATCH($C202,'Paramètres'!$D:$D,0))&amp;"",""))</f>
        <v>Banque A - Courant</v>
      </c>
      <c r="T202" s="6">
        <f>IF($K202="","",IF($S202="",0,IF(ISNUMBER(SEARCH("apport-exterieur",IFERROR(INDEX('Paramètres'!$N:$N,MATCH($D202,'Paramètres'!$M:$M,0))&amp;"",""))),0,IF(OR(IFERROR(INDEX('Paramètres'!$I:$I,MATCH($C202,'Paramètres'!$D:$D,0))&amp;"","")="Les deux",IFERROR(INDEX('Paramètres'!$I:$I,MATCH($C202,'Paramètres'!$D:$D,0))&amp;"","")=IF($P202=1,"Débit",$L202)),-IF($P202=1,-$K202,$K202),0))))</f>
        <v>0</v>
      </c>
      <c r="U202" s="6">
        <f>IF($K202="","",IF(ISNUMBER(SEARCH("sortie-epargne",IFERROR(INDEX('Paramètres'!$N:$N,MATCH($D202,'Paramètres'!$M:$M,0))&amp;"",""))),$K202,0))</f>
        <v>0</v>
      </c>
      <c r="V202" s="6" t="str">
        <f>IF(AND($A202&lt;&gt;"",$O202=1,$L202="Débit",N($Q202)&gt;0,$A202&gt;=Visualisation!$B$1,$A202&lt;Visualisation!$D$1),MAX($V$1:V201)+1,"")</f>
        <v/>
      </c>
    </row>
    <row r="203" spans="1:22" x14ac:dyDescent="0.25">
      <c r="A203" s="9">
        <v>45662</v>
      </c>
      <c r="B203" s="4" t="s">
        <v>85</v>
      </c>
      <c r="C203" s="4" t="s">
        <v>65</v>
      </c>
      <c r="D203" s="4" t="s">
        <v>86</v>
      </c>
      <c r="E203" s="10">
        <v>244.24</v>
      </c>
      <c r="G203" s="4" t="s">
        <v>87</v>
      </c>
      <c r="H203" s="4"/>
      <c r="I203" s="4"/>
      <c r="K203" s="11">
        <f>IF($E203="","",ROUND($E203*IF(ISNA(MATCH($C203,'Paramètres'!$D:$D,0)),1,IF(INDEX('Paramètres'!$J:$J,MATCH($C203,'Paramètres'!$D:$D,0))="",1,INDEX('Paramètres'!$J:$J,MATCH($C203,'Paramètres'!$D:$D,0)))),2))</f>
        <v>244.24</v>
      </c>
      <c r="L203" s="6" t="str">
        <f>IF($D203="","",IF($F203&lt;&gt;"",$F203,IF(ISNA(MATCH($D203,'Paramètres'!$M:$M,0)),"⚠ Type inconnu",IFERROR(INDEX('Paramètres'!$P:$P,MATCH($D203,'Paramètres'!$M:$M,0))&amp;"",""))))</f>
        <v>Débit</v>
      </c>
      <c r="M203" s="6" t="str">
        <f>IF($D203="","",IF(ISNA(MATCH($D203,'Paramètres'!$M:$M,0)),"⚠ Type inconnu",IF($L203="Crédit","",IFERROR(INDEX('Paramètres'!$O:$O,MATCH($D203,'Paramètres'!$M:$M,0))&amp;"",""))))</f>
        <v>Dépense Fixe</v>
      </c>
      <c r="N203" s="6" t="str">
        <f>IF($D203="","",IFERROR(INDEX('Paramètres'!$Q:$Q,MATCH($D203,'Paramètres'!$M:$M,0))&amp;"",""))</f>
        <v>Immobilier</v>
      </c>
      <c r="O203" s="6">
        <f>IF($A203="","",IF(OR($J203&lt;&gt;"x",$A203&lt;=FinReleve),1,0))</f>
        <v>1</v>
      </c>
      <c r="P203" s="6">
        <f>IF($D203="","",IF(AND($L203="Crédit",OR(IFERROR(INDEX('Paramètres'!$O:$O,MATCH($D203,'Paramètres'!$M:$M,0))&amp;"","")&lt;&gt;"",ISNUMBER(SEARCH("remboursement",IFERROR(INDEX('Paramètres'!$N:$N,MATCH($D203,'Paramètres'!$M:$M,0))&amp;"",""))))),1,0))</f>
        <v>0</v>
      </c>
      <c r="Q203" s="6">
        <f>IF($K203="","",IF(ISNUMBER(SEARCH("transfert-interne",IFERROR(INDEX('Paramètres'!$N:$N,MATCH($D203,'Paramètres'!$M:$M,0))&amp;"",""))),0,IF($L203="Débit",$K203,IF($P203=1,-$K203,0))))</f>
        <v>244.24</v>
      </c>
      <c r="R203" s="6">
        <f>IF($K203="","",IF($L203="Crédit",$K203,-$K203))</f>
        <v>-244.24</v>
      </c>
      <c r="S203" s="6" t="str">
        <f>IF($C203="","",IFERROR(INDEX('Paramètres'!$H:$H,MATCH($C203,'Paramètres'!$D:$D,0))&amp;"",""))</f>
        <v>Banque A - Courant</v>
      </c>
      <c r="T203" s="6">
        <f>IF($K203="","",IF($S203="",0,IF(ISNUMBER(SEARCH("apport-exterieur",IFERROR(INDEX('Paramètres'!$N:$N,MATCH($D203,'Paramètres'!$M:$M,0))&amp;"",""))),0,IF(OR(IFERROR(INDEX('Paramètres'!$I:$I,MATCH($C203,'Paramètres'!$D:$D,0))&amp;"","")="Les deux",IFERROR(INDEX('Paramètres'!$I:$I,MATCH($C203,'Paramètres'!$D:$D,0))&amp;"","")=IF($P203=1,"Débit",$L203)),-IF($P203=1,-$K203,$K203),0))))</f>
        <v>0</v>
      </c>
      <c r="U203" s="6">
        <f>IF($K203="","",IF(ISNUMBER(SEARCH("sortie-epargne",IFERROR(INDEX('Paramètres'!$N:$N,MATCH($D203,'Paramètres'!$M:$M,0))&amp;"",""))),$K203,0))</f>
        <v>0</v>
      </c>
      <c r="V203" s="6" t="str">
        <f>IF(AND($A203&lt;&gt;"",$O203=1,$L203="Débit",N($Q203)&gt;0,$A203&gt;=Visualisation!$B$1,$A203&lt;Visualisation!$D$1),MAX($V$1:V202)+1,"")</f>
        <v/>
      </c>
    </row>
    <row r="204" spans="1:22" x14ac:dyDescent="0.25">
      <c r="A204" s="9">
        <v>45662</v>
      </c>
      <c r="B204" s="4" t="s">
        <v>88</v>
      </c>
      <c r="C204" s="4" t="s">
        <v>65</v>
      </c>
      <c r="D204" s="4" t="s">
        <v>88</v>
      </c>
      <c r="E204" s="10">
        <v>31.2</v>
      </c>
      <c r="G204" s="4"/>
      <c r="H204" s="4"/>
      <c r="I204" s="4"/>
      <c r="K204" s="11">
        <f>IF($E204="","",ROUND($E204*IF(ISNA(MATCH($C204,'Paramètres'!$D:$D,0)),1,IF(INDEX('Paramètres'!$J:$J,MATCH($C204,'Paramètres'!$D:$D,0))="",1,INDEX('Paramètres'!$J:$J,MATCH($C204,'Paramètres'!$D:$D,0)))),2))</f>
        <v>31.2</v>
      </c>
      <c r="L204" s="6" t="str">
        <f>IF($D204="","",IF($F204&lt;&gt;"",$F204,IF(ISNA(MATCH($D204,'Paramètres'!$M:$M,0)),"⚠ Type inconnu",IFERROR(INDEX('Paramètres'!$P:$P,MATCH($D204,'Paramètres'!$M:$M,0))&amp;"",""))))</f>
        <v>Débit</v>
      </c>
      <c r="M204" s="6" t="str">
        <f>IF($D204="","",IF(ISNA(MATCH($D204,'Paramètres'!$M:$M,0)),"⚠ Type inconnu",IF($L204="Crédit","",IFERROR(INDEX('Paramètres'!$O:$O,MATCH($D204,'Paramètres'!$M:$M,0))&amp;"",""))))</f>
        <v>Dépense Fixe</v>
      </c>
      <c r="N204" s="6" t="str">
        <f>IF($D204="","",IFERROR(INDEX('Paramètres'!$Q:$Q,MATCH($D204,'Paramètres'!$M:$M,0))&amp;"",""))</f>
        <v>Assurances</v>
      </c>
      <c r="O204" s="6">
        <f>IF($A204="","",IF(OR($J204&lt;&gt;"x",$A204&lt;=FinReleve),1,0))</f>
        <v>1</v>
      </c>
      <c r="P204" s="6">
        <f>IF($D204="","",IF(AND($L204="Crédit",OR(IFERROR(INDEX('Paramètres'!$O:$O,MATCH($D204,'Paramètres'!$M:$M,0))&amp;"","")&lt;&gt;"",ISNUMBER(SEARCH("remboursement",IFERROR(INDEX('Paramètres'!$N:$N,MATCH($D204,'Paramètres'!$M:$M,0))&amp;"",""))))),1,0))</f>
        <v>0</v>
      </c>
      <c r="Q204" s="6">
        <f>IF($K204="","",IF(ISNUMBER(SEARCH("transfert-interne",IFERROR(INDEX('Paramètres'!$N:$N,MATCH($D204,'Paramètres'!$M:$M,0))&amp;"",""))),0,IF($L204="Débit",$K204,IF($P204=1,-$K204,0))))</f>
        <v>31.2</v>
      </c>
      <c r="R204" s="6">
        <f>IF($K204="","",IF($L204="Crédit",$K204,-$K204))</f>
        <v>-31.2</v>
      </c>
      <c r="S204" s="6" t="str">
        <f>IF($C204="","",IFERROR(INDEX('Paramètres'!$H:$H,MATCH($C204,'Paramètres'!$D:$D,0))&amp;"",""))</f>
        <v>Banque A - Courant</v>
      </c>
      <c r="T204" s="6">
        <f>IF($K204="","",IF($S204="",0,IF(ISNUMBER(SEARCH("apport-exterieur",IFERROR(INDEX('Paramètres'!$N:$N,MATCH($D204,'Paramètres'!$M:$M,0))&amp;"",""))),0,IF(OR(IFERROR(INDEX('Paramètres'!$I:$I,MATCH($C204,'Paramètres'!$D:$D,0))&amp;"","")="Les deux",IFERROR(INDEX('Paramètres'!$I:$I,MATCH($C204,'Paramètres'!$D:$D,0))&amp;"","")=IF($P204=1,"Débit",$L204)),-IF($P204=1,-$K204,$K204),0))))</f>
        <v>0</v>
      </c>
      <c r="U204" s="6">
        <f>IF($K204="","",IF(ISNUMBER(SEARCH("sortie-epargne",IFERROR(INDEX('Paramètres'!$N:$N,MATCH($D204,'Paramètres'!$M:$M,0))&amp;"",""))),$K204,0))</f>
        <v>0</v>
      </c>
      <c r="V204" s="6" t="str">
        <f>IF(AND($A204&lt;&gt;"",$O204=1,$L204="Débit",N($Q204)&gt;0,$A204&gt;=Visualisation!$B$1,$A204&lt;Visualisation!$D$1),MAX($V$1:V203)+1,"")</f>
        <v/>
      </c>
    </row>
    <row r="205" spans="1:22" x14ac:dyDescent="0.25">
      <c r="A205" s="9">
        <v>45662</v>
      </c>
      <c r="B205" s="4" t="s">
        <v>116</v>
      </c>
      <c r="C205" s="4" t="s">
        <v>60</v>
      </c>
      <c r="D205" s="4" t="s">
        <v>116</v>
      </c>
      <c r="E205" s="10">
        <v>227.9</v>
      </c>
      <c r="G205" s="4" t="s">
        <v>141</v>
      </c>
      <c r="H205" s="4"/>
      <c r="I205" s="4" t="s">
        <v>73</v>
      </c>
      <c r="K205" s="11">
        <f>IF($E205="","",ROUND($E205*IF(ISNA(MATCH($C205,'Paramètres'!$D:$D,0)),1,IF(INDEX('Paramètres'!$J:$J,MATCH($C205,'Paramètres'!$D:$D,0))="",1,INDEX('Paramètres'!$J:$J,MATCH($C205,'Paramètres'!$D:$D,0)))),2))</f>
        <v>113.95</v>
      </c>
      <c r="L205" s="6" t="str">
        <f>IF($D205="","",IF($F205&lt;&gt;"",$F205,IF(ISNA(MATCH($D205,'Paramètres'!$M:$M,0)),"⚠ Type inconnu",IFERROR(INDEX('Paramètres'!$P:$P,MATCH($D205,'Paramètres'!$M:$M,0))&amp;"",""))))</f>
        <v>Débit</v>
      </c>
      <c r="M205" s="6" t="str">
        <f>IF($D205="","",IF(ISNA(MATCH($D205,'Paramètres'!$M:$M,0)),"⚠ Type inconnu",IF($L205="Crédit","",IFERROR(INDEX('Paramètres'!$O:$O,MATCH($D205,'Paramètres'!$M:$M,0))&amp;"",""))))</f>
        <v>Dépense Occasionnelle</v>
      </c>
      <c r="N205" s="6" t="str">
        <f>IF($D205="","",IFERROR(INDEX('Paramètres'!$Q:$Q,MATCH($D205,'Paramètres'!$M:$M,0))&amp;"",""))</f>
        <v>Autre</v>
      </c>
      <c r="O205" s="6">
        <f>IF($A205="","",IF(OR($J205&lt;&gt;"x",$A205&lt;=FinReleve),1,0))</f>
        <v>1</v>
      </c>
      <c r="P205" s="6">
        <f>IF($D205="","",IF(AND($L205="Crédit",OR(IFERROR(INDEX('Paramètres'!$O:$O,MATCH($D205,'Paramètres'!$M:$M,0))&amp;"","")&lt;&gt;"",ISNUMBER(SEARCH("remboursement",IFERROR(INDEX('Paramètres'!$N:$N,MATCH($D205,'Paramètres'!$M:$M,0))&amp;"",""))))),1,0))</f>
        <v>0</v>
      </c>
      <c r="Q205" s="6">
        <f>IF($K205="","",IF(ISNUMBER(SEARCH("transfert-interne",IFERROR(INDEX('Paramètres'!$N:$N,MATCH($D205,'Paramètres'!$M:$M,0))&amp;"",""))),0,IF($L205="Débit",$K205,IF($P205=1,-$K205,0))))</f>
        <v>113.95</v>
      </c>
      <c r="R205" s="6">
        <f>IF($K205="","",IF($L205="Crédit",$K205,-$K205))</f>
        <v>-113.95</v>
      </c>
      <c r="S205" s="6" t="str">
        <f>IF($C205="","",IFERROR(INDEX('Paramètres'!$H:$H,MATCH($C205,'Paramètres'!$D:$D,0))&amp;"",""))</f>
        <v>Banque A - Courant</v>
      </c>
      <c r="T205" s="6">
        <f>IF($K205="","",IF($S205="",0,IF(ISNUMBER(SEARCH("apport-exterieur",IFERROR(INDEX('Paramètres'!$N:$N,MATCH($D205,'Paramètres'!$M:$M,0))&amp;"",""))),0,IF(OR(IFERROR(INDEX('Paramètres'!$I:$I,MATCH($C205,'Paramètres'!$D:$D,0))&amp;"","")="Les deux",IFERROR(INDEX('Paramètres'!$I:$I,MATCH($C205,'Paramètres'!$D:$D,0))&amp;"","")=IF($P205=1,"Débit",$L205)),-IF($P205=1,-$K205,$K205),0))))</f>
        <v>-113.95</v>
      </c>
      <c r="U205" s="6">
        <f>IF($K205="","",IF(ISNUMBER(SEARCH("sortie-epargne",IFERROR(INDEX('Paramètres'!$N:$N,MATCH($D205,'Paramètres'!$M:$M,0))&amp;"",""))),$K205,0))</f>
        <v>0</v>
      </c>
      <c r="V205" s="6" t="str">
        <f>IF(AND($A205&lt;&gt;"",$O205=1,$L205="Débit",N($Q205)&gt;0,$A205&gt;=Visualisation!$B$1,$A205&lt;Visualisation!$D$1),MAX($V$1:V204)+1,"")</f>
        <v/>
      </c>
    </row>
    <row r="206" spans="1:22" x14ac:dyDescent="0.25">
      <c r="A206" s="9">
        <v>45662</v>
      </c>
      <c r="B206" s="4" t="s">
        <v>76</v>
      </c>
      <c r="C206" s="4" t="s">
        <v>107</v>
      </c>
      <c r="D206" s="4" t="s">
        <v>108</v>
      </c>
      <c r="E206" s="10">
        <v>20.18</v>
      </c>
      <c r="G206" s="4" t="s">
        <v>109</v>
      </c>
      <c r="H206" s="4"/>
      <c r="I206" s="4" t="s">
        <v>73</v>
      </c>
      <c r="K206" s="11">
        <f>IF($E206="","",ROUND($E206*IF(ISNA(MATCH($C206,'Paramètres'!$D:$D,0)),1,IF(INDEX('Paramètres'!$J:$J,MATCH($C206,'Paramètres'!$D:$D,0))="",1,INDEX('Paramètres'!$J:$J,MATCH($C206,'Paramètres'!$D:$D,0)))),2))</f>
        <v>20.18</v>
      </c>
      <c r="L206" s="6" t="str">
        <f>IF($D206="","",IF($F206&lt;&gt;"",$F206,IF(ISNA(MATCH($D206,'Paramètres'!$M:$M,0)),"⚠ Type inconnu",IFERROR(INDEX('Paramètres'!$P:$P,MATCH($D206,'Paramètres'!$M:$M,0))&amp;"",""))))</f>
        <v>Débit</v>
      </c>
      <c r="M206" s="6" t="str">
        <f>IF($D206="","",IF(ISNA(MATCH($D206,'Paramètres'!$M:$M,0)),"⚠ Type inconnu",IF($L206="Crédit","",IFERROR(INDEX('Paramètres'!$O:$O,MATCH($D206,'Paramètres'!$M:$M,0))&amp;"",""))))</f>
        <v>Dépense Occasionnelle</v>
      </c>
      <c r="N206" s="6" t="str">
        <f>IF($D206="","",IFERROR(INDEX('Paramètres'!$Q:$Q,MATCH($D206,'Paramètres'!$M:$M,0))&amp;"",""))</f>
        <v>Autre</v>
      </c>
      <c r="O206" s="6">
        <f>IF($A206="","",IF(OR($J206&lt;&gt;"x",$A206&lt;=FinReleve),1,0))</f>
        <v>1</v>
      </c>
      <c r="P206" s="6">
        <f>IF($D206="","",IF(AND($L206="Crédit",OR(IFERROR(INDEX('Paramètres'!$O:$O,MATCH($D206,'Paramètres'!$M:$M,0))&amp;"","")&lt;&gt;"",ISNUMBER(SEARCH("remboursement",IFERROR(INDEX('Paramètres'!$N:$N,MATCH($D206,'Paramètres'!$M:$M,0))&amp;"",""))))),1,0))</f>
        <v>0</v>
      </c>
      <c r="Q206" s="6">
        <f>IF($K206="","",IF(ISNUMBER(SEARCH("transfert-interne",IFERROR(INDEX('Paramètres'!$N:$N,MATCH($D206,'Paramètres'!$M:$M,0))&amp;"",""))),0,IF($L206="Débit",$K206,IF($P206=1,-$K206,0))))</f>
        <v>20.18</v>
      </c>
      <c r="R206" s="6">
        <f>IF($K206="","",IF($L206="Crédit",$K206,-$K206))</f>
        <v>-20.18</v>
      </c>
      <c r="S206" s="6" t="str">
        <f>IF($C206="","",IFERROR(INDEX('Paramètres'!$H:$H,MATCH($C206,'Paramètres'!$D:$D,0))&amp;"",""))</f>
        <v/>
      </c>
      <c r="T206" s="6">
        <f>IF($K206="","",IF($S206="",0,IF(ISNUMBER(SEARCH("apport-exterieur",IFERROR(INDEX('Paramètres'!$N:$N,MATCH($D206,'Paramètres'!$M:$M,0))&amp;"",""))),0,IF(OR(IFERROR(INDEX('Paramètres'!$I:$I,MATCH($C206,'Paramètres'!$D:$D,0))&amp;"","")="Les deux",IFERROR(INDEX('Paramètres'!$I:$I,MATCH($C206,'Paramètres'!$D:$D,0))&amp;"","")=IF($P206=1,"Débit",$L206)),-IF($P206=1,-$K206,$K206),0))))</f>
        <v>0</v>
      </c>
      <c r="U206" s="6">
        <f>IF($K206="","",IF(ISNUMBER(SEARCH("sortie-epargne",IFERROR(INDEX('Paramètres'!$N:$N,MATCH($D206,'Paramètres'!$M:$M,0))&amp;"",""))),$K206,0))</f>
        <v>0</v>
      </c>
      <c r="V206" s="6" t="str">
        <f>IF(AND($A206&lt;&gt;"",$O206=1,$L206="Débit",N($Q206)&gt;0,$A206&gt;=Visualisation!$B$1,$A206&lt;Visualisation!$D$1),MAX($V$1:V205)+1,"")</f>
        <v/>
      </c>
    </row>
    <row r="207" spans="1:22" x14ac:dyDescent="0.25">
      <c r="A207" s="9">
        <v>45663</v>
      </c>
      <c r="B207" s="4" t="s">
        <v>89</v>
      </c>
      <c r="C207" s="4" t="s">
        <v>75</v>
      </c>
      <c r="D207" s="4" t="s">
        <v>89</v>
      </c>
      <c r="E207" s="10">
        <v>49.9</v>
      </c>
      <c r="G207" s="4"/>
      <c r="H207" s="4"/>
      <c r="I207" s="4"/>
      <c r="K207" s="11">
        <f>IF($E207="","",ROUND($E207*IF(ISNA(MATCH($C207,'Paramètres'!$D:$D,0)),1,IF(INDEX('Paramètres'!$J:$J,MATCH($C207,'Paramètres'!$D:$D,0))="",1,INDEX('Paramètres'!$J:$J,MATCH($C207,'Paramètres'!$D:$D,0)))),2))</f>
        <v>49.9</v>
      </c>
      <c r="L207" s="6" t="str">
        <f>IF($D207="","",IF($F207&lt;&gt;"",$F207,IF(ISNA(MATCH($D207,'Paramètres'!$M:$M,0)),"⚠ Type inconnu",IFERROR(INDEX('Paramètres'!$P:$P,MATCH($D207,'Paramètres'!$M:$M,0))&amp;"",""))))</f>
        <v>Débit</v>
      </c>
      <c r="M207" s="6" t="str">
        <f>IF($D207="","",IF(ISNA(MATCH($D207,'Paramètres'!$M:$M,0)),"⚠ Type inconnu",IF($L207="Crédit","",IFERROR(INDEX('Paramètres'!$O:$O,MATCH($D207,'Paramètres'!$M:$M,0))&amp;"",""))))</f>
        <v>Dépense Fixe</v>
      </c>
      <c r="N207" s="6" t="str">
        <f>IF($D207="","",IFERROR(INDEX('Paramètres'!$Q:$Q,MATCH($D207,'Paramètres'!$M:$M,0))&amp;"",""))</f>
        <v>Autre</v>
      </c>
      <c r="O207" s="6">
        <f>IF($A207="","",IF(OR($J207&lt;&gt;"x",$A207&lt;=FinReleve),1,0))</f>
        <v>1</v>
      </c>
      <c r="P207" s="6">
        <f>IF($D207="","",IF(AND($L207="Crédit",OR(IFERROR(INDEX('Paramètres'!$O:$O,MATCH($D207,'Paramètres'!$M:$M,0))&amp;"","")&lt;&gt;"",ISNUMBER(SEARCH("remboursement",IFERROR(INDEX('Paramètres'!$N:$N,MATCH($D207,'Paramètres'!$M:$M,0))&amp;"",""))))),1,0))</f>
        <v>0</v>
      </c>
      <c r="Q207" s="6">
        <f>IF($K207="","",IF(ISNUMBER(SEARCH("transfert-interne",IFERROR(INDEX('Paramètres'!$N:$N,MATCH($D207,'Paramètres'!$M:$M,0))&amp;"",""))),0,IF($L207="Débit",$K207,IF($P207=1,-$K207,0))))</f>
        <v>49.9</v>
      </c>
      <c r="R207" s="6">
        <f>IF($K207="","",IF($L207="Crédit",$K207,-$K207))</f>
        <v>-49.9</v>
      </c>
      <c r="S207" s="6" t="str">
        <f>IF($C207="","",IFERROR(INDEX('Paramètres'!$H:$H,MATCH($C207,'Paramètres'!$D:$D,0))&amp;"",""))</f>
        <v/>
      </c>
      <c r="T207" s="6">
        <f>IF($K207="","",IF($S207="",0,IF(ISNUMBER(SEARCH("apport-exterieur",IFERROR(INDEX('Paramètres'!$N:$N,MATCH($D207,'Paramètres'!$M:$M,0))&amp;"",""))),0,IF(OR(IFERROR(INDEX('Paramètres'!$I:$I,MATCH($C207,'Paramètres'!$D:$D,0))&amp;"","")="Les deux",IFERROR(INDEX('Paramètres'!$I:$I,MATCH($C207,'Paramètres'!$D:$D,0))&amp;"","")=IF($P207=1,"Débit",$L207)),-IF($P207=1,-$K207,$K207),0))))</f>
        <v>0</v>
      </c>
      <c r="U207" s="6">
        <f>IF($K207="","",IF(ISNUMBER(SEARCH("sortie-epargne",IFERROR(INDEX('Paramètres'!$N:$N,MATCH($D207,'Paramètres'!$M:$M,0))&amp;"",""))),$K207,0))</f>
        <v>0</v>
      </c>
      <c r="V207" s="6" t="str">
        <f>IF(AND($A207&lt;&gt;"",$O207=1,$L207="Débit",N($Q207)&gt;0,$A207&gt;=Visualisation!$B$1,$A207&lt;Visualisation!$D$1),MAX($V$1:V206)+1,"")</f>
        <v/>
      </c>
    </row>
    <row r="208" spans="1:22" x14ac:dyDescent="0.25">
      <c r="A208" s="9">
        <v>45664</v>
      </c>
      <c r="B208" s="4" t="s">
        <v>76</v>
      </c>
      <c r="C208" s="4" t="s">
        <v>60</v>
      </c>
      <c r="D208" s="4" t="s">
        <v>77</v>
      </c>
      <c r="E208" s="10">
        <v>161.2</v>
      </c>
      <c r="G208" s="4" t="s">
        <v>98</v>
      </c>
      <c r="H208" s="4"/>
      <c r="I208" s="4" t="s">
        <v>79</v>
      </c>
      <c r="K208" s="11">
        <f>IF($E208="","",ROUND($E208*IF(ISNA(MATCH($C208,'Paramètres'!$D:$D,0)),1,IF(INDEX('Paramètres'!$J:$J,MATCH($C208,'Paramètres'!$D:$D,0))="",1,INDEX('Paramètres'!$J:$J,MATCH($C208,'Paramètres'!$D:$D,0)))),2))</f>
        <v>80.6</v>
      </c>
      <c r="L208" s="6" t="str">
        <f>IF($D208="","",IF($F208&lt;&gt;"",$F208,IF(ISNA(MATCH($D208,'Paramètres'!$M:$M,0)),"⚠ Type inconnu",IFERROR(INDEX('Paramètres'!$P:$P,MATCH($D208,'Paramètres'!$M:$M,0))&amp;"",""))))</f>
        <v>Débit</v>
      </c>
      <c r="M208" s="6" t="str">
        <f>IF($D208="","",IF(ISNA(MATCH($D208,'Paramètres'!$M:$M,0)),"⚠ Type inconnu",IF($L208="Crédit","",IFERROR(INDEX('Paramètres'!$O:$O,MATCH($D208,'Paramètres'!$M:$M,0))&amp;"",""))))</f>
        <v>Dépense Courante</v>
      </c>
      <c r="N208" s="6" t="str">
        <f>IF($D208="","",IFERROR(INDEX('Paramètres'!$Q:$Q,MATCH($D208,'Paramètres'!$M:$M,0))&amp;"",""))</f>
        <v>Alimentation</v>
      </c>
      <c r="O208" s="6">
        <f>IF($A208="","",IF(OR($J208&lt;&gt;"x",$A208&lt;=FinReleve),1,0))</f>
        <v>1</v>
      </c>
      <c r="P208" s="6">
        <f>IF($D208="","",IF(AND($L208="Crédit",OR(IFERROR(INDEX('Paramètres'!$O:$O,MATCH($D208,'Paramètres'!$M:$M,0))&amp;"","")&lt;&gt;"",ISNUMBER(SEARCH("remboursement",IFERROR(INDEX('Paramètres'!$N:$N,MATCH($D208,'Paramètres'!$M:$M,0))&amp;"",""))))),1,0))</f>
        <v>0</v>
      </c>
      <c r="Q208" s="6">
        <f>IF($K208="","",IF(ISNUMBER(SEARCH("transfert-interne",IFERROR(INDEX('Paramètres'!$N:$N,MATCH($D208,'Paramètres'!$M:$M,0))&amp;"",""))),0,IF($L208="Débit",$K208,IF($P208=1,-$K208,0))))</f>
        <v>80.6</v>
      </c>
      <c r="R208" s="6">
        <f>IF($K208="","",IF($L208="Crédit",$K208,-$K208))</f>
        <v>-80.6</v>
      </c>
      <c r="S208" s="6" t="str">
        <f>IF($C208="","",IFERROR(INDEX('Paramètres'!$H:$H,MATCH($C208,'Paramètres'!$D:$D,0))&amp;"",""))</f>
        <v>Banque A - Courant</v>
      </c>
      <c r="T208" s="6">
        <f>IF($K208="","",IF($S208="",0,IF(ISNUMBER(SEARCH("apport-exterieur",IFERROR(INDEX('Paramètres'!$N:$N,MATCH($D208,'Paramètres'!$M:$M,0))&amp;"",""))),0,IF(OR(IFERROR(INDEX('Paramètres'!$I:$I,MATCH($C208,'Paramètres'!$D:$D,0))&amp;"","")="Les deux",IFERROR(INDEX('Paramètres'!$I:$I,MATCH($C208,'Paramètres'!$D:$D,0))&amp;"","")=IF($P208=1,"Débit",$L208)),-IF($P208=1,-$K208,$K208),0))))</f>
        <v>-80.6</v>
      </c>
      <c r="U208" s="6">
        <f>IF($K208="","",IF(ISNUMBER(SEARCH("sortie-epargne",IFERROR(INDEX('Paramètres'!$N:$N,MATCH($D208,'Paramètres'!$M:$M,0))&amp;"",""))),$K208,0))</f>
        <v>0</v>
      </c>
      <c r="V208" s="6" t="str">
        <f>IF(AND($A208&lt;&gt;"",$O208=1,$L208="Débit",N($Q208)&gt;0,$A208&gt;=Visualisation!$B$1,$A208&lt;Visualisation!$D$1),MAX($V$1:V207)+1,"")</f>
        <v/>
      </c>
    </row>
    <row r="209" spans="1:22" x14ac:dyDescent="0.25">
      <c r="A209" s="9">
        <v>45664</v>
      </c>
      <c r="B209" s="4" t="s">
        <v>76</v>
      </c>
      <c r="C209" s="4" t="s">
        <v>67</v>
      </c>
      <c r="D209" s="4" t="s">
        <v>77</v>
      </c>
      <c r="E209" s="10">
        <v>168.92</v>
      </c>
      <c r="G209" s="4" t="s">
        <v>102</v>
      </c>
      <c r="H209" s="4"/>
      <c r="I209" s="4" t="s">
        <v>73</v>
      </c>
      <c r="K209" s="11">
        <f>IF($E209="","",ROUND($E209*IF(ISNA(MATCH($C209,'Paramètres'!$D:$D,0)),1,IF(INDEX('Paramètres'!$J:$J,MATCH($C209,'Paramètres'!$D:$D,0))="",1,INDEX('Paramètres'!$J:$J,MATCH($C209,'Paramètres'!$D:$D,0)))),2))</f>
        <v>84.46</v>
      </c>
      <c r="L209" s="6" t="str">
        <f>IF($D209="","",IF($F209&lt;&gt;"",$F209,IF(ISNA(MATCH($D209,'Paramètres'!$M:$M,0)),"⚠ Type inconnu",IFERROR(INDEX('Paramètres'!$P:$P,MATCH($D209,'Paramètres'!$M:$M,0))&amp;"",""))))</f>
        <v>Débit</v>
      </c>
      <c r="M209" s="6" t="str">
        <f>IF($D209="","",IF(ISNA(MATCH($D209,'Paramètres'!$M:$M,0)),"⚠ Type inconnu",IF($L209="Crédit","",IFERROR(INDEX('Paramètres'!$O:$O,MATCH($D209,'Paramètres'!$M:$M,0))&amp;"",""))))</f>
        <v>Dépense Courante</v>
      </c>
      <c r="N209" s="6" t="str">
        <f>IF($D209="","",IFERROR(INDEX('Paramètres'!$Q:$Q,MATCH($D209,'Paramètres'!$M:$M,0))&amp;"",""))</f>
        <v>Alimentation</v>
      </c>
      <c r="O209" s="6">
        <f>IF($A209="","",IF(OR($J209&lt;&gt;"x",$A209&lt;=FinReleve),1,0))</f>
        <v>1</v>
      </c>
      <c r="P209" s="6">
        <f>IF($D209="","",IF(AND($L209="Crédit",OR(IFERROR(INDEX('Paramètres'!$O:$O,MATCH($D209,'Paramètres'!$M:$M,0))&amp;"","")&lt;&gt;"",ISNUMBER(SEARCH("remboursement",IFERROR(INDEX('Paramètres'!$N:$N,MATCH($D209,'Paramètres'!$M:$M,0))&amp;"",""))))),1,0))</f>
        <v>0</v>
      </c>
      <c r="Q209" s="6">
        <f>IF($K209="","",IF(ISNUMBER(SEARCH("transfert-interne",IFERROR(INDEX('Paramètres'!$N:$N,MATCH($D209,'Paramètres'!$M:$M,0))&amp;"",""))),0,IF($L209="Débit",$K209,IF($P209=1,-$K209,0))))</f>
        <v>84.46</v>
      </c>
      <c r="R209" s="6">
        <f>IF($K209="","",IF($L209="Crédit",$K209,-$K209))</f>
        <v>-84.46</v>
      </c>
      <c r="S209" s="6" t="str">
        <f>IF($C209="","",IFERROR(INDEX('Paramètres'!$H:$H,MATCH($C209,'Paramètres'!$D:$D,0))&amp;"",""))</f>
        <v>Banque A - Courant</v>
      </c>
      <c r="T209" s="6">
        <f>IF($K209="","",IF($S209="",0,IF(ISNUMBER(SEARCH("apport-exterieur",IFERROR(INDEX('Paramètres'!$N:$N,MATCH($D209,'Paramètres'!$M:$M,0))&amp;"",""))),0,IF(OR(IFERROR(INDEX('Paramètres'!$I:$I,MATCH($C209,'Paramètres'!$D:$D,0))&amp;"","")="Les deux",IFERROR(INDEX('Paramètres'!$I:$I,MATCH($C209,'Paramètres'!$D:$D,0))&amp;"","")=IF($P209=1,"Débit",$L209)),-IF($P209=1,-$K209,$K209),0))))</f>
        <v>0</v>
      </c>
      <c r="U209" s="6">
        <f>IF($K209="","",IF(ISNUMBER(SEARCH("sortie-epargne",IFERROR(INDEX('Paramètres'!$N:$N,MATCH($D209,'Paramètres'!$M:$M,0))&amp;"",""))),$K209,0))</f>
        <v>0</v>
      </c>
      <c r="V209" s="6" t="str">
        <f>IF(AND($A209&lt;&gt;"",$O209=1,$L209="Débit",N($Q209)&gt;0,$A209&gt;=Visualisation!$B$1,$A209&lt;Visualisation!$D$1),MAX($V$1:V208)+1,"")</f>
        <v/>
      </c>
    </row>
    <row r="210" spans="1:22" x14ac:dyDescent="0.25">
      <c r="A210" s="9">
        <v>45664</v>
      </c>
      <c r="B210" s="4" t="s">
        <v>69</v>
      </c>
      <c r="C210" s="4" t="s">
        <v>70</v>
      </c>
      <c r="D210" s="4" t="s">
        <v>71</v>
      </c>
      <c r="E210" s="10">
        <v>8.94</v>
      </c>
      <c r="G210" s="4" t="s">
        <v>72</v>
      </c>
      <c r="H210" s="4"/>
      <c r="I210" s="4"/>
      <c r="K210" s="11">
        <f>IF($E210="","",ROUND($E210*IF(ISNA(MATCH($C210,'Paramètres'!$D:$D,0)),1,IF(INDEX('Paramètres'!$J:$J,MATCH($C210,'Paramètres'!$D:$D,0))="",1,INDEX('Paramètres'!$J:$J,MATCH($C210,'Paramètres'!$D:$D,0)))),2))</f>
        <v>8.94</v>
      </c>
      <c r="L210" s="6" t="str">
        <f>IF($D210="","",IF($F210&lt;&gt;"",$F210,IF(ISNA(MATCH($D210,'Paramètres'!$M:$M,0)),"⚠ Type inconnu",IFERROR(INDEX('Paramètres'!$P:$P,MATCH($D210,'Paramètres'!$M:$M,0))&amp;"",""))))</f>
        <v>Débit</v>
      </c>
      <c r="M210" s="6" t="str">
        <f>IF($D210="","",IF(ISNA(MATCH($D210,'Paramètres'!$M:$M,0)),"⚠ Type inconnu",IF($L210="Crédit","",IFERROR(INDEX('Paramètres'!$O:$O,MATCH($D210,'Paramètres'!$M:$M,0))&amp;"",""))))</f>
        <v>Dépense Courante</v>
      </c>
      <c r="N210" s="6" t="str">
        <f>IF($D210="","",IFERROR(INDEX('Paramètres'!$Q:$Q,MATCH($D210,'Paramètres'!$M:$M,0))&amp;"",""))</f>
        <v>Alimentation</v>
      </c>
      <c r="O210" s="6">
        <f>IF($A210="","",IF(OR($J210&lt;&gt;"x",$A210&lt;=FinReleve),1,0))</f>
        <v>1</v>
      </c>
      <c r="P210" s="6">
        <f>IF($D210="","",IF(AND($L210="Crédit",OR(IFERROR(INDEX('Paramètres'!$O:$O,MATCH($D210,'Paramètres'!$M:$M,0))&amp;"","")&lt;&gt;"",ISNUMBER(SEARCH("remboursement",IFERROR(INDEX('Paramètres'!$N:$N,MATCH($D210,'Paramètres'!$M:$M,0))&amp;"",""))))),1,0))</f>
        <v>0</v>
      </c>
      <c r="Q210" s="6">
        <f>IF($K210="","",IF(ISNUMBER(SEARCH("transfert-interne",IFERROR(INDEX('Paramètres'!$N:$N,MATCH($D210,'Paramètres'!$M:$M,0))&amp;"",""))),0,IF($L210="Débit",$K210,IF($P210=1,-$K210,0))))</f>
        <v>8.94</v>
      </c>
      <c r="R210" s="6">
        <f>IF($K210="","",IF($L210="Crédit",$K210,-$K210))</f>
        <v>-8.94</v>
      </c>
      <c r="S210" s="6" t="str">
        <f>IF($C210="","",IFERROR(INDEX('Paramètres'!$H:$H,MATCH($C210,'Paramètres'!$D:$D,0))&amp;"",""))</f>
        <v/>
      </c>
      <c r="T210" s="6">
        <f>IF($K210="","",IF($S210="",0,IF(ISNUMBER(SEARCH("apport-exterieur",IFERROR(INDEX('Paramètres'!$N:$N,MATCH($D210,'Paramètres'!$M:$M,0))&amp;"",""))),0,IF(OR(IFERROR(INDEX('Paramètres'!$I:$I,MATCH($C210,'Paramètres'!$D:$D,0))&amp;"","")="Les deux",IFERROR(INDEX('Paramètres'!$I:$I,MATCH($C210,'Paramètres'!$D:$D,0))&amp;"","")=IF($P210=1,"Débit",$L210)),-IF($P210=1,-$K210,$K210),0))))</f>
        <v>0</v>
      </c>
      <c r="U210" s="6">
        <f>IF($K210="","",IF(ISNUMBER(SEARCH("sortie-epargne",IFERROR(INDEX('Paramètres'!$N:$N,MATCH($D210,'Paramètres'!$M:$M,0))&amp;"",""))),$K210,0))</f>
        <v>0</v>
      </c>
      <c r="V210" s="6" t="str">
        <f>IF(AND($A210&lt;&gt;"",$O210=1,$L210="Débit",N($Q210)&gt;0,$A210&gt;=Visualisation!$B$1,$A210&lt;Visualisation!$D$1),MAX($V$1:V209)+1,"")</f>
        <v/>
      </c>
    </row>
    <row r="211" spans="1:22" x14ac:dyDescent="0.25">
      <c r="A211" s="9">
        <v>45665</v>
      </c>
      <c r="B211" s="4" t="s">
        <v>94</v>
      </c>
      <c r="C211" s="4" t="s">
        <v>65</v>
      </c>
      <c r="D211" s="4" t="s">
        <v>94</v>
      </c>
      <c r="E211" s="10">
        <v>168</v>
      </c>
      <c r="G211" s="4"/>
      <c r="H211" s="4"/>
      <c r="I211" s="4"/>
      <c r="K211" s="11">
        <f>IF($E211="","",ROUND($E211*IF(ISNA(MATCH($C211,'Paramètres'!$D:$D,0)),1,IF(INDEX('Paramètres'!$J:$J,MATCH($C211,'Paramètres'!$D:$D,0))="",1,INDEX('Paramètres'!$J:$J,MATCH($C211,'Paramètres'!$D:$D,0)))),2))</f>
        <v>168</v>
      </c>
      <c r="L211" s="6" t="str">
        <f>IF($D211="","",IF($F211&lt;&gt;"",$F211,IF(ISNA(MATCH($D211,'Paramètres'!$M:$M,0)),"⚠ Type inconnu",IFERROR(INDEX('Paramètres'!$P:$P,MATCH($D211,'Paramètres'!$M:$M,0))&amp;"",""))))</f>
        <v>Débit</v>
      </c>
      <c r="M211" s="6" t="str">
        <f>IF($D211="","",IF(ISNA(MATCH($D211,'Paramètres'!$M:$M,0)),"⚠ Type inconnu",IF($L211="Crédit","",IFERROR(INDEX('Paramètres'!$O:$O,MATCH($D211,'Paramètres'!$M:$M,0))&amp;"",""))))</f>
        <v>Dépense Fixe</v>
      </c>
      <c r="N211" s="6" t="str">
        <f>IF($D211="","",IFERROR(INDEX('Paramètres'!$Q:$Q,MATCH($D211,'Paramètres'!$M:$M,0))&amp;"",""))</f>
        <v>Immobilier</v>
      </c>
      <c r="O211" s="6">
        <f>IF($A211="","",IF(OR($J211&lt;&gt;"x",$A211&lt;=FinReleve),1,0))</f>
        <v>1</v>
      </c>
      <c r="P211" s="6">
        <f>IF($D211="","",IF(AND($L211="Crédit",OR(IFERROR(INDEX('Paramètres'!$O:$O,MATCH($D211,'Paramètres'!$M:$M,0))&amp;"","")&lt;&gt;"",ISNUMBER(SEARCH("remboursement",IFERROR(INDEX('Paramètres'!$N:$N,MATCH($D211,'Paramètres'!$M:$M,0))&amp;"",""))))),1,0))</f>
        <v>0</v>
      </c>
      <c r="Q211" s="6">
        <f>IF($K211="","",IF(ISNUMBER(SEARCH("transfert-interne",IFERROR(INDEX('Paramètres'!$N:$N,MATCH($D211,'Paramètres'!$M:$M,0))&amp;"",""))),0,IF($L211="Débit",$K211,IF($P211=1,-$K211,0))))</f>
        <v>168</v>
      </c>
      <c r="R211" s="6">
        <f>IF($K211="","",IF($L211="Crédit",$K211,-$K211))</f>
        <v>-168</v>
      </c>
      <c r="S211" s="6" t="str">
        <f>IF($C211="","",IFERROR(INDEX('Paramètres'!$H:$H,MATCH($C211,'Paramètres'!$D:$D,0))&amp;"",""))</f>
        <v>Banque A - Courant</v>
      </c>
      <c r="T211" s="6">
        <f>IF($K211="","",IF($S211="",0,IF(ISNUMBER(SEARCH("apport-exterieur",IFERROR(INDEX('Paramètres'!$N:$N,MATCH($D211,'Paramètres'!$M:$M,0))&amp;"",""))),0,IF(OR(IFERROR(INDEX('Paramètres'!$I:$I,MATCH($C211,'Paramètres'!$D:$D,0))&amp;"","")="Les deux",IFERROR(INDEX('Paramètres'!$I:$I,MATCH($C211,'Paramètres'!$D:$D,0))&amp;"","")=IF($P211=1,"Débit",$L211)),-IF($P211=1,-$K211,$K211),0))))</f>
        <v>0</v>
      </c>
      <c r="U211" s="6">
        <f>IF($K211="","",IF(ISNUMBER(SEARCH("sortie-epargne",IFERROR(INDEX('Paramètres'!$N:$N,MATCH($D211,'Paramètres'!$M:$M,0))&amp;"",""))),$K211,0))</f>
        <v>0</v>
      </c>
      <c r="V211" s="6" t="str">
        <f>IF(AND($A211&lt;&gt;"",$O211=1,$L211="Débit",N($Q211)&gt;0,$A211&gt;=Visualisation!$B$1,$A211&lt;Visualisation!$D$1),MAX($V$1:V210)+1,"")</f>
        <v/>
      </c>
    </row>
    <row r="212" spans="1:22" x14ac:dyDescent="0.25">
      <c r="A212" s="9">
        <v>45666</v>
      </c>
      <c r="B212" s="4" t="s">
        <v>76</v>
      </c>
      <c r="C212" s="4" t="s">
        <v>67</v>
      </c>
      <c r="D212" s="4" t="s">
        <v>77</v>
      </c>
      <c r="E212" s="10">
        <v>156.06</v>
      </c>
      <c r="G212" s="4" t="s">
        <v>95</v>
      </c>
      <c r="H212" s="4"/>
      <c r="I212" s="4" t="s">
        <v>79</v>
      </c>
      <c r="K212" s="11">
        <f>IF($E212="","",ROUND($E212*IF(ISNA(MATCH($C212,'Paramètres'!$D:$D,0)),1,IF(INDEX('Paramètres'!$J:$J,MATCH($C212,'Paramètres'!$D:$D,0))="",1,INDEX('Paramètres'!$J:$J,MATCH($C212,'Paramètres'!$D:$D,0)))),2))</f>
        <v>78.03</v>
      </c>
      <c r="L212" s="6" t="str">
        <f>IF($D212="","",IF($F212&lt;&gt;"",$F212,IF(ISNA(MATCH($D212,'Paramètres'!$M:$M,0)),"⚠ Type inconnu",IFERROR(INDEX('Paramètres'!$P:$P,MATCH($D212,'Paramètres'!$M:$M,0))&amp;"",""))))</f>
        <v>Débit</v>
      </c>
      <c r="M212" s="6" t="str">
        <f>IF($D212="","",IF(ISNA(MATCH($D212,'Paramètres'!$M:$M,0)),"⚠ Type inconnu",IF($L212="Crédit","",IFERROR(INDEX('Paramètres'!$O:$O,MATCH($D212,'Paramètres'!$M:$M,0))&amp;"",""))))</f>
        <v>Dépense Courante</v>
      </c>
      <c r="N212" s="6" t="str">
        <f>IF($D212="","",IFERROR(INDEX('Paramètres'!$Q:$Q,MATCH($D212,'Paramètres'!$M:$M,0))&amp;"",""))</f>
        <v>Alimentation</v>
      </c>
      <c r="O212" s="6">
        <f>IF($A212="","",IF(OR($J212&lt;&gt;"x",$A212&lt;=FinReleve),1,0))</f>
        <v>1</v>
      </c>
      <c r="P212" s="6">
        <f>IF($D212="","",IF(AND($L212="Crédit",OR(IFERROR(INDEX('Paramètres'!$O:$O,MATCH($D212,'Paramètres'!$M:$M,0))&amp;"","")&lt;&gt;"",ISNUMBER(SEARCH("remboursement",IFERROR(INDEX('Paramètres'!$N:$N,MATCH($D212,'Paramètres'!$M:$M,0))&amp;"",""))))),1,0))</f>
        <v>0</v>
      </c>
      <c r="Q212" s="6">
        <f>IF($K212="","",IF(ISNUMBER(SEARCH("transfert-interne",IFERROR(INDEX('Paramètres'!$N:$N,MATCH($D212,'Paramètres'!$M:$M,0))&amp;"",""))),0,IF($L212="Débit",$K212,IF($P212=1,-$K212,0))))</f>
        <v>78.03</v>
      </c>
      <c r="R212" s="6">
        <f>IF($K212="","",IF($L212="Crédit",$K212,-$K212))</f>
        <v>-78.03</v>
      </c>
      <c r="S212" s="6" t="str">
        <f>IF($C212="","",IFERROR(INDEX('Paramètres'!$H:$H,MATCH($C212,'Paramètres'!$D:$D,0))&amp;"",""))</f>
        <v>Banque A - Courant</v>
      </c>
      <c r="T212" s="6">
        <f>IF($K212="","",IF($S212="",0,IF(ISNUMBER(SEARCH("apport-exterieur",IFERROR(INDEX('Paramètres'!$N:$N,MATCH($D212,'Paramètres'!$M:$M,0))&amp;"",""))),0,IF(OR(IFERROR(INDEX('Paramètres'!$I:$I,MATCH($C212,'Paramètres'!$D:$D,0))&amp;"","")="Les deux",IFERROR(INDEX('Paramètres'!$I:$I,MATCH($C212,'Paramètres'!$D:$D,0))&amp;"","")=IF($P212=1,"Débit",$L212)),-IF($P212=1,-$K212,$K212),0))))</f>
        <v>0</v>
      </c>
      <c r="U212" s="6">
        <f>IF($K212="","",IF(ISNUMBER(SEARCH("sortie-epargne",IFERROR(INDEX('Paramètres'!$N:$N,MATCH($D212,'Paramètres'!$M:$M,0))&amp;"",""))),$K212,0))</f>
        <v>0</v>
      </c>
      <c r="V212" s="6" t="str">
        <f>IF(AND($A212&lt;&gt;"",$O212=1,$L212="Débit",N($Q212)&gt;0,$A212&gt;=Visualisation!$B$1,$A212&lt;Visualisation!$D$1),MAX($V$1:V211)+1,"")</f>
        <v/>
      </c>
    </row>
    <row r="213" spans="1:22" x14ac:dyDescent="0.25">
      <c r="A213" s="9">
        <v>45667</v>
      </c>
      <c r="B213" s="4" t="s">
        <v>96</v>
      </c>
      <c r="C213" s="4" t="s">
        <v>75</v>
      </c>
      <c r="D213" s="4" t="s">
        <v>96</v>
      </c>
      <c r="E213" s="10">
        <v>22.4</v>
      </c>
      <c r="G213" s="4"/>
      <c r="H213" s="4"/>
      <c r="I213" s="4"/>
      <c r="K213" s="11">
        <f>IF($E213="","",ROUND($E213*IF(ISNA(MATCH($C213,'Paramètres'!$D:$D,0)),1,IF(INDEX('Paramètres'!$J:$J,MATCH($C213,'Paramètres'!$D:$D,0))="",1,INDEX('Paramètres'!$J:$J,MATCH($C213,'Paramètres'!$D:$D,0)))),2))</f>
        <v>22.4</v>
      </c>
      <c r="L213" s="6" t="str">
        <f>IF($D213="","",IF($F213&lt;&gt;"",$F213,IF(ISNA(MATCH($D213,'Paramètres'!$M:$M,0)),"⚠ Type inconnu",IFERROR(INDEX('Paramètres'!$P:$P,MATCH($D213,'Paramètres'!$M:$M,0))&amp;"",""))))</f>
        <v>Débit</v>
      </c>
      <c r="M213" s="6" t="str">
        <f>IF($D213="","",IF(ISNA(MATCH($D213,'Paramètres'!$M:$M,0)),"⚠ Type inconnu",IF($L213="Crédit","",IFERROR(INDEX('Paramètres'!$O:$O,MATCH($D213,'Paramètres'!$M:$M,0))&amp;"",""))))</f>
        <v>Dépense Fixe</v>
      </c>
      <c r="N213" s="6" t="str">
        <f>IF($D213="","",IFERROR(INDEX('Paramètres'!$Q:$Q,MATCH($D213,'Paramètres'!$M:$M,0))&amp;"",""))</f>
        <v>Assurances</v>
      </c>
      <c r="O213" s="6">
        <f>IF($A213="","",IF(OR($J213&lt;&gt;"x",$A213&lt;=FinReleve),1,0))</f>
        <v>1</v>
      </c>
      <c r="P213" s="6">
        <f>IF($D213="","",IF(AND($L213="Crédit",OR(IFERROR(INDEX('Paramètres'!$O:$O,MATCH($D213,'Paramètres'!$M:$M,0))&amp;"","")&lt;&gt;"",ISNUMBER(SEARCH("remboursement",IFERROR(INDEX('Paramètres'!$N:$N,MATCH($D213,'Paramètres'!$M:$M,0))&amp;"",""))))),1,0))</f>
        <v>0</v>
      </c>
      <c r="Q213" s="6">
        <f>IF($K213="","",IF(ISNUMBER(SEARCH("transfert-interne",IFERROR(INDEX('Paramètres'!$N:$N,MATCH($D213,'Paramètres'!$M:$M,0))&amp;"",""))),0,IF($L213="Débit",$K213,IF($P213=1,-$K213,0))))</f>
        <v>22.4</v>
      </c>
      <c r="R213" s="6">
        <f>IF($K213="","",IF($L213="Crédit",$K213,-$K213))</f>
        <v>-22.4</v>
      </c>
      <c r="S213" s="6" t="str">
        <f>IF($C213="","",IFERROR(INDEX('Paramètres'!$H:$H,MATCH($C213,'Paramètres'!$D:$D,0))&amp;"",""))</f>
        <v/>
      </c>
      <c r="T213" s="6">
        <f>IF($K213="","",IF($S213="",0,IF(ISNUMBER(SEARCH("apport-exterieur",IFERROR(INDEX('Paramètres'!$N:$N,MATCH($D213,'Paramètres'!$M:$M,0))&amp;"",""))),0,IF(OR(IFERROR(INDEX('Paramètres'!$I:$I,MATCH($C213,'Paramètres'!$D:$D,0))&amp;"","")="Les deux",IFERROR(INDEX('Paramètres'!$I:$I,MATCH($C213,'Paramètres'!$D:$D,0))&amp;"","")=IF($P213=1,"Débit",$L213)),-IF($P213=1,-$K213,$K213),0))))</f>
        <v>0</v>
      </c>
      <c r="U213" s="6">
        <f>IF($K213="","",IF(ISNUMBER(SEARCH("sortie-epargne",IFERROR(INDEX('Paramètres'!$N:$N,MATCH($D213,'Paramètres'!$M:$M,0))&amp;"",""))),$K213,0))</f>
        <v>0</v>
      </c>
      <c r="V213" s="6" t="str">
        <f>IF(AND($A213&lt;&gt;"",$O213=1,$L213="Débit",N($Q213)&gt;0,$A213&gt;=Visualisation!$B$1,$A213&lt;Visualisation!$D$1),MAX($V$1:V212)+1,"")</f>
        <v/>
      </c>
    </row>
    <row r="214" spans="1:22" x14ac:dyDescent="0.25">
      <c r="A214" s="9">
        <v>45667</v>
      </c>
      <c r="B214" s="4" t="s">
        <v>76</v>
      </c>
      <c r="C214" s="4" t="s">
        <v>67</v>
      </c>
      <c r="D214" s="4" t="s">
        <v>77</v>
      </c>
      <c r="E214" s="10">
        <v>114.66</v>
      </c>
      <c r="G214" s="4" t="s">
        <v>98</v>
      </c>
      <c r="H214" s="4" t="s">
        <v>142</v>
      </c>
      <c r="I214" s="4" t="s">
        <v>73</v>
      </c>
      <c r="K214" s="11">
        <f>IF($E214="","",ROUND($E214*IF(ISNA(MATCH($C214,'Paramètres'!$D:$D,0)),1,IF(INDEX('Paramètres'!$J:$J,MATCH($C214,'Paramètres'!$D:$D,0))="",1,INDEX('Paramètres'!$J:$J,MATCH($C214,'Paramètres'!$D:$D,0)))),2))</f>
        <v>57.33</v>
      </c>
      <c r="L214" s="6" t="str">
        <f>IF($D214="","",IF($F214&lt;&gt;"",$F214,IF(ISNA(MATCH($D214,'Paramètres'!$M:$M,0)),"⚠ Type inconnu",IFERROR(INDEX('Paramètres'!$P:$P,MATCH($D214,'Paramètres'!$M:$M,0))&amp;"",""))))</f>
        <v>Débit</v>
      </c>
      <c r="M214" s="6" t="str">
        <f>IF($D214="","",IF(ISNA(MATCH($D214,'Paramètres'!$M:$M,0)),"⚠ Type inconnu",IF($L214="Crédit","",IFERROR(INDEX('Paramètres'!$O:$O,MATCH($D214,'Paramètres'!$M:$M,0))&amp;"",""))))</f>
        <v>Dépense Courante</v>
      </c>
      <c r="N214" s="6" t="str">
        <f>IF($D214="","",IFERROR(INDEX('Paramètres'!$Q:$Q,MATCH($D214,'Paramètres'!$M:$M,0))&amp;"",""))</f>
        <v>Alimentation</v>
      </c>
      <c r="O214" s="6">
        <f>IF($A214="","",IF(OR($J214&lt;&gt;"x",$A214&lt;=FinReleve),1,0))</f>
        <v>1</v>
      </c>
      <c r="P214" s="6">
        <f>IF($D214="","",IF(AND($L214="Crédit",OR(IFERROR(INDEX('Paramètres'!$O:$O,MATCH($D214,'Paramètres'!$M:$M,0))&amp;"","")&lt;&gt;"",ISNUMBER(SEARCH("remboursement",IFERROR(INDEX('Paramètres'!$N:$N,MATCH($D214,'Paramètres'!$M:$M,0))&amp;"",""))))),1,0))</f>
        <v>0</v>
      </c>
      <c r="Q214" s="6">
        <f>IF($K214="","",IF(ISNUMBER(SEARCH("transfert-interne",IFERROR(INDEX('Paramètres'!$N:$N,MATCH($D214,'Paramètres'!$M:$M,0))&amp;"",""))),0,IF($L214="Débit",$K214,IF($P214=1,-$K214,0))))</f>
        <v>57.33</v>
      </c>
      <c r="R214" s="6">
        <f>IF($K214="","",IF($L214="Crédit",$K214,-$K214))</f>
        <v>-57.33</v>
      </c>
      <c r="S214" s="6" t="str">
        <f>IF($C214="","",IFERROR(INDEX('Paramètres'!$H:$H,MATCH($C214,'Paramètres'!$D:$D,0))&amp;"",""))</f>
        <v>Banque A - Courant</v>
      </c>
      <c r="T214" s="6">
        <f>IF($K214="","",IF($S214="",0,IF(ISNUMBER(SEARCH("apport-exterieur",IFERROR(INDEX('Paramètres'!$N:$N,MATCH($D214,'Paramètres'!$M:$M,0))&amp;"",""))),0,IF(OR(IFERROR(INDEX('Paramètres'!$I:$I,MATCH($C214,'Paramètres'!$D:$D,0))&amp;"","")="Les deux",IFERROR(INDEX('Paramètres'!$I:$I,MATCH($C214,'Paramètres'!$D:$D,0))&amp;"","")=IF($P214=1,"Débit",$L214)),-IF($P214=1,-$K214,$K214),0))))</f>
        <v>0</v>
      </c>
      <c r="U214" s="6">
        <f>IF($K214="","",IF(ISNUMBER(SEARCH("sortie-epargne",IFERROR(INDEX('Paramètres'!$N:$N,MATCH($D214,'Paramètres'!$M:$M,0))&amp;"",""))),$K214,0))</f>
        <v>0</v>
      </c>
      <c r="V214" s="6" t="str">
        <f>IF(AND($A214&lt;&gt;"",$O214=1,$L214="Débit",N($Q214)&gt;0,$A214&gt;=Visualisation!$B$1,$A214&lt;Visualisation!$D$1),MAX($V$1:V213)+1,"")</f>
        <v/>
      </c>
    </row>
    <row r="215" spans="1:22" x14ac:dyDescent="0.25">
      <c r="A215" s="9">
        <v>45668</v>
      </c>
      <c r="B215" s="4" t="s">
        <v>76</v>
      </c>
      <c r="C215" s="4" t="s">
        <v>60</v>
      </c>
      <c r="D215" s="4" t="s">
        <v>77</v>
      </c>
      <c r="E215" s="10">
        <v>135.3</v>
      </c>
      <c r="G215" s="4" t="s">
        <v>95</v>
      </c>
      <c r="H215" s="4" t="s">
        <v>142</v>
      </c>
      <c r="I215" s="4"/>
      <c r="K215" s="11">
        <f>IF($E215="","",ROUND($E215*IF(ISNA(MATCH($C215,'Paramètres'!$D:$D,0)),1,IF(INDEX('Paramètres'!$J:$J,MATCH($C215,'Paramètres'!$D:$D,0))="",1,INDEX('Paramètres'!$J:$J,MATCH($C215,'Paramètres'!$D:$D,0)))),2))</f>
        <v>67.65</v>
      </c>
      <c r="L215" s="6" t="str">
        <f>IF($D215="","",IF($F215&lt;&gt;"",$F215,IF(ISNA(MATCH($D215,'Paramètres'!$M:$M,0)),"⚠ Type inconnu",IFERROR(INDEX('Paramètres'!$P:$P,MATCH($D215,'Paramètres'!$M:$M,0))&amp;"",""))))</f>
        <v>Débit</v>
      </c>
      <c r="M215" s="6" t="str">
        <f>IF($D215="","",IF(ISNA(MATCH($D215,'Paramètres'!$M:$M,0)),"⚠ Type inconnu",IF($L215="Crédit","",IFERROR(INDEX('Paramètres'!$O:$O,MATCH($D215,'Paramètres'!$M:$M,0))&amp;"",""))))</f>
        <v>Dépense Courante</v>
      </c>
      <c r="N215" s="6" t="str">
        <f>IF($D215="","",IFERROR(INDEX('Paramètres'!$Q:$Q,MATCH($D215,'Paramètres'!$M:$M,0))&amp;"",""))</f>
        <v>Alimentation</v>
      </c>
      <c r="O215" s="6">
        <f>IF($A215="","",IF(OR($J215&lt;&gt;"x",$A215&lt;=FinReleve),1,0))</f>
        <v>1</v>
      </c>
      <c r="P215" s="6">
        <f>IF($D215="","",IF(AND($L215="Crédit",OR(IFERROR(INDEX('Paramètres'!$O:$O,MATCH($D215,'Paramètres'!$M:$M,0))&amp;"","")&lt;&gt;"",ISNUMBER(SEARCH("remboursement",IFERROR(INDEX('Paramètres'!$N:$N,MATCH($D215,'Paramètres'!$M:$M,0))&amp;"",""))))),1,0))</f>
        <v>0</v>
      </c>
      <c r="Q215" s="6">
        <f>IF($K215="","",IF(ISNUMBER(SEARCH("transfert-interne",IFERROR(INDEX('Paramètres'!$N:$N,MATCH($D215,'Paramètres'!$M:$M,0))&amp;"",""))),0,IF($L215="Débit",$K215,IF($P215=1,-$K215,0))))</f>
        <v>67.65</v>
      </c>
      <c r="R215" s="6">
        <f>IF($K215="","",IF($L215="Crédit",$K215,-$K215))</f>
        <v>-67.65</v>
      </c>
      <c r="S215" s="6" t="str">
        <f>IF($C215="","",IFERROR(INDEX('Paramètres'!$H:$H,MATCH($C215,'Paramètres'!$D:$D,0))&amp;"",""))</f>
        <v>Banque A - Courant</v>
      </c>
      <c r="T215" s="6">
        <f>IF($K215="","",IF($S215="",0,IF(ISNUMBER(SEARCH("apport-exterieur",IFERROR(INDEX('Paramètres'!$N:$N,MATCH($D215,'Paramètres'!$M:$M,0))&amp;"",""))),0,IF(OR(IFERROR(INDEX('Paramètres'!$I:$I,MATCH($C215,'Paramètres'!$D:$D,0))&amp;"","")="Les deux",IFERROR(INDEX('Paramètres'!$I:$I,MATCH($C215,'Paramètres'!$D:$D,0))&amp;"","")=IF($P215=1,"Débit",$L215)),-IF($P215=1,-$K215,$K215),0))))</f>
        <v>-67.65</v>
      </c>
      <c r="U215" s="6">
        <f>IF($K215="","",IF(ISNUMBER(SEARCH("sortie-epargne",IFERROR(INDEX('Paramètres'!$N:$N,MATCH($D215,'Paramètres'!$M:$M,0))&amp;"",""))),$K215,0))</f>
        <v>0</v>
      </c>
      <c r="V215" s="6" t="str">
        <f>IF(AND($A215&lt;&gt;"",$O215=1,$L215="Débit",N($Q215)&gt;0,$A215&gt;=Visualisation!$B$1,$A215&lt;Visualisation!$D$1),MAX($V$1:V214)+1,"")</f>
        <v/>
      </c>
    </row>
    <row r="216" spans="1:22" x14ac:dyDescent="0.25">
      <c r="A216" s="9">
        <v>45668</v>
      </c>
      <c r="B216" s="4" t="s">
        <v>69</v>
      </c>
      <c r="C216" s="4" t="s">
        <v>70</v>
      </c>
      <c r="D216" s="4" t="s">
        <v>71</v>
      </c>
      <c r="E216" s="10">
        <v>8.81</v>
      </c>
      <c r="G216" s="4" t="s">
        <v>72</v>
      </c>
      <c r="H216" s="4"/>
      <c r="I216" s="4"/>
      <c r="K216" s="11">
        <f>IF($E216="","",ROUND($E216*IF(ISNA(MATCH($C216,'Paramètres'!$D:$D,0)),1,IF(INDEX('Paramètres'!$J:$J,MATCH($C216,'Paramètres'!$D:$D,0))="",1,INDEX('Paramètres'!$J:$J,MATCH($C216,'Paramètres'!$D:$D,0)))),2))</f>
        <v>8.81</v>
      </c>
      <c r="L216" s="6" t="str">
        <f>IF($D216="","",IF($F216&lt;&gt;"",$F216,IF(ISNA(MATCH($D216,'Paramètres'!$M:$M,0)),"⚠ Type inconnu",IFERROR(INDEX('Paramètres'!$P:$P,MATCH($D216,'Paramètres'!$M:$M,0))&amp;"",""))))</f>
        <v>Débit</v>
      </c>
      <c r="M216" s="6" t="str">
        <f>IF($D216="","",IF(ISNA(MATCH($D216,'Paramètres'!$M:$M,0)),"⚠ Type inconnu",IF($L216="Crédit","",IFERROR(INDEX('Paramètres'!$O:$O,MATCH($D216,'Paramètres'!$M:$M,0))&amp;"",""))))</f>
        <v>Dépense Courante</v>
      </c>
      <c r="N216" s="6" t="str">
        <f>IF($D216="","",IFERROR(INDEX('Paramètres'!$Q:$Q,MATCH($D216,'Paramètres'!$M:$M,0))&amp;"",""))</f>
        <v>Alimentation</v>
      </c>
      <c r="O216" s="6">
        <f>IF($A216="","",IF(OR($J216&lt;&gt;"x",$A216&lt;=FinReleve),1,0))</f>
        <v>1</v>
      </c>
      <c r="P216" s="6">
        <f>IF($D216="","",IF(AND($L216="Crédit",OR(IFERROR(INDEX('Paramètres'!$O:$O,MATCH($D216,'Paramètres'!$M:$M,0))&amp;"","")&lt;&gt;"",ISNUMBER(SEARCH("remboursement",IFERROR(INDEX('Paramètres'!$N:$N,MATCH($D216,'Paramètres'!$M:$M,0))&amp;"",""))))),1,0))</f>
        <v>0</v>
      </c>
      <c r="Q216" s="6">
        <f>IF($K216="","",IF(ISNUMBER(SEARCH("transfert-interne",IFERROR(INDEX('Paramètres'!$N:$N,MATCH($D216,'Paramètres'!$M:$M,0))&amp;"",""))),0,IF($L216="Débit",$K216,IF($P216=1,-$K216,0))))</f>
        <v>8.81</v>
      </c>
      <c r="R216" s="6">
        <f>IF($K216="","",IF($L216="Crédit",$K216,-$K216))</f>
        <v>-8.81</v>
      </c>
      <c r="S216" s="6" t="str">
        <f>IF($C216="","",IFERROR(INDEX('Paramètres'!$H:$H,MATCH($C216,'Paramètres'!$D:$D,0))&amp;"",""))</f>
        <v/>
      </c>
      <c r="T216" s="6">
        <f>IF($K216="","",IF($S216="",0,IF(ISNUMBER(SEARCH("apport-exterieur",IFERROR(INDEX('Paramètres'!$N:$N,MATCH($D216,'Paramètres'!$M:$M,0))&amp;"",""))),0,IF(OR(IFERROR(INDEX('Paramètres'!$I:$I,MATCH($C216,'Paramètres'!$D:$D,0))&amp;"","")="Les deux",IFERROR(INDEX('Paramètres'!$I:$I,MATCH($C216,'Paramètres'!$D:$D,0))&amp;"","")=IF($P216=1,"Débit",$L216)),-IF($P216=1,-$K216,$K216),0))))</f>
        <v>0</v>
      </c>
      <c r="U216" s="6">
        <f>IF($K216="","",IF(ISNUMBER(SEARCH("sortie-epargne",IFERROR(INDEX('Paramètres'!$N:$N,MATCH($D216,'Paramètres'!$M:$M,0))&amp;"",""))),$K216,0))</f>
        <v>0</v>
      </c>
      <c r="V216" s="6" t="str">
        <f>IF(AND($A216&lt;&gt;"",$O216=1,$L216="Débit",N($Q216)&gt;0,$A216&gt;=Visualisation!$B$1,$A216&lt;Visualisation!$D$1),MAX($V$1:V215)+1,"")</f>
        <v/>
      </c>
    </row>
    <row r="217" spans="1:22" x14ac:dyDescent="0.25">
      <c r="A217" s="9">
        <v>45668</v>
      </c>
      <c r="B217" s="4" t="s">
        <v>69</v>
      </c>
      <c r="C217" s="4" t="s">
        <v>70</v>
      </c>
      <c r="D217" s="4" t="s">
        <v>71</v>
      </c>
      <c r="E217" s="10">
        <v>14.08</v>
      </c>
      <c r="G217" s="4" t="s">
        <v>72</v>
      </c>
      <c r="H217" s="4"/>
      <c r="I217" s="4" t="s">
        <v>63</v>
      </c>
      <c r="K217" s="11">
        <f>IF($E217="","",ROUND($E217*IF(ISNA(MATCH($C217,'Paramètres'!$D:$D,0)),1,IF(INDEX('Paramètres'!$J:$J,MATCH($C217,'Paramètres'!$D:$D,0))="",1,INDEX('Paramètres'!$J:$J,MATCH($C217,'Paramètres'!$D:$D,0)))),2))</f>
        <v>14.08</v>
      </c>
      <c r="L217" s="6" t="str">
        <f>IF($D217="","",IF($F217&lt;&gt;"",$F217,IF(ISNA(MATCH($D217,'Paramètres'!$M:$M,0)),"⚠ Type inconnu",IFERROR(INDEX('Paramètres'!$P:$P,MATCH($D217,'Paramètres'!$M:$M,0))&amp;"",""))))</f>
        <v>Débit</v>
      </c>
      <c r="M217" s="6" t="str">
        <f>IF($D217="","",IF(ISNA(MATCH($D217,'Paramètres'!$M:$M,0)),"⚠ Type inconnu",IF($L217="Crédit","",IFERROR(INDEX('Paramètres'!$O:$O,MATCH($D217,'Paramètres'!$M:$M,0))&amp;"",""))))</f>
        <v>Dépense Courante</v>
      </c>
      <c r="N217" s="6" t="str">
        <f>IF($D217="","",IFERROR(INDEX('Paramètres'!$Q:$Q,MATCH($D217,'Paramètres'!$M:$M,0))&amp;"",""))</f>
        <v>Alimentation</v>
      </c>
      <c r="O217" s="6">
        <f>IF($A217="","",IF(OR($J217&lt;&gt;"x",$A217&lt;=FinReleve),1,0))</f>
        <v>1</v>
      </c>
      <c r="P217" s="6">
        <f>IF($D217="","",IF(AND($L217="Crédit",OR(IFERROR(INDEX('Paramètres'!$O:$O,MATCH($D217,'Paramètres'!$M:$M,0))&amp;"","")&lt;&gt;"",ISNUMBER(SEARCH("remboursement",IFERROR(INDEX('Paramètres'!$N:$N,MATCH($D217,'Paramètres'!$M:$M,0))&amp;"",""))))),1,0))</f>
        <v>0</v>
      </c>
      <c r="Q217" s="6">
        <f>IF($K217="","",IF(ISNUMBER(SEARCH("transfert-interne",IFERROR(INDEX('Paramètres'!$N:$N,MATCH($D217,'Paramètres'!$M:$M,0))&amp;"",""))),0,IF($L217="Débit",$K217,IF($P217=1,-$K217,0))))</f>
        <v>14.08</v>
      </c>
      <c r="R217" s="6">
        <f>IF($K217="","",IF($L217="Crédit",$K217,-$K217))</f>
        <v>-14.08</v>
      </c>
      <c r="S217" s="6" t="str">
        <f>IF($C217="","",IFERROR(INDEX('Paramètres'!$H:$H,MATCH($C217,'Paramètres'!$D:$D,0))&amp;"",""))</f>
        <v/>
      </c>
      <c r="T217" s="6">
        <f>IF($K217="","",IF($S217="",0,IF(ISNUMBER(SEARCH("apport-exterieur",IFERROR(INDEX('Paramètres'!$N:$N,MATCH($D217,'Paramètres'!$M:$M,0))&amp;"",""))),0,IF(OR(IFERROR(INDEX('Paramètres'!$I:$I,MATCH($C217,'Paramètres'!$D:$D,0))&amp;"","")="Les deux",IFERROR(INDEX('Paramètres'!$I:$I,MATCH($C217,'Paramètres'!$D:$D,0))&amp;"","")=IF($P217=1,"Débit",$L217)),-IF($P217=1,-$K217,$K217),0))))</f>
        <v>0</v>
      </c>
      <c r="U217" s="6">
        <f>IF($K217="","",IF(ISNUMBER(SEARCH("sortie-epargne",IFERROR(INDEX('Paramètres'!$N:$N,MATCH($D217,'Paramètres'!$M:$M,0))&amp;"",""))),$K217,0))</f>
        <v>0</v>
      </c>
      <c r="V217" s="6" t="str">
        <f>IF(AND($A217&lt;&gt;"",$O217=1,$L217="Débit",N($Q217)&gt;0,$A217&gt;=Visualisation!$B$1,$A217&lt;Visualisation!$D$1),MAX($V$1:V216)+1,"")</f>
        <v/>
      </c>
    </row>
    <row r="218" spans="1:22" x14ac:dyDescent="0.25">
      <c r="A218" s="9">
        <v>45669</v>
      </c>
      <c r="B218" s="4" t="s">
        <v>97</v>
      </c>
      <c r="C218" s="4" t="s">
        <v>75</v>
      </c>
      <c r="D218" s="4" t="s">
        <v>97</v>
      </c>
      <c r="E218" s="10">
        <v>47.9</v>
      </c>
      <c r="G218" s="4"/>
      <c r="H218" s="4"/>
      <c r="I218" s="4"/>
      <c r="K218" s="11">
        <f>IF($E218="","",ROUND($E218*IF(ISNA(MATCH($C218,'Paramètres'!$D:$D,0)),1,IF(INDEX('Paramètres'!$J:$J,MATCH($C218,'Paramètres'!$D:$D,0))="",1,INDEX('Paramètres'!$J:$J,MATCH($C218,'Paramètres'!$D:$D,0)))),2))</f>
        <v>47.9</v>
      </c>
      <c r="L218" s="6" t="str">
        <f>IF($D218="","",IF($F218&lt;&gt;"",$F218,IF(ISNA(MATCH($D218,'Paramètres'!$M:$M,0)),"⚠ Type inconnu",IFERROR(INDEX('Paramètres'!$P:$P,MATCH($D218,'Paramètres'!$M:$M,0))&amp;"",""))))</f>
        <v>Débit</v>
      </c>
      <c r="M218" s="6" t="str">
        <f>IF($D218="","",IF(ISNA(MATCH($D218,'Paramètres'!$M:$M,0)),"⚠ Type inconnu",IF($L218="Crédit","",IFERROR(INDEX('Paramètres'!$O:$O,MATCH($D218,'Paramètres'!$M:$M,0))&amp;"",""))))</f>
        <v>Dépense Fixe</v>
      </c>
      <c r="N218" s="6" t="str">
        <f>IF($D218="","",IFERROR(INDEX('Paramètres'!$Q:$Q,MATCH($D218,'Paramètres'!$M:$M,0))&amp;"",""))</f>
        <v>Assurances</v>
      </c>
      <c r="O218" s="6">
        <f>IF($A218="","",IF(OR($J218&lt;&gt;"x",$A218&lt;=FinReleve),1,0))</f>
        <v>1</v>
      </c>
      <c r="P218" s="6">
        <f>IF($D218="","",IF(AND($L218="Crédit",OR(IFERROR(INDEX('Paramètres'!$O:$O,MATCH($D218,'Paramètres'!$M:$M,0))&amp;"","")&lt;&gt;"",ISNUMBER(SEARCH("remboursement",IFERROR(INDEX('Paramètres'!$N:$N,MATCH($D218,'Paramètres'!$M:$M,0))&amp;"",""))))),1,0))</f>
        <v>0</v>
      </c>
      <c r="Q218" s="6">
        <f>IF($K218="","",IF(ISNUMBER(SEARCH("transfert-interne",IFERROR(INDEX('Paramètres'!$N:$N,MATCH($D218,'Paramètres'!$M:$M,0))&amp;"",""))),0,IF($L218="Débit",$K218,IF($P218=1,-$K218,0))))</f>
        <v>47.9</v>
      </c>
      <c r="R218" s="6">
        <f>IF($K218="","",IF($L218="Crédit",$K218,-$K218))</f>
        <v>-47.9</v>
      </c>
      <c r="S218" s="6" t="str">
        <f>IF($C218="","",IFERROR(INDEX('Paramètres'!$H:$H,MATCH($C218,'Paramètres'!$D:$D,0))&amp;"",""))</f>
        <v/>
      </c>
      <c r="T218" s="6">
        <f>IF($K218="","",IF($S218="",0,IF(ISNUMBER(SEARCH("apport-exterieur",IFERROR(INDEX('Paramètres'!$N:$N,MATCH($D218,'Paramètres'!$M:$M,0))&amp;"",""))),0,IF(OR(IFERROR(INDEX('Paramètres'!$I:$I,MATCH($C218,'Paramètres'!$D:$D,0))&amp;"","")="Les deux",IFERROR(INDEX('Paramètres'!$I:$I,MATCH($C218,'Paramètres'!$D:$D,0))&amp;"","")=IF($P218=1,"Débit",$L218)),-IF($P218=1,-$K218,$K218),0))))</f>
        <v>0</v>
      </c>
      <c r="U218" s="6">
        <f>IF($K218="","",IF(ISNUMBER(SEARCH("sortie-epargne",IFERROR(INDEX('Paramètres'!$N:$N,MATCH($D218,'Paramètres'!$M:$M,0))&amp;"",""))),$K218,0))</f>
        <v>0</v>
      </c>
      <c r="V218" s="6" t="str">
        <f>IF(AND($A218&lt;&gt;"",$O218=1,$L218="Débit",N($Q218)&gt;0,$A218&gt;=Visualisation!$B$1,$A218&lt;Visualisation!$D$1),MAX($V$1:V217)+1,"")</f>
        <v/>
      </c>
    </row>
    <row r="219" spans="1:22" x14ac:dyDescent="0.25">
      <c r="A219" s="9">
        <v>45669</v>
      </c>
      <c r="B219" s="4" t="s">
        <v>59</v>
      </c>
      <c r="C219" s="4" t="s">
        <v>126</v>
      </c>
      <c r="D219" s="4" t="s">
        <v>59</v>
      </c>
      <c r="E219" s="10">
        <v>125.02</v>
      </c>
      <c r="G219" s="4" t="s">
        <v>128</v>
      </c>
      <c r="H219" s="4" t="s">
        <v>142</v>
      </c>
      <c r="I219" s="4"/>
      <c r="K219" s="11">
        <f>IF($E219="","",ROUND($E219*IF(ISNA(MATCH($C219,'Paramètres'!$D:$D,0)),1,IF(INDEX('Paramètres'!$J:$J,MATCH($C219,'Paramètres'!$D:$D,0))="",1,INDEX('Paramètres'!$J:$J,MATCH($C219,'Paramètres'!$D:$D,0)))),2))</f>
        <v>62.51</v>
      </c>
      <c r="L219" s="6" t="str">
        <f>IF($D219="","",IF($F219&lt;&gt;"",$F219,IF(ISNA(MATCH($D219,'Paramètres'!$M:$M,0)),"⚠ Type inconnu",IFERROR(INDEX('Paramètres'!$P:$P,MATCH($D219,'Paramètres'!$M:$M,0))&amp;"",""))))</f>
        <v>Débit</v>
      </c>
      <c r="M219" s="6" t="str">
        <f>IF($D219="","",IF(ISNA(MATCH($D219,'Paramètres'!$M:$M,0)),"⚠ Type inconnu",IF($L219="Crédit","",IFERROR(INDEX('Paramètres'!$O:$O,MATCH($D219,'Paramètres'!$M:$M,0))&amp;"",""))))</f>
        <v>Dépense Occasionnelle</v>
      </c>
      <c r="N219" s="6" t="str">
        <f>IF($D219="","",IFERROR(INDEX('Paramètres'!$Q:$Q,MATCH($D219,'Paramètres'!$M:$M,0))&amp;"",""))</f>
        <v>Loisir</v>
      </c>
      <c r="O219" s="6">
        <f>IF($A219="","",IF(OR($J219&lt;&gt;"x",$A219&lt;=FinReleve),1,0))</f>
        <v>1</v>
      </c>
      <c r="P219" s="6">
        <f>IF($D219="","",IF(AND($L219="Crédit",OR(IFERROR(INDEX('Paramètres'!$O:$O,MATCH($D219,'Paramètres'!$M:$M,0))&amp;"","")&lt;&gt;"",ISNUMBER(SEARCH("remboursement",IFERROR(INDEX('Paramètres'!$N:$N,MATCH($D219,'Paramètres'!$M:$M,0))&amp;"",""))))),1,0))</f>
        <v>0</v>
      </c>
      <c r="Q219" s="6">
        <f>IF($K219="","",IF(ISNUMBER(SEARCH("transfert-interne",IFERROR(INDEX('Paramètres'!$N:$N,MATCH($D219,'Paramètres'!$M:$M,0))&amp;"",""))),0,IF($L219="Débit",$K219,IF($P219=1,-$K219,0))))</f>
        <v>62.51</v>
      </c>
      <c r="R219" s="6">
        <f>IF($K219="","",IF($L219="Crédit",$K219,-$K219))</f>
        <v>-62.51</v>
      </c>
      <c r="S219" s="6" t="str">
        <f>IF($C219="","",IFERROR(INDEX('Paramètres'!$H:$H,MATCH($C219,'Paramètres'!$D:$D,0))&amp;"",""))</f>
        <v>Banque A - Courant</v>
      </c>
      <c r="T219" s="6">
        <f>IF($K219="","",IF($S219="",0,IF(ISNUMBER(SEARCH("apport-exterieur",IFERROR(INDEX('Paramètres'!$N:$N,MATCH($D219,'Paramètres'!$M:$M,0))&amp;"",""))),0,IF(OR(IFERROR(INDEX('Paramètres'!$I:$I,MATCH($C219,'Paramètres'!$D:$D,0))&amp;"","")="Les deux",IFERROR(INDEX('Paramètres'!$I:$I,MATCH($C219,'Paramètres'!$D:$D,0))&amp;"","")=IF($P219=1,"Débit",$L219)),-IF($P219=1,-$K219,$K219),0))))</f>
        <v>-62.51</v>
      </c>
      <c r="U219" s="6">
        <f>IF($K219="","",IF(ISNUMBER(SEARCH("sortie-epargne",IFERROR(INDEX('Paramètres'!$N:$N,MATCH($D219,'Paramètres'!$M:$M,0))&amp;"",""))),$K219,0))</f>
        <v>0</v>
      </c>
      <c r="V219" s="6" t="str">
        <f>IF(AND($A219&lt;&gt;"",$O219=1,$L219="Débit",N($Q219)&gt;0,$A219&gt;=Visualisation!$B$1,$A219&lt;Visualisation!$D$1),MAX($V$1:V218)+1,"")</f>
        <v/>
      </c>
    </row>
    <row r="220" spans="1:22" x14ac:dyDescent="0.25">
      <c r="A220" s="9">
        <v>45670</v>
      </c>
      <c r="B220" s="4" t="s">
        <v>76</v>
      </c>
      <c r="C220" s="4" t="s">
        <v>67</v>
      </c>
      <c r="D220" s="4" t="s">
        <v>77</v>
      </c>
      <c r="E220" s="10">
        <v>144.82</v>
      </c>
      <c r="G220" s="4" t="s">
        <v>98</v>
      </c>
      <c r="H220" s="4" t="s">
        <v>142</v>
      </c>
      <c r="I220" s="4" t="s">
        <v>73</v>
      </c>
      <c r="K220" s="11">
        <f>IF($E220="","",ROUND($E220*IF(ISNA(MATCH($C220,'Paramètres'!$D:$D,0)),1,IF(INDEX('Paramètres'!$J:$J,MATCH($C220,'Paramètres'!$D:$D,0))="",1,INDEX('Paramètres'!$J:$J,MATCH($C220,'Paramètres'!$D:$D,0)))),2))</f>
        <v>72.41</v>
      </c>
      <c r="L220" s="6" t="str">
        <f>IF($D220="","",IF($F220&lt;&gt;"",$F220,IF(ISNA(MATCH($D220,'Paramètres'!$M:$M,0)),"⚠ Type inconnu",IFERROR(INDEX('Paramètres'!$P:$P,MATCH($D220,'Paramètres'!$M:$M,0))&amp;"",""))))</f>
        <v>Débit</v>
      </c>
      <c r="M220" s="6" t="str">
        <f>IF($D220="","",IF(ISNA(MATCH($D220,'Paramètres'!$M:$M,0)),"⚠ Type inconnu",IF($L220="Crédit","",IFERROR(INDEX('Paramètres'!$O:$O,MATCH($D220,'Paramètres'!$M:$M,0))&amp;"",""))))</f>
        <v>Dépense Courante</v>
      </c>
      <c r="N220" s="6" t="str">
        <f>IF($D220="","",IFERROR(INDEX('Paramètres'!$Q:$Q,MATCH($D220,'Paramètres'!$M:$M,0))&amp;"",""))</f>
        <v>Alimentation</v>
      </c>
      <c r="O220" s="6">
        <f>IF($A220="","",IF(OR($J220&lt;&gt;"x",$A220&lt;=FinReleve),1,0))</f>
        <v>1</v>
      </c>
      <c r="P220" s="6">
        <f>IF($D220="","",IF(AND($L220="Crédit",OR(IFERROR(INDEX('Paramètres'!$O:$O,MATCH($D220,'Paramètres'!$M:$M,0))&amp;"","")&lt;&gt;"",ISNUMBER(SEARCH("remboursement",IFERROR(INDEX('Paramètres'!$N:$N,MATCH($D220,'Paramètres'!$M:$M,0))&amp;"",""))))),1,0))</f>
        <v>0</v>
      </c>
      <c r="Q220" s="6">
        <f>IF($K220="","",IF(ISNUMBER(SEARCH("transfert-interne",IFERROR(INDEX('Paramètres'!$N:$N,MATCH($D220,'Paramètres'!$M:$M,0))&amp;"",""))),0,IF($L220="Débit",$K220,IF($P220=1,-$K220,0))))</f>
        <v>72.41</v>
      </c>
      <c r="R220" s="6">
        <f>IF($K220="","",IF($L220="Crédit",$K220,-$K220))</f>
        <v>-72.41</v>
      </c>
      <c r="S220" s="6" t="str">
        <f>IF($C220="","",IFERROR(INDEX('Paramètres'!$H:$H,MATCH($C220,'Paramètres'!$D:$D,0))&amp;"",""))</f>
        <v>Banque A - Courant</v>
      </c>
      <c r="T220" s="6">
        <f>IF($K220="","",IF($S220="",0,IF(ISNUMBER(SEARCH("apport-exterieur",IFERROR(INDEX('Paramètres'!$N:$N,MATCH($D220,'Paramètres'!$M:$M,0))&amp;"",""))),0,IF(OR(IFERROR(INDEX('Paramètres'!$I:$I,MATCH($C220,'Paramètres'!$D:$D,0))&amp;"","")="Les deux",IFERROR(INDEX('Paramètres'!$I:$I,MATCH($C220,'Paramètres'!$D:$D,0))&amp;"","")=IF($P220=1,"Débit",$L220)),-IF($P220=1,-$K220,$K220),0))))</f>
        <v>0</v>
      </c>
      <c r="U220" s="6">
        <f>IF($K220="","",IF(ISNUMBER(SEARCH("sortie-epargne",IFERROR(INDEX('Paramètres'!$N:$N,MATCH($D220,'Paramètres'!$M:$M,0))&amp;"",""))),$K220,0))</f>
        <v>0</v>
      </c>
      <c r="V220" s="6" t="str">
        <f>IF(AND($A220&lt;&gt;"",$O220=1,$L220="Débit",N($Q220)&gt;0,$A220&gt;=Visualisation!$B$1,$A220&lt;Visualisation!$D$1),MAX($V$1:V219)+1,"")</f>
        <v/>
      </c>
    </row>
    <row r="221" spans="1:22" x14ac:dyDescent="0.25">
      <c r="A221" s="9">
        <v>45670</v>
      </c>
      <c r="B221" s="4" t="s">
        <v>69</v>
      </c>
      <c r="C221" s="4" t="s">
        <v>70</v>
      </c>
      <c r="D221" s="4" t="s">
        <v>71</v>
      </c>
      <c r="E221" s="10">
        <v>9.61</v>
      </c>
      <c r="G221" s="4" t="s">
        <v>72</v>
      </c>
      <c r="H221" s="4"/>
      <c r="I221" s="4" t="s">
        <v>73</v>
      </c>
      <c r="K221" s="11">
        <f>IF($E221="","",ROUND($E221*IF(ISNA(MATCH($C221,'Paramètres'!$D:$D,0)),1,IF(INDEX('Paramètres'!$J:$J,MATCH($C221,'Paramètres'!$D:$D,0))="",1,INDEX('Paramètres'!$J:$J,MATCH($C221,'Paramètres'!$D:$D,0)))),2))</f>
        <v>9.61</v>
      </c>
      <c r="L221" s="6" t="str">
        <f>IF($D221="","",IF($F221&lt;&gt;"",$F221,IF(ISNA(MATCH($D221,'Paramètres'!$M:$M,0)),"⚠ Type inconnu",IFERROR(INDEX('Paramètres'!$P:$P,MATCH($D221,'Paramètres'!$M:$M,0))&amp;"",""))))</f>
        <v>Débit</v>
      </c>
      <c r="M221" s="6" t="str">
        <f>IF($D221="","",IF(ISNA(MATCH($D221,'Paramètres'!$M:$M,0)),"⚠ Type inconnu",IF($L221="Crédit","",IFERROR(INDEX('Paramètres'!$O:$O,MATCH($D221,'Paramètres'!$M:$M,0))&amp;"",""))))</f>
        <v>Dépense Courante</v>
      </c>
      <c r="N221" s="6" t="str">
        <f>IF($D221="","",IFERROR(INDEX('Paramètres'!$Q:$Q,MATCH($D221,'Paramètres'!$M:$M,0))&amp;"",""))</f>
        <v>Alimentation</v>
      </c>
      <c r="O221" s="6">
        <f>IF($A221="","",IF(OR($J221&lt;&gt;"x",$A221&lt;=FinReleve),1,0))</f>
        <v>1</v>
      </c>
      <c r="P221" s="6">
        <f>IF($D221="","",IF(AND($L221="Crédit",OR(IFERROR(INDEX('Paramètres'!$O:$O,MATCH($D221,'Paramètres'!$M:$M,0))&amp;"","")&lt;&gt;"",ISNUMBER(SEARCH("remboursement",IFERROR(INDEX('Paramètres'!$N:$N,MATCH($D221,'Paramètres'!$M:$M,0))&amp;"",""))))),1,0))</f>
        <v>0</v>
      </c>
      <c r="Q221" s="6">
        <f>IF($K221="","",IF(ISNUMBER(SEARCH("transfert-interne",IFERROR(INDEX('Paramètres'!$N:$N,MATCH($D221,'Paramètres'!$M:$M,0))&amp;"",""))),0,IF($L221="Débit",$K221,IF($P221=1,-$K221,0))))</f>
        <v>9.61</v>
      </c>
      <c r="R221" s="6">
        <f>IF($K221="","",IF($L221="Crédit",$K221,-$K221))</f>
        <v>-9.61</v>
      </c>
      <c r="S221" s="6" t="str">
        <f>IF($C221="","",IFERROR(INDEX('Paramètres'!$H:$H,MATCH($C221,'Paramètres'!$D:$D,0))&amp;"",""))</f>
        <v/>
      </c>
      <c r="T221" s="6">
        <f>IF($K221="","",IF($S221="",0,IF(ISNUMBER(SEARCH("apport-exterieur",IFERROR(INDEX('Paramètres'!$N:$N,MATCH($D221,'Paramètres'!$M:$M,0))&amp;"",""))),0,IF(OR(IFERROR(INDEX('Paramètres'!$I:$I,MATCH($C221,'Paramètres'!$D:$D,0))&amp;"","")="Les deux",IFERROR(INDEX('Paramètres'!$I:$I,MATCH($C221,'Paramètres'!$D:$D,0))&amp;"","")=IF($P221=1,"Débit",$L221)),-IF($P221=1,-$K221,$K221),0))))</f>
        <v>0</v>
      </c>
      <c r="U221" s="6">
        <f>IF($K221="","",IF(ISNUMBER(SEARCH("sortie-epargne",IFERROR(INDEX('Paramètres'!$N:$N,MATCH($D221,'Paramètres'!$M:$M,0))&amp;"",""))),$K221,0))</f>
        <v>0</v>
      </c>
      <c r="V221" s="6" t="str">
        <f>IF(AND($A221&lt;&gt;"",$O221=1,$L221="Débit",N($Q221)&gt;0,$A221&gt;=Visualisation!$B$1,$A221&lt;Visualisation!$D$1),MAX($V$1:V220)+1,"")</f>
        <v/>
      </c>
    </row>
    <row r="222" spans="1:22" x14ac:dyDescent="0.25">
      <c r="A222" s="9">
        <v>45671</v>
      </c>
      <c r="B222" s="4" t="s">
        <v>116</v>
      </c>
      <c r="C222" s="4" t="s">
        <v>126</v>
      </c>
      <c r="D222" s="4" t="s">
        <v>116</v>
      </c>
      <c r="E222" s="10">
        <v>44.88</v>
      </c>
      <c r="G222" s="4" t="s">
        <v>139</v>
      </c>
      <c r="H222" s="4"/>
      <c r="I222" s="4" t="s">
        <v>73</v>
      </c>
      <c r="K222" s="11">
        <f>IF($E222="","",ROUND($E222*IF(ISNA(MATCH($C222,'Paramètres'!$D:$D,0)),1,IF(INDEX('Paramètres'!$J:$J,MATCH($C222,'Paramètres'!$D:$D,0))="",1,INDEX('Paramètres'!$J:$J,MATCH($C222,'Paramètres'!$D:$D,0)))),2))</f>
        <v>22.44</v>
      </c>
      <c r="L222" s="6" t="str">
        <f>IF($D222="","",IF($F222&lt;&gt;"",$F222,IF(ISNA(MATCH($D222,'Paramètres'!$M:$M,0)),"⚠ Type inconnu",IFERROR(INDEX('Paramètres'!$P:$P,MATCH($D222,'Paramètres'!$M:$M,0))&amp;"",""))))</f>
        <v>Débit</v>
      </c>
      <c r="M222" s="6" t="str">
        <f>IF($D222="","",IF(ISNA(MATCH($D222,'Paramètres'!$M:$M,0)),"⚠ Type inconnu",IF($L222="Crédit","",IFERROR(INDEX('Paramètres'!$O:$O,MATCH($D222,'Paramètres'!$M:$M,0))&amp;"",""))))</f>
        <v>Dépense Occasionnelle</v>
      </c>
      <c r="N222" s="6" t="str">
        <f>IF($D222="","",IFERROR(INDEX('Paramètres'!$Q:$Q,MATCH($D222,'Paramètres'!$M:$M,0))&amp;"",""))</f>
        <v>Autre</v>
      </c>
      <c r="O222" s="6">
        <f>IF($A222="","",IF(OR($J222&lt;&gt;"x",$A222&lt;=FinReleve),1,0))</f>
        <v>1</v>
      </c>
      <c r="P222" s="6">
        <f>IF($D222="","",IF(AND($L222="Crédit",OR(IFERROR(INDEX('Paramètres'!$O:$O,MATCH($D222,'Paramètres'!$M:$M,0))&amp;"","")&lt;&gt;"",ISNUMBER(SEARCH("remboursement",IFERROR(INDEX('Paramètres'!$N:$N,MATCH($D222,'Paramètres'!$M:$M,0))&amp;"",""))))),1,0))</f>
        <v>0</v>
      </c>
      <c r="Q222" s="6">
        <f>IF($K222="","",IF(ISNUMBER(SEARCH("transfert-interne",IFERROR(INDEX('Paramètres'!$N:$N,MATCH($D222,'Paramètres'!$M:$M,0))&amp;"",""))),0,IF($L222="Débit",$K222,IF($P222=1,-$K222,0))))</f>
        <v>22.44</v>
      </c>
      <c r="R222" s="6">
        <f>IF($K222="","",IF($L222="Crédit",$K222,-$K222))</f>
        <v>-22.44</v>
      </c>
      <c r="S222" s="6" t="str">
        <f>IF($C222="","",IFERROR(INDEX('Paramètres'!$H:$H,MATCH($C222,'Paramètres'!$D:$D,0))&amp;"",""))</f>
        <v>Banque A - Courant</v>
      </c>
      <c r="T222" s="6">
        <f>IF($K222="","",IF($S222="",0,IF(ISNUMBER(SEARCH("apport-exterieur",IFERROR(INDEX('Paramètres'!$N:$N,MATCH($D222,'Paramètres'!$M:$M,0))&amp;"",""))),0,IF(OR(IFERROR(INDEX('Paramètres'!$I:$I,MATCH($C222,'Paramètres'!$D:$D,0))&amp;"","")="Les deux",IFERROR(INDEX('Paramètres'!$I:$I,MATCH($C222,'Paramètres'!$D:$D,0))&amp;"","")=IF($P222=1,"Débit",$L222)),-IF($P222=1,-$K222,$K222),0))))</f>
        <v>-22.44</v>
      </c>
      <c r="U222" s="6">
        <f>IF($K222="","",IF(ISNUMBER(SEARCH("sortie-epargne",IFERROR(INDEX('Paramètres'!$N:$N,MATCH($D222,'Paramètres'!$M:$M,0))&amp;"",""))),$K222,0))</f>
        <v>0</v>
      </c>
      <c r="V222" s="6" t="str">
        <f>IF(AND($A222&lt;&gt;"",$O222=1,$L222="Débit",N($Q222)&gt;0,$A222&gt;=Visualisation!$B$1,$A222&lt;Visualisation!$D$1),MAX($V$1:V221)+1,"")</f>
        <v/>
      </c>
    </row>
    <row r="223" spans="1:22" x14ac:dyDescent="0.25">
      <c r="A223" s="9">
        <v>45672</v>
      </c>
      <c r="B223" s="4" t="s">
        <v>100</v>
      </c>
      <c r="C223" s="4" t="s">
        <v>65</v>
      </c>
      <c r="D223" s="4" t="s">
        <v>100</v>
      </c>
      <c r="E223" s="10">
        <v>76.96</v>
      </c>
      <c r="G223" s="4"/>
      <c r="H223" s="4"/>
      <c r="I223" s="4"/>
      <c r="K223" s="11">
        <f>IF($E223="","",ROUND($E223*IF(ISNA(MATCH($C223,'Paramètres'!$D:$D,0)),1,IF(INDEX('Paramètres'!$J:$J,MATCH($C223,'Paramètres'!$D:$D,0))="",1,INDEX('Paramètres'!$J:$J,MATCH($C223,'Paramètres'!$D:$D,0)))),2))</f>
        <v>76.96</v>
      </c>
      <c r="L223" s="6" t="str">
        <f>IF($D223="","",IF($F223&lt;&gt;"",$F223,IF(ISNA(MATCH($D223,'Paramètres'!$M:$M,0)),"⚠ Type inconnu",IFERROR(INDEX('Paramètres'!$P:$P,MATCH($D223,'Paramètres'!$M:$M,0))&amp;"",""))))</f>
        <v>Débit</v>
      </c>
      <c r="M223" s="6" t="str">
        <f>IF($D223="","",IF(ISNA(MATCH($D223,'Paramètres'!$M:$M,0)),"⚠ Type inconnu",IF($L223="Crédit","",IFERROR(INDEX('Paramètres'!$O:$O,MATCH($D223,'Paramètres'!$M:$M,0))&amp;"",""))))</f>
        <v>Dépense Fixe</v>
      </c>
      <c r="N223" s="6" t="str">
        <f>IF($D223="","",IFERROR(INDEX('Paramètres'!$Q:$Q,MATCH($D223,'Paramètres'!$M:$M,0))&amp;"",""))</f>
        <v>Immobilier</v>
      </c>
      <c r="O223" s="6">
        <f>IF($A223="","",IF(OR($J223&lt;&gt;"x",$A223&lt;=FinReleve),1,0))</f>
        <v>1</v>
      </c>
      <c r="P223" s="6">
        <f>IF($D223="","",IF(AND($L223="Crédit",OR(IFERROR(INDEX('Paramètres'!$O:$O,MATCH($D223,'Paramètres'!$M:$M,0))&amp;"","")&lt;&gt;"",ISNUMBER(SEARCH("remboursement",IFERROR(INDEX('Paramètres'!$N:$N,MATCH($D223,'Paramètres'!$M:$M,0))&amp;"",""))))),1,0))</f>
        <v>0</v>
      </c>
      <c r="Q223" s="6">
        <f>IF($K223="","",IF(ISNUMBER(SEARCH("transfert-interne",IFERROR(INDEX('Paramètres'!$N:$N,MATCH($D223,'Paramètres'!$M:$M,0))&amp;"",""))),0,IF($L223="Débit",$K223,IF($P223=1,-$K223,0))))</f>
        <v>76.96</v>
      </c>
      <c r="R223" s="6">
        <f>IF($K223="","",IF($L223="Crédit",$K223,-$K223))</f>
        <v>-76.96</v>
      </c>
      <c r="S223" s="6" t="str">
        <f>IF($C223="","",IFERROR(INDEX('Paramètres'!$H:$H,MATCH($C223,'Paramètres'!$D:$D,0))&amp;"",""))</f>
        <v>Banque A - Courant</v>
      </c>
      <c r="T223" s="6">
        <f>IF($K223="","",IF($S223="",0,IF(ISNUMBER(SEARCH("apport-exterieur",IFERROR(INDEX('Paramètres'!$N:$N,MATCH($D223,'Paramètres'!$M:$M,0))&amp;"",""))),0,IF(OR(IFERROR(INDEX('Paramètres'!$I:$I,MATCH($C223,'Paramètres'!$D:$D,0))&amp;"","")="Les deux",IFERROR(INDEX('Paramètres'!$I:$I,MATCH($C223,'Paramètres'!$D:$D,0))&amp;"","")=IF($P223=1,"Débit",$L223)),-IF($P223=1,-$K223,$K223),0))))</f>
        <v>0</v>
      </c>
      <c r="U223" s="6">
        <f>IF($K223="","",IF(ISNUMBER(SEARCH("sortie-epargne",IFERROR(INDEX('Paramètres'!$N:$N,MATCH($D223,'Paramètres'!$M:$M,0))&amp;"",""))),$K223,0))</f>
        <v>0</v>
      </c>
      <c r="V223" s="6" t="str">
        <f>IF(AND($A223&lt;&gt;"",$O223=1,$L223="Débit",N($Q223)&gt;0,$A223&gt;=Visualisation!$B$1,$A223&lt;Visualisation!$D$1),MAX($V$1:V222)+1,"")</f>
        <v/>
      </c>
    </row>
    <row r="224" spans="1:22" x14ac:dyDescent="0.25">
      <c r="A224" s="9">
        <v>45672</v>
      </c>
      <c r="B224" s="4" t="s">
        <v>123</v>
      </c>
      <c r="C224" s="4" t="s">
        <v>75</v>
      </c>
      <c r="D224" s="4" t="s">
        <v>124</v>
      </c>
      <c r="E224" s="10">
        <v>116.37</v>
      </c>
      <c r="G224" s="4" t="s">
        <v>125</v>
      </c>
      <c r="H224" s="4"/>
      <c r="I224" s="4" t="s">
        <v>93</v>
      </c>
      <c r="K224" s="11">
        <f>IF($E224="","",ROUND($E224*IF(ISNA(MATCH($C224,'Paramètres'!$D:$D,0)),1,IF(INDEX('Paramètres'!$J:$J,MATCH($C224,'Paramètres'!$D:$D,0))="",1,INDEX('Paramètres'!$J:$J,MATCH($C224,'Paramètres'!$D:$D,0)))),2))</f>
        <v>116.37</v>
      </c>
      <c r="L224" s="6" t="str">
        <f>IF($D224="","",IF($F224&lt;&gt;"",$F224,IF(ISNA(MATCH($D224,'Paramètres'!$M:$M,0)),"⚠ Type inconnu",IFERROR(INDEX('Paramètres'!$P:$P,MATCH($D224,'Paramètres'!$M:$M,0))&amp;"",""))))</f>
        <v>Débit</v>
      </c>
      <c r="M224" s="6" t="str">
        <f>IF($D224="","",IF(ISNA(MATCH($D224,'Paramètres'!$M:$M,0)),"⚠ Type inconnu",IF($L224="Crédit","",IFERROR(INDEX('Paramètres'!$O:$O,MATCH($D224,'Paramètres'!$M:$M,0))&amp;"",""))))</f>
        <v>Dépense Courante</v>
      </c>
      <c r="N224" s="6" t="str">
        <f>IF($D224="","",IFERROR(INDEX('Paramètres'!$Q:$Q,MATCH($D224,'Paramètres'!$M:$M,0))&amp;"",""))</f>
        <v>Habillement</v>
      </c>
      <c r="O224" s="6">
        <f>IF($A224="","",IF(OR($J224&lt;&gt;"x",$A224&lt;=FinReleve),1,0))</f>
        <v>1</v>
      </c>
      <c r="P224" s="6">
        <f>IF($D224="","",IF(AND($L224="Crédit",OR(IFERROR(INDEX('Paramètres'!$O:$O,MATCH($D224,'Paramètres'!$M:$M,0))&amp;"","")&lt;&gt;"",ISNUMBER(SEARCH("remboursement",IFERROR(INDEX('Paramètres'!$N:$N,MATCH($D224,'Paramètres'!$M:$M,0))&amp;"",""))))),1,0))</f>
        <v>0</v>
      </c>
      <c r="Q224" s="6">
        <f>IF($K224="","",IF(ISNUMBER(SEARCH("transfert-interne",IFERROR(INDEX('Paramètres'!$N:$N,MATCH($D224,'Paramètres'!$M:$M,0))&amp;"",""))),0,IF($L224="Débit",$K224,IF($P224=1,-$K224,0))))</f>
        <v>116.37</v>
      </c>
      <c r="R224" s="6">
        <f>IF($K224="","",IF($L224="Crédit",$K224,-$K224))</f>
        <v>-116.37</v>
      </c>
      <c r="S224" s="6" t="str">
        <f>IF($C224="","",IFERROR(INDEX('Paramètres'!$H:$H,MATCH($C224,'Paramètres'!$D:$D,0))&amp;"",""))</f>
        <v/>
      </c>
      <c r="T224" s="6">
        <f>IF($K224="","",IF($S224="",0,IF(ISNUMBER(SEARCH("apport-exterieur",IFERROR(INDEX('Paramètres'!$N:$N,MATCH($D224,'Paramètres'!$M:$M,0))&amp;"",""))),0,IF(OR(IFERROR(INDEX('Paramètres'!$I:$I,MATCH($C224,'Paramètres'!$D:$D,0))&amp;"","")="Les deux",IFERROR(INDEX('Paramètres'!$I:$I,MATCH($C224,'Paramètres'!$D:$D,0))&amp;"","")=IF($P224=1,"Débit",$L224)),-IF($P224=1,-$K224,$K224),0))))</f>
        <v>0</v>
      </c>
      <c r="U224" s="6">
        <f>IF($K224="","",IF(ISNUMBER(SEARCH("sortie-epargne",IFERROR(INDEX('Paramètres'!$N:$N,MATCH($D224,'Paramètres'!$M:$M,0))&amp;"",""))),$K224,0))</f>
        <v>0</v>
      </c>
      <c r="V224" s="6" t="str">
        <f>IF(AND($A224&lt;&gt;"",$O224=1,$L224="Débit",N($Q224)&gt;0,$A224&gt;=Visualisation!$B$1,$A224&lt;Visualisation!$D$1),MAX($V$1:V223)+1,"")</f>
        <v/>
      </c>
    </row>
    <row r="225" spans="1:22" x14ac:dyDescent="0.25">
      <c r="A225" s="9">
        <v>45673</v>
      </c>
      <c r="B225" s="4" t="s">
        <v>69</v>
      </c>
      <c r="C225" s="4" t="s">
        <v>70</v>
      </c>
      <c r="D225" s="4" t="s">
        <v>71</v>
      </c>
      <c r="E225" s="10">
        <v>13.94</v>
      </c>
      <c r="G225" s="4" t="s">
        <v>72</v>
      </c>
      <c r="H225" s="4"/>
      <c r="I225" s="4" t="s">
        <v>73</v>
      </c>
      <c r="K225" s="11">
        <f>IF($E225="","",ROUND($E225*IF(ISNA(MATCH($C225,'Paramètres'!$D:$D,0)),1,IF(INDEX('Paramètres'!$J:$J,MATCH($C225,'Paramètres'!$D:$D,0))="",1,INDEX('Paramètres'!$J:$J,MATCH($C225,'Paramètres'!$D:$D,0)))),2))</f>
        <v>13.94</v>
      </c>
      <c r="L225" s="6" t="str">
        <f>IF($D225="","",IF($F225&lt;&gt;"",$F225,IF(ISNA(MATCH($D225,'Paramètres'!$M:$M,0)),"⚠ Type inconnu",IFERROR(INDEX('Paramètres'!$P:$P,MATCH($D225,'Paramètres'!$M:$M,0))&amp;"",""))))</f>
        <v>Débit</v>
      </c>
      <c r="M225" s="6" t="str">
        <f>IF($D225="","",IF(ISNA(MATCH($D225,'Paramètres'!$M:$M,0)),"⚠ Type inconnu",IF($L225="Crédit","",IFERROR(INDEX('Paramètres'!$O:$O,MATCH($D225,'Paramètres'!$M:$M,0))&amp;"",""))))</f>
        <v>Dépense Courante</v>
      </c>
      <c r="N225" s="6" t="str">
        <f>IF($D225="","",IFERROR(INDEX('Paramètres'!$Q:$Q,MATCH($D225,'Paramètres'!$M:$M,0))&amp;"",""))</f>
        <v>Alimentation</v>
      </c>
      <c r="O225" s="6">
        <f>IF($A225="","",IF(OR($J225&lt;&gt;"x",$A225&lt;=FinReleve),1,0))</f>
        <v>1</v>
      </c>
      <c r="P225" s="6">
        <f>IF($D225="","",IF(AND($L225="Crédit",OR(IFERROR(INDEX('Paramètres'!$O:$O,MATCH($D225,'Paramètres'!$M:$M,0))&amp;"","")&lt;&gt;"",ISNUMBER(SEARCH("remboursement",IFERROR(INDEX('Paramètres'!$N:$N,MATCH($D225,'Paramètres'!$M:$M,0))&amp;"",""))))),1,0))</f>
        <v>0</v>
      </c>
      <c r="Q225" s="6">
        <f>IF($K225="","",IF(ISNUMBER(SEARCH("transfert-interne",IFERROR(INDEX('Paramètres'!$N:$N,MATCH($D225,'Paramètres'!$M:$M,0))&amp;"",""))),0,IF($L225="Débit",$K225,IF($P225=1,-$K225,0))))</f>
        <v>13.94</v>
      </c>
      <c r="R225" s="6">
        <f>IF($K225="","",IF($L225="Crédit",$K225,-$K225))</f>
        <v>-13.94</v>
      </c>
      <c r="S225" s="6" t="str">
        <f>IF($C225="","",IFERROR(INDEX('Paramètres'!$H:$H,MATCH($C225,'Paramètres'!$D:$D,0))&amp;"",""))</f>
        <v/>
      </c>
      <c r="T225" s="6">
        <f>IF($K225="","",IF($S225="",0,IF(ISNUMBER(SEARCH("apport-exterieur",IFERROR(INDEX('Paramètres'!$N:$N,MATCH($D225,'Paramètres'!$M:$M,0))&amp;"",""))),0,IF(OR(IFERROR(INDEX('Paramètres'!$I:$I,MATCH($C225,'Paramètres'!$D:$D,0))&amp;"","")="Les deux",IFERROR(INDEX('Paramètres'!$I:$I,MATCH($C225,'Paramètres'!$D:$D,0))&amp;"","")=IF($P225=1,"Débit",$L225)),-IF($P225=1,-$K225,$K225),0))))</f>
        <v>0</v>
      </c>
      <c r="U225" s="6">
        <f>IF($K225="","",IF(ISNUMBER(SEARCH("sortie-epargne",IFERROR(INDEX('Paramètres'!$N:$N,MATCH($D225,'Paramètres'!$M:$M,0))&amp;"",""))),$K225,0))</f>
        <v>0</v>
      </c>
      <c r="V225" s="6" t="str">
        <f>IF(AND($A225&lt;&gt;"",$O225=1,$L225="Débit",N($Q225)&gt;0,$A225&gt;=Visualisation!$B$1,$A225&lt;Visualisation!$D$1),MAX($V$1:V224)+1,"")</f>
        <v/>
      </c>
    </row>
    <row r="226" spans="1:22" x14ac:dyDescent="0.25">
      <c r="A226" s="9">
        <v>45675</v>
      </c>
      <c r="B226" s="4" t="s">
        <v>103</v>
      </c>
      <c r="C226" s="4" t="s">
        <v>75</v>
      </c>
      <c r="D226" s="4" t="s">
        <v>103</v>
      </c>
      <c r="E226" s="10">
        <v>212</v>
      </c>
      <c r="G226" s="4"/>
      <c r="H226" s="4"/>
      <c r="I226" s="4"/>
      <c r="K226" s="11">
        <f>IF($E226="","",ROUND($E226*IF(ISNA(MATCH($C226,'Paramètres'!$D:$D,0)),1,IF(INDEX('Paramètres'!$J:$J,MATCH($C226,'Paramètres'!$D:$D,0))="",1,INDEX('Paramètres'!$J:$J,MATCH($C226,'Paramètres'!$D:$D,0)))),2))</f>
        <v>212</v>
      </c>
      <c r="L226" s="6" t="str">
        <f>IF($D226="","",IF($F226&lt;&gt;"",$F226,IF(ISNA(MATCH($D226,'Paramètres'!$M:$M,0)),"⚠ Type inconnu",IFERROR(INDEX('Paramètres'!$P:$P,MATCH($D226,'Paramètres'!$M:$M,0))&amp;"",""))))</f>
        <v>Débit</v>
      </c>
      <c r="M226" s="6" t="str">
        <f>IF($D226="","",IF(ISNA(MATCH($D226,'Paramètres'!$M:$M,0)),"⚠ Type inconnu",IF($L226="Crédit","",IFERROR(INDEX('Paramètres'!$O:$O,MATCH($D226,'Paramètres'!$M:$M,0))&amp;"",""))))</f>
        <v>Dépense Fixe</v>
      </c>
      <c r="N226" s="6" t="str">
        <f>IF($D226="","",IFERROR(INDEX('Paramètres'!$Q:$Q,MATCH($D226,'Paramètres'!$M:$M,0))&amp;"",""))</f>
        <v>Impots</v>
      </c>
      <c r="O226" s="6">
        <f>IF($A226="","",IF(OR($J226&lt;&gt;"x",$A226&lt;=FinReleve),1,0))</f>
        <v>1</v>
      </c>
      <c r="P226" s="6">
        <f>IF($D226="","",IF(AND($L226="Crédit",OR(IFERROR(INDEX('Paramètres'!$O:$O,MATCH($D226,'Paramètres'!$M:$M,0))&amp;"","")&lt;&gt;"",ISNUMBER(SEARCH("remboursement",IFERROR(INDEX('Paramètres'!$N:$N,MATCH($D226,'Paramètres'!$M:$M,0))&amp;"",""))))),1,0))</f>
        <v>0</v>
      </c>
      <c r="Q226" s="6">
        <f>IF($K226="","",IF(ISNUMBER(SEARCH("transfert-interne",IFERROR(INDEX('Paramètres'!$N:$N,MATCH($D226,'Paramètres'!$M:$M,0))&amp;"",""))),0,IF($L226="Débit",$K226,IF($P226=1,-$K226,0))))</f>
        <v>212</v>
      </c>
      <c r="R226" s="6">
        <f>IF($K226="","",IF($L226="Crédit",$K226,-$K226))</f>
        <v>-212</v>
      </c>
      <c r="S226" s="6" t="str">
        <f>IF($C226="","",IFERROR(INDEX('Paramètres'!$H:$H,MATCH($C226,'Paramètres'!$D:$D,0))&amp;"",""))</f>
        <v/>
      </c>
      <c r="T226" s="6">
        <f>IF($K226="","",IF($S226="",0,IF(ISNUMBER(SEARCH("apport-exterieur",IFERROR(INDEX('Paramètres'!$N:$N,MATCH($D226,'Paramètres'!$M:$M,0))&amp;"",""))),0,IF(OR(IFERROR(INDEX('Paramètres'!$I:$I,MATCH($C226,'Paramètres'!$D:$D,0))&amp;"","")="Les deux",IFERROR(INDEX('Paramètres'!$I:$I,MATCH($C226,'Paramètres'!$D:$D,0))&amp;"","")=IF($P226=1,"Débit",$L226)),-IF($P226=1,-$K226,$K226),0))))</f>
        <v>0</v>
      </c>
      <c r="U226" s="6">
        <f>IF($K226="","",IF(ISNUMBER(SEARCH("sortie-epargne",IFERROR(INDEX('Paramètres'!$N:$N,MATCH($D226,'Paramètres'!$M:$M,0))&amp;"",""))),$K226,0))</f>
        <v>0</v>
      </c>
      <c r="V226" s="6" t="str">
        <f>IF(AND($A226&lt;&gt;"",$O226=1,$L226="Débit",N($Q226)&gt;0,$A226&gt;=Visualisation!$B$1,$A226&lt;Visualisation!$D$1),MAX($V$1:V225)+1,"")</f>
        <v/>
      </c>
    </row>
    <row r="227" spans="1:22" x14ac:dyDescent="0.25">
      <c r="A227" s="9">
        <v>45675</v>
      </c>
      <c r="B227" s="4" t="s">
        <v>69</v>
      </c>
      <c r="C227" s="4" t="s">
        <v>70</v>
      </c>
      <c r="D227" s="4" t="s">
        <v>71</v>
      </c>
      <c r="E227" s="10">
        <v>13.05</v>
      </c>
      <c r="G227" s="4" t="s">
        <v>72</v>
      </c>
      <c r="H227" s="4"/>
      <c r="I227" s="4" t="s">
        <v>63</v>
      </c>
      <c r="K227" s="11">
        <f>IF($E227="","",ROUND($E227*IF(ISNA(MATCH($C227,'Paramètres'!$D:$D,0)),1,IF(INDEX('Paramètres'!$J:$J,MATCH($C227,'Paramètres'!$D:$D,0))="",1,INDEX('Paramètres'!$J:$J,MATCH($C227,'Paramètres'!$D:$D,0)))),2))</f>
        <v>13.05</v>
      </c>
      <c r="L227" s="6" t="str">
        <f>IF($D227="","",IF($F227&lt;&gt;"",$F227,IF(ISNA(MATCH($D227,'Paramètres'!$M:$M,0)),"⚠ Type inconnu",IFERROR(INDEX('Paramètres'!$P:$P,MATCH($D227,'Paramètres'!$M:$M,0))&amp;"",""))))</f>
        <v>Débit</v>
      </c>
      <c r="M227" s="6" t="str">
        <f>IF($D227="","",IF(ISNA(MATCH($D227,'Paramètres'!$M:$M,0)),"⚠ Type inconnu",IF($L227="Crédit","",IFERROR(INDEX('Paramètres'!$O:$O,MATCH($D227,'Paramètres'!$M:$M,0))&amp;"",""))))</f>
        <v>Dépense Courante</v>
      </c>
      <c r="N227" s="6" t="str">
        <f>IF($D227="","",IFERROR(INDEX('Paramètres'!$Q:$Q,MATCH($D227,'Paramètres'!$M:$M,0))&amp;"",""))</f>
        <v>Alimentation</v>
      </c>
      <c r="O227" s="6">
        <f>IF($A227="","",IF(OR($J227&lt;&gt;"x",$A227&lt;=FinReleve),1,0))</f>
        <v>1</v>
      </c>
      <c r="P227" s="6">
        <f>IF($D227="","",IF(AND($L227="Crédit",OR(IFERROR(INDEX('Paramètres'!$O:$O,MATCH($D227,'Paramètres'!$M:$M,0))&amp;"","")&lt;&gt;"",ISNUMBER(SEARCH("remboursement",IFERROR(INDEX('Paramètres'!$N:$N,MATCH($D227,'Paramètres'!$M:$M,0))&amp;"",""))))),1,0))</f>
        <v>0</v>
      </c>
      <c r="Q227" s="6">
        <f>IF($K227="","",IF(ISNUMBER(SEARCH("transfert-interne",IFERROR(INDEX('Paramètres'!$N:$N,MATCH($D227,'Paramètres'!$M:$M,0))&amp;"",""))),0,IF($L227="Débit",$K227,IF($P227=1,-$K227,0))))</f>
        <v>13.05</v>
      </c>
      <c r="R227" s="6">
        <f>IF($K227="","",IF($L227="Crédit",$K227,-$K227))</f>
        <v>-13.05</v>
      </c>
      <c r="S227" s="6" t="str">
        <f>IF($C227="","",IFERROR(INDEX('Paramètres'!$H:$H,MATCH($C227,'Paramètres'!$D:$D,0))&amp;"",""))</f>
        <v/>
      </c>
      <c r="T227" s="6">
        <f>IF($K227="","",IF($S227="",0,IF(ISNUMBER(SEARCH("apport-exterieur",IFERROR(INDEX('Paramètres'!$N:$N,MATCH($D227,'Paramètres'!$M:$M,0))&amp;"",""))),0,IF(OR(IFERROR(INDEX('Paramètres'!$I:$I,MATCH($C227,'Paramètres'!$D:$D,0))&amp;"","")="Les deux",IFERROR(INDEX('Paramètres'!$I:$I,MATCH($C227,'Paramètres'!$D:$D,0))&amp;"","")=IF($P227=1,"Débit",$L227)),-IF($P227=1,-$K227,$K227),0))))</f>
        <v>0</v>
      </c>
      <c r="U227" s="6">
        <f>IF($K227="","",IF(ISNUMBER(SEARCH("sortie-epargne",IFERROR(INDEX('Paramètres'!$N:$N,MATCH($D227,'Paramètres'!$M:$M,0))&amp;"",""))),$K227,0))</f>
        <v>0</v>
      </c>
      <c r="V227" s="6" t="str">
        <f>IF(AND($A227&lt;&gt;"",$O227=1,$L227="Débit",N($Q227)&gt;0,$A227&gt;=Visualisation!$B$1,$A227&lt;Visualisation!$D$1),MAX($V$1:V226)+1,"")</f>
        <v/>
      </c>
    </row>
    <row r="228" spans="1:22" x14ac:dyDescent="0.25">
      <c r="A228" s="9">
        <v>45675</v>
      </c>
      <c r="B228" s="4" t="s">
        <v>90</v>
      </c>
      <c r="C228" s="4" t="s">
        <v>75</v>
      </c>
      <c r="D228" s="4" t="s">
        <v>91</v>
      </c>
      <c r="E228" s="10">
        <v>60.33</v>
      </c>
      <c r="G228" s="4" t="s">
        <v>136</v>
      </c>
      <c r="H228" s="4" t="s">
        <v>142</v>
      </c>
      <c r="I228" s="4"/>
      <c r="K228" s="11">
        <f>IF($E228="","",ROUND($E228*IF(ISNA(MATCH($C228,'Paramètres'!$D:$D,0)),1,IF(INDEX('Paramètres'!$J:$J,MATCH($C228,'Paramètres'!$D:$D,0))="",1,INDEX('Paramètres'!$J:$J,MATCH($C228,'Paramètres'!$D:$D,0)))),2))</f>
        <v>60.33</v>
      </c>
      <c r="L228" s="6" t="str">
        <f>IF($D228="","",IF($F228&lt;&gt;"",$F228,IF(ISNA(MATCH($D228,'Paramètres'!$M:$M,0)),"⚠ Type inconnu",IFERROR(INDEX('Paramètres'!$P:$P,MATCH($D228,'Paramètres'!$M:$M,0))&amp;"",""))))</f>
        <v>Débit</v>
      </c>
      <c r="M228" s="6" t="str">
        <f>IF($D228="","",IF(ISNA(MATCH($D228,'Paramètres'!$M:$M,0)),"⚠ Type inconnu",IF($L228="Crédit","",IFERROR(INDEX('Paramètres'!$O:$O,MATCH($D228,'Paramètres'!$M:$M,0))&amp;"",""))))</f>
        <v>Dépense Courante</v>
      </c>
      <c r="N228" s="6" t="str">
        <f>IF($D228="","",IFERROR(INDEX('Paramètres'!$Q:$Q,MATCH($D228,'Paramètres'!$M:$M,0))&amp;"",""))</f>
        <v>Transport</v>
      </c>
      <c r="O228" s="6">
        <f>IF($A228="","",IF(OR($J228&lt;&gt;"x",$A228&lt;=FinReleve),1,0))</f>
        <v>1</v>
      </c>
      <c r="P228" s="6">
        <f>IF($D228="","",IF(AND($L228="Crédit",OR(IFERROR(INDEX('Paramètres'!$O:$O,MATCH($D228,'Paramètres'!$M:$M,0))&amp;"","")&lt;&gt;"",ISNUMBER(SEARCH("remboursement",IFERROR(INDEX('Paramètres'!$N:$N,MATCH($D228,'Paramètres'!$M:$M,0))&amp;"",""))))),1,0))</f>
        <v>0</v>
      </c>
      <c r="Q228" s="6">
        <f>IF($K228="","",IF(ISNUMBER(SEARCH("transfert-interne",IFERROR(INDEX('Paramètres'!$N:$N,MATCH($D228,'Paramètres'!$M:$M,0))&amp;"",""))),0,IF($L228="Débit",$K228,IF($P228=1,-$K228,0))))</f>
        <v>60.33</v>
      </c>
      <c r="R228" s="6">
        <f>IF($K228="","",IF($L228="Crédit",$K228,-$K228))</f>
        <v>-60.33</v>
      </c>
      <c r="S228" s="6" t="str">
        <f>IF($C228="","",IFERROR(INDEX('Paramètres'!$H:$H,MATCH($C228,'Paramètres'!$D:$D,0))&amp;"",""))</f>
        <v/>
      </c>
      <c r="T228" s="6">
        <f>IF($K228="","",IF($S228="",0,IF(ISNUMBER(SEARCH("apport-exterieur",IFERROR(INDEX('Paramètres'!$N:$N,MATCH($D228,'Paramètres'!$M:$M,0))&amp;"",""))),0,IF(OR(IFERROR(INDEX('Paramètres'!$I:$I,MATCH($C228,'Paramètres'!$D:$D,0))&amp;"","")="Les deux",IFERROR(INDEX('Paramètres'!$I:$I,MATCH($C228,'Paramètres'!$D:$D,0))&amp;"","")=IF($P228=1,"Débit",$L228)),-IF($P228=1,-$K228,$K228),0))))</f>
        <v>0</v>
      </c>
      <c r="U228" s="6">
        <f>IF($K228="","",IF(ISNUMBER(SEARCH("sortie-epargne",IFERROR(INDEX('Paramètres'!$N:$N,MATCH($D228,'Paramètres'!$M:$M,0))&amp;"",""))),$K228,0))</f>
        <v>0</v>
      </c>
      <c r="V228" s="6" t="str">
        <f>IF(AND($A228&lt;&gt;"",$O228=1,$L228="Débit",N($Q228)&gt;0,$A228&gt;=Visualisation!$B$1,$A228&lt;Visualisation!$D$1),MAX($V$1:V227)+1,"")</f>
        <v/>
      </c>
    </row>
    <row r="229" spans="1:22" x14ac:dyDescent="0.25">
      <c r="A229" s="9">
        <v>45676</v>
      </c>
      <c r="B229" s="4" t="s">
        <v>76</v>
      </c>
      <c r="C229" s="4" t="s">
        <v>67</v>
      </c>
      <c r="D229" s="4" t="s">
        <v>77</v>
      </c>
      <c r="E229" s="10">
        <v>84.88</v>
      </c>
      <c r="G229" s="4" t="s">
        <v>95</v>
      </c>
      <c r="H229" s="4" t="s">
        <v>142</v>
      </c>
      <c r="I229" s="4" t="s">
        <v>93</v>
      </c>
      <c r="K229" s="11">
        <f>IF($E229="","",ROUND($E229*IF(ISNA(MATCH($C229,'Paramètres'!$D:$D,0)),1,IF(INDEX('Paramètres'!$J:$J,MATCH($C229,'Paramètres'!$D:$D,0))="",1,INDEX('Paramètres'!$J:$J,MATCH($C229,'Paramètres'!$D:$D,0)))),2))</f>
        <v>42.44</v>
      </c>
      <c r="L229" s="6" t="str">
        <f>IF($D229="","",IF($F229&lt;&gt;"",$F229,IF(ISNA(MATCH($D229,'Paramètres'!$M:$M,0)),"⚠ Type inconnu",IFERROR(INDEX('Paramètres'!$P:$P,MATCH($D229,'Paramètres'!$M:$M,0))&amp;"",""))))</f>
        <v>Débit</v>
      </c>
      <c r="M229" s="6" t="str">
        <f>IF($D229="","",IF(ISNA(MATCH($D229,'Paramètres'!$M:$M,0)),"⚠ Type inconnu",IF($L229="Crédit","",IFERROR(INDEX('Paramètres'!$O:$O,MATCH($D229,'Paramètres'!$M:$M,0))&amp;"",""))))</f>
        <v>Dépense Courante</v>
      </c>
      <c r="N229" s="6" t="str">
        <f>IF($D229="","",IFERROR(INDEX('Paramètres'!$Q:$Q,MATCH($D229,'Paramètres'!$M:$M,0))&amp;"",""))</f>
        <v>Alimentation</v>
      </c>
      <c r="O229" s="6">
        <f>IF($A229="","",IF(OR($J229&lt;&gt;"x",$A229&lt;=FinReleve),1,0))</f>
        <v>1</v>
      </c>
      <c r="P229" s="6">
        <f>IF($D229="","",IF(AND($L229="Crédit",OR(IFERROR(INDEX('Paramètres'!$O:$O,MATCH($D229,'Paramètres'!$M:$M,0))&amp;"","")&lt;&gt;"",ISNUMBER(SEARCH("remboursement",IFERROR(INDEX('Paramètres'!$N:$N,MATCH($D229,'Paramètres'!$M:$M,0))&amp;"",""))))),1,0))</f>
        <v>0</v>
      </c>
      <c r="Q229" s="6">
        <f>IF($K229="","",IF(ISNUMBER(SEARCH("transfert-interne",IFERROR(INDEX('Paramètres'!$N:$N,MATCH($D229,'Paramètres'!$M:$M,0))&amp;"",""))),0,IF($L229="Débit",$K229,IF($P229=1,-$K229,0))))</f>
        <v>42.44</v>
      </c>
      <c r="R229" s="6">
        <f>IF($K229="","",IF($L229="Crédit",$K229,-$K229))</f>
        <v>-42.44</v>
      </c>
      <c r="S229" s="6" t="str">
        <f>IF($C229="","",IFERROR(INDEX('Paramètres'!$H:$H,MATCH($C229,'Paramètres'!$D:$D,0))&amp;"",""))</f>
        <v>Banque A - Courant</v>
      </c>
      <c r="T229" s="6">
        <f>IF($K229="","",IF($S229="",0,IF(ISNUMBER(SEARCH("apport-exterieur",IFERROR(INDEX('Paramètres'!$N:$N,MATCH($D229,'Paramètres'!$M:$M,0))&amp;"",""))),0,IF(OR(IFERROR(INDEX('Paramètres'!$I:$I,MATCH($C229,'Paramètres'!$D:$D,0))&amp;"","")="Les deux",IFERROR(INDEX('Paramètres'!$I:$I,MATCH($C229,'Paramètres'!$D:$D,0))&amp;"","")=IF($P229=1,"Débit",$L229)),-IF($P229=1,-$K229,$K229),0))))</f>
        <v>0</v>
      </c>
      <c r="U229" s="6">
        <f>IF($K229="","",IF(ISNUMBER(SEARCH("sortie-epargne",IFERROR(INDEX('Paramètres'!$N:$N,MATCH($D229,'Paramètres'!$M:$M,0))&amp;"",""))),$K229,0))</f>
        <v>0</v>
      </c>
      <c r="V229" s="6" t="str">
        <f>IF(AND($A229&lt;&gt;"",$O229=1,$L229="Débit",N($Q229)&gt;0,$A229&gt;=Visualisation!$B$1,$A229&lt;Visualisation!$D$1),MAX($V$1:V228)+1,"")</f>
        <v/>
      </c>
    </row>
    <row r="230" spans="1:22" x14ac:dyDescent="0.25">
      <c r="A230" s="9">
        <v>45677</v>
      </c>
      <c r="B230" s="4" t="s">
        <v>76</v>
      </c>
      <c r="C230" s="4" t="s">
        <v>67</v>
      </c>
      <c r="D230" s="4" t="s">
        <v>77</v>
      </c>
      <c r="E230" s="10">
        <v>129.08</v>
      </c>
      <c r="G230" s="4" t="s">
        <v>102</v>
      </c>
      <c r="H230" s="4"/>
      <c r="I230" s="4" t="s">
        <v>93</v>
      </c>
      <c r="K230" s="11">
        <f>IF($E230="","",ROUND($E230*IF(ISNA(MATCH($C230,'Paramètres'!$D:$D,0)),1,IF(INDEX('Paramètres'!$J:$J,MATCH($C230,'Paramètres'!$D:$D,0))="",1,INDEX('Paramètres'!$J:$J,MATCH($C230,'Paramètres'!$D:$D,0)))),2))</f>
        <v>64.54</v>
      </c>
      <c r="L230" s="6" t="str">
        <f>IF($D230="","",IF($F230&lt;&gt;"",$F230,IF(ISNA(MATCH($D230,'Paramètres'!$M:$M,0)),"⚠ Type inconnu",IFERROR(INDEX('Paramètres'!$P:$P,MATCH($D230,'Paramètres'!$M:$M,0))&amp;"",""))))</f>
        <v>Débit</v>
      </c>
      <c r="M230" s="6" t="str">
        <f>IF($D230="","",IF(ISNA(MATCH($D230,'Paramètres'!$M:$M,0)),"⚠ Type inconnu",IF($L230="Crédit","",IFERROR(INDEX('Paramètres'!$O:$O,MATCH($D230,'Paramètres'!$M:$M,0))&amp;"",""))))</f>
        <v>Dépense Courante</v>
      </c>
      <c r="N230" s="6" t="str">
        <f>IF($D230="","",IFERROR(INDEX('Paramètres'!$Q:$Q,MATCH($D230,'Paramètres'!$M:$M,0))&amp;"",""))</f>
        <v>Alimentation</v>
      </c>
      <c r="O230" s="6">
        <f>IF($A230="","",IF(OR($J230&lt;&gt;"x",$A230&lt;=FinReleve),1,0))</f>
        <v>1</v>
      </c>
      <c r="P230" s="6">
        <f>IF($D230="","",IF(AND($L230="Crédit",OR(IFERROR(INDEX('Paramètres'!$O:$O,MATCH($D230,'Paramètres'!$M:$M,0))&amp;"","")&lt;&gt;"",ISNUMBER(SEARCH("remboursement",IFERROR(INDEX('Paramètres'!$N:$N,MATCH($D230,'Paramètres'!$M:$M,0))&amp;"",""))))),1,0))</f>
        <v>0</v>
      </c>
      <c r="Q230" s="6">
        <f>IF($K230="","",IF(ISNUMBER(SEARCH("transfert-interne",IFERROR(INDEX('Paramètres'!$N:$N,MATCH($D230,'Paramètres'!$M:$M,0))&amp;"",""))),0,IF($L230="Débit",$K230,IF($P230=1,-$K230,0))))</f>
        <v>64.54</v>
      </c>
      <c r="R230" s="6">
        <f>IF($K230="","",IF($L230="Crédit",$K230,-$K230))</f>
        <v>-64.54</v>
      </c>
      <c r="S230" s="6" t="str">
        <f>IF($C230="","",IFERROR(INDEX('Paramètres'!$H:$H,MATCH($C230,'Paramètres'!$D:$D,0))&amp;"",""))</f>
        <v>Banque A - Courant</v>
      </c>
      <c r="T230" s="6">
        <f>IF($K230="","",IF($S230="",0,IF(ISNUMBER(SEARCH("apport-exterieur",IFERROR(INDEX('Paramètres'!$N:$N,MATCH($D230,'Paramètres'!$M:$M,0))&amp;"",""))),0,IF(OR(IFERROR(INDEX('Paramètres'!$I:$I,MATCH($C230,'Paramètres'!$D:$D,0))&amp;"","")="Les deux",IFERROR(INDEX('Paramètres'!$I:$I,MATCH($C230,'Paramètres'!$D:$D,0))&amp;"","")=IF($P230=1,"Débit",$L230)),-IF($P230=1,-$K230,$K230),0))))</f>
        <v>0</v>
      </c>
      <c r="U230" s="6">
        <f>IF($K230="","",IF(ISNUMBER(SEARCH("sortie-epargne",IFERROR(INDEX('Paramètres'!$N:$N,MATCH($D230,'Paramètres'!$M:$M,0))&amp;"",""))),$K230,0))</f>
        <v>0</v>
      </c>
      <c r="V230" s="6" t="str">
        <f>IF(AND($A230&lt;&gt;"",$O230=1,$L230="Débit",N($Q230)&gt;0,$A230&gt;=Visualisation!$B$1,$A230&lt;Visualisation!$D$1),MAX($V$1:V229)+1,"")</f>
        <v/>
      </c>
    </row>
    <row r="231" spans="1:22" x14ac:dyDescent="0.25">
      <c r="A231" s="9">
        <v>45679</v>
      </c>
      <c r="B231" s="4" t="s">
        <v>76</v>
      </c>
      <c r="C231" s="4" t="s">
        <v>67</v>
      </c>
      <c r="D231" s="4" t="s">
        <v>77</v>
      </c>
      <c r="E231" s="10">
        <v>116.46</v>
      </c>
      <c r="G231" s="4" t="s">
        <v>78</v>
      </c>
      <c r="H231" s="4"/>
      <c r="I231" s="4" t="s">
        <v>79</v>
      </c>
      <c r="K231" s="11">
        <f>IF($E231="","",ROUND($E231*IF(ISNA(MATCH($C231,'Paramètres'!$D:$D,0)),1,IF(INDEX('Paramètres'!$J:$J,MATCH($C231,'Paramètres'!$D:$D,0))="",1,INDEX('Paramètres'!$J:$J,MATCH($C231,'Paramètres'!$D:$D,0)))),2))</f>
        <v>58.23</v>
      </c>
      <c r="L231" s="6" t="str">
        <f>IF($D231="","",IF($F231&lt;&gt;"",$F231,IF(ISNA(MATCH($D231,'Paramètres'!$M:$M,0)),"⚠ Type inconnu",IFERROR(INDEX('Paramètres'!$P:$P,MATCH($D231,'Paramètres'!$M:$M,0))&amp;"",""))))</f>
        <v>Débit</v>
      </c>
      <c r="M231" s="6" t="str">
        <f>IF($D231="","",IF(ISNA(MATCH($D231,'Paramètres'!$M:$M,0)),"⚠ Type inconnu",IF($L231="Crédit","",IFERROR(INDEX('Paramètres'!$O:$O,MATCH($D231,'Paramètres'!$M:$M,0))&amp;"",""))))</f>
        <v>Dépense Courante</v>
      </c>
      <c r="N231" s="6" t="str">
        <f>IF($D231="","",IFERROR(INDEX('Paramètres'!$Q:$Q,MATCH($D231,'Paramètres'!$M:$M,0))&amp;"",""))</f>
        <v>Alimentation</v>
      </c>
      <c r="O231" s="6">
        <f>IF($A231="","",IF(OR($J231&lt;&gt;"x",$A231&lt;=FinReleve),1,0))</f>
        <v>1</v>
      </c>
      <c r="P231" s="6">
        <f>IF($D231="","",IF(AND($L231="Crédit",OR(IFERROR(INDEX('Paramètres'!$O:$O,MATCH($D231,'Paramètres'!$M:$M,0))&amp;"","")&lt;&gt;"",ISNUMBER(SEARCH("remboursement",IFERROR(INDEX('Paramètres'!$N:$N,MATCH($D231,'Paramètres'!$M:$M,0))&amp;"",""))))),1,0))</f>
        <v>0</v>
      </c>
      <c r="Q231" s="6">
        <f>IF($K231="","",IF(ISNUMBER(SEARCH("transfert-interne",IFERROR(INDEX('Paramètres'!$N:$N,MATCH($D231,'Paramètres'!$M:$M,0))&amp;"",""))),0,IF($L231="Débit",$K231,IF($P231=1,-$K231,0))))</f>
        <v>58.23</v>
      </c>
      <c r="R231" s="6">
        <f>IF($K231="","",IF($L231="Crédit",$K231,-$K231))</f>
        <v>-58.23</v>
      </c>
      <c r="S231" s="6" t="str">
        <f>IF($C231="","",IFERROR(INDEX('Paramètres'!$H:$H,MATCH($C231,'Paramètres'!$D:$D,0))&amp;"",""))</f>
        <v>Banque A - Courant</v>
      </c>
      <c r="T231" s="6">
        <f>IF($K231="","",IF($S231="",0,IF(ISNUMBER(SEARCH("apport-exterieur",IFERROR(INDEX('Paramètres'!$N:$N,MATCH($D231,'Paramètres'!$M:$M,0))&amp;"",""))),0,IF(OR(IFERROR(INDEX('Paramètres'!$I:$I,MATCH($C231,'Paramètres'!$D:$D,0))&amp;"","")="Les deux",IFERROR(INDEX('Paramètres'!$I:$I,MATCH($C231,'Paramètres'!$D:$D,0))&amp;"","")=IF($P231=1,"Débit",$L231)),-IF($P231=1,-$K231,$K231),0))))</f>
        <v>0</v>
      </c>
      <c r="U231" s="6">
        <f>IF($K231="","",IF(ISNUMBER(SEARCH("sortie-epargne",IFERROR(INDEX('Paramètres'!$N:$N,MATCH($D231,'Paramètres'!$M:$M,0))&amp;"",""))),$K231,0))</f>
        <v>0</v>
      </c>
      <c r="V231" s="6" t="str">
        <f>IF(AND($A231&lt;&gt;"",$O231=1,$L231="Débit",N($Q231)&gt;0,$A231&gt;=Visualisation!$B$1,$A231&lt;Visualisation!$D$1),MAX($V$1:V230)+1,"")</f>
        <v/>
      </c>
    </row>
    <row r="232" spans="1:22" x14ac:dyDescent="0.25">
      <c r="A232" s="9">
        <v>45681</v>
      </c>
      <c r="B232" s="4" t="s">
        <v>76</v>
      </c>
      <c r="C232" s="4" t="s">
        <v>67</v>
      </c>
      <c r="D232" s="4" t="s">
        <v>77</v>
      </c>
      <c r="E232" s="10">
        <v>47.96</v>
      </c>
      <c r="G232" s="4" t="s">
        <v>102</v>
      </c>
      <c r="H232" s="4"/>
      <c r="I232" s="4" t="s">
        <v>63</v>
      </c>
      <c r="K232" s="11">
        <f>IF($E232="","",ROUND($E232*IF(ISNA(MATCH($C232,'Paramètres'!$D:$D,0)),1,IF(INDEX('Paramètres'!$J:$J,MATCH($C232,'Paramètres'!$D:$D,0))="",1,INDEX('Paramètres'!$J:$J,MATCH($C232,'Paramètres'!$D:$D,0)))),2))</f>
        <v>23.98</v>
      </c>
      <c r="L232" s="6" t="str">
        <f>IF($D232="","",IF($F232&lt;&gt;"",$F232,IF(ISNA(MATCH($D232,'Paramètres'!$M:$M,0)),"⚠ Type inconnu",IFERROR(INDEX('Paramètres'!$P:$P,MATCH($D232,'Paramètres'!$M:$M,0))&amp;"",""))))</f>
        <v>Débit</v>
      </c>
      <c r="M232" s="6" t="str">
        <f>IF($D232="","",IF(ISNA(MATCH($D232,'Paramètres'!$M:$M,0)),"⚠ Type inconnu",IF($L232="Crédit","",IFERROR(INDEX('Paramètres'!$O:$O,MATCH($D232,'Paramètres'!$M:$M,0))&amp;"",""))))</f>
        <v>Dépense Courante</v>
      </c>
      <c r="N232" s="6" t="str">
        <f>IF($D232="","",IFERROR(INDEX('Paramètres'!$Q:$Q,MATCH($D232,'Paramètres'!$M:$M,0))&amp;"",""))</f>
        <v>Alimentation</v>
      </c>
      <c r="O232" s="6">
        <f>IF($A232="","",IF(OR($J232&lt;&gt;"x",$A232&lt;=FinReleve),1,0))</f>
        <v>1</v>
      </c>
      <c r="P232" s="6">
        <f>IF($D232="","",IF(AND($L232="Crédit",OR(IFERROR(INDEX('Paramètres'!$O:$O,MATCH($D232,'Paramètres'!$M:$M,0))&amp;"","")&lt;&gt;"",ISNUMBER(SEARCH("remboursement",IFERROR(INDEX('Paramètres'!$N:$N,MATCH($D232,'Paramètres'!$M:$M,0))&amp;"",""))))),1,0))</f>
        <v>0</v>
      </c>
      <c r="Q232" s="6">
        <f>IF($K232="","",IF(ISNUMBER(SEARCH("transfert-interne",IFERROR(INDEX('Paramètres'!$N:$N,MATCH($D232,'Paramètres'!$M:$M,0))&amp;"",""))),0,IF($L232="Débit",$K232,IF($P232=1,-$K232,0))))</f>
        <v>23.98</v>
      </c>
      <c r="R232" s="6">
        <f>IF($K232="","",IF($L232="Crédit",$K232,-$K232))</f>
        <v>-23.98</v>
      </c>
      <c r="S232" s="6" t="str">
        <f>IF($C232="","",IFERROR(INDEX('Paramètres'!$H:$H,MATCH($C232,'Paramètres'!$D:$D,0))&amp;"",""))</f>
        <v>Banque A - Courant</v>
      </c>
      <c r="T232" s="6">
        <f>IF($K232="","",IF($S232="",0,IF(ISNUMBER(SEARCH("apport-exterieur",IFERROR(INDEX('Paramètres'!$N:$N,MATCH($D232,'Paramètres'!$M:$M,0))&amp;"",""))),0,IF(OR(IFERROR(INDEX('Paramètres'!$I:$I,MATCH($C232,'Paramètres'!$D:$D,0))&amp;"","")="Les deux",IFERROR(INDEX('Paramètres'!$I:$I,MATCH($C232,'Paramètres'!$D:$D,0))&amp;"","")=IF($P232=1,"Débit",$L232)),-IF($P232=1,-$K232,$K232),0))))</f>
        <v>0</v>
      </c>
      <c r="U232" s="6">
        <f>IF($K232="","",IF(ISNUMBER(SEARCH("sortie-epargne",IFERROR(INDEX('Paramètres'!$N:$N,MATCH($D232,'Paramètres'!$M:$M,0))&amp;"",""))),$K232,0))</f>
        <v>0</v>
      </c>
      <c r="V232" s="6" t="str">
        <f>IF(AND($A232&lt;&gt;"",$O232=1,$L232="Débit",N($Q232)&gt;0,$A232&gt;=Visualisation!$B$1,$A232&lt;Visualisation!$D$1),MAX($V$1:V231)+1,"")</f>
        <v/>
      </c>
    </row>
    <row r="233" spans="1:22" x14ac:dyDescent="0.25">
      <c r="A233" s="9">
        <v>45681</v>
      </c>
      <c r="B233" s="4" t="s">
        <v>76</v>
      </c>
      <c r="C233" s="4" t="s">
        <v>107</v>
      </c>
      <c r="D233" s="4" t="s">
        <v>108</v>
      </c>
      <c r="E233" s="10">
        <v>18.44</v>
      </c>
      <c r="G233" s="4" t="s">
        <v>137</v>
      </c>
      <c r="H233" s="4"/>
      <c r="I233" s="4" t="s">
        <v>63</v>
      </c>
      <c r="K233" s="11">
        <f>IF($E233="","",ROUND($E233*IF(ISNA(MATCH($C233,'Paramètres'!$D:$D,0)),1,IF(INDEX('Paramètres'!$J:$J,MATCH($C233,'Paramètres'!$D:$D,0))="",1,INDEX('Paramètres'!$J:$J,MATCH($C233,'Paramètres'!$D:$D,0)))),2))</f>
        <v>18.44</v>
      </c>
      <c r="L233" s="6" t="str">
        <f>IF($D233="","",IF($F233&lt;&gt;"",$F233,IF(ISNA(MATCH($D233,'Paramètres'!$M:$M,0)),"⚠ Type inconnu",IFERROR(INDEX('Paramètres'!$P:$P,MATCH($D233,'Paramètres'!$M:$M,0))&amp;"",""))))</f>
        <v>Débit</v>
      </c>
      <c r="M233" s="6" t="str">
        <f>IF($D233="","",IF(ISNA(MATCH($D233,'Paramètres'!$M:$M,0)),"⚠ Type inconnu",IF($L233="Crédit","",IFERROR(INDEX('Paramètres'!$O:$O,MATCH($D233,'Paramètres'!$M:$M,0))&amp;"",""))))</f>
        <v>Dépense Occasionnelle</v>
      </c>
      <c r="N233" s="6" t="str">
        <f>IF($D233="","",IFERROR(INDEX('Paramètres'!$Q:$Q,MATCH($D233,'Paramètres'!$M:$M,0))&amp;"",""))</f>
        <v>Autre</v>
      </c>
      <c r="O233" s="6">
        <f>IF($A233="","",IF(OR($J233&lt;&gt;"x",$A233&lt;=FinReleve),1,0))</f>
        <v>1</v>
      </c>
      <c r="P233" s="6">
        <f>IF($D233="","",IF(AND($L233="Crédit",OR(IFERROR(INDEX('Paramètres'!$O:$O,MATCH($D233,'Paramètres'!$M:$M,0))&amp;"","")&lt;&gt;"",ISNUMBER(SEARCH("remboursement",IFERROR(INDEX('Paramètres'!$N:$N,MATCH($D233,'Paramètres'!$M:$M,0))&amp;"",""))))),1,0))</f>
        <v>0</v>
      </c>
      <c r="Q233" s="6">
        <f>IF($K233="","",IF(ISNUMBER(SEARCH("transfert-interne",IFERROR(INDEX('Paramètres'!$N:$N,MATCH($D233,'Paramètres'!$M:$M,0))&amp;"",""))),0,IF($L233="Débit",$K233,IF($P233=1,-$K233,0))))</f>
        <v>18.44</v>
      </c>
      <c r="R233" s="6">
        <f>IF($K233="","",IF($L233="Crédit",$K233,-$K233))</f>
        <v>-18.44</v>
      </c>
      <c r="S233" s="6" t="str">
        <f>IF($C233="","",IFERROR(INDEX('Paramètres'!$H:$H,MATCH($C233,'Paramètres'!$D:$D,0))&amp;"",""))</f>
        <v/>
      </c>
      <c r="T233" s="6">
        <f>IF($K233="","",IF($S233="",0,IF(ISNUMBER(SEARCH("apport-exterieur",IFERROR(INDEX('Paramètres'!$N:$N,MATCH($D233,'Paramètres'!$M:$M,0))&amp;"",""))),0,IF(OR(IFERROR(INDEX('Paramètres'!$I:$I,MATCH($C233,'Paramètres'!$D:$D,0))&amp;"","")="Les deux",IFERROR(INDEX('Paramètres'!$I:$I,MATCH($C233,'Paramètres'!$D:$D,0))&amp;"","")=IF($P233=1,"Débit",$L233)),-IF($P233=1,-$K233,$K233),0))))</f>
        <v>0</v>
      </c>
      <c r="U233" s="6">
        <f>IF($K233="","",IF(ISNUMBER(SEARCH("sortie-epargne",IFERROR(INDEX('Paramètres'!$N:$N,MATCH($D233,'Paramètres'!$M:$M,0))&amp;"",""))),$K233,0))</f>
        <v>0</v>
      </c>
      <c r="V233" s="6" t="str">
        <f>IF(AND($A233&lt;&gt;"",$O233=1,$L233="Débit",N($Q233)&gt;0,$A233&gt;=Visualisation!$B$1,$A233&lt;Visualisation!$D$1),MAX($V$1:V232)+1,"")</f>
        <v/>
      </c>
    </row>
    <row r="234" spans="1:22" x14ac:dyDescent="0.25">
      <c r="A234" s="9">
        <v>45683</v>
      </c>
      <c r="B234" s="4" t="s">
        <v>105</v>
      </c>
      <c r="C234" s="4" t="s">
        <v>75</v>
      </c>
      <c r="D234" s="4" t="s">
        <v>110</v>
      </c>
      <c r="E234" s="10">
        <v>150</v>
      </c>
      <c r="G234" s="4"/>
      <c r="H234" s="4"/>
      <c r="I234" s="4"/>
      <c r="K234" s="11">
        <f>IF($E234="","",ROUND($E234*IF(ISNA(MATCH($C234,'Paramètres'!$D:$D,0)),1,IF(INDEX('Paramètres'!$J:$J,MATCH($C234,'Paramètres'!$D:$D,0))="",1,INDEX('Paramètres'!$J:$J,MATCH($C234,'Paramètres'!$D:$D,0)))),2))</f>
        <v>150</v>
      </c>
      <c r="L234" s="6" t="str">
        <f>IF($D234="","",IF($F234&lt;&gt;"",$F234,IF(ISNA(MATCH($D234,'Paramètres'!$M:$M,0)),"⚠ Type inconnu",IFERROR(INDEX('Paramètres'!$P:$P,MATCH($D234,'Paramètres'!$M:$M,0))&amp;"",""))))</f>
        <v>Débit</v>
      </c>
      <c r="M234" s="6" t="str">
        <f>IF($D234="","",IF(ISNA(MATCH($D234,'Paramètres'!$M:$M,0)),"⚠ Type inconnu",IF($L234="Crédit","",IFERROR(INDEX('Paramètres'!$O:$O,MATCH($D234,'Paramètres'!$M:$M,0))&amp;"",""))))</f>
        <v/>
      </c>
      <c r="N234" s="6" t="str">
        <f>IF($D234="","",IFERROR(INDEX('Paramètres'!$Q:$Q,MATCH($D234,'Paramètres'!$M:$M,0))&amp;"",""))</f>
        <v>Comptes Bancaires</v>
      </c>
      <c r="O234" s="6">
        <f>IF($A234="","",IF(OR($J234&lt;&gt;"x",$A234&lt;=FinReleve),1,0))</f>
        <v>1</v>
      </c>
      <c r="P234" s="6">
        <f>IF($D234="","",IF(AND($L234="Crédit",OR(IFERROR(INDEX('Paramètres'!$O:$O,MATCH($D234,'Paramètres'!$M:$M,0))&amp;"","")&lt;&gt;"",ISNUMBER(SEARCH("remboursement",IFERROR(INDEX('Paramètres'!$N:$N,MATCH($D234,'Paramètres'!$M:$M,0))&amp;"",""))))),1,0))</f>
        <v>0</v>
      </c>
      <c r="Q234" s="6">
        <f>IF($K234="","",IF(ISNUMBER(SEARCH("transfert-interne",IFERROR(INDEX('Paramètres'!$N:$N,MATCH($D234,'Paramètres'!$M:$M,0))&amp;"",""))),0,IF($L234="Débit",$K234,IF($P234=1,-$K234,0))))</f>
        <v>0</v>
      </c>
      <c r="R234" s="6">
        <f>IF($K234="","",IF($L234="Crédit",$K234,-$K234))</f>
        <v>-150</v>
      </c>
      <c r="S234" s="6" t="str">
        <f>IF($C234="","",IFERROR(INDEX('Paramètres'!$H:$H,MATCH($C234,'Paramètres'!$D:$D,0))&amp;"",""))</f>
        <v/>
      </c>
      <c r="T234" s="6">
        <f>IF($K234="","",IF($S234="",0,IF(ISNUMBER(SEARCH("apport-exterieur",IFERROR(INDEX('Paramètres'!$N:$N,MATCH($D234,'Paramètres'!$M:$M,0))&amp;"",""))),0,IF(OR(IFERROR(INDEX('Paramètres'!$I:$I,MATCH($C234,'Paramètres'!$D:$D,0))&amp;"","")="Les deux",IFERROR(INDEX('Paramètres'!$I:$I,MATCH($C234,'Paramètres'!$D:$D,0))&amp;"","")=IF($P234=1,"Débit",$L234)),-IF($P234=1,-$K234,$K234),0))))</f>
        <v>0</v>
      </c>
      <c r="U234" s="6">
        <f>IF($K234="","",IF(ISNUMBER(SEARCH("sortie-epargne",IFERROR(INDEX('Paramètres'!$N:$N,MATCH($D234,'Paramètres'!$M:$M,0))&amp;"",""))),$K234,0))</f>
        <v>0</v>
      </c>
      <c r="V234" s="6" t="str">
        <f>IF(AND($A234&lt;&gt;"",$O234=1,$L234="Débit",N($Q234)&gt;0,$A234&gt;=Visualisation!$B$1,$A234&lt;Visualisation!$D$1),MAX($V$1:V233)+1,"")</f>
        <v/>
      </c>
    </row>
    <row r="235" spans="1:22" x14ac:dyDescent="0.25">
      <c r="A235" s="9">
        <v>45683</v>
      </c>
      <c r="B235" s="4" t="s">
        <v>105</v>
      </c>
      <c r="C235" s="4" t="s">
        <v>75</v>
      </c>
      <c r="D235" s="4" t="s">
        <v>111</v>
      </c>
      <c r="E235" s="10">
        <v>200</v>
      </c>
      <c r="G235" s="4"/>
      <c r="H235" s="4"/>
      <c r="I235" s="4"/>
      <c r="K235" s="11">
        <f>IF($E235="","",ROUND($E235*IF(ISNA(MATCH($C235,'Paramètres'!$D:$D,0)),1,IF(INDEX('Paramètres'!$J:$J,MATCH($C235,'Paramètres'!$D:$D,0))="",1,INDEX('Paramètres'!$J:$J,MATCH($C235,'Paramètres'!$D:$D,0)))),2))</f>
        <v>200</v>
      </c>
      <c r="L235" s="6" t="str">
        <f>IF($D235="","",IF($F235&lt;&gt;"",$F235,IF(ISNA(MATCH($D235,'Paramètres'!$M:$M,0)),"⚠ Type inconnu",IFERROR(INDEX('Paramètres'!$P:$P,MATCH($D235,'Paramètres'!$M:$M,0))&amp;"",""))))</f>
        <v>Débit</v>
      </c>
      <c r="M235" s="6" t="str">
        <f>IF($D235="","",IF(ISNA(MATCH($D235,'Paramètres'!$M:$M,0)),"⚠ Type inconnu",IF($L235="Crédit","",IFERROR(INDEX('Paramètres'!$O:$O,MATCH($D235,'Paramètres'!$M:$M,0))&amp;"",""))))</f>
        <v/>
      </c>
      <c r="N235" s="6" t="str">
        <f>IF($D235="","",IFERROR(INDEX('Paramètres'!$Q:$Q,MATCH($D235,'Paramètres'!$M:$M,0))&amp;"",""))</f>
        <v>Comptes Bancaires</v>
      </c>
      <c r="O235" s="6">
        <f>IF($A235="","",IF(OR($J235&lt;&gt;"x",$A235&lt;=FinReleve),1,0))</f>
        <v>1</v>
      </c>
      <c r="P235" s="6">
        <f>IF($D235="","",IF(AND($L235="Crédit",OR(IFERROR(INDEX('Paramètres'!$O:$O,MATCH($D235,'Paramètres'!$M:$M,0))&amp;"","")&lt;&gt;"",ISNUMBER(SEARCH("remboursement",IFERROR(INDEX('Paramètres'!$N:$N,MATCH($D235,'Paramètres'!$M:$M,0))&amp;"",""))))),1,0))</f>
        <v>0</v>
      </c>
      <c r="Q235" s="6">
        <f>IF($K235="","",IF(ISNUMBER(SEARCH("transfert-interne",IFERROR(INDEX('Paramètres'!$N:$N,MATCH($D235,'Paramètres'!$M:$M,0))&amp;"",""))),0,IF($L235="Débit",$K235,IF($P235=1,-$K235,0))))</f>
        <v>200</v>
      </c>
      <c r="R235" s="6">
        <f>IF($K235="","",IF($L235="Crédit",$K235,-$K235))</f>
        <v>-200</v>
      </c>
      <c r="S235" s="6" t="str">
        <f>IF($C235="","",IFERROR(INDEX('Paramètres'!$H:$H,MATCH($C235,'Paramètres'!$D:$D,0))&amp;"",""))</f>
        <v/>
      </c>
      <c r="T235" s="6">
        <f>IF($K235="","",IF($S235="",0,IF(ISNUMBER(SEARCH("apport-exterieur",IFERROR(INDEX('Paramètres'!$N:$N,MATCH($D235,'Paramètres'!$M:$M,0))&amp;"",""))),0,IF(OR(IFERROR(INDEX('Paramètres'!$I:$I,MATCH($C235,'Paramètres'!$D:$D,0))&amp;"","")="Les deux",IFERROR(INDEX('Paramètres'!$I:$I,MATCH($C235,'Paramètres'!$D:$D,0))&amp;"","")=IF($P235=1,"Débit",$L235)),-IF($P235=1,-$K235,$K235),0))))</f>
        <v>0</v>
      </c>
      <c r="U235" s="6">
        <f>IF($K235="","",IF(ISNUMBER(SEARCH("sortie-epargne",IFERROR(INDEX('Paramètres'!$N:$N,MATCH($D235,'Paramètres'!$M:$M,0))&amp;"",""))),$K235,0))</f>
        <v>0</v>
      </c>
      <c r="V235" s="6" t="str">
        <f>IF(AND($A235&lt;&gt;"",$O235=1,$L235="Débit",N($Q235)&gt;0,$A235&gt;=Visualisation!$B$1,$A235&lt;Visualisation!$D$1),MAX($V$1:V234)+1,"")</f>
        <v/>
      </c>
    </row>
    <row r="236" spans="1:22" x14ac:dyDescent="0.25">
      <c r="A236" s="9">
        <v>45683</v>
      </c>
      <c r="B236" s="4" t="s">
        <v>112</v>
      </c>
      <c r="C236" s="4" t="s">
        <v>75</v>
      </c>
      <c r="D236" s="4" t="s">
        <v>113</v>
      </c>
      <c r="E236" s="10">
        <v>120</v>
      </c>
      <c r="G236" s="4"/>
      <c r="H236" s="4"/>
      <c r="I236" s="4"/>
      <c r="K236" s="11">
        <f>IF($E236="","",ROUND($E236*IF(ISNA(MATCH($C236,'Paramètres'!$D:$D,0)),1,IF(INDEX('Paramètres'!$J:$J,MATCH($C236,'Paramètres'!$D:$D,0))="",1,INDEX('Paramètres'!$J:$J,MATCH($C236,'Paramètres'!$D:$D,0)))),2))</f>
        <v>120</v>
      </c>
      <c r="L236" s="6" t="str">
        <f>IF($D236="","",IF($F236&lt;&gt;"",$F236,IF(ISNA(MATCH($D236,'Paramètres'!$M:$M,0)),"⚠ Type inconnu",IFERROR(INDEX('Paramètres'!$P:$P,MATCH($D236,'Paramètres'!$M:$M,0))&amp;"",""))))</f>
        <v>Débit</v>
      </c>
      <c r="M236" s="6" t="str">
        <f>IF($D236="","",IF(ISNA(MATCH($D236,'Paramètres'!$M:$M,0)),"⚠ Type inconnu",IF($L236="Crédit","",IFERROR(INDEX('Paramètres'!$O:$O,MATCH($D236,'Paramètres'!$M:$M,0))&amp;"",""))))</f>
        <v/>
      </c>
      <c r="N236" s="6" t="str">
        <f>IF($D236="","",IFERROR(INDEX('Paramètres'!$Q:$Q,MATCH($D236,'Paramètres'!$M:$M,0))&amp;"",""))</f>
        <v>Comptes Bancaires</v>
      </c>
      <c r="O236" s="6">
        <f>IF($A236="","",IF(OR($J236&lt;&gt;"x",$A236&lt;=FinReleve),1,0))</f>
        <v>1</v>
      </c>
      <c r="P236" s="6">
        <f>IF($D236="","",IF(AND($L236="Crédit",OR(IFERROR(INDEX('Paramètres'!$O:$O,MATCH($D236,'Paramètres'!$M:$M,0))&amp;"","")&lt;&gt;"",ISNUMBER(SEARCH("remboursement",IFERROR(INDEX('Paramètres'!$N:$N,MATCH($D236,'Paramètres'!$M:$M,0))&amp;"",""))))),1,0))</f>
        <v>0</v>
      </c>
      <c r="Q236" s="6">
        <f>IF($K236="","",IF(ISNUMBER(SEARCH("transfert-interne",IFERROR(INDEX('Paramètres'!$N:$N,MATCH($D236,'Paramètres'!$M:$M,0))&amp;"",""))),0,IF($L236="Débit",$K236,IF($P236=1,-$K236,0))))</f>
        <v>120</v>
      </c>
      <c r="R236" s="6">
        <f>IF($K236="","",IF($L236="Crédit",$K236,-$K236))</f>
        <v>-120</v>
      </c>
      <c r="S236" s="6" t="str">
        <f>IF($C236="","",IFERROR(INDEX('Paramètres'!$H:$H,MATCH($C236,'Paramètres'!$D:$D,0))&amp;"",""))</f>
        <v/>
      </c>
      <c r="T236" s="6">
        <f>IF($K236="","",IF($S236="",0,IF(ISNUMBER(SEARCH("apport-exterieur",IFERROR(INDEX('Paramètres'!$N:$N,MATCH($D236,'Paramètres'!$M:$M,0))&amp;"",""))),0,IF(OR(IFERROR(INDEX('Paramètres'!$I:$I,MATCH($C236,'Paramètres'!$D:$D,0))&amp;"","")="Les deux",IFERROR(INDEX('Paramètres'!$I:$I,MATCH($C236,'Paramètres'!$D:$D,0))&amp;"","")=IF($P236=1,"Débit",$L236)),-IF($P236=1,-$K236,$K236),0))))</f>
        <v>0</v>
      </c>
      <c r="U236" s="6">
        <f>IF($K236="","",IF(ISNUMBER(SEARCH("sortie-epargne",IFERROR(INDEX('Paramètres'!$N:$N,MATCH($D236,'Paramètres'!$M:$M,0))&amp;"",""))),$K236,0))</f>
        <v>0</v>
      </c>
      <c r="V236" s="6" t="str">
        <f>IF(AND($A236&lt;&gt;"",$O236=1,$L236="Débit",N($Q236)&gt;0,$A236&gt;=Visualisation!$B$1,$A236&lt;Visualisation!$D$1),MAX($V$1:V235)+1,"")</f>
        <v/>
      </c>
    </row>
    <row r="237" spans="1:22" x14ac:dyDescent="0.25">
      <c r="A237" s="9">
        <v>45684</v>
      </c>
      <c r="B237" s="4" t="s">
        <v>114</v>
      </c>
      <c r="C237" s="4" t="s">
        <v>75</v>
      </c>
      <c r="D237" s="4" t="s">
        <v>115</v>
      </c>
      <c r="E237" s="10">
        <v>3016.03</v>
      </c>
      <c r="G237" s="4" t="s">
        <v>115</v>
      </c>
      <c r="H237" s="4"/>
      <c r="I237" s="4"/>
      <c r="K237" s="11">
        <f>IF($E237="","",ROUND($E237*IF(ISNA(MATCH($C237,'Paramètres'!$D:$D,0)),1,IF(INDEX('Paramètres'!$J:$J,MATCH($C237,'Paramètres'!$D:$D,0))="",1,INDEX('Paramètres'!$J:$J,MATCH($C237,'Paramètres'!$D:$D,0)))),2))</f>
        <v>3016.03</v>
      </c>
      <c r="L237" s="6" t="str">
        <f>IF($D237="","",IF($F237&lt;&gt;"",$F237,IF(ISNA(MATCH($D237,'Paramètres'!$M:$M,0)),"⚠ Type inconnu",IFERROR(INDEX('Paramètres'!$P:$P,MATCH($D237,'Paramètres'!$M:$M,0))&amp;"",""))))</f>
        <v>Crédit</v>
      </c>
      <c r="M237" s="6" t="str">
        <f>IF($D237="","",IF(ISNA(MATCH($D237,'Paramètres'!$M:$M,0)),"⚠ Type inconnu",IF($L237="Crédit","",IFERROR(INDEX('Paramètres'!$O:$O,MATCH($D237,'Paramètres'!$M:$M,0))&amp;"",""))))</f>
        <v/>
      </c>
      <c r="N237" s="6" t="str">
        <f>IF($D237="","",IFERROR(INDEX('Paramètres'!$Q:$Q,MATCH($D237,'Paramètres'!$M:$M,0))&amp;"",""))</f>
        <v/>
      </c>
      <c r="O237" s="6">
        <f>IF($A237="","",IF(OR($J237&lt;&gt;"x",$A237&lt;=FinReleve),1,0))</f>
        <v>1</v>
      </c>
      <c r="P237" s="6">
        <f>IF($D237="","",IF(AND($L237="Crédit",OR(IFERROR(INDEX('Paramètres'!$O:$O,MATCH($D237,'Paramètres'!$M:$M,0))&amp;"","")&lt;&gt;"",ISNUMBER(SEARCH("remboursement",IFERROR(INDEX('Paramètres'!$N:$N,MATCH($D237,'Paramètres'!$M:$M,0))&amp;"",""))))),1,0))</f>
        <v>0</v>
      </c>
      <c r="Q237" s="6">
        <f>IF($K237="","",IF(ISNUMBER(SEARCH("transfert-interne",IFERROR(INDEX('Paramètres'!$N:$N,MATCH($D237,'Paramètres'!$M:$M,0))&amp;"",""))),0,IF($L237="Débit",$K237,IF($P237=1,-$K237,0))))</f>
        <v>0</v>
      </c>
      <c r="R237" s="6">
        <f>IF($K237="","",IF($L237="Crédit",$K237,-$K237))</f>
        <v>3016.03</v>
      </c>
      <c r="S237" s="6" t="str">
        <f>IF($C237="","",IFERROR(INDEX('Paramètres'!$H:$H,MATCH($C237,'Paramètres'!$D:$D,0))&amp;"",""))</f>
        <v/>
      </c>
      <c r="T237" s="6">
        <f>IF($K237="","",IF($S237="",0,IF(ISNUMBER(SEARCH("apport-exterieur",IFERROR(INDEX('Paramètres'!$N:$N,MATCH($D237,'Paramètres'!$M:$M,0))&amp;"",""))),0,IF(OR(IFERROR(INDEX('Paramètres'!$I:$I,MATCH($C237,'Paramètres'!$D:$D,0))&amp;"","")="Les deux",IFERROR(INDEX('Paramètres'!$I:$I,MATCH($C237,'Paramètres'!$D:$D,0))&amp;"","")=IF($P237=1,"Débit",$L237)),-IF($P237=1,-$K237,$K237),0))))</f>
        <v>0</v>
      </c>
      <c r="U237" s="6">
        <f>IF($K237="","",IF(ISNUMBER(SEARCH("sortie-epargne",IFERROR(INDEX('Paramètres'!$N:$N,MATCH($D237,'Paramètres'!$M:$M,0))&amp;"",""))),$K237,0))</f>
        <v>0</v>
      </c>
      <c r="V237" s="6" t="str">
        <f>IF(AND($A237&lt;&gt;"",$O237=1,$L237="Débit",N($Q237)&gt;0,$A237&gt;=Visualisation!$B$1,$A237&lt;Visualisation!$D$1),MAX($V$1:V236)+1,"")</f>
        <v/>
      </c>
    </row>
    <row r="238" spans="1:22" x14ac:dyDescent="0.25">
      <c r="A238" s="9">
        <v>45685</v>
      </c>
      <c r="B238" s="4" t="s">
        <v>118</v>
      </c>
      <c r="C238" s="4" t="s">
        <v>75</v>
      </c>
      <c r="D238" s="4" t="s">
        <v>118</v>
      </c>
      <c r="E238" s="10">
        <v>3</v>
      </c>
      <c r="G238" s="4"/>
      <c r="H238" s="4"/>
      <c r="I238" s="4"/>
      <c r="K238" s="11">
        <f>IF($E238="","",ROUND($E238*IF(ISNA(MATCH($C238,'Paramètres'!$D:$D,0)),1,IF(INDEX('Paramètres'!$J:$J,MATCH($C238,'Paramètres'!$D:$D,0))="",1,INDEX('Paramètres'!$J:$J,MATCH($C238,'Paramètres'!$D:$D,0)))),2))</f>
        <v>3</v>
      </c>
      <c r="L238" s="6" t="str">
        <f>IF($D238="","",IF($F238&lt;&gt;"",$F238,IF(ISNA(MATCH($D238,'Paramètres'!$M:$M,0)),"⚠ Type inconnu",IFERROR(INDEX('Paramètres'!$P:$P,MATCH($D238,'Paramètres'!$M:$M,0))&amp;"",""))))</f>
        <v>Débit</v>
      </c>
      <c r="M238" s="6" t="str">
        <f>IF($D238="","",IF(ISNA(MATCH($D238,'Paramètres'!$M:$M,0)),"⚠ Type inconnu",IF($L238="Crédit","",IFERROR(INDEX('Paramètres'!$O:$O,MATCH($D238,'Paramètres'!$M:$M,0))&amp;"",""))))</f>
        <v>Dépense Fixe</v>
      </c>
      <c r="N238" s="6" t="str">
        <f>IF($D238="","",IFERROR(INDEX('Paramètres'!$Q:$Q,MATCH($D238,'Paramètres'!$M:$M,0))&amp;"",""))</f>
        <v>Banque</v>
      </c>
      <c r="O238" s="6">
        <f>IF($A238="","",IF(OR($J238&lt;&gt;"x",$A238&lt;=FinReleve),1,0))</f>
        <v>1</v>
      </c>
      <c r="P238" s="6">
        <f>IF($D238="","",IF(AND($L238="Crédit",OR(IFERROR(INDEX('Paramètres'!$O:$O,MATCH($D238,'Paramètres'!$M:$M,0))&amp;"","")&lt;&gt;"",ISNUMBER(SEARCH("remboursement",IFERROR(INDEX('Paramètres'!$N:$N,MATCH($D238,'Paramètres'!$M:$M,0))&amp;"",""))))),1,0))</f>
        <v>0</v>
      </c>
      <c r="Q238" s="6">
        <f>IF($K238="","",IF(ISNUMBER(SEARCH("transfert-interne",IFERROR(INDEX('Paramètres'!$N:$N,MATCH($D238,'Paramètres'!$M:$M,0))&amp;"",""))),0,IF($L238="Débit",$K238,IF($P238=1,-$K238,0))))</f>
        <v>3</v>
      </c>
      <c r="R238" s="6">
        <f>IF($K238="","",IF($L238="Crédit",$K238,-$K238))</f>
        <v>-3</v>
      </c>
      <c r="S238" s="6" t="str">
        <f>IF($C238="","",IFERROR(INDEX('Paramètres'!$H:$H,MATCH($C238,'Paramètres'!$D:$D,0))&amp;"",""))</f>
        <v/>
      </c>
      <c r="T238" s="6">
        <f>IF($K238="","",IF($S238="",0,IF(ISNUMBER(SEARCH("apport-exterieur",IFERROR(INDEX('Paramètres'!$N:$N,MATCH($D238,'Paramètres'!$M:$M,0))&amp;"",""))),0,IF(OR(IFERROR(INDEX('Paramètres'!$I:$I,MATCH($C238,'Paramètres'!$D:$D,0))&amp;"","")="Les deux",IFERROR(INDEX('Paramètres'!$I:$I,MATCH($C238,'Paramètres'!$D:$D,0))&amp;"","")=IF($P238=1,"Débit",$L238)),-IF($P238=1,-$K238,$K238),0))))</f>
        <v>0</v>
      </c>
      <c r="U238" s="6">
        <f>IF($K238="","",IF(ISNUMBER(SEARCH("sortie-epargne",IFERROR(INDEX('Paramètres'!$N:$N,MATCH($D238,'Paramètres'!$M:$M,0))&amp;"",""))),$K238,0))</f>
        <v>0</v>
      </c>
      <c r="V238" s="6" t="str">
        <f>IF(AND($A238&lt;&gt;"",$O238=1,$L238="Débit",N($Q238)&gt;0,$A238&gt;=Visualisation!$B$1,$A238&lt;Visualisation!$D$1),MAX($V$1:V237)+1,"")</f>
        <v/>
      </c>
    </row>
    <row r="239" spans="1:22" x14ac:dyDescent="0.25">
      <c r="A239" s="9">
        <v>45685</v>
      </c>
      <c r="B239" s="4" t="s">
        <v>90</v>
      </c>
      <c r="C239" s="4" t="s">
        <v>75</v>
      </c>
      <c r="D239" s="4" t="s">
        <v>91</v>
      </c>
      <c r="E239" s="10">
        <v>60.95</v>
      </c>
      <c r="G239" s="4" t="s">
        <v>92</v>
      </c>
      <c r="H239" s="4"/>
      <c r="I239" s="4" t="s">
        <v>79</v>
      </c>
      <c r="K239" s="11">
        <f>IF($E239="","",ROUND($E239*IF(ISNA(MATCH($C239,'Paramètres'!$D:$D,0)),1,IF(INDEX('Paramètres'!$J:$J,MATCH($C239,'Paramètres'!$D:$D,0))="",1,INDEX('Paramètres'!$J:$J,MATCH($C239,'Paramètres'!$D:$D,0)))),2))</f>
        <v>60.95</v>
      </c>
      <c r="L239" s="6" t="str">
        <f>IF($D239="","",IF($F239&lt;&gt;"",$F239,IF(ISNA(MATCH($D239,'Paramètres'!$M:$M,0)),"⚠ Type inconnu",IFERROR(INDEX('Paramètres'!$P:$P,MATCH($D239,'Paramètres'!$M:$M,0))&amp;"",""))))</f>
        <v>Débit</v>
      </c>
      <c r="M239" s="6" t="str">
        <f>IF($D239="","",IF(ISNA(MATCH($D239,'Paramètres'!$M:$M,0)),"⚠ Type inconnu",IF($L239="Crédit","",IFERROR(INDEX('Paramètres'!$O:$O,MATCH($D239,'Paramètres'!$M:$M,0))&amp;"",""))))</f>
        <v>Dépense Courante</v>
      </c>
      <c r="N239" s="6" t="str">
        <f>IF($D239="","",IFERROR(INDEX('Paramètres'!$Q:$Q,MATCH($D239,'Paramètres'!$M:$M,0))&amp;"",""))</f>
        <v>Transport</v>
      </c>
      <c r="O239" s="6">
        <f>IF($A239="","",IF(OR($J239&lt;&gt;"x",$A239&lt;=FinReleve),1,0))</f>
        <v>1</v>
      </c>
      <c r="P239" s="6">
        <f>IF($D239="","",IF(AND($L239="Crédit",OR(IFERROR(INDEX('Paramètres'!$O:$O,MATCH($D239,'Paramètres'!$M:$M,0))&amp;"","")&lt;&gt;"",ISNUMBER(SEARCH("remboursement",IFERROR(INDEX('Paramètres'!$N:$N,MATCH($D239,'Paramètres'!$M:$M,0))&amp;"",""))))),1,0))</f>
        <v>0</v>
      </c>
      <c r="Q239" s="6">
        <f>IF($K239="","",IF(ISNUMBER(SEARCH("transfert-interne",IFERROR(INDEX('Paramètres'!$N:$N,MATCH($D239,'Paramètres'!$M:$M,0))&amp;"",""))),0,IF($L239="Débit",$K239,IF($P239=1,-$K239,0))))</f>
        <v>60.95</v>
      </c>
      <c r="R239" s="6">
        <f>IF($K239="","",IF($L239="Crédit",$K239,-$K239))</f>
        <v>-60.95</v>
      </c>
      <c r="S239" s="6" t="str">
        <f>IF($C239="","",IFERROR(INDEX('Paramètres'!$H:$H,MATCH($C239,'Paramètres'!$D:$D,0))&amp;"",""))</f>
        <v/>
      </c>
      <c r="T239" s="6">
        <f>IF($K239="","",IF($S239="",0,IF(ISNUMBER(SEARCH("apport-exterieur",IFERROR(INDEX('Paramètres'!$N:$N,MATCH($D239,'Paramètres'!$M:$M,0))&amp;"",""))),0,IF(OR(IFERROR(INDEX('Paramètres'!$I:$I,MATCH($C239,'Paramètres'!$D:$D,0))&amp;"","")="Les deux",IFERROR(INDEX('Paramètres'!$I:$I,MATCH($C239,'Paramètres'!$D:$D,0))&amp;"","")=IF($P239=1,"Débit",$L239)),-IF($P239=1,-$K239,$K239),0))))</f>
        <v>0</v>
      </c>
      <c r="U239" s="6">
        <f>IF($K239="","",IF(ISNUMBER(SEARCH("sortie-epargne",IFERROR(INDEX('Paramètres'!$N:$N,MATCH($D239,'Paramètres'!$M:$M,0))&amp;"",""))),$K239,0))</f>
        <v>0</v>
      </c>
      <c r="V239" s="6" t="str">
        <f>IF(AND($A239&lt;&gt;"",$O239=1,$L239="Débit",N($Q239)&gt;0,$A239&gt;=Visualisation!$B$1,$A239&lt;Visualisation!$D$1),MAX($V$1:V238)+1,"")</f>
        <v/>
      </c>
    </row>
    <row r="240" spans="1:22" x14ac:dyDescent="0.25">
      <c r="A240" s="9">
        <v>45690</v>
      </c>
      <c r="B240" s="4" t="s">
        <v>64</v>
      </c>
      <c r="C240" s="4" t="s">
        <v>65</v>
      </c>
      <c r="D240" s="4" t="s">
        <v>66</v>
      </c>
      <c r="E240" s="10">
        <v>1160</v>
      </c>
      <c r="G240" s="4"/>
      <c r="H240" s="4"/>
      <c r="I240" s="4"/>
      <c r="K240" s="11">
        <f>IF($E240="","",ROUND($E240*IF(ISNA(MATCH($C240,'Paramètres'!$D:$D,0)),1,IF(INDEX('Paramètres'!$J:$J,MATCH($C240,'Paramètres'!$D:$D,0))="",1,INDEX('Paramètres'!$J:$J,MATCH($C240,'Paramètres'!$D:$D,0)))),2))</f>
        <v>1160</v>
      </c>
      <c r="L240" s="6" t="str">
        <f>IF($D240="","",IF($F240&lt;&gt;"",$F240,IF(ISNA(MATCH($D240,'Paramètres'!$M:$M,0)),"⚠ Type inconnu",IFERROR(INDEX('Paramètres'!$P:$P,MATCH($D240,'Paramètres'!$M:$M,0))&amp;"",""))))</f>
        <v>Crédit</v>
      </c>
      <c r="M240" s="6" t="str">
        <f>IF($D240="","",IF(ISNA(MATCH($D240,'Paramètres'!$M:$M,0)),"⚠ Type inconnu",IF($L240="Crédit","",IFERROR(INDEX('Paramètres'!$O:$O,MATCH($D240,'Paramètres'!$M:$M,0))&amp;"",""))))</f>
        <v/>
      </c>
      <c r="N240" s="6" t="str">
        <f>IF($D240="","",IFERROR(INDEX('Paramètres'!$Q:$Q,MATCH($D240,'Paramètres'!$M:$M,0))&amp;"",""))</f>
        <v>Comptes Bancaires</v>
      </c>
      <c r="O240" s="6">
        <f>IF($A240="","",IF(OR($J240&lt;&gt;"x",$A240&lt;=FinReleve),1,0))</f>
        <v>1</v>
      </c>
      <c r="P240" s="6">
        <f>IF($D240="","",IF(AND($L240="Crédit",OR(IFERROR(INDEX('Paramètres'!$O:$O,MATCH($D240,'Paramètres'!$M:$M,0))&amp;"","")&lt;&gt;"",ISNUMBER(SEARCH("remboursement",IFERROR(INDEX('Paramètres'!$N:$N,MATCH($D240,'Paramètres'!$M:$M,0))&amp;"",""))))),1,0))</f>
        <v>0</v>
      </c>
      <c r="Q240" s="6">
        <f>IF($K240="","",IF(ISNUMBER(SEARCH("transfert-interne",IFERROR(INDEX('Paramètres'!$N:$N,MATCH($D240,'Paramètres'!$M:$M,0))&amp;"",""))),0,IF($L240="Débit",$K240,IF($P240=1,-$K240,0))))</f>
        <v>0</v>
      </c>
      <c r="R240" s="6">
        <f>IF($K240="","",IF($L240="Crédit",$K240,-$K240))</f>
        <v>1160</v>
      </c>
      <c r="S240" s="6" t="str">
        <f>IF($C240="","",IFERROR(INDEX('Paramètres'!$H:$H,MATCH($C240,'Paramètres'!$D:$D,0))&amp;"",""))</f>
        <v>Banque A - Courant</v>
      </c>
      <c r="T240" s="6">
        <f>IF($K240="","",IF($S240="",0,IF(ISNUMBER(SEARCH("apport-exterieur",IFERROR(INDEX('Paramètres'!$N:$N,MATCH($D240,'Paramètres'!$M:$M,0))&amp;"",""))),0,IF(OR(IFERROR(INDEX('Paramètres'!$I:$I,MATCH($C240,'Paramètres'!$D:$D,0))&amp;"","")="Les deux",IFERROR(INDEX('Paramètres'!$I:$I,MATCH($C240,'Paramètres'!$D:$D,0))&amp;"","")=IF($P240=1,"Débit",$L240)),-IF($P240=1,-$K240,$K240),0))))</f>
        <v>-1160</v>
      </c>
      <c r="U240" s="6">
        <f>IF($K240="","",IF(ISNUMBER(SEARCH("sortie-epargne",IFERROR(INDEX('Paramètres'!$N:$N,MATCH($D240,'Paramètres'!$M:$M,0))&amp;"",""))),$K240,0))</f>
        <v>0</v>
      </c>
      <c r="V240" s="6" t="str">
        <f>IF(AND($A240&lt;&gt;"",$O240=1,$L240="Débit",N($Q240)&gt;0,$A240&gt;=Visualisation!$B$1,$A240&lt;Visualisation!$D$1),MAX($V$1:V239)+1,"")</f>
        <v/>
      </c>
    </row>
    <row r="241" spans="1:22" x14ac:dyDescent="0.25">
      <c r="A241" s="9">
        <v>45690</v>
      </c>
      <c r="B241" s="4" t="s">
        <v>64</v>
      </c>
      <c r="C241" s="4" t="s">
        <v>67</v>
      </c>
      <c r="D241" s="4" t="s">
        <v>68</v>
      </c>
      <c r="E241" s="10">
        <v>600</v>
      </c>
      <c r="G241" s="4"/>
      <c r="H241" s="4"/>
      <c r="I241" s="4"/>
      <c r="K241" s="11">
        <f>IF($E241="","",ROUND($E241*IF(ISNA(MATCH($C241,'Paramètres'!$D:$D,0)),1,IF(INDEX('Paramètres'!$J:$J,MATCH($C241,'Paramètres'!$D:$D,0))="",1,INDEX('Paramètres'!$J:$J,MATCH($C241,'Paramètres'!$D:$D,0)))),2))</f>
        <v>300</v>
      </c>
      <c r="L241" s="6" t="str">
        <f>IF($D241="","",IF($F241&lt;&gt;"",$F241,IF(ISNA(MATCH($D241,'Paramètres'!$M:$M,0)),"⚠ Type inconnu",IFERROR(INDEX('Paramètres'!$P:$P,MATCH($D241,'Paramètres'!$M:$M,0))&amp;"",""))))</f>
        <v>Crédit</v>
      </c>
      <c r="M241" s="6" t="str">
        <f>IF($D241="","",IF(ISNA(MATCH($D241,'Paramètres'!$M:$M,0)),"⚠ Type inconnu",IF($L241="Crédit","",IFERROR(INDEX('Paramètres'!$O:$O,MATCH($D241,'Paramètres'!$M:$M,0))&amp;"",""))))</f>
        <v/>
      </c>
      <c r="N241" s="6" t="str">
        <f>IF($D241="","",IFERROR(INDEX('Paramètres'!$Q:$Q,MATCH($D241,'Paramètres'!$M:$M,0))&amp;"",""))</f>
        <v>Comptes Bancaires</v>
      </c>
      <c r="O241" s="6">
        <f>IF($A241="","",IF(OR($J241&lt;&gt;"x",$A241&lt;=FinReleve),1,0))</f>
        <v>1</v>
      </c>
      <c r="P241" s="6">
        <f>IF($D241="","",IF(AND($L241="Crédit",OR(IFERROR(INDEX('Paramètres'!$O:$O,MATCH($D241,'Paramètres'!$M:$M,0))&amp;"","")&lt;&gt;"",ISNUMBER(SEARCH("remboursement",IFERROR(INDEX('Paramètres'!$N:$N,MATCH($D241,'Paramètres'!$M:$M,0))&amp;"",""))))),1,0))</f>
        <v>0</v>
      </c>
      <c r="Q241" s="6">
        <f>IF($K241="","",IF(ISNUMBER(SEARCH("transfert-interne",IFERROR(INDEX('Paramètres'!$N:$N,MATCH($D241,'Paramètres'!$M:$M,0))&amp;"",""))),0,IF($L241="Débit",$K241,IF($P241=1,-$K241,0))))</f>
        <v>0</v>
      </c>
      <c r="R241" s="6">
        <f>IF($K241="","",IF($L241="Crédit",$K241,-$K241))</f>
        <v>300</v>
      </c>
      <c r="S241" s="6" t="str">
        <f>IF($C241="","",IFERROR(INDEX('Paramètres'!$H:$H,MATCH($C241,'Paramètres'!$D:$D,0))&amp;"",""))</f>
        <v>Banque A - Courant</v>
      </c>
      <c r="T241" s="6">
        <f>IF($K241="","",IF($S241="",0,IF(ISNUMBER(SEARCH("apport-exterieur",IFERROR(INDEX('Paramètres'!$N:$N,MATCH($D241,'Paramètres'!$M:$M,0))&amp;"",""))),0,IF(OR(IFERROR(INDEX('Paramètres'!$I:$I,MATCH($C241,'Paramètres'!$D:$D,0))&amp;"","")="Les deux",IFERROR(INDEX('Paramètres'!$I:$I,MATCH($C241,'Paramètres'!$D:$D,0))&amp;"","")=IF($P241=1,"Débit",$L241)),-IF($P241=1,-$K241,$K241),0))))</f>
        <v>-300</v>
      </c>
      <c r="U241" s="6">
        <f>IF($K241="","",IF(ISNUMBER(SEARCH("sortie-epargne",IFERROR(INDEX('Paramètres'!$N:$N,MATCH($D241,'Paramètres'!$M:$M,0))&amp;"",""))),$K241,0))</f>
        <v>0</v>
      </c>
      <c r="V241" s="6" t="str">
        <f>IF(AND($A241&lt;&gt;"",$O241=1,$L241="Débit",N($Q241)&gt;0,$A241&gt;=Visualisation!$B$1,$A241&lt;Visualisation!$D$1),MAX($V$1:V240)+1,"")</f>
        <v/>
      </c>
    </row>
    <row r="242" spans="1:22" x14ac:dyDescent="0.25">
      <c r="A242" s="9">
        <v>45691</v>
      </c>
      <c r="B242" s="4" t="s">
        <v>74</v>
      </c>
      <c r="C242" s="4" t="s">
        <v>75</v>
      </c>
      <c r="D242" s="4" t="s">
        <v>74</v>
      </c>
      <c r="E242" s="10">
        <v>88.8</v>
      </c>
      <c r="G242" s="4"/>
      <c r="H242" s="4"/>
      <c r="I242" s="4"/>
      <c r="K242" s="11">
        <f>IF($E242="","",ROUND($E242*IF(ISNA(MATCH($C242,'Paramètres'!$D:$D,0)),1,IF(INDEX('Paramètres'!$J:$J,MATCH($C242,'Paramètres'!$D:$D,0))="",1,INDEX('Paramètres'!$J:$J,MATCH($C242,'Paramètres'!$D:$D,0)))),2))</f>
        <v>88.8</v>
      </c>
      <c r="L242" s="6" t="str">
        <f>IF($D242="","",IF($F242&lt;&gt;"",$F242,IF(ISNA(MATCH($D242,'Paramètres'!$M:$M,0)),"⚠ Type inconnu",IFERROR(INDEX('Paramètres'!$P:$P,MATCH($D242,'Paramètres'!$M:$M,0))&amp;"",""))))</f>
        <v>Débit</v>
      </c>
      <c r="M242" s="6" t="str">
        <f>IF($D242="","",IF(ISNA(MATCH($D242,'Paramètres'!$M:$M,0)),"⚠ Type inconnu",IF($L242="Crédit","",IFERROR(INDEX('Paramètres'!$O:$O,MATCH($D242,'Paramètres'!$M:$M,0))&amp;"",""))))</f>
        <v>Dépense Fixe</v>
      </c>
      <c r="N242" s="6" t="str">
        <f>IF($D242="","",IFERROR(INDEX('Paramètres'!$Q:$Q,MATCH($D242,'Paramètres'!$M:$M,0))&amp;"",""))</f>
        <v>Transport</v>
      </c>
      <c r="O242" s="6">
        <f>IF($A242="","",IF(OR($J242&lt;&gt;"x",$A242&lt;=FinReleve),1,0))</f>
        <v>1</v>
      </c>
      <c r="P242" s="6">
        <f>IF($D242="","",IF(AND($L242="Crédit",OR(IFERROR(INDEX('Paramètres'!$O:$O,MATCH($D242,'Paramètres'!$M:$M,0))&amp;"","")&lt;&gt;"",ISNUMBER(SEARCH("remboursement",IFERROR(INDEX('Paramètres'!$N:$N,MATCH($D242,'Paramètres'!$M:$M,0))&amp;"",""))))),1,0))</f>
        <v>0</v>
      </c>
      <c r="Q242" s="6">
        <f>IF($K242="","",IF(ISNUMBER(SEARCH("transfert-interne",IFERROR(INDEX('Paramètres'!$N:$N,MATCH($D242,'Paramètres'!$M:$M,0))&amp;"",""))),0,IF($L242="Débit",$K242,IF($P242=1,-$K242,0))))</f>
        <v>88.8</v>
      </c>
      <c r="R242" s="6">
        <f>IF($K242="","",IF($L242="Crédit",$K242,-$K242))</f>
        <v>-88.8</v>
      </c>
      <c r="S242" s="6" t="str">
        <f>IF($C242="","",IFERROR(INDEX('Paramètres'!$H:$H,MATCH($C242,'Paramètres'!$D:$D,0))&amp;"",""))</f>
        <v/>
      </c>
      <c r="T242" s="6">
        <f>IF($K242="","",IF($S242="",0,IF(ISNUMBER(SEARCH("apport-exterieur",IFERROR(INDEX('Paramètres'!$N:$N,MATCH($D242,'Paramètres'!$M:$M,0))&amp;"",""))),0,IF(OR(IFERROR(INDEX('Paramètres'!$I:$I,MATCH($C242,'Paramètres'!$D:$D,0))&amp;"","")="Les deux",IFERROR(INDEX('Paramètres'!$I:$I,MATCH($C242,'Paramètres'!$D:$D,0))&amp;"","")=IF($P242=1,"Débit",$L242)),-IF($P242=1,-$K242,$K242),0))))</f>
        <v>0</v>
      </c>
      <c r="U242" s="6">
        <f>IF($K242="","",IF(ISNUMBER(SEARCH("sortie-epargne",IFERROR(INDEX('Paramètres'!$N:$N,MATCH($D242,'Paramètres'!$M:$M,0))&amp;"",""))),$K242,0))</f>
        <v>0</v>
      </c>
      <c r="V242" s="6" t="str">
        <f>IF(AND($A242&lt;&gt;"",$O242=1,$L242="Débit",N($Q242)&gt;0,$A242&gt;=Visualisation!$B$1,$A242&lt;Visualisation!$D$1),MAX($V$1:V241)+1,"")</f>
        <v/>
      </c>
    </row>
    <row r="243" spans="1:22" x14ac:dyDescent="0.25">
      <c r="A243" s="9">
        <v>45692</v>
      </c>
      <c r="B243" s="4" t="s">
        <v>80</v>
      </c>
      <c r="C243" s="4" t="s">
        <v>70</v>
      </c>
      <c r="D243" s="4" t="s">
        <v>81</v>
      </c>
      <c r="E243" s="10">
        <v>117.39</v>
      </c>
      <c r="G243" s="4"/>
      <c r="H243" s="4"/>
      <c r="I243" s="4"/>
      <c r="K243" s="11">
        <f>IF($E243="","",ROUND($E243*IF(ISNA(MATCH($C243,'Paramètres'!$D:$D,0)),1,IF(INDEX('Paramètres'!$J:$J,MATCH($C243,'Paramètres'!$D:$D,0))="",1,INDEX('Paramètres'!$J:$J,MATCH($C243,'Paramètres'!$D:$D,0)))),2))</f>
        <v>117.39</v>
      </c>
      <c r="L243" s="6" t="str">
        <f>IF($D243="","",IF($F243&lt;&gt;"",$F243,IF(ISNA(MATCH($D243,'Paramètres'!$M:$M,0)),"⚠ Type inconnu",IFERROR(INDEX('Paramètres'!$P:$P,MATCH($D243,'Paramètres'!$M:$M,0))&amp;"",""))))</f>
        <v>Crédit</v>
      </c>
      <c r="M243" s="6" t="str">
        <f>IF($D243="","",IF(ISNA(MATCH($D243,'Paramètres'!$M:$M,0)),"⚠ Type inconnu",IF($L243="Crédit","",IFERROR(INDEX('Paramètres'!$O:$O,MATCH($D243,'Paramètres'!$M:$M,0))&amp;"",""))))</f>
        <v/>
      </c>
      <c r="N243" s="6" t="str">
        <f>IF($D243="","",IFERROR(INDEX('Paramètres'!$Q:$Q,MATCH($D243,'Paramètres'!$M:$M,0))&amp;"",""))</f>
        <v>Comptes Bancaires</v>
      </c>
      <c r="O243" s="6">
        <f>IF($A243="","",IF(OR($J243&lt;&gt;"x",$A243&lt;=FinReleve),1,0))</f>
        <v>1</v>
      </c>
      <c r="P243" s="6">
        <f>IF($D243="","",IF(AND($L243="Crédit",OR(IFERROR(INDEX('Paramètres'!$O:$O,MATCH($D243,'Paramètres'!$M:$M,0))&amp;"","")&lt;&gt;"",ISNUMBER(SEARCH("remboursement",IFERROR(INDEX('Paramètres'!$N:$N,MATCH($D243,'Paramètres'!$M:$M,0))&amp;"",""))))),1,0))</f>
        <v>0</v>
      </c>
      <c r="Q243" s="6">
        <f>IF($K243="","",IF(ISNUMBER(SEARCH("transfert-interne",IFERROR(INDEX('Paramètres'!$N:$N,MATCH($D243,'Paramètres'!$M:$M,0))&amp;"",""))),0,IF($L243="Débit",$K243,IF($P243=1,-$K243,0))))</f>
        <v>0</v>
      </c>
      <c r="R243" s="6">
        <f>IF($K243="","",IF($L243="Crédit",$K243,-$K243))</f>
        <v>117.39</v>
      </c>
      <c r="S243" s="6" t="str">
        <f>IF($C243="","",IFERROR(INDEX('Paramètres'!$H:$H,MATCH($C243,'Paramètres'!$D:$D,0))&amp;"",""))</f>
        <v/>
      </c>
      <c r="T243" s="6">
        <f>IF($K243="","",IF($S243="",0,IF(ISNUMBER(SEARCH("apport-exterieur",IFERROR(INDEX('Paramètres'!$N:$N,MATCH($D243,'Paramètres'!$M:$M,0))&amp;"",""))),0,IF(OR(IFERROR(INDEX('Paramètres'!$I:$I,MATCH($C243,'Paramètres'!$D:$D,0))&amp;"","")="Les deux",IFERROR(INDEX('Paramètres'!$I:$I,MATCH($C243,'Paramètres'!$D:$D,0))&amp;"","")=IF($P243=1,"Débit",$L243)),-IF($P243=1,-$K243,$K243),0))))</f>
        <v>0</v>
      </c>
      <c r="U243" s="6">
        <f>IF($K243="","",IF(ISNUMBER(SEARCH("sortie-epargne",IFERROR(INDEX('Paramètres'!$N:$N,MATCH($D243,'Paramètres'!$M:$M,0))&amp;"",""))),$K243,0))</f>
        <v>0</v>
      </c>
      <c r="V243" s="6" t="str">
        <f>IF(AND($A243&lt;&gt;"",$O243=1,$L243="Débit",N($Q243)&gt;0,$A243&gt;=Visualisation!$B$1,$A243&lt;Visualisation!$D$1),MAX($V$1:V242)+1,"")</f>
        <v/>
      </c>
    </row>
    <row r="244" spans="1:22" x14ac:dyDescent="0.25">
      <c r="A244" s="9">
        <v>45693</v>
      </c>
      <c r="B244" s="4" t="s">
        <v>82</v>
      </c>
      <c r="C244" s="4" t="s">
        <v>65</v>
      </c>
      <c r="D244" s="4" t="s">
        <v>83</v>
      </c>
      <c r="E244" s="10">
        <v>650.37</v>
      </c>
      <c r="G244" s="4" t="s">
        <v>84</v>
      </c>
      <c r="H244" s="4"/>
      <c r="I244" s="4"/>
      <c r="K244" s="11">
        <f>IF($E244="","",ROUND($E244*IF(ISNA(MATCH($C244,'Paramètres'!$D:$D,0)),1,IF(INDEX('Paramètres'!$J:$J,MATCH($C244,'Paramètres'!$D:$D,0))="",1,INDEX('Paramètres'!$J:$J,MATCH($C244,'Paramètres'!$D:$D,0)))),2))</f>
        <v>650.37</v>
      </c>
      <c r="L244" s="6" t="str">
        <f>IF($D244="","",IF($F244&lt;&gt;"",$F244,IF(ISNA(MATCH($D244,'Paramètres'!$M:$M,0)),"⚠ Type inconnu",IFERROR(INDEX('Paramètres'!$P:$P,MATCH($D244,'Paramètres'!$M:$M,0))&amp;"",""))))</f>
        <v>Débit</v>
      </c>
      <c r="M244" s="6" t="str">
        <f>IF($D244="","",IF(ISNA(MATCH($D244,'Paramètres'!$M:$M,0)),"⚠ Type inconnu",IF($L244="Crédit","",IFERROR(INDEX('Paramètres'!$O:$O,MATCH($D244,'Paramètres'!$M:$M,0))&amp;"",""))))</f>
        <v/>
      </c>
      <c r="N244" s="6" t="str">
        <f>IF($D244="","",IFERROR(INDEX('Paramètres'!$Q:$Q,MATCH($D244,'Paramètres'!$M:$M,0))&amp;"",""))</f>
        <v>Immobilier</v>
      </c>
      <c r="O244" s="6">
        <f>IF($A244="","",IF(OR($J244&lt;&gt;"x",$A244&lt;=FinReleve),1,0))</f>
        <v>1</v>
      </c>
      <c r="P244" s="6">
        <f>IF($D244="","",IF(AND($L244="Crédit",OR(IFERROR(INDEX('Paramètres'!$O:$O,MATCH($D244,'Paramètres'!$M:$M,0))&amp;"","")&lt;&gt;"",ISNUMBER(SEARCH("remboursement",IFERROR(INDEX('Paramètres'!$N:$N,MATCH($D244,'Paramètres'!$M:$M,0))&amp;"",""))))),1,0))</f>
        <v>0</v>
      </c>
      <c r="Q244" s="6">
        <f>IF($K244="","",IF(ISNUMBER(SEARCH("transfert-interne",IFERROR(INDEX('Paramètres'!$N:$N,MATCH($D244,'Paramètres'!$M:$M,0))&amp;"",""))),0,IF($L244="Débit",$K244,IF($P244=1,-$K244,0))))</f>
        <v>650.37</v>
      </c>
      <c r="R244" s="6">
        <f>IF($K244="","",IF($L244="Crédit",$K244,-$K244))</f>
        <v>-650.37</v>
      </c>
      <c r="S244" s="6" t="str">
        <f>IF($C244="","",IFERROR(INDEX('Paramètres'!$H:$H,MATCH($C244,'Paramètres'!$D:$D,0))&amp;"",""))</f>
        <v>Banque A - Courant</v>
      </c>
      <c r="T244" s="6">
        <f>IF($K244="","",IF($S244="",0,IF(ISNUMBER(SEARCH("apport-exterieur",IFERROR(INDEX('Paramètres'!$N:$N,MATCH($D244,'Paramètres'!$M:$M,0))&amp;"",""))),0,IF(OR(IFERROR(INDEX('Paramètres'!$I:$I,MATCH($C244,'Paramètres'!$D:$D,0))&amp;"","")="Les deux",IFERROR(INDEX('Paramètres'!$I:$I,MATCH($C244,'Paramètres'!$D:$D,0))&amp;"","")=IF($P244=1,"Débit",$L244)),-IF($P244=1,-$K244,$K244),0))))</f>
        <v>0</v>
      </c>
      <c r="U244" s="6">
        <f>IF($K244="","",IF(ISNUMBER(SEARCH("sortie-epargne",IFERROR(INDEX('Paramètres'!$N:$N,MATCH($D244,'Paramètres'!$M:$M,0))&amp;"",""))),$K244,0))</f>
        <v>0</v>
      </c>
      <c r="V244" s="6" t="str">
        <f>IF(AND($A244&lt;&gt;"",$O244=1,$L244="Débit",N($Q244)&gt;0,$A244&gt;=Visualisation!$B$1,$A244&lt;Visualisation!$D$1),MAX($V$1:V243)+1,"")</f>
        <v/>
      </c>
    </row>
    <row r="245" spans="1:22" x14ac:dyDescent="0.25">
      <c r="A245" s="9">
        <v>45693</v>
      </c>
      <c r="B245" s="4" t="s">
        <v>85</v>
      </c>
      <c r="C245" s="4" t="s">
        <v>65</v>
      </c>
      <c r="D245" s="4" t="s">
        <v>86</v>
      </c>
      <c r="E245" s="10">
        <v>243.27</v>
      </c>
      <c r="G245" s="4" t="s">
        <v>87</v>
      </c>
      <c r="H245" s="4"/>
      <c r="I245" s="4"/>
      <c r="K245" s="11">
        <f>IF($E245="","",ROUND($E245*IF(ISNA(MATCH($C245,'Paramètres'!$D:$D,0)),1,IF(INDEX('Paramètres'!$J:$J,MATCH($C245,'Paramètres'!$D:$D,0))="",1,INDEX('Paramètres'!$J:$J,MATCH($C245,'Paramètres'!$D:$D,0)))),2))</f>
        <v>243.27</v>
      </c>
      <c r="L245" s="6" t="str">
        <f>IF($D245="","",IF($F245&lt;&gt;"",$F245,IF(ISNA(MATCH($D245,'Paramètres'!$M:$M,0)),"⚠ Type inconnu",IFERROR(INDEX('Paramètres'!$P:$P,MATCH($D245,'Paramètres'!$M:$M,0))&amp;"",""))))</f>
        <v>Débit</v>
      </c>
      <c r="M245" s="6" t="str">
        <f>IF($D245="","",IF(ISNA(MATCH($D245,'Paramètres'!$M:$M,0)),"⚠ Type inconnu",IF($L245="Crédit","",IFERROR(INDEX('Paramètres'!$O:$O,MATCH($D245,'Paramètres'!$M:$M,0))&amp;"",""))))</f>
        <v>Dépense Fixe</v>
      </c>
      <c r="N245" s="6" t="str">
        <f>IF($D245="","",IFERROR(INDEX('Paramètres'!$Q:$Q,MATCH($D245,'Paramètres'!$M:$M,0))&amp;"",""))</f>
        <v>Immobilier</v>
      </c>
      <c r="O245" s="6">
        <f>IF($A245="","",IF(OR($J245&lt;&gt;"x",$A245&lt;=FinReleve),1,0))</f>
        <v>1</v>
      </c>
      <c r="P245" s="6">
        <f>IF($D245="","",IF(AND($L245="Crédit",OR(IFERROR(INDEX('Paramètres'!$O:$O,MATCH($D245,'Paramètres'!$M:$M,0))&amp;"","")&lt;&gt;"",ISNUMBER(SEARCH("remboursement",IFERROR(INDEX('Paramètres'!$N:$N,MATCH($D245,'Paramètres'!$M:$M,0))&amp;"",""))))),1,0))</f>
        <v>0</v>
      </c>
      <c r="Q245" s="6">
        <f>IF($K245="","",IF(ISNUMBER(SEARCH("transfert-interne",IFERROR(INDEX('Paramètres'!$N:$N,MATCH($D245,'Paramètres'!$M:$M,0))&amp;"",""))),0,IF($L245="Débit",$K245,IF($P245=1,-$K245,0))))</f>
        <v>243.27</v>
      </c>
      <c r="R245" s="6">
        <f>IF($K245="","",IF($L245="Crédit",$K245,-$K245))</f>
        <v>-243.27</v>
      </c>
      <c r="S245" s="6" t="str">
        <f>IF($C245="","",IFERROR(INDEX('Paramètres'!$H:$H,MATCH($C245,'Paramètres'!$D:$D,0))&amp;"",""))</f>
        <v>Banque A - Courant</v>
      </c>
      <c r="T245" s="6">
        <f>IF($K245="","",IF($S245="",0,IF(ISNUMBER(SEARCH("apport-exterieur",IFERROR(INDEX('Paramètres'!$N:$N,MATCH($D245,'Paramètres'!$M:$M,0))&amp;"",""))),0,IF(OR(IFERROR(INDEX('Paramètres'!$I:$I,MATCH($C245,'Paramètres'!$D:$D,0))&amp;"","")="Les deux",IFERROR(INDEX('Paramètres'!$I:$I,MATCH($C245,'Paramètres'!$D:$D,0))&amp;"","")=IF($P245=1,"Débit",$L245)),-IF($P245=1,-$K245,$K245),0))))</f>
        <v>0</v>
      </c>
      <c r="U245" s="6">
        <f>IF($K245="","",IF(ISNUMBER(SEARCH("sortie-epargne",IFERROR(INDEX('Paramètres'!$N:$N,MATCH($D245,'Paramètres'!$M:$M,0))&amp;"",""))),$K245,0))</f>
        <v>0</v>
      </c>
      <c r="V245" s="6" t="str">
        <f>IF(AND($A245&lt;&gt;"",$O245=1,$L245="Débit",N($Q245)&gt;0,$A245&gt;=Visualisation!$B$1,$A245&lt;Visualisation!$D$1),MAX($V$1:V244)+1,"")</f>
        <v/>
      </c>
    </row>
    <row r="246" spans="1:22" x14ac:dyDescent="0.25">
      <c r="A246" s="9">
        <v>45699</v>
      </c>
      <c r="B246" s="4" t="s">
        <v>59</v>
      </c>
      <c r="C246" s="4" t="s">
        <v>126</v>
      </c>
      <c r="D246" s="4" t="s">
        <v>59</v>
      </c>
      <c r="E246" s="10">
        <v>43.48</v>
      </c>
      <c r="G246" s="4" t="s">
        <v>99</v>
      </c>
      <c r="H246" s="4"/>
      <c r="I246" s="4"/>
      <c r="K246" s="11">
        <f>IF($E246="","",ROUND($E246*IF(ISNA(MATCH($C246,'Paramètres'!$D:$D,0)),1,IF(INDEX('Paramètres'!$J:$J,MATCH($C246,'Paramètres'!$D:$D,0))="",1,INDEX('Paramètres'!$J:$J,MATCH($C246,'Paramètres'!$D:$D,0)))),2))</f>
        <v>21.74</v>
      </c>
      <c r="L246" s="6" t="str">
        <f>IF($D246="","",IF($F246&lt;&gt;"",$F246,IF(ISNA(MATCH($D246,'Paramètres'!$M:$M,0)),"⚠ Type inconnu",IFERROR(INDEX('Paramètres'!$P:$P,MATCH($D246,'Paramètres'!$M:$M,0))&amp;"",""))))</f>
        <v>Débit</v>
      </c>
      <c r="M246" s="6" t="str">
        <f>IF($D246="","",IF(ISNA(MATCH($D246,'Paramètres'!$M:$M,0)),"⚠ Type inconnu",IF($L246="Crédit","",IFERROR(INDEX('Paramètres'!$O:$O,MATCH($D246,'Paramètres'!$M:$M,0))&amp;"",""))))</f>
        <v>Dépense Occasionnelle</v>
      </c>
      <c r="N246" s="6" t="str">
        <f>IF($D246="","",IFERROR(INDEX('Paramètres'!$Q:$Q,MATCH($D246,'Paramètres'!$M:$M,0))&amp;"",""))</f>
        <v>Loisir</v>
      </c>
      <c r="O246" s="6">
        <f>IF($A246="","",IF(OR($J246&lt;&gt;"x",$A246&lt;=FinReleve),1,0))</f>
        <v>1</v>
      </c>
      <c r="P246" s="6">
        <f>IF($D246="","",IF(AND($L246="Crédit",OR(IFERROR(INDEX('Paramètres'!$O:$O,MATCH($D246,'Paramètres'!$M:$M,0))&amp;"","")&lt;&gt;"",ISNUMBER(SEARCH("remboursement",IFERROR(INDEX('Paramètres'!$N:$N,MATCH($D246,'Paramètres'!$M:$M,0))&amp;"",""))))),1,0))</f>
        <v>0</v>
      </c>
      <c r="Q246" s="6">
        <f>IF($K246="","",IF(ISNUMBER(SEARCH("transfert-interne",IFERROR(INDEX('Paramètres'!$N:$N,MATCH($D246,'Paramètres'!$M:$M,0))&amp;"",""))),0,IF($L246="Débit",$K246,IF($P246=1,-$K246,0))))</f>
        <v>21.74</v>
      </c>
      <c r="R246" s="6">
        <f>IF($K246="","",IF($L246="Crédit",$K246,-$K246))</f>
        <v>-21.74</v>
      </c>
      <c r="S246" s="6" t="str">
        <f>IF($C246="","",IFERROR(INDEX('Paramètres'!$H:$H,MATCH($C246,'Paramètres'!$D:$D,0))&amp;"",""))</f>
        <v>Banque A - Courant</v>
      </c>
      <c r="T246" s="6">
        <f>IF($K246="","",IF($S246="",0,IF(ISNUMBER(SEARCH("apport-exterieur",IFERROR(INDEX('Paramètres'!$N:$N,MATCH($D246,'Paramètres'!$M:$M,0))&amp;"",""))),0,IF(OR(IFERROR(INDEX('Paramètres'!$I:$I,MATCH($C246,'Paramètres'!$D:$D,0))&amp;"","")="Les deux",IFERROR(INDEX('Paramètres'!$I:$I,MATCH($C246,'Paramètres'!$D:$D,0))&amp;"","")=IF($P246=1,"Débit",$L246)),-IF($P246=1,-$K246,$K246),0))))</f>
        <v>-21.74</v>
      </c>
      <c r="U246" s="6">
        <f>IF($K246="","",IF(ISNUMBER(SEARCH("sortie-epargne",IFERROR(INDEX('Paramètres'!$N:$N,MATCH($D246,'Paramètres'!$M:$M,0))&amp;"",""))),$K246,0))</f>
        <v>0</v>
      </c>
      <c r="V246" s="6" t="str">
        <f>IF(AND($A246&lt;&gt;"",$O246=1,$L246="Débit",N($Q246)&gt;0,$A246&gt;=Visualisation!$B$1,$A246&lt;Visualisation!$D$1),MAX($V$1:V245)+1,"")</f>
        <v/>
      </c>
    </row>
    <row r="247" spans="1:22" x14ac:dyDescent="0.25">
      <c r="A247" s="9">
        <v>45700</v>
      </c>
      <c r="B247" s="4" t="s">
        <v>97</v>
      </c>
      <c r="C247" s="4" t="s">
        <v>75</v>
      </c>
      <c r="D247" s="4" t="s">
        <v>97</v>
      </c>
      <c r="E247" s="10">
        <v>47.9</v>
      </c>
      <c r="G247" s="4"/>
      <c r="H247" s="4"/>
      <c r="I247" s="4"/>
      <c r="K247" s="11">
        <f>IF($E247="","",ROUND($E247*IF(ISNA(MATCH($C247,'Paramètres'!$D:$D,0)),1,IF(INDEX('Paramètres'!$J:$J,MATCH($C247,'Paramètres'!$D:$D,0))="",1,INDEX('Paramètres'!$J:$J,MATCH($C247,'Paramètres'!$D:$D,0)))),2))</f>
        <v>47.9</v>
      </c>
      <c r="L247" s="6" t="str">
        <f>IF($D247="","",IF($F247&lt;&gt;"",$F247,IF(ISNA(MATCH($D247,'Paramètres'!$M:$M,0)),"⚠ Type inconnu",IFERROR(INDEX('Paramètres'!$P:$P,MATCH($D247,'Paramètres'!$M:$M,0))&amp;"",""))))</f>
        <v>Débit</v>
      </c>
      <c r="M247" s="6" t="str">
        <f>IF($D247="","",IF(ISNA(MATCH($D247,'Paramètres'!$M:$M,0)),"⚠ Type inconnu",IF($L247="Crédit","",IFERROR(INDEX('Paramètres'!$O:$O,MATCH($D247,'Paramètres'!$M:$M,0))&amp;"",""))))</f>
        <v>Dépense Fixe</v>
      </c>
      <c r="N247" s="6" t="str">
        <f>IF($D247="","",IFERROR(INDEX('Paramètres'!$Q:$Q,MATCH($D247,'Paramètres'!$M:$M,0))&amp;"",""))</f>
        <v>Assurances</v>
      </c>
      <c r="O247" s="6">
        <f>IF($A247="","",IF(OR($J247&lt;&gt;"x",$A247&lt;=FinReleve),1,0))</f>
        <v>1</v>
      </c>
      <c r="P247" s="6">
        <f>IF($D247="","",IF(AND($L247="Crédit",OR(IFERROR(INDEX('Paramètres'!$O:$O,MATCH($D247,'Paramètres'!$M:$M,0))&amp;"","")&lt;&gt;"",ISNUMBER(SEARCH("remboursement",IFERROR(INDEX('Paramètres'!$N:$N,MATCH($D247,'Paramètres'!$M:$M,0))&amp;"",""))))),1,0))</f>
        <v>0</v>
      </c>
      <c r="Q247" s="6">
        <f>IF($K247="","",IF(ISNUMBER(SEARCH("transfert-interne",IFERROR(INDEX('Paramètres'!$N:$N,MATCH($D247,'Paramètres'!$M:$M,0))&amp;"",""))),0,IF($L247="Débit",$K247,IF($P247=1,-$K247,0))))</f>
        <v>47.9</v>
      </c>
      <c r="R247" s="6">
        <f>IF($K247="","",IF($L247="Crédit",$K247,-$K247))</f>
        <v>-47.9</v>
      </c>
      <c r="S247" s="6" t="str">
        <f>IF($C247="","",IFERROR(INDEX('Paramètres'!$H:$H,MATCH($C247,'Paramètres'!$D:$D,0))&amp;"",""))</f>
        <v/>
      </c>
      <c r="T247" s="6">
        <f>IF($K247="","",IF($S247="",0,IF(ISNUMBER(SEARCH("apport-exterieur",IFERROR(INDEX('Paramètres'!$N:$N,MATCH($D247,'Paramètres'!$M:$M,0))&amp;"",""))),0,IF(OR(IFERROR(INDEX('Paramètres'!$I:$I,MATCH($C247,'Paramètres'!$D:$D,0))&amp;"","")="Les deux",IFERROR(INDEX('Paramètres'!$I:$I,MATCH($C247,'Paramètres'!$D:$D,0))&amp;"","")=IF($P247=1,"Débit",$L247)),-IF($P247=1,-$K247,$K247),0))))</f>
        <v>0</v>
      </c>
      <c r="U247" s="6">
        <f>IF($K247="","",IF(ISNUMBER(SEARCH("sortie-epargne",IFERROR(INDEX('Paramètres'!$N:$N,MATCH($D247,'Paramètres'!$M:$M,0))&amp;"",""))),$K247,0))</f>
        <v>0</v>
      </c>
      <c r="V247" s="6" t="str">
        <f>IF(AND($A247&lt;&gt;"",$O247=1,$L247="Débit",N($Q247)&gt;0,$A247&gt;=Visualisation!$B$1,$A247&lt;Visualisation!$D$1),MAX($V$1:V246)+1,"")</f>
        <v/>
      </c>
    </row>
    <row r="248" spans="1:22" x14ac:dyDescent="0.25">
      <c r="A248" s="9">
        <v>45703</v>
      </c>
      <c r="B248" s="4" t="s">
        <v>76</v>
      </c>
      <c r="C248" s="4" t="s">
        <v>67</v>
      </c>
      <c r="D248" s="4" t="s">
        <v>77</v>
      </c>
      <c r="E248" s="10">
        <v>189.44</v>
      </c>
      <c r="G248" s="4" t="s">
        <v>102</v>
      </c>
      <c r="H248" s="4"/>
      <c r="I248" s="4" t="s">
        <v>73</v>
      </c>
      <c r="K248" s="11">
        <f>IF($E248="","",ROUND($E248*IF(ISNA(MATCH($C248,'Paramètres'!$D:$D,0)),1,IF(INDEX('Paramètres'!$J:$J,MATCH($C248,'Paramètres'!$D:$D,0))="",1,INDEX('Paramètres'!$J:$J,MATCH($C248,'Paramètres'!$D:$D,0)))),2))</f>
        <v>94.72</v>
      </c>
      <c r="L248" s="6" t="str">
        <f>IF($D248="","",IF($F248&lt;&gt;"",$F248,IF(ISNA(MATCH($D248,'Paramètres'!$M:$M,0)),"⚠ Type inconnu",IFERROR(INDEX('Paramètres'!$P:$P,MATCH($D248,'Paramètres'!$M:$M,0))&amp;"",""))))</f>
        <v>Débit</v>
      </c>
      <c r="M248" s="6" t="str">
        <f>IF($D248="","",IF(ISNA(MATCH($D248,'Paramètres'!$M:$M,0)),"⚠ Type inconnu",IF($L248="Crédit","",IFERROR(INDEX('Paramètres'!$O:$O,MATCH($D248,'Paramètres'!$M:$M,0))&amp;"",""))))</f>
        <v>Dépense Courante</v>
      </c>
      <c r="N248" s="6" t="str">
        <f>IF($D248="","",IFERROR(INDEX('Paramètres'!$Q:$Q,MATCH($D248,'Paramètres'!$M:$M,0))&amp;"",""))</f>
        <v>Alimentation</v>
      </c>
      <c r="O248" s="6">
        <f>IF($A248="","",IF(OR($J248&lt;&gt;"x",$A248&lt;=FinReleve),1,0))</f>
        <v>1</v>
      </c>
      <c r="P248" s="6">
        <f>IF($D248="","",IF(AND($L248="Crédit",OR(IFERROR(INDEX('Paramètres'!$O:$O,MATCH($D248,'Paramètres'!$M:$M,0))&amp;"","")&lt;&gt;"",ISNUMBER(SEARCH("remboursement",IFERROR(INDEX('Paramètres'!$N:$N,MATCH($D248,'Paramètres'!$M:$M,0))&amp;"",""))))),1,0))</f>
        <v>0</v>
      </c>
      <c r="Q248" s="6">
        <f>IF($K248="","",IF(ISNUMBER(SEARCH("transfert-interne",IFERROR(INDEX('Paramètres'!$N:$N,MATCH($D248,'Paramètres'!$M:$M,0))&amp;"",""))),0,IF($L248="Débit",$K248,IF($P248=1,-$K248,0))))</f>
        <v>94.72</v>
      </c>
      <c r="R248" s="6">
        <f>IF($K248="","",IF($L248="Crédit",$K248,-$K248))</f>
        <v>-94.72</v>
      </c>
      <c r="S248" s="6" t="str">
        <f>IF($C248="","",IFERROR(INDEX('Paramètres'!$H:$H,MATCH($C248,'Paramètres'!$D:$D,0))&amp;"",""))</f>
        <v>Banque A - Courant</v>
      </c>
      <c r="T248" s="6">
        <f>IF($K248="","",IF($S248="",0,IF(ISNUMBER(SEARCH("apport-exterieur",IFERROR(INDEX('Paramètres'!$N:$N,MATCH($D248,'Paramètres'!$M:$M,0))&amp;"",""))),0,IF(OR(IFERROR(INDEX('Paramètres'!$I:$I,MATCH($C248,'Paramètres'!$D:$D,0))&amp;"","")="Les deux",IFERROR(INDEX('Paramètres'!$I:$I,MATCH($C248,'Paramètres'!$D:$D,0))&amp;"","")=IF($P248=1,"Débit",$L248)),-IF($P248=1,-$K248,$K248),0))))</f>
        <v>0</v>
      </c>
      <c r="U248" s="6">
        <f>IF($K248="","",IF(ISNUMBER(SEARCH("sortie-epargne",IFERROR(INDEX('Paramètres'!$N:$N,MATCH($D248,'Paramètres'!$M:$M,0))&amp;"",""))),$K248,0))</f>
        <v>0</v>
      </c>
      <c r="V248" s="6" t="str">
        <f>IF(AND($A248&lt;&gt;"",$O248=1,$L248="Débit",N($Q248)&gt;0,$A248&gt;=Visualisation!$B$1,$A248&lt;Visualisation!$D$1),MAX($V$1:V247)+1,"")</f>
        <v/>
      </c>
    </row>
    <row r="249" spans="1:22" x14ac:dyDescent="0.25">
      <c r="A249" s="9">
        <v>45705</v>
      </c>
      <c r="B249" s="4" t="s">
        <v>76</v>
      </c>
      <c r="C249" s="4" t="s">
        <v>67</v>
      </c>
      <c r="D249" s="4" t="s">
        <v>77</v>
      </c>
      <c r="E249" s="10">
        <v>93.08</v>
      </c>
      <c r="G249" s="4" t="s">
        <v>95</v>
      </c>
      <c r="H249" s="4"/>
      <c r="I249" s="4" t="s">
        <v>73</v>
      </c>
      <c r="K249" s="11">
        <f>IF($E249="","",ROUND($E249*IF(ISNA(MATCH($C249,'Paramètres'!$D:$D,0)),1,IF(INDEX('Paramètres'!$J:$J,MATCH($C249,'Paramètres'!$D:$D,0))="",1,INDEX('Paramètres'!$J:$J,MATCH($C249,'Paramètres'!$D:$D,0)))),2))</f>
        <v>46.54</v>
      </c>
      <c r="L249" s="6" t="str">
        <f>IF($D249="","",IF($F249&lt;&gt;"",$F249,IF(ISNA(MATCH($D249,'Paramètres'!$M:$M,0)),"⚠ Type inconnu",IFERROR(INDEX('Paramètres'!$P:$P,MATCH($D249,'Paramètres'!$M:$M,0))&amp;"",""))))</f>
        <v>Débit</v>
      </c>
      <c r="M249" s="6" t="str">
        <f>IF($D249="","",IF(ISNA(MATCH($D249,'Paramètres'!$M:$M,0)),"⚠ Type inconnu",IF($L249="Crédit","",IFERROR(INDEX('Paramètres'!$O:$O,MATCH($D249,'Paramètres'!$M:$M,0))&amp;"",""))))</f>
        <v>Dépense Courante</v>
      </c>
      <c r="N249" s="6" t="str">
        <f>IF($D249="","",IFERROR(INDEX('Paramètres'!$Q:$Q,MATCH($D249,'Paramètres'!$M:$M,0))&amp;"",""))</f>
        <v>Alimentation</v>
      </c>
      <c r="O249" s="6">
        <f>IF($A249="","",IF(OR($J249&lt;&gt;"x",$A249&lt;=FinReleve),1,0))</f>
        <v>1</v>
      </c>
      <c r="P249" s="6">
        <f>IF($D249="","",IF(AND($L249="Crédit",OR(IFERROR(INDEX('Paramètres'!$O:$O,MATCH($D249,'Paramètres'!$M:$M,0))&amp;"","")&lt;&gt;"",ISNUMBER(SEARCH("remboursement",IFERROR(INDEX('Paramètres'!$N:$N,MATCH($D249,'Paramètres'!$M:$M,0))&amp;"",""))))),1,0))</f>
        <v>0</v>
      </c>
      <c r="Q249" s="6">
        <f>IF($K249="","",IF(ISNUMBER(SEARCH("transfert-interne",IFERROR(INDEX('Paramètres'!$N:$N,MATCH($D249,'Paramètres'!$M:$M,0))&amp;"",""))),0,IF($L249="Débit",$K249,IF($P249=1,-$K249,0))))</f>
        <v>46.54</v>
      </c>
      <c r="R249" s="6">
        <f>IF($K249="","",IF($L249="Crédit",$K249,-$K249))</f>
        <v>-46.54</v>
      </c>
      <c r="S249" s="6" t="str">
        <f>IF($C249="","",IFERROR(INDEX('Paramètres'!$H:$H,MATCH($C249,'Paramètres'!$D:$D,0))&amp;"",""))</f>
        <v>Banque A - Courant</v>
      </c>
      <c r="T249" s="6">
        <f>IF($K249="","",IF($S249="",0,IF(ISNUMBER(SEARCH("apport-exterieur",IFERROR(INDEX('Paramètres'!$N:$N,MATCH($D249,'Paramètres'!$M:$M,0))&amp;"",""))),0,IF(OR(IFERROR(INDEX('Paramètres'!$I:$I,MATCH($C249,'Paramètres'!$D:$D,0))&amp;"","")="Les deux",IFERROR(INDEX('Paramètres'!$I:$I,MATCH($C249,'Paramètres'!$D:$D,0))&amp;"","")=IF($P249=1,"Débit",$L249)),-IF($P249=1,-$K249,$K249),0))))</f>
        <v>0</v>
      </c>
      <c r="U249" s="6">
        <f>IF($K249="","",IF(ISNUMBER(SEARCH("sortie-epargne",IFERROR(INDEX('Paramètres'!$N:$N,MATCH($D249,'Paramètres'!$M:$M,0))&amp;"",""))),$K249,0))</f>
        <v>0</v>
      </c>
      <c r="V249" s="6" t="str">
        <f>IF(AND($A249&lt;&gt;"",$O249=1,$L249="Débit",N($Q249)&gt;0,$A249&gt;=Visualisation!$B$1,$A249&lt;Visualisation!$D$1),MAX($V$1:V248)+1,"")</f>
        <v/>
      </c>
    </row>
    <row r="250" spans="1:22" x14ac:dyDescent="0.25">
      <c r="A250" s="9">
        <v>45715</v>
      </c>
      <c r="B250" s="4" t="s">
        <v>114</v>
      </c>
      <c r="C250" s="4" t="s">
        <v>75</v>
      </c>
      <c r="D250" s="4" t="s">
        <v>115</v>
      </c>
      <c r="E250" s="10">
        <v>2960.45</v>
      </c>
      <c r="G250" s="4" t="s">
        <v>115</v>
      </c>
      <c r="H250" s="4"/>
      <c r="I250" s="4"/>
      <c r="K250" s="11">
        <f>IF($E250="","",ROUND($E250*IF(ISNA(MATCH($C250,'Paramètres'!$D:$D,0)),1,IF(INDEX('Paramètres'!$J:$J,MATCH($C250,'Paramètres'!$D:$D,0))="",1,INDEX('Paramètres'!$J:$J,MATCH($C250,'Paramètres'!$D:$D,0)))),2))</f>
        <v>2960.45</v>
      </c>
      <c r="L250" s="6" t="str">
        <f>IF($D250="","",IF($F250&lt;&gt;"",$F250,IF(ISNA(MATCH($D250,'Paramètres'!$M:$M,0)),"⚠ Type inconnu",IFERROR(INDEX('Paramètres'!$P:$P,MATCH($D250,'Paramètres'!$M:$M,0))&amp;"",""))))</f>
        <v>Crédit</v>
      </c>
      <c r="M250" s="6" t="str">
        <f>IF($D250="","",IF(ISNA(MATCH($D250,'Paramètres'!$M:$M,0)),"⚠ Type inconnu",IF($L250="Crédit","",IFERROR(INDEX('Paramètres'!$O:$O,MATCH($D250,'Paramètres'!$M:$M,0))&amp;"",""))))</f>
        <v/>
      </c>
      <c r="N250" s="6" t="str">
        <f>IF($D250="","",IFERROR(INDEX('Paramètres'!$Q:$Q,MATCH($D250,'Paramètres'!$M:$M,0))&amp;"",""))</f>
        <v/>
      </c>
      <c r="O250" s="6">
        <f>IF($A250="","",IF(OR($J250&lt;&gt;"x",$A250&lt;=FinReleve),1,0))</f>
        <v>1</v>
      </c>
      <c r="P250" s="6">
        <f>IF($D250="","",IF(AND($L250="Crédit",OR(IFERROR(INDEX('Paramètres'!$O:$O,MATCH($D250,'Paramètres'!$M:$M,0))&amp;"","")&lt;&gt;"",ISNUMBER(SEARCH("remboursement",IFERROR(INDEX('Paramètres'!$N:$N,MATCH($D250,'Paramètres'!$M:$M,0))&amp;"",""))))),1,0))</f>
        <v>0</v>
      </c>
      <c r="Q250" s="6">
        <f>IF($K250="","",IF(ISNUMBER(SEARCH("transfert-interne",IFERROR(INDEX('Paramètres'!$N:$N,MATCH($D250,'Paramètres'!$M:$M,0))&amp;"",""))),0,IF($L250="Débit",$K250,IF($P250=1,-$K250,0))))</f>
        <v>0</v>
      </c>
      <c r="R250" s="6">
        <f>IF($K250="","",IF($L250="Crédit",$K250,-$K250))</f>
        <v>2960.45</v>
      </c>
      <c r="S250" s="6" t="str">
        <f>IF($C250="","",IFERROR(INDEX('Paramètres'!$H:$H,MATCH($C250,'Paramètres'!$D:$D,0))&amp;"",""))</f>
        <v/>
      </c>
      <c r="T250" s="6">
        <f>IF($K250="","",IF($S250="",0,IF(ISNUMBER(SEARCH("apport-exterieur",IFERROR(INDEX('Paramètres'!$N:$N,MATCH($D250,'Paramètres'!$M:$M,0))&amp;"",""))),0,IF(OR(IFERROR(INDEX('Paramètres'!$I:$I,MATCH($C250,'Paramètres'!$D:$D,0))&amp;"","")="Les deux",IFERROR(INDEX('Paramètres'!$I:$I,MATCH($C250,'Paramètres'!$D:$D,0))&amp;"","")=IF($P250=1,"Débit",$L250)),-IF($P250=1,-$K250,$K250),0))))</f>
        <v>0</v>
      </c>
      <c r="U250" s="6">
        <f>IF($K250="","",IF(ISNUMBER(SEARCH("sortie-epargne",IFERROR(INDEX('Paramètres'!$N:$N,MATCH($D250,'Paramètres'!$M:$M,0))&amp;"",""))),$K250,0))</f>
        <v>0</v>
      </c>
      <c r="V250" s="6" t="str">
        <f>IF(AND($A250&lt;&gt;"",$O250=1,$L250="Débit",N($Q250)&gt;0,$A250&gt;=Visualisation!$B$1,$A250&lt;Visualisation!$D$1),MAX($V$1:V249)+1,"")</f>
        <v/>
      </c>
    </row>
    <row r="251" spans="1:22" x14ac:dyDescent="0.25">
      <c r="A251" s="9">
        <v>45718</v>
      </c>
      <c r="B251" s="4" t="s">
        <v>64</v>
      </c>
      <c r="C251" s="4" t="s">
        <v>65</v>
      </c>
      <c r="D251" s="4" t="s">
        <v>66</v>
      </c>
      <c r="E251" s="10">
        <v>1160</v>
      </c>
      <c r="G251" s="4"/>
      <c r="H251" s="4"/>
      <c r="I251" s="4"/>
      <c r="K251" s="11">
        <f>IF($E251="","",ROUND($E251*IF(ISNA(MATCH($C251,'Paramètres'!$D:$D,0)),1,IF(INDEX('Paramètres'!$J:$J,MATCH($C251,'Paramètres'!$D:$D,0))="",1,INDEX('Paramètres'!$J:$J,MATCH($C251,'Paramètres'!$D:$D,0)))),2))</f>
        <v>1160</v>
      </c>
      <c r="L251" s="6" t="str">
        <f>IF($D251="","",IF($F251&lt;&gt;"",$F251,IF(ISNA(MATCH($D251,'Paramètres'!$M:$M,0)),"⚠ Type inconnu",IFERROR(INDEX('Paramètres'!$P:$P,MATCH($D251,'Paramètres'!$M:$M,0))&amp;"",""))))</f>
        <v>Crédit</v>
      </c>
      <c r="M251" s="6" t="str">
        <f>IF($D251="","",IF(ISNA(MATCH($D251,'Paramètres'!$M:$M,0)),"⚠ Type inconnu",IF($L251="Crédit","",IFERROR(INDEX('Paramètres'!$O:$O,MATCH($D251,'Paramètres'!$M:$M,0))&amp;"",""))))</f>
        <v/>
      </c>
      <c r="N251" s="6" t="str">
        <f>IF($D251="","",IFERROR(INDEX('Paramètres'!$Q:$Q,MATCH($D251,'Paramètres'!$M:$M,0))&amp;"",""))</f>
        <v>Comptes Bancaires</v>
      </c>
      <c r="O251" s="6">
        <f>IF($A251="","",IF(OR($J251&lt;&gt;"x",$A251&lt;=FinReleve),1,0))</f>
        <v>1</v>
      </c>
      <c r="P251" s="6">
        <f>IF($D251="","",IF(AND($L251="Crédit",OR(IFERROR(INDEX('Paramètres'!$O:$O,MATCH($D251,'Paramètres'!$M:$M,0))&amp;"","")&lt;&gt;"",ISNUMBER(SEARCH("remboursement",IFERROR(INDEX('Paramètres'!$N:$N,MATCH($D251,'Paramètres'!$M:$M,0))&amp;"",""))))),1,0))</f>
        <v>0</v>
      </c>
      <c r="Q251" s="6">
        <f>IF($K251="","",IF(ISNUMBER(SEARCH("transfert-interne",IFERROR(INDEX('Paramètres'!$N:$N,MATCH($D251,'Paramètres'!$M:$M,0))&amp;"",""))),0,IF($L251="Débit",$K251,IF($P251=1,-$K251,0))))</f>
        <v>0</v>
      </c>
      <c r="R251" s="6">
        <f>IF($K251="","",IF($L251="Crédit",$K251,-$K251))</f>
        <v>1160</v>
      </c>
      <c r="S251" s="6" t="str">
        <f>IF($C251="","",IFERROR(INDEX('Paramètres'!$H:$H,MATCH($C251,'Paramètres'!$D:$D,0))&amp;"",""))</f>
        <v>Banque A - Courant</v>
      </c>
      <c r="T251" s="6">
        <f>IF($K251="","",IF($S251="",0,IF(ISNUMBER(SEARCH("apport-exterieur",IFERROR(INDEX('Paramètres'!$N:$N,MATCH($D251,'Paramètres'!$M:$M,0))&amp;"",""))),0,IF(OR(IFERROR(INDEX('Paramètres'!$I:$I,MATCH($C251,'Paramètres'!$D:$D,0))&amp;"","")="Les deux",IFERROR(INDEX('Paramètres'!$I:$I,MATCH($C251,'Paramètres'!$D:$D,0))&amp;"","")=IF($P251=1,"Débit",$L251)),-IF($P251=1,-$K251,$K251),0))))</f>
        <v>-1160</v>
      </c>
      <c r="U251" s="6">
        <f>IF($K251="","",IF(ISNUMBER(SEARCH("sortie-epargne",IFERROR(INDEX('Paramètres'!$N:$N,MATCH($D251,'Paramètres'!$M:$M,0))&amp;"",""))),$K251,0))</f>
        <v>0</v>
      </c>
      <c r="V251" s="6" t="str">
        <f>IF(AND($A251&lt;&gt;"",$O251=1,$L251="Débit",N($Q251)&gt;0,$A251&gt;=Visualisation!$B$1,$A251&lt;Visualisation!$D$1),MAX($V$1:V250)+1,"")</f>
        <v/>
      </c>
    </row>
    <row r="252" spans="1:22" x14ac:dyDescent="0.25">
      <c r="A252" s="9">
        <v>45718</v>
      </c>
      <c r="B252" s="4" t="s">
        <v>64</v>
      </c>
      <c r="C252" s="4" t="s">
        <v>67</v>
      </c>
      <c r="D252" s="4" t="s">
        <v>68</v>
      </c>
      <c r="E252" s="10">
        <v>600</v>
      </c>
      <c r="G252" s="4"/>
      <c r="H252" s="4"/>
      <c r="I252" s="4"/>
      <c r="K252" s="11">
        <f>IF($E252="","",ROUND($E252*IF(ISNA(MATCH($C252,'Paramètres'!$D:$D,0)),1,IF(INDEX('Paramètres'!$J:$J,MATCH($C252,'Paramètres'!$D:$D,0))="",1,INDEX('Paramètres'!$J:$J,MATCH($C252,'Paramètres'!$D:$D,0)))),2))</f>
        <v>300</v>
      </c>
      <c r="L252" s="6" t="str">
        <f>IF($D252="","",IF($F252&lt;&gt;"",$F252,IF(ISNA(MATCH($D252,'Paramètres'!$M:$M,0)),"⚠ Type inconnu",IFERROR(INDEX('Paramètres'!$P:$P,MATCH($D252,'Paramètres'!$M:$M,0))&amp;"",""))))</f>
        <v>Crédit</v>
      </c>
      <c r="M252" s="6" t="str">
        <f>IF($D252="","",IF(ISNA(MATCH($D252,'Paramètres'!$M:$M,0)),"⚠ Type inconnu",IF($L252="Crédit","",IFERROR(INDEX('Paramètres'!$O:$O,MATCH($D252,'Paramètres'!$M:$M,0))&amp;"",""))))</f>
        <v/>
      </c>
      <c r="N252" s="6" t="str">
        <f>IF($D252="","",IFERROR(INDEX('Paramètres'!$Q:$Q,MATCH($D252,'Paramètres'!$M:$M,0))&amp;"",""))</f>
        <v>Comptes Bancaires</v>
      </c>
      <c r="O252" s="6">
        <f>IF($A252="","",IF(OR($J252&lt;&gt;"x",$A252&lt;=FinReleve),1,0))</f>
        <v>1</v>
      </c>
      <c r="P252" s="6">
        <f>IF($D252="","",IF(AND($L252="Crédit",OR(IFERROR(INDEX('Paramètres'!$O:$O,MATCH($D252,'Paramètres'!$M:$M,0))&amp;"","")&lt;&gt;"",ISNUMBER(SEARCH("remboursement",IFERROR(INDEX('Paramètres'!$N:$N,MATCH($D252,'Paramètres'!$M:$M,0))&amp;"",""))))),1,0))</f>
        <v>0</v>
      </c>
      <c r="Q252" s="6">
        <f>IF($K252="","",IF(ISNUMBER(SEARCH("transfert-interne",IFERROR(INDEX('Paramètres'!$N:$N,MATCH($D252,'Paramètres'!$M:$M,0))&amp;"",""))),0,IF($L252="Débit",$K252,IF($P252=1,-$K252,0))))</f>
        <v>0</v>
      </c>
      <c r="R252" s="6">
        <f>IF($K252="","",IF($L252="Crédit",$K252,-$K252))</f>
        <v>300</v>
      </c>
      <c r="S252" s="6" t="str">
        <f>IF($C252="","",IFERROR(INDEX('Paramètres'!$H:$H,MATCH($C252,'Paramètres'!$D:$D,0))&amp;"",""))</f>
        <v>Banque A - Courant</v>
      </c>
      <c r="T252" s="6">
        <f>IF($K252="","",IF($S252="",0,IF(ISNUMBER(SEARCH("apport-exterieur",IFERROR(INDEX('Paramètres'!$N:$N,MATCH($D252,'Paramètres'!$M:$M,0))&amp;"",""))),0,IF(OR(IFERROR(INDEX('Paramètres'!$I:$I,MATCH($C252,'Paramètres'!$D:$D,0))&amp;"","")="Les deux",IFERROR(INDEX('Paramètres'!$I:$I,MATCH($C252,'Paramètres'!$D:$D,0))&amp;"","")=IF($P252=1,"Débit",$L252)),-IF($P252=1,-$K252,$K252),0))))</f>
        <v>-300</v>
      </c>
      <c r="U252" s="6">
        <f>IF($K252="","",IF(ISNUMBER(SEARCH("sortie-epargne",IFERROR(INDEX('Paramètres'!$N:$N,MATCH($D252,'Paramètres'!$M:$M,0))&amp;"",""))),$K252,0))</f>
        <v>0</v>
      </c>
      <c r="V252" s="6" t="str">
        <f>IF(AND($A252&lt;&gt;"",$O252=1,$L252="Débit",N($Q252)&gt;0,$A252&gt;=Visualisation!$B$1,$A252&lt;Visualisation!$D$1),MAX($V$1:V251)+1,"")</f>
        <v/>
      </c>
    </row>
    <row r="253" spans="1:22" x14ac:dyDescent="0.25">
      <c r="A253" s="9">
        <v>45718</v>
      </c>
      <c r="B253" s="4" t="s">
        <v>119</v>
      </c>
      <c r="C253" s="4" t="s">
        <v>60</v>
      </c>
      <c r="D253" s="4" t="s">
        <v>119</v>
      </c>
      <c r="E253" s="10">
        <v>75.9</v>
      </c>
      <c r="G253" s="4" t="s">
        <v>127</v>
      </c>
      <c r="H253" s="4"/>
      <c r="I253" s="4" t="s">
        <v>79</v>
      </c>
      <c r="K253" s="11">
        <f>IF($E253="","",ROUND($E253*IF(ISNA(MATCH($C253,'Paramètres'!$D:$D,0)),1,IF(INDEX('Paramètres'!$J:$J,MATCH($C253,'Paramètres'!$D:$D,0))="",1,INDEX('Paramètres'!$J:$J,MATCH($C253,'Paramètres'!$D:$D,0)))),2))</f>
        <v>37.95</v>
      </c>
      <c r="L253" s="6" t="str">
        <f>IF($D253="","",IF($F253&lt;&gt;"",$F253,IF(ISNA(MATCH($D253,'Paramètres'!$M:$M,0)),"⚠ Type inconnu",IFERROR(INDEX('Paramètres'!$P:$P,MATCH($D253,'Paramètres'!$M:$M,0))&amp;"",""))))</f>
        <v>Débit</v>
      </c>
      <c r="M253" s="6" t="str">
        <f>IF($D253="","",IF(ISNA(MATCH($D253,'Paramètres'!$M:$M,0)),"⚠ Type inconnu",IF($L253="Crédit","",IFERROR(INDEX('Paramètres'!$O:$O,MATCH($D253,'Paramètres'!$M:$M,0))&amp;"",""))))</f>
        <v>Dépense Occasionnelle</v>
      </c>
      <c r="N253" s="6" t="str">
        <f>IF($D253="","",IFERROR(INDEX('Paramètres'!$Q:$Q,MATCH($D253,'Paramètres'!$M:$M,0))&amp;"",""))</f>
        <v>Alimentation</v>
      </c>
      <c r="O253" s="6">
        <f>IF($A253="","",IF(OR($J253&lt;&gt;"x",$A253&lt;=FinReleve),1,0))</f>
        <v>1</v>
      </c>
      <c r="P253" s="6">
        <f>IF($D253="","",IF(AND($L253="Crédit",OR(IFERROR(INDEX('Paramètres'!$O:$O,MATCH($D253,'Paramètres'!$M:$M,0))&amp;"","")&lt;&gt;"",ISNUMBER(SEARCH("remboursement",IFERROR(INDEX('Paramètres'!$N:$N,MATCH($D253,'Paramètres'!$M:$M,0))&amp;"",""))))),1,0))</f>
        <v>0</v>
      </c>
      <c r="Q253" s="6">
        <f>IF($K253="","",IF(ISNUMBER(SEARCH("transfert-interne",IFERROR(INDEX('Paramètres'!$N:$N,MATCH($D253,'Paramètres'!$M:$M,0))&amp;"",""))),0,IF($L253="Débit",$K253,IF($P253=1,-$K253,0))))</f>
        <v>37.95</v>
      </c>
      <c r="R253" s="6">
        <f>IF($K253="","",IF($L253="Crédit",$K253,-$K253))</f>
        <v>-37.95</v>
      </c>
      <c r="S253" s="6" t="str">
        <f>IF($C253="","",IFERROR(INDEX('Paramètres'!$H:$H,MATCH($C253,'Paramètres'!$D:$D,0))&amp;"",""))</f>
        <v>Banque A - Courant</v>
      </c>
      <c r="T253" s="6">
        <f>IF($K253="","",IF($S253="",0,IF(ISNUMBER(SEARCH("apport-exterieur",IFERROR(INDEX('Paramètres'!$N:$N,MATCH($D253,'Paramètres'!$M:$M,0))&amp;"",""))),0,IF(OR(IFERROR(INDEX('Paramètres'!$I:$I,MATCH($C253,'Paramètres'!$D:$D,0))&amp;"","")="Les deux",IFERROR(INDEX('Paramètres'!$I:$I,MATCH($C253,'Paramètres'!$D:$D,0))&amp;"","")=IF($P253=1,"Débit",$L253)),-IF($P253=1,-$K253,$K253),0))))</f>
        <v>-37.95</v>
      </c>
      <c r="U253" s="6">
        <f>IF($K253="","",IF(ISNUMBER(SEARCH("sortie-epargne",IFERROR(INDEX('Paramètres'!$N:$N,MATCH($D253,'Paramètres'!$M:$M,0))&amp;"",""))),$K253,0))</f>
        <v>0</v>
      </c>
      <c r="V253" s="6" t="str">
        <f>IF(AND($A253&lt;&gt;"",$O253=1,$L253="Débit",N($Q253)&gt;0,$A253&gt;=Visualisation!$B$1,$A253&lt;Visualisation!$D$1),MAX($V$1:V252)+1,"")</f>
        <v/>
      </c>
    </row>
    <row r="254" spans="1:22" x14ac:dyDescent="0.25">
      <c r="A254" s="9">
        <v>45719</v>
      </c>
      <c r="B254" s="4" t="s">
        <v>74</v>
      </c>
      <c r="C254" s="4" t="s">
        <v>75</v>
      </c>
      <c r="D254" s="4" t="s">
        <v>74</v>
      </c>
      <c r="E254" s="10">
        <v>88.8</v>
      </c>
      <c r="G254" s="4"/>
      <c r="H254" s="4"/>
      <c r="I254" s="4"/>
      <c r="K254" s="11">
        <f>IF($E254="","",ROUND($E254*IF(ISNA(MATCH($C254,'Paramètres'!$D:$D,0)),1,IF(INDEX('Paramètres'!$J:$J,MATCH($C254,'Paramètres'!$D:$D,0))="",1,INDEX('Paramètres'!$J:$J,MATCH($C254,'Paramètres'!$D:$D,0)))),2))</f>
        <v>88.8</v>
      </c>
      <c r="L254" s="6" t="str">
        <f>IF($D254="","",IF($F254&lt;&gt;"",$F254,IF(ISNA(MATCH($D254,'Paramètres'!$M:$M,0)),"⚠ Type inconnu",IFERROR(INDEX('Paramètres'!$P:$P,MATCH($D254,'Paramètres'!$M:$M,0))&amp;"",""))))</f>
        <v>Débit</v>
      </c>
      <c r="M254" s="6" t="str">
        <f>IF($D254="","",IF(ISNA(MATCH($D254,'Paramètres'!$M:$M,0)),"⚠ Type inconnu",IF($L254="Crédit","",IFERROR(INDEX('Paramètres'!$O:$O,MATCH($D254,'Paramètres'!$M:$M,0))&amp;"",""))))</f>
        <v>Dépense Fixe</v>
      </c>
      <c r="N254" s="6" t="str">
        <f>IF($D254="","",IFERROR(INDEX('Paramètres'!$Q:$Q,MATCH($D254,'Paramètres'!$M:$M,0))&amp;"",""))</f>
        <v>Transport</v>
      </c>
      <c r="O254" s="6">
        <f>IF($A254="","",IF(OR($J254&lt;&gt;"x",$A254&lt;=FinReleve),1,0))</f>
        <v>1</v>
      </c>
      <c r="P254" s="6">
        <f>IF($D254="","",IF(AND($L254="Crédit",OR(IFERROR(INDEX('Paramètres'!$O:$O,MATCH($D254,'Paramètres'!$M:$M,0))&amp;"","")&lt;&gt;"",ISNUMBER(SEARCH("remboursement",IFERROR(INDEX('Paramètres'!$N:$N,MATCH($D254,'Paramètres'!$M:$M,0))&amp;"",""))))),1,0))</f>
        <v>0</v>
      </c>
      <c r="Q254" s="6">
        <f>IF($K254="","",IF(ISNUMBER(SEARCH("transfert-interne",IFERROR(INDEX('Paramètres'!$N:$N,MATCH($D254,'Paramètres'!$M:$M,0))&amp;"",""))),0,IF($L254="Débit",$K254,IF($P254=1,-$K254,0))))</f>
        <v>88.8</v>
      </c>
      <c r="R254" s="6">
        <f>IF($K254="","",IF($L254="Crédit",$K254,-$K254))</f>
        <v>-88.8</v>
      </c>
      <c r="S254" s="6" t="str">
        <f>IF($C254="","",IFERROR(INDEX('Paramètres'!$H:$H,MATCH($C254,'Paramètres'!$D:$D,0))&amp;"",""))</f>
        <v/>
      </c>
      <c r="T254" s="6">
        <f>IF($K254="","",IF($S254="",0,IF(ISNUMBER(SEARCH("apport-exterieur",IFERROR(INDEX('Paramètres'!$N:$N,MATCH($D254,'Paramètres'!$M:$M,0))&amp;"",""))),0,IF(OR(IFERROR(INDEX('Paramètres'!$I:$I,MATCH($C254,'Paramètres'!$D:$D,0))&amp;"","")="Les deux",IFERROR(INDEX('Paramètres'!$I:$I,MATCH($C254,'Paramètres'!$D:$D,0))&amp;"","")=IF($P254=1,"Débit",$L254)),-IF($P254=1,-$K254,$K254),0))))</f>
        <v>0</v>
      </c>
      <c r="U254" s="6">
        <f>IF($K254="","",IF(ISNUMBER(SEARCH("sortie-epargne",IFERROR(INDEX('Paramètres'!$N:$N,MATCH($D254,'Paramètres'!$M:$M,0))&amp;"",""))),$K254,0))</f>
        <v>0</v>
      </c>
      <c r="V254" s="6" t="str">
        <f>IF(AND($A254&lt;&gt;"",$O254=1,$L254="Débit",N($Q254)&gt;0,$A254&gt;=Visualisation!$B$1,$A254&lt;Visualisation!$D$1),MAX($V$1:V253)+1,"")</f>
        <v/>
      </c>
    </row>
    <row r="255" spans="1:22" x14ac:dyDescent="0.25">
      <c r="A255" s="9">
        <v>45719</v>
      </c>
      <c r="B255" s="4" t="s">
        <v>69</v>
      </c>
      <c r="C255" s="4" t="s">
        <v>70</v>
      </c>
      <c r="D255" s="4" t="s">
        <v>71</v>
      </c>
      <c r="E255" s="10">
        <v>10.19</v>
      </c>
      <c r="G255" s="4" t="s">
        <v>72</v>
      </c>
      <c r="H255" s="4"/>
      <c r="I255" s="4" t="s">
        <v>73</v>
      </c>
      <c r="K255" s="11">
        <f>IF($E255="","",ROUND($E255*IF(ISNA(MATCH($C255,'Paramètres'!$D:$D,0)),1,IF(INDEX('Paramètres'!$J:$J,MATCH($C255,'Paramètres'!$D:$D,0))="",1,INDEX('Paramètres'!$J:$J,MATCH($C255,'Paramètres'!$D:$D,0)))),2))</f>
        <v>10.19</v>
      </c>
      <c r="L255" s="6" t="str">
        <f>IF($D255="","",IF($F255&lt;&gt;"",$F255,IF(ISNA(MATCH($D255,'Paramètres'!$M:$M,0)),"⚠ Type inconnu",IFERROR(INDEX('Paramètres'!$P:$P,MATCH($D255,'Paramètres'!$M:$M,0))&amp;"",""))))</f>
        <v>Débit</v>
      </c>
      <c r="M255" s="6" t="str">
        <f>IF($D255="","",IF(ISNA(MATCH($D255,'Paramètres'!$M:$M,0)),"⚠ Type inconnu",IF($L255="Crédit","",IFERROR(INDEX('Paramètres'!$O:$O,MATCH($D255,'Paramètres'!$M:$M,0))&amp;"",""))))</f>
        <v>Dépense Courante</v>
      </c>
      <c r="N255" s="6" t="str">
        <f>IF($D255="","",IFERROR(INDEX('Paramètres'!$Q:$Q,MATCH($D255,'Paramètres'!$M:$M,0))&amp;"",""))</f>
        <v>Alimentation</v>
      </c>
      <c r="O255" s="6">
        <f>IF($A255="","",IF(OR($J255&lt;&gt;"x",$A255&lt;=FinReleve),1,0))</f>
        <v>1</v>
      </c>
      <c r="P255" s="6">
        <f>IF($D255="","",IF(AND($L255="Crédit",OR(IFERROR(INDEX('Paramètres'!$O:$O,MATCH($D255,'Paramètres'!$M:$M,0))&amp;"","")&lt;&gt;"",ISNUMBER(SEARCH("remboursement",IFERROR(INDEX('Paramètres'!$N:$N,MATCH($D255,'Paramètres'!$M:$M,0))&amp;"",""))))),1,0))</f>
        <v>0</v>
      </c>
      <c r="Q255" s="6">
        <f>IF($K255="","",IF(ISNUMBER(SEARCH("transfert-interne",IFERROR(INDEX('Paramètres'!$N:$N,MATCH($D255,'Paramètres'!$M:$M,0))&amp;"",""))),0,IF($L255="Débit",$K255,IF($P255=1,-$K255,0))))</f>
        <v>10.19</v>
      </c>
      <c r="R255" s="6">
        <f>IF($K255="","",IF($L255="Crédit",$K255,-$K255))</f>
        <v>-10.19</v>
      </c>
      <c r="S255" s="6" t="str">
        <f>IF($C255="","",IFERROR(INDEX('Paramètres'!$H:$H,MATCH($C255,'Paramètres'!$D:$D,0))&amp;"",""))</f>
        <v/>
      </c>
      <c r="T255" s="6">
        <f>IF($K255="","",IF($S255="",0,IF(ISNUMBER(SEARCH("apport-exterieur",IFERROR(INDEX('Paramètres'!$N:$N,MATCH($D255,'Paramètres'!$M:$M,0))&amp;"",""))),0,IF(OR(IFERROR(INDEX('Paramètres'!$I:$I,MATCH($C255,'Paramètres'!$D:$D,0))&amp;"","")="Les deux",IFERROR(INDEX('Paramètres'!$I:$I,MATCH($C255,'Paramètres'!$D:$D,0))&amp;"","")=IF($P255=1,"Débit",$L255)),-IF($P255=1,-$K255,$K255),0))))</f>
        <v>0</v>
      </c>
      <c r="U255" s="6">
        <f>IF($K255="","",IF(ISNUMBER(SEARCH("sortie-epargne",IFERROR(INDEX('Paramètres'!$N:$N,MATCH($D255,'Paramètres'!$M:$M,0))&amp;"",""))),$K255,0))</f>
        <v>0</v>
      </c>
      <c r="V255" s="6" t="str">
        <f>IF(AND($A255&lt;&gt;"",$O255=1,$L255="Débit",N($Q255)&gt;0,$A255&gt;=Visualisation!$B$1,$A255&lt;Visualisation!$D$1),MAX($V$1:V254)+1,"")</f>
        <v/>
      </c>
    </row>
    <row r="256" spans="1:22" x14ac:dyDescent="0.25">
      <c r="A256" s="9">
        <v>45719</v>
      </c>
      <c r="B256" s="4" t="s">
        <v>90</v>
      </c>
      <c r="C256" s="4" t="s">
        <v>75</v>
      </c>
      <c r="D256" s="4" t="s">
        <v>91</v>
      </c>
      <c r="E256" s="10">
        <v>39.69</v>
      </c>
      <c r="G256" s="4" t="s">
        <v>104</v>
      </c>
      <c r="H256" s="4"/>
      <c r="I256" s="4" t="s">
        <v>73</v>
      </c>
      <c r="K256" s="11">
        <f>IF($E256="","",ROUND($E256*IF(ISNA(MATCH($C256,'Paramètres'!$D:$D,0)),1,IF(INDEX('Paramètres'!$J:$J,MATCH($C256,'Paramètres'!$D:$D,0))="",1,INDEX('Paramètres'!$J:$J,MATCH($C256,'Paramètres'!$D:$D,0)))),2))</f>
        <v>39.69</v>
      </c>
      <c r="L256" s="6" t="str">
        <f>IF($D256="","",IF($F256&lt;&gt;"",$F256,IF(ISNA(MATCH($D256,'Paramètres'!$M:$M,0)),"⚠ Type inconnu",IFERROR(INDEX('Paramètres'!$P:$P,MATCH($D256,'Paramètres'!$M:$M,0))&amp;"",""))))</f>
        <v>Débit</v>
      </c>
      <c r="M256" s="6" t="str">
        <f>IF($D256="","",IF(ISNA(MATCH($D256,'Paramètres'!$M:$M,0)),"⚠ Type inconnu",IF($L256="Crédit","",IFERROR(INDEX('Paramètres'!$O:$O,MATCH($D256,'Paramètres'!$M:$M,0))&amp;"",""))))</f>
        <v>Dépense Courante</v>
      </c>
      <c r="N256" s="6" t="str">
        <f>IF($D256="","",IFERROR(INDEX('Paramètres'!$Q:$Q,MATCH($D256,'Paramètres'!$M:$M,0))&amp;"",""))</f>
        <v>Transport</v>
      </c>
      <c r="O256" s="6">
        <f>IF($A256="","",IF(OR($J256&lt;&gt;"x",$A256&lt;=FinReleve),1,0))</f>
        <v>1</v>
      </c>
      <c r="P256" s="6">
        <f>IF($D256="","",IF(AND($L256="Crédit",OR(IFERROR(INDEX('Paramètres'!$O:$O,MATCH($D256,'Paramètres'!$M:$M,0))&amp;"","")&lt;&gt;"",ISNUMBER(SEARCH("remboursement",IFERROR(INDEX('Paramètres'!$N:$N,MATCH($D256,'Paramètres'!$M:$M,0))&amp;"",""))))),1,0))</f>
        <v>0</v>
      </c>
      <c r="Q256" s="6">
        <f>IF($K256="","",IF(ISNUMBER(SEARCH("transfert-interne",IFERROR(INDEX('Paramètres'!$N:$N,MATCH($D256,'Paramètres'!$M:$M,0))&amp;"",""))),0,IF($L256="Débit",$K256,IF($P256=1,-$K256,0))))</f>
        <v>39.69</v>
      </c>
      <c r="R256" s="6">
        <f>IF($K256="","",IF($L256="Crédit",$K256,-$K256))</f>
        <v>-39.69</v>
      </c>
      <c r="S256" s="6" t="str">
        <f>IF($C256="","",IFERROR(INDEX('Paramètres'!$H:$H,MATCH($C256,'Paramètres'!$D:$D,0))&amp;"",""))</f>
        <v/>
      </c>
      <c r="T256" s="6">
        <f>IF($K256="","",IF($S256="",0,IF(ISNUMBER(SEARCH("apport-exterieur",IFERROR(INDEX('Paramètres'!$N:$N,MATCH($D256,'Paramètres'!$M:$M,0))&amp;"",""))),0,IF(OR(IFERROR(INDEX('Paramètres'!$I:$I,MATCH($C256,'Paramètres'!$D:$D,0))&amp;"","")="Les deux",IFERROR(INDEX('Paramètres'!$I:$I,MATCH($C256,'Paramètres'!$D:$D,0))&amp;"","")=IF($P256=1,"Débit",$L256)),-IF($P256=1,-$K256,$K256),0))))</f>
        <v>0</v>
      </c>
      <c r="U256" s="6">
        <f>IF($K256="","",IF(ISNUMBER(SEARCH("sortie-epargne",IFERROR(INDEX('Paramètres'!$N:$N,MATCH($D256,'Paramètres'!$M:$M,0))&amp;"",""))),$K256,0))</f>
        <v>0</v>
      </c>
      <c r="V256" s="6" t="str">
        <f>IF(AND($A256&lt;&gt;"",$O256=1,$L256="Débit",N($Q256)&gt;0,$A256&gt;=Visualisation!$B$1,$A256&lt;Visualisation!$D$1),MAX($V$1:V255)+1,"")</f>
        <v/>
      </c>
    </row>
    <row r="257" spans="1:22" x14ac:dyDescent="0.25">
      <c r="A257" s="9">
        <v>45720</v>
      </c>
      <c r="B257" s="4" t="s">
        <v>80</v>
      </c>
      <c r="C257" s="4" t="s">
        <v>70</v>
      </c>
      <c r="D257" s="4" t="s">
        <v>81</v>
      </c>
      <c r="E257" s="10">
        <v>115.36</v>
      </c>
      <c r="G257" s="4"/>
      <c r="H257" s="4"/>
      <c r="I257" s="4"/>
      <c r="K257" s="11">
        <f>IF($E257="","",ROUND($E257*IF(ISNA(MATCH($C257,'Paramètres'!$D:$D,0)),1,IF(INDEX('Paramètres'!$J:$J,MATCH($C257,'Paramètres'!$D:$D,0))="",1,INDEX('Paramètres'!$J:$J,MATCH($C257,'Paramètres'!$D:$D,0)))),2))</f>
        <v>115.36</v>
      </c>
      <c r="L257" s="6" t="str">
        <f>IF($D257="","",IF($F257&lt;&gt;"",$F257,IF(ISNA(MATCH($D257,'Paramètres'!$M:$M,0)),"⚠ Type inconnu",IFERROR(INDEX('Paramètres'!$P:$P,MATCH($D257,'Paramètres'!$M:$M,0))&amp;"",""))))</f>
        <v>Crédit</v>
      </c>
      <c r="M257" s="6" t="str">
        <f>IF($D257="","",IF(ISNA(MATCH($D257,'Paramètres'!$M:$M,0)),"⚠ Type inconnu",IF($L257="Crédit","",IFERROR(INDEX('Paramètres'!$O:$O,MATCH($D257,'Paramètres'!$M:$M,0))&amp;"",""))))</f>
        <v/>
      </c>
      <c r="N257" s="6" t="str">
        <f>IF($D257="","",IFERROR(INDEX('Paramètres'!$Q:$Q,MATCH($D257,'Paramètres'!$M:$M,0))&amp;"",""))</f>
        <v>Comptes Bancaires</v>
      </c>
      <c r="O257" s="6">
        <f>IF($A257="","",IF(OR($J257&lt;&gt;"x",$A257&lt;=FinReleve),1,0))</f>
        <v>1</v>
      </c>
      <c r="P257" s="6">
        <f>IF($D257="","",IF(AND($L257="Crédit",OR(IFERROR(INDEX('Paramètres'!$O:$O,MATCH($D257,'Paramètres'!$M:$M,0))&amp;"","")&lt;&gt;"",ISNUMBER(SEARCH("remboursement",IFERROR(INDEX('Paramètres'!$N:$N,MATCH($D257,'Paramètres'!$M:$M,0))&amp;"",""))))),1,0))</f>
        <v>0</v>
      </c>
      <c r="Q257" s="6">
        <f>IF($K257="","",IF(ISNUMBER(SEARCH("transfert-interne",IFERROR(INDEX('Paramètres'!$N:$N,MATCH($D257,'Paramètres'!$M:$M,0))&amp;"",""))),0,IF($L257="Débit",$K257,IF($P257=1,-$K257,0))))</f>
        <v>0</v>
      </c>
      <c r="R257" s="6">
        <f>IF($K257="","",IF($L257="Crédit",$K257,-$K257))</f>
        <v>115.36</v>
      </c>
      <c r="S257" s="6" t="str">
        <f>IF($C257="","",IFERROR(INDEX('Paramètres'!$H:$H,MATCH($C257,'Paramètres'!$D:$D,0))&amp;"",""))</f>
        <v/>
      </c>
      <c r="T257" s="6">
        <f>IF($K257="","",IF($S257="",0,IF(ISNUMBER(SEARCH("apport-exterieur",IFERROR(INDEX('Paramètres'!$N:$N,MATCH($D257,'Paramètres'!$M:$M,0))&amp;"",""))),0,IF(OR(IFERROR(INDEX('Paramètres'!$I:$I,MATCH($C257,'Paramètres'!$D:$D,0))&amp;"","")="Les deux",IFERROR(INDEX('Paramètres'!$I:$I,MATCH($C257,'Paramètres'!$D:$D,0))&amp;"","")=IF($P257=1,"Débit",$L257)),-IF($P257=1,-$K257,$K257),0))))</f>
        <v>0</v>
      </c>
      <c r="U257" s="6">
        <f>IF($K257="","",IF(ISNUMBER(SEARCH("sortie-epargne",IFERROR(INDEX('Paramètres'!$N:$N,MATCH($D257,'Paramètres'!$M:$M,0))&amp;"",""))),$K257,0))</f>
        <v>0</v>
      </c>
      <c r="V257" s="6" t="str">
        <f>IF(AND($A257&lt;&gt;"",$O257=1,$L257="Débit",N($Q257)&gt;0,$A257&gt;=Visualisation!$B$1,$A257&lt;Visualisation!$D$1),MAX($V$1:V256)+1,"")</f>
        <v/>
      </c>
    </row>
    <row r="258" spans="1:22" x14ac:dyDescent="0.25">
      <c r="A258" s="9">
        <v>45721</v>
      </c>
      <c r="B258" s="4" t="s">
        <v>82</v>
      </c>
      <c r="C258" s="4" t="s">
        <v>65</v>
      </c>
      <c r="D258" s="4" t="s">
        <v>83</v>
      </c>
      <c r="E258" s="10">
        <v>651.35</v>
      </c>
      <c r="G258" s="4" t="s">
        <v>84</v>
      </c>
      <c r="H258" s="4"/>
      <c r="I258" s="4"/>
      <c r="K258" s="11">
        <f>IF($E258="","",ROUND($E258*IF(ISNA(MATCH($C258,'Paramètres'!$D:$D,0)),1,IF(INDEX('Paramètres'!$J:$J,MATCH($C258,'Paramètres'!$D:$D,0))="",1,INDEX('Paramètres'!$J:$J,MATCH($C258,'Paramètres'!$D:$D,0)))),2))</f>
        <v>651.35</v>
      </c>
      <c r="L258" s="6" t="str">
        <f>IF($D258="","",IF($F258&lt;&gt;"",$F258,IF(ISNA(MATCH($D258,'Paramètres'!$M:$M,0)),"⚠ Type inconnu",IFERROR(INDEX('Paramètres'!$P:$P,MATCH($D258,'Paramètres'!$M:$M,0))&amp;"",""))))</f>
        <v>Débit</v>
      </c>
      <c r="M258" s="6" t="str">
        <f>IF($D258="","",IF(ISNA(MATCH($D258,'Paramètres'!$M:$M,0)),"⚠ Type inconnu",IF($L258="Crédit","",IFERROR(INDEX('Paramètres'!$O:$O,MATCH($D258,'Paramètres'!$M:$M,0))&amp;"",""))))</f>
        <v/>
      </c>
      <c r="N258" s="6" t="str">
        <f>IF($D258="","",IFERROR(INDEX('Paramètres'!$Q:$Q,MATCH($D258,'Paramètres'!$M:$M,0))&amp;"",""))</f>
        <v>Immobilier</v>
      </c>
      <c r="O258" s="6">
        <f>IF($A258="","",IF(OR($J258&lt;&gt;"x",$A258&lt;=FinReleve),1,0))</f>
        <v>1</v>
      </c>
      <c r="P258" s="6">
        <f>IF($D258="","",IF(AND($L258="Crédit",OR(IFERROR(INDEX('Paramètres'!$O:$O,MATCH($D258,'Paramètres'!$M:$M,0))&amp;"","")&lt;&gt;"",ISNUMBER(SEARCH("remboursement",IFERROR(INDEX('Paramètres'!$N:$N,MATCH($D258,'Paramètres'!$M:$M,0))&amp;"",""))))),1,0))</f>
        <v>0</v>
      </c>
      <c r="Q258" s="6">
        <f>IF($K258="","",IF(ISNUMBER(SEARCH("transfert-interne",IFERROR(INDEX('Paramètres'!$N:$N,MATCH($D258,'Paramètres'!$M:$M,0))&amp;"",""))),0,IF($L258="Débit",$K258,IF($P258=1,-$K258,0))))</f>
        <v>651.35</v>
      </c>
      <c r="R258" s="6">
        <f>IF($K258="","",IF($L258="Crédit",$K258,-$K258))</f>
        <v>-651.35</v>
      </c>
      <c r="S258" s="6" t="str">
        <f>IF($C258="","",IFERROR(INDEX('Paramètres'!$H:$H,MATCH($C258,'Paramètres'!$D:$D,0))&amp;"",""))</f>
        <v>Banque A - Courant</v>
      </c>
      <c r="T258" s="6">
        <f>IF($K258="","",IF($S258="",0,IF(ISNUMBER(SEARCH("apport-exterieur",IFERROR(INDEX('Paramètres'!$N:$N,MATCH($D258,'Paramètres'!$M:$M,0))&amp;"",""))),0,IF(OR(IFERROR(INDEX('Paramètres'!$I:$I,MATCH($C258,'Paramètres'!$D:$D,0))&amp;"","")="Les deux",IFERROR(INDEX('Paramètres'!$I:$I,MATCH($C258,'Paramètres'!$D:$D,0))&amp;"","")=IF($P258=1,"Débit",$L258)),-IF($P258=1,-$K258,$K258),0))))</f>
        <v>0</v>
      </c>
      <c r="U258" s="6">
        <f>IF($K258="","",IF(ISNUMBER(SEARCH("sortie-epargne",IFERROR(INDEX('Paramètres'!$N:$N,MATCH($D258,'Paramètres'!$M:$M,0))&amp;"",""))),$K258,0))</f>
        <v>0</v>
      </c>
      <c r="V258" s="6" t="str">
        <f>IF(AND($A258&lt;&gt;"",$O258=1,$L258="Débit",N($Q258)&gt;0,$A258&gt;=Visualisation!$B$1,$A258&lt;Visualisation!$D$1),MAX($V$1:V257)+1,"")</f>
        <v/>
      </c>
    </row>
    <row r="259" spans="1:22" x14ac:dyDescent="0.25">
      <c r="A259" s="9">
        <v>45721</v>
      </c>
      <c r="B259" s="4" t="s">
        <v>85</v>
      </c>
      <c r="C259" s="4" t="s">
        <v>65</v>
      </c>
      <c r="D259" s="4" t="s">
        <v>86</v>
      </c>
      <c r="E259" s="10">
        <v>242.29</v>
      </c>
      <c r="G259" s="4" t="s">
        <v>87</v>
      </c>
      <c r="H259" s="4"/>
      <c r="I259" s="4"/>
      <c r="K259" s="11">
        <f>IF($E259="","",ROUND($E259*IF(ISNA(MATCH($C259,'Paramètres'!$D:$D,0)),1,IF(INDEX('Paramètres'!$J:$J,MATCH($C259,'Paramètres'!$D:$D,0))="",1,INDEX('Paramètres'!$J:$J,MATCH($C259,'Paramètres'!$D:$D,0)))),2))</f>
        <v>242.29</v>
      </c>
      <c r="L259" s="6" t="str">
        <f>IF($D259="","",IF($F259&lt;&gt;"",$F259,IF(ISNA(MATCH($D259,'Paramètres'!$M:$M,0)),"⚠ Type inconnu",IFERROR(INDEX('Paramètres'!$P:$P,MATCH($D259,'Paramètres'!$M:$M,0))&amp;"",""))))</f>
        <v>Débit</v>
      </c>
      <c r="M259" s="6" t="str">
        <f>IF($D259="","",IF(ISNA(MATCH($D259,'Paramètres'!$M:$M,0)),"⚠ Type inconnu",IF($L259="Crédit","",IFERROR(INDEX('Paramètres'!$O:$O,MATCH($D259,'Paramètres'!$M:$M,0))&amp;"",""))))</f>
        <v>Dépense Fixe</v>
      </c>
      <c r="N259" s="6" t="str">
        <f>IF($D259="","",IFERROR(INDEX('Paramètres'!$Q:$Q,MATCH($D259,'Paramètres'!$M:$M,0))&amp;"",""))</f>
        <v>Immobilier</v>
      </c>
      <c r="O259" s="6">
        <f>IF($A259="","",IF(OR($J259&lt;&gt;"x",$A259&lt;=FinReleve),1,0))</f>
        <v>1</v>
      </c>
      <c r="P259" s="6">
        <f>IF($D259="","",IF(AND($L259="Crédit",OR(IFERROR(INDEX('Paramètres'!$O:$O,MATCH($D259,'Paramètres'!$M:$M,0))&amp;"","")&lt;&gt;"",ISNUMBER(SEARCH("remboursement",IFERROR(INDEX('Paramètres'!$N:$N,MATCH($D259,'Paramètres'!$M:$M,0))&amp;"",""))))),1,0))</f>
        <v>0</v>
      </c>
      <c r="Q259" s="6">
        <f>IF($K259="","",IF(ISNUMBER(SEARCH("transfert-interne",IFERROR(INDEX('Paramètres'!$N:$N,MATCH($D259,'Paramètres'!$M:$M,0))&amp;"",""))),0,IF($L259="Débit",$K259,IF($P259=1,-$K259,0))))</f>
        <v>242.29</v>
      </c>
      <c r="R259" s="6">
        <f>IF($K259="","",IF($L259="Crédit",$K259,-$K259))</f>
        <v>-242.29</v>
      </c>
      <c r="S259" s="6" t="str">
        <f>IF($C259="","",IFERROR(INDEX('Paramètres'!$H:$H,MATCH($C259,'Paramètres'!$D:$D,0))&amp;"",""))</f>
        <v>Banque A - Courant</v>
      </c>
      <c r="T259" s="6">
        <f>IF($K259="","",IF($S259="",0,IF(ISNUMBER(SEARCH("apport-exterieur",IFERROR(INDEX('Paramètres'!$N:$N,MATCH($D259,'Paramètres'!$M:$M,0))&amp;"",""))),0,IF(OR(IFERROR(INDEX('Paramètres'!$I:$I,MATCH($C259,'Paramètres'!$D:$D,0))&amp;"","")="Les deux",IFERROR(INDEX('Paramètres'!$I:$I,MATCH($C259,'Paramètres'!$D:$D,0))&amp;"","")=IF($P259=1,"Débit",$L259)),-IF($P259=1,-$K259,$K259),0))))</f>
        <v>0</v>
      </c>
      <c r="U259" s="6">
        <f>IF($K259="","",IF(ISNUMBER(SEARCH("sortie-epargne",IFERROR(INDEX('Paramètres'!$N:$N,MATCH($D259,'Paramètres'!$M:$M,0))&amp;"",""))),$K259,0))</f>
        <v>0</v>
      </c>
      <c r="V259" s="6" t="str">
        <f>IF(AND($A259&lt;&gt;"",$O259=1,$L259="Débit",N($Q259)&gt;0,$A259&gt;=Visualisation!$B$1,$A259&lt;Visualisation!$D$1),MAX($V$1:V258)+1,"")</f>
        <v/>
      </c>
    </row>
    <row r="260" spans="1:22" x14ac:dyDescent="0.25">
      <c r="A260" s="9">
        <v>45721</v>
      </c>
      <c r="B260" s="4" t="s">
        <v>88</v>
      </c>
      <c r="C260" s="4" t="s">
        <v>65</v>
      </c>
      <c r="D260" s="4" t="s">
        <v>88</v>
      </c>
      <c r="E260" s="10">
        <v>31.2</v>
      </c>
      <c r="G260" s="4"/>
      <c r="H260" s="4"/>
      <c r="I260" s="4"/>
      <c r="K260" s="11">
        <f>IF($E260="","",ROUND($E260*IF(ISNA(MATCH($C260,'Paramètres'!$D:$D,0)),1,IF(INDEX('Paramètres'!$J:$J,MATCH($C260,'Paramètres'!$D:$D,0))="",1,INDEX('Paramètres'!$J:$J,MATCH($C260,'Paramètres'!$D:$D,0)))),2))</f>
        <v>31.2</v>
      </c>
      <c r="L260" s="6" t="str">
        <f>IF($D260="","",IF($F260&lt;&gt;"",$F260,IF(ISNA(MATCH($D260,'Paramètres'!$M:$M,0)),"⚠ Type inconnu",IFERROR(INDEX('Paramètres'!$P:$P,MATCH($D260,'Paramètres'!$M:$M,0))&amp;"",""))))</f>
        <v>Débit</v>
      </c>
      <c r="M260" s="6" t="str">
        <f>IF($D260="","",IF(ISNA(MATCH($D260,'Paramètres'!$M:$M,0)),"⚠ Type inconnu",IF($L260="Crédit","",IFERROR(INDEX('Paramètres'!$O:$O,MATCH($D260,'Paramètres'!$M:$M,0))&amp;"",""))))</f>
        <v>Dépense Fixe</v>
      </c>
      <c r="N260" s="6" t="str">
        <f>IF($D260="","",IFERROR(INDEX('Paramètres'!$Q:$Q,MATCH($D260,'Paramètres'!$M:$M,0))&amp;"",""))</f>
        <v>Assurances</v>
      </c>
      <c r="O260" s="6">
        <f>IF($A260="","",IF(OR($J260&lt;&gt;"x",$A260&lt;=FinReleve),1,0))</f>
        <v>1</v>
      </c>
      <c r="P260" s="6">
        <f>IF($D260="","",IF(AND($L260="Crédit",OR(IFERROR(INDEX('Paramètres'!$O:$O,MATCH($D260,'Paramètres'!$M:$M,0))&amp;"","")&lt;&gt;"",ISNUMBER(SEARCH("remboursement",IFERROR(INDEX('Paramètres'!$N:$N,MATCH($D260,'Paramètres'!$M:$M,0))&amp;"",""))))),1,0))</f>
        <v>0</v>
      </c>
      <c r="Q260" s="6">
        <f>IF($K260="","",IF(ISNUMBER(SEARCH("transfert-interne",IFERROR(INDEX('Paramètres'!$N:$N,MATCH($D260,'Paramètres'!$M:$M,0))&amp;"",""))),0,IF($L260="Débit",$K260,IF($P260=1,-$K260,0))))</f>
        <v>31.2</v>
      </c>
      <c r="R260" s="6">
        <f>IF($K260="","",IF($L260="Crédit",$K260,-$K260))</f>
        <v>-31.2</v>
      </c>
      <c r="S260" s="6" t="str">
        <f>IF($C260="","",IFERROR(INDEX('Paramètres'!$H:$H,MATCH($C260,'Paramètres'!$D:$D,0))&amp;"",""))</f>
        <v>Banque A - Courant</v>
      </c>
      <c r="T260" s="6">
        <f>IF($K260="","",IF($S260="",0,IF(ISNUMBER(SEARCH("apport-exterieur",IFERROR(INDEX('Paramètres'!$N:$N,MATCH($D260,'Paramètres'!$M:$M,0))&amp;"",""))),0,IF(OR(IFERROR(INDEX('Paramètres'!$I:$I,MATCH($C260,'Paramètres'!$D:$D,0))&amp;"","")="Les deux",IFERROR(INDEX('Paramètres'!$I:$I,MATCH($C260,'Paramètres'!$D:$D,0))&amp;"","")=IF($P260=1,"Débit",$L260)),-IF($P260=1,-$K260,$K260),0))))</f>
        <v>0</v>
      </c>
      <c r="U260" s="6">
        <f>IF($K260="","",IF(ISNUMBER(SEARCH("sortie-epargne",IFERROR(INDEX('Paramètres'!$N:$N,MATCH($D260,'Paramètres'!$M:$M,0))&amp;"",""))),$K260,0))</f>
        <v>0</v>
      </c>
      <c r="V260" s="6" t="str">
        <f>IF(AND($A260&lt;&gt;"",$O260=1,$L260="Débit",N($Q260)&gt;0,$A260&gt;=Visualisation!$B$1,$A260&lt;Visualisation!$D$1),MAX($V$1:V259)+1,"")</f>
        <v/>
      </c>
    </row>
    <row r="261" spans="1:22" x14ac:dyDescent="0.25">
      <c r="A261" s="9">
        <v>45721</v>
      </c>
      <c r="B261" s="4" t="s">
        <v>59</v>
      </c>
      <c r="C261" s="4" t="s">
        <v>60</v>
      </c>
      <c r="D261" s="4" t="s">
        <v>59</v>
      </c>
      <c r="E261" s="10">
        <v>48.66</v>
      </c>
      <c r="G261" s="4" t="s">
        <v>128</v>
      </c>
      <c r="H261" s="4"/>
      <c r="I261" s="4" t="s">
        <v>73</v>
      </c>
      <c r="K261" s="11">
        <f>IF($E261="","",ROUND($E261*IF(ISNA(MATCH($C261,'Paramètres'!$D:$D,0)),1,IF(INDEX('Paramètres'!$J:$J,MATCH($C261,'Paramètres'!$D:$D,0))="",1,INDEX('Paramètres'!$J:$J,MATCH($C261,'Paramètres'!$D:$D,0)))),2))</f>
        <v>24.33</v>
      </c>
      <c r="L261" s="6" t="str">
        <f>IF($D261="","",IF($F261&lt;&gt;"",$F261,IF(ISNA(MATCH($D261,'Paramètres'!$M:$M,0)),"⚠ Type inconnu",IFERROR(INDEX('Paramètres'!$P:$P,MATCH($D261,'Paramètres'!$M:$M,0))&amp;"",""))))</f>
        <v>Débit</v>
      </c>
      <c r="M261" s="6" t="str">
        <f>IF($D261="","",IF(ISNA(MATCH($D261,'Paramètres'!$M:$M,0)),"⚠ Type inconnu",IF($L261="Crédit","",IFERROR(INDEX('Paramètres'!$O:$O,MATCH($D261,'Paramètres'!$M:$M,0))&amp;"",""))))</f>
        <v>Dépense Occasionnelle</v>
      </c>
      <c r="N261" s="6" t="str">
        <f>IF($D261="","",IFERROR(INDEX('Paramètres'!$Q:$Q,MATCH($D261,'Paramètres'!$M:$M,0))&amp;"",""))</f>
        <v>Loisir</v>
      </c>
      <c r="O261" s="6">
        <f>IF($A261="","",IF(OR($J261&lt;&gt;"x",$A261&lt;=FinReleve),1,0))</f>
        <v>1</v>
      </c>
      <c r="P261" s="6">
        <f>IF($D261="","",IF(AND($L261="Crédit",OR(IFERROR(INDEX('Paramètres'!$O:$O,MATCH($D261,'Paramètres'!$M:$M,0))&amp;"","")&lt;&gt;"",ISNUMBER(SEARCH("remboursement",IFERROR(INDEX('Paramètres'!$N:$N,MATCH($D261,'Paramètres'!$M:$M,0))&amp;"",""))))),1,0))</f>
        <v>0</v>
      </c>
      <c r="Q261" s="6">
        <f>IF($K261="","",IF(ISNUMBER(SEARCH("transfert-interne",IFERROR(INDEX('Paramètres'!$N:$N,MATCH($D261,'Paramètres'!$M:$M,0))&amp;"",""))),0,IF($L261="Débit",$K261,IF($P261=1,-$K261,0))))</f>
        <v>24.33</v>
      </c>
      <c r="R261" s="6">
        <f>IF($K261="","",IF($L261="Crédit",$K261,-$K261))</f>
        <v>-24.33</v>
      </c>
      <c r="S261" s="6" t="str">
        <f>IF($C261="","",IFERROR(INDEX('Paramètres'!$H:$H,MATCH($C261,'Paramètres'!$D:$D,0))&amp;"",""))</f>
        <v>Banque A - Courant</v>
      </c>
      <c r="T261" s="6">
        <f>IF($K261="","",IF($S261="",0,IF(ISNUMBER(SEARCH("apport-exterieur",IFERROR(INDEX('Paramètres'!$N:$N,MATCH($D261,'Paramètres'!$M:$M,0))&amp;"",""))),0,IF(OR(IFERROR(INDEX('Paramètres'!$I:$I,MATCH($C261,'Paramètres'!$D:$D,0))&amp;"","")="Les deux",IFERROR(INDEX('Paramètres'!$I:$I,MATCH($C261,'Paramètres'!$D:$D,0))&amp;"","")=IF($P261=1,"Débit",$L261)),-IF($P261=1,-$K261,$K261),0))))</f>
        <v>-24.33</v>
      </c>
      <c r="U261" s="6">
        <f>IF($K261="","",IF(ISNUMBER(SEARCH("sortie-epargne",IFERROR(INDEX('Paramètres'!$N:$N,MATCH($D261,'Paramètres'!$M:$M,0))&amp;"",""))),$K261,0))</f>
        <v>0</v>
      </c>
      <c r="V261" s="6" t="str">
        <f>IF(AND($A261&lt;&gt;"",$O261=1,$L261="Débit",N($Q261)&gt;0,$A261&gt;=Visualisation!$B$1,$A261&lt;Visualisation!$D$1),MAX($V$1:V260)+1,"")</f>
        <v/>
      </c>
    </row>
    <row r="262" spans="1:22" x14ac:dyDescent="0.25">
      <c r="A262" s="9">
        <v>45722</v>
      </c>
      <c r="B262" s="4" t="s">
        <v>89</v>
      </c>
      <c r="C262" s="4" t="s">
        <v>75</v>
      </c>
      <c r="D262" s="4" t="s">
        <v>89</v>
      </c>
      <c r="E262" s="10">
        <v>49.9</v>
      </c>
      <c r="G262" s="4"/>
      <c r="H262" s="4"/>
      <c r="I262" s="4"/>
      <c r="K262" s="11">
        <f>IF($E262="","",ROUND($E262*IF(ISNA(MATCH($C262,'Paramètres'!$D:$D,0)),1,IF(INDEX('Paramètres'!$J:$J,MATCH($C262,'Paramètres'!$D:$D,0))="",1,INDEX('Paramètres'!$J:$J,MATCH($C262,'Paramètres'!$D:$D,0)))),2))</f>
        <v>49.9</v>
      </c>
      <c r="L262" s="6" t="str">
        <f>IF($D262="","",IF($F262&lt;&gt;"",$F262,IF(ISNA(MATCH($D262,'Paramètres'!$M:$M,0)),"⚠ Type inconnu",IFERROR(INDEX('Paramètres'!$P:$P,MATCH($D262,'Paramètres'!$M:$M,0))&amp;"",""))))</f>
        <v>Débit</v>
      </c>
      <c r="M262" s="6" t="str">
        <f>IF($D262="","",IF(ISNA(MATCH($D262,'Paramètres'!$M:$M,0)),"⚠ Type inconnu",IF($L262="Crédit","",IFERROR(INDEX('Paramètres'!$O:$O,MATCH($D262,'Paramètres'!$M:$M,0))&amp;"",""))))</f>
        <v>Dépense Fixe</v>
      </c>
      <c r="N262" s="6" t="str">
        <f>IF($D262="","",IFERROR(INDEX('Paramètres'!$Q:$Q,MATCH($D262,'Paramètres'!$M:$M,0))&amp;"",""))</f>
        <v>Autre</v>
      </c>
      <c r="O262" s="6">
        <f>IF($A262="","",IF(OR($J262&lt;&gt;"x",$A262&lt;=FinReleve),1,0))</f>
        <v>1</v>
      </c>
      <c r="P262" s="6">
        <f>IF($D262="","",IF(AND($L262="Crédit",OR(IFERROR(INDEX('Paramètres'!$O:$O,MATCH($D262,'Paramètres'!$M:$M,0))&amp;"","")&lt;&gt;"",ISNUMBER(SEARCH("remboursement",IFERROR(INDEX('Paramètres'!$N:$N,MATCH($D262,'Paramètres'!$M:$M,0))&amp;"",""))))),1,0))</f>
        <v>0</v>
      </c>
      <c r="Q262" s="6">
        <f>IF($K262="","",IF(ISNUMBER(SEARCH("transfert-interne",IFERROR(INDEX('Paramètres'!$N:$N,MATCH($D262,'Paramètres'!$M:$M,0))&amp;"",""))),0,IF($L262="Débit",$K262,IF($P262=1,-$K262,0))))</f>
        <v>49.9</v>
      </c>
      <c r="R262" s="6">
        <f>IF($K262="","",IF($L262="Crédit",$K262,-$K262))</f>
        <v>-49.9</v>
      </c>
      <c r="S262" s="6" t="str">
        <f>IF($C262="","",IFERROR(INDEX('Paramètres'!$H:$H,MATCH($C262,'Paramètres'!$D:$D,0))&amp;"",""))</f>
        <v/>
      </c>
      <c r="T262" s="6">
        <f>IF($K262="","",IF($S262="",0,IF(ISNUMBER(SEARCH("apport-exterieur",IFERROR(INDEX('Paramètres'!$N:$N,MATCH($D262,'Paramètres'!$M:$M,0))&amp;"",""))),0,IF(OR(IFERROR(INDEX('Paramètres'!$I:$I,MATCH($C262,'Paramètres'!$D:$D,0))&amp;"","")="Les deux",IFERROR(INDEX('Paramètres'!$I:$I,MATCH($C262,'Paramètres'!$D:$D,0))&amp;"","")=IF($P262=1,"Débit",$L262)),-IF($P262=1,-$K262,$K262),0))))</f>
        <v>0</v>
      </c>
      <c r="U262" s="6">
        <f>IF($K262="","",IF(ISNUMBER(SEARCH("sortie-epargne",IFERROR(INDEX('Paramètres'!$N:$N,MATCH($D262,'Paramètres'!$M:$M,0))&amp;"",""))),$K262,0))</f>
        <v>0</v>
      </c>
      <c r="V262" s="6" t="str">
        <f>IF(AND($A262&lt;&gt;"",$O262=1,$L262="Débit",N($Q262)&gt;0,$A262&gt;=Visualisation!$B$1,$A262&lt;Visualisation!$D$1),MAX($V$1:V261)+1,"")</f>
        <v/>
      </c>
    </row>
    <row r="263" spans="1:22" x14ac:dyDescent="0.25">
      <c r="A263" s="9">
        <v>45722</v>
      </c>
      <c r="B263" s="4" t="s">
        <v>76</v>
      </c>
      <c r="C263" s="4" t="s">
        <v>67</v>
      </c>
      <c r="D263" s="4" t="s">
        <v>77</v>
      </c>
      <c r="E263" s="10">
        <v>170.7</v>
      </c>
      <c r="G263" s="4" t="s">
        <v>102</v>
      </c>
      <c r="H263" s="4"/>
      <c r="I263" s="4" t="s">
        <v>63</v>
      </c>
      <c r="K263" s="11">
        <f>IF($E263="","",ROUND($E263*IF(ISNA(MATCH($C263,'Paramètres'!$D:$D,0)),1,IF(INDEX('Paramètres'!$J:$J,MATCH($C263,'Paramètres'!$D:$D,0))="",1,INDEX('Paramètres'!$J:$J,MATCH($C263,'Paramètres'!$D:$D,0)))),2))</f>
        <v>85.35</v>
      </c>
      <c r="L263" s="6" t="str">
        <f>IF($D263="","",IF($F263&lt;&gt;"",$F263,IF(ISNA(MATCH($D263,'Paramètres'!$M:$M,0)),"⚠ Type inconnu",IFERROR(INDEX('Paramètres'!$P:$P,MATCH($D263,'Paramètres'!$M:$M,0))&amp;"",""))))</f>
        <v>Débit</v>
      </c>
      <c r="M263" s="6" t="str">
        <f>IF($D263="","",IF(ISNA(MATCH($D263,'Paramètres'!$M:$M,0)),"⚠ Type inconnu",IF($L263="Crédit","",IFERROR(INDEX('Paramètres'!$O:$O,MATCH($D263,'Paramètres'!$M:$M,0))&amp;"",""))))</f>
        <v>Dépense Courante</v>
      </c>
      <c r="N263" s="6" t="str">
        <f>IF($D263="","",IFERROR(INDEX('Paramètres'!$Q:$Q,MATCH($D263,'Paramètres'!$M:$M,0))&amp;"",""))</f>
        <v>Alimentation</v>
      </c>
      <c r="O263" s="6">
        <f>IF($A263="","",IF(OR($J263&lt;&gt;"x",$A263&lt;=FinReleve),1,0))</f>
        <v>1</v>
      </c>
      <c r="P263" s="6">
        <f>IF($D263="","",IF(AND($L263="Crédit",OR(IFERROR(INDEX('Paramètres'!$O:$O,MATCH($D263,'Paramètres'!$M:$M,0))&amp;"","")&lt;&gt;"",ISNUMBER(SEARCH("remboursement",IFERROR(INDEX('Paramètres'!$N:$N,MATCH($D263,'Paramètres'!$M:$M,0))&amp;"",""))))),1,0))</f>
        <v>0</v>
      </c>
      <c r="Q263" s="6">
        <f>IF($K263="","",IF(ISNUMBER(SEARCH("transfert-interne",IFERROR(INDEX('Paramètres'!$N:$N,MATCH($D263,'Paramètres'!$M:$M,0))&amp;"",""))),0,IF($L263="Débit",$K263,IF($P263=1,-$K263,0))))</f>
        <v>85.35</v>
      </c>
      <c r="R263" s="6">
        <f>IF($K263="","",IF($L263="Crédit",$K263,-$K263))</f>
        <v>-85.35</v>
      </c>
      <c r="S263" s="6" t="str">
        <f>IF($C263="","",IFERROR(INDEX('Paramètres'!$H:$H,MATCH($C263,'Paramètres'!$D:$D,0))&amp;"",""))</f>
        <v>Banque A - Courant</v>
      </c>
      <c r="T263" s="6">
        <f>IF($K263="","",IF($S263="",0,IF(ISNUMBER(SEARCH("apport-exterieur",IFERROR(INDEX('Paramètres'!$N:$N,MATCH($D263,'Paramètres'!$M:$M,0))&amp;"",""))),0,IF(OR(IFERROR(INDEX('Paramètres'!$I:$I,MATCH($C263,'Paramètres'!$D:$D,0))&amp;"","")="Les deux",IFERROR(INDEX('Paramètres'!$I:$I,MATCH($C263,'Paramètres'!$D:$D,0))&amp;"","")=IF($P263=1,"Débit",$L263)),-IF($P263=1,-$K263,$K263),0))))</f>
        <v>0</v>
      </c>
      <c r="U263" s="6">
        <f>IF($K263="","",IF(ISNUMBER(SEARCH("sortie-epargne",IFERROR(INDEX('Paramètres'!$N:$N,MATCH($D263,'Paramètres'!$M:$M,0))&amp;"",""))),$K263,0))</f>
        <v>0</v>
      </c>
      <c r="V263" s="6" t="str">
        <f>IF(AND($A263&lt;&gt;"",$O263=1,$L263="Débit",N($Q263)&gt;0,$A263&gt;=Visualisation!$B$1,$A263&lt;Visualisation!$D$1),MAX($V$1:V262)+1,"")</f>
        <v/>
      </c>
    </row>
    <row r="264" spans="1:22" x14ac:dyDescent="0.25">
      <c r="A264" s="9">
        <v>45722</v>
      </c>
      <c r="B264" s="4" t="s">
        <v>69</v>
      </c>
      <c r="C264" s="4" t="s">
        <v>70</v>
      </c>
      <c r="D264" s="4" t="s">
        <v>71</v>
      </c>
      <c r="E264" s="10">
        <v>13.87</v>
      </c>
      <c r="G264" s="4" t="s">
        <v>72</v>
      </c>
      <c r="H264" s="4"/>
      <c r="I264" s="4" t="s">
        <v>63</v>
      </c>
      <c r="K264" s="11">
        <f>IF($E264="","",ROUND($E264*IF(ISNA(MATCH($C264,'Paramètres'!$D:$D,0)),1,IF(INDEX('Paramètres'!$J:$J,MATCH($C264,'Paramètres'!$D:$D,0))="",1,INDEX('Paramètres'!$J:$J,MATCH($C264,'Paramètres'!$D:$D,0)))),2))</f>
        <v>13.87</v>
      </c>
      <c r="L264" s="6" t="str">
        <f>IF($D264="","",IF($F264&lt;&gt;"",$F264,IF(ISNA(MATCH($D264,'Paramètres'!$M:$M,0)),"⚠ Type inconnu",IFERROR(INDEX('Paramètres'!$P:$P,MATCH($D264,'Paramètres'!$M:$M,0))&amp;"",""))))</f>
        <v>Débit</v>
      </c>
      <c r="M264" s="6" t="str">
        <f>IF($D264="","",IF(ISNA(MATCH($D264,'Paramètres'!$M:$M,0)),"⚠ Type inconnu",IF($L264="Crédit","",IFERROR(INDEX('Paramètres'!$O:$O,MATCH($D264,'Paramètres'!$M:$M,0))&amp;"",""))))</f>
        <v>Dépense Courante</v>
      </c>
      <c r="N264" s="6" t="str">
        <f>IF($D264="","",IFERROR(INDEX('Paramètres'!$Q:$Q,MATCH($D264,'Paramètres'!$M:$M,0))&amp;"",""))</f>
        <v>Alimentation</v>
      </c>
      <c r="O264" s="6">
        <f>IF($A264="","",IF(OR($J264&lt;&gt;"x",$A264&lt;=FinReleve),1,0))</f>
        <v>1</v>
      </c>
      <c r="P264" s="6">
        <f>IF($D264="","",IF(AND($L264="Crédit",OR(IFERROR(INDEX('Paramètres'!$O:$O,MATCH($D264,'Paramètres'!$M:$M,0))&amp;"","")&lt;&gt;"",ISNUMBER(SEARCH("remboursement",IFERROR(INDEX('Paramètres'!$N:$N,MATCH($D264,'Paramètres'!$M:$M,0))&amp;"",""))))),1,0))</f>
        <v>0</v>
      </c>
      <c r="Q264" s="6">
        <f>IF($K264="","",IF(ISNUMBER(SEARCH("transfert-interne",IFERROR(INDEX('Paramètres'!$N:$N,MATCH($D264,'Paramètres'!$M:$M,0))&amp;"",""))),0,IF($L264="Débit",$K264,IF($P264=1,-$K264,0))))</f>
        <v>13.87</v>
      </c>
      <c r="R264" s="6">
        <f>IF($K264="","",IF($L264="Crédit",$K264,-$K264))</f>
        <v>-13.87</v>
      </c>
      <c r="S264" s="6" t="str">
        <f>IF($C264="","",IFERROR(INDEX('Paramètres'!$H:$H,MATCH($C264,'Paramètres'!$D:$D,0))&amp;"",""))</f>
        <v/>
      </c>
      <c r="T264" s="6">
        <f>IF($K264="","",IF($S264="",0,IF(ISNUMBER(SEARCH("apport-exterieur",IFERROR(INDEX('Paramètres'!$N:$N,MATCH($D264,'Paramètres'!$M:$M,0))&amp;"",""))),0,IF(OR(IFERROR(INDEX('Paramètres'!$I:$I,MATCH($C264,'Paramètres'!$D:$D,0))&amp;"","")="Les deux",IFERROR(INDEX('Paramètres'!$I:$I,MATCH($C264,'Paramètres'!$D:$D,0))&amp;"","")=IF($P264=1,"Débit",$L264)),-IF($P264=1,-$K264,$K264),0))))</f>
        <v>0</v>
      </c>
      <c r="U264" s="6">
        <f>IF($K264="","",IF(ISNUMBER(SEARCH("sortie-epargne",IFERROR(INDEX('Paramètres'!$N:$N,MATCH($D264,'Paramètres'!$M:$M,0))&amp;"",""))),$K264,0))</f>
        <v>0</v>
      </c>
      <c r="V264" s="6" t="str">
        <f>IF(AND($A264&lt;&gt;"",$O264=1,$L264="Débit",N($Q264)&gt;0,$A264&gt;=Visualisation!$B$1,$A264&lt;Visualisation!$D$1),MAX($V$1:V263)+1,"")</f>
        <v/>
      </c>
    </row>
    <row r="265" spans="1:22" x14ac:dyDescent="0.25">
      <c r="A265" s="9">
        <v>45722</v>
      </c>
      <c r="B265" s="4" t="s">
        <v>119</v>
      </c>
      <c r="C265" s="4" t="s">
        <v>60</v>
      </c>
      <c r="D265" s="4" t="s">
        <v>119</v>
      </c>
      <c r="E265" s="10">
        <v>91.14</v>
      </c>
      <c r="G265" s="4" t="s">
        <v>127</v>
      </c>
      <c r="H265" s="4"/>
      <c r="I265" s="4" t="s">
        <v>73</v>
      </c>
      <c r="K265" s="11">
        <f>IF($E265="","",ROUND($E265*IF(ISNA(MATCH($C265,'Paramètres'!$D:$D,0)),1,IF(INDEX('Paramètres'!$J:$J,MATCH($C265,'Paramètres'!$D:$D,0))="",1,INDEX('Paramètres'!$J:$J,MATCH($C265,'Paramètres'!$D:$D,0)))),2))</f>
        <v>45.57</v>
      </c>
      <c r="L265" s="6" t="str">
        <f>IF($D265="","",IF($F265&lt;&gt;"",$F265,IF(ISNA(MATCH($D265,'Paramètres'!$M:$M,0)),"⚠ Type inconnu",IFERROR(INDEX('Paramètres'!$P:$P,MATCH($D265,'Paramètres'!$M:$M,0))&amp;"",""))))</f>
        <v>Débit</v>
      </c>
      <c r="M265" s="6" t="str">
        <f>IF($D265="","",IF(ISNA(MATCH($D265,'Paramètres'!$M:$M,0)),"⚠ Type inconnu",IF($L265="Crédit","",IFERROR(INDEX('Paramètres'!$O:$O,MATCH($D265,'Paramètres'!$M:$M,0))&amp;"",""))))</f>
        <v>Dépense Occasionnelle</v>
      </c>
      <c r="N265" s="6" t="str">
        <f>IF($D265="","",IFERROR(INDEX('Paramètres'!$Q:$Q,MATCH($D265,'Paramètres'!$M:$M,0))&amp;"",""))</f>
        <v>Alimentation</v>
      </c>
      <c r="O265" s="6">
        <f>IF($A265="","",IF(OR($J265&lt;&gt;"x",$A265&lt;=FinReleve),1,0))</f>
        <v>1</v>
      </c>
      <c r="P265" s="6">
        <f>IF($D265="","",IF(AND($L265="Crédit",OR(IFERROR(INDEX('Paramètres'!$O:$O,MATCH($D265,'Paramètres'!$M:$M,0))&amp;"","")&lt;&gt;"",ISNUMBER(SEARCH("remboursement",IFERROR(INDEX('Paramètres'!$N:$N,MATCH($D265,'Paramètres'!$M:$M,0))&amp;"",""))))),1,0))</f>
        <v>0</v>
      </c>
      <c r="Q265" s="6">
        <f>IF($K265="","",IF(ISNUMBER(SEARCH("transfert-interne",IFERROR(INDEX('Paramètres'!$N:$N,MATCH($D265,'Paramètres'!$M:$M,0))&amp;"",""))),0,IF($L265="Débit",$K265,IF($P265=1,-$K265,0))))</f>
        <v>45.57</v>
      </c>
      <c r="R265" s="6">
        <f>IF($K265="","",IF($L265="Crédit",$K265,-$K265))</f>
        <v>-45.57</v>
      </c>
      <c r="S265" s="6" t="str">
        <f>IF($C265="","",IFERROR(INDEX('Paramètres'!$H:$H,MATCH($C265,'Paramètres'!$D:$D,0))&amp;"",""))</f>
        <v>Banque A - Courant</v>
      </c>
      <c r="T265" s="6">
        <f>IF($K265="","",IF($S265="",0,IF(ISNUMBER(SEARCH("apport-exterieur",IFERROR(INDEX('Paramètres'!$N:$N,MATCH($D265,'Paramètres'!$M:$M,0))&amp;"",""))),0,IF(OR(IFERROR(INDEX('Paramètres'!$I:$I,MATCH($C265,'Paramètres'!$D:$D,0))&amp;"","")="Les deux",IFERROR(INDEX('Paramètres'!$I:$I,MATCH($C265,'Paramètres'!$D:$D,0))&amp;"","")=IF($P265=1,"Débit",$L265)),-IF($P265=1,-$K265,$K265),0))))</f>
        <v>-45.57</v>
      </c>
      <c r="U265" s="6">
        <f>IF($K265="","",IF(ISNUMBER(SEARCH("sortie-epargne",IFERROR(INDEX('Paramètres'!$N:$N,MATCH($D265,'Paramètres'!$M:$M,0))&amp;"",""))),$K265,0))</f>
        <v>0</v>
      </c>
      <c r="V265" s="6" t="str">
        <f>IF(AND($A265&lt;&gt;"",$O265=1,$L265="Débit",N($Q265)&gt;0,$A265&gt;=Visualisation!$B$1,$A265&lt;Visualisation!$D$1),MAX($V$1:V264)+1,"")</f>
        <v/>
      </c>
    </row>
    <row r="266" spans="1:22" x14ac:dyDescent="0.25">
      <c r="A266" s="9">
        <v>45722</v>
      </c>
      <c r="B266" s="4" t="s">
        <v>59</v>
      </c>
      <c r="C266" s="4" t="s">
        <v>60</v>
      </c>
      <c r="D266" s="4" t="s">
        <v>59</v>
      </c>
      <c r="E266" s="10">
        <v>28.9</v>
      </c>
      <c r="G266" s="4" t="s">
        <v>99</v>
      </c>
      <c r="H266" s="4"/>
      <c r="I266" s="4" t="s">
        <v>93</v>
      </c>
      <c r="K266" s="11">
        <f>IF($E266="","",ROUND($E266*IF(ISNA(MATCH($C266,'Paramètres'!$D:$D,0)),1,IF(INDEX('Paramètres'!$J:$J,MATCH($C266,'Paramètres'!$D:$D,0))="",1,INDEX('Paramètres'!$J:$J,MATCH($C266,'Paramètres'!$D:$D,0)))),2))</f>
        <v>14.45</v>
      </c>
      <c r="L266" s="6" t="str">
        <f>IF($D266="","",IF($F266&lt;&gt;"",$F266,IF(ISNA(MATCH($D266,'Paramètres'!$M:$M,0)),"⚠ Type inconnu",IFERROR(INDEX('Paramètres'!$P:$P,MATCH($D266,'Paramètres'!$M:$M,0))&amp;"",""))))</f>
        <v>Débit</v>
      </c>
      <c r="M266" s="6" t="str">
        <f>IF($D266="","",IF(ISNA(MATCH($D266,'Paramètres'!$M:$M,0)),"⚠ Type inconnu",IF($L266="Crédit","",IFERROR(INDEX('Paramètres'!$O:$O,MATCH($D266,'Paramètres'!$M:$M,0))&amp;"",""))))</f>
        <v>Dépense Occasionnelle</v>
      </c>
      <c r="N266" s="6" t="str">
        <f>IF($D266="","",IFERROR(INDEX('Paramètres'!$Q:$Q,MATCH($D266,'Paramètres'!$M:$M,0))&amp;"",""))</f>
        <v>Loisir</v>
      </c>
      <c r="O266" s="6">
        <f>IF($A266="","",IF(OR($J266&lt;&gt;"x",$A266&lt;=FinReleve),1,0))</f>
        <v>1</v>
      </c>
      <c r="P266" s="6">
        <f>IF($D266="","",IF(AND($L266="Crédit",OR(IFERROR(INDEX('Paramètres'!$O:$O,MATCH($D266,'Paramètres'!$M:$M,0))&amp;"","")&lt;&gt;"",ISNUMBER(SEARCH("remboursement",IFERROR(INDEX('Paramètres'!$N:$N,MATCH($D266,'Paramètres'!$M:$M,0))&amp;"",""))))),1,0))</f>
        <v>0</v>
      </c>
      <c r="Q266" s="6">
        <f>IF($K266="","",IF(ISNUMBER(SEARCH("transfert-interne",IFERROR(INDEX('Paramètres'!$N:$N,MATCH($D266,'Paramètres'!$M:$M,0))&amp;"",""))),0,IF($L266="Débit",$K266,IF($P266=1,-$K266,0))))</f>
        <v>14.45</v>
      </c>
      <c r="R266" s="6">
        <f>IF($K266="","",IF($L266="Crédit",$K266,-$K266))</f>
        <v>-14.45</v>
      </c>
      <c r="S266" s="6" t="str">
        <f>IF($C266="","",IFERROR(INDEX('Paramètres'!$H:$H,MATCH($C266,'Paramètres'!$D:$D,0))&amp;"",""))</f>
        <v>Banque A - Courant</v>
      </c>
      <c r="T266" s="6">
        <f>IF($K266="","",IF($S266="",0,IF(ISNUMBER(SEARCH("apport-exterieur",IFERROR(INDEX('Paramètres'!$N:$N,MATCH($D266,'Paramètres'!$M:$M,0))&amp;"",""))),0,IF(OR(IFERROR(INDEX('Paramètres'!$I:$I,MATCH($C266,'Paramètres'!$D:$D,0))&amp;"","")="Les deux",IFERROR(INDEX('Paramètres'!$I:$I,MATCH($C266,'Paramètres'!$D:$D,0))&amp;"","")=IF($P266=1,"Débit",$L266)),-IF($P266=1,-$K266,$K266),0))))</f>
        <v>-14.45</v>
      </c>
      <c r="U266" s="6">
        <f>IF($K266="","",IF(ISNUMBER(SEARCH("sortie-epargne",IFERROR(INDEX('Paramètres'!$N:$N,MATCH($D266,'Paramètres'!$M:$M,0))&amp;"",""))),$K266,0))</f>
        <v>0</v>
      </c>
      <c r="V266" s="6" t="str">
        <f>IF(AND($A266&lt;&gt;"",$O266=1,$L266="Débit",N($Q266)&gt;0,$A266&gt;=Visualisation!$B$1,$A266&lt;Visualisation!$D$1),MAX($V$1:V265)+1,"")</f>
        <v/>
      </c>
    </row>
    <row r="267" spans="1:22" x14ac:dyDescent="0.25">
      <c r="A267" s="9">
        <v>45723</v>
      </c>
      <c r="B267" s="4" t="s">
        <v>76</v>
      </c>
      <c r="C267" s="4" t="s">
        <v>67</v>
      </c>
      <c r="D267" s="4" t="s">
        <v>77</v>
      </c>
      <c r="E267" s="10">
        <v>63.5</v>
      </c>
      <c r="G267" s="4" t="s">
        <v>78</v>
      </c>
      <c r="H267" s="4"/>
      <c r="I267" s="4" t="s">
        <v>79</v>
      </c>
      <c r="K267" s="11">
        <f>IF($E267="","",ROUND($E267*IF(ISNA(MATCH($C267,'Paramètres'!$D:$D,0)),1,IF(INDEX('Paramètres'!$J:$J,MATCH($C267,'Paramètres'!$D:$D,0))="",1,INDEX('Paramètres'!$J:$J,MATCH($C267,'Paramètres'!$D:$D,0)))),2))</f>
        <v>31.75</v>
      </c>
      <c r="L267" s="6" t="str">
        <f>IF($D267="","",IF($F267&lt;&gt;"",$F267,IF(ISNA(MATCH($D267,'Paramètres'!$M:$M,0)),"⚠ Type inconnu",IFERROR(INDEX('Paramètres'!$P:$P,MATCH($D267,'Paramètres'!$M:$M,0))&amp;"",""))))</f>
        <v>Débit</v>
      </c>
      <c r="M267" s="6" t="str">
        <f>IF($D267="","",IF(ISNA(MATCH($D267,'Paramètres'!$M:$M,0)),"⚠ Type inconnu",IF($L267="Crédit","",IFERROR(INDEX('Paramètres'!$O:$O,MATCH($D267,'Paramètres'!$M:$M,0))&amp;"",""))))</f>
        <v>Dépense Courante</v>
      </c>
      <c r="N267" s="6" t="str">
        <f>IF($D267="","",IFERROR(INDEX('Paramètres'!$Q:$Q,MATCH($D267,'Paramètres'!$M:$M,0))&amp;"",""))</f>
        <v>Alimentation</v>
      </c>
      <c r="O267" s="6">
        <f>IF($A267="","",IF(OR($J267&lt;&gt;"x",$A267&lt;=FinReleve),1,0))</f>
        <v>1</v>
      </c>
      <c r="P267" s="6">
        <f>IF($D267="","",IF(AND($L267="Crédit",OR(IFERROR(INDEX('Paramètres'!$O:$O,MATCH($D267,'Paramètres'!$M:$M,0))&amp;"","")&lt;&gt;"",ISNUMBER(SEARCH("remboursement",IFERROR(INDEX('Paramètres'!$N:$N,MATCH($D267,'Paramètres'!$M:$M,0))&amp;"",""))))),1,0))</f>
        <v>0</v>
      </c>
      <c r="Q267" s="6">
        <f>IF($K267="","",IF(ISNUMBER(SEARCH("transfert-interne",IFERROR(INDEX('Paramètres'!$N:$N,MATCH($D267,'Paramètres'!$M:$M,0))&amp;"",""))),0,IF($L267="Débit",$K267,IF($P267=1,-$K267,0))))</f>
        <v>31.75</v>
      </c>
      <c r="R267" s="6">
        <f>IF($K267="","",IF($L267="Crédit",$K267,-$K267))</f>
        <v>-31.75</v>
      </c>
      <c r="S267" s="6" t="str">
        <f>IF($C267="","",IFERROR(INDEX('Paramètres'!$H:$H,MATCH($C267,'Paramètres'!$D:$D,0))&amp;"",""))</f>
        <v>Banque A - Courant</v>
      </c>
      <c r="T267" s="6">
        <f>IF($K267="","",IF($S267="",0,IF(ISNUMBER(SEARCH("apport-exterieur",IFERROR(INDEX('Paramètres'!$N:$N,MATCH($D267,'Paramètres'!$M:$M,0))&amp;"",""))),0,IF(OR(IFERROR(INDEX('Paramètres'!$I:$I,MATCH($C267,'Paramètres'!$D:$D,0))&amp;"","")="Les deux",IFERROR(INDEX('Paramètres'!$I:$I,MATCH($C267,'Paramètres'!$D:$D,0))&amp;"","")=IF($P267=1,"Débit",$L267)),-IF($P267=1,-$K267,$K267),0))))</f>
        <v>0</v>
      </c>
      <c r="U267" s="6">
        <f>IF($K267="","",IF(ISNUMBER(SEARCH("sortie-epargne",IFERROR(INDEX('Paramètres'!$N:$N,MATCH($D267,'Paramètres'!$M:$M,0))&amp;"",""))),$K267,0))</f>
        <v>0</v>
      </c>
      <c r="V267" s="6" t="str">
        <f>IF(AND($A267&lt;&gt;"",$O267=1,$L267="Débit",N($Q267)&gt;0,$A267&gt;=Visualisation!$B$1,$A267&lt;Visualisation!$D$1),MAX($V$1:V266)+1,"")</f>
        <v/>
      </c>
    </row>
    <row r="268" spans="1:22" x14ac:dyDescent="0.25">
      <c r="A268" s="9">
        <v>45724</v>
      </c>
      <c r="B268" s="4" t="s">
        <v>94</v>
      </c>
      <c r="C268" s="4" t="s">
        <v>65</v>
      </c>
      <c r="D268" s="4" t="s">
        <v>94</v>
      </c>
      <c r="E268" s="10">
        <v>168</v>
      </c>
      <c r="G268" s="4"/>
      <c r="H268" s="4"/>
      <c r="I268" s="4"/>
      <c r="K268" s="11">
        <f>IF($E268="","",ROUND($E268*IF(ISNA(MATCH($C268,'Paramètres'!$D:$D,0)),1,IF(INDEX('Paramètres'!$J:$J,MATCH($C268,'Paramètres'!$D:$D,0))="",1,INDEX('Paramètres'!$J:$J,MATCH($C268,'Paramètres'!$D:$D,0)))),2))</f>
        <v>168</v>
      </c>
      <c r="L268" s="6" t="str">
        <f>IF($D268="","",IF($F268&lt;&gt;"",$F268,IF(ISNA(MATCH($D268,'Paramètres'!$M:$M,0)),"⚠ Type inconnu",IFERROR(INDEX('Paramètres'!$P:$P,MATCH($D268,'Paramètres'!$M:$M,0))&amp;"",""))))</f>
        <v>Débit</v>
      </c>
      <c r="M268" s="6" t="str">
        <f>IF($D268="","",IF(ISNA(MATCH($D268,'Paramètres'!$M:$M,0)),"⚠ Type inconnu",IF($L268="Crédit","",IFERROR(INDEX('Paramètres'!$O:$O,MATCH($D268,'Paramètres'!$M:$M,0))&amp;"",""))))</f>
        <v>Dépense Fixe</v>
      </c>
      <c r="N268" s="6" t="str">
        <f>IF($D268="","",IFERROR(INDEX('Paramètres'!$Q:$Q,MATCH($D268,'Paramètres'!$M:$M,0))&amp;"",""))</f>
        <v>Immobilier</v>
      </c>
      <c r="O268" s="6">
        <f>IF($A268="","",IF(OR($J268&lt;&gt;"x",$A268&lt;=FinReleve),1,0))</f>
        <v>1</v>
      </c>
      <c r="P268" s="6">
        <f>IF($D268="","",IF(AND($L268="Crédit",OR(IFERROR(INDEX('Paramètres'!$O:$O,MATCH($D268,'Paramètres'!$M:$M,0))&amp;"","")&lt;&gt;"",ISNUMBER(SEARCH("remboursement",IFERROR(INDEX('Paramètres'!$N:$N,MATCH($D268,'Paramètres'!$M:$M,0))&amp;"",""))))),1,0))</f>
        <v>0</v>
      </c>
      <c r="Q268" s="6">
        <f>IF($K268="","",IF(ISNUMBER(SEARCH("transfert-interne",IFERROR(INDEX('Paramètres'!$N:$N,MATCH($D268,'Paramètres'!$M:$M,0))&amp;"",""))),0,IF($L268="Débit",$K268,IF($P268=1,-$K268,0))))</f>
        <v>168</v>
      </c>
      <c r="R268" s="6">
        <f>IF($K268="","",IF($L268="Crédit",$K268,-$K268))</f>
        <v>-168</v>
      </c>
      <c r="S268" s="6" t="str">
        <f>IF($C268="","",IFERROR(INDEX('Paramètres'!$H:$H,MATCH($C268,'Paramètres'!$D:$D,0))&amp;"",""))</f>
        <v>Banque A - Courant</v>
      </c>
      <c r="T268" s="6">
        <f>IF($K268="","",IF($S268="",0,IF(ISNUMBER(SEARCH("apport-exterieur",IFERROR(INDEX('Paramètres'!$N:$N,MATCH($D268,'Paramètres'!$M:$M,0))&amp;"",""))),0,IF(OR(IFERROR(INDEX('Paramètres'!$I:$I,MATCH($C268,'Paramètres'!$D:$D,0))&amp;"","")="Les deux",IFERROR(INDEX('Paramètres'!$I:$I,MATCH($C268,'Paramètres'!$D:$D,0))&amp;"","")=IF($P268=1,"Débit",$L268)),-IF($P268=1,-$K268,$K268),0))))</f>
        <v>0</v>
      </c>
      <c r="U268" s="6">
        <f>IF($K268="","",IF(ISNUMBER(SEARCH("sortie-epargne",IFERROR(INDEX('Paramètres'!$N:$N,MATCH($D268,'Paramètres'!$M:$M,0))&amp;"",""))),$K268,0))</f>
        <v>0</v>
      </c>
      <c r="V268" s="6" t="str">
        <f>IF(AND($A268&lt;&gt;"",$O268=1,$L268="Débit",N($Q268)&gt;0,$A268&gt;=Visualisation!$B$1,$A268&lt;Visualisation!$D$1),MAX($V$1:V267)+1,"")</f>
        <v/>
      </c>
    </row>
    <row r="269" spans="1:22" x14ac:dyDescent="0.25">
      <c r="A269" s="9">
        <v>45724</v>
      </c>
      <c r="B269" s="4" t="s">
        <v>76</v>
      </c>
      <c r="C269" s="4" t="s">
        <v>67</v>
      </c>
      <c r="D269" s="4" t="s">
        <v>77</v>
      </c>
      <c r="E269" s="10">
        <v>74.94</v>
      </c>
      <c r="G269" s="4" t="s">
        <v>102</v>
      </c>
      <c r="H269" s="4"/>
      <c r="I269" s="4"/>
      <c r="K269" s="11">
        <f>IF($E269="","",ROUND($E269*IF(ISNA(MATCH($C269,'Paramètres'!$D:$D,0)),1,IF(INDEX('Paramètres'!$J:$J,MATCH($C269,'Paramètres'!$D:$D,0))="",1,INDEX('Paramètres'!$J:$J,MATCH($C269,'Paramètres'!$D:$D,0)))),2))</f>
        <v>37.47</v>
      </c>
      <c r="L269" s="6" t="str">
        <f>IF($D269="","",IF($F269&lt;&gt;"",$F269,IF(ISNA(MATCH($D269,'Paramètres'!$M:$M,0)),"⚠ Type inconnu",IFERROR(INDEX('Paramètres'!$P:$P,MATCH($D269,'Paramètres'!$M:$M,0))&amp;"",""))))</f>
        <v>Débit</v>
      </c>
      <c r="M269" s="6" t="str">
        <f>IF($D269="","",IF(ISNA(MATCH($D269,'Paramètres'!$M:$M,0)),"⚠ Type inconnu",IF($L269="Crédit","",IFERROR(INDEX('Paramètres'!$O:$O,MATCH($D269,'Paramètres'!$M:$M,0))&amp;"",""))))</f>
        <v>Dépense Courante</v>
      </c>
      <c r="N269" s="6" t="str">
        <f>IF($D269="","",IFERROR(INDEX('Paramètres'!$Q:$Q,MATCH($D269,'Paramètres'!$M:$M,0))&amp;"",""))</f>
        <v>Alimentation</v>
      </c>
      <c r="O269" s="6">
        <f>IF($A269="","",IF(OR($J269&lt;&gt;"x",$A269&lt;=FinReleve),1,0))</f>
        <v>1</v>
      </c>
      <c r="P269" s="6">
        <f>IF($D269="","",IF(AND($L269="Crédit",OR(IFERROR(INDEX('Paramètres'!$O:$O,MATCH($D269,'Paramètres'!$M:$M,0))&amp;"","")&lt;&gt;"",ISNUMBER(SEARCH("remboursement",IFERROR(INDEX('Paramètres'!$N:$N,MATCH($D269,'Paramètres'!$M:$M,0))&amp;"",""))))),1,0))</f>
        <v>0</v>
      </c>
      <c r="Q269" s="6">
        <f>IF($K269="","",IF(ISNUMBER(SEARCH("transfert-interne",IFERROR(INDEX('Paramètres'!$N:$N,MATCH($D269,'Paramètres'!$M:$M,0))&amp;"",""))),0,IF($L269="Débit",$K269,IF($P269=1,-$K269,0))))</f>
        <v>37.47</v>
      </c>
      <c r="R269" s="6">
        <f>IF($K269="","",IF($L269="Crédit",$K269,-$K269))</f>
        <v>-37.47</v>
      </c>
      <c r="S269" s="6" t="str">
        <f>IF($C269="","",IFERROR(INDEX('Paramètres'!$H:$H,MATCH($C269,'Paramètres'!$D:$D,0))&amp;"",""))</f>
        <v>Banque A - Courant</v>
      </c>
      <c r="T269" s="6">
        <f>IF($K269="","",IF($S269="",0,IF(ISNUMBER(SEARCH("apport-exterieur",IFERROR(INDEX('Paramètres'!$N:$N,MATCH($D269,'Paramètres'!$M:$M,0))&amp;"",""))),0,IF(OR(IFERROR(INDEX('Paramètres'!$I:$I,MATCH($C269,'Paramètres'!$D:$D,0))&amp;"","")="Les deux",IFERROR(INDEX('Paramètres'!$I:$I,MATCH($C269,'Paramètres'!$D:$D,0))&amp;"","")=IF($P269=1,"Débit",$L269)),-IF($P269=1,-$K269,$K269),0))))</f>
        <v>0</v>
      </c>
      <c r="U269" s="6">
        <f>IF($K269="","",IF(ISNUMBER(SEARCH("sortie-epargne",IFERROR(INDEX('Paramètres'!$N:$N,MATCH($D269,'Paramètres'!$M:$M,0))&amp;"",""))),$K269,0))</f>
        <v>0</v>
      </c>
      <c r="V269" s="6" t="str">
        <f>IF(AND($A269&lt;&gt;"",$O269=1,$L269="Débit",N($Q269)&gt;0,$A269&gt;=Visualisation!$B$1,$A269&lt;Visualisation!$D$1),MAX($V$1:V268)+1,"")</f>
        <v/>
      </c>
    </row>
    <row r="270" spans="1:22" x14ac:dyDescent="0.25">
      <c r="A270" s="9">
        <v>45724</v>
      </c>
      <c r="B270" s="4" t="s">
        <v>69</v>
      </c>
      <c r="C270" s="4" t="s">
        <v>70</v>
      </c>
      <c r="D270" s="4" t="s">
        <v>71</v>
      </c>
      <c r="E270" s="10">
        <v>12.58</v>
      </c>
      <c r="G270" s="4" t="s">
        <v>72</v>
      </c>
      <c r="H270" s="4"/>
      <c r="I270" s="4" t="s">
        <v>73</v>
      </c>
      <c r="K270" s="11">
        <f>IF($E270="","",ROUND($E270*IF(ISNA(MATCH($C270,'Paramètres'!$D:$D,0)),1,IF(INDEX('Paramètres'!$J:$J,MATCH($C270,'Paramètres'!$D:$D,0))="",1,INDEX('Paramètres'!$J:$J,MATCH($C270,'Paramètres'!$D:$D,0)))),2))</f>
        <v>12.58</v>
      </c>
      <c r="L270" s="6" t="str">
        <f>IF($D270="","",IF($F270&lt;&gt;"",$F270,IF(ISNA(MATCH($D270,'Paramètres'!$M:$M,0)),"⚠ Type inconnu",IFERROR(INDEX('Paramètres'!$P:$P,MATCH($D270,'Paramètres'!$M:$M,0))&amp;"",""))))</f>
        <v>Débit</v>
      </c>
      <c r="M270" s="6" t="str">
        <f>IF($D270="","",IF(ISNA(MATCH($D270,'Paramètres'!$M:$M,0)),"⚠ Type inconnu",IF($L270="Crédit","",IFERROR(INDEX('Paramètres'!$O:$O,MATCH($D270,'Paramètres'!$M:$M,0))&amp;"",""))))</f>
        <v>Dépense Courante</v>
      </c>
      <c r="N270" s="6" t="str">
        <f>IF($D270="","",IFERROR(INDEX('Paramètres'!$Q:$Q,MATCH($D270,'Paramètres'!$M:$M,0))&amp;"",""))</f>
        <v>Alimentation</v>
      </c>
      <c r="O270" s="6">
        <f>IF($A270="","",IF(OR($J270&lt;&gt;"x",$A270&lt;=FinReleve),1,0))</f>
        <v>1</v>
      </c>
      <c r="P270" s="6">
        <f>IF($D270="","",IF(AND($L270="Crédit",OR(IFERROR(INDEX('Paramètres'!$O:$O,MATCH($D270,'Paramètres'!$M:$M,0))&amp;"","")&lt;&gt;"",ISNUMBER(SEARCH("remboursement",IFERROR(INDEX('Paramètres'!$N:$N,MATCH($D270,'Paramètres'!$M:$M,0))&amp;"",""))))),1,0))</f>
        <v>0</v>
      </c>
      <c r="Q270" s="6">
        <f>IF($K270="","",IF(ISNUMBER(SEARCH("transfert-interne",IFERROR(INDEX('Paramètres'!$N:$N,MATCH($D270,'Paramètres'!$M:$M,0))&amp;"",""))),0,IF($L270="Débit",$K270,IF($P270=1,-$K270,0))))</f>
        <v>12.58</v>
      </c>
      <c r="R270" s="6">
        <f>IF($K270="","",IF($L270="Crédit",$K270,-$K270))</f>
        <v>-12.58</v>
      </c>
      <c r="S270" s="6" t="str">
        <f>IF($C270="","",IFERROR(INDEX('Paramètres'!$H:$H,MATCH($C270,'Paramètres'!$D:$D,0))&amp;"",""))</f>
        <v/>
      </c>
      <c r="T270" s="6">
        <f>IF($K270="","",IF($S270="",0,IF(ISNUMBER(SEARCH("apport-exterieur",IFERROR(INDEX('Paramètres'!$N:$N,MATCH($D270,'Paramètres'!$M:$M,0))&amp;"",""))),0,IF(OR(IFERROR(INDEX('Paramètres'!$I:$I,MATCH($C270,'Paramètres'!$D:$D,0))&amp;"","")="Les deux",IFERROR(INDEX('Paramètres'!$I:$I,MATCH($C270,'Paramètres'!$D:$D,0))&amp;"","")=IF($P270=1,"Débit",$L270)),-IF($P270=1,-$K270,$K270),0))))</f>
        <v>0</v>
      </c>
      <c r="U270" s="6">
        <f>IF($K270="","",IF(ISNUMBER(SEARCH("sortie-epargne",IFERROR(INDEX('Paramètres'!$N:$N,MATCH($D270,'Paramètres'!$M:$M,0))&amp;"",""))),$K270,0))</f>
        <v>0</v>
      </c>
      <c r="V270" s="6" t="str">
        <f>IF(AND($A270&lt;&gt;"",$O270=1,$L270="Débit",N($Q270)&gt;0,$A270&gt;=Visualisation!$B$1,$A270&lt;Visualisation!$D$1),MAX($V$1:V269)+1,"")</f>
        <v/>
      </c>
    </row>
    <row r="271" spans="1:22" x14ac:dyDescent="0.25">
      <c r="A271" s="9">
        <v>45725</v>
      </c>
      <c r="B271" s="4" t="s">
        <v>90</v>
      </c>
      <c r="C271" s="4" t="s">
        <v>75</v>
      </c>
      <c r="D271" s="4" t="s">
        <v>91</v>
      </c>
      <c r="E271" s="10">
        <v>50.71</v>
      </c>
      <c r="G271" s="4" t="s">
        <v>135</v>
      </c>
      <c r="H271" s="4"/>
      <c r="I271" s="4"/>
      <c r="K271" s="11">
        <f>IF($E271="","",ROUND($E271*IF(ISNA(MATCH($C271,'Paramètres'!$D:$D,0)),1,IF(INDEX('Paramètres'!$J:$J,MATCH($C271,'Paramètres'!$D:$D,0))="",1,INDEX('Paramètres'!$J:$J,MATCH($C271,'Paramètres'!$D:$D,0)))),2))</f>
        <v>50.71</v>
      </c>
      <c r="L271" s="6" t="str">
        <f>IF($D271="","",IF($F271&lt;&gt;"",$F271,IF(ISNA(MATCH($D271,'Paramètres'!$M:$M,0)),"⚠ Type inconnu",IFERROR(INDEX('Paramètres'!$P:$P,MATCH($D271,'Paramètres'!$M:$M,0))&amp;"",""))))</f>
        <v>Débit</v>
      </c>
      <c r="M271" s="6" t="str">
        <f>IF($D271="","",IF(ISNA(MATCH($D271,'Paramètres'!$M:$M,0)),"⚠ Type inconnu",IF($L271="Crédit","",IFERROR(INDEX('Paramètres'!$O:$O,MATCH($D271,'Paramètres'!$M:$M,0))&amp;"",""))))</f>
        <v>Dépense Courante</v>
      </c>
      <c r="N271" s="6" t="str">
        <f>IF($D271="","",IFERROR(INDEX('Paramètres'!$Q:$Q,MATCH($D271,'Paramètres'!$M:$M,0))&amp;"",""))</f>
        <v>Transport</v>
      </c>
      <c r="O271" s="6">
        <f>IF($A271="","",IF(OR($J271&lt;&gt;"x",$A271&lt;=FinReleve),1,0))</f>
        <v>1</v>
      </c>
      <c r="P271" s="6">
        <f>IF($D271="","",IF(AND($L271="Crédit",OR(IFERROR(INDEX('Paramètres'!$O:$O,MATCH($D271,'Paramètres'!$M:$M,0))&amp;"","")&lt;&gt;"",ISNUMBER(SEARCH("remboursement",IFERROR(INDEX('Paramètres'!$N:$N,MATCH($D271,'Paramètres'!$M:$M,0))&amp;"",""))))),1,0))</f>
        <v>0</v>
      </c>
      <c r="Q271" s="6">
        <f>IF($K271="","",IF(ISNUMBER(SEARCH("transfert-interne",IFERROR(INDEX('Paramètres'!$N:$N,MATCH($D271,'Paramètres'!$M:$M,0))&amp;"",""))),0,IF($L271="Débit",$K271,IF($P271=1,-$K271,0))))</f>
        <v>50.71</v>
      </c>
      <c r="R271" s="6">
        <f>IF($K271="","",IF($L271="Crédit",$K271,-$K271))</f>
        <v>-50.71</v>
      </c>
      <c r="S271" s="6" t="str">
        <f>IF($C271="","",IFERROR(INDEX('Paramètres'!$H:$H,MATCH($C271,'Paramètres'!$D:$D,0))&amp;"",""))</f>
        <v/>
      </c>
      <c r="T271" s="6">
        <f>IF($K271="","",IF($S271="",0,IF(ISNUMBER(SEARCH("apport-exterieur",IFERROR(INDEX('Paramètres'!$N:$N,MATCH($D271,'Paramètres'!$M:$M,0))&amp;"",""))),0,IF(OR(IFERROR(INDEX('Paramètres'!$I:$I,MATCH($C271,'Paramètres'!$D:$D,0))&amp;"","")="Les deux",IFERROR(INDEX('Paramètres'!$I:$I,MATCH($C271,'Paramètres'!$D:$D,0))&amp;"","")=IF($P271=1,"Débit",$L271)),-IF($P271=1,-$K271,$K271),0))))</f>
        <v>0</v>
      </c>
      <c r="U271" s="6">
        <f>IF($K271="","",IF(ISNUMBER(SEARCH("sortie-epargne",IFERROR(INDEX('Paramètres'!$N:$N,MATCH($D271,'Paramètres'!$M:$M,0))&amp;"",""))),$K271,0))</f>
        <v>0</v>
      </c>
      <c r="V271" s="6" t="str">
        <f>IF(AND($A271&lt;&gt;"",$O271=1,$L271="Débit",N($Q271)&gt;0,$A271&gt;=Visualisation!$B$1,$A271&lt;Visualisation!$D$1),MAX($V$1:V270)+1,"")</f>
        <v/>
      </c>
    </row>
    <row r="272" spans="1:22" x14ac:dyDescent="0.25">
      <c r="A272" s="9">
        <v>45726</v>
      </c>
      <c r="B272" s="4" t="s">
        <v>96</v>
      </c>
      <c r="C272" s="4" t="s">
        <v>75</v>
      </c>
      <c r="D272" s="4" t="s">
        <v>96</v>
      </c>
      <c r="E272" s="10">
        <v>22.4</v>
      </c>
      <c r="G272" s="4"/>
      <c r="H272" s="4"/>
      <c r="I272" s="4"/>
      <c r="K272" s="11">
        <f>IF($E272="","",ROUND($E272*IF(ISNA(MATCH($C272,'Paramètres'!$D:$D,0)),1,IF(INDEX('Paramètres'!$J:$J,MATCH($C272,'Paramètres'!$D:$D,0))="",1,INDEX('Paramètres'!$J:$J,MATCH($C272,'Paramètres'!$D:$D,0)))),2))</f>
        <v>22.4</v>
      </c>
      <c r="L272" s="6" t="str">
        <f>IF($D272="","",IF($F272&lt;&gt;"",$F272,IF(ISNA(MATCH($D272,'Paramètres'!$M:$M,0)),"⚠ Type inconnu",IFERROR(INDEX('Paramètres'!$P:$P,MATCH($D272,'Paramètres'!$M:$M,0))&amp;"",""))))</f>
        <v>Débit</v>
      </c>
      <c r="M272" s="6" t="str">
        <f>IF($D272="","",IF(ISNA(MATCH($D272,'Paramètres'!$M:$M,0)),"⚠ Type inconnu",IF($L272="Crédit","",IFERROR(INDEX('Paramètres'!$O:$O,MATCH($D272,'Paramètres'!$M:$M,0))&amp;"",""))))</f>
        <v>Dépense Fixe</v>
      </c>
      <c r="N272" s="6" t="str">
        <f>IF($D272="","",IFERROR(INDEX('Paramètres'!$Q:$Q,MATCH($D272,'Paramètres'!$M:$M,0))&amp;"",""))</f>
        <v>Assurances</v>
      </c>
      <c r="O272" s="6">
        <f>IF($A272="","",IF(OR($J272&lt;&gt;"x",$A272&lt;=FinReleve),1,0))</f>
        <v>1</v>
      </c>
      <c r="P272" s="6">
        <f>IF($D272="","",IF(AND($L272="Crédit",OR(IFERROR(INDEX('Paramètres'!$O:$O,MATCH($D272,'Paramètres'!$M:$M,0))&amp;"","")&lt;&gt;"",ISNUMBER(SEARCH("remboursement",IFERROR(INDEX('Paramètres'!$N:$N,MATCH($D272,'Paramètres'!$M:$M,0))&amp;"",""))))),1,0))</f>
        <v>0</v>
      </c>
      <c r="Q272" s="6">
        <f>IF($K272="","",IF(ISNUMBER(SEARCH("transfert-interne",IFERROR(INDEX('Paramètres'!$N:$N,MATCH($D272,'Paramètres'!$M:$M,0))&amp;"",""))),0,IF($L272="Débit",$K272,IF($P272=1,-$K272,0))))</f>
        <v>22.4</v>
      </c>
      <c r="R272" s="6">
        <f>IF($K272="","",IF($L272="Crédit",$K272,-$K272))</f>
        <v>-22.4</v>
      </c>
      <c r="S272" s="6" t="str">
        <f>IF($C272="","",IFERROR(INDEX('Paramètres'!$H:$H,MATCH($C272,'Paramètres'!$D:$D,0))&amp;"",""))</f>
        <v/>
      </c>
      <c r="T272" s="6">
        <f>IF($K272="","",IF($S272="",0,IF(ISNUMBER(SEARCH("apport-exterieur",IFERROR(INDEX('Paramètres'!$N:$N,MATCH($D272,'Paramètres'!$M:$M,0))&amp;"",""))),0,IF(OR(IFERROR(INDEX('Paramètres'!$I:$I,MATCH($C272,'Paramètres'!$D:$D,0))&amp;"","")="Les deux",IFERROR(INDEX('Paramètres'!$I:$I,MATCH($C272,'Paramètres'!$D:$D,0))&amp;"","")=IF($P272=1,"Débit",$L272)),-IF($P272=1,-$K272,$K272),0))))</f>
        <v>0</v>
      </c>
      <c r="U272" s="6">
        <f>IF($K272="","",IF(ISNUMBER(SEARCH("sortie-epargne",IFERROR(INDEX('Paramètres'!$N:$N,MATCH($D272,'Paramètres'!$M:$M,0))&amp;"",""))),$K272,0))</f>
        <v>0</v>
      </c>
      <c r="V272" s="6" t="str">
        <f>IF(AND($A272&lt;&gt;"",$O272=1,$L272="Débit",N($Q272)&gt;0,$A272&gt;=Visualisation!$B$1,$A272&lt;Visualisation!$D$1),MAX($V$1:V271)+1,"")</f>
        <v/>
      </c>
    </row>
    <row r="273" spans="1:22" x14ac:dyDescent="0.25">
      <c r="A273" s="9">
        <v>45726</v>
      </c>
      <c r="B273" s="4" t="s">
        <v>131</v>
      </c>
      <c r="C273" s="4" t="s">
        <v>75</v>
      </c>
      <c r="D273" s="4" t="s">
        <v>132</v>
      </c>
      <c r="E273" s="10">
        <v>21.14</v>
      </c>
      <c r="G273" s="4" t="s">
        <v>143</v>
      </c>
      <c r="H273" s="4"/>
      <c r="I273" s="4" t="s">
        <v>73</v>
      </c>
      <c r="K273" s="11">
        <f>IF($E273="","",ROUND($E273*IF(ISNA(MATCH($C273,'Paramètres'!$D:$D,0)),1,IF(INDEX('Paramètres'!$J:$J,MATCH($C273,'Paramètres'!$D:$D,0))="",1,INDEX('Paramètres'!$J:$J,MATCH($C273,'Paramètres'!$D:$D,0)))),2))</f>
        <v>21.14</v>
      </c>
      <c r="L273" s="6" t="str">
        <f>IF($D273="","",IF($F273&lt;&gt;"",$F273,IF(ISNA(MATCH($D273,'Paramètres'!$M:$M,0)),"⚠ Type inconnu",IFERROR(INDEX('Paramètres'!$P:$P,MATCH($D273,'Paramètres'!$M:$M,0))&amp;"",""))))</f>
        <v>Débit</v>
      </c>
      <c r="M273" s="6" t="str">
        <f>IF($D273="","",IF(ISNA(MATCH($D273,'Paramètres'!$M:$M,0)),"⚠ Type inconnu",IF($L273="Crédit","",IFERROR(INDEX('Paramètres'!$O:$O,MATCH($D273,'Paramètres'!$M:$M,0))&amp;"",""))))</f>
        <v>Dépense Courante</v>
      </c>
      <c r="N273" s="6" t="str">
        <f>IF($D273="","",IFERROR(INDEX('Paramètres'!$Q:$Q,MATCH($D273,'Paramètres'!$M:$M,0))&amp;"",""))</f>
        <v>Santé</v>
      </c>
      <c r="O273" s="6">
        <f>IF($A273="","",IF(OR($J273&lt;&gt;"x",$A273&lt;=FinReleve),1,0))</f>
        <v>1</v>
      </c>
      <c r="P273" s="6">
        <f>IF($D273="","",IF(AND($L273="Crédit",OR(IFERROR(INDEX('Paramètres'!$O:$O,MATCH($D273,'Paramètres'!$M:$M,0))&amp;"","")&lt;&gt;"",ISNUMBER(SEARCH("remboursement",IFERROR(INDEX('Paramètres'!$N:$N,MATCH($D273,'Paramètres'!$M:$M,0))&amp;"",""))))),1,0))</f>
        <v>0</v>
      </c>
      <c r="Q273" s="6">
        <f>IF($K273="","",IF(ISNUMBER(SEARCH("transfert-interne",IFERROR(INDEX('Paramètres'!$N:$N,MATCH($D273,'Paramètres'!$M:$M,0))&amp;"",""))),0,IF($L273="Débit",$K273,IF($P273=1,-$K273,0))))</f>
        <v>21.14</v>
      </c>
      <c r="R273" s="6">
        <f>IF($K273="","",IF($L273="Crédit",$K273,-$K273))</f>
        <v>-21.14</v>
      </c>
      <c r="S273" s="6" t="str">
        <f>IF($C273="","",IFERROR(INDEX('Paramètres'!$H:$H,MATCH($C273,'Paramètres'!$D:$D,0))&amp;"",""))</f>
        <v/>
      </c>
      <c r="T273" s="6">
        <f>IF($K273="","",IF($S273="",0,IF(ISNUMBER(SEARCH("apport-exterieur",IFERROR(INDEX('Paramètres'!$N:$N,MATCH($D273,'Paramètres'!$M:$M,0))&amp;"",""))),0,IF(OR(IFERROR(INDEX('Paramètres'!$I:$I,MATCH($C273,'Paramètres'!$D:$D,0))&amp;"","")="Les deux",IFERROR(INDEX('Paramètres'!$I:$I,MATCH($C273,'Paramètres'!$D:$D,0))&amp;"","")=IF($P273=1,"Débit",$L273)),-IF($P273=1,-$K273,$K273),0))))</f>
        <v>0</v>
      </c>
      <c r="U273" s="6">
        <f>IF($K273="","",IF(ISNUMBER(SEARCH("sortie-epargne",IFERROR(INDEX('Paramètres'!$N:$N,MATCH($D273,'Paramètres'!$M:$M,0))&amp;"",""))),$K273,0))</f>
        <v>0</v>
      </c>
      <c r="V273" s="6" t="str">
        <f>IF(AND($A273&lt;&gt;"",$O273=1,$L273="Débit",N($Q273)&gt;0,$A273&gt;=Visualisation!$B$1,$A273&lt;Visualisation!$D$1),MAX($V$1:V272)+1,"")</f>
        <v/>
      </c>
    </row>
    <row r="274" spans="1:22" x14ac:dyDescent="0.25">
      <c r="A274" s="9">
        <v>45726</v>
      </c>
      <c r="B274" s="4" t="s">
        <v>59</v>
      </c>
      <c r="C274" s="4" t="s">
        <v>126</v>
      </c>
      <c r="D274" s="4" t="s">
        <v>59</v>
      </c>
      <c r="E274" s="10">
        <v>64.08</v>
      </c>
      <c r="G274" s="4" t="s">
        <v>61</v>
      </c>
      <c r="H274" s="4"/>
      <c r="I274" s="4" t="s">
        <v>79</v>
      </c>
      <c r="K274" s="11">
        <f>IF($E274="","",ROUND($E274*IF(ISNA(MATCH($C274,'Paramètres'!$D:$D,0)),1,IF(INDEX('Paramètres'!$J:$J,MATCH($C274,'Paramètres'!$D:$D,0))="",1,INDEX('Paramètres'!$J:$J,MATCH($C274,'Paramètres'!$D:$D,0)))),2))</f>
        <v>32.04</v>
      </c>
      <c r="L274" s="6" t="str">
        <f>IF($D274="","",IF($F274&lt;&gt;"",$F274,IF(ISNA(MATCH($D274,'Paramètres'!$M:$M,0)),"⚠ Type inconnu",IFERROR(INDEX('Paramètres'!$P:$P,MATCH($D274,'Paramètres'!$M:$M,0))&amp;"",""))))</f>
        <v>Débit</v>
      </c>
      <c r="M274" s="6" t="str">
        <f>IF($D274="","",IF(ISNA(MATCH($D274,'Paramètres'!$M:$M,0)),"⚠ Type inconnu",IF($L274="Crédit","",IFERROR(INDEX('Paramètres'!$O:$O,MATCH($D274,'Paramètres'!$M:$M,0))&amp;"",""))))</f>
        <v>Dépense Occasionnelle</v>
      </c>
      <c r="N274" s="6" t="str">
        <f>IF($D274="","",IFERROR(INDEX('Paramètres'!$Q:$Q,MATCH($D274,'Paramètres'!$M:$M,0))&amp;"",""))</f>
        <v>Loisir</v>
      </c>
      <c r="O274" s="6">
        <f>IF($A274="","",IF(OR($J274&lt;&gt;"x",$A274&lt;=FinReleve),1,0))</f>
        <v>1</v>
      </c>
      <c r="P274" s="6">
        <f>IF($D274="","",IF(AND($L274="Crédit",OR(IFERROR(INDEX('Paramètres'!$O:$O,MATCH($D274,'Paramètres'!$M:$M,0))&amp;"","")&lt;&gt;"",ISNUMBER(SEARCH("remboursement",IFERROR(INDEX('Paramètres'!$N:$N,MATCH($D274,'Paramètres'!$M:$M,0))&amp;"",""))))),1,0))</f>
        <v>0</v>
      </c>
      <c r="Q274" s="6">
        <f>IF($K274="","",IF(ISNUMBER(SEARCH("transfert-interne",IFERROR(INDEX('Paramètres'!$N:$N,MATCH($D274,'Paramètres'!$M:$M,0))&amp;"",""))),0,IF($L274="Débit",$K274,IF($P274=1,-$K274,0))))</f>
        <v>32.04</v>
      </c>
      <c r="R274" s="6">
        <f>IF($K274="","",IF($L274="Crédit",$K274,-$K274))</f>
        <v>-32.04</v>
      </c>
      <c r="S274" s="6" t="str">
        <f>IF($C274="","",IFERROR(INDEX('Paramètres'!$H:$H,MATCH($C274,'Paramètres'!$D:$D,0))&amp;"",""))</f>
        <v>Banque A - Courant</v>
      </c>
      <c r="T274" s="6">
        <f>IF($K274="","",IF($S274="",0,IF(ISNUMBER(SEARCH("apport-exterieur",IFERROR(INDEX('Paramètres'!$N:$N,MATCH($D274,'Paramètres'!$M:$M,0))&amp;"",""))),0,IF(OR(IFERROR(INDEX('Paramètres'!$I:$I,MATCH($C274,'Paramètres'!$D:$D,0))&amp;"","")="Les deux",IFERROR(INDEX('Paramètres'!$I:$I,MATCH($C274,'Paramètres'!$D:$D,0))&amp;"","")=IF($P274=1,"Débit",$L274)),-IF($P274=1,-$K274,$K274),0))))</f>
        <v>-32.04</v>
      </c>
      <c r="U274" s="6">
        <f>IF($K274="","",IF(ISNUMBER(SEARCH("sortie-epargne",IFERROR(INDEX('Paramètres'!$N:$N,MATCH($D274,'Paramètres'!$M:$M,0))&amp;"",""))),$K274,0))</f>
        <v>0</v>
      </c>
      <c r="V274" s="6" t="str">
        <f>IF(AND($A274&lt;&gt;"",$O274=1,$L274="Débit",N($Q274)&gt;0,$A274&gt;=Visualisation!$B$1,$A274&lt;Visualisation!$D$1),MAX($V$1:V273)+1,"")</f>
        <v/>
      </c>
    </row>
    <row r="275" spans="1:22" x14ac:dyDescent="0.25">
      <c r="A275" s="9">
        <v>45727</v>
      </c>
      <c r="B275" s="4" t="s">
        <v>76</v>
      </c>
      <c r="C275" s="4" t="s">
        <v>67</v>
      </c>
      <c r="D275" s="4" t="s">
        <v>77</v>
      </c>
      <c r="E275" s="10">
        <v>82.32</v>
      </c>
      <c r="G275" s="4" t="s">
        <v>102</v>
      </c>
      <c r="H275" s="4"/>
      <c r="I275" s="4" t="s">
        <v>93</v>
      </c>
      <c r="K275" s="11">
        <f>IF($E275="","",ROUND($E275*IF(ISNA(MATCH($C275,'Paramètres'!$D:$D,0)),1,IF(INDEX('Paramètres'!$J:$J,MATCH($C275,'Paramètres'!$D:$D,0))="",1,INDEX('Paramètres'!$J:$J,MATCH($C275,'Paramètres'!$D:$D,0)))),2))</f>
        <v>41.16</v>
      </c>
      <c r="L275" s="6" t="str">
        <f>IF($D275="","",IF($F275&lt;&gt;"",$F275,IF(ISNA(MATCH($D275,'Paramètres'!$M:$M,0)),"⚠ Type inconnu",IFERROR(INDEX('Paramètres'!$P:$P,MATCH($D275,'Paramètres'!$M:$M,0))&amp;"",""))))</f>
        <v>Débit</v>
      </c>
      <c r="M275" s="6" t="str">
        <f>IF($D275="","",IF(ISNA(MATCH($D275,'Paramètres'!$M:$M,0)),"⚠ Type inconnu",IF($L275="Crédit","",IFERROR(INDEX('Paramètres'!$O:$O,MATCH($D275,'Paramètres'!$M:$M,0))&amp;"",""))))</f>
        <v>Dépense Courante</v>
      </c>
      <c r="N275" s="6" t="str">
        <f>IF($D275="","",IFERROR(INDEX('Paramètres'!$Q:$Q,MATCH($D275,'Paramètres'!$M:$M,0))&amp;"",""))</f>
        <v>Alimentation</v>
      </c>
      <c r="O275" s="6">
        <f>IF($A275="","",IF(OR($J275&lt;&gt;"x",$A275&lt;=FinReleve),1,0))</f>
        <v>1</v>
      </c>
      <c r="P275" s="6">
        <f>IF($D275="","",IF(AND($L275="Crédit",OR(IFERROR(INDEX('Paramètres'!$O:$O,MATCH($D275,'Paramètres'!$M:$M,0))&amp;"","")&lt;&gt;"",ISNUMBER(SEARCH("remboursement",IFERROR(INDEX('Paramètres'!$N:$N,MATCH($D275,'Paramètres'!$M:$M,0))&amp;"",""))))),1,0))</f>
        <v>0</v>
      </c>
      <c r="Q275" s="6">
        <f>IF($K275="","",IF(ISNUMBER(SEARCH("transfert-interne",IFERROR(INDEX('Paramètres'!$N:$N,MATCH($D275,'Paramètres'!$M:$M,0))&amp;"",""))),0,IF($L275="Débit",$K275,IF($P275=1,-$K275,0))))</f>
        <v>41.16</v>
      </c>
      <c r="R275" s="6">
        <f>IF($K275="","",IF($L275="Crédit",$K275,-$K275))</f>
        <v>-41.16</v>
      </c>
      <c r="S275" s="6" t="str">
        <f>IF($C275="","",IFERROR(INDEX('Paramètres'!$H:$H,MATCH($C275,'Paramètres'!$D:$D,0))&amp;"",""))</f>
        <v>Banque A - Courant</v>
      </c>
      <c r="T275" s="6">
        <f>IF($K275="","",IF($S275="",0,IF(ISNUMBER(SEARCH("apport-exterieur",IFERROR(INDEX('Paramètres'!$N:$N,MATCH($D275,'Paramètres'!$M:$M,0))&amp;"",""))),0,IF(OR(IFERROR(INDEX('Paramètres'!$I:$I,MATCH($C275,'Paramètres'!$D:$D,0))&amp;"","")="Les deux",IFERROR(INDEX('Paramètres'!$I:$I,MATCH($C275,'Paramètres'!$D:$D,0))&amp;"","")=IF($P275=1,"Débit",$L275)),-IF($P275=1,-$K275,$K275),0))))</f>
        <v>0</v>
      </c>
      <c r="U275" s="6">
        <f>IF($K275="","",IF(ISNUMBER(SEARCH("sortie-epargne",IFERROR(INDEX('Paramètres'!$N:$N,MATCH($D275,'Paramètres'!$M:$M,0))&amp;"",""))),$K275,0))</f>
        <v>0</v>
      </c>
      <c r="V275" s="6" t="str">
        <f>IF(AND($A275&lt;&gt;"",$O275=1,$L275="Débit",N($Q275)&gt;0,$A275&gt;=Visualisation!$B$1,$A275&lt;Visualisation!$D$1),MAX($V$1:V274)+1,"")</f>
        <v/>
      </c>
    </row>
    <row r="276" spans="1:22" x14ac:dyDescent="0.25">
      <c r="A276" s="9">
        <v>45727</v>
      </c>
      <c r="B276" s="4" t="s">
        <v>76</v>
      </c>
      <c r="C276" s="4" t="s">
        <v>67</v>
      </c>
      <c r="D276" s="4" t="s">
        <v>77</v>
      </c>
      <c r="E276" s="10">
        <v>159.12</v>
      </c>
      <c r="G276" s="4" t="s">
        <v>95</v>
      </c>
      <c r="H276" s="4"/>
      <c r="I276" s="4"/>
      <c r="K276" s="11">
        <f>IF($E276="","",ROUND($E276*IF(ISNA(MATCH($C276,'Paramètres'!$D:$D,0)),1,IF(INDEX('Paramètres'!$J:$J,MATCH($C276,'Paramètres'!$D:$D,0))="",1,INDEX('Paramètres'!$J:$J,MATCH($C276,'Paramètres'!$D:$D,0)))),2))</f>
        <v>79.56</v>
      </c>
      <c r="L276" s="6" t="str">
        <f>IF($D276="","",IF($F276&lt;&gt;"",$F276,IF(ISNA(MATCH($D276,'Paramètres'!$M:$M,0)),"⚠ Type inconnu",IFERROR(INDEX('Paramètres'!$P:$P,MATCH($D276,'Paramètres'!$M:$M,0))&amp;"",""))))</f>
        <v>Débit</v>
      </c>
      <c r="M276" s="6" t="str">
        <f>IF($D276="","",IF(ISNA(MATCH($D276,'Paramètres'!$M:$M,0)),"⚠ Type inconnu",IF($L276="Crédit","",IFERROR(INDEX('Paramètres'!$O:$O,MATCH($D276,'Paramètres'!$M:$M,0))&amp;"",""))))</f>
        <v>Dépense Courante</v>
      </c>
      <c r="N276" s="6" t="str">
        <f>IF($D276="","",IFERROR(INDEX('Paramètres'!$Q:$Q,MATCH($D276,'Paramètres'!$M:$M,0))&amp;"",""))</f>
        <v>Alimentation</v>
      </c>
      <c r="O276" s="6">
        <f>IF($A276="","",IF(OR($J276&lt;&gt;"x",$A276&lt;=FinReleve),1,0))</f>
        <v>1</v>
      </c>
      <c r="P276" s="6">
        <f>IF($D276="","",IF(AND($L276="Crédit",OR(IFERROR(INDEX('Paramètres'!$O:$O,MATCH($D276,'Paramètres'!$M:$M,0))&amp;"","")&lt;&gt;"",ISNUMBER(SEARCH("remboursement",IFERROR(INDEX('Paramètres'!$N:$N,MATCH($D276,'Paramètres'!$M:$M,0))&amp;"",""))))),1,0))</f>
        <v>0</v>
      </c>
      <c r="Q276" s="6">
        <f>IF($K276="","",IF(ISNUMBER(SEARCH("transfert-interne",IFERROR(INDEX('Paramètres'!$N:$N,MATCH($D276,'Paramètres'!$M:$M,0))&amp;"",""))),0,IF($L276="Débit",$K276,IF($P276=1,-$K276,0))))</f>
        <v>79.56</v>
      </c>
      <c r="R276" s="6">
        <f>IF($K276="","",IF($L276="Crédit",$K276,-$K276))</f>
        <v>-79.56</v>
      </c>
      <c r="S276" s="6" t="str">
        <f>IF($C276="","",IFERROR(INDEX('Paramètres'!$H:$H,MATCH($C276,'Paramètres'!$D:$D,0))&amp;"",""))</f>
        <v>Banque A - Courant</v>
      </c>
      <c r="T276" s="6">
        <f>IF($K276="","",IF($S276="",0,IF(ISNUMBER(SEARCH("apport-exterieur",IFERROR(INDEX('Paramètres'!$N:$N,MATCH($D276,'Paramètres'!$M:$M,0))&amp;"",""))),0,IF(OR(IFERROR(INDEX('Paramètres'!$I:$I,MATCH($C276,'Paramètres'!$D:$D,0))&amp;"","")="Les deux",IFERROR(INDEX('Paramètres'!$I:$I,MATCH($C276,'Paramètres'!$D:$D,0))&amp;"","")=IF($P276=1,"Débit",$L276)),-IF($P276=1,-$K276,$K276),0))))</f>
        <v>0</v>
      </c>
      <c r="U276" s="6">
        <f>IF($K276="","",IF(ISNUMBER(SEARCH("sortie-epargne",IFERROR(INDEX('Paramètres'!$N:$N,MATCH($D276,'Paramètres'!$M:$M,0))&amp;"",""))),$K276,0))</f>
        <v>0</v>
      </c>
      <c r="V276" s="6" t="str">
        <f>IF(AND($A276&lt;&gt;"",$O276=1,$L276="Débit",N($Q276)&gt;0,$A276&gt;=Visualisation!$B$1,$A276&lt;Visualisation!$D$1),MAX($V$1:V275)+1,"")</f>
        <v/>
      </c>
    </row>
    <row r="277" spans="1:22" x14ac:dyDescent="0.25">
      <c r="A277" s="9">
        <v>45727</v>
      </c>
      <c r="B277" s="4" t="s">
        <v>76</v>
      </c>
      <c r="C277" s="4" t="s">
        <v>60</v>
      </c>
      <c r="D277" s="4" t="s">
        <v>77</v>
      </c>
      <c r="E277" s="10">
        <v>109.34</v>
      </c>
      <c r="G277" s="4" t="s">
        <v>98</v>
      </c>
      <c r="H277" s="4"/>
      <c r="I277" s="4" t="s">
        <v>73</v>
      </c>
      <c r="K277" s="11">
        <f>IF($E277="","",ROUND($E277*IF(ISNA(MATCH($C277,'Paramètres'!$D:$D,0)),1,IF(INDEX('Paramètres'!$J:$J,MATCH($C277,'Paramètres'!$D:$D,0))="",1,INDEX('Paramètres'!$J:$J,MATCH($C277,'Paramètres'!$D:$D,0)))),2))</f>
        <v>54.67</v>
      </c>
      <c r="L277" s="6" t="str">
        <f>IF($D277="","",IF($F277&lt;&gt;"",$F277,IF(ISNA(MATCH($D277,'Paramètres'!$M:$M,0)),"⚠ Type inconnu",IFERROR(INDEX('Paramètres'!$P:$P,MATCH($D277,'Paramètres'!$M:$M,0))&amp;"",""))))</f>
        <v>Débit</v>
      </c>
      <c r="M277" s="6" t="str">
        <f>IF($D277="","",IF(ISNA(MATCH($D277,'Paramètres'!$M:$M,0)),"⚠ Type inconnu",IF($L277="Crédit","",IFERROR(INDEX('Paramètres'!$O:$O,MATCH($D277,'Paramètres'!$M:$M,0))&amp;"",""))))</f>
        <v>Dépense Courante</v>
      </c>
      <c r="N277" s="6" t="str">
        <f>IF($D277="","",IFERROR(INDEX('Paramètres'!$Q:$Q,MATCH($D277,'Paramètres'!$M:$M,0))&amp;"",""))</f>
        <v>Alimentation</v>
      </c>
      <c r="O277" s="6">
        <f>IF($A277="","",IF(OR($J277&lt;&gt;"x",$A277&lt;=FinReleve),1,0))</f>
        <v>1</v>
      </c>
      <c r="P277" s="6">
        <f>IF($D277="","",IF(AND($L277="Crédit",OR(IFERROR(INDEX('Paramètres'!$O:$O,MATCH($D277,'Paramètres'!$M:$M,0))&amp;"","")&lt;&gt;"",ISNUMBER(SEARCH("remboursement",IFERROR(INDEX('Paramètres'!$N:$N,MATCH($D277,'Paramètres'!$M:$M,0))&amp;"",""))))),1,0))</f>
        <v>0</v>
      </c>
      <c r="Q277" s="6">
        <f>IF($K277="","",IF(ISNUMBER(SEARCH("transfert-interne",IFERROR(INDEX('Paramètres'!$N:$N,MATCH($D277,'Paramètres'!$M:$M,0))&amp;"",""))),0,IF($L277="Débit",$K277,IF($P277=1,-$K277,0))))</f>
        <v>54.67</v>
      </c>
      <c r="R277" s="6">
        <f>IF($K277="","",IF($L277="Crédit",$K277,-$K277))</f>
        <v>-54.67</v>
      </c>
      <c r="S277" s="6" t="str">
        <f>IF($C277="","",IFERROR(INDEX('Paramètres'!$H:$H,MATCH($C277,'Paramètres'!$D:$D,0))&amp;"",""))</f>
        <v>Banque A - Courant</v>
      </c>
      <c r="T277" s="6">
        <f>IF($K277="","",IF($S277="",0,IF(ISNUMBER(SEARCH("apport-exterieur",IFERROR(INDEX('Paramètres'!$N:$N,MATCH($D277,'Paramètres'!$M:$M,0))&amp;"",""))),0,IF(OR(IFERROR(INDEX('Paramètres'!$I:$I,MATCH($C277,'Paramètres'!$D:$D,0))&amp;"","")="Les deux",IFERROR(INDEX('Paramètres'!$I:$I,MATCH($C277,'Paramètres'!$D:$D,0))&amp;"","")=IF($P277=1,"Débit",$L277)),-IF($P277=1,-$K277,$K277),0))))</f>
        <v>-54.67</v>
      </c>
      <c r="U277" s="6">
        <f>IF($K277="","",IF(ISNUMBER(SEARCH("sortie-epargne",IFERROR(INDEX('Paramètres'!$N:$N,MATCH($D277,'Paramètres'!$M:$M,0))&amp;"",""))),$K277,0))</f>
        <v>0</v>
      </c>
      <c r="V277" s="6" t="str">
        <f>IF(AND($A277&lt;&gt;"",$O277=1,$L277="Débit",N($Q277)&gt;0,$A277&gt;=Visualisation!$B$1,$A277&lt;Visualisation!$D$1),MAX($V$1:V276)+1,"")</f>
        <v/>
      </c>
    </row>
    <row r="278" spans="1:22" x14ac:dyDescent="0.25">
      <c r="A278" s="9">
        <v>45727</v>
      </c>
      <c r="B278" s="4" t="s">
        <v>69</v>
      </c>
      <c r="C278" s="4" t="s">
        <v>70</v>
      </c>
      <c r="D278" s="4" t="s">
        <v>71</v>
      </c>
      <c r="E278" s="10">
        <v>7.72</v>
      </c>
      <c r="G278" s="4" t="s">
        <v>72</v>
      </c>
      <c r="H278" s="4"/>
      <c r="I278" s="4" t="s">
        <v>79</v>
      </c>
      <c r="K278" s="11">
        <f>IF($E278="","",ROUND($E278*IF(ISNA(MATCH($C278,'Paramètres'!$D:$D,0)),1,IF(INDEX('Paramètres'!$J:$J,MATCH($C278,'Paramètres'!$D:$D,0))="",1,INDEX('Paramètres'!$J:$J,MATCH($C278,'Paramètres'!$D:$D,0)))),2))</f>
        <v>7.72</v>
      </c>
      <c r="L278" s="6" t="str">
        <f>IF($D278="","",IF($F278&lt;&gt;"",$F278,IF(ISNA(MATCH($D278,'Paramètres'!$M:$M,0)),"⚠ Type inconnu",IFERROR(INDEX('Paramètres'!$P:$P,MATCH($D278,'Paramètres'!$M:$M,0))&amp;"",""))))</f>
        <v>Débit</v>
      </c>
      <c r="M278" s="6" t="str">
        <f>IF($D278="","",IF(ISNA(MATCH($D278,'Paramètres'!$M:$M,0)),"⚠ Type inconnu",IF($L278="Crédit","",IFERROR(INDEX('Paramètres'!$O:$O,MATCH($D278,'Paramètres'!$M:$M,0))&amp;"",""))))</f>
        <v>Dépense Courante</v>
      </c>
      <c r="N278" s="6" t="str">
        <f>IF($D278="","",IFERROR(INDEX('Paramètres'!$Q:$Q,MATCH($D278,'Paramètres'!$M:$M,0))&amp;"",""))</f>
        <v>Alimentation</v>
      </c>
      <c r="O278" s="6">
        <f>IF($A278="","",IF(OR($J278&lt;&gt;"x",$A278&lt;=FinReleve),1,0))</f>
        <v>1</v>
      </c>
      <c r="P278" s="6">
        <f>IF($D278="","",IF(AND($L278="Crédit",OR(IFERROR(INDEX('Paramètres'!$O:$O,MATCH($D278,'Paramètres'!$M:$M,0))&amp;"","")&lt;&gt;"",ISNUMBER(SEARCH("remboursement",IFERROR(INDEX('Paramètres'!$N:$N,MATCH($D278,'Paramètres'!$M:$M,0))&amp;"",""))))),1,0))</f>
        <v>0</v>
      </c>
      <c r="Q278" s="6">
        <f>IF($K278="","",IF(ISNUMBER(SEARCH("transfert-interne",IFERROR(INDEX('Paramètres'!$N:$N,MATCH($D278,'Paramètres'!$M:$M,0))&amp;"",""))),0,IF($L278="Débit",$K278,IF($P278=1,-$K278,0))))</f>
        <v>7.72</v>
      </c>
      <c r="R278" s="6">
        <f>IF($K278="","",IF($L278="Crédit",$K278,-$K278))</f>
        <v>-7.72</v>
      </c>
      <c r="S278" s="6" t="str">
        <f>IF($C278="","",IFERROR(INDEX('Paramètres'!$H:$H,MATCH($C278,'Paramètres'!$D:$D,0))&amp;"",""))</f>
        <v/>
      </c>
      <c r="T278" s="6">
        <f>IF($K278="","",IF($S278="",0,IF(ISNUMBER(SEARCH("apport-exterieur",IFERROR(INDEX('Paramètres'!$N:$N,MATCH($D278,'Paramètres'!$M:$M,0))&amp;"",""))),0,IF(OR(IFERROR(INDEX('Paramètres'!$I:$I,MATCH($C278,'Paramètres'!$D:$D,0))&amp;"","")="Les deux",IFERROR(INDEX('Paramètres'!$I:$I,MATCH($C278,'Paramètres'!$D:$D,0))&amp;"","")=IF($P278=1,"Débit",$L278)),-IF($P278=1,-$K278,$K278),0))))</f>
        <v>0</v>
      </c>
      <c r="U278" s="6">
        <f>IF($K278="","",IF(ISNUMBER(SEARCH("sortie-epargne",IFERROR(INDEX('Paramètres'!$N:$N,MATCH($D278,'Paramètres'!$M:$M,0))&amp;"",""))),$K278,0))</f>
        <v>0</v>
      </c>
      <c r="V278" s="6" t="str">
        <f>IF(AND($A278&lt;&gt;"",$O278=1,$L278="Débit",N($Q278)&gt;0,$A278&gt;=Visualisation!$B$1,$A278&lt;Visualisation!$D$1),MAX($V$1:V277)+1,"")</f>
        <v/>
      </c>
    </row>
    <row r="279" spans="1:22" x14ac:dyDescent="0.25">
      <c r="A279" s="9">
        <v>45727</v>
      </c>
      <c r="B279" s="4" t="s">
        <v>90</v>
      </c>
      <c r="C279" s="4" t="s">
        <v>75</v>
      </c>
      <c r="D279" s="4" t="s">
        <v>91</v>
      </c>
      <c r="E279" s="10">
        <v>75.33</v>
      </c>
      <c r="G279" s="4" t="s">
        <v>136</v>
      </c>
      <c r="H279" s="4"/>
      <c r="I279" s="4" t="s">
        <v>79</v>
      </c>
      <c r="K279" s="11">
        <f>IF($E279="","",ROUND($E279*IF(ISNA(MATCH($C279,'Paramètres'!$D:$D,0)),1,IF(INDEX('Paramètres'!$J:$J,MATCH($C279,'Paramètres'!$D:$D,0))="",1,INDEX('Paramètres'!$J:$J,MATCH($C279,'Paramètres'!$D:$D,0)))),2))</f>
        <v>75.33</v>
      </c>
      <c r="L279" s="6" t="str">
        <f>IF($D279="","",IF($F279&lt;&gt;"",$F279,IF(ISNA(MATCH($D279,'Paramètres'!$M:$M,0)),"⚠ Type inconnu",IFERROR(INDEX('Paramètres'!$P:$P,MATCH($D279,'Paramètres'!$M:$M,0))&amp;"",""))))</f>
        <v>Débit</v>
      </c>
      <c r="M279" s="6" t="str">
        <f>IF($D279="","",IF(ISNA(MATCH($D279,'Paramètres'!$M:$M,0)),"⚠ Type inconnu",IF($L279="Crédit","",IFERROR(INDEX('Paramètres'!$O:$O,MATCH($D279,'Paramètres'!$M:$M,0))&amp;"",""))))</f>
        <v>Dépense Courante</v>
      </c>
      <c r="N279" s="6" t="str">
        <f>IF($D279="","",IFERROR(INDEX('Paramètres'!$Q:$Q,MATCH($D279,'Paramètres'!$M:$M,0))&amp;"",""))</f>
        <v>Transport</v>
      </c>
      <c r="O279" s="6">
        <f>IF($A279="","",IF(OR($J279&lt;&gt;"x",$A279&lt;=FinReleve),1,0))</f>
        <v>1</v>
      </c>
      <c r="P279" s="6">
        <f>IF($D279="","",IF(AND($L279="Crédit",OR(IFERROR(INDEX('Paramètres'!$O:$O,MATCH($D279,'Paramètres'!$M:$M,0))&amp;"","")&lt;&gt;"",ISNUMBER(SEARCH("remboursement",IFERROR(INDEX('Paramètres'!$N:$N,MATCH($D279,'Paramètres'!$M:$M,0))&amp;"",""))))),1,0))</f>
        <v>0</v>
      </c>
      <c r="Q279" s="6">
        <f>IF($K279="","",IF(ISNUMBER(SEARCH("transfert-interne",IFERROR(INDEX('Paramètres'!$N:$N,MATCH($D279,'Paramètres'!$M:$M,0))&amp;"",""))),0,IF($L279="Débit",$K279,IF($P279=1,-$K279,0))))</f>
        <v>75.33</v>
      </c>
      <c r="R279" s="6">
        <f>IF($K279="","",IF($L279="Crédit",$K279,-$K279))</f>
        <v>-75.33</v>
      </c>
      <c r="S279" s="6" t="str">
        <f>IF($C279="","",IFERROR(INDEX('Paramètres'!$H:$H,MATCH($C279,'Paramètres'!$D:$D,0))&amp;"",""))</f>
        <v/>
      </c>
      <c r="T279" s="6">
        <f>IF($K279="","",IF($S279="",0,IF(ISNUMBER(SEARCH("apport-exterieur",IFERROR(INDEX('Paramètres'!$N:$N,MATCH($D279,'Paramètres'!$M:$M,0))&amp;"",""))),0,IF(OR(IFERROR(INDEX('Paramètres'!$I:$I,MATCH($C279,'Paramètres'!$D:$D,0))&amp;"","")="Les deux",IFERROR(INDEX('Paramètres'!$I:$I,MATCH($C279,'Paramètres'!$D:$D,0))&amp;"","")=IF($P279=1,"Débit",$L279)),-IF($P279=1,-$K279,$K279),0))))</f>
        <v>0</v>
      </c>
      <c r="U279" s="6">
        <f>IF($K279="","",IF(ISNUMBER(SEARCH("sortie-epargne",IFERROR(INDEX('Paramètres'!$N:$N,MATCH($D279,'Paramètres'!$M:$M,0))&amp;"",""))),$K279,0))</f>
        <v>0</v>
      </c>
      <c r="V279" s="6" t="str">
        <f>IF(AND($A279&lt;&gt;"",$O279=1,$L279="Débit",N($Q279)&gt;0,$A279&gt;=Visualisation!$B$1,$A279&lt;Visualisation!$D$1),MAX($V$1:V278)+1,"")</f>
        <v/>
      </c>
    </row>
    <row r="280" spans="1:22" x14ac:dyDescent="0.25">
      <c r="A280" s="9">
        <v>45728</v>
      </c>
      <c r="B280" s="4" t="s">
        <v>97</v>
      </c>
      <c r="C280" s="4" t="s">
        <v>75</v>
      </c>
      <c r="D280" s="4" t="s">
        <v>97</v>
      </c>
      <c r="E280" s="10">
        <v>47.9</v>
      </c>
      <c r="G280" s="4"/>
      <c r="H280" s="4"/>
      <c r="I280" s="4"/>
      <c r="K280" s="11">
        <f>IF($E280="","",ROUND($E280*IF(ISNA(MATCH($C280,'Paramètres'!$D:$D,0)),1,IF(INDEX('Paramètres'!$J:$J,MATCH($C280,'Paramètres'!$D:$D,0))="",1,INDEX('Paramètres'!$J:$J,MATCH($C280,'Paramètres'!$D:$D,0)))),2))</f>
        <v>47.9</v>
      </c>
      <c r="L280" s="6" t="str">
        <f>IF($D280="","",IF($F280&lt;&gt;"",$F280,IF(ISNA(MATCH($D280,'Paramètres'!$M:$M,0)),"⚠ Type inconnu",IFERROR(INDEX('Paramètres'!$P:$P,MATCH($D280,'Paramètres'!$M:$M,0))&amp;"",""))))</f>
        <v>Débit</v>
      </c>
      <c r="M280" s="6" t="str">
        <f>IF($D280="","",IF(ISNA(MATCH($D280,'Paramètres'!$M:$M,0)),"⚠ Type inconnu",IF($L280="Crédit","",IFERROR(INDEX('Paramètres'!$O:$O,MATCH($D280,'Paramètres'!$M:$M,0))&amp;"",""))))</f>
        <v>Dépense Fixe</v>
      </c>
      <c r="N280" s="6" t="str">
        <f>IF($D280="","",IFERROR(INDEX('Paramètres'!$Q:$Q,MATCH($D280,'Paramètres'!$M:$M,0))&amp;"",""))</f>
        <v>Assurances</v>
      </c>
      <c r="O280" s="6">
        <f>IF($A280="","",IF(OR($J280&lt;&gt;"x",$A280&lt;=FinReleve),1,0))</f>
        <v>1</v>
      </c>
      <c r="P280" s="6">
        <f>IF($D280="","",IF(AND($L280="Crédit",OR(IFERROR(INDEX('Paramètres'!$O:$O,MATCH($D280,'Paramètres'!$M:$M,0))&amp;"","")&lt;&gt;"",ISNUMBER(SEARCH("remboursement",IFERROR(INDEX('Paramètres'!$N:$N,MATCH($D280,'Paramètres'!$M:$M,0))&amp;"",""))))),1,0))</f>
        <v>0</v>
      </c>
      <c r="Q280" s="6">
        <f>IF($K280="","",IF(ISNUMBER(SEARCH("transfert-interne",IFERROR(INDEX('Paramètres'!$N:$N,MATCH($D280,'Paramètres'!$M:$M,0))&amp;"",""))),0,IF($L280="Débit",$K280,IF($P280=1,-$K280,0))))</f>
        <v>47.9</v>
      </c>
      <c r="R280" s="6">
        <f>IF($K280="","",IF($L280="Crédit",$K280,-$K280))</f>
        <v>-47.9</v>
      </c>
      <c r="S280" s="6" t="str">
        <f>IF($C280="","",IFERROR(INDEX('Paramètres'!$H:$H,MATCH($C280,'Paramètres'!$D:$D,0))&amp;"",""))</f>
        <v/>
      </c>
      <c r="T280" s="6">
        <f>IF($K280="","",IF($S280="",0,IF(ISNUMBER(SEARCH("apport-exterieur",IFERROR(INDEX('Paramètres'!$N:$N,MATCH($D280,'Paramètres'!$M:$M,0))&amp;"",""))),0,IF(OR(IFERROR(INDEX('Paramètres'!$I:$I,MATCH($C280,'Paramètres'!$D:$D,0))&amp;"","")="Les deux",IFERROR(INDEX('Paramètres'!$I:$I,MATCH($C280,'Paramètres'!$D:$D,0))&amp;"","")=IF($P280=1,"Débit",$L280)),-IF($P280=1,-$K280,$K280),0))))</f>
        <v>0</v>
      </c>
      <c r="U280" s="6">
        <f>IF($K280="","",IF(ISNUMBER(SEARCH("sortie-epargne",IFERROR(INDEX('Paramètres'!$N:$N,MATCH($D280,'Paramètres'!$M:$M,0))&amp;"",""))),$K280,0))</f>
        <v>0</v>
      </c>
      <c r="V280" s="6" t="str">
        <f>IF(AND($A280&lt;&gt;"",$O280=1,$L280="Débit",N($Q280)&gt;0,$A280&gt;=Visualisation!$B$1,$A280&lt;Visualisation!$D$1),MAX($V$1:V279)+1,"")</f>
        <v/>
      </c>
    </row>
    <row r="281" spans="1:22" x14ac:dyDescent="0.25">
      <c r="A281" s="9">
        <v>45728</v>
      </c>
      <c r="B281" s="4" t="s">
        <v>76</v>
      </c>
      <c r="C281" s="4" t="s">
        <v>67</v>
      </c>
      <c r="D281" s="4" t="s">
        <v>77</v>
      </c>
      <c r="E281" s="10">
        <v>93.86</v>
      </c>
      <c r="G281" s="4" t="s">
        <v>95</v>
      </c>
      <c r="H281" s="4"/>
      <c r="I281" s="4" t="s">
        <v>73</v>
      </c>
      <c r="K281" s="11">
        <f>IF($E281="","",ROUND($E281*IF(ISNA(MATCH($C281,'Paramètres'!$D:$D,0)),1,IF(INDEX('Paramètres'!$J:$J,MATCH($C281,'Paramètres'!$D:$D,0))="",1,INDEX('Paramètres'!$J:$J,MATCH($C281,'Paramètres'!$D:$D,0)))),2))</f>
        <v>46.93</v>
      </c>
      <c r="L281" s="6" t="str">
        <f>IF($D281="","",IF($F281&lt;&gt;"",$F281,IF(ISNA(MATCH($D281,'Paramètres'!$M:$M,0)),"⚠ Type inconnu",IFERROR(INDEX('Paramètres'!$P:$P,MATCH($D281,'Paramètres'!$M:$M,0))&amp;"",""))))</f>
        <v>Débit</v>
      </c>
      <c r="M281" s="6" t="str">
        <f>IF($D281="","",IF(ISNA(MATCH($D281,'Paramètres'!$M:$M,0)),"⚠ Type inconnu",IF($L281="Crédit","",IFERROR(INDEX('Paramètres'!$O:$O,MATCH($D281,'Paramètres'!$M:$M,0))&amp;"",""))))</f>
        <v>Dépense Courante</v>
      </c>
      <c r="N281" s="6" t="str">
        <f>IF($D281="","",IFERROR(INDEX('Paramètres'!$Q:$Q,MATCH($D281,'Paramètres'!$M:$M,0))&amp;"",""))</f>
        <v>Alimentation</v>
      </c>
      <c r="O281" s="6">
        <f>IF($A281="","",IF(OR($J281&lt;&gt;"x",$A281&lt;=FinReleve),1,0))</f>
        <v>1</v>
      </c>
      <c r="P281" s="6">
        <f>IF($D281="","",IF(AND($L281="Crédit",OR(IFERROR(INDEX('Paramètres'!$O:$O,MATCH($D281,'Paramètres'!$M:$M,0))&amp;"","")&lt;&gt;"",ISNUMBER(SEARCH("remboursement",IFERROR(INDEX('Paramètres'!$N:$N,MATCH($D281,'Paramètres'!$M:$M,0))&amp;"",""))))),1,0))</f>
        <v>0</v>
      </c>
      <c r="Q281" s="6">
        <f>IF($K281="","",IF(ISNUMBER(SEARCH("transfert-interne",IFERROR(INDEX('Paramètres'!$N:$N,MATCH($D281,'Paramètres'!$M:$M,0))&amp;"",""))),0,IF($L281="Débit",$K281,IF($P281=1,-$K281,0))))</f>
        <v>46.93</v>
      </c>
      <c r="R281" s="6">
        <f>IF($K281="","",IF($L281="Crédit",$K281,-$K281))</f>
        <v>-46.93</v>
      </c>
      <c r="S281" s="6" t="str">
        <f>IF($C281="","",IFERROR(INDEX('Paramètres'!$H:$H,MATCH($C281,'Paramètres'!$D:$D,0))&amp;"",""))</f>
        <v>Banque A - Courant</v>
      </c>
      <c r="T281" s="6">
        <f>IF($K281="","",IF($S281="",0,IF(ISNUMBER(SEARCH("apport-exterieur",IFERROR(INDEX('Paramètres'!$N:$N,MATCH($D281,'Paramètres'!$M:$M,0))&amp;"",""))),0,IF(OR(IFERROR(INDEX('Paramètres'!$I:$I,MATCH($C281,'Paramètres'!$D:$D,0))&amp;"","")="Les deux",IFERROR(INDEX('Paramètres'!$I:$I,MATCH($C281,'Paramètres'!$D:$D,0))&amp;"","")=IF($P281=1,"Débit",$L281)),-IF($P281=1,-$K281,$K281),0))))</f>
        <v>0</v>
      </c>
      <c r="U281" s="6">
        <f>IF($K281="","",IF(ISNUMBER(SEARCH("sortie-epargne",IFERROR(INDEX('Paramètres'!$N:$N,MATCH($D281,'Paramètres'!$M:$M,0))&amp;"",""))),$K281,0))</f>
        <v>0</v>
      </c>
      <c r="V281" s="6" t="str">
        <f>IF(AND($A281&lt;&gt;"",$O281=1,$L281="Débit",N($Q281)&gt;0,$A281&gt;=Visualisation!$B$1,$A281&lt;Visualisation!$D$1),MAX($V$1:V280)+1,"")</f>
        <v/>
      </c>
    </row>
    <row r="282" spans="1:22" x14ac:dyDescent="0.25">
      <c r="A282" s="9">
        <v>45729</v>
      </c>
      <c r="B282" s="4" t="s">
        <v>69</v>
      </c>
      <c r="C282" s="4" t="s">
        <v>70</v>
      </c>
      <c r="D282" s="4" t="s">
        <v>71</v>
      </c>
      <c r="E282" s="10">
        <v>13.34</v>
      </c>
      <c r="G282" s="4" t="s">
        <v>72</v>
      </c>
      <c r="H282" s="4"/>
      <c r="I282" s="4"/>
      <c r="K282" s="11">
        <f>IF($E282="","",ROUND($E282*IF(ISNA(MATCH($C282,'Paramètres'!$D:$D,0)),1,IF(INDEX('Paramètres'!$J:$J,MATCH($C282,'Paramètres'!$D:$D,0))="",1,INDEX('Paramètres'!$J:$J,MATCH($C282,'Paramètres'!$D:$D,0)))),2))</f>
        <v>13.34</v>
      </c>
      <c r="L282" s="6" t="str">
        <f>IF($D282="","",IF($F282&lt;&gt;"",$F282,IF(ISNA(MATCH($D282,'Paramètres'!$M:$M,0)),"⚠ Type inconnu",IFERROR(INDEX('Paramètres'!$P:$P,MATCH($D282,'Paramètres'!$M:$M,0))&amp;"",""))))</f>
        <v>Débit</v>
      </c>
      <c r="M282" s="6" t="str">
        <f>IF($D282="","",IF(ISNA(MATCH($D282,'Paramètres'!$M:$M,0)),"⚠ Type inconnu",IF($L282="Crédit","",IFERROR(INDEX('Paramètres'!$O:$O,MATCH($D282,'Paramètres'!$M:$M,0))&amp;"",""))))</f>
        <v>Dépense Courante</v>
      </c>
      <c r="N282" s="6" t="str">
        <f>IF($D282="","",IFERROR(INDEX('Paramètres'!$Q:$Q,MATCH($D282,'Paramètres'!$M:$M,0))&amp;"",""))</f>
        <v>Alimentation</v>
      </c>
      <c r="O282" s="6">
        <f>IF($A282="","",IF(OR($J282&lt;&gt;"x",$A282&lt;=FinReleve),1,0))</f>
        <v>1</v>
      </c>
      <c r="P282" s="6">
        <f>IF($D282="","",IF(AND($L282="Crédit",OR(IFERROR(INDEX('Paramètres'!$O:$O,MATCH($D282,'Paramètres'!$M:$M,0))&amp;"","")&lt;&gt;"",ISNUMBER(SEARCH("remboursement",IFERROR(INDEX('Paramètres'!$N:$N,MATCH($D282,'Paramètres'!$M:$M,0))&amp;"",""))))),1,0))</f>
        <v>0</v>
      </c>
      <c r="Q282" s="6">
        <f>IF($K282="","",IF(ISNUMBER(SEARCH("transfert-interne",IFERROR(INDEX('Paramètres'!$N:$N,MATCH($D282,'Paramètres'!$M:$M,0))&amp;"",""))),0,IF($L282="Débit",$K282,IF($P282=1,-$K282,0))))</f>
        <v>13.34</v>
      </c>
      <c r="R282" s="6">
        <f>IF($K282="","",IF($L282="Crédit",$K282,-$K282))</f>
        <v>-13.34</v>
      </c>
      <c r="S282" s="6" t="str">
        <f>IF($C282="","",IFERROR(INDEX('Paramètres'!$H:$H,MATCH($C282,'Paramètres'!$D:$D,0))&amp;"",""))</f>
        <v/>
      </c>
      <c r="T282" s="6">
        <f>IF($K282="","",IF($S282="",0,IF(ISNUMBER(SEARCH("apport-exterieur",IFERROR(INDEX('Paramètres'!$N:$N,MATCH($D282,'Paramètres'!$M:$M,0))&amp;"",""))),0,IF(OR(IFERROR(INDEX('Paramètres'!$I:$I,MATCH($C282,'Paramètres'!$D:$D,0))&amp;"","")="Les deux",IFERROR(INDEX('Paramètres'!$I:$I,MATCH($C282,'Paramètres'!$D:$D,0))&amp;"","")=IF($P282=1,"Débit",$L282)),-IF($P282=1,-$K282,$K282),0))))</f>
        <v>0</v>
      </c>
      <c r="U282" s="6">
        <f>IF($K282="","",IF(ISNUMBER(SEARCH("sortie-epargne",IFERROR(INDEX('Paramètres'!$N:$N,MATCH($D282,'Paramètres'!$M:$M,0))&amp;"",""))),$K282,0))</f>
        <v>0</v>
      </c>
      <c r="V282" s="6" t="str">
        <f>IF(AND($A282&lt;&gt;"",$O282=1,$L282="Débit",N($Q282)&gt;0,$A282&gt;=Visualisation!$B$1,$A282&lt;Visualisation!$D$1),MAX($V$1:V281)+1,"")</f>
        <v/>
      </c>
    </row>
    <row r="283" spans="1:22" x14ac:dyDescent="0.25">
      <c r="A283" s="9">
        <v>45729</v>
      </c>
      <c r="B283" s="4" t="s">
        <v>76</v>
      </c>
      <c r="C283" s="4" t="s">
        <v>107</v>
      </c>
      <c r="D283" s="4" t="s">
        <v>108</v>
      </c>
      <c r="E283" s="10">
        <v>14.88</v>
      </c>
      <c r="G283" s="4" t="s">
        <v>119</v>
      </c>
      <c r="H283" s="4" t="s">
        <v>144</v>
      </c>
      <c r="I283" s="4"/>
      <c r="K283" s="11">
        <f>IF($E283="","",ROUND($E283*IF(ISNA(MATCH($C283,'Paramètres'!$D:$D,0)),1,IF(INDEX('Paramètres'!$J:$J,MATCH($C283,'Paramètres'!$D:$D,0))="",1,INDEX('Paramètres'!$J:$J,MATCH($C283,'Paramètres'!$D:$D,0)))),2))</f>
        <v>14.88</v>
      </c>
      <c r="L283" s="6" t="str">
        <f>IF($D283="","",IF($F283&lt;&gt;"",$F283,IF(ISNA(MATCH($D283,'Paramètres'!$M:$M,0)),"⚠ Type inconnu",IFERROR(INDEX('Paramètres'!$P:$P,MATCH($D283,'Paramètres'!$M:$M,0))&amp;"",""))))</f>
        <v>Débit</v>
      </c>
      <c r="M283" s="6" t="str">
        <f>IF($D283="","",IF(ISNA(MATCH($D283,'Paramètres'!$M:$M,0)),"⚠ Type inconnu",IF($L283="Crédit","",IFERROR(INDEX('Paramètres'!$O:$O,MATCH($D283,'Paramètres'!$M:$M,0))&amp;"",""))))</f>
        <v>Dépense Occasionnelle</v>
      </c>
      <c r="N283" s="6" t="str">
        <f>IF($D283="","",IFERROR(INDEX('Paramètres'!$Q:$Q,MATCH($D283,'Paramètres'!$M:$M,0))&amp;"",""))</f>
        <v>Autre</v>
      </c>
      <c r="O283" s="6">
        <f>IF($A283="","",IF(OR($J283&lt;&gt;"x",$A283&lt;=FinReleve),1,0))</f>
        <v>1</v>
      </c>
      <c r="P283" s="6">
        <f>IF($D283="","",IF(AND($L283="Crédit",OR(IFERROR(INDEX('Paramètres'!$O:$O,MATCH($D283,'Paramètres'!$M:$M,0))&amp;"","")&lt;&gt;"",ISNUMBER(SEARCH("remboursement",IFERROR(INDEX('Paramètres'!$N:$N,MATCH($D283,'Paramètres'!$M:$M,0))&amp;"",""))))),1,0))</f>
        <v>0</v>
      </c>
      <c r="Q283" s="6">
        <f>IF($K283="","",IF(ISNUMBER(SEARCH("transfert-interne",IFERROR(INDEX('Paramètres'!$N:$N,MATCH($D283,'Paramètres'!$M:$M,0))&amp;"",""))),0,IF($L283="Débit",$K283,IF($P283=1,-$K283,0))))</f>
        <v>14.88</v>
      </c>
      <c r="R283" s="6">
        <f>IF($K283="","",IF($L283="Crédit",$K283,-$K283))</f>
        <v>-14.88</v>
      </c>
      <c r="S283" s="6" t="str">
        <f>IF($C283="","",IFERROR(INDEX('Paramètres'!$H:$H,MATCH($C283,'Paramètres'!$D:$D,0))&amp;"",""))</f>
        <v/>
      </c>
      <c r="T283" s="6">
        <f>IF($K283="","",IF($S283="",0,IF(ISNUMBER(SEARCH("apport-exterieur",IFERROR(INDEX('Paramètres'!$N:$N,MATCH($D283,'Paramètres'!$M:$M,0))&amp;"",""))),0,IF(OR(IFERROR(INDEX('Paramètres'!$I:$I,MATCH($C283,'Paramètres'!$D:$D,0))&amp;"","")="Les deux",IFERROR(INDEX('Paramètres'!$I:$I,MATCH($C283,'Paramètres'!$D:$D,0))&amp;"","")=IF($P283=1,"Débit",$L283)),-IF($P283=1,-$K283,$K283),0))))</f>
        <v>0</v>
      </c>
      <c r="U283" s="6">
        <f>IF($K283="","",IF(ISNUMBER(SEARCH("sortie-epargne",IFERROR(INDEX('Paramètres'!$N:$N,MATCH($D283,'Paramètres'!$M:$M,0))&amp;"",""))),$K283,0))</f>
        <v>0</v>
      </c>
      <c r="V283" s="6" t="str">
        <f>IF(AND($A283&lt;&gt;"",$O283=1,$L283="Débit",N($Q283)&gt;0,$A283&gt;=Visualisation!$B$1,$A283&lt;Visualisation!$D$1),MAX($V$1:V282)+1,"")</f>
        <v/>
      </c>
    </row>
    <row r="284" spans="1:22" x14ac:dyDescent="0.25">
      <c r="A284" s="9">
        <v>45731</v>
      </c>
      <c r="B284" s="4" t="s">
        <v>100</v>
      </c>
      <c r="C284" s="4" t="s">
        <v>65</v>
      </c>
      <c r="D284" s="4" t="s">
        <v>100</v>
      </c>
      <c r="E284" s="10">
        <v>94.25</v>
      </c>
      <c r="G284" s="4"/>
      <c r="H284" s="4"/>
      <c r="I284" s="4"/>
      <c r="K284" s="11">
        <f>IF($E284="","",ROUND($E284*IF(ISNA(MATCH($C284,'Paramètres'!$D:$D,0)),1,IF(INDEX('Paramètres'!$J:$J,MATCH($C284,'Paramètres'!$D:$D,0))="",1,INDEX('Paramètres'!$J:$J,MATCH($C284,'Paramètres'!$D:$D,0)))),2))</f>
        <v>94.25</v>
      </c>
      <c r="L284" s="6" t="str">
        <f>IF($D284="","",IF($F284&lt;&gt;"",$F284,IF(ISNA(MATCH($D284,'Paramètres'!$M:$M,0)),"⚠ Type inconnu",IFERROR(INDEX('Paramètres'!$P:$P,MATCH($D284,'Paramètres'!$M:$M,0))&amp;"",""))))</f>
        <v>Débit</v>
      </c>
      <c r="M284" s="6" t="str">
        <f>IF($D284="","",IF(ISNA(MATCH($D284,'Paramètres'!$M:$M,0)),"⚠ Type inconnu",IF($L284="Crédit","",IFERROR(INDEX('Paramètres'!$O:$O,MATCH($D284,'Paramètres'!$M:$M,0))&amp;"",""))))</f>
        <v>Dépense Fixe</v>
      </c>
      <c r="N284" s="6" t="str">
        <f>IF($D284="","",IFERROR(INDEX('Paramètres'!$Q:$Q,MATCH($D284,'Paramètres'!$M:$M,0))&amp;"",""))</f>
        <v>Immobilier</v>
      </c>
      <c r="O284" s="6">
        <f>IF($A284="","",IF(OR($J284&lt;&gt;"x",$A284&lt;=FinReleve),1,0))</f>
        <v>1</v>
      </c>
      <c r="P284" s="6">
        <f>IF($D284="","",IF(AND($L284="Crédit",OR(IFERROR(INDEX('Paramètres'!$O:$O,MATCH($D284,'Paramètres'!$M:$M,0))&amp;"","")&lt;&gt;"",ISNUMBER(SEARCH("remboursement",IFERROR(INDEX('Paramètres'!$N:$N,MATCH($D284,'Paramètres'!$M:$M,0))&amp;"",""))))),1,0))</f>
        <v>0</v>
      </c>
      <c r="Q284" s="6">
        <f>IF($K284="","",IF(ISNUMBER(SEARCH("transfert-interne",IFERROR(INDEX('Paramètres'!$N:$N,MATCH($D284,'Paramètres'!$M:$M,0))&amp;"",""))),0,IF($L284="Débit",$K284,IF($P284=1,-$K284,0))))</f>
        <v>94.25</v>
      </c>
      <c r="R284" s="6">
        <f>IF($K284="","",IF($L284="Crédit",$K284,-$K284))</f>
        <v>-94.25</v>
      </c>
      <c r="S284" s="6" t="str">
        <f>IF($C284="","",IFERROR(INDEX('Paramètres'!$H:$H,MATCH($C284,'Paramètres'!$D:$D,0))&amp;"",""))</f>
        <v>Banque A - Courant</v>
      </c>
      <c r="T284" s="6">
        <f>IF($K284="","",IF($S284="",0,IF(ISNUMBER(SEARCH("apport-exterieur",IFERROR(INDEX('Paramètres'!$N:$N,MATCH($D284,'Paramètres'!$M:$M,0))&amp;"",""))),0,IF(OR(IFERROR(INDEX('Paramètres'!$I:$I,MATCH($C284,'Paramètres'!$D:$D,0))&amp;"","")="Les deux",IFERROR(INDEX('Paramètres'!$I:$I,MATCH($C284,'Paramètres'!$D:$D,0))&amp;"","")=IF($P284=1,"Débit",$L284)),-IF($P284=1,-$K284,$K284),0))))</f>
        <v>0</v>
      </c>
      <c r="U284" s="6">
        <f>IF($K284="","",IF(ISNUMBER(SEARCH("sortie-epargne",IFERROR(INDEX('Paramètres'!$N:$N,MATCH($D284,'Paramètres'!$M:$M,0))&amp;"",""))),$K284,0))</f>
        <v>0</v>
      </c>
      <c r="V284" s="6" t="str">
        <f>IF(AND($A284&lt;&gt;"",$O284=1,$L284="Débit",N($Q284)&gt;0,$A284&gt;=Visualisation!$B$1,$A284&lt;Visualisation!$D$1),MAX($V$1:V283)+1,"")</f>
        <v/>
      </c>
    </row>
    <row r="285" spans="1:22" x14ac:dyDescent="0.25">
      <c r="A285" s="9">
        <v>45731</v>
      </c>
      <c r="B285" s="4" t="s">
        <v>69</v>
      </c>
      <c r="C285" s="4" t="s">
        <v>70</v>
      </c>
      <c r="D285" s="4" t="s">
        <v>71</v>
      </c>
      <c r="E285" s="10">
        <v>7.68</v>
      </c>
      <c r="G285" s="4" t="s">
        <v>72</v>
      </c>
      <c r="H285" s="4"/>
      <c r="I285" s="4"/>
      <c r="K285" s="11">
        <f>IF($E285="","",ROUND($E285*IF(ISNA(MATCH($C285,'Paramètres'!$D:$D,0)),1,IF(INDEX('Paramètres'!$J:$J,MATCH($C285,'Paramètres'!$D:$D,0))="",1,INDEX('Paramètres'!$J:$J,MATCH($C285,'Paramètres'!$D:$D,0)))),2))</f>
        <v>7.68</v>
      </c>
      <c r="L285" s="6" t="str">
        <f>IF($D285="","",IF($F285&lt;&gt;"",$F285,IF(ISNA(MATCH($D285,'Paramètres'!$M:$M,0)),"⚠ Type inconnu",IFERROR(INDEX('Paramètres'!$P:$P,MATCH($D285,'Paramètres'!$M:$M,0))&amp;"",""))))</f>
        <v>Débit</v>
      </c>
      <c r="M285" s="6" t="str">
        <f>IF($D285="","",IF(ISNA(MATCH($D285,'Paramètres'!$M:$M,0)),"⚠ Type inconnu",IF($L285="Crédit","",IFERROR(INDEX('Paramètres'!$O:$O,MATCH($D285,'Paramètres'!$M:$M,0))&amp;"",""))))</f>
        <v>Dépense Courante</v>
      </c>
      <c r="N285" s="6" t="str">
        <f>IF($D285="","",IFERROR(INDEX('Paramètres'!$Q:$Q,MATCH($D285,'Paramètres'!$M:$M,0))&amp;"",""))</f>
        <v>Alimentation</v>
      </c>
      <c r="O285" s="6">
        <f>IF($A285="","",IF(OR($J285&lt;&gt;"x",$A285&lt;=FinReleve),1,0))</f>
        <v>1</v>
      </c>
      <c r="P285" s="6">
        <f>IF($D285="","",IF(AND($L285="Crédit",OR(IFERROR(INDEX('Paramètres'!$O:$O,MATCH($D285,'Paramètres'!$M:$M,0))&amp;"","")&lt;&gt;"",ISNUMBER(SEARCH("remboursement",IFERROR(INDEX('Paramètres'!$N:$N,MATCH($D285,'Paramètres'!$M:$M,0))&amp;"",""))))),1,0))</f>
        <v>0</v>
      </c>
      <c r="Q285" s="6">
        <f>IF($K285="","",IF(ISNUMBER(SEARCH("transfert-interne",IFERROR(INDEX('Paramètres'!$N:$N,MATCH($D285,'Paramètres'!$M:$M,0))&amp;"",""))),0,IF($L285="Débit",$K285,IF($P285=1,-$K285,0))))</f>
        <v>7.68</v>
      </c>
      <c r="R285" s="6">
        <f>IF($K285="","",IF($L285="Crédit",$K285,-$K285))</f>
        <v>-7.68</v>
      </c>
      <c r="S285" s="6" t="str">
        <f>IF($C285="","",IFERROR(INDEX('Paramètres'!$H:$H,MATCH($C285,'Paramètres'!$D:$D,0))&amp;"",""))</f>
        <v/>
      </c>
      <c r="T285" s="6">
        <f>IF($K285="","",IF($S285="",0,IF(ISNUMBER(SEARCH("apport-exterieur",IFERROR(INDEX('Paramètres'!$N:$N,MATCH($D285,'Paramètres'!$M:$M,0))&amp;"",""))),0,IF(OR(IFERROR(INDEX('Paramètres'!$I:$I,MATCH($C285,'Paramètres'!$D:$D,0))&amp;"","")="Les deux",IFERROR(INDEX('Paramètres'!$I:$I,MATCH($C285,'Paramètres'!$D:$D,0))&amp;"","")=IF($P285=1,"Débit",$L285)),-IF($P285=1,-$K285,$K285),0))))</f>
        <v>0</v>
      </c>
      <c r="U285" s="6">
        <f>IF($K285="","",IF(ISNUMBER(SEARCH("sortie-epargne",IFERROR(INDEX('Paramètres'!$N:$N,MATCH($D285,'Paramètres'!$M:$M,0))&amp;"",""))),$K285,0))</f>
        <v>0</v>
      </c>
      <c r="V285" s="6" t="str">
        <f>IF(AND($A285&lt;&gt;"",$O285=1,$L285="Débit",N($Q285)&gt;0,$A285&gt;=Visualisation!$B$1,$A285&lt;Visualisation!$D$1),MAX($V$1:V284)+1,"")</f>
        <v/>
      </c>
    </row>
    <row r="286" spans="1:22" x14ac:dyDescent="0.25">
      <c r="A286" s="9">
        <v>45732</v>
      </c>
      <c r="B286" s="4" t="s">
        <v>76</v>
      </c>
      <c r="C286" s="4" t="s">
        <v>60</v>
      </c>
      <c r="D286" s="4" t="s">
        <v>77</v>
      </c>
      <c r="E286" s="10">
        <v>171.08</v>
      </c>
      <c r="G286" s="4" t="s">
        <v>95</v>
      </c>
      <c r="H286" s="4"/>
      <c r="I286" s="4" t="s">
        <v>73</v>
      </c>
      <c r="K286" s="11">
        <f>IF($E286="","",ROUND($E286*IF(ISNA(MATCH($C286,'Paramètres'!$D:$D,0)),1,IF(INDEX('Paramètres'!$J:$J,MATCH($C286,'Paramètres'!$D:$D,0))="",1,INDEX('Paramètres'!$J:$J,MATCH($C286,'Paramètres'!$D:$D,0)))),2))</f>
        <v>85.54</v>
      </c>
      <c r="L286" s="6" t="str">
        <f>IF($D286="","",IF($F286&lt;&gt;"",$F286,IF(ISNA(MATCH($D286,'Paramètres'!$M:$M,0)),"⚠ Type inconnu",IFERROR(INDEX('Paramètres'!$P:$P,MATCH($D286,'Paramètres'!$M:$M,0))&amp;"",""))))</f>
        <v>Débit</v>
      </c>
      <c r="M286" s="6" t="str">
        <f>IF($D286="","",IF(ISNA(MATCH($D286,'Paramètres'!$M:$M,0)),"⚠ Type inconnu",IF($L286="Crédit","",IFERROR(INDEX('Paramètres'!$O:$O,MATCH($D286,'Paramètres'!$M:$M,0))&amp;"",""))))</f>
        <v>Dépense Courante</v>
      </c>
      <c r="N286" s="6" t="str">
        <f>IF($D286="","",IFERROR(INDEX('Paramètres'!$Q:$Q,MATCH($D286,'Paramètres'!$M:$M,0))&amp;"",""))</f>
        <v>Alimentation</v>
      </c>
      <c r="O286" s="6">
        <f>IF($A286="","",IF(OR($J286&lt;&gt;"x",$A286&lt;=FinReleve),1,0))</f>
        <v>1</v>
      </c>
      <c r="P286" s="6">
        <f>IF($D286="","",IF(AND($L286="Crédit",OR(IFERROR(INDEX('Paramètres'!$O:$O,MATCH($D286,'Paramètres'!$M:$M,0))&amp;"","")&lt;&gt;"",ISNUMBER(SEARCH("remboursement",IFERROR(INDEX('Paramètres'!$N:$N,MATCH($D286,'Paramètres'!$M:$M,0))&amp;"",""))))),1,0))</f>
        <v>0</v>
      </c>
      <c r="Q286" s="6">
        <f>IF($K286="","",IF(ISNUMBER(SEARCH("transfert-interne",IFERROR(INDEX('Paramètres'!$N:$N,MATCH($D286,'Paramètres'!$M:$M,0))&amp;"",""))),0,IF($L286="Débit",$K286,IF($P286=1,-$K286,0))))</f>
        <v>85.54</v>
      </c>
      <c r="R286" s="6">
        <f>IF($K286="","",IF($L286="Crédit",$K286,-$K286))</f>
        <v>-85.54</v>
      </c>
      <c r="S286" s="6" t="str">
        <f>IF($C286="","",IFERROR(INDEX('Paramètres'!$H:$H,MATCH($C286,'Paramètres'!$D:$D,0))&amp;"",""))</f>
        <v>Banque A - Courant</v>
      </c>
      <c r="T286" s="6">
        <f>IF($K286="","",IF($S286="",0,IF(ISNUMBER(SEARCH("apport-exterieur",IFERROR(INDEX('Paramètres'!$N:$N,MATCH($D286,'Paramètres'!$M:$M,0))&amp;"",""))),0,IF(OR(IFERROR(INDEX('Paramètres'!$I:$I,MATCH($C286,'Paramètres'!$D:$D,0))&amp;"","")="Les deux",IFERROR(INDEX('Paramètres'!$I:$I,MATCH($C286,'Paramètres'!$D:$D,0))&amp;"","")=IF($P286=1,"Débit",$L286)),-IF($P286=1,-$K286,$K286),0))))</f>
        <v>-85.54</v>
      </c>
      <c r="U286" s="6">
        <f>IF($K286="","",IF(ISNUMBER(SEARCH("sortie-epargne",IFERROR(INDEX('Paramètres'!$N:$N,MATCH($D286,'Paramètres'!$M:$M,0))&amp;"",""))),$K286,0))</f>
        <v>0</v>
      </c>
      <c r="V286" s="6" t="str">
        <f>IF(AND($A286&lt;&gt;"",$O286=1,$L286="Débit",N($Q286)&gt;0,$A286&gt;=Visualisation!$B$1,$A286&lt;Visualisation!$D$1),MAX($V$1:V285)+1,"")</f>
        <v/>
      </c>
    </row>
    <row r="287" spans="1:22" x14ac:dyDescent="0.25">
      <c r="A287" s="9">
        <v>45734</v>
      </c>
      <c r="B287" s="4" t="s">
        <v>103</v>
      </c>
      <c r="C287" s="4" t="s">
        <v>75</v>
      </c>
      <c r="D287" s="4" t="s">
        <v>103</v>
      </c>
      <c r="E287" s="10">
        <v>212</v>
      </c>
      <c r="G287" s="4"/>
      <c r="H287" s="4"/>
      <c r="I287" s="4"/>
      <c r="K287" s="11">
        <f>IF($E287="","",ROUND($E287*IF(ISNA(MATCH($C287,'Paramètres'!$D:$D,0)),1,IF(INDEX('Paramètres'!$J:$J,MATCH($C287,'Paramètres'!$D:$D,0))="",1,INDEX('Paramètres'!$J:$J,MATCH($C287,'Paramètres'!$D:$D,0)))),2))</f>
        <v>212</v>
      </c>
      <c r="L287" s="6" t="str">
        <f>IF($D287="","",IF($F287&lt;&gt;"",$F287,IF(ISNA(MATCH($D287,'Paramètres'!$M:$M,0)),"⚠ Type inconnu",IFERROR(INDEX('Paramètres'!$P:$P,MATCH($D287,'Paramètres'!$M:$M,0))&amp;"",""))))</f>
        <v>Débit</v>
      </c>
      <c r="M287" s="6" t="str">
        <f>IF($D287="","",IF(ISNA(MATCH($D287,'Paramètres'!$M:$M,0)),"⚠ Type inconnu",IF($L287="Crédit","",IFERROR(INDEX('Paramètres'!$O:$O,MATCH($D287,'Paramètres'!$M:$M,0))&amp;"",""))))</f>
        <v>Dépense Fixe</v>
      </c>
      <c r="N287" s="6" t="str">
        <f>IF($D287="","",IFERROR(INDEX('Paramètres'!$Q:$Q,MATCH($D287,'Paramètres'!$M:$M,0))&amp;"",""))</f>
        <v>Impots</v>
      </c>
      <c r="O287" s="6">
        <f>IF($A287="","",IF(OR($J287&lt;&gt;"x",$A287&lt;=FinReleve),1,0))</f>
        <v>1</v>
      </c>
      <c r="P287" s="6">
        <f>IF($D287="","",IF(AND($L287="Crédit",OR(IFERROR(INDEX('Paramètres'!$O:$O,MATCH($D287,'Paramètres'!$M:$M,0))&amp;"","")&lt;&gt;"",ISNUMBER(SEARCH("remboursement",IFERROR(INDEX('Paramètres'!$N:$N,MATCH($D287,'Paramètres'!$M:$M,0))&amp;"",""))))),1,0))</f>
        <v>0</v>
      </c>
      <c r="Q287" s="6">
        <f>IF($K287="","",IF(ISNUMBER(SEARCH("transfert-interne",IFERROR(INDEX('Paramètres'!$N:$N,MATCH($D287,'Paramètres'!$M:$M,0))&amp;"",""))),0,IF($L287="Débit",$K287,IF($P287=1,-$K287,0))))</f>
        <v>212</v>
      </c>
      <c r="R287" s="6">
        <f>IF($K287="","",IF($L287="Crédit",$K287,-$K287))</f>
        <v>-212</v>
      </c>
      <c r="S287" s="6" t="str">
        <f>IF($C287="","",IFERROR(INDEX('Paramètres'!$H:$H,MATCH($C287,'Paramètres'!$D:$D,0))&amp;"",""))</f>
        <v/>
      </c>
      <c r="T287" s="6">
        <f>IF($K287="","",IF($S287="",0,IF(ISNUMBER(SEARCH("apport-exterieur",IFERROR(INDEX('Paramètres'!$N:$N,MATCH($D287,'Paramètres'!$M:$M,0))&amp;"",""))),0,IF(OR(IFERROR(INDEX('Paramètres'!$I:$I,MATCH($C287,'Paramètres'!$D:$D,0))&amp;"","")="Les deux",IFERROR(INDEX('Paramètres'!$I:$I,MATCH($C287,'Paramètres'!$D:$D,0))&amp;"","")=IF($P287=1,"Débit",$L287)),-IF($P287=1,-$K287,$K287),0))))</f>
        <v>0</v>
      </c>
      <c r="U287" s="6">
        <f>IF($K287="","",IF(ISNUMBER(SEARCH("sortie-epargne",IFERROR(INDEX('Paramètres'!$N:$N,MATCH($D287,'Paramètres'!$M:$M,0))&amp;"",""))),$K287,0))</f>
        <v>0</v>
      </c>
      <c r="V287" s="6" t="str">
        <f>IF(AND($A287&lt;&gt;"",$O287=1,$L287="Débit",N($Q287)&gt;0,$A287&gt;=Visualisation!$B$1,$A287&lt;Visualisation!$D$1),MAX($V$1:V286)+1,"")</f>
        <v/>
      </c>
    </row>
    <row r="288" spans="1:22" x14ac:dyDescent="0.25">
      <c r="A288" s="9">
        <v>45734</v>
      </c>
      <c r="B288" s="4" t="s">
        <v>76</v>
      </c>
      <c r="C288" s="4" t="s">
        <v>67</v>
      </c>
      <c r="D288" s="4" t="s">
        <v>77</v>
      </c>
      <c r="E288" s="10">
        <v>42.64</v>
      </c>
      <c r="G288" s="4" t="s">
        <v>98</v>
      </c>
      <c r="H288" s="4"/>
      <c r="I288" s="4" t="s">
        <v>93</v>
      </c>
      <c r="K288" s="11">
        <f>IF($E288="","",ROUND($E288*IF(ISNA(MATCH($C288,'Paramètres'!$D:$D,0)),1,IF(INDEX('Paramètres'!$J:$J,MATCH($C288,'Paramètres'!$D:$D,0))="",1,INDEX('Paramètres'!$J:$J,MATCH($C288,'Paramètres'!$D:$D,0)))),2))</f>
        <v>21.32</v>
      </c>
      <c r="L288" s="6" t="str">
        <f>IF($D288="","",IF($F288&lt;&gt;"",$F288,IF(ISNA(MATCH($D288,'Paramètres'!$M:$M,0)),"⚠ Type inconnu",IFERROR(INDEX('Paramètres'!$P:$P,MATCH($D288,'Paramètres'!$M:$M,0))&amp;"",""))))</f>
        <v>Débit</v>
      </c>
      <c r="M288" s="6" t="str">
        <f>IF($D288="","",IF(ISNA(MATCH($D288,'Paramètres'!$M:$M,0)),"⚠ Type inconnu",IF($L288="Crédit","",IFERROR(INDEX('Paramètres'!$O:$O,MATCH($D288,'Paramètres'!$M:$M,0))&amp;"",""))))</f>
        <v>Dépense Courante</v>
      </c>
      <c r="N288" s="6" t="str">
        <f>IF($D288="","",IFERROR(INDEX('Paramètres'!$Q:$Q,MATCH($D288,'Paramètres'!$M:$M,0))&amp;"",""))</f>
        <v>Alimentation</v>
      </c>
      <c r="O288" s="6">
        <f>IF($A288="","",IF(OR($J288&lt;&gt;"x",$A288&lt;=FinReleve),1,0))</f>
        <v>1</v>
      </c>
      <c r="P288" s="6">
        <f>IF($D288="","",IF(AND($L288="Crédit",OR(IFERROR(INDEX('Paramètres'!$O:$O,MATCH($D288,'Paramètres'!$M:$M,0))&amp;"","")&lt;&gt;"",ISNUMBER(SEARCH("remboursement",IFERROR(INDEX('Paramètres'!$N:$N,MATCH($D288,'Paramètres'!$M:$M,0))&amp;"",""))))),1,0))</f>
        <v>0</v>
      </c>
      <c r="Q288" s="6">
        <f>IF($K288="","",IF(ISNUMBER(SEARCH("transfert-interne",IFERROR(INDEX('Paramètres'!$N:$N,MATCH($D288,'Paramètres'!$M:$M,0))&amp;"",""))),0,IF($L288="Débit",$K288,IF($P288=1,-$K288,0))))</f>
        <v>21.32</v>
      </c>
      <c r="R288" s="6">
        <f>IF($K288="","",IF($L288="Crédit",$K288,-$K288))</f>
        <v>-21.32</v>
      </c>
      <c r="S288" s="6" t="str">
        <f>IF($C288="","",IFERROR(INDEX('Paramètres'!$H:$H,MATCH($C288,'Paramètres'!$D:$D,0))&amp;"",""))</f>
        <v>Banque A - Courant</v>
      </c>
      <c r="T288" s="6">
        <f>IF($K288="","",IF($S288="",0,IF(ISNUMBER(SEARCH("apport-exterieur",IFERROR(INDEX('Paramètres'!$N:$N,MATCH($D288,'Paramètres'!$M:$M,0))&amp;"",""))),0,IF(OR(IFERROR(INDEX('Paramètres'!$I:$I,MATCH($C288,'Paramètres'!$D:$D,0))&amp;"","")="Les deux",IFERROR(INDEX('Paramètres'!$I:$I,MATCH($C288,'Paramètres'!$D:$D,0))&amp;"","")=IF($P288=1,"Débit",$L288)),-IF($P288=1,-$K288,$K288),0))))</f>
        <v>0</v>
      </c>
      <c r="U288" s="6">
        <f>IF($K288="","",IF(ISNUMBER(SEARCH("sortie-epargne",IFERROR(INDEX('Paramètres'!$N:$N,MATCH($D288,'Paramètres'!$M:$M,0))&amp;"",""))),$K288,0))</f>
        <v>0</v>
      </c>
      <c r="V288" s="6" t="str">
        <f>IF(AND($A288&lt;&gt;"",$O288=1,$L288="Débit",N($Q288)&gt;0,$A288&gt;=Visualisation!$B$1,$A288&lt;Visualisation!$D$1),MAX($V$1:V287)+1,"")</f>
        <v/>
      </c>
    </row>
    <row r="289" spans="1:22" x14ac:dyDescent="0.25">
      <c r="A289" s="9">
        <v>45735</v>
      </c>
      <c r="B289" s="4" t="s">
        <v>69</v>
      </c>
      <c r="C289" s="4" t="s">
        <v>70</v>
      </c>
      <c r="D289" s="4" t="s">
        <v>71</v>
      </c>
      <c r="E289" s="10">
        <v>14.21</v>
      </c>
      <c r="G289" s="4" t="s">
        <v>72</v>
      </c>
      <c r="H289" s="4"/>
      <c r="I289" s="4"/>
      <c r="K289" s="11">
        <f>IF($E289="","",ROUND($E289*IF(ISNA(MATCH($C289,'Paramètres'!$D:$D,0)),1,IF(INDEX('Paramètres'!$J:$J,MATCH($C289,'Paramètres'!$D:$D,0))="",1,INDEX('Paramètres'!$J:$J,MATCH($C289,'Paramètres'!$D:$D,0)))),2))</f>
        <v>14.21</v>
      </c>
      <c r="L289" s="6" t="str">
        <f>IF($D289="","",IF($F289&lt;&gt;"",$F289,IF(ISNA(MATCH($D289,'Paramètres'!$M:$M,0)),"⚠ Type inconnu",IFERROR(INDEX('Paramètres'!$P:$P,MATCH($D289,'Paramètres'!$M:$M,0))&amp;"",""))))</f>
        <v>Débit</v>
      </c>
      <c r="M289" s="6" t="str">
        <f>IF($D289="","",IF(ISNA(MATCH($D289,'Paramètres'!$M:$M,0)),"⚠ Type inconnu",IF($L289="Crédit","",IFERROR(INDEX('Paramètres'!$O:$O,MATCH($D289,'Paramètres'!$M:$M,0))&amp;"",""))))</f>
        <v>Dépense Courante</v>
      </c>
      <c r="N289" s="6" t="str">
        <f>IF($D289="","",IFERROR(INDEX('Paramètres'!$Q:$Q,MATCH($D289,'Paramètres'!$M:$M,0))&amp;"",""))</f>
        <v>Alimentation</v>
      </c>
      <c r="O289" s="6">
        <f>IF($A289="","",IF(OR($J289&lt;&gt;"x",$A289&lt;=FinReleve),1,0))</f>
        <v>1</v>
      </c>
      <c r="P289" s="6">
        <f>IF($D289="","",IF(AND($L289="Crédit",OR(IFERROR(INDEX('Paramètres'!$O:$O,MATCH($D289,'Paramètres'!$M:$M,0))&amp;"","")&lt;&gt;"",ISNUMBER(SEARCH("remboursement",IFERROR(INDEX('Paramètres'!$N:$N,MATCH($D289,'Paramètres'!$M:$M,0))&amp;"",""))))),1,0))</f>
        <v>0</v>
      </c>
      <c r="Q289" s="6">
        <f>IF($K289="","",IF(ISNUMBER(SEARCH("transfert-interne",IFERROR(INDEX('Paramètres'!$N:$N,MATCH($D289,'Paramètres'!$M:$M,0))&amp;"",""))),0,IF($L289="Débit",$K289,IF($P289=1,-$K289,0))))</f>
        <v>14.21</v>
      </c>
      <c r="R289" s="6">
        <f>IF($K289="","",IF($L289="Crédit",$K289,-$K289))</f>
        <v>-14.21</v>
      </c>
      <c r="S289" s="6" t="str">
        <f>IF($C289="","",IFERROR(INDEX('Paramètres'!$H:$H,MATCH($C289,'Paramètres'!$D:$D,0))&amp;"",""))</f>
        <v/>
      </c>
      <c r="T289" s="6">
        <f>IF($K289="","",IF($S289="",0,IF(ISNUMBER(SEARCH("apport-exterieur",IFERROR(INDEX('Paramètres'!$N:$N,MATCH($D289,'Paramètres'!$M:$M,0))&amp;"",""))),0,IF(OR(IFERROR(INDEX('Paramètres'!$I:$I,MATCH($C289,'Paramètres'!$D:$D,0))&amp;"","")="Les deux",IFERROR(INDEX('Paramètres'!$I:$I,MATCH($C289,'Paramètres'!$D:$D,0))&amp;"","")=IF($P289=1,"Débit",$L289)),-IF($P289=1,-$K289,$K289),0))))</f>
        <v>0</v>
      </c>
      <c r="U289" s="6">
        <f>IF($K289="","",IF(ISNUMBER(SEARCH("sortie-epargne",IFERROR(INDEX('Paramètres'!$N:$N,MATCH($D289,'Paramètres'!$M:$M,0))&amp;"",""))),$K289,0))</f>
        <v>0</v>
      </c>
      <c r="V289" s="6" t="str">
        <f>IF(AND($A289&lt;&gt;"",$O289=1,$L289="Débit",N($Q289)&gt;0,$A289&gt;=Visualisation!$B$1,$A289&lt;Visualisation!$D$1),MAX($V$1:V288)+1,"")</f>
        <v/>
      </c>
    </row>
    <row r="290" spans="1:22" x14ac:dyDescent="0.25">
      <c r="A290" s="9">
        <v>45737</v>
      </c>
      <c r="B290" s="4" t="s">
        <v>69</v>
      </c>
      <c r="C290" s="4" t="s">
        <v>70</v>
      </c>
      <c r="D290" s="4" t="s">
        <v>71</v>
      </c>
      <c r="E290" s="10">
        <v>14.47</v>
      </c>
      <c r="G290" s="4" t="s">
        <v>72</v>
      </c>
      <c r="H290" s="4"/>
      <c r="I290" s="4"/>
      <c r="K290" s="11">
        <f>IF($E290="","",ROUND($E290*IF(ISNA(MATCH($C290,'Paramètres'!$D:$D,0)),1,IF(INDEX('Paramètres'!$J:$J,MATCH($C290,'Paramètres'!$D:$D,0))="",1,INDEX('Paramètres'!$J:$J,MATCH($C290,'Paramètres'!$D:$D,0)))),2))</f>
        <v>14.47</v>
      </c>
      <c r="L290" s="6" t="str">
        <f>IF($D290="","",IF($F290&lt;&gt;"",$F290,IF(ISNA(MATCH($D290,'Paramètres'!$M:$M,0)),"⚠ Type inconnu",IFERROR(INDEX('Paramètres'!$P:$P,MATCH($D290,'Paramètres'!$M:$M,0))&amp;"",""))))</f>
        <v>Débit</v>
      </c>
      <c r="M290" s="6" t="str">
        <f>IF($D290="","",IF(ISNA(MATCH($D290,'Paramètres'!$M:$M,0)),"⚠ Type inconnu",IF($L290="Crédit","",IFERROR(INDEX('Paramètres'!$O:$O,MATCH($D290,'Paramètres'!$M:$M,0))&amp;"",""))))</f>
        <v>Dépense Courante</v>
      </c>
      <c r="N290" s="6" t="str">
        <f>IF($D290="","",IFERROR(INDEX('Paramètres'!$Q:$Q,MATCH($D290,'Paramètres'!$M:$M,0))&amp;"",""))</f>
        <v>Alimentation</v>
      </c>
      <c r="O290" s="6">
        <f>IF($A290="","",IF(OR($J290&lt;&gt;"x",$A290&lt;=FinReleve),1,0))</f>
        <v>1</v>
      </c>
      <c r="P290" s="6">
        <f>IF($D290="","",IF(AND($L290="Crédit",OR(IFERROR(INDEX('Paramètres'!$O:$O,MATCH($D290,'Paramètres'!$M:$M,0))&amp;"","")&lt;&gt;"",ISNUMBER(SEARCH("remboursement",IFERROR(INDEX('Paramètres'!$N:$N,MATCH($D290,'Paramètres'!$M:$M,0))&amp;"",""))))),1,0))</f>
        <v>0</v>
      </c>
      <c r="Q290" s="6">
        <f>IF($K290="","",IF(ISNUMBER(SEARCH("transfert-interne",IFERROR(INDEX('Paramètres'!$N:$N,MATCH($D290,'Paramètres'!$M:$M,0))&amp;"",""))),0,IF($L290="Débit",$K290,IF($P290=1,-$K290,0))))</f>
        <v>14.47</v>
      </c>
      <c r="R290" s="6">
        <f>IF($K290="","",IF($L290="Crédit",$K290,-$K290))</f>
        <v>-14.47</v>
      </c>
      <c r="S290" s="6" t="str">
        <f>IF($C290="","",IFERROR(INDEX('Paramètres'!$H:$H,MATCH($C290,'Paramètres'!$D:$D,0))&amp;"",""))</f>
        <v/>
      </c>
      <c r="T290" s="6">
        <f>IF($K290="","",IF($S290="",0,IF(ISNUMBER(SEARCH("apport-exterieur",IFERROR(INDEX('Paramètres'!$N:$N,MATCH($D290,'Paramètres'!$M:$M,0))&amp;"",""))),0,IF(OR(IFERROR(INDEX('Paramètres'!$I:$I,MATCH($C290,'Paramètres'!$D:$D,0))&amp;"","")="Les deux",IFERROR(INDEX('Paramètres'!$I:$I,MATCH($C290,'Paramètres'!$D:$D,0))&amp;"","")=IF($P290=1,"Débit",$L290)),-IF($P290=1,-$K290,$K290),0))))</f>
        <v>0</v>
      </c>
      <c r="U290" s="6">
        <f>IF($K290="","",IF(ISNUMBER(SEARCH("sortie-epargne",IFERROR(INDEX('Paramètres'!$N:$N,MATCH($D290,'Paramètres'!$M:$M,0))&amp;"",""))),$K290,0))</f>
        <v>0</v>
      </c>
      <c r="V290" s="6" t="str">
        <f>IF(AND($A290&lt;&gt;"",$O290=1,$L290="Débit",N($Q290)&gt;0,$A290&gt;=Visualisation!$B$1,$A290&lt;Visualisation!$D$1),MAX($V$1:V289)+1,"")</f>
        <v/>
      </c>
    </row>
    <row r="291" spans="1:22" x14ac:dyDescent="0.25">
      <c r="A291" s="9">
        <v>45739</v>
      </c>
      <c r="B291" s="4" t="s">
        <v>76</v>
      </c>
      <c r="C291" s="4" t="s">
        <v>67</v>
      </c>
      <c r="D291" s="4" t="s">
        <v>77</v>
      </c>
      <c r="E291" s="10">
        <v>89.42</v>
      </c>
      <c r="G291" s="4" t="s">
        <v>95</v>
      </c>
      <c r="H291" s="4"/>
      <c r="I291" s="4" t="s">
        <v>73</v>
      </c>
      <c r="K291" s="11">
        <f>IF($E291="","",ROUND($E291*IF(ISNA(MATCH($C291,'Paramètres'!$D:$D,0)),1,IF(INDEX('Paramètres'!$J:$J,MATCH($C291,'Paramètres'!$D:$D,0))="",1,INDEX('Paramètres'!$J:$J,MATCH($C291,'Paramètres'!$D:$D,0)))),2))</f>
        <v>44.71</v>
      </c>
      <c r="L291" s="6" t="str">
        <f>IF($D291="","",IF($F291&lt;&gt;"",$F291,IF(ISNA(MATCH($D291,'Paramètres'!$M:$M,0)),"⚠ Type inconnu",IFERROR(INDEX('Paramètres'!$P:$P,MATCH($D291,'Paramètres'!$M:$M,0))&amp;"",""))))</f>
        <v>Débit</v>
      </c>
      <c r="M291" s="6" t="str">
        <f>IF($D291="","",IF(ISNA(MATCH($D291,'Paramètres'!$M:$M,0)),"⚠ Type inconnu",IF($L291="Crédit","",IFERROR(INDEX('Paramètres'!$O:$O,MATCH($D291,'Paramètres'!$M:$M,0))&amp;"",""))))</f>
        <v>Dépense Courante</v>
      </c>
      <c r="N291" s="6" t="str">
        <f>IF($D291="","",IFERROR(INDEX('Paramètres'!$Q:$Q,MATCH($D291,'Paramètres'!$M:$M,0))&amp;"",""))</f>
        <v>Alimentation</v>
      </c>
      <c r="O291" s="6">
        <f>IF($A291="","",IF(OR($J291&lt;&gt;"x",$A291&lt;=FinReleve),1,0))</f>
        <v>1</v>
      </c>
      <c r="P291" s="6">
        <f>IF($D291="","",IF(AND($L291="Crédit",OR(IFERROR(INDEX('Paramètres'!$O:$O,MATCH($D291,'Paramètres'!$M:$M,0))&amp;"","")&lt;&gt;"",ISNUMBER(SEARCH("remboursement",IFERROR(INDEX('Paramètres'!$N:$N,MATCH($D291,'Paramètres'!$M:$M,0))&amp;"",""))))),1,0))</f>
        <v>0</v>
      </c>
      <c r="Q291" s="6">
        <f>IF($K291="","",IF(ISNUMBER(SEARCH("transfert-interne",IFERROR(INDEX('Paramètres'!$N:$N,MATCH($D291,'Paramètres'!$M:$M,0))&amp;"",""))),0,IF($L291="Débit",$K291,IF($P291=1,-$K291,0))))</f>
        <v>44.71</v>
      </c>
      <c r="R291" s="6">
        <f>IF($K291="","",IF($L291="Crédit",$K291,-$K291))</f>
        <v>-44.71</v>
      </c>
      <c r="S291" s="6" t="str">
        <f>IF($C291="","",IFERROR(INDEX('Paramètres'!$H:$H,MATCH($C291,'Paramètres'!$D:$D,0))&amp;"",""))</f>
        <v>Banque A - Courant</v>
      </c>
      <c r="T291" s="6">
        <f>IF($K291="","",IF($S291="",0,IF(ISNUMBER(SEARCH("apport-exterieur",IFERROR(INDEX('Paramètres'!$N:$N,MATCH($D291,'Paramètres'!$M:$M,0))&amp;"",""))),0,IF(OR(IFERROR(INDEX('Paramètres'!$I:$I,MATCH($C291,'Paramètres'!$D:$D,0))&amp;"","")="Les deux",IFERROR(INDEX('Paramètres'!$I:$I,MATCH($C291,'Paramètres'!$D:$D,0))&amp;"","")=IF($P291=1,"Débit",$L291)),-IF($P291=1,-$K291,$K291),0))))</f>
        <v>0</v>
      </c>
      <c r="U291" s="6">
        <f>IF($K291="","",IF(ISNUMBER(SEARCH("sortie-epargne",IFERROR(INDEX('Paramètres'!$N:$N,MATCH($D291,'Paramètres'!$M:$M,0))&amp;"",""))),$K291,0))</f>
        <v>0</v>
      </c>
      <c r="V291" s="6" t="str">
        <f>IF(AND($A291&lt;&gt;"",$O291=1,$L291="Débit",N($Q291)&gt;0,$A291&gt;=Visualisation!$B$1,$A291&lt;Visualisation!$D$1),MAX($V$1:V290)+1,"")</f>
        <v/>
      </c>
    </row>
    <row r="292" spans="1:22" x14ac:dyDescent="0.25">
      <c r="A292" s="9">
        <v>45739</v>
      </c>
      <c r="B292" s="4" t="s">
        <v>69</v>
      </c>
      <c r="C292" s="4" t="s">
        <v>70</v>
      </c>
      <c r="D292" s="4" t="s">
        <v>71</v>
      </c>
      <c r="E292" s="10">
        <v>8.43</v>
      </c>
      <c r="G292" s="4" t="s">
        <v>72</v>
      </c>
      <c r="H292" s="4"/>
      <c r="I292" s="4"/>
      <c r="K292" s="11">
        <f>IF($E292="","",ROUND($E292*IF(ISNA(MATCH($C292,'Paramètres'!$D:$D,0)),1,IF(INDEX('Paramètres'!$J:$J,MATCH($C292,'Paramètres'!$D:$D,0))="",1,INDEX('Paramètres'!$J:$J,MATCH($C292,'Paramètres'!$D:$D,0)))),2))</f>
        <v>8.43</v>
      </c>
      <c r="L292" s="6" t="str">
        <f>IF($D292="","",IF($F292&lt;&gt;"",$F292,IF(ISNA(MATCH($D292,'Paramètres'!$M:$M,0)),"⚠ Type inconnu",IFERROR(INDEX('Paramètres'!$P:$P,MATCH($D292,'Paramètres'!$M:$M,0))&amp;"",""))))</f>
        <v>Débit</v>
      </c>
      <c r="M292" s="6" t="str">
        <f>IF($D292="","",IF(ISNA(MATCH($D292,'Paramètres'!$M:$M,0)),"⚠ Type inconnu",IF($L292="Crédit","",IFERROR(INDEX('Paramètres'!$O:$O,MATCH($D292,'Paramètres'!$M:$M,0))&amp;"",""))))</f>
        <v>Dépense Courante</v>
      </c>
      <c r="N292" s="6" t="str">
        <f>IF($D292="","",IFERROR(INDEX('Paramètres'!$Q:$Q,MATCH($D292,'Paramètres'!$M:$M,0))&amp;"",""))</f>
        <v>Alimentation</v>
      </c>
      <c r="O292" s="6">
        <f>IF($A292="","",IF(OR($J292&lt;&gt;"x",$A292&lt;=FinReleve),1,0))</f>
        <v>1</v>
      </c>
      <c r="P292" s="6">
        <f>IF($D292="","",IF(AND($L292="Crédit",OR(IFERROR(INDEX('Paramètres'!$O:$O,MATCH($D292,'Paramètres'!$M:$M,0))&amp;"","")&lt;&gt;"",ISNUMBER(SEARCH("remboursement",IFERROR(INDEX('Paramètres'!$N:$N,MATCH($D292,'Paramètres'!$M:$M,0))&amp;"",""))))),1,0))</f>
        <v>0</v>
      </c>
      <c r="Q292" s="6">
        <f>IF($K292="","",IF(ISNUMBER(SEARCH("transfert-interne",IFERROR(INDEX('Paramètres'!$N:$N,MATCH($D292,'Paramètres'!$M:$M,0))&amp;"",""))),0,IF($L292="Débit",$K292,IF($P292=1,-$K292,0))))</f>
        <v>8.43</v>
      </c>
      <c r="R292" s="6">
        <f>IF($K292="","",IF($L292="Crédit",$K292,-$K292))</f>
        <v>-8.43</v>
      </c>
      <c r="S292" s="6" t="str">
        <f>IF($C292="","",IFERROR(INDEX('Paramètres'!$H:$H,MATCH($C292,'Paramètres'!$D:$D,0))&amp;"",""))</f>
        <v/>
      </c>
      <c r="T292" s="6">
        <f>IF($K292="","",IF($S292="",0,IF(ISNUMBER(SEARCH("apport-exterieur",IFERROR(INDEX('Paramètres'!$N:$N,MATCH($D292,'Paramètres'!$M:$M,0))&amp;"",""))),0,IF(OR(IFERROR(INDEX('Paramètres'!$I:$I,MATCH($C292,'Paramètres'!$D:$D,0))&amp;"","")="Les deux",IFERROR(INDEX('Paramètres'!$I:$I,MATCH($C292,'Paramètres'!$D:$D,0))&amp;"","")=IF($P292=1,"Débit",$L292)),-IF($P292=1,-$K292,$K292),0))))</f>
        <v>0</v>
      </c>
      <c r="U292" s="6">
        <f>IF($K292="","",IF(ISNUMBER(SEARCH("sortie-epargne",IFERROR(INDEX('Paramètres'!$N:$N,MATCH($D292,'Paramètres'!$M:$M,0))&amp;"",""))),$K292,0))</f>
        <v>0</v>
      </c>
      <c r="V292" s="6" t="str">
        <f>IF(AND($A292&lt;&gt;"",$O292=1,$L292="Débit",N($Q292)&gt;0,$A292&gt;=Visualisation!$B$1,$A292&lt;Visualisation!$D$1),MAX($V$1:V291)+1,"")</f>
        <v/>
      </c>
    </row>
    <row r="293" spans="1:22" x14ac:dyDescent="0.25">
      <c r="A293" s="9">
        <v>45740</v>
      </c>
      <c r="B293" s="4" t="s">
        <v>76</v>
      </c>
      <c r="C293" s="4" t="s">
        <v>67</v>
      </c>
      <c r="D293" s="4" t="s">
        <v>77</v>
      </c>
      <c r="E293" s="10">
        <v>127.44</v>
      </c>
      <c r="G293" s="4" t="s">
        <v>95</v>
      </c>
      <c r="H293" s="4"/>
      <c r="I293" s="4"/>
      <c r="K293" s="11">
        <f>IF($E293="","",ROUND($E293*IF(ISNA(MATCH($C293,'Paramètres'!$D:$D,0)),1,IF(INDEX('Paramètres'!$J:$J,MATCH($C293,'Paramètres'!$D:$D,0))="",1,INDEX('Paramètres'!$J:$J,MATCH($C293,'Paramètres'!$D:$D,0)))),2))</f>
        <v>63.72</v>
      </c>
      <c r="L293" s="6" t="str">
        <f>IF($D293="","",IF($F293&lt;&gt;"",$F293,IF(ISNA(MATCH($D293,'Paramètres'!$M:$M,0)),"⚠ Type inconnu",IFERROR(INDEX('Paramètres'!$P:$P,MATCH($D293,'Paramètres'!$M:$M,0))&amp;"",""))))</f>
        <v>Débit</v>
      </c>
      <c r="M293" s="6" t="str">
        <f>IF($D293="","",IF(ISNA(MATCH($D293,'Paramètres'!$M:$M,0)),"⚠ Type inconnu",IF($L293="Crédit","",IFERROR(INDEX('Paramètres'!$O:$O,MATCH($D293,'Paramètres'!$M:$M,0))&amp;"",""))))</f>
        <v>Dépense Courante</v>
      </c>
      <c r="N293" s="6" t="str">
        <f>IF($D293="","",IFERROR(INDEX('Paramètres'!$Q:$Q,MATCH($D293,'Paramètres'!$M:$M,0))&amp;"",""))</f>
        <v>Alimentation</v>
      </c>
      <c r="O293" s="6">
        <f>IF($A293="","",IF(OR($J293&lt;&gt;"x",$A293&lt;=FinReleve),1,0))</f>
        <v>1</v>
      </c>
      <c r="P293" s="6">
        <f>IF($D293="","",IF(AND($L293="Crédit",OR(IFERROR(INDEX('Paramètres'!$O:$O,MATCH($D293,'Paramètres'!$M:$M,0))&amp;"","")&lt;&gt;"",ISNUMBER(SEARCH("remboursement",IFERROR(INDEX('Paramètres'!$N:$N,MATCH($D293,'Paramètres'!$M:$M,0))&amp;"",""))))),1,0))</f>
        <v>0</v>
      </c>
      <c r="Q293" s="6">
        <f>IF($K293="","",IF(ISNUMBER(SEARCH("transfert-interne",IFERROR(INDEX('Paramètres'!$N:$N,MATCH($D293,'Paramètres'!$M:$M,0))&amp;"",""))),0,IF($L293="Débit",$K293,IF($P293=1,-$K293,0))))</f>
        <v>63.72</v>
      </c>
      <c r="R293" s="6">
        <f>IF($K293="","",IF($L293="Crédit",$K293,-$K293))</f>
        <v>-63.72</v>
      </c>
      <c r="S293" s="6" t="str">
        <f>IF($C293="","",IFERROR(INDEX('Paramètres'!$H:$H,MATCH($C293,'Paramètres'!$D:$D,0))&amp;"",""))</f>
        <v>Banque A - Courant</v>
      </c>
      <c r="T293" s="6">
        <f>IF($K293="","",IF($S293="",0,IF(ISNUMBER(SEARCH("apport-exterieur",IFERROR(INDEX('Paramètres'!$N:$N,MATCH($D293,'Paramètres'!$M:$M,0))&amp;"",""))),0,IF(OR(IFERROR(INDEX('Paramètres'!$I:$I,MATCH($C293,'Paramètres'!$D:$D,0))&amp;"","")="Les deux",IFERROR(INDEX('Paramètres'!$I:$I,MATCH($C293,'Paramètres'!$D:$D,0))&amp;"","")=IF($P293=1,"Débit",$L293)),-IF($P293=1,-$K293,$K293),0))))</f>
        <v>0</v>
      </c>
      <c r="U293" s="6">
        <f>IF($K293="","",IF(ISNUMBER(SEARCH("sortie-epargne",IFERROR(INDEX('Paramètres'!$N:$N,MATCH($D293,'Paramètres'!$M:$M,0))&amp;"",""))),$K293,0))</f>
        <v>0</v>
      </c>
      <c r="V293" s="6" t="str">
        <f>IF(AND($A293&lt;&gt;"",$O293=1,$L293="Débit",N($Q293)&gt;0,$A293&gt;=Visualisation!$B$1,$A293&lt;Visualisation!$D$1),MAX($V$1:V292)+1,"")</f>
        <v/>
      </c>
    </row>
    <row r="294" spans="1:22" x14ac:dyDescent="0.25">
      <c r="A294" s="9">
        <v>45740</v>
      </c>
      <c r="B294" s="4" t="s">
        <v>119</v>
      </c>
      <c r="C294" s="4" t="s">
        <v>126</v>
      </c>
      <c r="D294" s="4" t="s">
        <v>119</v>
      </c>
      <c r="E294" s="10">
        <v>68.52</v>
      </c>
      <c r="G294" s="4" t="s">
        <v>127</v>
      </c>
      <c r="H294" s="4"/>
      <c r="I294" s="4"/>
      <c r="K294" s="11">
        <f>IF($E294="","",ROUND($E294*IF(ISNA(MATCH($C294,'Paramètres'!$D:$D,0)),1,IF(INDEX('Paramètres'!$J:$J,MATCH($C294,'Paramètres'!$D:$D,0))="",1,INDEX('Paramètres'!$J:$J,MATCH($C294,'Paramètres'!$D:$D,0)))),2))</f>
        <v>34.26</v>
      </c>
      <c r="L294" s="6" t="str">
        <f>IF($D294="","",IF($F294&lt;&gt;"",$F294,IF(ISNA(MATCH($D294,'Paramètres'!$M:$M,0)),"⚠ Type inconnu",IFERROR(INDEX('Paramètres'!$P:$P,MATCH($D294,'Paramètres'!$M:$M,0))&amp;"",""))))</f>
        <v>Débit</v>
      </c>
      <c r="M294" s="6" t="str">
        <f>IF($D294="","",IF(ISNA(MATCH($D294,'Paramètres'!$M:$M,0)),"⚠ Type inconnu",IF($L294="Crédit","",IFERROR(INDEX('Paramètres'!$O:$O,MATCH($D294,'Paramètres'!$M:$M,0))&amp;"",""))))</f>
        <v>Dépense Occasionnelle</v>
      </c>
      <c r="N294" s="6" t="str">
        <f>IF($D294="","",IFERROR(INDEX('Paramètres'!$Q:$Q,MATCH($D294,'Paramètres'!$M:$M,0))&amp;"",""))</f>
        <v>Alimentation</v>
      </c>
      <c r="O294" s="6">
        <f>IF($A294="","",IF(OR($J294&lt;&gt;"x",$A294&lt;=FinReleve),1,0))</f>
        <v>1</v>
      </c>
      <c r="P294" s="6">
        <f>IF($D294="","",IF(AND($L294="Crédit",OR(IFERROR(INDEX('Paramètres'!$O:$O,MATCH($D294,'Paramètres'!$M:$M,0))&amp;"","")&lt;&gt;"",ISNUMBER(SEARCH("remboursement",IFERROR(INDEX('Paramètres'!$N:$N,MATCH($D294,'Paramètres'!$M:$M,0))&amp;"",""))))),1,0))</f>
        <v>0</v>
      </c>
      <c r="Q294" s="6">
        <f>IF($K294="","",IF(ISNUMBER(SEARCH("transfert-interne",IFERROR(INDEX('Paramètres'!$N:$N,MATCH($D294,'Paramètres'!$M:$M,0))&amp;"",""))),0,IF($L294="Débit",$K294,IF($P294=1,-$K294,0))))</f>
        <v>34.26</v>
      </c>
      <c r="R294" s="6">
        <f>IF($K294="","",IF($L294="Crédit",$K294,-$K294))</f>
        <v>-34.26</v>
      </c>
      <c r="S294" s="6" t="str">
        <f>IF($C294="","",IFERROR(INDEX('Paramètres'!$H:$H,MATCH($C294,'Paramètres'!$D:$D,0))&amp;"",""))</f>
        <v>Banque A - Courant</v>
      </c>
      <c r="T294" s="6">
        <f>IF($K294="","",IF($S294="",0,IF(ISNUMBER(SEARCH("apport-exterieur",IFERROR(INDEX('Paramètres'!$N:$N,MATCH($D294,'Paramètres'!$M:$M,0))&amp;"",""))),0,IF(OR(IFERROR(INDEX('Paramètres'!$I:$I,MATCH($C294,'Paramètres'!$D:$D,0))&amp;"","")="Les deux",IFERROR(INDEX('Paramètres'!$I:$I,MATCH($C294,'Paramètres'!$D:$D,0))&amp;"","")=IF($P294=1,"Débit",$L294)),-IF($P294=1,-$K294,$K294),0))))</f>
        <v>-34.26</v>
      </c>
      <c r="U294" s="6">
        <f>IF($K294="","",IF(ISNUMBER(SEARCH("sortie-epargne",IFERROR(INDEX('Paramètres'!$N:$N,MATCH($D294,'Paramètres'!$M:$M,0))&amp;"",""))),$K294,0))</f>
        <v>0</v>
      </c>
      <c r="V294" s="6" t="str">
        <f>IF(AND($A294&lt;&gt;"",$O294=1,$L294="Débit",N($Q294)&gt;0,$A294&gt;=Visualisation!$B$1,$A294&lt;Visualisation!$D$1),MAX($V$1:V293)+1,"")</f>
        <v/>
      </c>
    </row>
    <row r="295" spans="1:22" x14ac:dyDescent="0.25">
      <c r="A295" s="9">
        <v>45741</v>
      </c>
      <c r="B295" s="4" t="s">
        <v>76</v>
      </c>
      <c r="C295" s="4" t="s">
        <v>67</v>
      </c>
      <c r="D295" s="4" t="s">
        <v>77</v>
      </c>
      <c r="E295" s="10">
        <v>159.7</v>
      </c>
      <c r="G295" s="4" t="s">
        <v>98</v>
      </c>
      <c r="H295" s="4"/>
      <c r="I295" s="4"/>
      <c r="K295" s="11">
        <f>IF($E295="","",ROUND($E295*IF(ISNA(MATCH($C295,'Paramètres'!$D:$D,0)),1,IF(INDEX('Paramètres'!$J:$J,MATCH($C295,'Paramètres'!$D:$D,0))="",1,INDEX('Paramètres'!$J:$J,MATCH($C295,'Paramètres'!$D:$D,0)))),2))</f>
        <v>79.85</v>
      </c>
      <c r="L295" s="6" t="str">
        <f>IF($D295="","",IF($F295&lt;&gt;"",$F295,IF(ISNA(MATCH($D295,'Paramètres'!$M:$M,0)),"⚠ Type inconnu",IFERROR(INDEX('Paramètres'!$P:$P,MATCH($D295,'Paramètres'!$M:$M,0))&amp;"",""))))</f>
        <v>Débit</v>
      </c>
      <c r="M295" s="6" t="str">
        <f>IF($D295="","",IF(ISNA(MATCH($D295,'Paramètres'!$M:$M,0)),"⚠ Type inconnu",IF($L295="Crédit","",IFERROR(INDEX('Paramètres'!$O:$O,MATCH($D295,'Paramètres'!$M:$M,0))&amp;"",""))))</f>
        <v>Dépense Courante</v>
      </c>
      <c r="N295" s="6" t="str">
        <f>IF($D295="","",IFERROR(INDEX('Paramètres'!$Q:$Q,MATCH($D295,'Paramètres'!$M:$M,0))&amp;"",""))</f>
        <v>Alimentation</v>
      </c>
      <c r="O295" s="6">
        <f>IF($A295="","",IF(OR($J295&lt;&gt;"x",$A295&lt;=FinReleve),1,0))</f>
        <v>1</v>
      </c>
      <c r="P295" s="6">
        <f>IF($D295="","",IF(AND($L295="Crédit",OR(IFERROR(INDEX('Paramètres'!$O:$O,MATCH($D295,'Paramètres'!$M:$M,0))&amp;"","")&lt;&gt;"",ISNUMBER(SEARCH("remboursement",IFERROR(INDEX('Paramètres'!$N:$N,MATCH($D295,'Paramètres'!$M:$M,0))&amp;"",""))))),1,0))</f>
        <v>0</v>
      </c>
      <c r="Q295" s="6">
        <f>IF($K295="","",IF(ISNUMBER(SEARCH("transfert-interne",IFERROR(INDEX('Paramètres'!$N:$N,MATCH($D295,'Paramètres'!$M:$M,0))&amp;"",""))),0,IF($L295="Débit",$K295,IF($P295=1,-$K295,0))))</f>
        <v>79.85</v>
      </c>
      <c r="R295" s="6">
        <f>IF($K295="","",IF($L295="Crédit",$K295,-$K295))</f>
        <v>-79.85</v>
      </c>
      <c r="S295" s="6" t="str">
        <f>IF($C295="","",IFERROR(INDEX('Paramètres'!$H:$H,MATCH($C295,'Paramètres'!$D:$D,0))&amp;"",""))</f>
        <v>Banque A - Courant</v>
      </c>
      <c r="T295" s="6">
        <f>IF($K295="","",IF($S295="",0,IF(ISNUMBER(SEARCH("apport-exterieur",IFERROR(INDEX('Paramètres'!$N:$N,MATCH($D295,'Paramètres'!$M:$M,0))&amp;"",""))),0,IF(OR(IFERROR(INDEX('Paramètres'!$I:$I,MATCH($C295,'Paramètres'!$D:$D,0))&amp;"","")="Les deux",IFERROR(INDEX('Paramètres'!$I:$I,MATCH($C295,'Paramètres'!$D:$D,0))&amp;"","")=IF($P295=1,"Débit",$L295)),-IF($P295=1,-$K295,$K295),0))))</f>
        <v>0</v>
      </c>
      <c r="U295" s="6">
        <f>IF($K295="","",IF(ISNUMBER(SEARCH("sortie-epargne",IFERROR(INDEX('Paramètres'!$N:$N,MATCH($D295,'Paramètres'!$M:$M,0))&amp;"",""))),$K295,0))</f>
        <v>0</v>
      </c>
      <c r="V295" s="6" t="str">
        <f>IF(AND($A295&lt;&gt;"",$O295=1,$L295="Débit",N($Q295)&gt;0,$A295&gt;=Visualisation!$B$1,$A295&lt;Visualisation!$D$1),MAX($V$1:V294)+1,"")</f>
        <v/>
      </c>
    </row>
    <row r="296" spans="1:22" x14ac:dyDescent="0.25">
      <c r="A296" s="9">
        <v>45742</v>
      </c>
      <c r="B296" s="4" t="s">
        <v>105</v>
      </c>
      <c r="C296" s="4" t="s">
        <v>75</v>
      </c>
      <c r="D296" s="4" t="s">
        <v>110</v>
      </c>
      <c r="E296" s="10">
        <v>150</v>
      </c>
      <c r="G296" s="4"/>
      <c r="H296" s="4"/>
      <c r="I296" s="4"/>
      <c r="K296" s="11">
        <f>IF($E296="","",ROUND($E296*IF(ISNA(MATCH($C296,'Paramètres'!$D:$D,0)),1,IF(INDEX('Paramètres'!$J:$J,MATCH($C296,'Paramètres'!$D:$D,0))="",1,INDEX('Paramètres'!$J:$J,MATCH($C296,'Paramètres'!$D:$D,0)))),2))</f>
        <v>150</v>
      </c>
      <c r="L296" s="6" t="str">
        <f>IF($D296="","",IF($F296&lt;&gt;"",$F296,IF(ISNA(MATCH($D296,'Paramètres'!$M:$M,0)),"⚠ Type inconnu",IFERROR(INDEX('Paramètres'!$P:$P,MATCH($D296,'Paramètres'!$M:$M,0))&amp;"",""))))</f>
        <v>Débit</v>
      </c>
      <c r="M296" s="6" t="str">
        <f>IF($D296="","",IF(ISNA(MATCH($D296,'Paramètres'!$M:$M,0)),"⚠ Type inconnu",IF($L296="Crédit","",IFERROR(INDEX('Paramètres'!$O:$O,MATCH($D296,'Paramètres'!$M:$M,0))&amp;"",""))))</f>
        <v/>
      </c>
      <c r="N296" s="6" t="str">
        <f>IF($D296="","",IFERROR(INDEX('Paramètres'!$Q:$Q,MATCH($D296,'Paramètres'!$M:$M,0))&amp;"",""))</f>
        <v>Comptes Bancaires</v>
      </c>
      <c r="O296" s="6">
        <f>IF($A296="","",IF(OR($J296&lt;&gt;"x",$A296&lt;=FinReleve),1,0))</f>
        <v>1</v>
      </c>
      <c r="P296" s="6">
        <f>IF($D296="","",IF(AND($L296="Crédit",OR(IFERROR(INDEX('Paramètres'!$O:$O,MATCH($D296,'Paramètres'!$M:$M,0))&amp;"","")&lt;&gt;"",ISNUMBER(SEARCH("remboursement",IFERROR(INDEX('Paramètres'!$N:$N,MATCH($D296,'Paramètres'!$M:$M,0))&amp;"",""))))),1,0))</f>
        <v>0</v>
      </c>
      <c r="Q296" s="6">
        <f>IF($K296="","",IF(ISNUMBER(SEARCH("transfert-interne",IFERROR(INDEX('Paramètres'!$N:$N,MATCH($D296,'Paramètres'!$M:$M,0))&amp;"",""))),0,IF($L296="Débit",$K296,IF($P296=1,-$K296,0))))</f>
        <v>0</v>
      </c>
      <c r="R296" s="6">
        <f>IF($K296="","",IF($L296="Crédit",$K296,-$K296))</f>
        <v>-150</v>
      </c>
      <c r="S296" s="6" t="str">
        <f>IF($C296="","",IFERROR(INDEX('Paramètres'!$H:$H,MATCH($C296,'Paramètres'!$D:$D,0))&amp;"",""))</f>
        <v/>
      </c>
      <c r="T296" s="6">
        <f>IF($K296="","",IF($S296="",0,IF(ISNUMBER(SEARCH("apport-exterieur",IFERROR(INDEX('Paramètres'!$N:$N,MATCH($D296,'Paramètres'!$M:$M,0))&amp;"",""))),0,IF(OR(IFERROR(INDEX('Paramètres'!$I:$I,MATCH($C296,'Paramètres'!$D:$D,0))&amp;"","")="Les deux",IFERROR(INDEX('Paramètres'!$I:$I,MATCH($C296,'Paramètres'!$D:$D,0))&amp;"","")=IF($P296=1,"Débit",$L296)),-IF($P296=1,-$K296,$K296),0))))</f>
        <v>0</v>
      </c>
      <c r="U296" s="6">
        <f>IF($K296="","",IF(ISNUMBER(SEARCH("sortie-epargne",IFERROR(INDEX('Paramètres'!$N:$N,MATCH($D296,'Paramètres'!$M:$M,0))&amp;"",""))),$K296,0))</f>
        <v>0</v>
      </c>
      <c r="V296" s="6" t="str">
        <f>IF(AND($A296&lt;&gt;"",$O296=1,$L296="Débit",N($Q296)&gt;0,$A296&gt;=Visualisation!$B$1,$A296&lt;Visualisation!$D$1),MAX($V$1:V295)+1,"")</f>
        <v/>
      </c>
    </row>
    <row r="297" spans="1:22" x14ac:dyDescent="0.25">
      <c r="A297" s="9">
        <v>45742</v>
      </c>
      <c r="B297" s="4" t="s">
        <v>105</v>
      </c>
      <c r="C297" s="4" t="s">
        <v>75</v>
      </c>
      <c r="D297" s="4" t="s">
        <v>111</v>
      </c>
      <c r="E297" s="10">
        <v>200</v>
      </c>
      <c r="G297" s="4"/>
      <c r="H297" s="4"/>
      <c r="I297" s="4"/>
      <c r="K297" s="11">
        <f>IF($E297="","",ROUND($E297*IF(ISNA(MATCH($C297,'Paramètres'!$D:$D,0)),1,IF(INDEX('Paramètres'!$J:$J,MATCH($C297,'Paramètres'!$D:$D,0))="",1,INDEX('Paramètres'!$J:$J,MATCH($C297,'Paramètres'!$D:$D,0)))),2))</f>
        <v>200</v>
      </c>
      <c r="L297" s="6" t="str">
        <f>IF($D297="","",IF($F297&lt;&gt;"",$F297,IF(ISNA(MATCH($D297,'Paramètres'!$M:$M,0)),"⚠ Type inconnu",IFERROR(INDEX('Paramètres'!$P:$P,MATCH($D297,'Paramètres'!$M:$M,0))&amp;"",""))))</f>
        <v>Débit</v>
      </c>
      <c r="M297" s="6" t="str">
        <f>IF($D297="","",IF(ISNA(MATCH($D297,'Paramètres'!$M:$M,0)),"⚠ Type inconnu",IF($L297="Crédit","",IFERROR(INDEX('Paramètres'!$O:$O,MATCH($D297,'Paramètres'!$M:$M,0))&amp;"",""))))</f>
        <v/>
      </c>
      <c r="N297" s="6" t="str">
        <f>IF($D297="","",IFERROR(INDEX('Paramètres'!$Q:$Q,MATCH($D297,'Paramètres'!$M:$M,0))&amp;"",""))</f>
        <v>Comptes Bancaires</v>
      </c>
      <c r="O297" s="6">
        <f>IF($A297="","",IF(OR($J297&lt;&gt;"x",$A297&lt;=FinReleve),1,0))</f>
        <v>1</v>
      </c>
      <c r="P297" s="6">
        <f>IF($D297="","",IF(AND($L297="Crédit",OR(IFERROR(INDEX('Paramètres'!$O:$O,MATCH($D297,'Paramètres'!$M:$M,0))&amp;"","")&lt;&gt;"",ISNUMBER(SEARCH("remboursement",IFERROR(INDEX('Paramètres'!$N:$N,MATCH($D297,'Paramètres'!$M:$M,0))&amp;"",""))))),1,0))</f>
        <v>0</v>
      </c>
      <c r="Q297" s="6">
        <f>IF($K297="","",IF(ISNUMBER(SEARCH("transfert-interne",IFERROR(INDEX('Paramètres'!$N:$N,MATCH($D297,'Paramètres'!$M:$M,0))&amp;"",""))),0,IF($L297="Débit",$K297,IF($P297=1,-$K297,0))))</f>
        <v>200</v>
      </c>
      <c r="R297" s="6">
        <f>IF($K297="","",IF($L297="Crédit",$K297,-$K297))</f>
        <v>-200</v>
      </c>
      <c r="S297" s="6" t="str">
        <f>IF($C297="","",IFERROR(INDEX('Paramètres'!$H:$H,MATCH($C297,'Paramètres'!$D:$D,0))&amp;"",""))</f>
        <v/>
      </c>
      <c r="T297" s="6">
        <f>IF($K297="","",IF($S297="",0,IF(ISNUMBER(SEARCH("apport-exterieur",IFERROR(INDEX('Paramètres'!$N:$N,MATCH($D297,'Paramètres'!$M:$M,0))&amp;"",""))),0,IF(OR(IFERROR(INDEX('Paramètres'!$I:$I,MATCH($C297,'Paramètres'!$D:$D,0))&amp;"","")="Les deux",IFERROR(INDEX('Paramètres'!$I:$I,MATCH($C297,'Paramètres'!$D:$D,0))&amp;"","")=IF($P297=1,"Débit",$L297)),-IF($P297=1,-$K297,$K297),0))))</f>
        <v>0</v>
      </c>
      <c r="U297" s="6">
        <f>IF($K297="","",IF(ISNUMBER(SEARCH("sortie-epargne",IFERROR(INDEX('Paramètres'!$N:$N,MATCH($D297,'Paramètres'!$M:$M,0))&amp;"",""))),$K297,0))</f>
        <v>0</v>
      </c>
      <c r="V297" s="6" t="str">
        <f>IF(AND($A297&lt;&gt;"",$O297=1,$L297="Débit",N($Q297)&gt;0,$A297&gt;=Visualisation!$B$1,$A297&lt;Visualisation!$D$1),MAX($V$1:V296)+1,"")</f>
        <v/>
      </c>
    </row>
    <row r="298" spans="1:22" x14ac:dyDescent="0.25">
      <c r="A298" s="9">
        <v>45742</v>
      </c>
      <c r="B298" s="4" t="s">
        <v>112</v>
      </c>
      <c r="C298" s="4" t="s">
        <v>75</v>
      </c>
      <c r="D298" s="4" t="s">
        <v>113</v>
      </c>
      <c r="E298" s="10">
        <v>120</v>
      </c>
      <c r="G298" s="4"/>
      <c r="H298" s="4"/>
      <c r="I298" s="4"/>
      <c r="K298" s="11">
        <f>IF($E298="","",ROUND($E298*IF(ISNA(MATCH($C298,'Paramètres'!$D:$D,0)),1,IF(INDEX('Paramètres'!$J:$J,MATCH($C298,'Paramètres'!$D:$D,0))="",1,INDEX('Paramètres'!$J:$J,MATCH($C298,'Paramètres'!$D:$D,0)))),2))</f>
        <v>120</v>
      </c>
      <c r="L298" s="6" t="str">
        <f>IF($D298="","",IF($F298&lt;&gt;"",$F298,IF(ISNA(MATCH($D298,'Paramètres'!$M:$M,0)),"⚠ Type inconnu",IFERROR(INDEX('Paramètres'!$P:$P,MATCH($D298,'Paramètres'!$M:$M,0))&amp;"",""))))</f>
        <v>Débit</v>
      </c>
      <c r="M298" s="6" t="str">
        <f>IF($D298="","",IF(ISNA(MATCH($D298,'Paramètres'!$M:$M,0)),"⚠ Type inconnu",IF($L298="Crédit","",IFERROR(INDEX('Paramètres'!$O:$O,MATCH($D298,'Paramètres'!$M:$M,0))&amp;"",""))))</f>
        <v/>
      </c>
      <c r="N298" s="6" t="str">
        <f>IF($D298="","",IFERROR(INDEX('Paramètres'!$Q:$Q,MATCH($D298,'Paramètres'!$M:$M,0))&amp;"",""))</f>
        <v>Comptes Bancaires</v>
      </c>
      <c r="O298" s="6">
        <f>IF($A298="","",IF(OR($J298&lt;&gt;"x",$A298&lt;=FinReleve),1,0))</f>
        <v>1</v>
      </c>
      <c r="P298" s="6">
        <f>IF($D298="","",IF(AND($L298="Crédit",OR(IFERROR(INDEX('Paramètres'!$O:$O,MATCH($D298,'Paramètres'!$M:$M,0))&amp;"","")&lt;&gt;"",ISNUMBER(SEARCH("remboursement",IFERROR(INDEX('Paramètres'!$N:$N,MATCH($D298,'Paramètres'!$M:$M,0))&amp;"",""))))),1,0))</f>
        <v>0</v>
      </c>
      <c r="Q298" s="6">
        <f>IF($K298="","",IF(ISNUMBER(SEARCH("transfert-interne",IFERROR(INDEX('Paramètres'!$N:$N,MATCH($D298,'Paramètres'!$M:$M,0))&amp;"",""))),0,IF($L298="Débit",$K298,IF($P298=1,-$K298,0))))</f>
        <v>120</v>
      </c>
      <c r="R298" s="6">
        <f>IF($K298="","",IF($L298="Crédit",$K298,-$K298))</f>
        <v>-120</v>
      </c>
      <c r="S298" s="6" t="str">
        <f>IF($C298="","",IFERROR(INDEX('Paramètres'!$H:$H,MATCH($C298,'Paramètres'!$D:$D,0))&amp;"",""))</f>
        <v/>
      </c>
      <c r="T298" s="6">
        <f>IF($K298="","",IF($S298="",0,IF(ISNUMBER(SEARCH("apport-exterieur",IFERROR(INDEX('Paramètres'!$N:$N,MATCH($D298,'Paramètres'!$M:$M,0))&amp;"",""))),0,IF(OR(IFERROR(INDEX('Paramètres'!$I:$I,MATCH($C298,'Paramètres'!$D:$D,0))&amp;"","")="Les deux",IFERROR(INDEX('Paramètres'!$I:$I,MATCH($C298,'Paramètres'!$D:$D,0))&amp;"","")=IF($P298=1,"Débit",$L298)),-IF($P298=1,-$K298,$K298),0))))</f>
        <v>0</v>
      </c>
      <c r="U298" s="6">
        <f>IF($K298="","",IF(ISNUMBER(SEARCH("sortie-epargne",IFERROR(INDEX('Paramètres'!$N:$N,MATCH($D298,'Paramètres'!$M:$M,0))&amp;"",""))),$K298,0))</f>
        <v>0</v>
      </c>
      <c r="V298" s="6" t="str">
        <f>IF(AND($A298&lt;&gt;"",$O298=1,$L298="Débit",N($Q298)&gt;0,$A298&gt;=Visualisation!$B$1,$A298&lt;Visualisation!$D$1),MAX($V$1:V297)+1,"")</f>
        <v/>
      </c>
    </row>
    <row r="299" spans="1:22" x14ac:dyDescent="0.25">
      <c r="A299" s="9">
        <v>45743</v>
      </c>
      <c r="B299" s="4" t="s">
        <v>114</v>
      </c>
      <c r="C299" s="4" t="s">
        <v>75</v>
      </c>
      <c r="D299" s="4" t="s">
        <v>115</v>
      </c>
      <c r="E299" s="10">
        <v>2911.67</v>
      </c>
      <c r="G299" s="4" t="s">
        <v>115</v>
      </c>
      <c r="H299" s="4"/>
      <c r="I299" s="4"/>
      <c r="K299" s="11">
        <f>IF($E299="","",ROUND($E299*IF(ISNA(MATCH($C299,'Paramètres'!$D:$D,0)),1,IF(INDEX('Paramètres'!$J:$J,MATCH($C299,'Paramètres'!$D:$D,0))="",1,INDEX('Paramètres'!$J:$J,MATCH($C299,'Paramètres'!$D:$D,0)))),2))</f>
        <v>2911.67</v>
      </c>
      <c r="L299" s="6" t="str">
        <f>IF($D299="","",IF($F299&lt;&gt;"",$F299,IF(ISNA(MATCH($D299,'Paramètres'!$M:$M,0)),"⚠ Type inconnu",IFERROR(INDEX('Paramètres'!$P:$P,MATCH($D299,'Paramètres'!$M:$M,0))&amp;"",""))))</f>
        <v>Crédit</v>
      </c>
      <c r="M299" s="6" t="str">
        <f>IF($D299="","",IF(ISNA(MATCH($D299,'Paramètres'!$M:$M,0)),"⚠ Type inconnu",IF($L299="Crédit","",IFERROR(INDEX('Paramètres'!$O:$O,MATCH($D299,'Paramètres'!$M:$M,0))&amp;"",""))))</f>
        <v/>
      </c>
      <c r="N299" s="6" t="str">
        <f>IF($D299="","",IFERROR(INDEX('Paramètres'!$Q:$Q,MATCH($D299,'Paramètres'!$M:$M,0))&amp;"",""))</f>
        <v/>
      </c>
      <c r="O299" s="6">
        <f>IF($A299="","",IF(OR($J299&lt;&gt;"x",$A299&lt;=FinReleve),1,0))</f>
        <v>1</v>
      </c>
      <c r="P299" s="6">
        <f>IF($D299="","",IF(AND($L299="Crédit",OR(IFERROR(INDEX('Paramètres'!$O:$O,MATCH($D299,'Paramètres'!$M:$M,0))&amp;"","")&lt;&gt;"",ISNUMBER(SEARCH("remboursement",IFERROR(INDEX('Paramètres'!$N:$N,MATCH($D299,'Paramètres'!$M:$M,0))&amp;"",""))))),1,0))</f>
        <v>0</v>
      </c>
      <c r="Q299" s="6">
        <f>IF($K299="","",IF(ISNUMBER(SEARCH("transfert-interne",IFERROR(INDEX('Paramètres'!$N:$N,MATCH($D299,'Paramètres'!$M:$M,0))&amp;"",""))),0,IF($L299="Débit",$K299,IF($P299=1,-$K299,0))))</f>
        <v>0</v>
      </c>
      <c r="R299" s="6">
        <f>IF($K299="","",IF($L299="Crédit",$K299,-$K299))</f>
        <v>2911.67</v>
      </c>
      <c r="S299" s="6" t="str">
        <f>IF($C299="","",IFERROR(INDEX('Paramètres'!$H:$H,MATCH($C299,'Paramètres'!$D:$D,0))&amp;"",""))</f>
        <v/>
      </c>
      <c r="T299" s="6">
        <f>IF($K299="","",IF($S299="",0,IF(ISNUMBER(SEARCH("apport-exterieur",IFERROR(INDEX('Paramètres'!$N:$N,MATCH($D299,'Paramètres'!$M:$M,0))&amp;"",""))),0,IF(OR(IFERROR(INDEX('Paramètres'!$I:$I,MATCH($C299,'Paramètres'!$D:$D,0))&amp;"","")="Les deux",IFERROR(INDEX('Paramètres'!$I:$I,MATCH($C299,'Paramètres'!$D:$D,0))&amp;"","")=IF($P299=1,"Débit",$L299)),-IF($P299=1,-$K299,$K299),0))))</f>
        <v>0</v>
      </c>
      <c r="U299" s="6">
        <f>IF($K299="","",IF(ISNUMBER(SEARCH("sortie-epargne",IFERROR(INDEX('Paramètres'!$N:$N,MATCH($D299,'Paramètres'!$M:$M,0))&amp;"",""))),$K299,0))</f>
        <v>0</v>
      </c>
      <c r="V299" s="6" t="str">
        <f>IF(AND($A299&lt;&gt;"",$O299=1,$L299="Débit",N($Q299)&gt;0,$A299&gt;=Visualisation!$B$1,$A299&lt;Visualisation!$D$1),MAX($V$1:V298)+1,"")</f>
        <v/>
      </c>
    </row>
    <row r="300" spans="1:22" x14ac:dyDescent="0.25">
      <c r="A300" s="9">
        <v>45744</v>
      </c>
      <c r="B300" s="4" t="s">
        <v>118</v>
      </c>
      <c r="C300" s="4" t="s">
        <v>75</v>
      </c>
      <c r="D300" s="4" t="s">
        <v>118</v>
      </c>
      <c r="E300" s="10">
        <v>3</v>
      </c>
      <c r="G300" s="4"/>
      <c r="H300" s="4"/>
      <c r="I300" s="4"/>
      <c r="K300" s="11">
        <f>IF($E300="","",ROUND($E300*IF(ISNA(MATCH($C300,'Paramètres'!$D:$D,0)),1,IF(INDEX('Paramètres'!$J:$J,MATCH($C300,'Paramètres'!$D:$D,0))="",1,INDEX('Paramètres'!$J:$J,MATCH($C300,'Paramètres'!$D:$D,0)))),2))</f>
        <v>3</v>
      </c>
      <c r="L300" s="6" t="str">
        <f>IF($D300="","",IF($F300&lt;&gt;"",$F300,IF(ISNA(MATCH($D300,'Paramètres'!$M:$M,0)),"⚠ Type inconnu",IFERROR(INDEX('Paramètres'!$P:$P,MATCH($D300,'Paramètres'!$M:$M,0))&amp;"",""))))</f>
        <v>Débit</v>
      </c>
      <c r="M300" s="6" t="str">
        <f>IF($D300="","",IF(ISNA(MATCH($D300,'Paramètres'!$M:$M,0)),"⚠ Type inconnu",IF($L300="Crédit","",IFERROR(INDEX('Paramètres'!$O:$O,MATCH($D300,'Paramètres'!$M:$M,0))&amp;"",""))))</f>
        <v>Dépense Fixe</v>
      </c>
      <c r="N300" s="6" t="str">
        <f>IF($D300="","",IFERROR(INDEX('Paramètres'!$Q:$Q,MATCH($D300,'Paramètres'!$M:$M,0))&amp;"",""))</f>
        <v>Banque</v>
      </c>
      <c r="O300" s="6">
        <f>IF($A300="","",IF(OR($J300&lt;&gt;"x",$A300&lt;=FinReleve),1,0))</f>
        <v>1</v>
      </c>
      <c r="P300" s="6">
        <f>IF($D300="","",IF(AND($L300="Crédit",OR(IFERROR(INDEX('Paramètres'!$O:$O,MATCH($D300,'Paramètres'!$M:$M,0))&amp;"","")&lt;&gt;"",ISNUMBER(SEARCH("remboursement",IFERROR(INDEX('Paramètres'!$N:$N,MATCH($D300,'Paramètres'!$M:$M,0))&amp;"",""))))),1,0))</f>
        <v>0</v>
      </c>
      <c r="Q300" s="6">
        <f>IF($K300="","",IF(ISNUMBER(SEARCH("transfert-interne",IFERROR(INDEX('Paramètres'!$N:$N,MATCH($D300,'Paramètres'!$M:$M,0))&amp;"",""))),0,IF($L300="Débit",$K300,IF($P300=1,-$K300,0))))</f>
        <v>3</v>
      </c>
      <c r="R300" s="6">
        <f>IF($K300="","",IF($L300="Crédit",$K300,-$K300))</f>
        <v>-3</v>
      </c>
      <c r="S300" s="6" t="str">
        <f>IF($C300="","",IFERROR(INDEX('Paramètres'!$H:$H,MATCH($C300,'Paramètres'!$D:$D,0))&amp;"",""))</f>
        <v/>
      </c>
      <c r="T300" s="6">
        <f>IF($K300="","",IF($S300="",0,IF(ISNUMBER(SEARCH("apport-exterieur",IFERROR(INDEX('Paramètres'!$N:$N,MATCH($D300,'Paramètres'!$M:$M,0))&amp;"",""))),0,IF(OR(IFERROR(INDEX('Paramètres'!$I:$I,MATCH($C300,'Paramètres'!$D:$D,0))&amp;"","")="Les deux",IFERROR(INDEX('Paramètres'!$I:$I,MATCH($C300,'Paramètres'!$D:$D,0))&amp;"","")=IF($P300=1,"Débit",$L300)),-IF($P300=1,-$K300,$K300),0))))</f>
        <v>0</v>
      </c>
      <c r="U300" s="6">
        <f>IF($K300="","",IF(ISNUMBER(SEARCH("sortie-epargne",IFERROR(INDEX('Paramètres'!$N:$N,MATCH($D300,'Paramètres'!$M:$M,0))&amp;"",""))),$K300,0))</f>
        <v>0</v>
      </c>
      <c r="V300" s="6" t="str">
        <f>IF(AND($A300&lt;&gt;"",$O300=1,$L300="Débit",N($Q300)&gt;0,$A300&gt;=Visualisation!$B$1,$A300&lt;Visualisation!$D$1),MAX($V$1:V299)+1,"")</f>
        <v/>
      </c>
    </row>
    <row r="301" spans="1:22" x14ac:dyDescent="0.25">
      <c r="A301" s="9">
        <v>45749</v>
      </c>
      <c r="B301" s="4" t="s">
        <v>64</v>
      </c>
      <c r="C301" s="4" t="s">
        <v>65</v>
      </c>
      <c r="D301" s="4" t="s">
        <v>66</v>
      </c>
      <c r="E301" s="10">
        <v>1160</v>
      </c>
      <c r="G301" s="4"/>
      <c r="H301" s="4"/>
      <c r="I301" s="4"/>
      <c r="K301" s="11">
        <f>IF($E301="","",ROUND($E301*IF(ISNA(MATCH($C301,'Paramètres'!$D:$D,0)),1,IF(INDEX('Paramètres'!$J:$J,MATCH($C301,'Paramètres'!$D:$D,0))="",1,INDEX('Paramètres'!$J:$J,MATCH($C301,'Paramètres'!$D:$D,0)))),2))</f>
        <v>1160</v>
      </c>
      <c r="L301" s="6" t="str">
        <f>IF($D301="","",IF($F301&lt;&gt;"",$F301,IF(ISNA(MATCH($D301,'Paramètres'!$M:$M,0)),"⚠ Type inconnu",IFERROR(INDEX('Paramètres'!$P:$P,MATCH($D301,'Paramètres'!$M:$M,0))&amp;"",""))))</f>
        <v>Crédit</v>
      </c>
      <c r="M301" s="6" t="str">
        <f>IF($D301="","",IF(ISNA(MATCH($D301,'Paramètres'!$M:$M,0)),"⚠ Type inconnu",IF($L301="Crédit","",IFERROR(INDEX('Paramètres'!$O:$O,MATCH($D301,'Paramètres'!$M:$M,0))&amp;"",""))))</f>
        <v/>
      </c>
      <c r="N301" s="6" t="str">
        <f>IF($D301="","",IFERROR(INDEX('Paramètres'!$Q:$Q,MATCH($D301,'Paramètres'!$M:$M,0))&amp;"",""))</f>
        <v>Comptes Bancaires</v>
      </c>
      <c r="O301" s="6">
        <f>IF($A301="","",IF(OR($J301&lt;&gt;"x",$A301&lt;=FinReleve),1,0))</f>
        <v>1</v>
      </c>
      <c r="P301" s="6">
        <f>IF($D301="","",IF(AND($L301="Crédit",OR(IFERROR(INDEX('Paramètres'!$O:$O,MATCH($D301,'Paramètres'!$M:$M,0))&amp;"","")&lt;&gt;"",ISNUMBER(SEARCH("remboursement",IFERROR(INDEX('Paramètres'!$N:$N,MATCH($D301,'Paramètres'!$M:$M,0))&amp;"",""))))),1,0))</f>
        <v>0</v>
      </c>
      <c r="Q301" s="6">
        <f>IF($K301="","",IF(ISNUMBER(SEARCH("transfert-interne",IFERROR(INDEX('Paramètres'!$N:$N,MATCH($D301,'Paramètres'!$M:$M,0))&amp;"",""))),0,IF($L301="Débit",$K301,IF($P301=1,-$K301,0))))</f>
        <v>0</v>
      </c>
      <c r="R301" s="6">
        <f>IF($K301="","",IF($L301="Crédit",$K301,-$K301))</f>
        <v>1160</v>
      </c>
      <c r="S301" s="6" t="str">
        <f>IF($C301="","",IFERROR(INDEX('Paramètres'!$H:$H,MATCH($C301,'Paramètres'!$D:$D,0))&amp;"",""))</f>
        <v>Banque A - Courant</v>
      </c>
      <c r="T301" s="6">
        <f>IF($K301="","",IF($S301="",0,IF(ISNUMBER(SEARCH("apport-exterieur",IFERROR(INDEX('Paramètres'!$N:$N,MATCH($D301,'Paramètres'!$M:$M,0))&amp;"",""))),0,IF(OR(IFERROR(INDEX('Paramètres'!$I:$I,MATCH($C301,'Paramètres'!$D:$D,0))&amp;"","")="Les deux",IFERROR(INDEX('Paramètres'!$I:$I,MATCH($C301,'Paramètres'!$D:$D,0))&amp;"","")=IF($P301=1,"Débit",$L301)),-IF($P301=1,-$K301,$K301),0))))</f>
        <v>-1160</v>
      </c>
      <c r="U301" s="6">
        <f>IF($K301="","",IF(ISNUMBER(SEARCH("sortie-epargne",IFERROR(INDEX('Paramètres'!$N:$N,MATCH($D301,'Paramètres'!$M:$M,0))&amp;"",""))),$K301,0))</f>
        <v>0</v>
      </c>
      <c r="V301" s="6" t="str">
        <f>IF(AND($A301&lt;&gt;"",$O301=1,$L301="Débit",N($Q301)&gt;0,$A301&gt;=Visualisation!$B$1,$A301&lt;Visualisation!$D$1),MAX($V$1:V300)+1,"")</f>
        <v/>
      </c>
    </row>
    <row r="302" spans="1:22" x14ac:dyDescent="0.25">
      <c r="A302" s="9">
        <v>45749</v>
      </c>
      <c r="B302" s="4" t="s">
        <v>64</v>
      </c>
      <c r="C302" s="4" t="s">
        <v>67</v>
      </c>
      <c r="D302" s="4" t="s">
        <v>68</v>
      </c>
      <c r="E302" s="10">
        <v>600</v>
      </c>
      <c r="G302" s="4"/>
      <c r="H302" s="4"/>
      <c r="I302" s="4"/>
      <c r="K302" s="11">
        <f>IF($E302="","",ROUND($E302*IF(ISNA(MATCH($C302,'Paramètres'!$D:$D,0)),1,IF(INDEX('Paramètres'!$J:$J,MATCH($C302,'Paramètres'!$D:$D,0))="",1,INDEX('Paramètres'!$J:$J,MATCH($C302,'Paramètres'!$D:$D,0)))),2))</f>
        <v>300</v>
      </c>
      <c r="L302" s="6" t="str">
        <f>IF($D302="","",IF($F302&lt;&gt;"",$F302,IF(ISNA(MATCH($D302,'Paramètres'!$M:$M,0)),"⚠ Type inconnu",IFERROR(INDEX('Paramètres'!$P:$P,MATCH($D302,'Paramètres'!$M:$M,0))&amp;"",""))))</f>
        <v>Crédit</v>
      </c>
      <c r="M302" s="6" t="str">
        <f>IF($D302="","",IF(ISNA(MATCH($D302,'Paramètres'!$M:$M,0)),"⚠ Type inconnu",IF($L302="Crédit","",IFERROR(INDEX('Paramètres'!$O:$O,MATCH($D302,'Paramètres'!$M:$M,0))&amp;"",""))))</f>
        <v/>
      </c>
      <c r="N302" s="6" t="str">
        <f>IF($D302="","",IFERROR(INDEX('Paramètres'!$Q:$Q,MATCH($D302,'Paramètres'!$M:$M,0))&amp;"",""))</f>
        <v>Comptes Bancaires</v>
      </c>
      <c r="O302" s="6">
        <f>IF($A302="","",IF(OR($J302&lt;&gt;"x",$A302&lt;=FinReleve),1,0))</f>
        <v>1</v>
      </c>
      <c r="P302" s="6">
        <f>IF($D302="","",IF(AND($L302="Crédit",OR(IFERROR(INDEX('Paramètres'!$O:$O,MATCH($D302,'Paramètres'!$M:$M,0))&amp;"","")&lt;&gt;"",ISNUMBER(SEARCH("remboursement",IFERROR(INDEX('Paramètres'!$N:$N,MATCH($D302,'Paramètres'!$M:$M,0))&amp;"",""))))),1,0))</f>
        <v>0</v>
      </c>
      <c r="Q302" s="6">
        <f>IF($K302="","",IF(ISNUMBER(SEARCH("transfert-interne",IFERROR(INDEX('Paramètres'!$N:$N,MATCH($D302,'Paramètres'!$M:$M,0))&amp;"",""))),0,IF($L302="Débit",$K302,IF($P302=1,-$K302,0))))</f>
        <v>0</v>
      </c>
      <c r="R302" s="6">
        <f>IF($K302="","",IF($L302="Crédit",$K302,-$K302))</f>
        <v>300</v>
      </c>
      <c r="S302" s="6" t="str">
        <f>IF($C302="","",IFERROR(INDEX('Paramètres'!$H:$H,MATCH($C302,'Paramètres'!$D:$D,0))&amp;"",""))</f>
        <v>Banque A - Courant</v>
      </c>
      <c r="T302" s="6">
        <f>IF($K302="","",IF($S302="",0,IF(ISNUMBER(SEARCH("apport-exterieur",IFERROR(INDEX('Paramètres'!$N:$N,MATCH($D302,'Paramètres'!$M:$M,0))&amp;"",""))),0,IF(OR(IFERROR(INDEX('Paramètres'!$I:$I,MATCH($C302,'Paramètres'!$D:$D,0))&amp;"","")="Les deux",IFERROR(INDEX('Paramètres'!$I:$I,MATCH($C302,'Paramètres'!$D:$D,0))&amp;"","")=IF($P302=1,"Débit",$L302)),-IF($P302=1,-$K302,$K302),0))))</f>
        <v>-300</v>
      </c>
      <c r="U302" s="6">
        <f>IF($K302="","",IF(ISNUMBER(SEARCH("sortie-epargne",IFERROR(INDEX('Paramètres'!$N:$N,MATCH($D302,'Paramètres'!$M:$M,0))&amp;"",""))),$K302,0))</f>
        <v>0</v>
      </c>
      <c r="V302" s="6" t="str">
        <f>IF(AND($A302&lt;&gt;"",$O302=1,$L302="Débit",N($Q302)&gt;0,$A302&gt;=Visualisation!$B$1,$A302&lt;Visualisation!$D$1),MAX($V$1:V301)+1,"")</f>
        <v/>
      </c>
    </row>
    <row r="303" spans="1:22" x14ac:dyDescent="0.25">
      <c r="A303" s="9">
        <v>45749</v>
      </c>
      <c r="B303" s="4" t="s">
        <v>76</v>
      </c>
      <c r="C303" s="4" t="s">
        <v>60</v>
      </c>
      <c r="D303" s="4" t="s">
        <v>77</v>
      </c>
      <c r="E303" s="10">
        <v>83.3</v>
      </c>
      <c r="G303" s="4" t="s">
        <v>98</v>
      </c>
      <c r="H303" s="4"/>
      <c r="I303" s="4" t="s">
        <v>93</v>
      </c>
      <c r="K303" s="11">
        <f>IF($E303="","",ROUND($E303*IF(ISNA(MATCH($C303,'Paramètres'!$D:$D,0)),1,IF(INDEX('Paramètres'!$J:$J,MATCH($C303,'Paramètres'!$D:$D,0))="",1,INDEX('Paramètres'!$J:$J,MATCH($C303,'Paramètres'!$D:$D,0)))),2))</f>
        <v>41.65</v>
      </c>
      <c r="L303" s="6" t="str">
        <f>IF($D303="","",IF($F303&lt;&gt;"",$F303,IF(ISNA(MATCH($D303,'Paramètres'!$M:$M,0)),"⚠ Type inconnu",IFERROR(INDEX('Paramètres'!$P:$P,MATCH($D303,'Paramètres'!$M:$M,0))&amp;"",""))))</f>
        <v>Débit</v>
      </c>
      <c r="M303" s="6" t="str">
        <f>IF($D303="","",IF(ISNA(MATCH($D303,'Paramètres'!$M:$M,0)),"⚠ Type inconnu",IF($L303="Crédit","",IFERROR(INDEX('Paramètres'!$O:$O,MATCH($D303,'Paramètres'!$M:$M,0))&amp;"",""))))</f>
        <v>Dépense Courante</v>
      </c>
      <c r="N303" s="6" t="str">
        <f>IF($D303="","",IFERROR(INDEX('Paramètres'!$Q:$Q,MATCH($D303,'Paramètres'!$M:$M,0))&amp;"",""))</f>
        <v>Alimentation</v>
      </c>
      <c r="O303" s="6">
        <f>IF($A303="","",IF(OR($J303&lt;&gt;"x",$A303&lt;=FinReleve),1,0))</f>
        <v>1</v>
      </c>
      <c r="P303" s="6">
        <f>IF($D303="","",IF(AND($L303="Crédit",OR(IFERROR(INDEX('Paramètres'!$O:$O,MATCH($D303,'Paramètres'!$M:$M,0))&amp;"","")&lt;&gt;"",ISNUMBER(SEARCH("remboursement",IFERROR(INDEX('Paramètres'!$N:$N,MATCH($D303,'Paramètres'!$M:$M,0))&amp;"",""))))),1,0))</f>
        <v>0</v>
      </c>
      <c r="Q303" s="6">
        <f>IF($K303="","",IF(ISNUMBER(SEARCH("transfert-interne",IFERROR(INDEX('Paramètres'!$N:$N,MATCH($D303,'Paramètres'!$M:$M,0))&amp;"",""))),0,IF($L303="Débit",$K303,IF($P303=1,-$K303,0))))</f>
        <v>41.65</v>
      </c>
      <c r="R303" s="6">
        <f>IF($K303="","",IF($L303="Crédit",$K303,-$K303))</f>
        <v>-41.65</v>
      </c>
      <c r="S303" s="6" t="str">
        <f>IF($C303="","",IFERROR(INDEX('Paramètres'!$H:$H,MATCH($C303,'Paramètres'!$D:$D,0))&amp;"",""))</f>
        <v>Banque A - Courant</v>
      </c>
      <c r="T303" s="6">
        <f>IF($K303="","",IF($S303="",0,IF(ISNUMBER(SEARCH("apport-exterieur",IFERROR(INDEX('Paramètres'!$N:$N,MATCH($D303,'Paramètres'!$M:$M,0))&amp;"",""))),0,IF(OR(IFERROR(INDEX('Paramètres'!$I:$I,MATCH($C303,'Paramètres'!$D:$D,0))&amp;"","")="Les deux",IFERROR(INDEX('Paramètres'!$I:$I,MATCH($C303,'Paramètres'!$D:$D,0))&amp;"","")=IF($P303=1,"Débit",$L303)),-IF($P303=1,-$K303,$K303),0))))</f>
        <v>-41.65</v>
      </c>
      <c r="U303" s="6">
        <f>IF($K303="","",IF(ISNUMBER(SEARCH("sortie-epargne",IFERROR(INDEX('Paramètres'!$N:$N,MATCH($D303,'Paramètres'!$M:$M,0))&amp;"",""))),$K303,0))</f>
        <v>0</v>
      </c>
      <c r="V303" s="6" t="str">
        <f>IF(AND($A303&lt;&gt;"",$O303=1,$L303="Débit",N($Q303)&gt;0,$A303&gt;=Visualisation!$B$1,$A303&lt;Visualisation!$D$1),MAX($V$1:V302)+1,"")</f>
        <v/>
      </c>
    </row>
    <row r="304" spans="1:22" x14ac:dyDescent="0.25">
      <c r="A304" s="9">
        <v>45749</v>
      </c>
      <c r="B304" s="4" t="s">
        <v>69</v>
      </c>
      <c r="C304" s="4" t="s">
        <v>70</v>
      </c>
      <c r="D304" s="4" t="s">
        <v>71</v>
      </c>
      <c r="E304" s="10">
        <v>14.26</v>
      </c>
      <c r="G304" s="4" t="s">
        <v>72</v>
      </c>
      <c r="H304" s="4"/>
      <c r="I304" s="4" t="s">
        <v>93</v>
      </c>
      <c r="K304" s="11">
        <f>IF($E304="","",ROUND($E304*IF(ISNA(MATCH($C304,'Paramètres'!$D:$D,0)),1,IF(INDEX('Paramètres'!$J:$J,MATCH($C304,'Paramètres'!$D:$D,0))="",1,INDEX('Paramètres'!$J:$J,MATCH($C304,'Paramètres'!$D:$D,0)))),2))</f>
        <v>14.26</v>
      </c>
      <c r="L304" s="6" t="str">
        <f>IF($D304="","",IF($F304&lt;&gt;"",$F304,IF(ISNA(MATCH($D304,'Paramètres'!$M:$M,0)),"⚠ Type inconnu",IFERROR(INDEX('Paramètres'!$P:$P,MATCH($D304,'Paramètres'!$M:$M,0))&amp;"",""))))</f>
        <v>Débit</v>
      </c>
      <c r="M304" s="6" t="str">
        <f>IF($D304="","",IF(ISNA(MATCH($D304,'Paramètres'!$M:$M,0)),"⚠ Type inconnu",IF($L304="Crédit","",IFERROR(INDEX('Paramètres'!$O:$O,MATCH($D304,'Paramètres'!$M:$M,0))&amp;"",""))))</f>
        <v>Dépense Courante</v>
      </c>
      <c r="N304" s="6" t="str">
        <f>IF($D304="","",IFERROR(INDEX('Paramètres'!$Q:$Q,MATCH($D304,'Paramètres'!$M:$M,0))&amp;"",""))</f>
        <v>Alimentation</v>
      </c>
      <c r="O304" s="6">
        <f>IF($A304="","",IF(OR($J304&lt;&gt;"x",$A304&lt;=FinReleve),1,0))</f>
        <v>1</v>
      </c>
      <c r="P304" s="6">
        <f>IF($D304="","",IF(AND($L304="Crédit",OR(IFERROR(INDEX('Paramètres'!$O:$O,MATCH($D304,'Paramètres'!$M:$M,0))&amp;"","")&lt;&gt;"",ISNUMBER(SEARCH("remboursement",IFERROR(INDEX('Paramètres'!$N:$N,MATCH($D304,'Paramètres'!$M:$M,0))&amp;"",""))))),1,0))</f>
        <v>0</v>
      </c>
      <c r="Q304" s="6">
        <f>IF($K304="","",IF(ISNUMBER(SEARCH("transfert-interne",IFERROR(INDEX('Paramètres'!$N:$N,MATCH($D304,'Paramètres'!$M:$M,0))&amp;"",""))),0,IF($L304="Débit",$K304,IF($P304=1,-$K304,0))))</f>
        <v>14.26</v>
      </c>
      <c r="R304" s="6">
        <f>IF($K304="","",IF($L304="Crédit",$K304,-$K304))</f>
        <v>-14.26</v>
      </c>
      <c r="S304" s="6" t="str">
        <f>IF($C304="","",IFERROR(INDEX('Paramètres'!$H:$H,MATCH($C304,'Paramètres'!$D:$D,0))&amp;"",""))</f>
        <v/>
      </c>
      <c r="T304" s="6">
        <f>IF($K304="","",IF($S304="",0,IF(ISNUMBER(SEARCH("apport-exterieur",IFERROR(INDEX('Paramètres'!$N:$N,MATCH($D304,'Paramètres'!$M:$M,0))&amp;"",""))),0,IF(OR(IFERROR(INDEX('Paramètres'!$I:$I,MATCH($C304,'Paramètres'!$D:$D,0))&amp;"","")="Les deux",IFERROR(INDEX('Paramètres'!$I:$I,MATCH($C304,'Paramètres'!$D:$D,0))&amp;"","")=IF($P304=1,"Débit",$L304)),-IF($P304=1,-$K304,$K304),0))))</f>
        <v>0</v>
      </c>
      <c r="U304" s="6">
        <f>IF($K304="","",IF(ISNUMBER(SEARCH("sortie-epargne",IFERROR(INDEX('Paramètres'!$N:$N,MATCH($D304,'Paramètres'!$M:$M,0))&amp;"",""))),$K304,0))</f>
        <v>0</v>
      </c>
      <c r="V304" s="6" t="str">
        <f>IF(AND($A304&lt;&gt;"",$O304=1,$L304="Débit",N($Q304)&gt;0,$A304&gt;=Visualisation!$B$1,$A304&lt;Visualisation!$D$1),MAX($V$1:V303)+1,"")</f>
        <v/>
      </c>
    </row>
    <row r="305" spans="1:22" x14ac:dyDescent="0.25">
      <c r="A305" s="9">
        <v>45749</v>
      </c>
      <c r="B305" s="4" t="s">
        <v>116</v>
      </c>
      <c r="C305" s="4" t="s">
        <v>60</v>
      </c>
      <c r="D305" s="4" t="s">
        <v>116</v>
      </c>
      <c r="E305" s="10">
        <v>324.4</v>
      </c>
      <c r="G305" s="4" t="s">
        <v>117</v>
      </c>
      <c r="H305" s="4" t="s">
        <v>144</v>
      </c>
      <c r="I305" s="4" t="s">
        <v>79</v>
      </c>
      <c r="K305" s="11">
        <f>IF($E305="","",ROUND($E305*IF(ISNA(MATCH($C305,'Paramètres'!$D:$D,0)),1,IF(INDEX('Paramètres'!$J:$J,MATCH($C305,'Paramètres'!$D:$D,0))="",1,INDEX('Paramètres'!$J:$J,MATCH($C305,'Paramètres'!$D:$D,0)))),2))</f>
        <v>162.2</v>
      </c>
      <c r="L305" s="6" t="str">
        <f>IF($D305="","",IF($F305&lt;&gt;"",$F305,IF(ISNA(MATCH($D305,'Paramètres'!$M:$M,0)),"⚠ Type inconnu",IFERROR(INDEX('Paramètres'!$P:$P,MATCH($D305,'Paramètres'!$M:$M,0))&amp;"",""))))</f>
        <v>Débit</v>
      </c>
      <c r="M305" s="6" t="str">
        <f>IF($D305="","",IF(ISNA(MATCH($D305,'Paramètres'!$M:$M,0)),"⚠ Type inconnu",IF($L305="Crédit","",IFERROR(INDEX('Paramètres'!$O:$O,MATCH($D305,'Paramètres'!$M:$M,0))&amp;"",""))))</f>
        <v>Dépense Occasionnelle</v>
      </c>
      <c r="N305" s="6" t="str">
        <f>IF($D305="","",IFERROR(INDEX('Paramètres'!$Q:$Q,MATCH($D305,'Paramètres'!$M:$M,0))&amp;"",""))</f>
        <v>Autre</v>
      </c>
      <c r="O305" s="6">
        <f>IF($A305="","",IF(OR($J305&lt;&gt;"x",$A305&lt;=FinReleve),1,0))</f>
        <v>1</v>
      </c>
      <c r="P305" s="6">
        <f>IF($D305="","",IF(AND($L305="Crédit",OR(IFERROR(INDEX('Paramètres'!$O:$O,MATCH($D305,'Paramètres'!$M:$M,0))&amp;"","")&lt;&gt;"",ISNUMBER(SEARCH("remboursement",IFERROR(INDEX('Paramètres'!$N:$N,MATCH($D305,'Paramètres'!$M:$M,0))&amp;"",""))))),1,0))</f>
        <v>0</v>
      </c>
      <c r="Q305" s="6">
        <f>IF($K305="","",IF(ISNUMBER(SEARCH("transfert-interne",IFERROR(INDEX('Paramètres'!$N:$N,MATCH($D305,'Paramètres'!$M:$M,0))&amp;"",""))),0,IF($L305="Débit",$K305,IF($P305=1,-$K305,0))))</f>
        <v>162.2</v>
      </c>
      <c r="R305" s="6">
        <f>IF($K305="","",IF($L305="Crédit",$K305,-$K305))</f>
        <v>-162.2</v>
      </c>
      <c r="S305" s="6" t="str">
        <f>IF($C305="","",IFERROR(INDEX('Paramètres'!$H:$H,MATCH($C305,'Paramètres'!$D:$D,0))&amp;"",""))</f>
        <v>Banque A - Courant</v>
      </c>
      <c r="T305" s="6">
        <f>IF($K305="","",IF($S305="",0,IF(ISNUMBER(SEARCH("apport-exterieur",IFERROR(INDEX('Paramètres'!$N:$N,MATCH($D305,'Paramètres'!$M:$M,0))&amp;"",""))),0,IF(OR(IFERROR(INDEX('Paramètres'!$I:$I,MATCH($C305,'Paramètres'!$D:$D,0))&amp;"","")="Les deux",IFERROR(INDEX('Paramètres'!$I:$I,MATCH($C305,'Paramètres'!$D:$D,0))&amp;"","")=IF($P305=1,"Débit",$L305)),-IF($P305=1,-$K305,$K305),0))))</f>
        <v>-162.2</v>
      </c>
      <c r="U305" s="6">
        <f>IF($K305="","",IF(ISNUMBER(SEARCH("sortie-epargne",IFERROR(INDEX('Paramètres'!$N:$N,MATCH($D305,'Paramètres'!$M:$M,0))&amp;"",""))),$K305,0))</f>
        <v>0</v>
      </c>
      <c r="V305" s="6" t="str">
        <f>IF(AND($A305&lt;&gt;"",$O305=1,$L305="Débit",N($Q305)&gt;0,$A305&gt;=Visualisation!$B$1,$A305&lt;Visualisation!$D$1),MAX($V$1:V304)+1,"")</f>
        <v/>
      </c>
    </row>
    <row r="306" spans="1:22" x14ac:dyDescent="0.25">
      <c r="A306" s="9">
        <v>45750</v>
      </c>
      <c r="B306" s="4" t="s">
        <v>74</v>
      </c>
      <c r="C306" s="4" t="s">
        <v>75</v>
      </c>
      <c r="D306" s="4" t="s">
        <v>74</v>
      </c>
      <c r="E306" s="10">
        <v>88.8</v>
      </c>
      <c r="G306" s="4"/>
      <c r="H306" s="4"/>
      <c r="I306" s="4"/>
      <c r="K306" s="11">
        <f>IF($E306="","",ROUND($E306*IF(ISNA(MATCH($C306,'Paramètres'!$D:$D,0)),1,IF(INDEX('Paramètres'!$J:$J,MATCH($C306,'Paramètres'!$D:$D,0))="",1,INDEX('Paramètres'!$J:$J,MATCH($C306,'Paramètres'!$D:$D,0)))),2))</f>
        <v>88.8</v>
      </c>
      <c r="L306" s="6" t="str">
        <f>IF($D306="","",IF($F306&lt;&gt;"",$F306,IF(ISNA(MATCH($D306,'Paramètres'!$M:$M,0)),"⚠ Type inconnu",IFERROR(INDEX('Paramètres'!$P:$P,MATCH($D306,'Paramètres'!$M:$M,0))&amp;"",""))))</f>
        <v>Débit</v>
      </c>
      <c r="M306" s="6" t="str">
        <f>IF($D306="","",IF(ISNA(MATCH($D306,'Paramètres'!$M:$M,0)),"⚠ Type inconnu",IF($L306="Crédit","",IFERROR(INDEX('Paramètres'!$O:$O,MATCH($D306,'Paramètres'!$M:$M,0))&amp;"",""))))</f>
        <v>Dépense Fixe</v>
      </c>
      <c r="N306" s="6" t="str">
        <f>IF($D306="","",IFERROR(INDEX('Paramètres'!$Q:$Q,MATCH($D306,'Paramètres'!$M:$M,0))&amp;"",""))</f>
        <v>Transport</v>
      </c>
      <c r="O306" s="6">
        <f>IF($A306="","",IF(OR($J306&lt;&gt;"x",$A306&lt;=FinReleve),1,0))</f>
        <v>1</v>
      </c>
      <c r="P306" s="6">
        <f>IF($D306="","",IF(AND($L306="Crédit",OR(IFERROR(INDEX('Paramètres'!$O:$O,MATCH($D306,'Paramètres'!$M:$M,0))&amp;"","")&lt;&gt;"",ISNUMBER(SEARCH("remboursement",IFERROR(INDEX('Paramètres'!$N:$N,MATCH($D306,'Paramètres'!$M:$M,0))&amp;"",""))))),1,0))</f>
        <v>0</v>
      </c>
      <c r="Q306" s="6">
        <f>IF($K306="","",IF(ISNUMBER(SEARCH("transfert-interne",IFERROR(INDEX('Paramètres'!$N:$N,MATCH($D306,'Paramètres'!$M:$M,0))&amp;"",""))),0,IF($L306="Débit",$K306,IF($P306=1,-$K306,0))))</f>
        <v>88.8</v>
      </c>
      <c r="R306" s="6">
        <f>IF($K306="","",IF($L306="Crédit",$K306,-$K306))</f>
        <v>-88.8</v>
      </c>
      <c r="S306" s="6" t="str">
        <f>IF($C306="","",IFERROR(INDEX('Paramètres'!$H:$H,MATCH($C306,'Paramètres'!$D:$D,0))&amp;"",""))</f>
        <v/>
      </c>
      <c r="T306" s="6">
        <f>IF($K306="","",IF($S306="",0,IF(ISNUMBER(SEARCH("apport-exterieur",IFERROR(INDEX('Paramètres'!$N:$N,MATCH($D306,'Paramètres'!$M:$M,0))&amp;"",""))),0,IF(OR(IFERROR(INDEX('Paramètres'!$I:$I,MATCH($C306,'Paramètres'!$D:$D,0))&amp;"","")="Les deux",IFERROR(INDEX('Paramètres'!$I:$I,MATCH($C306,'Paramètres'!$D:$D,0))&amp;"","")=IF($P306=1,"Débit",$L306)),-IF($P306=1,-$K306,$K306),0))))</f>
        <v>0</v>
      </c>
      <c r="U306" s="6">
        <f>IF($K306="","",IF(ISNUMBER(SEARCH("sortie-epargne",IFERROR(INDEX('Paramètres'!$N:$N,MATCH($D306,'Paramètres'!$M:$M,0))&amp;"",""))),$K306,0))</f>
        <v>0</v>
      </c>
      <c r="V306" s="6" t="str">
        <f>IF(AND($A306&lt;&gt;"",$O306=1,$L306="Débit",N($Q306)&gt;0,$A306&gt;=Visualisation!$B$1,$A306&lt;Visualisation!$D$1),MAX($V$1:V305)+1,"")</f>
        <v/>
      </c>
    </row>
    <row r="307" spans="1:22" x14ac:dyDescent="0.25">
      <c r="A307" s="9">
        <v>45750</v>
      </c>
      <c r="B307" s="4" t="s">
        <v>76</v>
      </c>
      <c r="C307" s="4" t="s">
        <v>60</v>
      </c>
      <c r="D307" s="4" t="s">
        <v>77</v>
      </c>
      <c r="E307" s="10">
        <v>23.5</v>
      </c>
      <c r="G307" s="4" t="s">
        <v>102</v>
      </c>
      <c r="H307" s="4"/>
      <c r="I307" s="4" t="s">
        <v>73</v>
      </c>
      <c r="K307" s="11">
        <f>IF($E307="","",ROUND($E307*IF(ISNA(MATCH($C307,'Paramètres'!$D:$D,0)),1,IF(INDEX('Paramètres'!$J:$J,MATCH($C307,'Paramètres'!$D:$D,0))="",1,INDEX('Paramètres'!$J:$J,MATCH($C307,'Paramètres'!$D:$D,0)))),2))</f>
        <v>11.75</v>
      </c>
      <c r="L307" s="6" t="str">
        <f>IF($D307="","",IF($F307&lt;&gt;"",$F307,IF(ISNA(MATCH($D307,'Paramètres'!$M:$M,0)),"⚠ Type inconnu",IFERROR(INDEX('Paramètres'!$P:$P,MATCH($D307,'Paramètres'!$M:$M,0))&amp;"",""))))</f>
        <v>Débit</v>
      </c>
      <c r="M307" s="6" t="str">
        <f>IF($D307="","",IF(ISNA(MATCH($D307,'Paramètres'!$M:$M,0)),"⚠ Type inconnu",IF($L307="Crédit","",IFERROR(INDEX('Paramètres'!$O:$O,MATCH($D307,'Paramètres'!$M:$M,0))&amp;"",""))))</f>
        <v>Dépense Courante</v>
      </c>
      <c r="N307" s="6" t="str">
        <f>IF($D307="","",IFERROR(INDEX('Paramètres'!$Q:$Q,MATCH($D307,'Paramètres'!$M:$M,0))&amp;"",""))</f>
        <v>Alimentation</v>
      </c>
      <c r="O307" s="6">
        <f>IF($A307="","",IF(OR($J307&lt;&gt;"x",$A307&lt;=FinReleve),1,0))</f>
        <v>1</v>
      </c>
      <c r="P307" s="6">
        <f>IF($D307="","",IF(AND($L307="Crédit",OR(IFERROR(INDEX('Paramètres'!$O:$O,MATCH($D307,'Paramètres'!$M:$M,0))&amp;"","")&lt;&gt;"",ISNUMBER(SEARCH("remboursement",IFERROR(INDEX('Paramètres'!$N:$N,MATCH($D307,'Paramètres'!$M:$M,0))&amp;"",""))))),1,0))</f>
        <v>0</v>
      </c>
      <c r="Q307" s="6">
        <f>IF($K307="","",IF(ISNUMBER(SEARCH("transfert-interne",IFERROR(INDEX('Paramètres'!$N:$N,MATCH($D307,'Paramètres'!$M:$M,0))&amp;"",""))),0,IF($L307="Débit",$K307,IF($P307=1,-$K307,0))))</f>
        <v>11.75</v>
      </c>
      <c r="R307" s="6">
        <f>IF($K307="","",IF($L307="Crédit",$K307,-$K307))</f>
        <v>-11.75</v>
      </c>
      <c r="S307" s="6" t="str">
        <f>IF($C307="","",IFERROR(INDEX('Paramètres'!$H:$H,MATCH($C307,'Paramètres'!$D:$D,0))&amp;"",""))</f>
        <v>Banque A - Courant</v>
      </c>
      <c r="T307" s="6">
        <f>IF($K307="","",IF($S307="",0,IF(ISNUMBER(SEARCH("apport-exterieur",IFERROR(INDEX('Paramètres'!$N:$N,MATCH($D307,'Paramètres'!$M:$M,0))&amp;"",""))),0,IF(OR(IFERROR(INDEX('Paramètres'!$I:$I,MATCH($C307,'Paramètres'!$D:$D,0))&amp;"","")="Les deux",IFERROR(INDEX('Paramètres'!$I:$I,MATCH($C307,'Paramètres'!$D:$D,0))&amp;"","")=IF($P307=1,"Débit",$L307)),-IF($P307=1,-$K307,$K307),0))))</f>
        <v>-11.75</v>
      </c>
      <c r="U307" s="6">
        <f>IF($K307="","",IF(ISNUMBER(SEARCH("sortie-epargne",IFERROR(INDEX('Paramètres'!$N:$N,MATCH($D307,'Paramètres'!$M:$M,0))&amp;"",""))),$K307,0))</f>
        <v>0</v>
      </c>
      <c r="V307" s="6" t="str">
        <f>IF(AND($A307&lt;&gt;"",$O307=1,$L307="Débit",N($Q307)&gt;0,$A307&gt;=Visualisation!$B$1,$A307&lt;Visualisation!$D$1),MAX($V$1:V306)+1,"")</f>
        <v/>
      </c>
    </row>
    <row r="308" spans="1:22" x14ac:dyDescent="0.25">
      <c r="A308" s="9">
        <v>45750</v>
      </c>
      <c r="B308" s="4" t="s">
        <v>69</v>
      </c>
      <c r="C308" s="4" t="s">
        <v>70</v>
      </c>
      <c r="D308" s="4" t="s">
        <v>71</v>
      </c>
      <c r="E308" s="10">
        <v>9.01</v>
      </c>
      <c r="G308" s="4" t="s">
        <v>72</v>
      </c>
      <c r="H308" s="4"/>
      <c r="I308" s="4" t="s">
        <v>79</v>
      </c>
      <c r="K308" s="11">
        <f>IF($E308="","",ROUND($E308*IF(ISNA(MATCH($C308,'Paramètres'!$D:$D,0)),1,IF(INDEX('Paramètres'!$J:$J,MATCH($C308,'Paramètres'!$D:$D,0))="",1,INDEX('Paramètres'!$J:$J,MATCH($C308,'Paramètres'!$D:$D,0)))),2))</f>
        <v>9.01</v>
      </c>
      <c r="L308" s="6" t="str">
        <f>IF($D308="","",IF($F308&lt;&gt;"",$F308,IF(ISNA(MATCH($D308,'Paramètres'!$M:$M,0)),"⚠ Type inconnu",IFERROR(INDEX('Paramètres'!$P:$P,MATCH($D308,'Paramètres'!$M:$M,0))&amp;"",""))))</f>
        <v>Débit</v>
      </c>
      <c r="M308" s="6" t="str">
        <f>IF($D308="","",IF(ISNA(MATCH($D308,'Paramètres'!$M:$M,0)),"⚠ Type inconnu",IF($L308="Crédit","",IFERROR(INDEX('Paramètres'!$O:$O,MATCH($D308,'Paramètres'!$M:$M,0))&amp;"",""))))</f>
        <v>Dépense Courante</v>
      </c>
      <c r="N308" s="6" t="str">
        <f>IF($D308="","",IFERROR(INDEX('Paramètres'!$Q:$Q,MATCH($D308,'Paramètres'!$M:$M,0))&amp;"",""))</f>
        <v>Alimentation</v>
      </c>
      <c r="O308" s="6">
        <f>IF($A308="","",IF(OR($J308&lt;&gt;"x",$A308&lt;=FinReleve),1,0))</f>
        <v>1</v>
      </c>
      <c r="P308" s="6">
        <f>IF($D308="","",IF(AND($L308="Crédit",OR(IFERROR(INDEX('Paramètres'!$O:$O,MATCH($D308,'Paramètres'!$M:$M,0))&amp;"","")&lt;&gt;"",ISNUMBER(SEARCH("remboursement",IFERROR(INDEX('Paramètres'!$N:$N,MATCH($D308,'Paramètres'!$M:$M,0))&amp;"",""))))),1,0))</f>
        <v>0</v>
      </c>
      <c r="Q308" s="6">
        <f>IF($K308="","",IF(ISNUMBER(SEARCH("transfert-interne",IFERROR(INDEX('Paramètres'!$N:$N,MATCH($D308,'Paramètres'!$M:$M,0))&amp;"",""))),0,IF($L308="Débit",$K308,IF($P308=1,-$K308,0))))</f>
        <v>9.01</v>
      </c>
      <c r="R308" s="6">
        <f>IF($K308="","",IF($L308="Crédit",$K308,-$K308))</f>
        <v>-9.01</v>
      </c>
      <c r="S308" s="6" t="str">
        <f>IF($C308="","",IFERROR(INDEX('Paramètres'!$H:$H,MATCH($C308,'Paramètres'!$D:$D,0))&amp;"",""))</f>
        <v/>
      </c>
      <c r="T308" s="6">
        <f>IF($K308="","",IF($S308="",0,IF(ISNUMBER(SEARCH("apport-exterieur",IFERROR(INDEX('Paramètres'!$N:$N,MATCH($D308,'Paramètres'!$M:$M,0))&amp;"",""))),0,IF(OR(IFERROR(INDEX('Paramètres'!$I:$I,MATCH($C308,'Paramètres'!$D:$D,0))&amp;"","")="Les deux",IFERROR(INDEX('Paramètres'!$I:$I,MATCH($C308,'Paramètres'!$D:$D,0))&amp;"","")=IF($P308=1,"Débit",$L308)),-IF($P308=1,-$K308,$K308),0))))</f>
        <v>0</v>
      </c>
      <c r="U308" s="6">
        <f>IF($K308="","",IF(ISNUMBER(SEARCH("sortie-epargne",IFERROR(INDEX('Paramètres'!$N:$N,MATCH($D308,'Paramètres'!$M:$M,0))&amp;"",""))),$K308,0))</f>
        <v>0</v>
      </c>
      <c r="V308" s="6" t="str">
        <f>IF(AND($A308&lt;&gt;"",$O308=1,$L308="Débit",N($Q308)&gt;0,$A308&gt;=Visualisation!$B$1,$A308&lt;Visualisation!$D$1),MAX($V$1:V307)+1,"")</f>
        <v/>
      </c>
    </row>
    <row r="309" spans="1:22" x14ac:dyDescent="0.25">
      <c r="A309" s="9">
        <v>45751</v>
      </c>
      <c r="B309" s="4" t="s">
        <v>80</v>
      </c>
      <c r="C309" s="4" t="s">
        <v>70</v>
      </c>
      <c r="D309" s="4" t="s">
        <v>81</v>
      </c>
      <c r="E309" s="10">
        <v>127.1</v>
      </c>
      <c r="G309" s="4"/>
      <c r="H309" s="4"/>
      <c r="I309" s="4"/>
      <c r="K309" s="11">
        <f>IF($E309="","",ROUND($E309*IF(ISNA(MATCH($C309,'Paramètres'!$D:$D,0)),1,IF(INDEX('Paramètres'!$J:$J,MATCH($C309,'Paramètres'!$D:$D,0))="",1,INDEX('Paramètres'!$J:$J,MATCH($C309,'Paramètres'!$D:$D,0)))),2))</f>
        <v>127.1</v>
      </c>
      <c r="L309" s="6" t="str">
        <f>IF($D309="","",IF($F309&lt;&gt;"",$F309,IF(ISNA(MATCH($D309,'Paramètres'!$M:$M,0)),"⚠ Type inconnu",IFERROR(INDEX('Paramètres'!$P:$P,MATCH($D309,'Paramètres'!$M:$M,0))&amp;"",""))))</f>
        <v>Crédit</v>
      </c>
      <c r="M309" s="6" t="str">
        <f>IF($D309="","",IF(ISNA(MATCH($D309,'Paramètres'!$M:$M,0)),"⚠ Type inconnu",IF($L309="Crédit","",IFERROR(INDEX('Paramètres'!$O:$O,MATCH($D309,'Paramètres'!$M:$M,0))&amp;"",""))))</f>
        <v/>
      </c>
      <c r="N309" s="6" t="str">
        <f>IF($D309="","",IFERROR(INDEX('Paramètres'!$Q:$Q,MATCH($D309,'Paramètres'!$M:$M,0))&amp;"",""))</f>
        <v>Comptes Bancaires</v>
      </c>
      <c r="O309" s="6">
        <f>IF($A309="","",IF(OR($J309&lt;&gt;"x",$A309&lt;=FinReleve),1,0))</f>
        <v>1</v>
      </c>
      <c r="P309" s="6">
        <f>IF($D309="","",IF(AND($L309="Crédit",OR(IFERROR(INDEX('Paramètres'!$O:$O,MATCH($D309,'Paramètres'!$M:$M,0))&amp;"","")&lt;&gt;"",ISNUMBER(SEARCH("remboursement",IFERROR(INDEX('Paramètres'!$N:$N,MATCH($D309,'Paramètres'!$M:$M,0))&amp;"",""))))),1,0))</f>
        <v>0</v>
      </c>
      <c r="Q309" s="6">
        <f>IF($K309="","",IF(ISNUMBER(SEARCH("transfert-interne",IFERROR(INDEX('Paramètres'!$N:$N,MATCH($D309,'Paramètres'!$M:$M,0))&amp;"",""))),0,IF($L309="Débit",$K309,IF($P309=1,-$K309,0))))</f>
        <v>0</v>
      </c>
      <c r="R309" s="6">
        <f>IF($K309="","",IF($L309="Crédit",$K309,-$K309))</f>
        <v>127.1</v>
      </c>
      <c r="S309" s="6" t="str">
        <f>IF($C309="","",IFERROR(INDEX('Paramètres'!$H:$H,MATCH($C309,'Paramètres'!$D:$D,0))&amp;"",""))</f>
        <v/>
      </c>
      <c r="T309" s="6">
        <f>IF($K309="","",IF($S309="",0,IF(ISNUMBER(SEARCH("apport-exterieur",IFERROR(INDEX('Paramètres'!$N:$N,MATCH($D309,'Paramètres'!$M:$M,0))&amp;"",""))),0,IF(OR(IFERROR(INDEX('Paramètres'!$I:$I,MATCH($C309,'Paramètres'!$D:$D,0))&amp;"","")="Les deux",IFERROR(INDEX('Paramètres'!$I:$I,MATCH($C309,'Paramètres'!$D:$D,0))&amp;"","")=IF($P309=1,"Débit",$L309)),-IF($P309=1,-$K309,$K309),0))))</f>
        <v>0</v>
      </c>
      <c r="U309" s="6">
        <f>IF($K309="","",IF(ISNUMBER(SEARCH("sortie-epargne",IFERROR(INDEX('Paramètres'!$N:$N,MATCH($D309,'Paramètres'!$M:$M,0))&amp;"",""))),$K309,0))</f>
        <v>0</v>
      </c>
      <c r="V309" s="6" t="str">
        <f>IF(AND($A309&lt;&gt;"",$O309=1,$L309="Débit",N($Q309)&gt;0,$A309&gt;=Visualisation!$B$1,$A309&lt;Visualisation!$D$1),MAX($V$1:V308)+1,"")</f>
        <v/>
      </c>
    </row>
    <row r="310" spans="1:22" x14ac:dyDescent="0.25">
      <c r="A310" s="9">
        <v>45752</v>
      </c>
      <c r="B310" s="4" t="s">
        <v>82</v>
      </c>
      <c r="C310" s="4" t="s">
        <v>65</v>
      </c>
      <c r="D310" s="4" t="s">
        <v>83</v>
      </c>
      <c r="E310" s="10">
        <v>652.32</v>
      </c>
      <c r="G310" s="4" t="s">
        <v>84</v>
      </c>
      <c r="H310" s="4"/>
      <c r="I310" s="4"/>
      <c r="K310" s="11">
        <f>IF($E310="","",ROUND($E310*IF(ISNA(MATCH($C310,'Paramètres'!$D:$D,0)),1,IF(INDEX('Paramètres'!$J:$J,MATCH($C310,'Paramètres'!$D:$D,0))="",1,INDEX('Paramètres'!$J:$J,MATCH($C310,'Paramètres'!$D:$D,0)))),2))</f>
        <v>652.32</v>
      </c>
      <c r="L310" s="6" t="str">
        <f>IF($D310="","",IF($F310&lt;&gt;"",$F310,IF(ISNA(MATCH($D310,'Paramètres'!$M:$M,0)),"⚠ Type inconnu",IFERROR(INDEX('Paramètres'!$P:$P,MATCH($D310,'Paramètres'!$M:$M,0))&amp;"",""))))</f>
        <v>Débit</v>
      </c>
      <c r="M310" s="6" t="str">
        <f>IF($D310="","",IF(ISNA(MATCH($D310,'Paramètres'!$M:$M,0)),"⚠ Type inconnu",IF($L310="Crédit","",IFERROR(INDEX('Paramètres'!$O:$O,MATCH($D310,'Paramètres'!$M:$M,0))&amp;"",""))))</f>
        <v/>
      </c>
      <c r="N310" s="6" t="str">
        <f>IF($D310="","",IFERROR(INDEX('Paramètres'!$Q:$Q,MATCH($D310,'Paramètres'!$M:$M,0))&amp;"",""))</f>
        <v>Immobilier</v>
      </c>
      <c r="O310" s="6">
        <f>IF($A310="","",IF(OR($J310&lt;&gt;"x",$A310&lt;=FinReleve),1,0))</f>
        <v>1</v>
      </c>
      <c r="P310" s="6">
        <f>IF($D310="","",IF(AND($L310="Crédit",OR(IFERROR(INDEX('Paramètres'!$O:$O,MATCH($D310,'Paramètres'!$M:$M,0))&amp;"","")&lt;&gt;"",ISNUMBER(SEARCH("remboursement",IFERROR(INDEX('Paramètres'!$N:$N,MATCH($D310,'Paramètres'!$M:$M,0))&amp;"",""))))),1,0))</f>
        <v>0</v>
      </c>
      <c r="Q310" s="6">
        <f>IF($K310="","",IF(ISNUMBER(SEARCH("transfert-interne",IFERROR(INDEX('Paramètres'!$N:$N,MATCH($D310,'Paramètres'!$M:$M,0))&amp;"",""))),0,IF($L310="Débit",$K310,IF($P310=1,-$K310,0))))</f>
        <v>652.32</v>
      </c>
      <c r="R310" s="6">
        <f>IF($K310="","",IF($L310="Crédit",$K310,-$K310))</f>
        <v>-652.32</v>
      </c>
      <c r="S310" s="6" t="str">
        <f>IF($C310="","",IFERROR(INDEX('Paramètres'!$H:$H,MATCH($C310,'Paramètres'!$D:$D,0))&amp;"",""))</f>
        <v>Banque A - Courant</v>
      </c>
      <c r="T310" s="6">
        <f>IF($K310="","",IF($S310="",0,IF(ISNUMBER(SEARCH("apport-exterieur",IFERROR(INDEX('Paramètres'!$N:$N,MATCH($D310,'Paramètres'!$M:$M,0))&amp;"",""))),0,IF(OR(IFERROR(INDEX('Paramètres'!$I:$I,MATCH($C310,'Paramètres'!$D:$D,0))&amp;"","")="Les deux",IFERROR(INDEX('Paramètres'!$I:$I,MATCH($C310,'Paramètres'!$D:$D,0))&amp;"","")=IF($P310=1,"Débit",$L310)),-IF($P310=1,-$K310,$K310),0))))</f>
        <v>0</v>
      </c>
      <c r="U310" s="6">
        <f>IF($K310="","",IF(ISNUMBER(SEARCH("sortie-epargne",IFERROR(INDEX('Paramètres'!$N:$N,MATCH($D310,'Paramètres'!$M:$M,0))&amp;"",""))),$K310,0))</f>
        <v>0</v>
      </c>
      <c r="V310" s="6" t="str">
        <f>IF(AND($A310&lt;&gt;"",$O310=1,$L310="Débit",N($Q310)&gt;0,$A310&gt;=Visualisation!$B$1,$A310&lt;Visualisation!$D$1),MAX($V$1:V309)+1,"")</f>
        <v/>
      </c>
    </row>
    <row r="311" spans="1:22" x14ac:dyDescent="0.25">
      <c r="A311" s="9">
        <v>45752</v>
      </c>
      <c r="B311" s="4" t="s">
        <v>85</v>
      </c>
      <c r="C311" s="4" t="s">
        <v>65</v>
      </c>
      <c r="D311" s="4" t="s">
        <v>86</v>
      </c>
      <c r="E311" s="10">
        <v>241.32</v>
      </c>
      <c r="G311" s="4" t="s">
        <v>87</v>
      </c>
      <c r="H311" s="4"/>
      <c r="I311" s="4"/>
      <c r="K311" s="11">
        <f>IF($E311="","",ROUND($E311*IF(ISNA(MATCH($C311,'Paramètres'!$D:$D,0)),1,IF(INDEX('Paramètres'!$J:$J,MATCH($C311,'Paramètres'!$D:$D,0))="",1,INDEX('Paramètres'!$J:$J,MATCH($C311,'Paramètres'!$D:$D,0)))),2))</f>
        <v>241.32</v>
      </c>
      <c r="L311" s="6" t="str">
        <f>IF($D311="","",IF($F311&lt;&gt;"",$F311,IF(ISNA(MATCH($D311,'Paramètres'!$M:$M,0)),"⚠ Type inconnu",IFERROR(INDEX('Paramètres'!$P:$P,MATCH($D311,'Paramètres'!$M:$M,0))&amp;"",""))))</f>
        <v>Débit</v>
      </c>
      <c r="M311" s="6" t="str">
        <f>IF($D311="","",IF(ISNA(MATCH($D311,'Paramètres'!$M:$M,0)),"⚠ Type inconnu",IF($L311="Crédit","",IFERROR(INDEX('Paramètres'!$O:$O,MATCH($D311,'Paramètres'!$M:$M,0))&amp;"",""))))</f>
        <v>Dépense Fixe</v>
      </c>
      <c r="N311" s="6" t="str">
        <f>IF($D311="","",IFERROR(INDEX('Paramètres'!$Q:$Q,MATCH($D311,'Paramètres'!$M:$M,0))&amp;"",""))</f>
        <v>Immobilier</v>
      </c>
      <c r="O311" s="6">
        <f>IF($A311="","",IF(OR($J311&lt;&gt;"x",$A311&lt;=FinReleve),1,0))</f>
        <v>1</v>
      </c>
      <c r="P311" s="6">
        <f>IF($D311="","",IF(AND($L311="Crédit",OR(IFERROR(INDEX('Paramètres'!$O:$O,MATCH($D311,'Paramètres'!$M:$M,0))&amp;"","")&lt;&gt;"",ISNUMBER(SEARCH("remboursement",IFERROR(INDEX('Paramètres'!$N:$N,MATCH($D311,'Paramètres'!$M:$M,0))&amp;"",""))))),1,0))</f>
        <v>0</v>
      </c>
      <c r="Q311" s="6">
        <f>IF($K311="","",IF(ISNUMBER(SEARCH("transfert-interne",IFERROR(INDEX('Paramètres'!$N:$N,MATCH($D311,'Paramètres'!$M:$M,0))&amp;"",""))),0,IF($L311="Débit",$K311,IF($P311=1,-$K311,0))))</f>
        <v>241.32</v>
      </c>
      <c r="R311" s="6">
        <f>IF($K311="","",IF($L311="Crédit",$K311,-$K311))</f>
        <v>-241.32</v>
      </c>
      <c r="S311" s="6" t="str">
        <f>IF($C311="","",IFERROR(INDEX('Paramètres'!$H:$H,MATCH($C311,'Paramètres'!$D:$D,0))&amp;"",""))</f>
        <v>Banque A - Courant</v>
      </c>
      <c r="T311" s="6">
        <f>IF($K311="","",IF($S311="",0,IF(ISNUMBER(SEARCH("apport-exterieur",IFERROR(INDEX('Paramètres'!$N:$N,MATCH($D311,'Paramètres'!$M:$M,0))&amp;"",""))),0,IF(OR(IFERROR(INDEX('Paramètres'!$I:$I,MATCH($C311,'Paramètres'!$D:$D,0))&amp;"","")="Les deux",IFERROR(INDEX('Paramètres'!$I:$I,MATCH($C311,'Paramètres'!$D:$D,0))&amp;"","")=IF($P311=1,"Débit",$L311)),-IF($P311=1,-$K311,$K311),0))))</f>
        <v>0</v>
      </c>
      <c r="U311" s="6">
        <f>IF($K311="","",IF(ISNUMBER(SEARCH("sortie-epargne",IFERROR(INDEX('Paramètres'!$N:$N,MATCH($D311,'Paramètres'!$M:$M,0))&amp;"",""))),$K311,0))</f>
        <v>0</v>
      </c>
      <c r="V311" s="6" t="str">
        <f>IF(AND($A311&lt;&gt;"",$O311=1,$L311="Débit",N($Q311)&gt;0,$A311&gt;=Visualisation!$B$1,$A311&lt;Visualisation!$D$1),MAX($V$1:V310)+1,"")</f>
        <v/>
      </c>
    </row>
    <row r="312" spans="1:22" x14ac:dyDescent="0.25">
      <c r="A312" s="9">
        <v>45752</v>
      </c>
      <c r="B312" s="4" t="s">
        <v>88</v>
      </c>
      <c r="C312" s="4" t="s">
        <v>65</v>
      </c>
      <c r="D312" s="4" t="s">
        <v>88</v>
      </c>
      <c r="E312" s="10">
        <v>31.2</v>
      </c>
      <c r="G312" s="4"/>
      <c r="H312" s="4"/>
      <c r="I312" s="4"/>
      <c r="K312" s="11">
        <f>IF($E312="","",ROUND($E312*IF(ISNA(MATCH($C312,'Paramètres'!$D:$D,0)),1,IF(INDEX('Paramètres'!$J:$J,MATCH($C312,'Paramètres'!$D:$D,0))="",1,INDEX('Paramètres'!$J:$J,MATCH($C312,'Paramètres'!$D:$D,0)))),2))</f>
        <v>31.2</v>
      </c>
      <c r="L312" s="6" t="str">
        <f>IF($D312="","",IF($F312&lt;&gt;"",$F312,IF(ISNA(MATCH($D312,'Paramètres'!$M:$M,0)),"⚠ Type inconnu",IFERROR(INDEX('Paramètres'!$P:$P,MATCH($D312,'Paramètres'!$M:$M,0))&amp;"",""))))</f>
        <v>Débit</v>
      </c>
      <c r="M312" s="6" t="str">
        <f>IF($D312="","",IF(ISNA(MATCH($D312,'Paramètres'!$M:$M,0)),"⚠ Type inconnu",IF($L312="Crédit","",IFERROR(INDEX('Paramètres'!$O:$O,MATCH($D312,'Paramètres'!$M:$M,0))&amp;"",""))))</f>
        <v>Dépense Fixe</v>
      </c>
      <c r="N312" s="6" t="str">
        <f>IF($D312="","",IFERROR(INDEX('Paramètres'!$Q:$Q,MATCH($D312,'Paramètres'!$M:$M,0))&amp;"",""))</f>
        <v>Assurances</v>
      </c>
      <c r="O312" s="6">
        <f>IF($A312="","",IF(OR($J312&lt;&gt;"x",$A312&lt;=FinReleve),1,0))</f>
        <v>1</v>
      </c>
      <c r="P312" s="6">
        <f>IF($D312="","",IF(AND($L312="Crédit",OR(IFERROR(INDEX('Paramètres'!$O:$O,MATCH($D312,'Paramètres'!$M:$M,0))&amp;"","")&lt;&gt;"",ISNUMBER(SEARCH("remboursement",IFERROR(INDEX('Paramètres'!$N:$N,MATCH($D312,'Paramètres'!$M:$M,0))&amp;"",""))))),1,0))</f>
        <v>0</v>
      </c>
      <c r="Q312" s="6">
        <f>IF($K312="","",IF(ISNUMBER(SEARCH("transfert-interne",IFERROR(INDEX('Paramètres'!$N:$N,MATCH($D312,'Paramètres'!$M:$M,0))&amp;"",""))),0,IF($L312="Débit",$K312,IF($P312=1,-$K312,0))))</f>
        <v>31.2</v>
      </c>
      <c r="R312" s="6">
        <f>IF($K312="","",IF($L312="Crédit",$K312,-$K312))</f>
        <v>-31.2</v>
      </c>
      <c r="S312" s="6" t="str">
        <f>IF($C312="","",IFERROR(INDEX('Paramètres'!$H:$H,MATCH($C312,'Paramètres'!$D:$D,0))&amp;"",""))</f>
        <v>Banque A - Courant</v>
      </c>
      <c r="T312" s="6">
        <f>IF($K312="","",IF($S312="",0,IF(ISNUMBER(SEARCH("apport-exterieur",IFERROR(INDEX('Paramètres'!$N:$N,MATCH($D312,'Paramètres'!$M:$M,0))&amp;"",""))),0,IF(OR(IFERROR(INDEX('Paramètres'!$I:$I,MATCH($C312,'Paramètres'!$D:$D,0))&amp;"","")="Les deux",IFERROR(INDEX('Paramètres'!$I:$I,MATCH($C312,'Paramètres'!$D:$D,0))&amp;"","")=IF($P312=1,"Débit",$L312)),-IF($P312=1,-$K312,$K312),0))))</f>
        <v>0</v>
      </c>
      <c r="U312" s="6">
        <f>IF($K312="","",IF(ISNUMBER(SEARCH("sortie-epargne",IFERROR(INDEX('Paramètres'!$N:$N,MATCH($D312,'Paramètres'!$M:$M,0))&amp;"",""))),$K312,0))</f>
        <v>0</v>
      </c>
      <c r="V312" s="6" t="str">
        <f>IF(AND($A312&lt;&gt;"",$O312=1,$L312="Débit",N($Q312)&gt;0,$A312&gt;=Visualisation!$B$1,$A312&lt;Visualisation!$D$1),MAX($V$1:V311)+1,"")</f>
        <v/>
      </c>
    </row>
    <row r="313" spans="1:22" x14ac:dyDescent="0.25">
      <c r="A313" s="9">
        <v>45752</v>
      </c>
      <c r="B313" s="4" t="s">
        <v>121</v>
      </c>
      <c r="C313" s="4" t="s">
        <v>60</v>
      </c>
      <c r="D313" s="4" t="s">
        <v>121</v>
      </c>
      <c r="E313" s="10">
        <v>76.72</v>
      </c>
      <c r="G313" s="4" t="s">
        <v>122</v>
      </c>
      <c r="H313" s="4"/>
      <c r="I313" s="4" t="s">
        <v>93</v>
      </c>
      <c r="K313" s="11">
        <f>IF($E313="","",ROUND($E313*IF(ISNA(MATCH($C313,'Paramètres'!$D:$D,0)),1,IF(INDEX('Paramètres'!$J:$J,MATCH($C313,'Paramètres'!$D:$D,0))="",1,INDEX('Paramètres'!$J:$J,MATCH($C313,'Paramètres'!$D:$D,0)))),2))</f>
        <v>38.36</v>
      </c>
      <c r="L313" s="6" t="str">
        <f>IF($D313="","",IF($F313&lt;&gt;"",$F313,IF(ISNA(MATCH($D313,'Paramètres'!$M:$M,0)),"⚠ Type inconnu",IFERROR(INDEX('Paramètres'!$P:$P,MATCH($D313,'Paramètres'!$M:$M,0))&amp;"",""))))</f>
        <v>Débit</v>
      </c>
      <c r="M313" s="6" t="str">
        <f>IF($D313="","",IF(ISNA(MATCH($D313,'Paramètres'!$M:$M,0)),"⚠ Type inconnu",IF($L313="Crédit","",IFERROR(INDEX('Paramètres'!$O:$O,MATCH($D313,'Paramètres'!$M:$M,0))&amp;"",""))))</f>
        <v>Dépense Occasionnelle</v>
      </c>
      <c r="N313" s="6" t="str">
        <f>IF($D313="","",IFERROR(INDEX('Paramètres'!$Q:$Q,MATCH($D313,'Paramètres'!$M:$M,0))&amp;"",""))</f>
        <v>Autre</v>
      </c>
      <c r="O313" s="6">
        <f>IF($A313="","",IF(OR($J313&lt;&gt;"x",$A313&lt;=FinReleve),1,0))</f>
        <v>1</v>
      </c>
      <c r="P313" s="6">
        <f>IF($D313="","",IF(AND($L313="Crédit",OR(IFERROR(INDEX('Paramètres'!$O:$O,MATCH($D313,'Paramètres'!$M:$M,0))&amp;"","")&lt;&gt;"",ISNUMBER(SEARCH("remboursement",IFERROR(INDEX('Paramètres'!$N:$N,MATCH($D313,'Paramètres'!$M:$M,0))&amp;"",""))))),1,0))</f>
        <v>0</v>
      </c>
      <c r="Q313" s="6">
        <f>IF($K313="","",IF(ISNUMBER(SEARCH("transfert-interne",IFERROR(INDEX('Paramètres'!$N:$N,MATCH($D313,'Paramètres'!$M:$M,0))&amp;"",""))),0,IF($L313="Débit",$K313,IF($P313=1,-$K313,0))))</f>
        <v>38.36</v>
      </c>
      <c r="R313" s="6">
        <f>IF($K313="","",IF($L313="Crédit",$K313,-$K313))</f>
        <v>-38.36</v>
      </c>
      <c r="S313" s="6" t="str">
        <f>IF($C313="","",IFERROR(INDEX('Paramètres'!$H:$H,MATCH($C313,'Paramètres'!$D:$D,0))&amp;"",""))</f>
        <v>Banque A - Courant</v>
      </c>
      <c r="T313" s="6">
        <f>IF($K313="","",IF($S313="",0,IF(ISNUMBER(SEARCH("apport-exterieur",IFERROR(INDEX('Paramètres'!$N:$N,MATCH($D313,'Paramètres'!$M:$M,0))&amp;"",""))),0,IF(OR(IFERROR(INDEX('Paramètres'!$I:$I,MATCH($C313,'Paramètres'!$D:$D,0))&amp;"","")="Les deux",IFERROR(INDEX('Paramètres'!$I:$I,MATCH($C313,'Paramètres'!$D:$D,0))&amp;"","")=IF($P313=1,"Débit",$L313)),-IF($P313=1,-$K313,$K313),0))))</f>
        <v>-38.36</v>
      </c>
      <c r="U313" s="6">
        <f>IF($K313="","",IF(ISNUMBER(SEARCH("sortie-epargne",IFERROR(INDEX('Paramètres'!$N:$N,MATCH($D313,'Paramètres'!$M:$M,0))&amp;"",""))),$K313,0))</f>
        <v>0</v>
      </c>
      <c r="V313" s="6" t="str">
        <f>IF(AND($A313&lt;&gt;"",$O313=1,$L313="Débit",N($Q313)&gt;0,$A313&gt;=Visualisation!$B$1,$A313&lt;Visualisation!$D$1),MAX($V$1:V312)+1,"")</f>
        <v/>
      </c>
    </row>
    <row r="314" spans="1:22" x14ac:dyDescent="0.25">
      <c r="A314" s="9">
        <v>45753</v>
      </c>
      <c r="B314" s="4" t="s">
        <v>89</v>
      </c>
      <c r="C314" s="4" t="s">
        <v>75</v>
      </c>
      <c r="D314" s="4" t="s">
        <v>89</v>
      </c>
      <c r="E314" s="10">
        <v>49.9</v>
      </c>
      <c r="G314" s="4"/>
      <c r="H314" s="4"/>
      <c r="I314" s="4"/>
      <c r="K314" s="11">
        <f>IF($E314="","",ROUND($E314*IF(ISNA(MATCH($C314,'Paramètres'!$D:$D,0)),1,IF(INDEX('Paramètres'!$J:$J,MATCH($C314,'Paramètres'!$D:$D,0))="",1,INDEX('Paramètres'!$J:$J,MATCH($C314,'Paramètres'!$D:$D,0)))),2))</f>
        <v>49.9</v>
      </c>
      <c r="L314" s="6" t="str">
        <f>IF($D314="","",IF($F314&lt;&gt;"",$F314,IF(ISNA(MATCH($D314,'Paramètres'!$M:$M,0)),"⚠ Type inconnu",IFERROR(INDEX('Paramètres'!$P:$P,MATCH($D314,'Paramètres'!$M:$M,0))&amp;"",""))))</f>
        <v>Débit</v>
      </c>
      <c r="M314" s="6" t="str">
        <f>IF($D314="","",IF(ISNA(MATCH($D314,'Paramètres'!$M:$M,0)),"⚠ Type inconnu",IF($L314="Crédit","",IFERROR(INDEX('Paramètres'!$O:$O,MATCH($D314,'Paramètres'!$M:$M,0))&amp;"",""))))</f>
        <v>Dépense Fixe</v>
      </c>
      <c r="N314" s="6" t="str">
        <f>IF($D314="","",IFERROR(INDEX('Paramètres'!$Q:$Q,MATCH($D314,'Paramètres'!$M:$M,0))&amp;"",""))</f>
        <v>Autre</v>
      </c>
      <c r="O314" s="6">
        <f>IF($A314="","",IF(OR($J314&lt;&gt;"x",$A314&lt;=FinReleve),1,0))</f>
        <v>1</v>
      </c>
      <c r="P314" s="6">
        <f>IF($D314="","",IF(AND($L314="Crédit",OR(IFERROR(INDEX('Paramètres'!$O:$O,MATCH($D314,'Paramètres'!$M:$M,0))&amp;"","")&lt;&gt;"",ISNUMBER(SEARCH("remboursement",IFERROR(INDEX('Paramètres'!$N:$N,MATCH($D314,'Paramètres'!$M:$M,0))&amp;"",""))))),1,0))</f>
        <v>0</v>
      </c>
      <c r="Q314" s="6">
        <f>IF($K314="","",IF(ISNUMBER(SEARCH("transfert-interne",IFERROR(INDEX('Paramètres'!$N:$N,MATCH($D314,'Paramètres'!$M:$M,0))&amp;"",""))),0,IF($L314="Débit",$K314,IF($P314=1,-$K314,0))))</f>
        <v>49.9</v>
      </c>
      <c r="R314" s="6">
        <f>IF($K314="","",IF($L314="Crédit",$K314,-$K314))</f>
        <v>-49.9</v>
      </c>
      <c r="S314" s="6" t="str">
        <f>IF($C314="","",IFERROR(INDEX('Paramètres'!$H:$H,MATCH($C314,'Paramètres'!$D:$D,0))&amp;"",""))</f>
        <v/>
      </c>
      <c r="T314" s="6">
        <f>IF($K314="","",IF($S314="",0,IF(ISNUMBER(SEARCH("apport-exterieur",IFERROR(INDEX('Paramètres'!$N:$N,MATCH($D314,'Paramètres'!$M:$M,0))&amp;"",""))),0,IF(OR(IFERROR(INDEX('Paramètres'!$I:$I,MATCH($C314,'Paramètres'!$D:$D,0))&amp;"","")="Les deux",IFERROR(INDEX('Paramètres'!$I:$I,MATCH($C314,'Paramètres'!$D:$D,0))&amp;"","")=IF($P314=1,"Débit",$L314)),-IF($P314=1,-$K314,$K314),0))))</f>
        <v>0</v>
      </c>
      <c r="U314" s="6">
        <f>IF($K314="","",IF(ISNUMBER(SEARCH("sortie-epargne",IFERROR(INDEX('Paramètres'!$N:$N,MATCH($D314,'Paramètres'!$M:$M,0))&amp;"",""))),$K314,0))</f>
        <v>0</v>
      </c>
      <c r="V314" s="6" t="str">
        <f>IF(AND($A314&lt;&gt;"",$O314=1,$L314="Débit",N($Q314)&gt;0,$A314&gt;=Visualisation!$B$1,$A314&lt;Visualisation!$D$1),MAX($V$1:V313)+1,"")</f>
        <v/>
      </c>
    </row>
    <row r="315" spans="1:22" x14ac:dyDescent="0.25">
      <c r="A315" s="9">
        <v>45753</v>
      </c>
      <c r="B315" s="4" t="s">
        <v>76</v>
      </c>
      <c r="C315" s="4" t="s">
        <v>107</v>
      </c>
      <c r="D315" s="4" t="s">
        <v>108</v>
      </c>
      <c r="E315" s="10">
        <v>69.45</v>
      </c>
      <c r="G315" s="4" t="s">
        <v>127</v>
      </c>
      <c r="H315" s="4" t="s">
        <v>144</v>
      </c>
      <c r="I315" s="4" t="s">
        <v>63</v>
      </c>
      <c r="K315" s="11">
        <f>IF($E315="","",ROUND($E315*IF(ISNA(MATCH($C315,'Paramètres'!$D:$D,0)),1,IF(INDEX('Paramètres'!$J:$J,MATCH($C315,'Paramètres'!$D:$D,0))="",1,INDEX('Paramètres'!$J:$J,MATCH($C315,'Paramètres'!$D:$D,0)))),2))</f>
        <v>69.45</v>
      </c>
      <c r="L315" s="6" t="str">
        <f>IF($D315="","",IF($F315&lt;&gt;"",$F315,IF(ISNA(MATCH($D315,'Paramètres'!$M:$M,0)),"⚠ Type inconnu",IFERROR(INDEX('Paramètres'!$P:$P,MATCH($D315,'Paramètres'!$M:$M,0))&amp;"",""))))</f>
        <v>Débit</v>
      </c>
      <c r="M315" s="6" t="str">
        <f>IF($D315="","",IF(ISNA(MATCH($D315,'Paramètres'!$M:$M,0)),"⚠ Type inconnu",IF($L315="Crédit","",IFERROR(INDEX('Paramètres'!$O:$O,MATCH($D315,'Paramètres'!$M:$M,0))&amp;"",""))))</f>
        <v>Dépense Occasionnelle</v>
      </c>
      <c r="N315" s="6" t="str">
        <f>IF($D315="","",IFERROR(INDEX('Paramètres'!$Q:$Q,MATCH($D315,'Paramètres'!$M:$M,0))&amp;"",""))</f>
        <v>Autre</v>
      </c>
      <c r="O315" s="6">
        <f>IF($A315="","",IF(OR($J315&lt;&gt;"x",$A315&lt;=FinReleve),1,0))</f>
        <v>1</v>
      </c>
      <c r="P315" s="6">
        <f>IF($D315="","",IF(AND($L315="Crédit",OR(IFERROR(INDEX('Paramètres'!$O:$O,MATCH($D315,'Paramètres'!$M:$M,0))&amp;"","")&lt;&gt;"",ISNUMBER(SEARCH("remboursement",IFERROR(INDEX('Paramètres'!$N:$N,MATCH($D315,'Paramètres'!$M:$M,0))&amp;"",""))))),1,0))</f>
        <v>0</v>
      </c>
      <c r="Q315" s="6">
        <f>IF($K315="","",IF(ISNUMBER(SEARCH("transfert-interne",IFERROR(INDEX('Paramètres'!$N:$N,MATCH($D315,'Paramètres'!$M:$M,0))&amp;"",""))),0,IF($L315="Débit",$K315,IF($P315=1,-$K315,0))))</f>
        <v>69.45</v>
      </c>
      <c r="R315" s="6">
        <f>IF($K315="","",IF($L315="Crédit",$K315,-$K315))</f>
        <v>-69.45</v>
      </c>
      <c r="S315" s="6" t="str">
        <f>IF($C315="","",IFERROR(INDEX('Paramètres'!$H:$H,MATCH($C315,'Paramètres'!$D:$D,0))&amp;"",""))</f>
        <v/>
      </c>
      <c r="T315" s="6">
        <f>IF($K315="","",IF($S315="",0,IF(ISNUMBER(SEARCH("apport-exterieur",IFERROR(INDEX('Paramètres'!$N:$N,MATCH($D315,'Paramètres'!$M:$M,0))&amp;"",""))),0,IF(OR(IFERROR(INDEX('Paramètres'!$I:$I,MATCH($C315,'Paramètres'!$D:$D,0))&amp;"","")="Les deux",IFERROR(INDEX('Paramètres'!$I:$I,MATCH($C315,'Paramètres'!$D:$D,0))&amp;"","")=IF($P315=1,"Débit",$L315)),-IF($P315=1,-$K315,$K315),0))))</f>
        <v>0</v>
      </c>
      <c r="U315" s="6">
        <f>IF($K315="","",IF(ISNUMBER(SEARCH("sortie-epargne",IFERROR(INDEX('Paramètres'!$N:$N,MATCH($D315,'Paramètres'!$M:$M,0))&amp;"",""))),$K315,0))</f>
        <v>0</v>
      </c>
      <c r="V315" s="6" t="str">
        <f>IF(AND($A315&lt;&gt;"",$O315=1,$L315="Débit",N($Q315)&gt;0,$A315&gt;=Visualisation!$B$1,$A315&lt;Visualisation!$D$1),MAX($V$1:V314)+1,"")</f>
        <v/>
      </c>
    </row>
    <row r="316" spans="1:22" x14ac:dyDescent="0.25">
      <c r="A316" s="9">
        <v>45755</v>
      </c>
      <c r="B316" s="4" t="s">
        <v>94</v>
      </c>
      <c r="C316" s="4" t="s">
        <v>65</v>
      </c>
      <c r="D316" s="4" t="s">
        <v>94</v>
      </c>
      <c r="E316" s="10">
        <v>168</v>
      </c>
      <c r="G316" s="4"/>
      <c r="H316" s="4"/>
      <c r="I316" s="4"/>
      <c r="K316" s="11">
        <f>IF($E316="","",ROUND($E316*IF(ISNA(MATCH($C316,'Paramètres'!$D:$D,0)),1,IF(INDEX('Paramètres'!$J:$J,MATCH($C316,'Paramètres'!$D:$D,0))="",1,INDEX('Paramètres'!$J:$J,MATCH($C316,'Paramètres'!$D:$D,0)))),2))</f>
        <v>168</v>
      </c>
      <c r="L316" s="6" t="str">
        <f>IF($D316="","",IF($F316&lt;&gt;"",$F316,IF(ISNA(MATCH($D316,'Paramètres'!$M:$M,0)),"⚠ Type inconnu",IFERROR(INDEX('Paramètres'!$P:$P,MATCH($D316,'Paramètres'!$M:$M,0))&amp;"",""))))</f>
        <v>Débit</v>
      </c>
      <c r="M316" s="6" t="str">
        <f>IF($D316="","",IF(ISNA(MATCH($D316,'Paramètres'!$M:$M,0)),"⚠ Type inconnu",IF($L316="Crédit","",IFERROR(INDEX('Paramètres'!$O:$O,MATCH($D316,'Paramètres'!$M:$M,0))&amp;"",""))))</f>
        <v>Dépense Fixe</v>
      </c>
      <c r="N316" s="6" t="str">
        <f>IF($D316="","",IFERROR(INDEX('Paramètres'!$Q:$Q,MATCH($D316,'Paramètres'!$M:$M,0))&amp;"",""))</f>
        <v>Immobilier</v>
      </c>
      <c r="O316" s="6">
        <f>IF($A316="","",IF(OR($J316&lt;&gt;"x",$A316&lt;=FinReleve),1,0))</f>
        <v>1</v>
      </c>
      <c r="P316" s="6">
        <f>IF($D316="","",IF(AND($L316="Crédit",OR(IFERROR(INDEX('Paramètres'!$O:$O,MATCH($D316,'Paramètres'!$M:$M,0))&amp;"","")&lt;&gt;"",ISNUMBER(SEARCH("remboursement",IFERROR(INDEX('Paramètres'!$N:$N,MATCH($D316,'Paramètres'!$M:$M,0))&amp;"",""))))),1,0))</f>
        <v>0</v>
      </c>
      <c r="Q316" s="6">
        <f>IF($K316="","",IF(ISNUMBER(SEARCH("transfert-interne",IFERROR(INDEX('Paramètres'!$N:$N,MATCH($D316,'Paramètres'!$M:$M,0))&amp;"",""))),0,IF($L316="Débit",$K316,IF($P316=1,-$K316,0))))</f>
        <v>168</v>
      </c>
      <c r="R316" s="6">
        <f>IF($K316="","",IF($L316="Crédit",$K316,-$K316))</f>
        <v>-168</v>
      </c>
      <c r="S316" s="6" t="str">
        <f>IF($C316="","",IFERROR(INDEX('Paramètres'!$H:$H,MATCH($C316,'Paramètres'!$D:$D,0))&amp;"",""))</f>
        <v>Banque A - Courant</v>
      </c>
      <c r="T316" s="6">
        <f>IF($K316="","",IF($S316="",0,IF(ISNUMBER(SEARCH("apport-exterieur",IFERROR(INDEX('Paramètres'!$N:$N,MATCH($D316,'Paramètres'!$M:$M,0))&amp;"",""))),0,IF(OR(IFERROR(INDEX('Paramètres'!$I:$I,MATCH($C316,'Paramètres'!$D:$D,0))&amp;"","")="Les deux",IFERROR(INDEX('Paramètres'!$I:$I,MATCH($C316,'Paramètres'!$D:$D,0))&amp;"","")=IF($P316=1,"Débit",$L316)),-IF($P316=1,-$K316,$K316),0))))</f>
        <v>0</v>
      </c>
      <c r="U316" s="6">
        <f>IF($K316="","",IF(ISNUMBER(SEARCH("sortie-epargne",IFERROR(INDEX('Paramètres'!$N:$N,MATCH($D316,'Paramètres'!$M:$M,0))&amp;"",""))),$K316,0))</f>
        <v>0</v>
      </c>
      <c r="V316" s="6" t="str">
        <f>IF(AND($A316&lt;&gt;"",$O316=1,$L316="Débit",N($Q316)&gt;0,$A316&gt;=Visualisation!$B$1,$A316&lt;Visualisation!$D$1),MAX($V$1:V315)+1,"")</f>
        <v/>
      </c>
    </row>
    <row r="317" spans="1:22" x14ac:dyDescent="0.25">
      <c r="A317" s="9">
        <v>45756</v>
      </c>
      <c r="B317" s="4" t="s">
        <v>76</v>
      </c>
      <c r="C317" s="4" t="s">
        <v>60</v>
      </c>
      <c r="D317" s="4" t="s">
        <v>77</v>
      </c>
      <c r="E317" s="10">
        <v>104.58</v>
      </c>
      <c r="G317" s="4" t="s">
        <v>78</v>
      </c>
      <c r="H317" s="4"/>
      <c r="I317" s="4" t="s">
        <v>63</v>
      </c>
      <c r="K317" s="11">
        <f>IF($E317="","",ROUND($E317*IF(ISNA(MATCH($C317,'Paramètres'!$D:$D,0)),1,IF(INDEX('Paramètres'!$J:$J,MATCH($C317,'Paramètres'!$D:$D,0))="",1,INDEX('Paramètres'!$J:$J,MATCH($C317,'Paramètres'!$D:$D,0)))),2))</f>
        <v>52.29</v>
      </c>
      <c r="L317" s="6" t="str">
        <f>IF($D317="","",IF($F317&lt;&gt;"",$F317,IF(ISNA(MATCH($D317,'Paramètres'!$M:$M,0)),"⚠ Type inconnu",IFERROR(INDEX('Paramètres'!$P:$P,MATCH($D317,'Paramètres'!$M:$M,0))&amp;"",""))))</f>
        <v>Débit</v>
      </c>
      <c r="M317" s="6" t="str">
        <f>IF($D317="","",IF(ISNA(MATCH($D317,'Paramètres'!$M:$M,0)),"⚠ Type inconnu",IF($L317="Crédit","",IFERROR(INDEX('Paramètres'!$O:$O,MATCH($D317,'Paramètres'!$M:$M,0))&amp;"",""))))</f>
        <v>Dépense Courante</v>
      </c>
      <c r="N317" s="6" t="str">
        <f>IF($D317="","",IFERROR(INDEX('Paramètres'!$Q:$Q,MATCH($D317,'Paramètres'!$M:$M,0))&amp;"",""))</f>
        <v>Alimentation</v>
      </c>
      <c r="O317" s="6">
        <f>IF($A317="","",IF(OR($J317&lt;&gt;"x",$A317&lt;=FinReleve),1,0))</f>
        <v>1</v>
      </c>
      <c r="P317" s="6">
        <f>IF($D317="","",IF(AND($L317="Crédit",OR(IFERROR(INDEX('Paramètres'!$O:$O,MATCH($D317,'Paramètres'!$M:$M,0))&amp;"","")&lt;&gt;"",ISNUMBER(SEARCH("remboursement",IFERROR(INDEX('Paramètres'!$N:$N,MATCH($D317,'Paramètres'!$M:$M,0))&amp;"",""))))),1,0))</f>
        <v>0</v>
      </c>
      <c r="Q317" s="6">
        <f>IF($K317="","",IF(ISNUMBER(SEARCH("transfert-interne",IFERROR(INDEX('Paramètres'!$N:$N,MATCH($D317,'Paramètres'!$M:$M,0))&amp;"",""))),0,IF($L317="Débit",$K317,IF($P317=1,-$K317,0))))</f>
        <v>52.29</v>
      </c>
      <c r="R317" s="6">
        <f>IF($K317="","",IF($L317="Crédit",$K317,-$K317))</f>
        <v>-52.29</v>
      </c>
      <c r="S317" s="6" t="str">
        <f>IF($C317="","",IFERROR(INDEX('Paramètres'!$H:$H,MATCH($C317,'Paramètres'!$D:$D,0))&amp;"",""))</f>
        <v>Banque A - Courant</v>
      </c>
      <c r="T317" s="6">
        <f>IF($K317="","",IF($S317="",0,IF(ISNUMBER(SEARCH("apport-exterieur",IFERROR(INDEX('Paramètres'!$N:$N,MATCH($D317,'Paramètres'!$M:$M,0))&amp;"",""))),0,IF(OR(IFERROR(INDEX('Paramètres'!$I:$I,MATCH($C317,'Paramètres'!$D:$D,0))&amp;"","")="Les deux",IFERROR(INDEX('Paramètres'!$I:$I,MATCH($C317,'Paramètres'!$D:$D,0))&amp;"","")=IF($P317=1,"Débit",$L317)),-IF($P317=1,-$K317,$K317),0))))</f>
        <v>-52.29</v>
      </c>
      <c r="U317" s="6">
        <f>IF($K317="","",IF(ISNUMBER(SEARCH("sortie-epargne",IFERROR(INDEX('Paramètres'!$N:$N,MATCH($D317,'Paramètres'!$M:$M,0))&amp;"",""))),$K317,0))</f>
        <v>0</v>
      </c>
      <c r="V317" s="6" t="str">
        <f>IF(AND($A317&lt;&gt;"",$O317=1,$L317="Débit",N($Q317)&gt;0,$A317&gt;=Visualisation!$B$1,$A317&lt;Visualisation!$D$1),MAX($V$1:V316)+1,"")</f>
        <v/>
      </c>
    </row>
    <row r="318" spans="1:22" x14ac:dyDescent="0.25">
      <c r="A318" s="9">
        <v>45757</v>
      </c>
      <c r="B318" s="4" t="s">
        <v>96</v>
      </c>
      <c r="C318" s="4" t="s">
        <v>75</v>
      </c>
      <c r="D318" s="4" t="s">
        <v>96</v>
      </c>
      <c r="E318" s="10">
        <v>22.4</v>
      </c>
      <c r="G318" s="4"/>
      <c r="H318" s="4"/>
      <c r="I318" s="4"/>
      <c r="K318" s="11">
        <f>IF($E318="","",ROUND($E318*IF(ISNA(MATCH($C318,'Paramètres'!$D:$D,0)),1,IF(INDEX('Paramètres'!$J:$J,MATCH($C318,'Paramètres'!$D:$D,0))="",1,INDEX('Paramètres'!$J:$J,MATCH($C318,'Paramètres'!$D:$D,0)))),2))</f>
        <v>22.4</v>
      </c>
      <c r="L318" s="6" t="str">
        <f>IF($D318="","",IF($F318&lt;&gt;"",$F318,IF(ISNA(MATCH($D318,'Paramètres'!$M:$M,0)),"⚠ Type inconnu",IFERROR(INDEX('Paramètres'!$P:$P,MATCH($D318,'Paramètres'!$M:$M,0))&amp;"",""))))</f>
        <v>Débit</v>
      </c>
      <c r="M318" s="6" t="str">
        <f>IF($D318="","",IF(ISNA(MATCH($D318,'Paramètres'!$M:$M,0)),"⚠ Type inconnu",IF($L318="Crédit","",IFERROR(INDEX('Paramètres'!$O:$O,MATCH($D318,'Paramètres'!$M:$M,0))&amp;"",""))))</f>
        <v>Dépense Fixe</v>
      </c>
      <c r="N318" s="6" t="str">
        <f>IF($D318="","",IFERROR(INDEX('Paramètres'!$Q:$Q,MATCH($D318,'Paramètres'!$M:$M,0))&amp;"",""))</f>
        <v>Assurances</v>
      </c>
      <c r="O318" s="6">
        <f>IF($A318="","",IF(OR($J318&lt;&gt;"x",$A318&lt;=FinReleve),1,0))</f>
        <v>1</v>
      </c>
      <c r="P318" s="6">
        <f>IF($D318="","",IF(AND($L318="Crédit",OR(IFERROR(INDEX('Paramètres'!$O:$O,MATCH($D318,'Paramètres'!$M:$M,0))&amp;"","")&lt;&gt;"",ISNUMBER(SEARCH("remboursement",IFERROR(INDEX('Paramètres'!$N:$N,MATCH($D318,'Paramètres'!$M:$M,0))&amp;"",""))))),1,0))</f>
        <v>0</v>
      </c>
      <c r="Q318" s="6">
        <f>IF($K318="","",IF(ISNUMBER(SEARCH("transfert-interne",IFERROR(INDEX('Paramètres'!$N:$N,MATCH($D318,'Paramètres'!$M:$M,0))&amp;"",""))),0,IF($L318="Débit",$K318,IF($P318=1,-$K318,0))))</f>
        <v>22.4</v>
      </c>
      <c r="R318" s="6">
        <f>IF($K318="","",IF($L318="Crédit",$K318,-$K318))</f>
        <v>-22.4</v>
      </c>
      <c r="S318" s="6" t="str">
        <f>IF($C318="","",IFERROR(INDEX('Paramètres'!$H:$H,MATCH($C318,'Paramètres'!$D:$D,0))&amp;"",""))</f>
        <v/>
      </c>
      <c r="T318" s="6">
        <f>IF($K318="","",IF($S318="",0,IF(ISNUMBER(SEARCH("apport-exterieur",IFERROR(INDEX('Paramètres'!$N:$N,MATCH($D318,'Paramètres'!$M:$M,0))&amp;"",""))),0,IF(OR(IFERROR(INDEX('Paramètres'!$I:$I,MATCH($C318,'Paramètres'!$D:$D,0))&amp;"","")="Les deux",IFERROR(INDEX('Paramètres'!$I:$I,MATCH($C318,'Paramètres'!$D:$D,0))&amp;"","")=IF($P318=1,"Débit",$L318)),-IF($P318=1,-$K318,$K318),0))))</f>
        <v>0</v>
      </c>
      <c r="U318" s="6">
        <f>IF($K318="","",IF(ISNUMBER(SEARCH("sortie-epargne",IFERROR(INDEX('Paramètres'!$N:$N,MATCH($D318,'Paramètres'!$M:$M,0))&amp;"",""))),$K318,0))</f>
        <v>0</v>
      </c>
      <c r="V318" s="6" t="str">
        <f>IF(AND($A318&lt;&gt;"",$O318=1,$L318="Débit",N($Q318)&gt;0,$A318&gt;=Visualisation!$B$1,$A318&lt;Visualisation!$D$1),MAX($V$1:V317)+1,"")</f>
        <v/>
      </c>
    </row>
    <row r="319" spans="1:22" x14ac:dyDescent="0.25">
      <c r="A319" s="9">
        <v>45757</v>
      </c>
      <c r="B319" s="4" t="s">
        <v>129</v>
      </c>
      <c r="C319" s="4" t="s">
        <v>126</v>
      </c>
      <c r="D319" s="4" t="s">
        <v>130</v>
      </c>
      <c r="E319" s="10">
        <v>53.56</v>
      </c>
      <c r="G319" s="4"/>
      <c r="H319" s="4"/>
      <c r="I319" s="4"/>
      <c r="K319" s="11">
        <f>IF($E319="","",ROUND($E319*IF(ISNA(MATCH($C319,'Paramètres'!$D:$D,0)),1,IF(INDEX('Paramètres'!$J:$J,MATCH($C319,'Paramètres'!$D:$D,0))="",1,INDEX('Paramètres'!$J:$J,MATCH($C319,'Paramètres'!$D:$D,0)))),2))</f>
        <v>26.78</v>
      </c>
      <c r="L319" s="6" t="str">
        <f>IF($D319="","",IF($F319&lt;&gt;"",$F319,IF(ISNA(MATCH($D319,'Paramètres'!$M:$M,0)),"⚠ Type inconnu",IFERROR(INDEX('Paramètres'!$P:$P,MATCH($D319,'Paramètres'!$M:$M,0))&amp;"",""))))</f>
        <v>Débit</v>
      </c>
      <c r="M319" s="6" t="str">
        <f>IF($D319="","",IF(ISNA(MATCH($D319,'Paramètres'!$M:$M,0)),"⚠ Type inconnu",IF($L319="Crédit","",IFERROR(INDEX('Paramètres'!$O:$O,MATCH($D319,'Paramètres'!$M:$M,0))&amp;"",""))))</f>
        <v/>
      </c>
      <c r="N319" s="6" t="str">
        <f>IF($D319="","",IFERROR(INDEX('Paramètres'!$Q:$Q,MATCH($D319,'Paramètres'!$M:$M,0))&amp;"",""))</f>
        <v>Comptes Bancaires</v>
      </c>
      <c r="O319" s="6">
        <f>IF($A319="","",IF(OR($J319&lt;&gt;"x",$A319&lt;=FinReleve),1,0))</f>
        <v>1</v>
      </c>
      <c r="P319" s="6">
        <f>IF($D319="","",IF(AND($L319="Crédit",OR(IFERROR(INDEX('Paramètres'!$O:$O,MATCH($D319,'Paramètres'!$M:$M,0))&amp;"","")&lt;&gt;"",ISNUMBER(SEARCH("remboursement",IFERROR(INDEX('Paramètres'!$N:$N,MATCH($D319,'Paramètres'!$M:$M,0))&amp;"",""))))),1,0))</f>
        <v>0</v>
      </c>
      <c r="Q319" s="6">
        <f>IF($K319="","",IF(ISNUMBER(SEARCH("transfert-interne",IFERROR(INDEX('Paramètres'!$N:$N,MATCH($D319,'Paramètres'!$M:$M,0))&amp;"",""))),0,IF($L319="Débit",$K319,IF($P319=1,-$K319,0))))</f>
        <v>26.78</v>
      </c>
      <c r="R319" s="6">
        <f>IF($K319="","",IF($L319="Crédit",$K319,-$K319))</f>
        <v>-26.78</v>
      </c>
      <c r="S319" s="6" t="str">
        <f>IF($C319="","",IFERROR(INDEX('Paramètres'!$H:$H,MATCH($C319,'Paramètres'!$D:$D,0))&amp;"",""))</f>
        <v>Banque A - Courant</v>
      </c>
      <c r="T319" s="6">
        <f>IF($K319="","",IF($S319="",0,IF(ISNUMBER(SEARCH("apport-exterieur",IFERROR(INDEX('Paramètres'!$N:$N,MATCH($D319,'Paramètres'!$M:$M,0))&amp;"",""))),0,IF(OR(IFERROR(INDEX('Paramètres'!$I:$I,MATCH($C319,'Paramètres'!$D:$D,0))&amp;"","")="Les deux",IFERROR(INDEX('Paramètres'!$I:$I,MATCH($C319,'Paramètres'!$D:$D,0))&amp;"","")=IF($P319=1,"Débit",$L319)),-IF($P319=1,-$K319,$K319),0))))</f>
        <v>-26.78</v>
      </c>
      <c r="U319" s="6">
        <f>IF($K319="","",IF(ISNUMBER(SEARCH("sortie-epargne",IFERROR(INDEX('Paramètres'!$N:$N,MATCH($D319,'Paramètres'!$M:$M,0))&amp;"",""))),$K319,0))</f>
        <v>0</v>
      </c>
      <c r="V319" s="6" t="str">
        <f>IF(AND($A319&lt;&gt;"",$O319=1,$L319="Débit",N($Q319)&gt;0,$A319&gt;=Visualisation!$B$1,$A319&lt;Visualisation!$D$1),MAX($V$1:V318)+1,"")</f>
        <v/>
      </c>
    </row>
    <row r="320" spans="1:22" x14ac:dyDescent="0.25">
      <c r="A320" s="9">
        <v>45758</v>
      </c>
      <c r="B320" s="4" t="s">
        <v>69</v>
      </c>
      <c r="C320" s="4" t="s">
        <v>70</v>
      </c>
      <c r="D320" s="4" t="s">
        <v>71</v>
      </c>
      <c r="E320" s="10">
        <v>13.49</v>
      </c>
      <c r="G320" s="4" t="s">
        <v>72</v>
      </c>
      <c r="H320" s="4"/>
      <c r="I320" s="4" t="s">
        <v>93</v>
      </c>
      <c r="K320" s="11">
        <f>IF($E320="","",ROUND($E320*IF(ISNA(MATCH($C320,'Paramètres'!$D:$D,0)),1,IF(INDEX('Paramètres'!$J:$J,MATCH($C320,'Paramètres'!$D:$D,0))="",1,INDEX('Paramètres'!$J:$J,MATCH($C320,'Paramètres'!$D:$D,0)))),2))</f>
        <v>13.49</v>
      </c>
      <c r="L320" s="6" t="str">
        <f>IF($D320="","",IF($F320&lt;&gt;"",$F320,IF(ISNA(MATCH($D320,'Paramètres'!$M:$M,0)),"⚠ Type inconnu",IFERROR(INDEX('Paramètres'!$P:$P,MATCH($D320,'Paramètres'!$M:$M,0))&amp;"",""))))</f>
        <v>Débit</v>
      </c>
      <c r="M320" s="6" t="str">
        <f>IF($D320="","",IF(ISNA(MATCH($D320,'Paramètres'!$M:$M,0)),"⚠ Type inconnu",IF($L320="Crédit","",IFERROR(INDEX('Paramètres'!$O:$O,MATCH($D320,'Paramètres'!$M:$M,0))&amp;"",""))))</f>
        <v>Dépense Courante</v>
      </c>
      <c r="N320" s="6" t="str">
        <f>IF($D320="","",IFERROR(INDEX('Paramètres'!$Q:$Q,MATCH($D320,'Paramètres'!$M:$M,0))&amp;"",""))</f>
        <v>Alimentation</v>
      </c>
      <c r="O320" s="6">
        <f>IF($A320="","",IF(OR($J320&lt;&gt;"x",$A320&lt;=FinReleve),1,0))</f>
        <v>1</v>
      </c>
      <c r="P320" s="6">
        <f>IF($D320="","",IF(AND($L320="Crédit",OR(IFERROR(INDEX('Paramètres'!$O:$O,MATCH($D320,'Paramètres'!$M:$M,0))&amp;"","")&lt;&gt;"",ISNUMBER(SEARCH("remboursement",IFERROR(INDEX('Paramètres'!$N:$N,MATCH($D320,'Paramètres'!$M:$M,0))&amp;"",""))))),1,0))</f>
        <v>0</v>
      </c>
      <c r="Q320" s="6">
        <f>IF($K320="","",IF(ISNUMBER(SEARCH("transfert-interne",IFERROR(INDEX('Paramètres'!$N:$N,MATCH($D320,'Paramètres'!$M:$M,0))&amp;"",""))),0,IF($L320="Débit",$K320,IF($P320=1,-$K320,0))))</f>
        <v>13.49</v>
      </c>
      <c r="R320" s="6">
        <f>IF($K320="","",IF($L320="Crédit",$K320,-$K320))</f>
        <v>-13.49</v>
      </c>
      <c r="S320" s="6" t="str">
        <f>IF($C320="","",IFERROR(INDEX('Paramètres'!$H:$H,MATCH($C320,'Paramètres'!$D:$D,0))&amp;"",""))</f>
        <v/>
      </c>
      <c r="T320" s="6">
        <f>IF($K320="","",IF($S320="",0,IF(ISNUMBER(SEARCH("apport-exterieur",IFERROR(INDEX('Paramètres'!$N:$N,MATCH($D320,'Paramètres'!$M:$M,0))&amp;"",""))),0,IF(OR(IFERROR(INDEX('Paramètres'!$I:$I,MATCH($C320,'Paramètres'!$D:$D,0))&amp;"","")="Les deux",IFERROR(INDEX('Paramètres'!$I:$I,MATCH($C320,'Paramètres'!$D:$D,0))&amp;"","")=IF($P320=1,"Débit",$L320)),-IF($P320=1,-$K320,$K320),0))))</f>
        <v>0</v>
      </c>
      <c r="U320" s="6">
        <f>IF($K320="","",IF(ISNUMBER(SEARCH("sortie-epargne",IFERROR(INDEX('Paramètres'!$N:$N,MATCH($D320,'Paramètres'!$M:$M,0))&amp;"",""))),$K320,0))</f>
        <v>0</v>
      </c>
      <c r="V320" s="6" t="str">
        <f>IF(AND($A320&lt;&gt;"",$O320=1,$L320="Débit",N($Q320)&gt;0,$A320&gt;=Visualisation!$B$1,$A320&lt;Visualisation!$D$1),MAX($V$1:V319)+1,"")</f>
        <v/>
      </c>
    </row>
    <row r="321" spans="1:22" x14ac:dyDescent="0.25">
      <c r="A321" s="9">
        <v>45759</v>
      </c>
      <c r="B321" s="4" t="s">
        <v>97</v>
      </c>
      <c r="C321" s="4" t="s">
        <v>75</v>
      </c>
      <c r="D321" s="4" t="s">
        <v>97</v>
      </c>
      <c r="E321" s="10">
        <v>47.9</v>
      </c>
      <c r="G321" s="4"/>
      <c r="H321" s="4"/>
      <c r="I321" s="4"/>
      <c r="K321" s="11">
        <f>IF($E321="","",ROUND($E321*IF(ISNA(MATCH($C321,'Paramètres'!$D:$D,0)),1,IF(INDEX('Paramètres'!$J:$J,MATCH($C321,'Paramètres'!$D:$D,0))="",1,INDEX('Paramètres'!$J:$J,MATCH($C321,'Paramètres'!$D:$D,0)))),2))</f>
        <v>47.9</v>
      </c>
      <c r="L321" s="6" t="str">
        <f>IF($D321="","",IF($F321&lt;&gt;"",$F321,IF(ISNA(MATCH($D321,'Paramètres'!$M:$M,0)),"⚠ Type inconnu",IFERROR(INDEX('Paramètres'!$P:$P,MATCH($D321,'Paramètres'!$M:$M,0))&amp;"",""))))</f>
        <v>Débit</v>
      </c>
      <c r="M321" s="6" t="str">
        <f>IF($D321="","",IF(ISNA(MATCH($D321,'Paramètres'!$M:$M,0)),"⚠ Type inconnu",IF($L321="Crédit","",IFERROR(INDEX('Paramètres'!$O:$O,MATCH($D321,'Paramètres'!$M:$M,0))&amp;"",""))))</f>
        <v>Dépense Fixe</v>
      </c>
      <c r="N321" s="6" t="str">
        <f>IF($D321="","",IFERROR(INDEX('Paramètres'!$Q:$Q,MATCH($D321,'Paramètres'!$M:$M,0))&amp;"",""))</f>
        <v>Assurances</v>
      </c>
      <c r="O321" s="6">
        <f>IF($A321="","",IF(OR($J321&lt;&gt;"x",$A321&lt;=FinReleve),1,0))</f>
        <v>1</v>
      </c>
      <c r="P321" s="6">
        <f>IF($D321="","",IF(AND($L321="Crédit",OR(IFERROR(INDEX('Paramètres'!$O:$O,MATCH($D321,'Paramètres'!$M:$M,0))&amp;"","")&lt;&gt;"",ISNUMBER(SEARCH("remboursement",IFERROR(INDEX('Paramètres'!$N:$N,MATCH($D321,'Paramètres'!$M:$M,0))&amp;"",""))))),1,0))</f>
        <v>0</v>
      </c>
      <c r="Q321" s="6">
        <f>IF($K321="","",IF(ISNUMBER(SEARCH("transfert-interne",IFERROR(INDEX('Paramètres'!$N:$N,MATCH($D321,'Paramètres'!$M:$M,0))&amp;"",""))),0,IF($L321="Débit",$K321,IF($P321=1,-$K321,0))))</f>
        <v>47.9</v>
      </c>
      <c r="R321" s="6">
        <f>IF($K321="","",IF($L321="Crédit",$K321,-$K321))</f>
        <v>-47.9</v>
      </c>
      <c r="S321" s="6" t="str">
        <f>IF($C321="","",IFERROR(INDEX('Paramètres'!$H:$H,MATCH($C321,'Paramètres'!$D:$D,0))&amp;"",""))</f>
        <v/>
      </c>
      <c r="T321" s="6">
        <f>IF($K321="","",IF($S321="",0,IF(ISNUMBER(SEARCH("apport-exterieur",IFERROR(INDEX('Paramètres'!$N:$N,MATCH($D321,'Paramètres'!$M:$M,0))&amp;"",""))),0,IF(OR(IFERROR(INDEX('Paramètres'!$I:$I,MATCH($C321,'Paramètres'!$D:$D,0))&amp;"","")="Les deux",IFERROR(INDEX('Paramètres'!$I:$I,MATCH($C321,'Paramètres'!$D:$D,0))&amp;"","")=IF($P321=1,"Débit",$L321)),-IF($P321=1,-$K321,$K321),0))))</f>
        <v>0</v>
      </c>
      <c r="U321" s="6">
        <f>IF($K321="","",IF(ISNUMBER(SEARCH("sortie-epargne",IFERROR(INDEX('Paramètres'!$N:$N,MATCH($D321,'Paramètres'!$M:$M,0))&amp;"",""))),$K321,0))</f>
        <v>0</v>
      </c>
      <c r="V321" s="6" t="str">
        <f>IF(AND($A321&lt;&gt;"",$O321=1,$L321="Débit",N($Q321)&gt;0,$A321&gt;=Visualisation!$B$1,$A321&lt;Visualisation!$D$1),MAX($V$1:V320)+1,"")</f>
        <v/>
      </c>
    </row>
    <row r="322" spans="1:22" x14ac:dyDescent="0.25">
      <c r="A322" s="9">
        <v>45759</v>
      </c>
      <c r="B322" s="4" t="s">
        <v>69</v>
      </c>
      <c r="C322" s="4" t="s">
        <v>70</v>
      </c>
      <c r="D322" s="4" t="s">
        <v>71</v>
      </c>
      <c r="E322" s="10">
        <v>9.2</v>
      </c>
      <c r="G322" s="4" t="s">
        <v>72</v>
      </c>
      <c r="H322" s="4"/>
      <c r="I322" s="4" t="s">
        <v>79</v>
      </c>
      <c r="K322" s="11">
        <f>IF($E322="","",ROUND($E322*IF(ISNA(MATCH($C322,'Paramètres'!$D:$D,0)),1,IF(INDEX('Paramètres'!$J:$J,MATCH($C322,'Paramètres'!$D:$D,0))="",1,INDEX('Paramètres'!$J:$J,MATCH($C322,'Paramètres'!$D:$D,0)))),2))</f>
        <v>9.2</v>
      </c>
      <c r="L322" s="6" t="str">
        <f>IF($D322="","",IF($F322&lt;&gt;"",$F322,IF(ISNA(MATCH($D322,'Paramètres'!$M:$M,0)),"⚠ Type inconnu",IFERROR(INDEX('Paramètres'!$P:$P,MATCH($D322,'Paramètres'!$M:$M,0))&amp;"",""))))</f>
        <v>Débit</v>
      </c>
      <c r="M322" s="6" t="str">
        <f>IF($D322="","",IF(ISNA(MATCH($D322,'Paramètres'!$M:$M,0)),"⚠ Type inconnu",IF($L322="Crédit","",IFERROR(INDEX('Paramètres'!$O:$O,MATCH($D322,'Paramètres'!$M:$M,0))&amp;"",""))))</f>
        <v>Dépense Courante</v>
      </c>
      <c r="N322" s="6" t="str">
        <f>IF($D322="","",IFERROR(INDEX('Paramètres'!$Q:$Q,MATCH($D322,'Paramètres'!$M:$M,0))&amp;"",""))</f>
        <v>Alimentation</v>
      </c>
      <c r="O322" s="6">
        <f>IF($A322="","",IF(OR($J322&lt;&gt;"x",$A322&lt;=FinReleve),1,0))</f>
        <v>1</v>
      </c>
      <c r="P322" s="6">
        <f>IF($D322="","",IF(AND($L322="Crédit",OR(IFERROR(INDEX('Paramètres'!$O:$O,MATCH($D322,'Paramètres'!$M:$M,0))&amp;"","")&lt;&gt;"",ISNUMBER(SEARCH("remboursement",IFERROR(INDEX('Paramètres'!$N:$N,MATCH($D322,'Paramètres'!$M:$M,0))&amp;"",""))))),1,0))</f>
        <v>0</v>
      </c>
      <c r="Q322" s="6">
        <f>IF($K322="","",IF(ISNUMBER(SEARCH("transfert-interne",IFERROR(INDEX('Paramètres'!$N:$N,MATCH($D322,'Paramètres'!$M:$M,0))&amp;"",""))),0,IF($L322="Débit",$K322,IF($P322=1,-$K322,0))))</f>
        <v>9.2</v>
      </c>
      <c r="R322" s="6">
        <f>IF($K322="","",IF($L322="Crédit",$K322,-$K322))</f>
        <v>-9.2</v>
      </c>
      <c r="S322" s="6" t="str">
        <f>IF($C322="","",IFERROR(INDEX('Paramètres'!$H:$H,MATCH($C322,'Paramètres'!$D:$D,0))&amp;"",""))</f>
        <v/>
      </c>
      <c r="T322" s="6">
        <f>IF($K322="","",IF($S322="",0,IF(ISNUMBER(SEARCH("apport-exterieur",IFERROR(INDEX('Paramètres'!$N:$N,MATCH($D322,'Paramètres'!$M:$M,0))&amp;"",""))),0,IF(OR(IFERROR(INDEX('Paramètres'!$I:$I,MATCH($C322,'Paramètres'!$D:$D,0))&amp;"","")="Les deux",IFERROR(INDEX('Paramètres'!$I:$I,MATCH($C322,'Paramètres'!$D:$D,0))&amp;"","")=IF($P322=1,"Débit",$L322)),-IF($P322=1,-$K322,$K322),0))))</f>
        <v>0</v>
      </c>
      <c r="U322" s="6">
        <f>IF($K322="","",IF(ISNUMBER(SEARCH("sortie-epargne",IFERROR(INDEX('Paramètres'!$N:$N,MATCH($D322,'Paramètres'!$M:$M,0))&amp;"",""))),$K322,0))</f>
        <v>0</v>
      </c>
      <c r="V322" s="6" t="str">
        <f>IF(AND($A322&lt;&gt;"",$O322=1,$L322="Débit",N($Q322)&gt;0,$A322&gt;=Visualisation!$B$1,$A322&lt;Visualisation!$D$1),MAX($V$1:V321)+1,"")</f>
        <v/>
      </c>
    </row>
    <row r="323" spans="1:22" x14ac:dyDescent="0.25">
      <c r="A323" s="9">
        <v>45760</v>
      </c>
      <c r="B323" s="4" t="s">
        <v>76</v>
      </c>
      <c r="C323" s="4" t="s">
        <v>60</v>
      </c>
      <c r="D323" s="4" t="s">
        <v>77</v>
      </c>
      <c r="E323" s="10">
        <v>180.28</v>
      </c>
      <c r="G323" s="4" t="s">
        <v>98</v>
      </c>
      <c r="H323" s="4"/>
      <c r="I323" s="4" t="s">
        <v>93</v>
      </c>
      <c r="K323" s="11">
        <f>IF($E323="","",ROUND($E323*IF(ISNA(MATCH($C323,'Paramètres'!$D:$D,0)),1,IF(INDEX('Paramètres'!$J:$J,MATCH($C323,'Paramètres'!$D:$D,0))="",1,INDEX('Paramètres'!$J:$J,MATCH($C323,'Paramètres'!$D:$D,0)))),2))</f>
        <v>90.14</v>
      </c>
      <c r="L323" s="6" t="str">
        <f>IF($D323="","",IF($F323&lt;&gt;"",$F323,IF(ISNA(MATCH($D323,'Paramètres'!$M:$M,0)),"⚠ Type inconnu",IFERROR(INDEX('Paramètres'!$P:$P,MATCH($D323,'Paramètres'!$M:$M,0))&amp;"",""))))</f>
        <v>Débit</v>
      </c>
      <c r="M323" s="6" t="str">
        <f>IF($D323="","",IF(ISNA(MATCH($D323,'Paramètres'!$M:$M,0)),"⚠ Type inconnu",IF($L323="Crédit","",IFERROR(INDEX('Paramètres'!$O:$O,MATCH($D323,'Paramètres'!$M:$M,0))&amp;"",""))))</f>
        <v>Dépense Courante</v>
      </c>
      <c r="N323" s="6" t="str">
        <f>IF($D323="","",IFERROR(INDEX('Paramètres'!$Q:$Q,MATCH($D323,'Paramètres'!$M:$M,0))&amp;"",""))</f>
        <v>Alimentation</v>
      </c>
      <c r="O323" s="6">
        <f>IF($A323="","",IF(OR($J323&lt;&gt;"x",$A323&lt;=FinReleve),1,0))</f>
        <v>1</v>
      </c>
      <c r="P323" s="6">
        <f>IF($D323="","",IF(AND($L323="Crédit",OR(IFERROR(INDEX('Paramètres'!$O:$O,MATCH($D323,'Paramètres'!$M:$M,0))&amp;"","")&lt;&gt;"",ISNUMBER(SEARCH("remboursement",IFERROR(INDEX('Paramètres'!$N:$N,MATCH($D323,'Paramètres'!$M:$M,0))&amp;"",""))))),1,0))</f>
        <v>0</v>
      </c>
      <c r="Q323" s="6">
        <f>IF($K323="","",IF(ISNUMBER(SEARCH("transfert-interne",IFERROR(INDEX('Paramètres'!$N:$N,MATCH($D323,'Paramètres'!$M:$M,0))&amp;"",""))),0,IF($L323="Débit",$K323,IF($P323=1,-$K323,0))))</f>
        <v>90.14</v>
      </c>
      <c r="R323" s="6">
        <f>IF($K323="","",IF($L323="Crédit",$K323,-$K323))</f>
        <v>-90.14</v>
      </c>
      <c r="S323" s="6" t="str">
        <f>IF($C323="","",IFERROR(INDEX('Paramètres'!$H:$H,MATCH($C323,'Paramètres'!$D:$D,0))&amp;"",""))</f>
        <v>Banque A - Courant</v>
      </c>
      <c r="T323" s="6">
        <f>IF($K323="","",IF($S323="",0,IF(ISNUMBER(SEARCH("apport-exterieur",IFERROR(INDEX('Paramètres'!$N:$N,MATCH($D323,'Paramètres'!$M:$M,0))&amp;"",""))),0,IF(OR(IFERROR(INDEX('Paramètres'!$I:$I,MATCH($C323,'Paramètres'!$D:$D,0))&amp;"","")="Les deux",IFERROR(INDEX('Paramètres'!$I:$I,MATCH($C323,'Paramètres'!$D:$D,0))&amp;"","")=IF($P323=1,"Débit",$L323)),-IF($P323=1,-$K323,$K323),0))))</f>
        <v>-90.14</v>
      </c>
      <c r="U323" s="6">
        <f>IF($K323="","",IF(ISNUMBER(SEARCH("sortie-epargne",IFERROR(INDEX('Paramètres'!$N:$N,MATCH($D323,'Paramètres'!$M:$M,0))&amp;"",""))),$K323,0))</f>
        <v>0</v>
      </c>
      <c r="V323" s="6" t="str">
        <f>IF(AND($A323&lt;&gt;"",$O323=1,$L323="Débit",N($Q323)&gt;0,$A323&gt;=Visualisation!$B$1,$A323&lt;Visualisation!$D$1),MAX($V$1:V322)+1,"")</f>
        <v/>
      </c>
    </row>
    <row r="324" spans="1:22" x14ac:dyDescent="0.25">
      <c r="A324" s="9">
        <v>45760</v>
      </c>
      <c r="B324" s="4" t="s">
        <v>76</v>
      </c>
      <c r="C324" s="4" t="s">
        <v>67</v>
      </c>
      <c r="D324" s="4" t="s">
        <v>77</v>
      </c>
      <c r="E324" s="10">
        <v>65.68</v>
      </c>
      <c r="G324" s="4" t="s">
        <v>78</v>
      </c>
      <c r="H324" s="4"/>
      <c r="I324" s="4" t="s">
        <v>73</v>
      </c>
      <c r="K324" s="11">
        <f>IF($E324="","",ROUND($E324*IF(ISNA(MATCH($C324,'Paramètres'!$D:$D,0)),1,IF(INDEX('Paramètres'!$J:$J,MATCH($C324,'Paramètres'!$D:$D,0))="",1,INDEX('Paramètres'!$J:$J,MATCH($C324,'Paramètres'!$D:$D,0)))),2))</f>
        <v>32.84</v>
      </c>
      <c r="L324" s="6" t="str">
        <f>IF($D324="","",IF($F324&lt;&gt;"",$F324,IF(ISNA(MATCH($D324,'Paramètres'!$M:$M,0)),"⚠ Type inconnu",IFERROR(INDEX('Paramètres'!$P:$P,MATCH($D324,'Paramètres'!$M:$M,0))&amp;"",""))))</f>
        <v>Débit</v>
      </c>
      <c r="M324" s="6" t="str">
        <f>IF($D324="","",IF(ISNA(MATCH($D324,'Paramètres'!$M:$M,0)),"⚠ Type inconnu",IF($L324="Crédit","",IFERROR(INDEX('Paramètres'!$O:$O,MATCH($D324,'Paramètres'!$M:$M,0))&amp;"",""))))</f>
        <v>Dépense Courante</v>
      </c>
      <c r="N324" s="6" t="str">
        <f>IF($D324="","",IFERROR(INDEX('Paramètres'!$Q:$Q,MATCH($D324,'Paramètres'!$M:$M,0))&amp;"",""))</f>
        <v>Alimentation</v>
      </c>
      <c r="O324" s="6">
        <f>IF($A324="","",IF(OR($J324&lt;&gt;"x",$A324&lt;=FinReleve),1,0))</f>
        <v>1</v>
      </c>
      <c r="P324" s="6">
        <f>IF($D324="","",IF(AND($L324="Crédit",OR(IFERROR(INDEX('Paramètres'!$O:$O,MATCH($D324,'Paramètres'!$M:$M,0))&amp;"","")&lt;&gt;"",ISNUMBER(SEARCH("remboursement",IFERROR(INDEX('Paramètres'!$N:$N,MATCH($D324,'Paramètres'!$M:$M,0))&amp;"",""))))),1,0))</f>
        <v>0</v>
      </c>
      <c r="Q324" s="6">
        <f>IF($K324="","",IF(ISNUMBER(SEARCH("transfert-interne",IFERROR(INDEX('Paramètres'!$N:$N,MATCH($D324,'Paramètres'!$M:$M,0))&amp;"",""))),0,IF($L324="Débit",$K324,IF($P324=1,-$K324,0))))</f>
        <v>32.84</v>
      </c>
      <c r="R324" s="6">
        <f>IF($K324="","",IF($L324="Crédit",$K324,-$K324))</f>
        <v>-32.84</v>
      </c>
      <c r="S324" s="6" t="str">
        <f>IF($C324="","",IFERROR(INDEX('Paramètres'!$H:$H,MATCH($C324,'Paramètres'!$D:$D,0))&amp;"",""))</f>
        <v>Banque A - Courant</v>
      </c>
      <c r="T324" s="6">
        <f>IF($K324="","",IF($S324="",0,IF(ISNUMBER(SEARCH("apport-exterieur",IFERROR(INDEX('Paramètres'!$N:$N,MATCH($D324,'Paramètres'!$M:$M,0))&amp;"",""))),0,IF(OR(IFERROR(INDEX('Paramètres'!$I:$I,MATCH($C324,'Paramètres'!$D:$D,0))&amp;"","")="Les deux",IFERROR(INDEX('Paramètres'!$I:$I,MATCH($C324,'Paramètres'!$D:$D,0))&amp;"","")=IF($P324=1,"Débit",$L324)),-IF($P324=1,-$K324,$K324),0))))</f>
        <v>0</v>
      </c>
      <c r="U324" s="6">
        <f>IF($K324="","",IF(ISNUMBER(SEARCH("sortie-epargne",IFERROR(INDEX('Paramètres'!$N:$N,MATCH($D324,'Paramètres'!$M:$M,0))&amp;"",""))),$K324,0))</f>
        <v>0</v>
      </c>
      <c r="V324" s="6" t="str">
        <f>IF(AND($A324&lt;&gt;"",$O324=1,$L324="Débit",N($Q324)&gt;0,$A324&gt;=Visualisation!$B$1,$A324&lt;Visualisation!$D$1),MAX($V$1:V323)+1,"")</f>
        <v/>
      </c>
    </row>
    <row r="325" spans="1:22" x14ac:dyDescent="0.25">
      <c r="A325" s="9">
        <v>45761</v>
      </c>
      <c r="B325" s="4" t="s">
        <v>76</v>
      </c>
      <c r="C325" s="4" t="s">
        <v>67</v>
      </c>
      <c r="D325" s="4" t="s">
        <v>77</v>
      </c>
      <c r="E325" s="10">
        <v>67.02</v>
      </c>
      <c r="G325" s="4" t="s">
        <v>95</v>
      </c>
      <c r="H325" s="4"/>
      <c r="I325" s="4" t="s">
        <v>93</v>
      </c>
      <c r="K325" s="11">
        <f>IF($E325="","",ROUND($E325*IF(ISNA(MATCH($C325,'Paramètres'!$D:$D,0)),1,IF(INDEX('Paramètres'!$J:$J,MATCH($C325,'Paramètres'!$D:$D,0))="",1,INDEX('Paramètres'!$J:$J,MATCH($C325,'Paramètres'!$D:$D,0)))),2))</f>
        <v>33.51</v>
      </c>
      <c r="L325" s="6" t="str">
        <f>IF($D325="","",IF($F325&lt;&gt;"",$F325,IF(ISNA(MATCH($D325,'Paramètres'!$M:$M,0)),"⚠ Type inconnu",IFERROR(INDEX('Paramètres'!$P:$P,MATCH($D325,'Paramètres'!$M:$M,0))&amp;"",""))))</f>
        <v>Débit</v>
      </c>
      <c r="M325" s="6" t="str">
        <f>IF($D325="","",IF(ISNA(MATCH($D325,'Paramètres'!$M:$M,0)),"⚠ Type inconnu",IF($L325="Crédit","",IFERROR(INDEX('Paramètres'!$O:$O,MATCH($D325,'Paramètres'!$M:$M,0))&amp;"",""))))</f>
        <v>Dépense Courante</v>
      </c>
      <c r="N325" s="6" t="str">
        <f>IF($D325="","",IFERROR(INDEX('Paramètres'!$Q:$Q,MATCH($D325,'Paramètres'!$M:$M,0))&amp;"",""))</f>
        <v>Alimentation</v>
      </c>
      <c r="O325" s="6">
        <f>IF($A325="","",IF(OR($J325&lt;&gt;"x",$A325&lt;=FinReleve),1,0))</f>
        <v>1</v>
      </c>
      <c r="P325" s="6">
        <f>IF($D325="","",IF(AND($L325="Crédit",OR(IFERROR(INDEX('Paramètres'!$O:$O,MATCH($D325,'Paramètres'!$M:$M,0))&amp;"","")&lt;&gt;"",ISNUMBER(SEARCH("remboursement",IFERROR(INDEX('Paramètres'!$N:$N,MATCH($D325,'Paramètres'!$M:$M,0))&amp;"",""))))),1,0))</f>
        <v>0</v>
      </c>
      <c r="Q325" s="6">
        <f>IF($K325="","",IF(ISNUMBER(SEARCH("transfert-interne",IFERROR(INDEX('Paramètres'!$N:$N,MATCH($D325,'Paramètres'!$M:$M,0))&amp;"",""))),0,IF($L325="Débit",$K325,IF($P325=1,-$K325,0))))</f>
        <v>33.51</v>
      </c>
      <c r="R325" s="6">
        <f>IF($K325="","",IF($L325="Crédit",$K325,-$K325))</f>
        <v>-33.51</v>
      </c>
      <c r="S325" s="6" t="str">
        <f>IF($C325="","",IFERROR(INDEX('Paramètres'!$H:$H,MATCH($C325,'Paramètres'!$D:$D,0))&amp;"",""))</f>
        <v>Banque A - Courant</v>
      </c>
      <c r="T325" s="6">
        <f>IF($K325="","",IF($S325="",0,IF(ISNUMBER(SEARCH("apport-exterieur",IFERROR(INDEX('Paramètres'!$N:$N,MATCH($D325,'Paramètres'!$M:$M,0))&amp;"",""))),0,IF(OR(IFERROR(INDEX('Paramètres'!$I:$I,MATCH($C325,'Paramètres'!$D:$D,0))&amp;"","")="Les deux",IFERROR(INDEX('Paramètres'!$I:$I,MATCH($C325,'Paramètres'!$D:$D,0))&amp;"","")=IF($P325=1,"Débit",$L325)),-IF($P325=1,-$K325,$K325),0))))</f>
        <v>0</v>
      </c>
      <c r="U325" s="6">
        <f>IF($K325="","",IF(ISNUMBER(SEARCH("sortie-epargne",IFERROR(INDEX('Paramètres'!$N:$N,MATCH($D325,'Paramètres'!$M:$M,0))&amp;"",""))),$K325,0))</f>
        <v>0</v>
      </c>
      <c r="V325" s="6" t="str">
        <f>IF(AND($A325&lt;&gt;"",$O325=1,$L325="Débit",N($Q325)&gt;0,$A325&gt;=Visualisation!$B$1,$A325&lt;Visualisation!$D$1),MAX($V$1:V324)+1,"")</f>
        <v/>
      </c>
    </row>
    <row r="326" spans="1:22" x14ac:dyDescent="0.25">
      <c r="A326" s="9">
        <v>45762</v>
      </c>
      <c r="B326" s="4" t="s">
        <v>100</v>
      </c>
      <c r="C326" s="4" t="s">
        <v>65</v>
      </c>
      <c r="D326" s="4" t="s">
        <v>100</v>
      </c>
      <c r="E326" s="10">
        <v>73.43</v>
      </c>
      <c r="G326" s="4"/>
      <c r="H326" s="4"/>
      <c r="I326" s="4"/>
      <c r="K326" s="11">
        <f>IF($E326="","",ROUND($E326*IF(ISNA(MATCH($C326,'Paramètres'!$D:$D,0)),1,IF(INDEX('Paramètres'!$J:$J,MATCH($C326,'Paramètres'!$D:$D,0))="",1,INDEX('Paramètres'!$J:$J,MATCH($C326,'Paramètres'!$D:$D,0)))),2))</f>
        <v>73.43</v>
      </c>
      <c r="L326" s="6" t="str">
        <f>IF($D326="","",IF($F326&lt;&gt;"",$F326,IF(ISNA(MATCH($D326,'Paramètres'!$M:$M,0)),"⚠ Type inconnu",IFERROR(INDEX('Paramètres'!$P:$P,MATCH($D326,'Paramètres'!$M:$M,0))&amp;"",""))))</f>
        <v>Débit</v>
      </c>
      <c r="M326" s="6" t="str">
        <f>IF($D326="","",IF(ISNA(MATCH($D326,'Paramètres'!$M:$M,0)),"⚠ Type inconnu",IF($L326="Crédit","",IFERROR(INDEX('Paramètres'!$O:$O,MATCH($D326,'Paramètres'!$M:$M,0))&amp;"",""))))</f>
        <v>Dépense Fixe</v>
      </c>
      <c r="N326" s="6" t="str">
        <f>IF($D326="","",IFERROR(INDEX('Paramètres'!$Q:$Q,MATCH($D326,'Paramètres'!$M:$M,0))&amp;"",""))</f>
        <v>Immobilier</v>
      </c>
      <c r="O326" s="6">
        <f>IF($A326="","",IF(OR($J326&lt;&gt;"x",$A326&lt;=FinReleve),1,0))</f>
        <v>1</v>
      </c>
      <c r="P326" s="6">
        <f>IF($D326="","",IF(AND($L326="Crédit",OR(IFERROR(INDEX('Paramètres'!$O:$O,MATCH($D326,'Paramètres'!$M:$M,0))&amp;"","")&lt;&gt;"",ISNUMBER(SEARCH("remboursement",IFERROR(INDEX('Paramètres'!$N:$N,MATCH($D326,'Paramètres'!$M:$M,0))&amp;"",""))))),1,0))</f>
        <v>0</v>
      </c>
      <c r="Q326" s="6">
        <f>IF($K326="","",IF(ISNUMBER(SEARCH("transfert-interne",IFERROR(INDEX('Paramètres'!$N:$N,MATCH($D326,'Paramètres'!$M:$M,0))&amp;"",""))),0,IF($L326="Débit",$K326,IF($P326=1,-$K326,0))))</f>
        <v>73.43</v>
      </c>
      <c r="R326" s="6">
        <f>IF($K326="","",IF($L326="Crédit",$K326,-$K326))</f>
        <v>-73.43</v>
      </c>
      <c r="S326" s="6" t="str">
        <f>IF($C326="","",IFERROR(INDEX('Paramètres'!$H:$H,MATCH($C326,'Paramètres'!$D:$D,0))&amp;"",""))</f>
        <v>Banque A - Courant</v>
      </c>
      <c r="T326" s="6">
        <f>IF($K326="","",IF($S326="",0,IF(ISNUMBER(SEARCH("apport-exterieur",IFERROR(INDEX('Paramètres'!$N:$N,MATCH($D326,'Paramètres'!$M:$M,0))&amp;"",""))),0,IF(OR(IFERROR(INDEX('Paramètres'!$I:$I,MATCH($C326,'Paramètres'!$D:$D,0))&amp;"","")="Les deux",IFERROR(INDEX('Paramètres'!$I:$I,MATCH($C326,'Paramètres'!$D:$D,0))&amp;"","")=IF($P326=1,"Débit",$L326)),-IF($P326=1,-$K326,$K326),0))))</f>
        <v>0</v>
      </c>
      <c r="U326" s="6">
        <f>IF($K326="","",IF(ISNUMBER(SEARCH("sortie-epargne",IFERROR(INDEX('Paramètres'!$N:$N,MATCH($D326,'Paramètres'!$M:$M,0))&amp;"",""))),$K326,0))</f>
        <v>0</v>
      </c>
      <c r="V326" s="6" t="str">
        <f>IF(AND($A326&lt;&gt;"",$O326=1,$L326="Débit",N($Q326)&gt;0,$A326&gt;=Visualisation!$B$1,$A326&lt;Visualisation!$D$1),MAX($V$1:V325)+1,"")</f>
        <v/>
      </c>
    </row>
    <row r="327" spans="1:22" x14ac:dyDescent="0.25">
      <c r="A327" s="9">
        <v>45762</v>
      </c>
      <c r="B327" s="4" t="s">
        <v>69</v>
      </c>
      <c r="C327" s="4" t="s">
        <v>70</v>
      </c>
      <c r="D327" s="4" t="s">
        <v>71</v>
      </c>
      <c r="E327" s="10">
        <v>10.69</v>
      </c>
      <c r="G327" s="4" t="s">
        <v>72</v>
      </c>
      <c r="H327" s="4"/>
      <c r="I327" s="4" t="s">
        <v>73</v>
      </c>
      <c r="K327" s="11">
        <f>IF($E327="","",ROUND($E327*IF(ISNA(MATCH($C327,'Paramètres'!$D:$D,0)),1,IF(INDEX('Paramètres'!$J:$J,MATCH($C327,'Paramètres'!$D:$D,0))="",1,INDEX('Paramètres'!$J:$J,MATCH($C327,'Paramètres'!$D:$D,0)))),2))</f>
        <v>10.69</v>
      </c>
      <c r="L327" s="6" t="str">
        <f>IF($D327="","",IF($F327&lt;&gt;"",$F327,IF(ISNA(MATCH($D327,'Paramètres'!$M:$M,0)),"⚠ Type inconnu",IFERROR(INDEX('Paramètres'!$P:$P,MATCH($D327,'Paramètres'!$M:$M,0))&amp;"",""))))</f>
        <v>Débit</v>
      </c>
      <c r="M327" s="6" t="str">
        <f>IF($D327="","",IF(ISNA(MATCH($D327,'Paramètres'!$M:$M,0)),"⚠ Type inconnu",IF($L327="Crédit","",IFERROR(INDEX('Paramètres'!$O:$O,MATCH($D327,'Paramètres'!$M:$M,0))&amp;"",""))))</f>
        <v>Dépense Courante</v>
      </c>
      <c r="N327" s="6" t="str">
        <f>IF($D327="","",IFERROR(INDEX('Paramètres'!$Q:$Q,MATCH($D327,'Paramètres'!$M:$M,0))&amp;"",""))</f>
        <v>Alimentation</v>
      </c>
      <c r="O327" s="6">
        <f>IF($A327="","",IF(OR($J327&lt;&gt;"x",$A327&lt;=FinReleve),1,0))</f>
        <v>1</v>
      </c>
      <c r="P327" s="6">
        <f>IF($D327="","",IF(AND($L327="Crédit",OR(IFERROR(INDEX('Paramètres'!$O:$O,MATCH($D327,'Paramètres'!$M:$M,0))&amp;"","")&lt;&gt;"",ISNUMBER(SEARCH("remboursement",IFERROR(INDEX('Paramètres'!$N:$N,MATCH($D327,'Paramètres'!$M:$M,0))&amp;"",""))))),1,0))</f>
        <v>0</v>
      </c>
      <c r="Q327" s="6">
        <f>IF($K327="","",IF(ISNUMBER(SEARCH("transfert-interne",IFERROR(INDEX('Paramètres'!$N:$N,MATCH($D327,'Paramètres'!$M:$M,0))&amp;"",""))),0,IF($L327="Débit",$K327,IF($P327=1,-$K327,0))))</f>
        <v>10.69</v>
      </c>
      <c r="R327" s="6">
        <f>IF($K327="","",IF($L327="Crédit",$K327,-$K327))</f>
        <v>-10.69</v>
      </c>
      <c r="S327" s="6" t="str">
        <f>IF($C327="","",IFERROR(INDEX('Paramètres'!$H:$H,MATCH($C327,'Paramètres'!$D:$D,0))&amp;"",""))</f>
        <v/>
      </c>
      <c r="T327" s="6">
        <f>IF($K327="","",IF($S327="",0,IF(ISNUMBER(SEARCH("apport-exterieur",IFERROR(INDEX('Paramètres'!$N:$N,MATCH($D327,'Paramètres'!$M:$M,0))&amp;"",""))),0,IF(OR(IFERROR(INDEX('Paramètres'!$I:$I,MATCH($C327,'Paramètres'!$D:$D,0))&amp;"","")="Les deux",IFERROR(INDEX('Paramètres'!$I:$I,MATCH($C327,'Paramètres'!$D:$D,0))&amp;"","")=IF($P327=1,"Débit",$L327)),-IF($P327=1,-$K327,$K327),0))))</f>
        <v>0</v>
      </c>
      <c r="U327" s="6">
        <f>IF($K327="","",IF(ISNUMBER(SEARCH("sortie-epargne",IFERROR(INDEX('Paramètres'!$N:$N,MATCH($D327,'Paramètres'!$M:$M,0))&amp;"",""))),$K327,0))</f>
        <v>0</v>
      </c>
      <c r="V327" s="6" t="str">
        <f>IF(AND($A327&lt;&gt;"",$O327=1,$L327="Débit",N($Q327)&gt;0,$A327&gt;=Visualisation!$B$1,$A327&lt;Visualisation!$D$1),MAX($V$1:V326)+1,"")</f>
        <v/>
      </c>
    </row>
    <row r="328" spans="1:22" x14ac:dyDescent="0.25">
      <c r="A328" s="9">
        <v>45763</v>
      </c>
      <c r="B328" s="4" t="s">
        <v>76</v>
      </c>
      <c r="C328" s="4" t="s">
        <v>60</v>
      </c>
      <c r="D328" s="4" t="s">
        <v>77</v>
      </c>
      <c r="E328" s="10">
        <v>162.14</v>
      </c>
      <c r="G328" s="4" t="s">
        <v>98</v>
      </c>
      <c r="H328" s="4"/>
      <c r="I328" s="4" t="s">
        <v>79</v>
      </c>
      <c r="K328" s="11">
        <f>IF($E328="","",ROUND($E328*IF(ISNA(MATCH($C328,'Paramètres'!$D:$D,0)),1,IF(INDEX('Paramètres'!$J:$J,MATCH($C328,'Paramètres'!$D:$D,0))="",1,INDEX('Paramètres'!$J:$J,MATCH($C328,'Paramètres'!$D:$D,0)))),2))</f>
        <v>81.07</v>
      </c>
      <c r="L328" s="6" t="str">
        <f>IF($D328="","",IF($F328&lt;&gt;"",$F328,IF(ISNA(MATCH($D328,'Paramètres'!$M:$M,0)),"⚠ Type inconnu",IFERROR(INDEX('Paramètres'!$P:$P,MATCH($D328,'Paramètres'!$M:$M,0))&amp;"",""))))</f>
        <v>Débit</v>
      </c>
      <c r="M328" s="6" t="str">
        <f>IF($D328="","",IF(ISNA(MATCH($D328,'Paramètres'!$M:$M,0)),"⚠ Type inconnu",IF($L328="Crédit","",IFERROR(INDEX('Paramètres'!$O:$O,MATCH($D328,'Paramètres'!$M:$M,0))&amp;"",""))))</f>
        <v>Dépense Courante</v>
      </c>
      <c r="N328" s="6" t="str">
        <f>IF($D328="","",IFERROR(INDEX('Paramètres'!$Q:$Q,MATCH($D328,'Paramètres'!$M:$M,0))&amp;"",""))</f>
        <v>Alimentation</v>
      </c>
      <c r="O328" s="6">
        <f>IF($A328="","",IF(OR($J328&lt;&gt;"x",$A328&lt;=FinReleve),1,0))</f>
        <v>1</v>
      </c>
      <c r="P328" s="6">
        <f>IF($D328="","",IF(AND($L328="Crédit",OR(IFERROR(INDEX('Paramètres'!$O:$O,MATCH($D328,'Paramètres'!$M:$M,0))&amp;"","")&lt;&gt;"",ISNUMBER(SEARCH("remboursement",IFERROR(INDEX('Paramètres'!$N:$N,MATCH($D328,'Paramètres'!$M:$M,0))&amp;"",""))))),1,0))</f>
        <v>0</v>
      </c>
      <c r="Q328" s="6">
        <f>IF($K328="","",IF(ISNUMBER(SEARCH("transfert-interne",IFERROR(INDEX('Paramètres'!$N:$N,MATCH($D328,'Paramètres'!$M:$M,0))&amp;"",""))),0,IF($L328="Débit",$K328,IF($P328=1,-$K328,0))))</f>
        <v>81.07</v>
      </c>
      <c r="R328" s="6">
        <f>IF($K328="","",IF($L328="Crédit",$K328,-$K328))</f>
        <v>-81.07</v>
      </c>
      <c r="S328" s="6" t="str">
        <f>IF($C328="","",IFERROR(INDEX('Paramètres'!$H:$H,MATCH($C328,'Paramètres'!$D:$D,0))&amp;"",""))</f>
        <v>Banque A - Courant</v>
      </c>
      <c r="T328" s="6">
        <f>IF($K328="","",IF($S328="",0,IF(ISNUMBER(SEARCH("apport-exterieur",IFERROR(INDEX('Paramètres'!$N:$N,MATCH($D328,'Paramètres'!$M:$M,0))&amp;"",""))),0,IF(OR(IFERROR(INDEX('Paramètres'!$I:$I,MATCH($C328,'Paramètres'!$D:$D,0))&amp;"","")="Les deux",IFERROR(INDEX('Paramètres'!$I:$I,MATCH($C328,'Paramètres'!$D:$D,0))&amp;"","")=IF($P328=1,"Débit",$L328)),-IF($P328=1,-$K328,$K328),0))))</f>
        <v>-81.07</v>
      </c>
      <c r="U328" s="6">
        <f>IF($K328="","",IF(ISNUMBER(SEARCH("sortie-epargne",IFERROR(INDEX('Paramètres'!$N:$N,MATCH($D328,'Paramètres'!$M:$M,0))&amp;"",""))),$K328,0))</f>
        <v>0</v>
      </c>
      <c r="V328" s="6" t="str">
        <f>IF(AND($A328&lt;&gt;"",$O328=1,$L328="Débit",N($Q328)&gt;0,$A328&gt;=Visualisation!$B$1,$A328&lt;Visualisation!$D$1),MAX($V$1:V327)+1,"")</f>
        <v/>
      </c>
    </row>
    <row r="329" spans="1:22" x14ac:dyDescent="0.25">
      <c r="A329" s="9">
        <v>45763</v>
      </c>
      <c r="B329" s="4" t="s">
        <v>90</v>
      </c>
      <c r="C329" s="4" t="s">
        <v>75</v>
      </c>
      <c r="D329" s="4" t="s">
        <v>91</v>
      </c>
      <c r="E329" s="10">
        <v>57.8</v>
      </c>
      <c r="G329" s="4" t="s">
        <v>104</v>
      </c>
      <c r="H329" s="4"/>
      <c r="I329" s="4" t="s">
        <v>79</v>
      </c>
      <c r="K329" s="11">
        <f>IF($E329="","",ROUND($E329*IF(ISNA(MATCH($C329,'Paramètres'!$D:$D,0)),1,IF(INDEX('Paramètres'!$J:$J,MATCH($C329,'Paramètres'!$D:$D,0))="",1,INDEX('Paramètres'!$J:$J,MATCH($C329,'Paramètres'!$D:$D,0)))),2))</f>
        <v>57.8</v>
      </c>
      <c r="L329" s="6" t="str">
        <f>IF($D329="","",IF($F329&lt;&gt;"",$F329,IF(ISNA(MATCH($D329,'Paramètres'!$M:$M,0)),"⚠ Type inconnu",IFERROR(INDEX('Paramètres'!$P:$P,MATCH($D329,'Paramètres'!$M:$M,0))&amp;"",""))))</f>
        <v>Débit</v>
      </c>
      <c r="M329" s="6" t="str">
        <f>IF($D329="","",IF(ISNA(MATCH($D329,'Paramètres'!$M:$M,0)),"⚠ Type inconnu",IF($L329="Crédit","",IFERROR(INDEX('Paramètres'!$O:$O,MATCH($D329,'Paramètres'!$M:$M,0))&amp;"",""))))</f>
        <v>Dépense Courante</v>
      </c>
      <c r="N329" s="6" t="str">
        <f>IF($D329="","",IFERROR(INDEX('Paramètres'!$Q:$Q,MATCH($D329,'Paramètres'!$M:$M,0))&amp;"",""))</f>
        <v>Transport</v>
      </c>
      <c r="O329" s="6">
        <f>IF($A329="","",IF(OR($J329&lt;&gt;"x",$A329&lt;=FinReleve),1,0))</f>
        <v>1</v>
      </c>
      <c r="P329" s="6">
        <f>IF($D329="","",IF(AND($L329="Crédit",OR(IFERROR(INDEX('Paramètres'!$O:$O,MATCH($D329,'Paramètres'!$M:$M,0))&amp;"","")&lt;&gt;"",ISNUMBER(SEARCH("remboursement",IFERROR(INDEX('Paramètres'!$N:$N,MATCH($D329,'Paramètres'!$M:$M,0))&amp;"",""))))),1,0))</f>
        <v>0</v>
      </c>
      <c r="Q329" s="6">
        <f>IF($K329="","",IF(ISNUMBER(SEARCH("transfert-interne",IFERROR(INDEX('Paramètres'!$N:$N,MATCH($D329,'Paramètres'!$M:$M,0))&amp;"",""))),0,IF($L329="Débit",$K329,IF($P329=1,-$K329,0))))</f>
        <v>57.8</v>
      </c>
      <c r="R329" s="6">
        <f>IF($K329="","",IF($L329="Crédit",$K329,-$K329))</f>
        <v>-57.8</v>
      </c>
      <c r="S329" s="6" t="str">
        <f>IF($C329="","",IFERROR(INDEX('Paramètres'!$H:$H,MATCH($C329,'Paramètres'!$D:$D,0))&amp;"",""))</f>
        <v/>
      </c>
      <c r="T329" s="6">
        <f>IF($K329="","",IF($S329="",0,IF(ISNUMBER(SEARCH("apport-exterieur",IFERROR(INDEX('Paramètres'!$N:$N,MATCH($D329,'Paramètres'!$M:$M,0))&amp;"",""))),0,IF(OR(IFERROR(INDEX('Paramètres'!$I:$I,MATCH($C329,'Paramètres'!$D:$D,0))&amp;"","")="Les deux",IFERROR(INDEX('Paramètres'!$I:$I,MATCH($C329,'Paramètres'!$D:$D,0))&amp;"","")=IF($P329=1,"Débit",$L329)),-IF($P329=1,-$K329,$K329),0))))</f>
        <v>0</v>
      </c>
      <c r="U329" s="6">
        <f>IF($K329="","",IF(ISNUMBER(SEARCH("sortie-epargne",IFERROR(INDEX('Paramètres'!$N:$N,MATCH($D329,'Paramètres'!$M:$M,0))&amp;"",""))),$K329,0))</f>
        <v>0</v>
      </c>
      <c r="V329" s="6" t="str">
        <f>IF(AND($A329&lt;&gt;"",$O329=1,$L329="Débit",N($Q329)&gt;0,$A329&gt;=Visualisation!$B$1,$A329&lt;Visualisation!$D$1),MAX($V$1:V328)+1,"")</f>
        <v/>
      </c>
    </row>
    <row r="330" spans="1:22" x14ac:dyDescent="0.25">
      <c r="A330" s="9">
        <v>45763</v>
      </c>
      <c r="B330" s="4" t="s">
        <v>116</v>
      </c>
      <c r="C330" s="4" t="s">
        <v>60</v>
      </c>
      <c r="D330" s="4" t="s">
        <v>116</v>
      </c>
      <c r="E330" s="10">
        <v>194.84</v>
      </c>
      <c r="G330" s="4" t="s">
        <v>145</v>
      </c>
      <c r="H330" s="4" t="s">
        <v>144</v>
      </c>
      <c r="I330" s="4"/>
      <c r="K330" s="11">
        <f>IF($E330="","",ROUND($E330*IF(ISNA(MATCH($C330,'Paramètres'!$D:$D,0)),1,IF(INDEX('Paramètres'!$J:$J,MATCH($C330,'Paramètres'!$D:$D,0))="",1,INDEX('Paramètres'!$J:$J,MATCH($C330,'Paramètres'!$D:$D,0)))),2))</f>
        <v>97.42</v>
      </c>
      <c r="L330" s="6" t="str">
        <f>IF($D330="","",IF($F330&lt;&gt;"",$F330,IF(ISNA(MATCH($D330,'Paramètres'!$M:$M,0)),"⚠ Type inconnu",IFERROR(INDEX('Paramètres'!$P:$P,MATCH($D330,'Paramètres'!$M:$M,0))&amp;"",""))))</f>
        <v>Débit</v>
      </c>
      <c r="M330" s="6" t="str">
        <f>IF($D330="","",IF(ISNA(MATCH($D330,'Paramètres'!$M:$M,0)),"⚠ Type inconnu",IF($L330="Crédit","",IFERROR(INDEX('Paramètres'!$O:$O,MATCH($D330,'Paramètres'!$M:$M,0))&amp;"",""))))</f>
        <v>Dépense Occasionnelle</v>
      </c>
      <c r="N330" s="6" t="str">
        <f>IF($D330="","",IFERROR(INDEX('Paramètres'!$Q:$Q,MATCH($D330,'Paramètres'!$M:$M,0))&amp;"",""))</f>
        <v>Autre</v>
      </c>
      <c r="O330" s="6">
        <f>IF($A330="","",IF(OR($J330&lt;&gt;"x",$A330&lt;=FinReleve),1,0))</f>
        <v>1</v>
      </c>
      <c r="P330" s="6">
        <f>IF($D330="","",IF(AND($L330="Crédit",OR(IFERROR(INDEX('Paramètres'!$O:$O,MATCH($D330,'Paramètres'!$M:$M,0))&amp;"","")&lt;&gt;"",ISNUMBER(SEARCH("remboursement",IFERROR(INDEX('Paramètres'!$N:$N,MATCH($D330,'Paramètres'!$M:$M,0))&amp;"",""))))),1,0))</f>
        <v>0</v>
      </c>
      <c r="Q330" s="6">
        <f>IF($K330="","",IF(ISNUMBER(SEARCH("transfert-interne",IFERROR(INDEX('Paramètres'!$N:$N,MATCH($D330,'Paramètres'!$M:$M,0))&amp;"",""))),0,IF($L330="Débit",$K330,IF($P330=1,-$K330,0))))</f>
        <v>97.42</v>
      </c>
      <c r="R330" s="6">
        <f>IF($K330="","",IF($L330="Crédit",$K330,-$K330))</f>
        <v>-97.42</v>
      </c>
      <c r="S330" s="6" t="str">
        <f>IF($C330="","",IFERROR(INDEX('Paramètres'!$H:$H,MATCH($C330,'Paramètres'!$D:$D,0))&amp;"",""))</f>
        <v>Banque A - Courant</v>
      </c>
      <c r="T330" s="6">
        <f>IF($K330="","",IF($S330="",0,IF(ISNUMBER(SEARCH("apport-exterieur",IFERROR(INDEX('Paramètres'!$N:$N,MATCH($D330,'Paramètres'!$M:$M,0))&amp;"",""))),0,IF(OR(IFERROR(INDEX('Paramètres'!$I:$I,MATCH($C330,'Paramètres'!$D:$D,0))&amp;"","")="Les deux",IFERROR(INDEX('Paramètres'!$I:$I,MATCH($C330,'Paramètres'!$D:$D,0))&amp;"","")=IF($P330=1,"Débit",$L330)),-IF($P330=1,-$K330,$K330),0))))</f>
        <v>-97.42</v>
      </c>
      <c r="U330" s="6">
        <f>IF($K330="","",IF(ISNUMBER(SEARCH("sortie-epargne",IFERROR(INDEX('Paramètres'!$N:$N,MATCH($D330,'Paramètres'!$M:$M,0))&amp;"",""))),$K330,0))</f>
        <v>0</v>
      </c>
      <c r="V330" s="6" t="str">
        <f>IF(AND($A330&lt;&gt;"",$O330=1,$L330="Débit",N($Q330)&gt;0,$A330&gt;=Visualisation!$B$1,$A330&lt;Visualisation!$D$1),MAX($V$1:V329)+1,"")</f>
        <v/>
      </c>
    </row>
    <row r="331" spans="1:22" x14ac:dyDescent="0.25">
      <c r="A331" s="9">
        <v>45765</v>
      </c>
      <c r="B331" s="4" t="s">
        <v>103</v>
      </c>
      <c r="C331" s="4" t="s">
        <v>75</v>
      </c>
      <c r="D331" s="4" t="s">
        <v>103</v>
      </c>
      <c r="E331" s="10">
        <v>212</v>
      </c>
      <c r="G331" s="4"/>
      <c r="H331" s="4"/>
      <c r="I331" s="4"/>
      <c r="K331" s="11">
        <f>IF($E331="","",ROUND($E331*IF(ISNA(MATCH($C331,'Paramètres'!$D:$D,0)),1,IF(INDEX('Paramètres'!$J:$J,MATCH($C331,'Paramètres'!$D:$D,0))="",1,INDEX('Paramètres'!$J:$J,MATCH($C331,'Paramètres'!$D:$D,0)))),2))</f>
        <v>212</v>
      </c>
      <c r="L331" s="6" t="str">
        <f>IF($D331="","",IF($F331&lt;&gt;"",$F331,IF(ISNA(MATCH($D331,'Paramètres'!$M:$M,0)),"⚠ Type inconnu",IFERROR(INDEX('Paramètres'!$P:$P,MATCH($D331,'Paramètres'!$M:$M,0))&amp;"",""))))</f>
        <v>Débit</v>
      </c>
      <c r="M331" s="6" t="str">
        <f>IF($D331="","",IF(ISNA(MATCH($D331,'Paramètres'!$M:$M,0)),"⚠ Type inconnu",IF($L331="Crédit","",IFERROR(INDEX('Paramètres'!$O:$O,MATCH($D331,'Paramètres'!$M:$M,0))&amp;"",""))))</f>
        <v>Dépense Fixe</v>
      </c>
      <c r="N331" s="6" t="str">
        <f>IF($D331="","",IFERROR(INDEX('Paramètres'!$Q:$Q,MATCH($D331,'Paramètres'!$M:$M,0))&amp;"",""))</f>
        <v>Impots</v>
      </c>
      <c r="O331" s="6">
        <f>IF($A331="","",IF(OR($J331&lt;&gt;"x",$A331&lt;=FinReleve),1,0))</f>
        <v>1</v>
      </c>
      <c r="P331" s="6">
        <f>IF($D331="","",IF(AND($L331="Crédit",OR(IFERROR(INDEX('Paramètres'!$O:$O,MATCH($D331,'Paramètres'!$M:$M,0))&amp;"","")&lt;&gt;"",ISNUMBER(SEARCH("remboursement",IFERROR(INDEX('Paramètres'!$N:$N,MATCH($D331,'Paramètres'!$M:$M,0))&amp;"",""))))),1,0))</f>
        <v>0</v>
      </c>
      <c r="Q331" s="6">
        <f>IF($K331="","",IF(ISNUMBER(SEARCH("transfert-interne",IFERROR(INDEX('Paramètres'!$N:$N,MATCH($D331,'Paramètres'!$M:$M,0))&amp;"",""))),0,IF($L331="Débit",$K331,IF($P331=1,-$K331,0))))</f>
        <v>212</v>
      </c>
      <c r="R331" s="6">
        <f>IF($K331="","",IF($L331="Crédit",$K331,-$K331))</f>
        <v>-212</v>
      </c>
      <c r="S331" s="6" t="str">
        <f>IF($C331="","",IFERROR(INDEX('Paramètres'!$H:$H,MATCH($C331,'Paramètres'!$D:$D,0))&amp;"",""))</f>
        <v/>
      </c>
      <c r="T331" s="6">
        <f>IF($K331="","",IF($S331="",0,IF(ISNUMBER(SEARCH("apport-exterieur",IFERROR(INDEX('Paramètres'!$N:$N,MATCH($D331,'Paramètres'!$M:$M,0))&amp;"",""))),0,IF(OR(IFERROR(INDEX('Paramètres'!$I:$I,MATCH($C331,'Paramètres'!$D:$D,0))&amp;"","")="Les deux",IFERROR(INDEX('Paramètres'!$I:$I,MATCH($C331,'Paramètres'!$D:$D,0))&amp;"","")=IF($P331=1,"Débit",$L331)),-IF($P331=1,-$K331,$K331),0))))</f>
        <v>0</v>
      </c>
      <c r="U331" s="6">
        <f>IF($K331="","",IF(ISNUMBER(SEARCH("sortie-epargne",IFERROR(INDEX('Paramètres'!$N:$N,MATCH($D331,'Paramètres'!$M:$M,0))&amp;"",""))),$K331,0))</f>
        <v>0</v>
      </c>
      <c r="V331" s="6" t="str">
        <f>IF(AND($A331&lt;&gt;"",$O331=1,$L331="Débit",N($Q331)&gt;0,$A331&gt;=Visualisation!$B$1,$A331&lt;Visualisation!$D$1),MAX($V$1:V330)+1,"")</f>
        <v/>
      </c>
    </row>
    <row r="332" spans="1:22" x14ac:dyDescent="0.25">
      <c r="A332" s="9">
        <v>45765</v>
      </c>
      <c r="B332" s="4" t="s">
        <v>76</v>
      </c>
      <c r="C332" s="4" t="s">
        <v>67</v>
      </c>
      <c r="D332" s="4" t="s">
        <v>77</v>
      </c>
      <c r="E332" s="10">
        <v>43.62</v>
      </c>
      <c r="G332" s="4" t="s">
        <v>95</v>
      </c>
      <c r="H332" s="4"/>
      <c r="I332" s="4" t="s">
        <v>73</v>
      </c>
      <c r="K332" s="11">
        <f>IF($E332="","",ROUND($E332*IF(ISNA(MATCH($C332,'Paramètres'!$D:$D,0)),1,IF(INDEX('Paramètres'!$J:$J,MATCH($C332,'Paramètres'!$D:$D,0))="",1,INDEX('Paramètres'!$J:$J,MATCH($C332,'Paramètres'!$D:$D,0)))),2))</f>
        <v>21.81</v>
      </c>
      <c r="L332" s="6" t="str">
        <f>IF($D332="","",IF($F332&lt;&gt;"",$F332,IF(ISNA(MATCH($D332,'Paramètres'!$M:$M,0)),"⚠ Type inconnu",IFERROR(INDEX('Paramètres'!$P:$P,MATCH($D332,'Paramètres'!$M:$M,0))&amp;"",""))))</f>
        <v>Débit</v>
      </c>
      <c r="M332" s="6" t="str">
        <f>IF($D332="","",IF(ISNA(MATCH($D332,'Paramètres'!$M:$M,0)),"⚠ Type inconnu",IF($L332="Crédit","",IFERROR(INDEX('Paramètres'!$O:$O,MATCH($D332,'Paramètres'!$M:$M,0))&amp;"",""))))</f>
        <v>Dépense Courante</v>
      </c>
      <c r="N332" s="6" t="str">
        <f>IF($D332="","",IFERROR(INDEX('Paramètres'!$Q:$Q,MATCH($D332,'Paramètres'!$M:$M,0))&amp;"",""))</f>
        <v>Alimentation</v>
      </c>
      <c r="O332" s="6">
        <f>IF($A332="","",IF(OR($J332&lt;&gt;"x",$A332&lt;=FinReleve),1,0))</f>
        <v>1</v>
      </c>
      <c r="P332" s="6">
        <f>IF($D332="","",IF(AND($L332="Crédit",OR(IFERROR(INDEX('Paramètres'!$O:$O,MATCH($D332,'Paramètres'!$M:$M,0))&amp;"","")&lt;&gt;"",ISNUMBER(SEARCH("remboursement",IFERROR(INDEX('Paramètres'!$N:$N,MATCH($D332,'Paramètres'!$M:$M,0))&amp;"",""))))),1,0))</f>
        <v>0</v>
      </c>
      <c r="Q332" s="6">
        <f>IF($K332="","",IF(ISNUMBER(SEARCH("transfert-interne",IFERROR(INDEX('Paramètres'!$N:$N,MATCH($D332,'Paramètres'!$M:$M,0))&amp;"",""))),0,IF($L332="Débit",$K332,IF($P332=1,-$K332,0))))</f>
        <v>21.81</v>
      </c>
      <c r="R332" s="6">
        <f>IF($K332="","",IF($L332="Crédit",$K332,-$K332))</f>
        <v>-21.81</v>
      </c>
      <c r="S332" s="6" t="str">
        <f>IF($C332="","",IFERROR(INDEX('Paramètres'!$H:$H,MATCH($C332,'Paramètres'!$D:$D,0))&amp;"",""))</f>
        <v>Banque A - Courant</v>
      </c>
      <c r="T332" s="6">
        <f>IF($K332="","",IF($S332="",0,IF(ISNUMBER(SEARCH("apport-exterieur",IFERROR(INDEX('Paramètres'!$N:$N,MATCH($D332,'Paramètres'!$M:$M,0))&amp;"",""))),0,IF(OR(IFERROR(INDEX('Paramètres'!$I:$I,MATCH($C332,'Paramètres'!$D:$D,0))&amp;"","")="Les deux",IFERROR(INDEX('Paramètres'!$I:$I,MATCH($C332,'Paramètres'!$D:$D,0))&amp;"","")=IF($P332=1,"Débit",$L332)),-IF($P332=1,-$K332,$K332),0))))</f>
        <v>0</v>
      </c>
      <c r="U332" s="6">
        <f>IF($K332="","",IF(ISNUMBER(SEARCH("sortie-epargne",IFERROR(INDEX('Paramètres'!$N:$N,MATCH($D332,'Paramètres'!$M:$M,0))&amp;"",""))),$K332,0))</f>
        <v>0</v>
      </c>
      <c r="V332" s="6" t="str">
        <f>IF(AND($A332&lt;&gt;"",$O332=1,$L332="Débit",N($Q332)&gt;0,$A332&gt;=Visualisation!$B$1,$A332&lt;Visualisation!$D$1),MAX($V$1:V331)+1,"")</f>
        <v/>
      </c>
    </row>
    <row r="333" spans="1:22" x14ac:dyDescent="0.25">
      <c r="A333" s="9">
        <v>45765</v>
      </c>
      <c r="B333" s="4" t="s">
        <v>116</v>
      </c>
      <c r="C333" s="4" t="s">
        <v>126</v>
      </c>
      <c r="D333" s="4" t="s">
        <v>116</v>
      </c>
      <c r="E333" s="10">
        <v>208.82</v>
      </c>
      <c r="G333" s="4" t="s">
        <v>139</v>
      </c>
      <c r="H333" s="4" t="s">
        <v>144</v>
      </c>
      <c r="I333" s="4" t="s">
        <v>73</v>
      </c>
      <c r="K333" s="11">
        <f>IF($E333="","",ROUND($E333*IF(ISNA(MATCH($C333,'Paramètres'!$D:$D,0)),1,IF(INDEX('Paramètres'!$J:$J,MATCH($C333,'Paramètres'!$D:$D,0))="",1,INDEX('Paramètres'!$J:$J,MATCH($C333,'Paramètres'!$D:$D,0)))),2))</f>
        <v>104.41</v>
      </c>
      <c r="L333" s="6" t="str">
        <f>IF($D333="","",IF($F333&lt;&gt;"",$F333,IF(ISNA(MATCH($D333,'Paramètres'!$M:$M,0)),"⚠ Type inconnu",IFERROR(INDEX('Paramètres'!$P:$P,MATCH($D333,'Paramètres'!$M:$M,0))&amp;"",""))))</f>
        <v>Débit</v>
      </c>
      <c r="M333" s="6" t="str">
        <f>IF($D333="","",IF(ISNA(MATCH($D333,'Paramètres'!$M:$M,0)),"⚠ Type inconnu",IF($L333="Crédit","",IFERROR(INDEX('Paramètres'!$O:$O,MATCH($D333,'Paramètres'!$M:$M,0))&amp;"",""))))</f>
        <v>Dépense Occasionnelle</v>
      </c>
      <c r="N333" s="6" t="str">
        <f>IF($D333="","",IFERROR(INDEX('Paramètres'!$Q:$Q,MATCH($D333,'Paramètres'!$M:$M,0))&amp;"",""))</f>
        <v>Autre</v>
      </c>
      <c r="O333" s="6">
        <f>IF($A333="","",IF(OR($J333&lt;&gt;"x",$A333&lt;=FinReleve),1,0))</f>
        <v>1</v>
      </c>
      <c r="P333" s="6">
        <f>IF($D333="","",IF(AND($L333="Crédit",OR(IFERROR(INDEX('Paramètres'!$O:$O,MATCH($D333,'Paramètres'!$M:$M,0))&amp;"","")&lt;&gt;"",ISNUMBER(SEARCH("remboursement",IFERROR(INDEX('Paramètres'!$N:$N,MATCH($D333,'Paramètres'!$M:$M,0))&amp;"",""))))),1,0))</f>
        <v>0</v>
      </c>
      <c r="Q333" s="6">
        <f>IF($K333="","",IF(ISNUMBER(SEARCH("transfert-interne",IFERROR(INDEX('Paramètres'!$N:$N,MATCH($D333,'Paramètres'!$M:$M,0))&amp;"",""))),0,IF($L333="Débit",$K333,IF($P333=1,-$K333,0))))</f>
        <v>104.41</v>
      </c>
      <c r="R333" s="6">
        <f>IF($K333="","",IF($L333="Crédit",$K333,-$K333))</f>
        <v>-104.41</v>
      </c>
      <c r="S333" s="6" t="str">
        <f>IF($C333="","",IFERROR(INDEX('Paramètres'!$H:$H,MATCH($C333,'Paramètres'!$D:$D,0))&amp;"",""))</f>
        <v>Banque A - Courant</v>
      </c>
      <c r="T333" s="6">
        <f>IF($K333="","",IF($S333="",0,IF(ISNUMBER(SEARCH("apport-exterieur",IFERROR(INDEX('Paramètres'!$N:$N,MATCH($D333,'Paramètres'!$M:$M,0))&amp;"",""))),0,IF(OR(IFERROR(INDEX('Paramètres'!$I:$I,MATCH($C333,'Paramètres'!$D:$D,0))&amp;"","")="Les deux",IFERROR(INDEX('Paramètres'!$I:$I,MATCH($C333,'Paramètres'!$D:$D,0))&amp;"","")=IF($P333=1,"Débit",$L333)),-IF($P333=1,-$K333,$K333),0))))</f>
        <v>-104.41</v>
      </c>
      <c r="U333" s="6">
        <f>IF($K333="","",IF(ISNUMBER(SEARCH("sortie-epargne",IFERROR(INDEX('Paramètres'!$N:$N,MATCH($D333,'Paramètres'!$M:$M,0))&amp;"",""))),$K333,0))</f>
        <v>0</v>
      </c>
      <c r="V333" s="6" t="str">
        <f>IF(AND($A333&lt;&gt;"",$O333=1,$L333="Débit",N($Q333)&gt;0,$A333&gt;=Visualisation!$B$1,$A333&lt;Visualisation!$D$1),MAX($V$1:V332)+1,"")</f>
        <v/>
      </c>
    </row>
    <row r="334" spans="1:22" x14ac:dyDescent="0.25">
      <c r="A334" s="9">
        <v>45766</v>
      </c>
      <c r="B334" s="4" t="s">
        <v>131</v>
      </c>
      <c r="C334" s="4" t="s">
        <v>75</v>
      </c>
      <c r="D334" s="4" t="s">
        <v>143</v>
      </c>
      <c r="E334" s="10">
        <v>42.8</v>
      </c>
      <c r="G334" s="4" t="s">
        <v>143</v>
      </c>
      <c r="H334" s="4"/>
      <c r="I334" s="4" t="s">
        <v>63</v>
      </c>
      <c r="K334" s="11">
        <f>IF($E334="","",ROUND($E334*IF(ISNA(MATCH($C334,'Paramètres'!$D:$D,0)),1,IF(INDEX('Paramètres'!$J:$J,MATCH($C334,'Paramètres'!$D:$D,0))="",1,INDEX('Paramètres'!$J:$J,MATCH($C334,'Paramètres'!$D:$D,0)))),2))</f>
        <v>42.8</v>
      </c>
      <c r="L334" s="6" t="str">
        <f>IF($D334="","",IF($F334&lt;&gt;"",$F334,IF(ISNA(MATCH($D334,'Paramètres'!$M:$M,0)),"⚠ Type inconnu",IFERROR(INDEX('Paramètres'!$P:$P,MATCH($D334,'Paramètres'!$M:$M,0))&amp;"",""))))</f>
        <v>Débit</v>
      </c>
      <c r="M334" s="6" t="str">
        <f>IF($D334="","",IF(ISNA(MATCH($D334,'Paramètres'!$M:$M,0)),"⚠ Type inconnu",IF($L334="Crédit","",IFERROR(INDEX('Paramètres'!$O:$O,MATCH($D334,'Paramètres'!$M:$M,0))&amp;"",""))))</f>
        <v>Dépense Courante</v>
      </c>
      <c r="N334" s="6" t="str">
        <f>IF($D334="","",IFERROR(INDEX('Paramètres'!$Q:$Q,MATCH($D334,'Paramètres'!$M:$M,0))&amp;"",""))</f>
        <v>Santé</v>
      </c>
      <c r="O334" s="6">
        <f>IF($A334="","",IF(OR($J334&lt;&gt;"x",$A334&lt;=FinReleve),1,0))</f>
        <v>1</v>
      </c>
      <c r="P334" s="6">
        <f>IF($D334="","",IF(AND($L334="Crédit",OR(IFERROR(INDEX('Paramètres'!$O:$O,MATCH($D334,'Paramètres'!$M:$M,0))&amp;"","")&lt;&gt;"",ISNUMBER(SEARCH("remboursement",IFERROR(INDEX('Paramètres'!$N:$N,MATCH($D334,'Paramètres'!$M:$M,0))&amp;"",""))))),1,0))</f>
        <v>0</v>
      </c>
      <c r="Q334" s="6">
        <f>IF($K334="","",IF(ISNUMBER(SEARCH("transfert-interne",IFERROR(INDEX('Paramètres'!$N:$N,MATCH($D334,'Paramètres'!$M:$M,0))&amp;"",""))),0,IF($L334="Débit",$K334,IF($P334=1,-$K334,0))))</f>
        <v>42.8</v>
      </c>
      <c r="R334" s="6">
        <f>IF($K334="","",IF($L334="Crédit",$K334,-$K334))</f>
        <v>-42.8</v>
      </c>
      <c r="S334" s="6" t="str">
        <f>IF($C334="","",IFERROR(INDEX('Paramètres'!$H:$H,MATCH($C334,'Paramètres'!$D:$D,0))&amp;"",""))</f>
        <v/>
      </c>
      <c r="T334" s="6">
        <f>IF($K334="","",IF($S334="",0,IF(ISNUMBER(SEARCH("apport-exterieur",IFERROR(INDEX('Paramètres'!$N:$N,MATCH($D334,'Paramètres'!$M:$M,0))&amp;"",""))),0,IF(OR(IFERROR(INDEX('Paramètres'!$I:$I,MATCH($C334,'Paramètres'!$D:$D,0))&amp;"","")="Les deux",IFERROR(INDEX('Paramètres'!$I:$I,MATCH($C334,'Paramètres'!$D:$D,0))&amp;"","")=IF($P334=1,"Débit",$L334)),-IF($P334=1,-$K334,$K334),0))))</f>
        <v>0</v>
      </c>
      <c r="U334" s="6">
        <f>IF($K334="","",IF(ISNUMBER(SEARCH("sortie-epargne",IFERROR(INDEX('Paramètres'!$N:$N,MATCH($D334,'Paramètres'!$M:$M,0))&amp;"",""))),$K334,0))</f>
        <v>0</v>
      </c>
      <c r="V334" s="6" t="str">
        <f>IF(AND($A334&lt;&gt;"",$O334=1,$L334="Débit",N($Q334)&gt;0,$A334&gt;=Visualisation!$B$1,$A334&lt;Visualisation!$D$1),MAX($V$1:V333)+1,"")</f>
        <v/>
      </c>
    </row>
    <row r="335" spans="1:22" x14ac:dyDescent="0.25">
      <c r="A335" s="9">
        <v>45767</v>
      </c>
      <c r="B335" s="4" t="s">
        <v>116</v>
      </c>
      <c r="C335" s="4" t="s">
        <v>126</v>
      </c>
      <c r="D335" s="4" t="s">
        <v>116</v>
      </c>
      <c r="E335" s="10">
        <v>306.12</v>
      </c>
      <c r="G335" s="4" t="s">
        <v>117</v>
      </c>
      <c r="H335" s="4" t="s">
        <v>144</v>
      </c>
      <c r="I335" s="4" t="s">
        <v>93</v>
      </c>
      <c r="K335" s="11">
        <f>IF($E335="","",ROUND($E335*IF(ISNA(MATCH($C335,'Paramètres'!$D:$D,0)),1,IF(INDEX('Paramètres'!$J:$J,MATCH($C335,'Paramètres'!$D:$D,0))="",1,INDEX('Paramètres'!$J:$J,MATCH($C335,'Paramètres'!$D:$D,0)))),2))</f>
        <v>153.06</v>
      </c>
      <c r="L335" s="6" t="str">
        <f>IF($D335="","",IF($F335&lt;&gt;"",$F335,IF(ISNA(MATCH($D335,'Paramètres'!$M:$M,0)),"⚠ Type inconnu",IFERROR(INDEX('Paramètres'!$P:$P,MATCH($D335,'Paramètres'!$M:$M,0))&amp;"",""))))</f>
        <v>Débit</v>
      </c>
      <c r="M335" s="6" t="str">
        <f>IF($D335="","",IF(ISNA(MATCH($D335,'Paramètres'!$M:$M,0)),"⚠ Type inconnu",IF($L335="Crédit","",IFERROR(INDEX('Paramètres'!$O:$O,MATCH($D335,'Paramètres'!$M:$M,0))&amp;"",""))))</f>
        <v>Dépense Occasionnelle</v>
      </c>
      <c r="N335" s="6" t="str">
        <f>IF($D335="","",IFERROR(INDEX('Paramètres'!$Q:$Q,MATCH($D335,'Paramètres'!$M:$M,0))&amp;"",""))</f>
        <v>Autre</v>
      </c>
      <c r="O335" s="6">
        <f>IF($A335="","",IF(OR($J335&lt;&gt;"x",$A335&lt;=FinReleve),1,0))</f>
        <v>1</v>
      </c>
      <c r="P335" s="6">
        <f>IF($D335="","",IF(AND($L335="Crédit",OR(IFERROR(INDEX('Paramètres'!$O:$O,MATCH($D335,'Paramètres'!$M:$M,0))&amp;"","")&lt;&gt;"",ISNUMBER(SEARCH("remboursement",IFERROR(INDEX('Paramètres'!$N:$N,MATCH($D335,'Paramètres'!$M:$M,0))&amp;"",""))))),1,0))</f>
        <v>0</v>
      </c>
      <c r="Q335" s="6">
        <f>IF($K335="","",IF(ISNUMBER(SEARCH("transfert-interne",IFERROR(INDEX('Paramètres'!$N:$N,MATCH($D335,'Paramètres'!$M:$M,0))&amp;"",""))),0,IF($L335="Débit",$K335,IF($P335=1,-$K335,0))))</f>
        <v>153.06</v>
      </c>
      <c r="R335" s="6">
        <f>IF($K335="","",IF($L335="Crédit",$K335,-$K335))</f>
        <v>-153.06</v>
      </c>
      <c r="S335" s="6" t="str">
        <f>IF($C335="","",IFERROR(INDEX('Paramètres'!$H:$H,MATCH($C335,'Paramètres'!$D:$D,0))&amp;"",""))</f>
        <v>Banque A - Courant</v>
      </c>
      <c r="T335" s="6">
        <f>IF($K335="","",IF($S335="",0,IF(ISNUMBER(SEARCH("apport-exterieur",IFERROR(INDEX('Paramètres'!$N:$N,MATCH($D335,'Paramètres'!$M:$M,0))&amp;"",""))),0,IF(OR(IFERROR(INDEX('Paramètres'!$I:$I,MATCH($C335,'Paramètres'!$D:$D,0))&amp;"","")="Les deux",IFERROR(INDEX('Paramètres'!$I:$I,MATCH($C335,'Paramètres'!$D:$D,0))&amp;"","")=IF($P335=1,"Débit",$L335)),-IF($P335=1,-$K335,$K335),0))))</f>
        <v>-153.06</v>
      </c>
      <c r="U335" s="6">
        <f>IF($K335="","",IF(ISNUMBER(SEARCH("sortie-epargne",IFERROR(INDEX('Paramètres'!$N:$N,MATCH($D335,'Paramètres'!$M:$M,0))&amp;"",""))),$K335,0))</f>
        <v>0</v>
      </c>
      <c r="V335" s="6" t="str">
        <f>IF(AND($A335&lt;&gt;"",$O335=1,$L335="Débit",N($Q335)&gt;0,$A335&gt;=Visualisation!$B$1,$A335&lt;Visualisation!$D$1),MAX($V$1:V334)+1,"")</f>
        <v/>
      </c>
    </row>
    <row r="336" spans="1:22" x14ac:dyDescent="0.25">
      <c r="A336" s="9">
        <v>45768</v>
      </c>
      <c r="B336" s="4" t="s">
        <v>76</v>
      </c>
      <c r="C336" s="4" t="s">
        <v>67</v>
      </c>
      <c r="D336" s="4" t="s">
        <v>77</v>
      </c>
      <c r="E336" s="10">
        <v>172.86</v>
      </c>
      <c r="G336" s="4" t="s">
        <v>95</v>
      </c>
      <c r="H336" s="4"/>
      <c r="I336" s="4" t="s">
        <v>73</v>
      </c>
      <c r="K336" s="11">
        <f>IF($E336="","",ROUND($E336*IF(ISNA(MATCH($C336,'Paramètres'!$D:$D,0)),1,IF(INDEX('Paramètres'!$J:$J,MATCH($C336,'Paramètres'!$D:$D,0))="",1,INDEX('Paramètres'!$J:$J,MATCH($C336,'Paramètres'!$D:$D,0)))),2))</f>
        <v>86.43</v>
      </c>
      <c r="L336" s="6" t="str">
        <f>IF($D336="","",IF($F336&lt;&gt;"",$F336,IF(ISNA(MATCH($D336,'Paramètres'!$M:$M,0)),"⚠ Type inconnu",IFERROR(INDEX('Paramètres'!$P:$P,MATCH($D336,'Paramètres'!$M:$M,0))&amp;"",""))))</f>
        <v>Débit</v>
      </c>
      <c r="M336" s="6" t="str">
        <f>IF($D336="","",IF(ISNA(MATCH($D336,'Paramètres'!$M:$M,0)),"⚠ Type inconnu",IF($L336="Crédit","",IFERROR(INDEX('Paramètres'!$O:$O,MATCH($D336,'Paramètres'!$M:$M,0))&amp;"",""))))</f>
        <v>Dépense Courante</v>
      </c>
      <c r="N336" s="6" t="str">
        <f>IF($D336="","",IFERROR(INDEX('Paramètres'!$Q:$Q,MATCH($D336,'Paramètres'!$M:$M,0))&amp;"",""))</f>
        <v>Alimentation</v>
      </c>
      <c r="O336" s="6">
        <f>IF($A336="","",IF(OR($J336&lt;&gt;"x",$A336&lt;=FinReleve),1,0))</f>
        <v>1</v>
      </c>
      <c r="P336" s="6">
        <f>IF($D336="","",IF(AND($L336="Crédit",OR(IFERROR(INDEX('Paramètres'!$O:$O,MATCH($D336,'Paramètres'!$M:$M,0))&amp;"","")&lt;&gt;"",ISNUMBER(SEARCH("remboursement",IFERROR(INDEX('Paramètres'!$N:$N,MATCH($D336,'Paramètres'!$M:$M,0))&amp;"",""))))),1,0))</f>
        <v>0</v>
      </c>
      <c r="Q336" s="6">
        <f>IF($K336="","",IF(ISNUMBER(SEARCH("transfert-interne",IFERROR(INDEX('Paramètres'!$N:$N,MATCH($D336,'Paramètres'!$M:$M,0))&amp;"",""))),0,IF($L336="Débit",$K336,IF($P336=1,-$K336,0))))</f>
        <v>86.43</v>
      </c>
      <c r="R336" s="6">
        <f>IF($K336="","",IF($L336="Crédit",$K336,-$K336))</f>
        <v>-86.43</v>
      </c>
      <c r="S336" s="6" t="str">
        <f>IF($C336="","",IFERROR(INDEX('Paramètres'!$H:$H,MATCH($C336,'Paramètres'!$D:$D,0))&amp;"",""))</f>
        <v>Banque A - Courant</v>
      </c>
      <c r="T336" s="6">
        <f>IF($K336="","",IF($S336="",0,IF(ISNUMBER(SEARCH("apport-exterieur",IFERROR(INDEX('Paramètres'!$N:$N,MATCH($D336,'Paramètres'!$M:$M,0))&amp;"",""))),0,IF(OR(IFERROR(INDEX('Paramètres'!$I:$I,MATCH($C336,'Paramètres'!$D:$D,0))&amp;"","")="Les deux",IFERROR(INDEX('Paramètres'!$I:$I,MATCH($C336,'Paramètres'!$D:$D,0))&amp;"","")=IF($P336=1,"Débit",$L336)),-IF($P336=1,-$K336,$K336),0))))</f>
        <v>0</v>
      </c>
      <c r="U336" s="6">
        <f>IF($K336="","",IF(ISNUMBER(SEARCH("sortie-epargne",IFERROR(INDEX('Paramètres'!$N:$N,MATCH($D336,'Paramètres'!$M:$M,0))&amp;"",""))),$K336,0))</f>
        <v>0</v>
      </c>
      <c r="V336" s="6" t="str">
        <f>IF(AND($A336&lt;&gt;"",$O336=1,$L336="Débit",N($Q336)&gt;0,$A336&gt;=Visualisation!$B$1,$A336&lt;Visualisation!$D$1),MAX($V$1:V335)+1,"")</f>
        <v/>
      </c>
    </row>
    <row r="337" spans="1:22" x14ac:dyDescent="0.25">
      <c r="A337" s="9">
        <v>45770</v>
      </c>
      <c r="B337" s="4" t="s">
        <v>76</v>
      </c>
      <c r="C337" s="4" t="s">
        <v>60</v>
      </c>
      <c r="D337" s="4" t="s">
        <v>77</v>
      </c>
      <c r="E337" s="10">
        <v>162.82</v>
      </c>
      <c r="G337" s="4" t="s">
        <v>95</v>
      </c>
      <c r="H337" s="4"/>
      <c r="I337" s="4" t="s">
        <v>73</v>
      </c>
      <c r="K337" s="11">
        <f>IF($E337="","",ROUND($E337*IF(ISNA(MATCH($C337,'Paramètres'!$D:$D,0)),1,IF(INDEX('Paramètres'!$J:$J,MATCH($C337,'Paramètres'!$D:$D,0))="",1,INDEX('Paramètres'!$J:$J,MATCH($C337,'Paramètres'!$D:$D,0)))),2))</f>
        <v>81.41</v>
      </c>
      <c r="L337" s="6" t="str">
        <f>IF($D337="","",IF($F337&lt;&gt;"",$F337,IF(ISNA(MATCH($D337,'Paramètres'!$M:$M,0)),"⚠ Type inconnu",IFERROR(INDEX('Paramètres'!$P:$P,MATCH($D337,'Paramètres'!$M:$M,0))&amp;"",""))))</f>
        <v>Débit</v>
      </c>
      <c r="M337" s="6" t="str">
        <f>IF($D337="","",IF(ISNA(MATCH($D337,'Paramètres'!$M:$M,0)),"⚠ Type inconnu",IF($L337="Crédit","",IFERROR(INDEX('Paramètres'!$O:$O,MATCH($D337,'Paramètres'!$M:$M,0))&amp;"",""))))</f>
        <v>Dépense Courante</v>
      </c>
      <c r="N337" s="6" t="str">
        <f>IF($D337="","",IFERROR(INDEX('Paramètres'!$Q:$Q,MATCH($D337,'Paramètres'!$M:$M,0))&amp;"",""))</f>
        <v>Alimentation</v>
      </c>
      <c r="O337" s="6">
        <f>IF($A337="","",IF(OR($J337&lt;&gt;"x",$A337&lt;=FinReleve),1,0))</f>
        <v>1</v>
      </c>
      <c r="P337" s="6">
        <f>IF($D337="","",IF(AND($L337="Crédit",OR(IFERROR(INDEX('Paramètres'!$O:$O,MATCH($D337,'Paramètres'!$M:$M,0))&amp;"","")&lt;&gt;"",ISNUMBER(SEARCH("remboursement",IFERROR(INDEX('Paramètres'!$N:$N,MATCH($D337,'Paramètres'!$M:$M,0))&amp;"",""))))),1,0))</f>
        <v>0</v>
      </c>
      <c r="Q337" s="6">
        <f>IF($K337="","",IF(ISNUMBER(SEARCH("transfert-interne",IFERROR(INDEX('Paramètres'!$N:$N,MATCH($D337,'Paramètres'!$M:$M,0))&amp;"",""))),0,IF($L337="Débit",$K337,IF($P337=1,-$K337,0))))</f>
        <v>81.41</v>
      </c>
      <c r="R337" s="6">
        <f>IF($K337="","",IF($L337="Crédit",$K337,-$K337))</f>
        <v>-81.41</v>
      </c>
      <c r="S337" s="6" t="str">
        <f>IF($C337="","",IFERROR(INDEX('Paramètres'!$H:$H,MATCH($C337,'Paramètres'!$D:$D,0))&amp;"",""))</f>
        <v>Banque A - Courant</v>
      </c>
      <c r="T337" s="6">
        <f>IF($K337="","",IF($S337="",0,IF(ISNUMBER(SEARCH("apport-exterieur",IFERROR(INDEX('Paramètres'!$N:$N,MATCH($D337,'Paramètres'!$M:$M,0))&amp;"",""))),0,IF(OR(IFERROR(INDEX('Paramètres'!$I:$I,MATCH($C337,'Paramètres'!$D:$D,0))&amp;"","")="Les deux",IFERROR(INDEX('Paramètres'!$I:$I,MATCH($C337,'Paramètres'!$D:$D,0))&amp;"","")=IF($P337=1,"Débit",$L337)),-IF($P337=1,-$K337,$K337),0))))</f>
        <v>-81.41</v>
      </c>
      <c r="U337" s="6">
        <f>IF($K337="","",IF(ISNUMBER(SEARCH("sortie-epargne",IFERROR(INDEX('Paramètres'!$N:$N,MATCH($D337,'Paramètres'!$M:$M,0))&amp;"",""))),$K337,0))</f>
        <v>0</v>
      </c>
      <c r="V337" s="6" t="str">
        <f>IF(AND($A337&lt;&gt;"",$O337=1,$L337="Débit",N($Q337)&gt;0,$A337&gt;=Visualisation!$B$1,$A337&lt;Visualisation!$D$1),MAX($V$1:V336)+1,"")</f>
        <v/>
      </c>
    </row>
    <row r="338" spans="1:22" x14ac:dyDescent="0.25">
      <c r="A338" s="9">
        <v>45771</v>
      </c>
      <c r="B338" s="4" t="s">
        <v>76</v>
      </c>
      <c r="C338" s="4" t="s">
        <v>67</v>
      </c>
      <c r="D338" s="4" t="s">
        <v>77</v>
      </c>
      <c r="E338" s="10">
        <v>74.58</v>
      </c>
      <c r="G338" s="4" t="s">
        <v>95</v>
      </c>
      <c r="H338" s="4"/>
      <c r="I338" s="4" t="s">
        <v>63</v>
      </c>
      <c r="K338" s="11">
        <f>IF($E338="","",ROUND($E338*IF(ISNA(MATCH($C338,'Paramètres'!$D:$D,0)),1,IF(INDEX('Paramètres'!$J:$J,MATCH($C338,'Paramètres'!$D:$D,0))="",1,INDEX('Paramètres'!$J:$J,MATCH($C338,'Paramètres'!$D:$D,0)))),2))</f>
        <v>37.29</v>
      </c>
      <c r="L338" s="6" t="str">
        <f>IF($D338="","",IF($F338&lt;&gt;"",$F338,IF(ISNA(MATCH($D338,'Paramètres'!$M:$M,0)),"⚠ Type inconnu",IFERROR(INDEX('Paramètres'!$P:$P,MATCH($D338,'Paramètres'!$M:$M,0))&amp;"",""))))</f>
        <v>Débit</v>
      </c>
      <c r="M338" s="6" t="str">
        <f>IF($D338="","",IF(ISNA(MATCH($D338,'Paramètres'!$M:$M,0)),"⚠ Type inconnu",IF($L338="Crédit","",IFERROR(INDEX('Paramètres'!$O:$O,MATCH($D338,'Paramètres'!$M:$M,0))&amp;"",""))))</f>
        <v>Dépense Courante</v>
      </c>
      <c r="N338" s="6" t="str">
        <f>IF($D338="","",IFERROR(INDEX('Paramètres'!$Q:$Q,MATCH($D338,'Paramètres'!$M:$M,0))&amp;"",""))</f>
        <v>Alimentation</v>
      </c>
      <c r="O338" s="6">
        <f>IF($A338="","",IF(OR($J338&lt;&gt;"x",$A338&lt;=FinReleve),1,0))</f>
        <v>1</v>
      </c>
      <c r="P338" s="6">
        <f>IF($D338="","",IF(AND($L338="Crédit",OR(IFERROR(INDEX('Paramètres'!$O:$O,MATCH($D338,'Paramètres'!$M:$M,0))&amp;"","")&lt;&gt;"",ISNUMBER(SEARCH("remboursement",IFERROR(INDEX('Paramètres'!$N:$N,MATCH($D338,'Paramètres'!$M:$M,0))&amp;"",""))))),1,0))</f>
        <v>0</v>
      </c>
      <c r="Q338" s="6">
        <f>IF($K338="","",IF(ISNUMBER(SEARCH("transfert-interne",IFERROR(INDEX('Paramètres'!$N:$N,MATCH($D338,'Paramètres'!$M:$M,0))&amp;"",""))),0,IF($L338="Débit",$K338,IF($P338=1,-$K338,0))))</f>
        <v>37.29</v>
      </c>
      <c r="R338" s="6">
        <f>IF($K338="","",IF($L338="Crédit",$K338,-$K338))</f>
        <v>-37.29</v>
      </c>
      <c r="S338" s="6" t="str">
        <f>IF($C338="","",IFERROR(INDEX('Paramètres'!$H:$H,MATCH($C338,'Paramètres'!$D:$D,0))&amp;"",""))</f>
        <v>Banque A - Courant</v>
      </c>
      <c r="T338" s="6">
        <f>IF($K338="","",IF($S338="",0,IF(ISNUMBER(SEARCH("apport-exterieur",IFERROR(INDEX('Paramètres'!$N:$N,MATCH($D338,'Paramètres'!$M:$M,0))&amp;"",""))),0,IF(OR(IFERROR(INDEX('Paramètres'!$I:$I,MATCH($C338,'Paramètres'!$D:$D,0))&amp;"","")="Les deux",IFERROR(INDEX('Paramètres'!$I:$I,MATCH($C338,'Paramètres'!$D:$D,0))&amp;"","")=IF($P338=1,"Débit",$L338)),-IF($P338=1,-$K338,$K338),0))))</f>
        <v>0</v>
      </c>
      <c r="U338" s="6">
        <f>IF($K338="","",IF(ISNUMBER(SEARCH("sortie-epargne",IFERROR(INDEX('Paramètres'!$N:$N,MATCH($D338,'Paramètres'!$M:$M,0))&amp;"",""))),$K338,0))</f>
        <v>0</v>
      </c>
      <c r="V338" s="6" t="str">
        <f>IF(AND($A338&lt;&gt;"",$O338=1,$L338="Débit",N($Q338)&gt;0,$A338&gt;=Visualisation!$B$1,$A338&lt;Visualisation!$D$1),MAX($V$1:V337)+1,"")</f>
        <v/>
      </c>
    </row>
    <row r="339" spans="1:22" x14ac:dyDescent="0.25">
      <c r="A339" s="9">
        <v>45771</v>
      </c>
      <c r="B339" s="4" t="s">
        <v>76</v>
      </c>
      <c r="C339" s="4" t="s">
        <v>60</v>
      </c>
      <c r="D339" s="4" t="s">
        <v>77</v>
      </c>
      <c r="E339" s="10">
        <v>100.5</v>
      </c>
      <c r="G339" s="4" t="s">
        <v>98</v>
      </c>
      <c r="H339" s="4"/>
      <c r="I339" s="4" t="s">
        <v>93</v>
      </c>
      <c r="K339" s="11">
        <f>IF($E339="","",ROUND($E339*IF(ISNA(MATCH($C339,'Paramètres'!$D:$D,0)),1,IF(INDEX('Paramètres'!$J:$J,MATCH($C339,'Paramètres'!$D:$D,0))="",1,INDEX('Paramètres'!$J:$J,MATCH($C339,'Paramètres'!$D:$D,0)))),2))</f>
        <v>50.25</v>
      </c>
      <c r="L339" s="6" t="str">
        <f>IF($D339="","",IF($F339&lt;&gt;"",$F339,IF(ISNA(MATCH($D339,'Paramètres'!$M:$M,0)),"⚠ Type inconnu",IFERROR(INDEX('Paramètres'!$P:$P,MATCH($D339,'Paramètres'!$M:$M,0))&amp;"",""))))</f>
        <v>Débit</v>
      </c>
      <c r="M339" s="6" t="str">
        <f>IF($D339="","",IF(ISNA(MATCH($D339,'Paramètres'!$M:$M,0)),"⚠ Type inconnu",IF($L339="Crédit","",IFERROR(INDEX('Paramètres'!$O:$O,MATCH($D339,'Paramètres'!$M:$M,0))&amp;"",""))))</f>
        <v>Dépense Courante</v>
      </c>
      <c r="N339" s="6" t="str">
        <f>IF($D339="","",IFERROR(INDEX('Paramètres'!$Q:$Q,MATCH($D339,'Paramètres'!$M:$M,0))&amp;"",""))</f>
        <v>Alimentation</v>
      </c>
      <c r="O339" s="6">
        <f>IF($A339="","",IF(OR($J339&lt;&gt;"x",$A339&lt;=FinReleve),1,0))</f>
        <v>1</v>
      </c>
      <c r="P339" s="6">
        <f>IF($D339="","",IF(AND($L339="Crédit",OR(IFERROR(INDEX('Paramètres'!$O:$O,MATCH($D339,'Paramètres'!$M:$M,0))&amp;"","")&lt;&gt;"",ISNUMBER(SEARCH("remboursement",IFERROR(INDEX('Paramètres'!$N:$N,MATCH($D339,'Paramètres'!$M:$M,0))&amp;"",""))))),1,0))</f>
        <v>0</v>
      </c>
      <c r="Q339" s="6">
        <f>IF($K339="","",IF(ISNUMBER(SEARCH("transfert-interne",IFERROR(INDEX('Paramètres'!$N:$N,MATCH($D339,'Paramètres'!$M:$M,0))&amp;"",""))),0,IF($L339="Débit",$K339,IF($P339=1,-$K339,0))))</f>
        <v>50.25</v>
      </c>
      <c r="R339" s="6">
        <f>IF($K339="","",IF($L339="Crédit",$K339,-$K339))</f>
        <v>-50.25</v>
      </c>
      <c r="S339" s="6" t="str">
        <f>IF($C339="","",IFERROR(INDEX('Paramètres'!$H:$H,MATCH($C339,'Paramètres'!$D:$D,0))&amp;"",""))</f>
        <v>Banque A - Courant</v>
      </c>
      <c r="T339" s="6">
        <f>IF($K339="","",IF($S339="",0,IF(ISNUMBER(SEARCH("apport-exterieur",IFERROR(INDEX('Paramètres'!$N:$N,MATCH($D339,'Paramètres'!$M:$M,0))&amp;"",""))),0,IF(OR(IFERROR(INDEX('Paramètres'!$I:$I,MATCH($C339,'Paramètres'!$D:$D,0))&amp;"","")="Les deux",IFERROR(INDEX('Paramètres'!$I:$I,MATCH($C339,'Paramètres'!$D:$D,0))&amp;"","")=IF($P339=1,"Débit",$L339)),-IF($P339=1,-$K339,$K339),0))))</f>
        <v>-50.25</v>
      </c>
      <c r="U339" s="6">
        <f>IF($K339="","",IF(ISNUMBER(SEARCH("sortie-epargne",IFERROR(INDEX('Paramètres'!$N:$N,MATCH($D339,'Paramètres'!$M:$M,0))&amp;"",""))),$K339,0))</f>
        <v>0</v>
      </c>
      <c r="V339" s="6" t="str">
        <f>IF(AND($A339&lt;&gt;"",$O339=1,$L339="Débit",N($Q339)&gt;0,$A339&gt;=Visualisation!$B$1,$A339&lt;Visualisation!$D$1),MAX($V$1:V338)+1,"")</f>
        <v/>
      </c>
    </row>
    <row r="340" spans="1:22" x14ac:dyDescent="0.25">
      <c r="A340" s="9">
        <v>45771</v>
      </c>
      <c r="B340" s="4" t="s">
        <v>76</v>
      </c>
      <c r="C340" s="4" t="s">
        <v>107</v>
      </c>
      <c r="D340" s="4" t="s">
        <v>108</v>
      </c>
      <c r="E340" s="10">
        <v>68.79</v>
      </c>
      <c r="G340" s="4" t="s">
        <v>127</v>
      </c>
      <c r="H340" s="4" t="s">
        <v>144</v>
      </c>
      <c r="I340" s="4"/>
      <c r="K340" s="11">
        <f>IF($E340="","",ROUND($E340*IF(ISNA(MATCH($C340,'Paramètres'!$D:$D,0)),1,IF(INDEX('Paramètres'!$J:$J,MATCH($C340,'Paramètres'!$D:$D,0))="",1,INDEX('Paramètres'!$J:$J,MATCH($C340,'Paramètres'!$D:$D,0)))),2))</f>
        <v>68.79</v>
      </c>
      <c r="L340" s="6" t="str">
        <f>IF($D340="","",IF($F340&lt;&gt;"",$F340,IF(ISNA(MATCH($D340,'Paramètres'!$M:$M,0)),"⚠ Type inconnu",IFERROR(INDEX('Paramètres'!$P:$P,MATCH($D340,'Paramètres'!$M:$M,0))&amp;"",""))))</f>
        <v>Débit</v>
      </c>
      <c r="M340" s="6" t="str">
        <f>IF($D340="","",IF(ISNA(MATCH($D340,'Paramètres'!$M:$M,0)),"⚠ Type inconnu",IF($L340="Crédit","",IFERROR(INDEX('Paramètres'!$O:$O,MATCH($D340,'Paramètres'!$M:$M,0))&amp;"",""))))</f>
        <v>Dépense Occasionnelle</v>
      </c>
      <c r="N340" s="6" t="str">
        <f>IF($D340="","",IFERROR(INDEX('Paramètres'!$Q:$Q,MATCH($D340,'Paramètres'!$M:$M,0))&amp;"",""))</f>
        <v>Autre</v>
      </c>
      <c r="O340" s="6">
        <f>IF($A340="","",IF(OR($J340&lt;&gt;"x",$A340&lt;=FinReleve),1,0))</f>
        <v>1</v>
      </c>
      <c r="P340" s="6">
        <f>IF($D340="","",IF(AND($L340="Crédit",OR(IFERROR(INDEX('Paramètres'!$O:$O,MATCH($D340,'Paramètres'!$M:$M,0))&amp;"","")&lt;&gt;"",ISNUMBER(SEARCH("remboursement",IFERROR(INDEX('Paramètres'!$N:$N,MATCH($D340,'Paramètres'!$M:$M,0))&amp;"",""))))),1,0))</f>
        <v>0</v>
      </c>
      <c r="Q340" s="6">
        <f>IF($K340="","",IF(ISNUMBER(SEARCH("transfert-interne",IFERROR(INDEX('Paramètres'!$N:$N,MATCH($D340,'Paramètres'!$M:$M,0))&amp;"",""))),0,IF($L340="Débit",$K340,IF($P340=1,-$K340,0))))</f>
        <v>68.79</v>
      </c>
      <c r="R340" s="6">
        <f>IF($K340="","",IF($L340="Crédit",$K340,-$K340))</f>
        <v>-68.79</v>
      </c>
      <c r="S340" s="6" t="str">
        <f>IF($C340="","",IFERROR(INDEX('Paramètres'!$H:$H,MATCH($C340,'Paramètres'!$D:$D,0))&amp;"",""))</f>
        <v/>
      </c>
      <c r="T340" s="6">
        <f>IF($K340="","",IF($S340="",0,IF(ISNUMBER(SEARCH("apport-exterieur",IFERROR(INDEX('Paramètres'!$N:$N,MATCH($D340,'Paramètres'!$M:$M,0))&amp;"",""))),0,IF(OR(IFERROR(INDEX('Paramètres'!$I:$I,MATCH($C340,'Paramètres'!$D:$D,0))&amp;"","")="Les deux",IFERROR(INDEX('Paramètres'!$I:$I,MATCH($C340,'Paramètres'!$D:$D,0))&amp;"","")=IF($P340=1,"Débit",$L340)),-IF($P340=1,-$K340,$K340),0))))</f>
        <v>0</v>
      </c>
      <c r="U340" s="6">
        <f>IF($K340="","",IF(ISNUMBER(SEARCH("sortie-epargne",IFERROR(INDEX('Paramètres'!$N:$N,MATCH($D340,'Paramètres'!$M:$M,0))&amp;"",""))),$K340,0))</f>
        <v>0</v>
      </c>
      <c r="V340" s="6" t="str">
        <f>IF(AND($A340&lt;&gt;"",$O340=1,$L340="Débit",N($Q340)&gt;0,$A340&gt;=Visualisation!$B$1,$A340&lt;Visualisation!$D$1),MAX($V$1:V339)+1,"")</f>
        <v/>
      </c>
    </row>
    <row r="341" spans="1:22" x14ac:dyDescent="0.25">
      <c r="A341" s="9">
        <v>45773</v>
      </c>
      <c r="B341" s="4" t="s">
        <v>69</v>
      </c>
      <c r="C341" s="4" t="s">
        <v>70</v>
      </c>
      <c r="D341" s="4" t="s">
        <v>71</v>
      </c>
      <c r="E341" s="10">
        <v>11.74</v>
      </c>
      <c r="G341" s="4" t="s">
        <v>72</v>
      </c>
      <c r="H341" s="4"/>
      <c r="I341" s="4" t="s">
        <v>79</v>
      </c>
      <c r="K341" s="11">
        <f>IF($E341="","",ROUND($E341*IF(ISNA(MATCH($C341,'Paramètres'!$D:$D,0)),1,IF(INDEX('Paramètres'!$J:$J,MATCH($C341,'Paramètres'!$D:$D,0))="",1,INDEX('Paramètres'!$J:$J,MATCH($C341,'Paramètres'!$D:$D,0)))),2))</f>
        <v>11.74</v>
      </c>
      <c r="L341" s="6" t="str">
        <f>IF($D341="","",IF($F341&lt;&gt;"",$F341,IF(ISNA(MATCH($D341,'Paramètres'!$M:$M,0)),"⚠ Type inconnu",IFERROR(INDEX('Paramètres'!$P:$P,MATCH($D341,'Paramètres'!$M:$M,0))&amp;"",""))))</f>
        <v>Débit</v>
      </c>
      <c r="M341" s="6" t="str">
        <f>IF($D341="","",IF(ISNA(MATCH($D341,'Paramètres'!$M:$M,0)),"⚠ Type inconnu",IF($L341="Crédit","",IFERROR(INDEX('Paramètres'!$O:$O,MATCH($D341,'Paramètres'!$M:$M,0))&amp;"",""))))</f>
        <v>Dépense Courante</v>
      </c>
      <c r="N341" s="6" t="str">
        <f>IF($D341="","",IFERROR(INDEX('Paramètres'!$Q:$Q,MATCH($D341,'Paramètres'!$M:$M,0))&amp;"",""))</f>
        <v>Alimentation</v>
      </c>
      <c r="O341" s="6">
        <f>IF($A341="","",IF(OR($J341&lt;&gt;"x",$A341&lt;=FinReleve),1,0))</f>
        <v>1</v>
      </c>
      <c r="P341" s="6">
        <f>IF($D341="","",IF(AND($L341="Crédit",OR(IFERROR(INDEX('Paramètres'!$O:$O,MATCH($D341,'Paramètres'!$M:$M,0))&amp;"","")&lt;&gt;"",ISNUMBER(SEARCH("remboursement",IFERROR(INDEX('Paramètres'!$N:$N,MATCH($D341,'Paramètres'!$M:$M,0))&amp;"",""))))),1,0))</f>
        <v>0</v>
      </c>
      <c r="Q341" s="6">
        <f>IF($K341="","",IF(ISNUMBER(SEARCH("transfert-interne",IFERROR(INDEX('Paramètres'!$N:$N,MATCH($D341,'Paramètres'!$M:$M,0))&amp;"",""))),0,IF($L341="Débit",$K341,IF($P341=1,-$K341,0))))</f>
        <v>11.74</v>
      </c>
      <c r="R341" s="6">
        <f>IF($K341="","",IF($L341="Crédit",$K341,-$K341))</f>
        <v>-11.74</v>
      </c>
      <c r="S341" s="6" t="str">
        <f>IF($C341="","",IFERROR(INDEX('Paramètres'!$H:$H,MATCH($C341,'Paramètres'!$D:$D,0))&amp;"",""))</f>
        <v/>
      </c>
      <c r="T341" s="6">
        <f>IF($K341="","",IF($S341="",0,IF(ISNUMBER(SEARCH("apport-exterieur",IFERROR(INDEX('Paramètres'!$N:$N,MATCH($D341,'Paramètres'!$M:$M,0))&amp;"",""))),0,IF(OR(IFERROR(INDEX('Paramètres'!$I:$I,MATCH($C341,'Paramètres'!$D:$D,0))&amp;"","")="Les deux",IFERROR(INDEX('Paramètres'!$I:$I,MATCH($C341,'Paramètres'!$D:$D,0))&amp;"","")=IF($P341=1,"Débit",$L341)),-IF($P341=1,-$K341,$K341),0))))</f>
        <v>0</v>
      </c>
      <c r="U341" s="6">
        <f>IF($K341="","",IF(ISNUMBER(SEARCH("sortie-epargne",IFERROR(INDEX('Paramètres'!$N:$N,MATCH($D341,'Paramètres'!$M:$M,0))&amp;"",""))),$K341,0))</f>
        <v>0</v>
      </c>
      <c r="V341" s="6" t="str">
        <f>IF(AND($A341&lt;&gt;"",$O341=1,$L341="Débit",N($Q341)&gt;0,$A341&gt;=Visualisation!$B$1,$A341&lt;Visualisation!$D$1),MAX($V$1:V340)+1,"")</f>
        <v/>
      </c>
    </row>
    <row r="342" spans="1:22" x14ac:dyDescent="0.25">
      <c r="A342" s="9">
        <v>45773</v>
      </c>
      <c r="B342" s="4" t="s">
        <v>123</v>
      </c>
      <c r="C342" s="4" t="s">
        <v>75</v>
      </c>
      <c r="D342" s="4" t="s">
        <v>124</v>
      </c>
      <c r="E342" s="10">
        <v>79.74</v>
      </c>
      <c r="G342" s="4" t="s">
        <v>125</v>
      </c>
      <c r="H342" s="4"/>
      <c r="I342" s="4"/>
      <c r="K342" s="11">
        <f>IF($E342="","",ROUND($E342*IF(ISNA(MATCH($C342,'Paramètres'!$D:$D,0)),1,IF(INDEX('Paramètres'!$J:$J,MATCH($C342,'Paramètres'!$D:$D,0))="",1,INDEX('Paramètres'!$J:$J,MATCH($C342,'Paramètres'!$D:$D,0)))),2))</f>
        <v>79.74</v>
      </c>
      <c r="L342" s="6" t="str">
        <f>IF($D342="","",IF($F342&lt;&gt;"",$F342,IF(ISNA(MATCH($D342,'Paramètres'!$M:$M,0)),"⚠ Type inconnu",IFERROR(INDEX('Paramètres'!$P:$P,MATCH($D342,'Paramètres'!$M:$M,0))&amp;"",""))))</f>
        <v>Débit</v>
      </c>
      <c r="M342" s="6" t="str">
        <f>IF($D342="","",IF(ISNA(MATCH($D342,'Paramètres'!$M:$M,0)),"⚠ Type inconnu",IF($L342="Crédit","",IFERROR(INDEX('Paramètres'!$O:$O,MATCH($D342,'Paramètres'!$M:$M,0))&amp;"",""))))</f>
        <v>Dépense Courante</v>
      </c>
      <c r="N342" s="6" t="str">
        <f>IF($D342="","",IFERROR(INDEX('Paramètres'!$Q:$Q,MATCH($D342,'Paramètres'!$M:$M,0))&amp;"",""))</f>
        <v>Habillement</v>
      </c>
      <c r="O342" s="6">
        <f>IF($A342="","",IF(OR($J342&lt;&gt;"x",$A342&lt;=FinReleve),1,0))</f>
        <v>1</v>
      </c>
      <c r="P342" s="6">
        <f>IF($D342="","",IF(AND($L342="Crédit",OR(IFERROR(INDEX('Paramètres'!$O:$O,MATCH($D342,'Paramètres'!$M:$M,0))&amp;"","")&lt;&gt;"",ISNUMBER(SEARCH("remboursement",IFERROR(INDEX('Paramètres'!$N:$N,MATCH($D342,'Paramètres'!$M:$M,0))&amp;"",""))))),1,0))</f>
        <v>0</v>
      </c>
      <c r="Q342" s="6">
        <f>IF($K342="","",IF(ISNUMBER(SEARCH("transfert-interne",IFERROR(INDEX('Paramètres'!$N:$N,MATCH($D342,'Paramètres'!$M:$M,0))&amp;"",""))),0,IF($L342="Débit",$K342,IF($P342=1,-$K342,0))))</f>
        <v>79.74</v>
      </c>
      <c r="R342" s="6">
        <f>IF($K342="","",IF($L342="Crédit",$K342,-$K342))</f>
        <v>-79.74</v>
      </c>
      <c r="S342" s="6" t="str">
        <f>IF($C342="","",IFERROR(INDEX('Paramètres'!$H:$H,MATCH($C342,'Paramètres'!$D:$D,0))&amp;"",""))</f>
        <v/>
      </c>
      <c r="T342" s="6">
        <f>IF($K342="","",IF($S342="",0,IF(ISNUMBER(SEARCH("apport-exterieur",IFERROR(INDEX('Paramètres'!$N:$N,MATCH($D342,'Paramètres'!$M:$M,0))&amp;"",""))),0,IF(OR(IFERROR(INDEX('Paramètres'!$I:$I,MATCH($C342,'Paramètres'!$D:$D,0))&amp;"","")="Les deux",IFERROR(INDEX('Paramètres'!$I:$I,MATCH($C342,'Paramètres'!$D:$D,0))&amp;"","")=IF($P342=1,"Débit",$L342)),-IF($P342=1,-$K342,$K342),0))))</f>
        <v>0</v>
      </c>
      <c r="U342" s="6">
        <f>IF($K342="","",IF(ISNUMBER(SEARCH("sortie-epargne",IFERROR(INDEX('Paramètres'!$N:$N,MATCH($D342,'Paramètres'!$M:$M,0))&amp;"",""))),$K342,0))</f>
        <v>0</v>
      </c>
      <c r="V342" s="6" t="str">
        <f>IF(AND($A342&lt;&gt;"",$O342=1,$L342="Débit",N($Q342)&gt;0,$A342&gt;=Visualisation!$B$1,$A342&lt;Visualisation!$D$1),MAX($V$1:V341)+1,"")</f>
        <v/>
      </c>
    </row>
    <row r="343" spans="1:22" x14ac:dyDescent="0.25">
      <c r="A343" s="9">
        <v>45773</v>
      </c>
      <c r="B343" s="4" t="s">
        <v>105</v>
      </c>
      <c r="C343" s="4" t="s">
        <v>75</v>
      </c>
      <c r="D343" s="4" t="s">
        <v>110</v>
      </c>
      <c r="E343" s="10">
        <v>150</v>
      </c>
      <c r="G343" s="4"/>
      <c r="H343" s="4"/>
      <c r="I343" s="4"/>
      <c r="K343" s="11">
        <f>IF($E343="","",ROUND($E343*IF(ISNA(MATCH($C343,'Paramètres'!$D:$D,0)),1,IF(INDEX('Paramètres'!$J:$J,MATCH($C343,'Paramètres'!$D:$D,0))="",1,INDEX('Paramètres'!$J:$J,MATCH($C343,'Paramètres'!$D:$D,0)))),2))</f>
        <v>150</v>
      </c>
      <c r="L343" s="6" t="str">
        <f>IF($D343="","",IF($F343&lt;&gt;"",$F343,IF(ISNA(MATCH($D343,'Paramètres'!$M:$M,0)),"⚠ Type inconnu",IFERROR(INDEX('Paramètres'!$P:$P,MATCH($D343,'Paramètres'!$M:$M,0))&amp;"",""))))</f>
        <v>Débit</v>
      </c>
      <c r="M343" s="6" t="str">
        <f>IF($D343="","",IF(ISNA(MATCH($D343,'Paramètres'!$M:$M,0)),"⚠ Type inconnu",IF($L343="Crédit","",IFERROR(INDEX('Paramètres'!$O:$O,MATCH($D343,'Paramètres'!$M:$M,0))&amp;"",""))))</f>
        <v/>
      </c>
      <c r="N343" s="6" t="str">
        <f>IF($D343="","",IFERROR(INDEX('Paramètres'!$Q:$Q,MATCH($D343,'Paramètres'!$M:$M,0))&amp;"",""))</f>
        <v>Comptes Bancaires</v>
      </c>
      <c r="O343" s="6">
        <f>IF($A343="","",IF(OR($J343&lt;&gt;"x",$A343&lt;=FinReleve),1,0))</f>
        <v>1</v>
      </c>
      <c r="P343" s="6">
        <f>IF($D343="","",IF(AND($L343="Crédit",OR(IFERROR(INDEX('Paramètres'!$O:$O,MATCH($D343,'Paramètres'!$M:$M,0))&amp;"","")&lt;&gt;"",ISNUMBER(SEARCH("remboursement",IFERROR(INDEX('Paramètres'!$N:$N,MATCH($D343,'Paramètres'!$M:$M,0))&amp;"",""))))),1,0))</f>
        <v>0</v>
      </c>
      <c r="Q343" s="6">
        <f>IF($K343="","",IF(ISNUMBER(SEARCH("transfert-interne",IFERROR(INDEX('Paramètres'!$N:$N,MATCH($D343,'Paramètres'!$M:$M,0))&amp;"",""))),0,IF($L343="Débit",$K343,IF($P343=1,-$K343,0))))</f>
        <v>0</v>
      </c>
      <c r="R343" s="6">
        <f>IF($K343="","",IF($L343="Crédit",$K343,-$K343))</f>
        <v>-150</v>
      </c>
      <c r="S343" s="6" t="str">
        <f>IF($C343="","",IFERROR(INDEX('Paramètres'!$H:$H,MATCH($C343,'Paramètres'!$D:$D,0))&amp;"",""))</f>
        <v/>
      </c>
      <c r="T343" s="6">
        <f>IF($K343="","",IF($S343="",0,IF(ISNUMBER(SEARCH("apport-exterieur",IFERROR(INDEX('Paramètres'!$N:$N,MATCH($D343,'Paramètres'!$M:$M,0))&amp;"",""))),0,IF(OR(IFERROR(INDEX('Paramètres'!$I:$I,MATCH($C343,'Paramètres'!$D:$D,0))&amp;"","")="Les deux",IFERROR(INDEX('Paramètres'!$I:$I,MATCH($C343,'Paramètres'!$D:$D,0))&amp;"","")=IF($P343=1,"Débit",$L343)),-IF($P343=1,-$K343,$K343),0))))</f>
        <v>0</v>
      </c>
      <c r="U343" s="6">
        <f>IF($K343="","",IF(ISNUMBER(SEARCH("sortie-epargne",IFERROR(INDEX('Paramètres'!$N:$N,MATCH($D343,'Paramètres'!$M:$M,0))&amp;"",""))),$K343,0))</f>
        <v>0</v>
      </c>
      <c r="V343" s="6" t="str">
        <f>IF(AND($A343&lt;&gt;"",$O343=1,$L343="Débit",N($Q343)&gt;0,$A343&gt;=Visualisation!$B$1,$A343&lt;Visualisation!$D$1),MAX($V$1:V342)+1,"")</f>
        <v/>
      </c>
    </row>
    <row r="344" spans="1:22" x14ac:dyDescent="0.25">
      <c r="A344" s="9">
        <v>45773</v>
      </c>
      <c r="B344" s="4" t="s">
        <v>105</v>
      </c>
      <c r="C344" s="4" t="s">
        <v>75</v>
      </c>
      <c r="D344" s="4" t="s">
        <v>111</v>
      </c>
      <c r="E344" s="10">
        <v>200</v>
      </c>
      <c r="G344" s="4"/>
      <c r="H344" s="4"/>
      <c r="I344" s="4"/>
      <c r="K344" s="11">
        <f>IF($E344="","",ROUND($E344*IF(ISNA(MATCH($C344,'Paramètres'!$D:$D,0)),1,IF(INDEX('Paramètres'!$J:$J,MATCH($C344,'Paramètres'!$D:$D,0))="",1,INDEX('Paramètres'!$J:$J,MATCH($C344,'Paramètres'!$D:$D,0)))),2))</f>
        <v>200</v>
      </c>
      <c r="L344" s="6" t="str">
        <f>IF($D344="","",IF($F344&lt;&gt;"",$F344,IF(ISNA(MATCH($D344,'Paramètres'!$M:$M,0)),"⚠ Type inconnu",IFERROR(INDEX('Paramètres'!$P:$P,MATCH($D344,'Paramètres'!$M:$M,0))&amp;"",""))))</f>
        <v>Débit</v>
      </c>
      <c r="M344" s="6" t="str">
        <f>IF($D344="","",IF(ISNA(MATCH($D344,'Paramètres'!$M:$M,0)),"⚠ Type inconnu",IF($L344="Crédit","",IFERROR(INDEX('Paramètres'!$O:$O,MATCH($D344,'Paramètres'!$M:$M,0))&amp;"",""))))</f>
        <v/>
      </c>
      <c r="N344" s="6" t="str">
        <f>IF($D344="","",IFERROR(INDEX('Paramètres'!$Q:$Q,MATCH($D344,'Paramètres'!$M:$M,0))&amp;"",""))</f>
        <v>Comptes Bancaires</v>
      </c>
      <c r="O344" s="6">
        <f>IF($A344="","",IF(OR($J344&lt;&gt;"x",$A344&lt;=FinReleve),1,0))</f>
        <v>1</v>
      </c>
      <c r="P344" s="6">
        <f>IF($D344="","",IF(AND($L344="Crédit",OR(IFERROR(INDEX('Paramètres'!$O:$O,MATCH($D344,'Paramètres'!$M:$M,0))&amp;"","")&lt;&gt;"",ISNUMBER(SEARCH("remboursement",IFERROR(INDEX('Paramètres'!$N:$N,MATCH($D344,'Paramètres'!$M:$M,0))&amp;"",""))))),1,0))</f>
        <v>0</v>
      </c>
      <c r="Q344" s="6">
        <f>IF($K344="","",IF(ISNUMBER(SEARCH("transfert-interne",IFERROR(INDEX('Paramètres'!$N:$N,MATCH($D344,'Paramètres'!$M:$M,0))&amp;"",""))),0,IF($L344="Débit",$K344,IF($P344=1,-$K344,0))))</f>
        <v>200</v>
      </c>
      <c r="R344" s="6">
        <f>IF($K344="","",IF($L344="Crédit",$K344,-$K344))</f>
        <v>-200</v>
      </c>
      <c r="S344" s="6" t="str">
        <f>IF($C344="","",IFERROR(INDEX('Paramètres'!$H:$H,MATCH($C344,'Paramètres'!$D:$D,0))&amp;"",""))</f>
        <v/>
      </c>
      <c r="T344" s="6">
        <f>IF($K344="","",IF($S344="",0,IF(ISNUMBER(SEARCH("apport-exterieur",IFERROR(INDEX('Paramètres'!$N:$N,MATCH($D344,'Paramètres'!$M:$M,0))&amp;"",""))),0,IF(OR(IFERROR(INDEX('Paramètres'!$I:$I,MATCH($C344,'Paramètres'!$D:$D,0))&amp;"","")="Les deux",IFERROR(INDEX('Paramètres'!$I:$I,MATCH($C344,'Paramètres'!$D:$D,0))&amp;"","")=IF($P344=1,"Débit",$L344)),-IF($P344=1,-$K344,$K344),0))))</f>
        <v>0</v>
      </c>
      <c r="U344" s="6">
        <f>IF($K344="","",IF(ISNUMBER(SEARCH("sortie-epargne",IFERROR(INDEX('Paramètres'!$N:$N,MATCH($D344,'Paramètres'!$M:$M,0))&amp;"",""))),$K344,0))</f>
        <v>0</v>
      </c>
      <c r="V344" s="6" t="str">
        <f>IF(AND($A344&lt;&gt;"",$O344=1,$L344="Débit",N($Q344)&gt;0,$A344&gt;=Visualisation!$B$1,$A344&lt;Visualisation!$D$1),MAX($V$1:V343)+1,"")</f>
        <v/>
      </c>
    </row>
    <row r="345" spans="1:22" x14ac:dyDescent="0.25">
      <c r="A345" s="9">
        <v>45773</v>
      </c>
      <c r="B345" s="4" t="s">
        <v>112</v>
      </c>
      <c r="C345" s="4" t="s">
        <v>75</v>
      </c>
      <c r="D345" s="4" t="s">
        <v>113</v>
      </c>
      <c r="E345" s="10">
        <v>120</v>
      </c>
      <c r="G345" s="4"/>
      <c r="H345" s="4"/>
      <c r="I345" s="4"/>
      <c r="K345" s="11">
        <f>IF($E345="","",ROUND($E345*IF(ISNA(MATCH($C345,'Paramètres'!$D:$D,0)),1,IF(INDEX('Paramètres'!$J:$J,MATCH($C345,'Paramètres'!$D:$D,0))="",1,INDEX('Paramètres'!$J:$J,MATCH($C345,'Paramètres'!$D:$D,0)))),2))</f>
        <v>120</v>
      </c>
      <c r="L345" s="6" t="str">
        <f>IF($D345="","",IF($F345&lt;&gt;"",$F345,IF(ISNA(MATCH($D345,'Paramètres'!$M:$M,0)),"⚠ Type inconnu",IFERROR(INDEX('Paramètres'!$P:$P,MATCH($D345,'Paramètres'!$M:$M,0))&amp;"",""))))</f>
        <v>Débit</v>
      </c>
      <c r="M345" s="6" t="str">
        <f>IF($D345="","",IF(ISNA(MATCH($D345,'Paramètres'!$M:$M,0)),"⚠ Type inconnu",IF($L345="Crédit","",IFERROR(INDEX('Paramètres'!$O:$O,MATCH($D345,'Paramètres'!$M:$M,0))&amp;"",""))))</f>
        <v/>
      </c>
      <c r="N345" s="6" t="str">
        <f>IF($D345="","",IFERROR(INDEX('Paramètres'!$Q:$Q,MATCH($D345,'Paramètres'!$M:$M,0))&amp;"",""))</f>
        <v>Comptes Bancaires</v>
      </c>
      <c r="O345" s="6">
        <f>IF($A345="","",IF(OR($J345&lt;&gt;"x",$A345&lt;=FinReleve),1,0))</f>
        <v>1</v>
      </c>
      <c r="P345" s="6">
        <f>IF($D345="","",IF(AND($L345="Crédit",OR(IFERROR(INDEX('Paramètres'!$O:$O,MATCH($D345,'Paramètres'!$M:$M,0))&amp;"","")&lt;&gt;"",ISNUMBER(SEARCH("remboursement",IFERROR(INDEX('Paramètres'!$N:$N,MATCH($D345,'Paramètres'!$M:$M,0))&amp;"",""))))),1,0))</f>
        <v>0</v>
      </c>
      <c r="Q345" s="6">
        <f>IF($K345="","",IF(ISNUMBER(SEARCH("transfert-interne",IFERROR(INDEX('Paramètres'!$N:$N,MATCH($D345,'Paramètres'!$M:$M,0))&amp;"",""))),0,IF($L345="Débit",$K345,IF($P345=1,-$K345,0))))</f>
        <v>120</v>
      </c>
      <c r="R345" s="6">
        <f>IF($K345="","",IF($L345="Crédit",$K345,-$K345))</f>
        <v>-120</v>
      </c>
      <c r="S345" s="6" t="str">
        <f>IF($C345="","",IFERROR(INDEX('Paramètres'!$H:$H,MATCH($C345,'Paramètres'!$D:$D,0))&amp;"",""))</f>
        <v/>
      </c>
      <c r="T345" s="6">
        <f>IF($K345="","",IF($S345="",0,IF(ISNUMBER(SEARCH("apport-exterieur",IFERROR(INDEX('Paramètres'!$N:$N,MATCH($D345,'Paramètres'!$M:$M,0))&amp;"",""))),0,IF(OR(IFERROR(INDEX('Paramètres'!$I:$I,MATCH($C345,'Paramètres'!$D:$D,0))&amp;"","")="Les deux",IFERROR(INDEX('Paramètres'!$I:$I,MATCH($C345,'Paramètres'!$D:$D,0))&amp;"","")=IF($P345=1,"Débit",$L345)),-IF($P345=1,-$K345,$K345),0))))</f>
        <v>0</v>
      </c>
      <c r="U345" s="6">
        <f>IF($K345="","",IF(ISNUMBER(SEARCH("sortie-epargne",IFERROR(INDEX('Paramètres'!$N:$N,MATCH($D345,'Paramètres'!$M:$M,0))&amp;"",""))),$K345,0))</f>
        <v>0</v>
      </c>
      <c r="V345" s="6" t="str">
        <f>IF(AND($A345&lt;&gt;"",$O345=1,$L345="Débit",N($Q345)&gt;0,$A345&gt;=Visualisation!$B$1,$A345&lt;Visualisation!$D$1),MAX($V$1:V344)+1,"")</f>
        <v/>
      </c>
    </row>
    <row r="346" spans="1:22" x14ac:dyDescent="0.25">
      <c r="A346" s="9">
        <v>45774</v>
      </c>
      <c r="B346" s="4" t="s">
        <v>114</v>
      </c>
      <c r="C346" s="4" t="s">
        <v>75</v>
      </c>
      <c r="D346" s="4" t="s">
        <v>115</v>
      </c>
      <c r="E346" s="10">
        <v>2885.86</v>
      </c>
      <c r="G346" s="4" t="s">
        <v>115</v>
      </c>
      <c r="H346" s="4"/>
      <c r="I346" s="4"/>
      <c r="K346" s="11">
        <f>IF($E346="","",ROUND($E346*IF(ISNA(MATCH($C346,'Paramètres'!$D:$D,0)),1,IF(INDEX('Paramètres'!$J:$J,MATCH($C346,'Paramètres'!$D:$D,0))="",1,INDEX('Paramètres'!$J:$J,MATCH($C346,'Paramètres'!$D:$D,0)))),2))</f>
        <v>2885.86</v>
      </c>
      <c r="L346" s="6" t="str">
        <f>IF($D346="","",IF($F346&lt;&gt;"",$F346,IF(ISNA(MATCH($D346,'Paramètres'!$M:$M,0)),"⚠ Type inconnu",IFERROR(INDEX('Paramètres'!$P:$P,MATCH($D346,'Paramètres'!$M:$M,0))&amp;"",""))))</f>
        <v>Crédit</v>
      </c>
      <c r="M346" s="6" t="str">
        <f>IF($D346="","",IF(ISNA(MATCH($D346,'Paramètres'!$M:$M,0)),"⚠ Type inconnu",IF($L346="Crédit","",IFERROR(INDEX('Paramètres'!$O:$O,MATCH($D346,'Paramètres'!$M:$M,0))&amp;"",""))))</f>
        <v/>
      </c>
      <c r="N346" s="6" t="str">
        <f>IF($D346="","",IFERROR(INDEX('Paramètres'!$Q:$Q,MATCH($D346,'Paramètres'!$M:$M,0))&amp;"",""))</f>
        <v/>
      </c>
      <c r="O346" s="6">
        <f>IF($A346="","",IF(OR($J346&lt;&gt;"x",$A346&lt;=FinReleve),1,0))</f>
        <v>1</v>
      </c>
      <c r="P346" s="6">
        <f>IF($D346="","",IF(AND($L346="Crédit",OR(IFERROR(INDEX('Paramètres'!$O:$O,MATCH($D346,'Paramètres'!$M:$M,0))&amp;"","")&lt;&gt;"",ISNUMBER(SEARCH("remboursement",IFERROR(INDEX('Paramètres'!$N:$N,MATCH($D346,'Paramètres'!$M:$M,0))&amp;"",""))))),1,0))</f>
        <v>0</v>
      </c>
      <c r="Q346" s="6">
        <f>IF($K346="","",IF(ISNUMBER(SEARCH("transfert-interne",IFERROR(INDEX('Paramètres'!$N:$N,MATCH($D346,'Paramètres'!$M:$M,0))&amp;"",""))),0,IF($L346="Débit",$K346,IF($P346=1,-$K346,0))))</f>
        <v>0</v>
      </c>
      <c r="R346" s="6">
        <f>IF($K346="","",IF($L346="Crédit",$K346,-$K346))</f>
        <v>2885.86</v>
      </c>
      <c r="S346" s="6" t="str">
        <f>IF($C346="","",IFERROR(INDEX('Paramètres'!$H:$H,MATCH($C346,'Paramètres'!$D:$D,0))&amp;"",""))</f>
        <v/>
      </c>
      <c r="T346" s="6">
        <f>IF($K346="","",IF($S346="",0,IF(ISNUMBER(SEARCH("apport-exterieur",IFERROR(INDEX('Paramètres'!$N:$N,MATCH($D346,'Paramètres'!$M:$M,0))&amp;"",""))),0,IF(OR(IFERROR(INDEX('Paramètres'!$I:$I,MATCH($C346,'Paramètres'!$D:$D,0))&amp;"","")="Les deux",IFERROR(INDEX('Paramètres'!$I:$I,MATCH($C346,'Paramètres'!$D:$D,0))&amp;"","")=IF($P346=1,"Débit",$L346)),-IF($P346=1,-$K346,$K346),0))))</f>
        <v>0</v>
      </c>
      <c r="U346" s="6">
        <f>IF($K346="","",IF(ISNUMBER(SEARCH("sortie-epargne",IFERROR(INDEX('Paramètres'!$N:$N,MATCH($D346,'Paramètres'!$M:$M,0))&amp;"",""))),$K346,0))</f>
        <v>0</v>
      </c>
      <c r="V346" s="6" t="str">
        <f>IF(AND($A346&lt;&gt;"",$O346=1,$L346="Débit",N($Q346)&gt;0,$A346&gt;=Visualisation!$B$1,$A346&lt;Visualisation!$D$1),MAX($V$1:V345)+1,"")</f>
        <v/>
      </c>
    </row>
    <row r="347" spans="1:22" x14ac:dyDescent="0.25">
      <c r="A347" s="9">
        <v>45774</v>
      </c>
      <c r="B347" s="4" t="s">
        <v>76</v>
      </c>
      <c r="C347" s="4" t="s">
        <v>67</v>
      </c>
      <c r="D347" s="4" t="s">
        <v>77</v>
      </c>
      <c r="E347" s="10">
        <v>191.34</v>
      </c>
      <c r="G347" s="4" t="s">
        <v>95</v>
      </c>
      <c r="H347" s="4"/>
      <c r="I347" s="4" t="s">
        <v>79</v>
      </c>
      <c r="K347" s="11">
        <f>IF($E347="","",ROUND($E347*IF(ISNA(MATCH($C347,'Paramètres'!$D:$D,0)),1,IF(INDEX('Paramètres'!$J:$J,MATCH($C347,'Paramètres'!$D:$D,0))="",1,INDEX('Paramètres'!$J:$J,MATCH($C347,'Paramètres'!$D:$D,0)))),2))</f>
        <v>95.67</v>
      </c>
      <c r="L347" s="6" t="str">
        <f>IF($D347="","",IF($F347&lt;&gt;"",$F347,IF(ISNA(MATCH($D347,'Paramètres'!$M:$M,0)),"⚠ Type inconnu",IFERROR(INDEX('Paramètres'!$P:$P,MATCH($D347,'Paramètres'!$M:$M,0))&amp;"",""))))</f>
        <v>Débit</v>
      </c>
      <c r="M347" s="6" t="str">
        <f>IF($D347="","",IF(ISNA(MATCH($D347,'Paramètres'!$M:$M,0)),"⚠ Type inconnu",IF($L347="Crédit","",IFERROR(INDEX('Paramètres'!$O:$O,MATCH($D347,'Paramètres'!$M:$M,0))&amp;"",""))))</f>
        <v>Dépense Courante</v>
      </c>
      <c r="N347" s="6" t="str">
        <f>IF($D347="","",IFERROR(INDEX('Paramètres'!$Q:$Q,MATCH($D347,'Paramètres'!$M:$M,0))&amp;"",""))</f>
        <v>Alimentation</v>
      </c>
      <c r="O347" s="6">
        <f>IF($A347="","",IF(OR($J347&lt;&gt;"x",$A347&lt;=FinReleve),1,0))</f>
        <v>1</v>
      </c>
      <c r="P347" s="6">
        <f>IF($D347="","",IF(AND($L347="Crédit",OR(IFERROR(INDEX('Paramètres'!$O:$O,MATCH($D347,'Paramètres'!$M:$M,0))&amp;"","")&lt;&gt;"",ISNUMBER(SEARCH("remboursement",IFERROR(INDEX('Paramètres'!$N:$N,MATCH($D347,'Paramètres'!$M:$M,0))&amp;"",""))))),1,0))</f>
        <v>0</v>
      </c>
      <c r="Q347" s="6">
        <f>IF($K347="","",IF(ISNUMBER(SEARCH("transfert-interne",IFERROR(INDEX('Paramètres'!$N:$N,MATCH($D347,'Paramètres'!$M:$M,0))&amp;"",""))),0,IF($L347="Débit",$K347,IF($P347=1,-$K347,0))))</f>
        <v>95.67</v>
      </c>
      <c r="R347" s="6">
        <f>IF($K347="","",IF($L347="Crédit",$K347,-$K347))</f>
        <v>-95.67</v>
      </c>
      <c r="S347" s="6" t="str">
        <f>IF($C347="","",IFERROR(INDEX('Paramètres'!$H:$H,MATCH($C347,'Paramètres'!$D:$D,0))&amp;"",""))</f>
        <v>Banque A - Courant</v>
      </c>
      <c r="T347" s="6">
        <f>IF($K347="","",IF($S347="",0,IF(ISNUMBER(SEARCH("apport-exterieur",IFERROR(INDEX('Paramètres'!$N:$N,MATCH($D347,'Paramètres'!$M:$M,0))&amp;"",""))),0,IF(OR(IFERROR(INDEX('Paramètres'!$I:$I,MATCH($C347,'Paramètres'!$D:$D,0))&amp;"","")="Les deux",IFERROR(INDEX('Paramètres'!$I:$I,MATCH($C347,'Paramètres'!$D:$D,0))&amp;"","")=IF($P347=1,"Débit",$L347)),-IF($P347=1,-$K347,$K347),0))))</f>
        <v>0</v>
      </c>
      <c r="U347" s="6">
        <f>IF($K347="","",IF(ISNUMBER(SEARCH("sortie-epargne",IFERROR(INDEX('Paramètres'!$N:$N,MATCH($D347,'Paramètres'!$M:$M,0))&amp;"",""))),$K347,0))</f>
        <v>0</v>
      </c>
      <c r="V347" s="6" t="str">
        <f>IF(AND($A347&lt;&gt;"",$O347=1,$L347="Débit",N($Q347)&gt;0,$A347&gt;=Visualisation!$B$1,$A347&lt;Visualisation!$D$1),MAX($V$1:V346)+1,"")</f>
        <v/>
      </c>
    </row>
    <row r="348" spans="1:22" x14ac:dyDescent="0.25">
      <c r="A348" s="9">
        <v>45774</v>
      </c>
      <c r="B348" s="4" t="s">
        <v>69</v>
      </c>
      <c r="C348" s="4" t="s">
        <v>70</v>
      </c>
      <c r="D348" s="4" t="s">
        <v>71</v>
      </c>
      <c r="E348" s="10">
        <v>12.25</v>
      </c>
      <c r="G348" s="4" t="s">
        <v>72</v>
      </c>
      <c r="H348" s="4"/>
      <c r="I348" s="4" t="s">
        <v>63</v>
      </c>
      <c r="K348" s="11">
        <f>IF($E348="","",ROUND($E348*IF(ISNA(MATCH($C348,'Paramètres'!$D:$D,0)),1,IF(INDEX('Paramètres'!$J:$J,MATCH($C348,'Paramètres'!$D:$D,0))="",1,INDEX('Paramètres'!$J:$J,MATCH($C348,'Paramètres'!$D:$D,0)))),2))</f>
        <v>12.25</v>
      </c>
      <c r="L348" s="6" t="str">
        <f>IF($D348="","",IF($F348&lt;&gt;"",$F348,IF(ISNA(MATCH($D348,'Paramètres'!$M:$M,0)),"⚠ Type inconnu",IFERROR(INDEX('Paramètres'!$P:$P,MATCH($D348,'Paramètres'!$M:$M,0))&amp;"",""))))</f>
        <v>Débit</v>
      </c>
      <c r="M348" s="6" t="str">
        <f>IF($D348="","",IF(ISNA(MATCH($D348,'Paramètres'!$M:$M,0)),"⚠ Type inconnu",IF($L348="Crédit","",IFERROR(INDEX('Paramètres'!$O:$O,MATCH($D348,'Paramètres'!$M:$M,0))&amp;"",""))))</f>
        <v>Dépense Courante</v>
      </c>
      <c r="N348" s="6" t="str">
        <f>IF($D348="","",IFERROR(INDEX('Paramètres'!$Q:$Q,MATCH($D348,'Paramètres'!$M:$M,0))&amp;"",""))</f>
        <v>Alimentation</v>
      </c>
      <c r="O348" s="6">
        <f>IF($A348="","",IF(OR($J348&lt;&gt;"x",$A348&lt;=FinReleve),1,0))</f>
        <v>1</v>
      </c>
      <c r="P348" s="6">
        <f>IF($D348="","",IF(AND($L348="Crédit",OR(IFERROR(INDEX('Paramètres'!$O:$O,MATCH($D348,'Paramètres'!$M:$M,0))&amp;"","")&lt;&gt;"",ISNUMBER(SEARCH("remboursement",IFERROR(INDEX('Paramètres'!$N:$N,MATCH($D348,'Paramètres'!$M:$M,0))&amp;"",""))))),1,0))</f>
        <v>0</v>
      </c>
      <c r="Q348" s="6">
        <f>IF($K348="","",IF(ISNUMBER(SEARCH("transfert-interne",IFERROR(INDEX('Paramètres'!$N:$N,MATCH($D348,'Paramètres'!$M:$M,0))&amp;"",""))),0,IF($L348="Débit",$K348,IF($P348=1,-$K348,0))))</f>
        <v>12.25</v>
      </c>
      <c r="R348" s="6">
        <f>IF($K348="","",IF($L348="Crédit",$K348,-$K348))</f>
        <v>-12.25</v>
      </c>
      <c r="S348" s="6" t="str">
        <f>IF($C348="","",IFERROR(INDEX('Paramètres'!$H:$H,MATCH($C348,'Paramètres'!$D:$D,0))&amp;"",""))</f>
        <v/>
      </c>
      <c r="T348" s="6">
        <f>IF($K348="","",IF($S348="",0,IF(ISNUMBER(SEARCH("apport-exterieur",IFERROR(INDEX('Paramètres'!$N:$N,MATCH($D348,'Paramètres'!$M:$M,0))&amp;"",""))),0,IF(OR(IFERROR(INDEX('Paramètres'!$I:$I,MATCH($C348,'Paramètres'!$D:$D,0))&amp;"","")="Les deux",IFERROR(INDEX('Paramètres'!$I:$I,MATCH($C348,'Paramètres'!$D:$D,0))&amp;"","")=IF($P348=1,"Débit",$L348)),-IF($P348=1,-$K348,$K348),0))))</f>
        <v>0</v>
      </c>
      <c r="U348" s="6">
        <f>IF($K348="","",IF(ISNUMBER(SEARCH("sortie-epargne",IFERROR(INDEX('Paramètres'!$N:$N,MATCH($D348,'Paramètres'!$M:$M,0))&amp;"",""))),$K348,0))</f>
        <v>0</v>
      </c>
      <c r="V348" s="6" t="str">
        <f>IF(AND($A348&lt;&gt;"",$O348=1,$L348="Débit",N($Q348)&gt;0,$A348&gt;=Visualisation!$B$1,$A348&lt;Visualisation!$D$1),MAX($V$1:V347)+1,"")</f>
        <v/>
      </c>
    </row>
    <row r="349" spans="1:22" x14ac:dyDescent="0.25">
      <c r="A349" s="9">
        <v>45774</v>
      </c>
      <c r="B349" s="4" t="s">
        <v>69</v>
      </c>
      <c r="C349" s="4" t="s">
        <v>70</v>
      </c>
      <c r="D349" s="4" t="s">
        <v>71</v>
      </c>
      <c r="E349" s="10">
        <v>8.1</v>
      </c>
      <c r="G349" s="4" t="s">
        <v>72</v>
      </c>
      <c r="H349" s="4"/>
      <c r="I349" s="4" t="s">
        <v>73</v>
      </c>
      <c r="K349" s="11">
        <f>IF($E349="","",ROUND($E349*IF(ISNA(MATCH($C349,'Paramètres'!$D:$D,0)),1,IF(INDEX('Paramètres'!$J:$J,MATCH($C349,'Paramètres'!$D:$D,0))="",1,INDEX('Paramètres'!$J:$J,MATCH($C349,'Paramètres'!$D:$D,0)))),2))</f>
        <v>8.1</v>
      </c>
      <c r="L349" s="6" t="str">
        <f>IF($D349="","",IF($F349&lt;&gt;"",$F349,IF(ISNA(MATCH($D349,'Paramètres'!$M:$M,0)),"⚠ Type inconnu",IFERROR(INDEX('Paramètres'!$P:$P,MATCH($D349,'Paramètres'!$M:$M,0))&amp;"",""))))</f>
        <v>Débit</v>
      </c>
      <c r="M349" s="6" t="str">
        <f>IF($D349="","",IF(ISNA(MATCH($D349,'Paramètres'!$M:$M,0)),"⚠ Type inconnu",IF($L349="Crédit","",IFERROR(INDEX('Paramètres'!$O:$O,MATCH($D349,'Paramètres'!$M:$M,0))&amp;"",""))))</f>
        <v>Dépense Courante</v>
      </c>
      <c r="N349" s="6" t="str">
        <f>IF($D349="","",IFERROR(INDEX('Paramètres'!$Q:$Q,MATCH($D349,'Paramètres'!$M:$M,0))&amp;"",""))</f>
        <v>Alimentation</v>
      </c>
      <c r="O349" s="6">
        <f>IF($A349="","",IF(OR($J349&lt;&gt;"x",$A349&lt;=FinReleve),1,0))</f>
        <v>1</v>
      </c>
      <c r="P349" s="6">
        <f>IF($D349="","",IF(AND($L349="Crédit",OR(IFERROR(INDEX('Paramètres'!$O:$O,MATCH($D349,'Paramètres'!$M:$M,0))&amp;"","")&lt;&gt;"",ISNUMBER(SEARCH("remboursement",IFERROR(INDEX('Paramètres'!$N:$N,MATCH($D349,'Paramètres'!$M:$M,0))&amp;"",""))))),1,0))</f>
        <v>0</v>
      </c>
      <c r="Q349" s="6">
        <f>IF($K349="","",IF(ISNUMBER(SEARCH("transfert-interne",IFERROR(INDEX('Paramètres'!$N:$N,MATCH($D349,'Paramètres'!$M:$M,0))&amp;"",""))),0,IF($L349="Débit",$K349,IF($P349=1,-$K349,0))))</f>
        <v>8.1</v>
      </c>
      <c r="R349" s="6">
        <f>IF($K349="","",IF($L349="Crédit",$K349,-$K349))</f>
        <v>-8.1</v>
      </c>
      <c r="S349" s="6" t="str">
        <f>IF($C349="","",IFERROR(INDEX('Paramètres'!$H:$H,MATCH($C349,'Paramètres'!$D:$D,0))&amp;"",""))</f>
        <v/>
      </c>
      <c r="T349" s="6">
        <f>IF($K349="","",IF($S349="",0,IF(ISNUMBER(SEARCH("apport-exterieur",IFERROR(INDEX('Paramètres'!$N:$N,MATCH($D349,'Paramètres'!$M:$M,0))&amp;"",""))),0,IF(OR(IFERROR(INDEX('Paramètres'!$I:$I,MATCH($C349,'Paramètres'!$D:$D,0))&amp;"","")="Les deux",IFERROR(INDEX('Paramètres'!$I:$I,MATCH($C349,'Paramètres'!$D:$D,0))&amp;"","")=IF($P349=1,"Débit",$L349)),-IF($P349=1,-$K349,$K349),0))))</f>
        <v>0</v>
      </c>
      <c r="U349" s="6">
        <f>IF($K349="","",IF(ISNUMBER(SEARCH("sortie-epargne",IFERROR(INDEX('Paramètres'!$N:$N,MATCH($D349,'Paramètres'!$M:$M,0))&amp;"",""))),$K349,0))</f>
        <v>0</v>
      </c>
      <c r="V349" s="6" t="str">
        <f>IF(AND($A349&lt;&gt;"",$O349=1,$L349="Débit",N($Q349)&gt;0,$A349&gt;=Visualisation!$B$1,$A349&lt;Visualisation!$D$1),MAX($V$1:V348)+1,"")</f>
        <v/>
      </c>
    </row>
    <row r="350" spans="1:22" x14ac:dyDescent="0.25">
      <c r="A350" s="9">
        <v>45774</v>
      </c>
      <c r="B350" s="4" t="s">
        <v>121</v>
      </c>
      <c r="C350" s="4" t="s">
        <v>126</v>
      </c>
      <c r="D350" s="4" t="s">
        <v>121</v>
      </c>
      <c r="E350" s="10">
        <v>232.76</v>
      </c>
      <c r="G350" s="4" t="s">
        <v>122</v>
      </c>
      <c r="H350" s="4"/>
      <c r="I350" s="4"/>
      <c r="K350" s="11">
        <f>IF($E350="","",ROUND($E350*IF(ISNA(MATCH($C350,'Paramètres'!$D:$D,0)),1,IF(INDEX('Paramètres'!$J:$J,MATCH($C350,'Paramètres'!$D:$D,0))="",1,INDEX('Paramètres'!$J:$J,MATCH($C350,'Paramètres'!$D:$D,0)))),2))</f>
        <v>116.38</v>
      </c>
      <c r="L350" s="6" t="str">
        <f>IF($D350="","",IF($F350&lt;&gt;"",$F350,IF(ISNA(MATCH($D350,'Paramètres'!$M:$M,0)),"⚠ Type inconnu",IFERROR(INDEX('Paramètres'!$P:$P,MATCH($D350,'Paramètres'!$M:$M,0))&amp;"",""))))</f>
        <v>Débit</v>
      </c>
      <c r="M350" s="6" t="str">
        <f>IF($D350="","",IF(ISNA(MATCH($D350,'Paramètres'!$M:$M,0)),"⚠ Type inconnu",IF($L350="Crédit","",IFERROR(INDEX('Paramètres'!$O:$O,MATCH($D350,'Paramètres'!$M:$M,0))&amp;"",""))))</f>
        <v>Dépense Occasionnelle</v>
      </c>
      <c r="N350" s="6" t="str">
        <f>IF($D350="","",IFERROR(INDEX('Paramètres'!$Q:$Q,MATCH($D350,'Paramètres'!$M:$M,0))&amp;"",""))</f>
        <v>Autre</v>
      </c>
      <c r="O350" s="6">
        <f>IF($A350="","",IF(OR($J350&lt;&gt;"x",$A350&lt;=FinReleve),1,0))</f>
        <v>1</v>
      </c>
      <c r="P350" s="6">
        <f>IF($D350="","",IF(AND($L350="Crédit",OR(IFERROR(INDEX('Paramètres'!$O:$O,MATCH($D350,'Paramètres'!$M:$M,0))&amp;"","")&lt;&gt;"",ISNUMBER(SEARCH("remboursement",IFERROR(INDEX('Paramètres'!$N:$N,MATCH($D350,'Paramètres'!$M:$M,0))&amp;"",""))))),1,0))</f>
        <v>0</v>
      </c>
      <c r="Q350" s="6">
        <f>IF($K350="","",IF(ISNUMBER(SEARCH("transfert-interne",IFERROR(INDEX('Paramètres'!$N:$N,MATCH($D350,'Paramètres'!$M:$M,0))&amp;"",""))),0,IF($L350="Débit",$K350,IF($P350=1,-$K350,0))))</f>
        <v>116.38</v>
      </c>
      <c r="R350" s="6">
        <f>IF($K350="","",IF($L350="Crédit",$K350,-$K350))</f>
        <v>-116.38</v>
      </c>
      <c r="S350" s="6" t="str">
        <f>IF($C350="","",IFERROR(INDEX('Paramètres'!$H:$H,MATCH($C350,'Paramètres'!$D:$D,0))&amp;"",""))</f>
        <v>Banque A - Courant</v>
      </c>
      <c r="T350" s="6">
        <f>IF($K350="","",IF($S350="",0,IF(ISNUMBER(SEARCH("apport-exterieur",IFERROR(INDEX('Paramètres'!$N:$N,MATCH($D350,'Paramètres'!$M:$M,0))&amp;"",""))),0,IF(OR(IFERROR(INDEX('Paramètres'!$I:$I,MATCH($C350,'Paramètres'!$D:$D,0))&amp;"","")="Les deux",IFERROR(INDEX('Paramètres'!$I:$I,MATCH($C350,'Paramètres'!$D:$D,0))&amp;"","")=IF($P350=1,"Débit",$L350)),-IF($P350=1,-$K350,$K350),0))))</f>
        <v>-116.38</v>
      </c>
      <c r="U350" s="6">
        <f>IF($K350="","",IF(ISNUMBER(SEARCH("sortie-epargne",IFERROR(INDEX('Paramètres'!$N:$N,MATCH($D350,'Paramètres'!$M:$M,0))&amp;"",""))),$K350,0))</f>
        <v>0</v>
      </c>
      <c r="V350" s="6" t="str">
        <f>IF(AND($A350&lt;&gt;"",$O350=1,$L350="Débit",N($Q350)&gt;0,$A350&gt;=Visualisation!$B$1,$A350&lt;Visualisation!$D$1),MAX($V$1:V349)+1,"")</f>
        <v/>
      </c>
    </row>
    <row r="351" spans="1:22" x14ac:dyDescent="0.25">
      <c r="A351" s="9">
        <v>45775</v>
      </c>
      <c r="B351" s="4" t="s">
        <v>118</v>
      </c>
      <c r="C351" s="4" t="s">
        <v>75</v>
      </c>
      <c r="D351" s="4" t="s">
        <v>118</v>
      </c>
      <c r="E351" s="10">
        <v>3</v>
      </c>
      <c r="G351" s="4"/>
      <c r="H351" s="4"/>
      <c r="I351" s="4"/>
      <c r="K351" s="11">
        <f>IF($E351="","",ROUND($E351*IF(ISNA(MATCH($C351,'Paramètres'!$D:$D,0)),1,IF(INDEX('Paramètres'!$J:$J,MATCH($C351,'Paramètres'!$D:$D,0))="",1,INDEX('Paramètres'!$J:$J,MATCH($C351,'Paramètres'!$D:$D,0)))),2))</f>
        <v>3</v>
      </c>
      <c r="L351" s="6" t="str">
        <f>IF($D351="","",IF($F351&lt;&gt;"",$F351,IF(ISNA(MATCH($D351,'Paramètres'!$M:$M,0)),"⚠ Type inconnu",IFERROR(INDEX('Paramètres'!$P:$P,MATCH($D351,'Paramètres'!$M:$M,0))&amp;"",""))))</f>
        <v>Débit</v>
      </c>
      <c r="M351" s="6" t="str">
        <f>IF($D351="","",IF(ISNA(MATCH($D351,'Paramètres'!$M:$M,0)),"⚠ Type inconnu",IF($L351="Crédit","",IFERROR(INDEX('Paramètres'!$O:$O,MATCH($D351,'Paramètres'!$M:$M,0))&amp;"",""))))</f>
        <v>Dépense Fixe</v>
      </c>
      <c r="N351" s="6" t="str">
        <f>IF($D351="","",IFERROR(INDEX('Paramètres'!$Q:$Q,MATCH($D351,'Paramètres'!$M:$M,0))&amp;"",""))</f>
        <v>Banque</v>
      </c>
      <c r="O351" s="6">
        <f>IF($A351="","",IF(OR($J351&lt;&gt;"x",$A351&lt;=FinReleve),1,0))</f>
        <v>1</v>
      </c>
      <c r="P351" s="6">
        <f>IF($D351="","",IF(AND($L351="Crédit",OR(IFERROR(INDEX('Paramètres'!$O:$O,MATCH($D351,'Paramètres'!$M:$M,0))&amp;"","")&lt;&gt;"",ISNUMBER(SEARCH("remboursement",IFERROR(INDEX('Paramètres'!$N:$N,MATCH($D351,'Paramètres'!$M:$M,0))&amp;"",""))))),1,0))</f>
        <v>0</v>
      </c>
      <c r="Q351" s="6">
        <f>IF($K351="","",IF(ISNUMBER(SEARCH("transfert-interne",IFERROR(INDEX('Paramètres'!$N:$N,MATCH($D351,'Paramètres'!$M:$M,0))&amp;"",""))),0,IF($L351="Débit",$K351,IF($P351=1,-$K351,0))))</f>
        <v>3</v>
      </c>
      <c r="R351" s="6">
        <f>IF($K351="","",IF($L351="Crédit",$K351,-$K351))</f>
        <v>-3</v>
      </c>
      <c r="S351" s="6" t="str">
        <f>IF($C351="","",IFERROR(INDEX('Paramètres'!$H:$H,MATCH($C351,'Paramètres'!$D:$D,0))&amp;"",""))</f>
        <v/>
      </c>
      <c r="T351" s="6">
        <f>IF($K351="","",IF($S351="",0,IF(ISNUMBER(SEARCH("apport-exterieur",IFERROR(INDEX('Paramètres'!$N:$N,MATCH($D351,'Paramètres'!$M:$M,0))&amp;"",""))),0,IF(OR(IFERROR(INDEX('Paramètres'!$I:$I,MATCH($C351,'Paramètres'!$D:$D,0))&amp;"","")="Les deux",IFERROR(INDEX('Paramètres'!$I:$I,MATCH($C351,'Paramètres'!$D:$D,0))&amp;"","")=IF($P351=1,"Débit",$L351)),-IF($P351=1,-$K351,$K351),0))))</f>
        <v>0</v>
      </c>
      <c r="U351" s="6">
        <f>IF($K351="","",IF(ISNUMBER(SEARCH("sortie-epargne",IFERROR(INDEX('Paramètres'!$N:$N,MATCH($D351,'Paramètres'!$M:$M,0))&amp;"",""))),$K351,0))</f>
        <v>0</v>
      </c>
      <c r="V351" s="6" t="str">
        <f>IF(AND($A351&lt;&gt;"",$O351=1,$L351="Débit",N($Q351)&gt;0,$A351&gt;=Visualisation!$B$1,$A351&lt;Visualisation!$D$1),MAX($V$1:V350)+1,"")</f>
        <v/>
      </c>
    </row>
    <row r="352" spans="1:22" x14ac:dyDescent="0.25">
      <c r="A352" s="9">
        <v>45775</v>
      </c>
      <c r="B352" s="4" t="s">
        <v>76</v>
      </c>
      <c r="C352" s="4" t="s">
        <v>67</v>
      </c>
      <c r="D352" s="4" t="s">
        <v>77</v>
      </c>
      <c r="E352" s="10">
        <v>106.64</v>
      </c>
      <c r="G352" s="4" t="s">
        <v>78</v>
      </c>
      <c r="H352" s="4"/>
      <c r="I352" s="4" t="s">
        <v>63</v>
      </c>
      <c r="K352" s="11">
        <f>IF($E352="","",ROUND($E352*IF(ISNA(MATCH($C352,'Paramètres'!$D:$D,0)),1,IF(INDEX('Paramètres'!$J:$J,MATCH($C352,'Paramètres'!$D:$D,0))="",1,INDEX('Paramètres'!$J:$J,MATCH($C352,'Paramètres'!$D:$D,0)))),2))</f>
        <v>53.32</v>
      </c>
      <c r="L352" s="6" t="str">
        <f>IF($D352="","",IF($F352&lt;&gt;"",$F352,IF(ISNA(MATCH($D352,'Paramètres'!$M:$M,0)),"⚠ Type inconnu",IFERROR(INDEX('Paramètres'!$P:$P,MATCH($D352,'Paramètres'!$M:$M,0))&amp;"",""))))</f>
        <v>Débit</v>
      </c>
      <c r="M352" s="6" t="str">
        <f>IF($D352="","",IF(ISNA(MATCH($D352,'Paramètres'!$M:$M,0)),"⚠ Type inconnu",IF($L352="Crédit","",IFERROR(INDEX('Paramètres'!$O:$O,MATCH($D352,'Paramètres'!$M:$M,0))&amp;"",""))))</f>
        <v>Dépense Courante</v>
      </c>
      <c r="N352" s="6" t="str">
        <f>IF($D352="","",IFERROR(INDEX('Paramètres'!$Q:$Q,MATCH($D352,'Paramètres'!$M:$M,0))&amp;"",""))</f>
        <v>Alimentation</v>
      </c>
      <c r="O352" s="6">
        <f>IF($A352="","",IF(OR($J352&lt;&gt;"x",$A352&lt;=FinReleve),1,0))</f>
        <v>1</v>
      </c>
      <c r="P352" s="6">
        <f>IF($D352="","",IF(AND($L352="Crédit",OR(IFERROR(INDEX('Paramètres'!$O:$O,MATCH($D352,'Paramètres'!$M:$M,0))&amp;"","")&lt;&gt;"",ISNUMBER(SEARCH("remboursement",IFERROR(INDEX('Paramètres'!$N:$N,MATCH($D352,'Paramètres'!$M:$M,0))&amp;"",""))))),1,0))</f>
        <v>0</v>
      </c>
      <c r="Q352" s="6">
        <f>IF($K352="","",IF(ISNUMBER(SEARCH("transfert-interne",IFERROR(INDEX('Paramètres'!$N:$N,MATCH($D352,'Paramètres'!$M:$M,0))&amp;"",""))),0,IF($L352="Débit",$K352,IF($P352=1,-$K352,0))))</f>
        <v>53.32</v>
      </c>
      <c r="R352" s="6">
        <f>IF($K352="","",IF($L352="Crédit",$K352,-$K352))</f>
        <v>-53.32</v>
      </c>
      <c r="S352" s="6" t="str">
        <f>IF($C352="","",IFERROR(INDEX('Paramètres'!$H:$H,MATCH($C352,'Paramètres'!$D:$D,0))&amp;"",""))</f>
        <v>Banque A - Courant</v>
      </c>
      <c r="T352" s="6">
        <f>IF($K352="","",IF($S352="",0,IF(ISNUMBER(SEARCH("apport-exterieur",IFERROR(INDEX('Paramètres'!$N:$N,MATCH($D352,'Paramètres'!$M:$M,0))&amp;"",""))),0,IF(OR(IFERROR(INDEX('Paramètres'!$I:$I,MATCH($C352,'Paramètres'!$D:$D,0))&amp;"","")="Les deux",IFERROR(INDEX('Paramètres'!$I:$I,MATCH($C352,'Paramètres'!$D:$D,0))&amp;"","")=IF($P352=1,"Débit",$L352)),-IF($P352=1,-$K352,$K352),0))))</f>
        <v>0</v>
      </c>
      <c r="U352" s="6">
        <f>IF($K352="","",IF(ISNUMBER(SEARCH("sortie-epargne",IFERROR(INDEX('Paramètres'!$N:$N,MATCH($D352,'Paramètres'!$M:$M,0))&amp;"",""))),$K352,0))</f>
        <v>0</v>
      </c>
      <c r="V352" s="6" t="str">
        <f>IF(AND($A352&lt;&gt;"",$O352=1,$L352="Débit",N($Q352)&gt;0,$A352&gt;=Visualisation!$B$1,$A352&lt;Visualisation!$D$1),MAX($V$1:V351)+1,"")</f>
        <v/>
      </c>
    </row>
    <row r="353" spans="1:22" x14ac:dyDescent="0.25">
      <c r="A353" s="9">
        <v>45775</v>
      </c>
      <c r="B353" s="4" t="s">
        <v>119</v>
      </c>
      <c r="C353" s="4" t="s">
        <v>126</v>
      </c>
      <c r="D353" s="4" t="s">
        <v>119</v>
      </c>
      <c r="E353" s="10">
        <v>55.6</v>
      </c>
      <c r="G353" s="4" t="s">
        <v>109</v>
      </c>
      <c r="H353" s="4"/>
      <c r="I353" s="4" t="s">
        <v>79</v>
      </c>
      <c r="K353" s="11">
        <f>IF($E353="","",ROUND($E353*IF(ISNA(MATCH($C353,'Paramètres'!$D:$D,0)),1,IF(INDEX('Paramètres'!$J:$J,MATCH($C353,'Paramètres'!$D:$D,0))="",1,INDEX('Paramètres'!$J:$J,MATCH($C353,'Paramètres'!$D:$D,0)))),2))</f>
        <v>27.8</v>
      </c>
      <c r="L353" s="6" t="str">
        <f>IF($D353="","",IF($F353&lt;&gt;"",$F353,IF(ISNA(MATCH($D353,'Paramètres'!$M:$M,0)),"⚠ Type inconnu",IFERROR(INDEX('Paramètres'!$P:$P,MATCH($D353,'Paramètres'!$M:$M,0))&amp;"",""))))</f>
        <v>Débit</v>
      </c>
      <c r="M353" s="6" t="str">
        <f>IF($D353="","",IF(ISNA(MATCH($D353,'Paramètres'!$M:$M,0)),"⚠ Type inconnu",IF($L353="Crédit","",IFERROR(INDEX('Paramètres'!$O:$O,MATCH($D353,'Paramètres'!$M:$M,0))&amp;"",""))))</f>
        <v>Dépense Occasionnelle</v>
      </c>
      <c r="N353" s="6" t="str">
        <f>IF($D353="","",IFERROR(INDEX('Paramètres'!$Q:$Q,MATCH($D353,'Paramètres'!$M:$M,0))&amp;"",""))</f>
        <v>Alimentation</v>
      </c>
      <c r="O353" s="6">
        <f>IF($A353="","",IF(OR($J353&lt;&gt;"x",$A353&lt;=FinReleve),1,0))</f>
        <v>1</v>
      </c>
      <c r="P353" s="6">
        <f>IF($D353="","",IF(AND($L353="Crédit",OR(IFERROR(INDEX('Paramètres'!$O:$O,MATCH($D353,'Paramètres'!$M:$M,0))&amp;"","")&lt;&gt;"",ISNUMBER(SEARCH("remboursement",IFERROR(INDEX('Paramètres'!$N:$N,MATCH($D353,'Paramètres'!$M:$M,0))&amp;"",""))))),1,0))</f>
        <v>0</v>
      </c>
      <c r="Q353" s="6">
        <f>IF($K353="","",IF(ISNUMBER(SEARCH("transfert-interne",IFERROR(INDEX('Paramètres'!$N:$N,MATCH($D353,'Paramètres'!$M:$M,0))&amp;"",""))),0,IF($L353="Débit",$K353,IF($P353=1,-$K353,0))))</f>
        <v>27.8</v>
      </c>
      <c r="R353" s="6">
        <f>IF($K353="","",IF($L353="Crédit",$K353,-$K353))</f>
        <v>-27.8</v>
      </c>
      <c r="S353" s="6" t="str">
        <f>IF($C353="","",IFERROR(INDEX('Paramètres'!$H:$H,MATCH($C353,'Paramètres'!$D:$D,0))&amp;"",""))</f>
        <v>Banque A - Courant</v>
      </c>
      <c r="T353" s="6">
        <f>IF($K353="","",IF($S353="",0,IF(ISNUMBER(SEARCH("apport-exterieur",IFERROR(INDEX('Paramètres'!$N:$N,MATCH($D353,'Paramètres'!$M:$M,0))&amp;"",""))),0,IF(OR(IFERROR(INDEX('Paramètres'!$I:$I,MATCH($C353,'Paramètres'!$D:$D,0))&amp;"","")="Les deux",IFERROR(INDEX('Paramètres'!$I:$I,MATCH($C353,'Paramètres'!$D:$D,0))&amp;"","")=IF($P353=1,"Débit",$L353)),-IF($P353=1,-$K353,$K353),0))))</f>
        <v>-27.8</v>
      </c>
      <c r="U353" s="6">
        <f>IF($K353="","",IF(ISNUMBER(SEARCH("sortie-epargne",IFERROR(INDEX('Paramètres'!$N:$N,MATCH($D353,'Paramètres'!$M:$M,0))&amp;"",""))),$K353,0))</f>
        <v>0</v>
      </c>
      <c r="V353" s="6" t="str">
        <f>IF(AND($A353&lt;&gt;"",$O353=1,$L353="Débit",N($Q353)&gt;0,$A353&gt;=Visualisation!$B$1,$A353&lt;Visualisation!$D$1),MAX($V$1:V352)+1,"")</f>
        <v/>
      </c>
    </row>
    <row r="354" spans="1:22" x14ac:dyDescent="0.25">
      <c r="A354" s="9">
        <v>45778</v>
      </c>
      <c r="B354" s="4" t="s">
        <v>90</v>
      </c>
      <c r="C354" s="4" t="s">
        <v>75</v>
      </c>
      <c r="D354" s="4" t="s">
        <v>91</v>
      </c>
      <c r="E354" s="10">
        <v>46.39</v>
      </c>
      <c r="G354" s="4" t="s">
        <v>136</v>
      </c>
      <c r="H354" s="4"/>
      <c r="I354" s="4" t="s">
        <v>79</v>
      </c>
      <c r="K354" s="11">
        <f>IF($E354="","",ROUND($E354*IF(ISNA(MATCH($C354,'Paramètres'!$D:$D,0)),1,IF(INDEX('Paramètres'!$J:$J,MATCH($C354,'Paramètres'!$D:$D,0))="",1,INDEX('Paramètres'!$J:$J,MATCH($C354,'Paramètres'!$D:$D,0)))),2))</f>
        <v>46.39</v>
      </c>
      <c r="L354" s="6" t="str">
        <f>IF($D354="","",IF($F354&lt;&gt;"",$F354,IF(ISNA(MATCH($D354,'Paramètres'!$M:$M,0)),"⚠ Type inconnu",IFERROR(INDEX('Paramètres'!$P:$P,MATCH($D354,'Paramètres'!$M:$M,0))&amp;"",""))))</f>
        <v>Débit</v>
      </c>
      <c r="M354" s="6" t="str">
        <f>IF($D354="","",IF(ISNA(MATCH($D354,'Paramètres'!$M:$M,0)),"⚠ Type inconnu",IF($L354="Crédit","",IFERROR(INDEX('Paramètres'!$O:$O,MATCH($D354,'Paramètres'!$M:$M,0))&amp;"",""))))</f>
        <v>Dépense Courante</v>
      </c>
      <c r="N354" s="6" t="str">
        <f>IF($D354="","",IFERROR(INDEX('Paramètres'!$Q:$Q,MATCH($D354,'Paramètres'!$M:$M,0))&amp;"",""))</f>
        <v>Transport</v>
      </c>
      <c r="O354" s="6">
        <f>IF($A354="","",IF(OR($J354&lt;&gt;"x",$A354&lt;=FinReleve),1,0))</f>
        <v>1</v>
      </c>
      <c r="P354" s="6">
        <f>IF($D354="","",IF(AND($L354="Crédit",OR(IFERROR(INDEX('Paramètres'!$O:$O,MATCH($D354,'Paramètres'!$M:$M,0))&amp;"","")&lt;&gt;"",ISNUMBER(SEARCH("remboursement",IFERROR(INDEX('Paramètres'!$N:$N,MATCH($D354,'Paramètres'!$M:$M,0))&amp;"",""))))),1,0))</f>
        <v>0</v>
      </c>
      <c r="Q354" s="6">
        <f>IF($K354="","",IF(ISNUMBER(SEARCH("transfert-interne",IFERROR(INDEX('Paramètres'!$N:$N,MATCH($D354,'Paramètres'!$M:$M,0))&amp;"",""))),0,IF($L354="Débit",$K354,IF($P354=1,-$K354,0))))</f>
        <v>46.39</v>
      </c>
      <c r="R354" s="6">
        <f>IF($K354="","",IF($L354="Crédit",$K354,-$K354))</f>
        <v>-46.39</v>
      </c>
      <c r="S354" s="6" t="str">
        <f>IF($C354="","",IFERROR(INDEX('Paramètres'!$H:$H,MATCH($C354,'Paramètres'!$D:$D,0))&amp;"",""))</f>
        <v/>
      </c>
      <c r="T354" s="6">
        <f>IF($K354="","",IF($S354="",0,IF(ISNUMBER(SEARCH("apport-exterieur",IFERROR(INDEX('Paramètres'!$N:$N,MATCH($D354,'Paramètres'!$M:$M,0))&amp;"",""))),0,IF(OR(IFERROR(INDEX('Paramètres'!$I:$I,MATCH($C354,'Paramètres'!$D:$D,0))&amp;"","")="Les deux",IFERROR(INDEX('Paramètres'!$I:$I,MATCH($C354,'Paramètres'!$D:$D,0))&amp;"","")=IF($P354=1,"Débit",$L354)),-IF($P354=1,-$K354,$K354),0))))</f>
        <v>0</v>
      </c>
      <c r="U354" s="6">
        <f>IF($K354="","",IF(ISNUMBER(SEARCH("sortie-epargne",IFERROR(INDEX('Paramètres'!$N:$N,MATCH($D354,'Paramètres'!$M:$M,0))&amp;"",""))),$K354,0))</f>
        <v>0</v>
      </c>
      <c r="V354" s="6" t="str">
        <f>IF(AND($A354&lt;&gt;"",$O354=1,$L354="Débit",N($Q354)&gt;0,$A354&gt;=Visualisation!$B$1,$A354&lt;Visualisation!$D$1),MAX($V$1:V353)+1,"")</f>
        <v/>
      </c>
    </row>
    <row r="355" spans="1:22" x14ac:dyDescent="0.25">
      <c r="A355" s="9">
        <v>45779</v>
      </c>
      <c r="B355" s="4" t="s">
        <v>64</v>
      </c>
      <c r="C355" s="4" t="s">
        <v>65</v>
      </c>
      <c r="D355" s="4" t="s">
        <v>66</v>
      </c>
      <c r="E355" s="10">
        <v>1160</v>
      </c>
      <c r="G355" s="4"/>
      <c r="H355" s="4"/>
      <c r="I355" s="4"/>
      <c r="K355" s="11">
        <f>IF($E355="","",ROUND($E355*IF(ISNA(MATCH($C355,'Paramètres'!$D:$D,0)),1,IF(INDEX('Paramètres'!$J:$J,MATCH($C355,'Paramètres'!$D:$D,0))="",1,INDEX('Paramètres'!$J:$J,MATCH($C355,'Paramètres'!$D:$D,0)))),2))</f>
        <v>1160</v>
      </c>
      <c r="L355" s="6" t="str">
        <f>IF($D355="","",IF($F355&lt;&gt;"",$F355,IF(ISNA(MATCH($D355,'Paramètres'!$M:$M,0)),"⚠ Type inconnu",IFERROR(INDEX('Paramètres'!$P:$P,MATCH($D355,'Paramètres'!$M:$M,0))&amp;"",""))))</f>
        <v>Crédit</v>
      </c>
      <c r="M355" s="6" t="str">
        <f>IF($D355="","",IF(ISNA(MATCH($D355,'Paramètres'!$M:$M,0)),"⚠ Type inconnu",IF($L355="Crédit","",IFERROR(INDEX('Paramètres'!$O:$O,MATCH($D355,'Paramètres'!$M:$M,0))&amp;"",""))))</f>
        <v/>
      </c>
      <c r="N355" s="6" t="str">
        <f>IF($D355="","",IFERROR(INDEX('Paramètres'!$Q:$Q,MATCH($D355,'Paramètres'!$M:$M,0))&amp;"",""))</f>
        <v>Comptes Bancaires</v>
      </c>
      <c r="O355" s="6">
        <f>IF($A355="","",IF(OR($J355&lt;&gt;"x",$A355&lt;=FinReleve),1,0))</f>
        <v>1</v>
      </c>
      <c r="P355" s="6">
        <f>IF($D355="","",IF(AND($L355="Crédit",OR(IFERROR(INDEX('Paramètres'!$O:$O,MATCH($D355,'Paramètres'!$M:$M,0))&amp;"","")&lt;&gt;"",ISNUMBER(SEARCH("remboursement",IFERROR(INDEX('Paramètres'!$N:$N,MATCH($D355,'Paramètres'!$M:$M,0))&amp;"",""))))),1,0))</f>
        <v>0</v>
      </c>
      <c r="Q355" s="6">
        <f>IF($K355="","",IF(ISNUMBER(SEARCH("transfert-interne",IFERROR(INDEX('Paramètres'!$N:$N,MATCH($D355,'Paramètres'!$M:$M,0))&amp;"",""))),0,IF($L355="Débit",$K355,IF($P355=1,-$K355,0))))</f>
        <v>0</v>
      </c>
      <c r="R355" s="6">
        <f>IF($K355="","",IF($L355="Crédit",$K355,-$K355))</f>
        <v>1160</v>
      </c>
      <c r="S355" s="6" t="str">
        <f>IF($C355="","",IFERROR(INDEX('Paramètres'!$H:$H,MATCH($C355,'Paramètres'!$D:$D,0))&amp;"",""))</f>
        <v>Banque A - Courant</v>
      </c>
      <c r="T355" s="6">
        <f>IF($K355="","",IF($S355="",0,IF(ISNUMBER(SEARCH("apport-exterieur",IFERROR(INDEX('Paramètres'!$N:$N,MATCH($D355,'Paramètres'!$M:$M,0))&amp;"",""))),0,IF(OR(IFERROR(INDEX('Paramètres'!$I:$I,MATCH($C355,'Paramètres'!$D:$D,0))&amp;"","")="Les deux",IFERROR(INDEX('Paramètres'!$I:$I,MATCH($C355,'Paramètres'!$D:$D,0))&amp;"","")=IF($P355=1,"Débit",$L355)),-IF($P355=1,-$K355,$K355),0))))</f>
        <v>-1160</v>
      </c>
      <c r="U355" s="6">
        <f>IF($K355="","",IF(ISNUMBER(SEARCH("sortie-epargne",IFERROR(INDEX('Paramètres'!$N:$N,MATCH($D355,'Paramètres'!$M:$M,0))&amp;"",""))),$K355,0))</f>
        <v>0</v>
      </c>
      <c r="V355" s="6" t="str">
        <f>IF(AND($A355&lt;&gt;"",$O355=1,$L355="Débit",N($Q355)&gt;0,$A355&gt;=Visualisation!$B$1,$A355&lt;Visualisation!$D$1),MAX($V$1:V354)+1,"")</f>
        <v/>
      </c>
    </row>
    <row r="356" spans="1:22" x14ac:dyDescent="0.25">
      <c r="A356" s="9">
        <v>45779</v>
      </c>
      <c r="B356" s="4" t="s">
        <v>64</v>
      </c>
      <c r="C356" s="4" t="s">
        <v>67</v>
      </c>
      <c r="D356" s="4" t="s">
        <v>68</v>
      </c>
      <c r="E356" s="10">
        <v>600</v>
      </c>
      <c r="G356" s="4"/>
      <c r="H356" s="4"/>
      <c r="I356" s="4"/>
      <c r="K356" s="11">
        <f>IF($E356="","",ROUND($E356*IF(ISNA(MATCH($C356,'Paramètres'!$D:$D,0)),1,IF(INDEX('Paramètres'!$J:$J,MATCH($C356,'Paramètres'!$D:$D,0))="",1,INDEX('Paramètres'!$J:$J,MATCH($C356,'Paramètres'!$D:$D,0)))),2))</f>
        <v>300</v>
      </c>
      <c r="L356" s="6" t="str">
        <f>IF($D356="","",IF($F356&lt;&gt;"",$F356,IF(ISNA(MATCH($D356,'Paramètres'!$M:$M,0)),"⚠ Type inconnu",IFERROR(INDEX('Paramètres'!$P:$P,MATCH($D356,'Paramètres'!$M:$M,0))&amp;"",""))))</f>
        <v>Crédit</v>
      </c>
      <c r="M356" s="6" t="str">
        <f>IF($D356="","",IF(ISNA(MATCH($D356,'Paramètres'!$M:$M,0)),"⚠ Type inconnu",IF($L356="Crédit","",IFERROR(INDEX('Paramètres'!$O:$O,MATCH($D356,'Paramètres'!$M:$M,0))&amp;"",""))))</f>
        <v/>
      </c>
      <c r="N356" s="6" t="str">
        <f>IF($D356="","",IFERROR(INDEX('Paramètres'!$Q:$Q,MATCH($D356,'Paramètres'!$M:$M,0))&amp;"",""))</f>
        <v>Comptes Bancaires</v>
      </c>
      <c r="O356" s="6">
        <f>IF($A356="","",IF(OR($J356&lt;&gt;"x",$A356&lt;=FinReleve),1,0))</f>
        <v>1</v>
      </c>
      <c r="P356" s="6">
        <f>IF($D356="","",IF(AND($L356="Crédit",OR(IFERROR(INDEX('Paramètres'!$O:$O,MATCH($D356,'Paramètres'!$M:$M,0))&amp;"","")&lt;&gt;"",ISNUMBER(SEARCH("remboursement",IFERROR(INDEX('Paramètres'!$N:$N,MATCH($D356,'Paramètres'!$M:$M,0))&amp;"",""))))),1,0))</f>
        <v>0</v>
      </c>
      <c r="Q356" s="6">
        <f>IF($K356="","",IF(ISNUMBER(SEARCH("transfert-interne",IFERROR(INDEX('Paramètres'!$N:$N,MATCH($D356,'Paramètres'!$M:$M,0))&amp;"",""))),0,IF($L356="Débit",$K356,IF($P356=1,-$K356,0))))</f>
        <v>0</v>
      </c>
      <c r="R356" s="6">
        <f>IF($K356="","",IF($L356="Crédit",$K356,-$K356))</f>
        <v>300</v>
      </c>
      <c r="S356" s="6" t="str">
        <f>IF($C356="","",IFERROR(INDEX('Paramètres'!$H:$H,MATCH($C356,'Paramètres'!$D:$D,0))&amp;"",""))</f>
        <v>Banque A - Courant</v>
      </c>
      <c r="T356" s="6">
        <f>IF($K356="","",IF($S356="",0,IF(ISNUMBER(SEARCH("apport-exterieur",IFERROR(INDEX('Paramètres'!$N:$N,MATCH($D356,'Paramètres'!$M:$M,0))&amp;"",""))),0,IF(OR(IFERROR(INDEX('Paramètres'!$I:$I,MATCH($C356,'Paramètres'!$D:$D,0))&amp;"","")="Les deux",IFERROR(INDEX('Paramètres'!$I:$I,MATCH($C356,'Paramètres'!$D:$D,0))&amp;"","")=IF($P356=1,"Débit",$L356)),-IF($P356=1,-$K356,$K356),0))))</f>
        <v>-300</v>
      </c>
      <c r="U356" s="6">
        <f>IF($K356="","",IF(ISNUMBER(SEARCH("sortie-epargne",IFERROR(INDEX('Paramètres'!$N:$N,MATCH($D356,'Paramètres'!$M:$M,0))&amp;"",""))),$K356,0))</f>
        <v>0</v>
      </c>
      <c r="V356" s="6" t="str">
        <f>IF(AND($A356&lt;&gt;"",$O356=1,$L356="Débit",N($Q356)&gt;0,$A356&gt;=Visualisation!$B$1,$A356&lt;Visualisation!$D$1),MAX($V$1:V355)+1,"")</f>
        <v/>
      </c>
    </row>
    <row r="357" spans="1:22" x14ac:dyDescent="0.25">
      <c r="A357" s="9">
        <v>45780</v>
      </c>
      <c r="B357" s="4" t="s">
        <v>74</v>
      </c>
      <c r="C357" s="4" t="s">
        <v>75</v>
      </c>
      <c r="D357" s="4" t="s">
        <v>74</v>
      </c>
      <c r="E357" s="10">
        <v>88.8</v>
      </c>
      <c r="G357" s="4"/>
      <c r="H357" s="4"/>
      <c r="I357" s="4"/>
      <c r="K357" s="11">
        <f>IF($E357="","",ROUND($E357*IF(ISNA(MATCH($C357,'Paramètres'!$D:$D,0)),1,IF(INDEX('Paramètres'!$J:$J,MATCH($C357,'Paramètres'!$D:$D,0))="",1,INDEX('Paramètres'!$J:$J,MATCH($C357,'Paramètres'!$D:$D,0)))),2))</f>
        <v>88.8</v>
      </c>
      <c r="L357" s="6" t="str">
        <f>IF($D357="","",IF($F357&lt;&gt;"",$F357,IF(ISNA(MATCH($D357,'Paramètres'!$M:$M,0)),"⚠ Type inconnu",IFERROR(INDEX('Paramètres'!$P:$P,MATCH($D357,'Paramètres'!$M:$M,0))&amp;"",""))))</f>
        <v>Débit</v>
      </c>
      <c r="M357" s="6" t="str">
        <f>IF($D357="","",IF(ISNA(MATCH($D357,'Paramètres'!$M:$M,0)),"⚠ Type inconnu",IF($L357="Crédit","",IFERROR(INDEX('Paramètres'!$O:$O,MATCH($D357,'Paramètres'!$M:$M,0))&amp;"",""))))</f>
        <v>Dépense Fixe</v>
      </c>
      <c r="N357" s="6" t="str">
        <f>IF($D357="","",IFERROR(INDEX('Paramètres'!$Q:$Q,MATCH($D357,'Paramètres'!$M:$M,0))&amp;"",""))</f>
        <v>Transport</v>
      </c>
      <c r="O357" s="6">
        <f>IF($A357="","",IF(OR($J357&lt;&gt;"x",$A357&lt;=FinReleve),1,0))</f>
        <v>1</v>
      </c>
      <c r="P357" s="6">
        <f>IF($D357="","",IF(AND($L357="Crédit",OR(IFERROR(INDEX('Paramètres'!$O:$O,MATCH($D357,'Paramètres'!$M:$M,0))&amp;"","")&lt;&gt;"",ISNUMBER(SEARCH("remboursement",IFERROR(INDEX('Paramètres'!$N:$N,MATCH($D357,'Paramètres'!$M:$M,0))&amp;"",""))))),1,0))</f>
        <v>0</v>
      </c>
      <c r="Q357" s="6">
        <f>IF($K357="","",IF(ISNUMBER(SEARCH("transfert-interne",IFERROR(INDEX('Paramètres'!$N:$N,MATCH($D357,'Paramètres'!$M:$M,0))&amp;"",""))),0,IF($L357="Débit",$K357,IF($P357=1,-$K357,0))))</f>
        <v>88.8</v>
      </c>
      <c r="R357" s="6">
        <f>IF($K357="","",IF($L357="Crédit",$K357,-$K357))</f>
        <v>-88.8</v>
      </c>
      <c r="S357" s="6" t="str">
        <f>IF($C357="","",IFERROR(INDEX('Paramètres'!$H:$H,MATCH($C357,'Paramètres'!$D:$D,0))&amp;"",""))</f>
        <v/>
      </c>
      <c r="T357" s="6">
        <f>IF($K357="","",IF($S357="",0,IF(ISNUMBER(SEARCH("apport-exterieur",IFERROR(INDEX('Paramètres'!$N:$N,MATCH($D357,'Paramètres'!$M:$M,0))&amp;"",""))),0,IF(OR(IFERROR(INDEX('Paramètres'!$I:$I,MATCH($C357,'Paramètres'!$D:$D,0))&amp;"","")="Les deux",IFERROR(INDEX('Paramètres'!$I:$I,MATCH($C357,'Paramètres'!$D:$D,0))&amp;"","")=IF($P357=1,"Débit",$L357)),-IF($P357=1,-$K357,$K357),0))))</f>
        <v>0</v>
      </c>
      <c r="U357" s="6">
        <f>IF($K357="","",IF(ISNUMBER(SEARCH("sortie-epargne",IFERROR(INDEX('Paramètres'!$N:$N,MATCH($D357,'Paramètres'!$M:$M,0))&amp;"",""))),$K357,0))</f>
        <v>0</v>
      </c>
      <c r="V357" s="6" t="str">
        <f>IF(AND($A357&lt;&gt;"",$O357=1,$L357="Débit",N($Q357)&gt;0,$A357&gt;=Visualisation!$B$1,$A357&lt;Visualisation!$D$1),MAX($V$1:V356)+1,"")</f>
        <v/>
      </c>
    </row>
    <row r="358" spans="1:22" x14ac:dyDescent="0.25">
      <c r="A358" s="9">
        <v>45781</v>
      </c>
      <c r="B358" s="4" t="s">
        <v>69</v>
      </c>
      <c r="C358" s="4" t="s">
        <v>70</v>
      </c>
      <c r="D358" s="4" t="s">
        <v>71</v>
      </c>
      <c r="E358" s="10">
        <v>12.76</v>
      </c>
      <c r="G358" s="4" t="s">
        <v>72</v>
      </c>
      <c r="H358" s="4"/>
      <c r="I358" s="4" t="s">
        <v>63</v>
      </c>
      <c r="K358" s="11">
        <f>IF($E358="","",ROUND($E358*IF(ISNA(MATCH($C358,'Paramètres'!$D:$D,0)),1,IF(INDEX('Paramètres'!$J:$J,MATCH($C358,'Paramètres'!$D:$D,0))="",1,INDEX('Paramètres'!$J:$J,MATCH($C358,'Paramètres'!$D:$D,0)))),2))</f>
        <v>12.76</v>
      </c>
      <c r="L358" s="6" t="str">
        <f>IF($D358="","",IF($F358&lt;&gt;"",$F358,IF(ISNA(MATCH($D358,'Paramètres'!$M:$M,0)),"⚠ Type inconnu",IFERROR(INDEX('Paramètres'!$P:$P,MATCH($D358,'Paramètres'!$M:$M,0))&amp;"",""))))</f>
        <v>Débit</v>
      </c>
      <c r="M358" s="6" t="str">
        <f>IF($D358="","",IF(ISNA(MATCH($D358,'Paramètres'!$M:$M,0)),"⚠ Type inconnu",IF($L358="Crédit","",IFERROR(INDEX('Paramètres'!$O:$O,MATCH($D358,'Paramètres'!$M:$M,0))&amp;"",""))))</f>
        <v>Dépense Courante</v>
      </c>
      <c r="N358" s="6" t="str">
        <f>IF($D358="","",IFERROR(INDEX('Paramètres'!$Q:$Q,MATCH($D358,'Paramètres'!$M:$M,0))&amp;"",""))</f>
        <v>Alimentation</v>
      </c>
      <c r="O358" s="6">
        <f>IF($A358="","",IF(OR($J358&lt;&gt;"x",$A358&lt;=FinReleve),1,0))</f>
        <v>1</v>
      </c>
      <c r="P358" s="6">
        <f>IF($D358="","",IF(AND($L358="Crédit",OR(IFERROR(INDEX('Paramètres'!$O:$O,MATCH($D358,'Paramètres'!$M:$M,0))&amp;"","")&lt;&gt;"",ISNUMBER(SEARCH("remboursement",IFERROR(INDEX('Paramètres'!$N:$N,MATCH($D358,'Paramètres'!$M:$M,0))&amp;"",""))))),1,0))</f>
        <v>0</v>
      </c>
      <c r="Q358" s="6">
        <f>IF($K358="","",IF(ISNUMBER(SEARCH("transfert-interne",IFERROR(INDEX('Paramètres'!$N:$N,MATCH($D358,'Paramètres'!$M:$M,0))&amp;"",""))),0,IF($L358="Débit",$K358,IF($P358=1,-$K358,0))))</f>
        <v>12.76</v>
      </c>
      <c r="R358" s="6">
        <f>IF($K358="","",IF($L358="Crédit",$K358,-$K358))</f>
        <v>-12.76</v>
      </c>
      <c r="S358" s="6" t="str">
        <f>IF($C358="","",IFERROR(INDEX('Paramètres'!$H:$H,MATCH($C358,'Paramètres'!$D:$D,0))&amp;"",""))</f>
        <v/>
      </c>
      <c r="T358" s="6">
        <f>IF($K358="","",IF($S358="",0,IF(ISNUMBER(SEARCH("apport-exterieur",IFERROR(INDEX('Paramètres'!$N:$N,MATCH($D358,'Paramètres'!$M:$M,0))&amp;"",""))),0,IF(OR(IFERROR(INDEX('Paramètres'!$I:$I,MATCH($C358,'Paramètres'!$D:$D,0))&amp;"","")="Les deux",IFERROR(INDEX('Paramètres'!$I:$I,MATCH($C358,'Paramètres'!$D:$D,0))&amp;"","")=IF($P358=1,"Débit",$L358)),-IF($P358=1,-$K358,$K358),0))))</f>
        <v>0</v>
      </c>
      <c r="U358" s="6">
        <f>IF($K358="","",IF(ISNUMBER(SEARCH("sortie-epargne",IFERROR(INDEX('Paramètres'!$N:$N,MATCH($D358,'Paramètres'!$M:$M,0))&amp;"",""))),$K358,0))</f>
        <v>0</v>
      </c>
      <c r="V358" s="6" t="str">
        <f>IF(AND($A358&lt;&gt;"",$O358=1,$L358="Débit",N($Q358)&gt;0,$A358&gt;=Visualisation!$B$1,$A358&lt;Visualisation!$D$1),MAX($V$1:V357)+1,"")</f>
        <v/>
      </c>
    </row>
    <row r="359" spans="1:22" x14ac:dyDescent="0.25">
      <c r="A359" s="9">
        <v>45781</v>
      </c>
      <c r="B359" s="4" t="s">
        <v>80</v>
      </c>
      <c r="C359" s="4" t="s">
        <v>70</v>
      </c>
      <c r="D359" s="4" t="s">
        <v>81</v>
      </c>
      <c r="E359" s="10">
        <v>129.13</v>
      </c>
      <c r="G359" s="4"/>
      <c r="H359" s="4"/>
      <c r="I359" s="4"/>
      <c r="K359" s="11">
        <f>IF($E359="","",ROUND($E359*IF(ISNA(MATCH($C359,'Paramètres'!$D:$D,0)),1,IF(INDEX('Paramètres'!$J:$J,MATCH($C359,'Paramètres'!$D:$D,0))="",1,INDEX('Paramètres'!$J:$J,MATCH($C359,'Paramètres'!$D:$D,0)))),2))</f>
        <v>129.13</v>
      </c>
      <c r="L359" s="6" t="str">
        <f>IF($D359="","",IF($F359&lt;&gt;"",$F359,IF(ISNA(MATCH($D359,'Paramètres'!$M:$M,0)),"⚠ Type inconnu",IFERROR(INDEX('Paramètres'!$P:$P,MATCH($D359,'Paramètres'!$M:$M,0))&amp;"",""))))</f>
        <v>Crédit</v>
      </c>
      <c r="M359" s="6" t="str">
        <f>IF($D359="","",IF(ISNA(MATCH($D359,'Paramètres'!$M:$M,0)),"⚠ Type inconnu",IF($L359="Crédit","",IFERROR(INDEX('Paramètres'!$O:$O,MATCH($D359,'Paramètres'!$M:$M,0))&amp;"",""))))</f>
        <v/>
      </c>
      <c r="N359" s="6" t="str">
        <f>IF($D359="","",IFERROR(INDEX('Paramètres'!$Q:$Q,MATCH($D359,'Paramètres'!$M:$M,0))&amp;"",""))</f>
        <v>Comptes Bancaires</v>
      </c>
      <c r="O359" s="6">
        <f>IF($A359="","",IF(OR($J359&lt;&gt;"x",$A359&lt;=FinReleve),1,0))</f>
        <v>1</v>
      </c>
      <c r="P359" s="6">
        <f>IF($D359="","",IF(AND($L359="Crédit",OR(IFERROR(INDEX('Paramètres'!$O:$O,MATCH($D359,'Paramètres'!$M:$M,0))&amp;"","")&lt;&gt;"",ISNUMBER(SEARCH("remboursement",IFERROR(INDEX('Paramètres'!$N:$N,MATCH($D359,'Paramètres'!$M:$M,0))&amp;"",""))))),1,0))</f>
        <v>0</v>
      </c>
      <c r="Q359" s="6">
        <f>IF($K359="","",IF(ISNUMBER(SEARCH("transfert-interne",IFERROR(INDEX('Paramètres'!$N:$N,MATCH($D359,'Paramètres'!$M:$M,0))&amp;"",""))),0,IF($L359="Débit",$K359,IF($P359=1,-$K359,0))))</f>
        <v>0</v>
      </c>
      <c r="R359" s="6">
        <f>IF($K359="","",IF($L359="Crédit",$K359,-$K359))</f>
        <v>129.13</v>
      </c>
      <c r="S359" s="6" t="str">
        <f>IF($C359="","",IFERROR(INDEX('Paramètres'!$H:$H,MATCH($C359,'Paramètres'!$D:$D,0))&amp;"",""))</f>
        <v/>
      </c>
      <c r="T359" s="6">
        <f>IF($K359="","",IF($S359="",0,IF(ISNUMBER(SEARCH("apport-exterieur",IFERROR(INDEX('Paramètres'!$N:$N,MATCH($D359,'Paramètres'!$M:$M,0))&amp;"",""))),0,IF(OR(IFERROR(INDEX('Paramètres'!$I:$I,MATCH($C359,'Paramètres'!$D:$D,0))&amp;"","")="Les deux",IFERROR(INDEX('Paramètres'!$I:$I,MATCH($C359,'Paramètres'!$D:$D,0))&amp;"","")=IF($P359=1,"Débit",$L359)),-IF($P359=1,-$K359,$K359),0))))</f>
        <v>0</v>
      </c>
      <c r="U359" s="6">
        <f>IF($K359="","",IF(ISNUMBER(SEARCH("sortie-epargne",IFERROR(INDEX('Paramètres'!$N:$N,MATCH($D359,'Paramètres'!$M:$M,0))&amp;"",""))),$K359,0))</f>
        <v>0</v>
      </c>
      <c r="V359" s="6" t="str">
        <f>IF(AND($A359&lt;&gt;"",$O359=1,$L359="Débit",N($Q359)&gt;0,$A359&gt;=Visualisation!$B$1,$A359&lt;Visualisation!$D$1),MAX($V$1:V358)+1,"")</f>
        <v/>
      </c>
    </row>
    <row r="360" spans="1:22" x14ac:dyDescent="0.25">
      <c r="A360" s="9">
        <v>45782</v>
      </c>
      <c r="B360" s="4" t="s">
        <v>82</v>
      </c>
      <c r="C360" s="4" t="s">
        <v>65</v>
      </c>
      <c r="D360" s="4" t="s">
        <v>83</v>
      </c>
      <c r="E360" s="10">
        <v>653.3</v>
      </c>
      <c r="G360" s="4" t="s">
        <v>84</v>
      </c>
      <c r="H360" s="4"/>
      <c r="I360" s="4"/>
      <c r="K360" s="11">
        <f>IF($E360="","",ROUND($E360*IF(ISNA(MATCH($C360,'Paramètres'!$D:$D,0)),1,IF(INDEX('Paramètres'!$J:$J,MATCH($C360,'Paramètres'!$D:$D,0))="",1,INDEX('Paramètres'!$J:$J,MATCH($C360,'Paramètres'!$D:$D,0)))),2))</f>
        <v>653.3</v>
      </c>
      <c r="L360" s="6" t="str">
        <f>IF($D360="","",IF($F360&lt;&gt;"",$F360,IF(ISNA(MATCH($D360,'Paramètres'!$M:$M,0)),"⚠ Type inconnu",IFERROR(INDEX('Paramètres'!$P:$P,MATCH($D360,'Paramètres'!$M:$M,0))&amp;"",""))))</f>
        <v>Débit</v>
      </c>
      <c r="M360" s="6" t="str">
        <f>IF($D360="","",IF(ISNA(MATCH($D360,'Paramètres'!$M:$M,0)),"⚠ Type inconnu",IF($L360="Crédit","",IFERROR(INDEX('Paramètres'!$O:$O,MATCH($D360,'Paramètres'!$M:$M,0))&amp;"",""))))</f>
        <v/>
      </c>
      <c r="N360" s="6" t="str">
        <f>IF($D360="","",IFERROR(INDEX('Paramètres'!$Q:$Q,MATCH($D360,'Paramètres'!$M:$M,0))&amp;"",""))</f>
        <v>Immobilier</v>
      </c>
      <c r="O360" s="6">
        <f>IF($A360="","",IF(OR($J360&lt;&gt;"x",$A360&lt;=FinReleve),1,0))</f>
        <v>1</v>
      </c>
      <c r="P360" s="6">
        <f>IF($D360="","",IF(AND($L360="Crédit",OR(IFERROR(INDEX('Paramètres'!$O:$O,MATCH($D360,'Paramètres'!$M:$M,0))&amp;"","")&lt;&gt;"",ISNUMBER(SEARCH("remboursement",IFERROR(INDEX('Paramètres'!$N:$N,MATCH($D360,'Paramètres'!$M:$M,0))&amp;"",""))))),1,0))</f>
        <v>0</v>
      </c>
      <c r="Q360" s="6">
        <f>IF($K360="","",IF(ISNUMBER(SEARCH("transfert-interne",IFERROR(INDEX('Paramètres'!$N:$N,MATCH($D360,'Paramètres'!$M:$M,0))&amp;"",""))),0,IF($L360="Débit",$K360,IF($P360=1,-$K360,0))))</f>
        <v>653.3</v>
      </c>
      <c r="R360" s="6">
        <f>IF($K360="","",IF($L360="Crédit",$K360,-$K360))</f>
        <v>-653.3</v>
      </c>
      <c r="S360" s="6" t="str">
        <f>IF($C360="","",IFERROR(INDEX('Paramètres'!$H:$H,MATCH($C360,'Paramètres'!$D:$D,0))&amp;"",""))</f>
        <v>Banque A - Courant</v>
      </c>
      <c r="T360" s="6">
        <f>IF($K360="","",IF($S360="",0,IF(ISNUMBER(SEARCH("apport-exterieur",IFERROR(INDEX('Paramètres'!$N:$N,MATCH($D360,'Paramètres'!$M:$M,0))&amp;"",""))),0,IF(OR(IFERROR(INDEX('Paramètres'!$I:$I,MATCH($C360,'Paramètres'!$D:$D,0))&amp;"","")="Les deux",IFERROR(INDEX('Paramètres'!$I:$I,MATCH($C360,'Paramètres'!$D:$D,0))&amp;"","")=IF($P360=1,"Débit",$L360)),-IF($P360=1,-$K360,$K360),0))))</f>
        <v>0</v>
      </c>
      <c r="U360" s="6">
        <f>IF($K360="","",IF(ISNUMBER(SEARCH("sortie-epargne",IFERROR(INDEX('Paramètres'!$N:$N,MATCH($D360,'Paramètres'!$M:$M,0))&amp;"",""))),$K360,0))</f>
        <v>0</v>
      </c>
      <c r="V360" s="6" t="str">
        <f>IF(AND($A360&lt;&gt;"",$O360=1,$L360="Débit",N($Q360)&gt;0,$A360&gt;=Visualisation!$B$1,$A360&lt;Visualisation!$D$1),MAX($V$1:V359)+1,"")</f>
        <v/>
      </c>
    </row>
    <row r="361" spans="1:22" x14ac:dyDescent="0.25">
      <c r="A361" s="9">
        <v>45782</v>
      </c>
      <c r="B361" s="4" t="s">
        <v>85</v>
      </c>
      <c r="C361" s="4" t="s">
        <v>65</v>
      </c>
      <c r="D361" s="4" t="s">
        <v>86</v>
      </c>
      <c r="E361" s="10">
        <v>240.34</v>
      </c>
      <c r="G361" s="4" t="s">
        <v>87</v>
      </c>
      <c r="H361" s="4"/>
      <c r="I361" s="4"/>
      <c r="K361" s="11">
        <f>IF($E361="","",ROUND($E361*IF(ISNA(MATCH($C361,'Paramètres'!$D:$D,0)),1,IF(INDEX('Paramètres'!$J:$J,MATCH($C361,'Paramètres'!$D:$D,0))="",1,INDEX('Paramètres'!$J:$J,MATCH($C361,'Paramètres'!$D:$D,0)))),2))</f>
        <v>240.34</v>
      </c>
      <c r="L361" s="6" t="str">
        <f>IF($D361="","",IF($F361&lt;&gt;"",$F361,IF(ISNA(MATCH($D361,'Paramètres'!$M:$M,0)),"⚠ Type inconnu",IFERROR(INDEX('Paramètres'!$P:$P,MATCH($D361,'Paramètres'!$M:$M,0))&amp;"",""))))</f>
        <v>Débit</v>
      </c>
      <c r="M361" s="6" t="str">
        <f>IF($D361="","",IF(ISNA(MATCH($D361,'Paramètres'!$M:$M,0)),"⚠ Type inconnu",IF($L361="Crédit","",IFERROR(INDEX('Paramètres'!$O:$O,MATCH($D361,'Paramètres'!$M:$M,0))&amp;"",""))))</f>
        <v>Dépense Fixe</v>
      </c>
      <c r="N361" s="6" t="str">
        <f>IF($D361="","",IFERROR(INDEX('Paramètres'!$Q:$Q,MATCH($D361,'Paramètres'!$M:$M,0))&amp;"",""))</f>
        <v>Immobilier</v>
      </c>
      <c r="O361" s="6">
        <f>IF($A361="","",IF(OR($J361&lt;&gt;"x",$A361&lt;=FinReleve),1,0))</f>
        <v>1</v>
      </c>
      <c r="P361" s="6">
        <f>IF($D361="","",IF(AND($L361="Crédit",OR(IFERROR(INDEX('Paramètres'!$O:$O,MATCH($D361,'Paramètres'!$M:$M,0))&amp;"","")&lt;&gt;"",ISNUMBER(SEARCH("remboursement",IFERROR(INDEX('Paramètres'!$N:$N,MATCH($D361,'Paramètres'!$M:$M,0))&amp;"",""))))),1,0))</f>
        <v>0</v>
      </c>
      <c r="Q361" s="6">
        <f>IF($K361="","",IF(ISNUMBER(SEARCH("transfert-interne",IFERROR(INDEX('Paramètres'!$N:$N,MATCH($D361,'Paramètres'!$M:$M,0))&amp;"",""))),0,IF($L361="Débit",$K361,IF($P361=1,-$K361,0))))</f>
        <v>240.34</v>
      </c>
      <c r="R361" s="6">
        <f>IF($K361="","",IF($L361="Crédit",$K361,-$K361))</f>
        <v>-240.34</v>
      </c>
      <c r="S361" s="6" t="str">
        <f>IF($C361="","",IFERROR(INDEX('Paramètres'!$H:$H,MATCH($C361,'Paramètres'!$D:$D,0))&amp;"",""))</f>
        <v>Banque A - Courant</v>
      </c>
      <c r="T361" s="6">
        <f>IF($K361="","",IF($S361="",0,IF(ISNUMBER(SEARCH("apport-exterieur",IFERROR(INDEX('Paramètres'!$N:$N,MATCH($D361,'Paramètres'!$M:$M,0))&amp;"",""))),0,IF(OR(IFERROR(INDEX('Paramètres'!$I:$I,MATCH($C361,'Paramètres'!$D:$D,0))&amp;"","")="Les deux",IFERROR(INDEX('Paramètres'!$I:$I,MATCH($C361,'Paramètres'!$D:$D,0))&amp;"","")=IF($P361=1,"Débit",$L361)),-IF($P361=1,-$K361,$K361),0))))</f>
        <v>0</v>
      </c>
      <c r="U361" s="6">
        <f>IF($K361="","",IF(ISNUMBER(SEARCH("sortie-epargne",IFERROR(INDEX('Paramètres'!$N:$N,MATCH($D361,'Paramètres'!$M:$M,0))&amp;"",""))),$K361,0))</f>
        <v>0</v>
      </c>
      <c r="V361" s="6" t="str">
        <f>IF(AND($A361&lt;&gt;"",$O361=1,$L361="Débit",N($Q361)&gt;0,$A361&gt;=Visualisation!$B$1,$A361&lt;Visualisation!$D$1),MAX($V$1:V360)+1,"")</f>
        <v/>
      </c>
    </row>
    <row r="362" spans="1:22" x14ac:dyDescent="0.25">
      <c r="A362" s="9">
        <v>45782</v>
      </c>
      <c r="B362" s="4" t="s">
        <v>88</v>
      </c>
      <c r="C362" s="4" t="s">
        <v>65</v>
      </c>
      <c r="D362" s="4" t="s">
        <v>88</v>
      </c>
      <c r="E362" s="10">
        <v>31.2</v>
      </c>
      <c r="G362" s="4"/>
      <c r="H362" s="4"/>
      <c r="I362" s="4"/>
      <c r="K362" s="11">
        <f>IF($E362="","",ROUND($E362*IF(ISNA(MATCH($C362,'Paramètres'!$D:$D,0)),1,IF(INDEX('Paramètres'!$J:$J,MATCH($C362,'Paramètres'!$D:$D,0))="",1,INDEX('Paramètres'!$J:$J,MATCH($C362,'Paramètres'!$D:$D,0)))),2))</f>
        <v>31.2</v>
      </c>
      <c r="L362" s="6" t="str">
        <f>IF($D362="","",IF($F362&lt;&gt;"",$F362,IF(ISNA(MATCH($D362,'Paramètres'!$M:$M,0)),"⚠ Type inconnu",IFERROR(INDEX('Paramètres'!$P:$P,MATCH($D362,'Paramètres'!$M:$M,0))&amp;"",""))))</f>
        <v>Débit</v>
      </c>
      <c r="M362" s="6" t="str">
        <f>IF($D362="","",IF(ISNA(MATCH($D362,'Paramètres'!$M:$M,0)),"⚠ Type inconnu",IF($L362="Crédit","",IFERROR(INDEX('Paramètres'!$O:$O,MATCH($D362,'Paramètres'!$M:$M,0))&amp;"",""))))</f>
        <v>Dépense Fixe</v>
      </c>
      <c r="N362" s="6" t="str">
        <f>IF($D362="","",IFERROR(INDEX('Paramètres'!$Q:$Q,MATCH($D362,'Paramètres'!$M:$M,0))&amp;"",""))</f>
        <v>Assurances</v>
      </c>
      <c r="O362" s="6">
        <f>IF($A362="","",IF(OR($J362&lt;&gt;"x",$A362&lt;=FinReleve),1,0))</f>
        <v>1</v>
      </c>
      <c r="P362" s="6">
        <f>IF($D362="","",IF(AND($L362="Crédit",OR(IFERROR(INDEX('Paramètres'!$O:$O,MATCH($D362,'Paramètres'!$M:$M,0))&amp;"","")&lt;&gt;"",ISNUMBER(SEARCH("remboursement",IFERROR(INDEX('Paramètres'!$N:$N,MATCH($D362,'Paramètres'!$M:$M,0))&amp;"",""))))),1,0))</f>
        <v>0</v>
      </c>
      <c r="Q362" s="6">
        <f>IF($K362="","",IF(ISNUMBER(SEARCH("transfert-interne",IFERROR(INDEX('Paramètres'!$N:$N,MATCH($D362,'Paramètres'!$M:$M,0))&amp;"",""))),0,IF($L362="Débit",$K362,IF($P362=1,-$K362,0))))</f>
        <v>31.2</v>
      </c>
      <c r="R362" s="6">
        <f>IF($K362="","",IF($L362="Crédit",$K362,-$K362))</f>
        <v>-31.2</v>
      </c>
      <c r="S362" s="6" t="str">
        <f>IF($C362="","",IFERROR(INDEX('Paramètres'!$H:$H,MATCH($C362,'Paramètres'!$D:$D,0))&amp;"",""))</f>
        <v>Banque A - Courant</v>
      </c>
      <c r="T362" s="6">
        <f>IF($K362="","",IF($S362="",0,IF(ISNUMBER(SEARCH("apport-exterieur",IFERROR(INDEX('Paramètres'!$N:$N,MATCH($D362,'Paramètres'!$M:$M,0))&amp;"",""))),0,IF(OR(IFERROR(INDEX('Paramètres'!$I:$I,MATCH($C362,'Paramètres'!$D:$D,0))&amp;"","")="Les deux",IFERROR(INDEX('Paramètres'!$I:$I,MATCH($C362,'Paramètres'!$D:$D,0))&amp;"","")=IF($P362=1,"Débit",$L362)),-IF($P362=1,-$K362,$K362),0))))</f>
        <v>0</v>
      </c>
      <c r="U362" s="6">
        <f>IF($K362="","",IF(ISNUMBER(SEARCH("sortie-epargne",IFERROR(INDEX('Paramètres'!$N:$N,MATCH($D362,'Paramètres'!$M:$M,0))&amp;"",""))),$K362,0))</f>
        <v>0</v>
      </c>
      <c r="V362" s="6" t="str">
        <f>IF(AND($A362&lt;&gt;"",$O362=1,$L362="Débit",N($Q362)&gt;0,$A362&gt;=Visualisation!$B$1,$A362&lt;Visualisation!$D$1),MAX($V$1:V361)+1,"")</f>
        <v/>
      </c>
    </row>
    <row r="363" spans="1:22" x14ac:dyDescent="0.25">
      <c r="A363" s="9">
        <v>45782</v>
      </c>
      <c r="B363" s="4" t="s">
        <v>69</v>
      </c>
      <c r="C363" s="4" t="s">
        <v>70</v>
      </c>
      <c r="D363" s="4" t="s">
        <v>71</v>
      </c>
      <c r="E363" s="10">
        <v>10.53</v>
      </c>
      <c r="G363" s="4" t="s">
        <v>72</v>
      </c>
      <c r="H363" s="4"/>
      <c r="I363" s="4" t="s">
        <v>73</v>
      </c>
      <c r="K363" s="11">
        <f>IF($E363="","",ROUND($E363*IF(ISNA(MATCH($C363,'Paramètres'!$D:$D,0)),1,IF(INDEX('Paramètres'!$J:$J,MATCH($C363,'Paramètres'!$D:$D,0))="",1,INDEX('Paramètres'!$J:$J,MATCH($C363,'Paramètres'!$D:$D,0)))),2))</f>
        <v>10.53</v>
      </c>
      <c r="L363" s="6" t="str">
        <f>IF($D363="","",IF($F363&lt;&gt;"",$F363,IF(ISNA(MATCH($D363,'Paramètres'!$M:$M,0)),"⚠ Type inconnu",IFERROR(INDEX('Paramètres'!$P:$P,MATCH($D363,'Paramètres'!$M:$M,0))&amp;"",""))))</f>
        <v>Débit</v>
      </c>
      <c r="M363" s="6" t="str">
        <f>IF($D363="","",IF(ISNA(MATCH($D363,'Paramètres'!$M:$M,0)),"⚠ Type inconnu",IF($L363="Crédit","",IFERROR(INDEX('Paramètres'!$O:$O,MATCH($D363,'Paramètres'!$M:$M,0))&amp;"",""))))</f>
        <v>Dépense Courante</v>
      </c>
      <c r="N363" s="6" t="str">
        <f>IF($D363="","",IFERROR(INDEX('Paramètres'!$Q:$Q,MATCH($D363,'Paramètres'!$M:$M,0))&amp;"",""))</f>
        <v>Alimentation</v>
      </c>
      <c r="O363" s="6">
        <f>IF($A363="","",IF(OR($J363&lt;&gt;"x",$A363&lt;=FinReleve),1,0))</f>
        <v>1</v>
      </c>
      <c r="P363" s="6">
        <f>IF($D363="","",IF(AND($L363="Crédit",OR(IFERROR(INDEX('Paramètres'!$O:$O,MATCH($D363,'Paramètres'!$M:$M,0))&amp;"","")&lt;&gt;"",ISNUMBER(SEARCH("remboursement",IFERROR(INDEX('Paramètres'!$N:$N,MATCH($D363,'Paramètres'!$M:$M,0))&amp;"",""))))),1,0))</f>
        <v>0</v>
      </c>
      <c r="Q363" s="6">
        <f>IF($K363="","",IF(ISNUMBER(SEARCH("transfert-interne",IFERROR(INDEX('Paramètres'!$N:$N,MATCH($D363,'Paramètres'!$M:$M,0))&amp;"",""))),0,IF($L363="Débit",$K363,IF($P363=1,-$K363,0))))</f>
        <v>10.53</v>
      </c>
      <c r="R363" s="6">
        <f>IF($K363="","",IF($L363="Crédit",$K363,-$K363))</f>
        <v>-10.53</v>
      </c>
      <c r="S363" s="6" t="str">
        <f>IF($C363="","",IFERROR(INDEX('Paramètres'!$H:$H,MATCH($C363,'Paramètres'!$D:$D,0))&amp;"",""))</f>
        <v/>
      </c>
      <c r="T363" s="6">
        <f>IF($K363="","",IF($S363="",0,IF(ISNUMBER(SEARCH("apport-exterieur",IFERROR(INDEX('Paramètres'!$N:$N,MATCH($D363,'Paramètres'!$M:$M,0))&amp;"",""))),0,IF(OR(IFERROR(INDEX('Paramètres'!$I:$I,MATCH($C363,'Paramètres'!$D:$D,0))&amp;"","")="Les deux",IFERROR(INDEX('Paramètres'!$I:$I,MATCH($C363,'Paramètres'!$D:$D,0))&amp;"","")=IF($P363=1,"Débit",$L363)),-IF($P363=1,-$K363,$K363),0))))</f>
        <v>0</v>
      </c>
      <c r="U363" s="6">
        <f>IF($K363="","",IF(ISNUMBER(SEARCH("sortie-epargne",IFERROR(INDEX('Paramètres'!$N:$N,MATCH($D363,'Paramètres'!$M:$M,0))&amp;"",""))),$K363,0))</f>
        <v>0</v>
      </c>
      <c r="V363" s="6" t="str">
        <f>IF(AND($A363&lt;&gt;"",$O363=1,$L363="Débit",N($Q363)&gt;0,$A363&gt;=Visualisation!$B$1,$A363&lt;Visualisation!$D$1),MAX($V$1:V362)+1,"")</f>
        <v/>
      </c>
    </row>
    <row r="364" spans="1:22" x14ac:dyDescent="0.25">
      <c r="A364" s="9">
        <v>45783</v>
      </c>
      <c r="B364" s="4" t="s">
        <v>89</v>
      </c>
      <c r="C364" s="4" t="s">
        <v>75</v>
      </c>
      <c r="D364" s="4" t="s">
        <v>89</v>
      </c>
      <c r="E364" s="10">
        <v>49.9</v>
      </c>
      <c r="G364" s="4"/>
      <c r="H364" s="4"/>
      <c r="I364" s="4"/>
      <c r="K364" s="11">
        <f>IF($E364="","",ROUND($E364*IF(ISNA(MATCH($C364,'Paramètres'!$D:$D,0)),1,IF(INDEX('Paramètres'!$J:$J,MATCH($C364,'Paramètres'!$D:$D,0))="",1,INDEX('Paramètres'!$J:$J,MATCH($C364,'Paramètres'!$D:$D,0)))),2))</f>
        <v>49.9</v>
      </c>
      <c r="L364" s="6" t="str">
        <f>IF($D364="","",IF($F364&lt;&gt;"",$F364,IF(ISNA(MATCH($D364,'Paramètres'!$M:$M,0)),"⚠ Type inconnu",IFERROR(INDEX('Paramètres'!$P:$P,MATCH($D364,'Paramètres'!$M:$M,0))&amp;"",""))))</f>
        <v>Débit</v>
      </c>
      <c r="M364" s="6" t="str">
        <f>IF($D364="","",IF(ISNA(MATCH($D364,'Paramètres'!$M:$M,0)),"⚠ Type inconnu",IF($L364="Crédit","",IFERROR(INDEX('Paramètres'!$O:$O,MATCH($D364,'Paramètres'!$M:$M,0))&amp;"",""))))</f>
        <v>Dépense Fixe</v>
      </c>
      <c r="N364" s="6" t="str">
        <f>IF($D364="","",IFERROR(INDEX('Paramètres'!$Q:$Q,MATCH($D364,'Paramètres'!$M:$M,0))&amp;"",""))</f>
        <v>Autre</v>
      </c>
      <c r="O364" s="6">
        <f>IF($A364="","",IF(OR($J364&lt;&gt;"x",$A364&lt;=FinReleve),1,0))</f>
        <v>1</v>
      </c>
      <c r="P364" s="6">
        <f>IF($D364="","",IF(AND($L364="Crédit",OR(IFERROR(INDEX('Paramètres'!$O:$O,MATCH($D364,'Paramètres'!$M:$M,0))&amp;"","")&lt;&gt;"",ISNUMBER(SEARCH("remboursement",IFERROR(INDEX('Paramètres'!$N:$N,MATCH($D364,'Paramètres'!$M:$M,0))&amp;"",""))))),1,0))</f>
        <v>0</v>
      </c>
      <c r="Q364" s="6">
        <f>IF($K364="","",IF(ISNUMBER(SEARCH("transfert-interne",IFERROR(INDEX('Paramètres'!$N:$N,MATCH($D364,'Paramètres'!$M:$M,0))&amp;"",""))),0,IF($L364="Débit",$K364,IF($P364=1,-$K364,0))))</f>
        <v>49.9</v>
      </c>
      <c r="R364" s="6">
        <f>IF($K364="","",IF($L364="Crédit",$K364,-$K364))</f>
        <v>-49.9</v>
      </c>
      <c r="S364" s="6" t="str">
        <f>IF($C364="","",IFERROR(INDEX('Paramètres'!$H:$H,MATCH($C364,'Paramètres'!$D:$D,0))&amp;"",""))</f>
        <v/>
      </c>
      <c r="T364" s="6">
        <f>IF($K364="","",IF($S364="",0,IF(ISNUMBER(SEARCH("apport-exterieur",IFERROR(INDEX('Paramètres'!$N:$N,MATCH($D364,'Paramètres'!$M:$M,0))&amp;"",""))),0,IF(OR(IFERROR(INDEX('Paramètres'!$I:$I,MATCH($C364,'Paramètres'!$D:$D,0))&amp;"","")="Les deux",IFERROR(INDEX('Paramètres'!$I:$I,MATCH($C364,'Paramètres'!$D:$D,0))&amp;"","")=IF($P364=1,"Débit",$L364)),-IF($P364=1,-$K364,$K364),0))))</f>
        <v>0</v>
      </c>
      <c r="U364" s="6">
        <f>IF($K364="","",IF(ISNUMBER(SEARCH("sortie-epargne",IFERROR(INDEX('Paramètres'!$N:$N,MATCH($D364,'Paramètres'!$M:$M,0))&amp;"",""))),$K364,0))</f>
        <v>0</v>
      </c>
      <c r="V364" s="6" t="str">
        <f>IF(AND($A364&lt;&gt;"",$O364=1,$L364="Débit",N($Q364)&gt;0,$A364&gt;=Visualisation!$B$1,$A364&lt;Visualisation!$D$1),MAX($V$1:V363)+1,"")</f>
        <v/>
      </c>
    </row>
    <row r="365" spans="1:22" x14ac:dyDescent="0.25">
      <c r="A365" s="9">
        <v>45785</v>
      </c>
      <c r="B365" s="4" t="s">
        <v>94</v>
      </c>
      <c r="C365" s="4" t="s">
        <v>65</v>
      </c>
      <c r="D365" s="4" t="s">
        <v>94</v>
      </c>
      <c r="E365" s="10">
        <v>168</v>
      </c>
      <c r="G365" s="4"/>
      <c r="H365" s="4"/>
      <c r="I365" s="4"/>
      <c r="K365" s="11">
        <f>IF($E365="","",ROUND($E365*IF(ISNA(MATCH($C365,'Paramètres'!$D:$D,0)),1,IF(INDEX('Paramètres'!$J:$J,MATCH($C365,'Paramètres'!$D:$D,0))="",1,INDEX('Paramètres'!$J:$J,MATCH($C365,'Paramètres'!$D:$D,0)))),2))</f>
        <v>168</v>
      </c>
      <c r="L365" s="6" t="str">
        <f>IF($D365="","",IF($F365&lt;&gt;"",$F365,IF(ISNA(MATCH($D365,'Paramètres'!$M:$M,0)),"⚠ Type inconnu",IFERROR(INDEX('Paramètres'!$P:$P,MATCH($D365,'Paramètres'!$M:$M,0))&amp;"",""))))</f>
        <v>Débit</v>
      </c>
      <c r="M365" s="6" t="str">
        <f>IF($D365="","",IF(ISNA(MATCH($D365,'Paramètres'!$M:$M,0)),"⚠ Type inconnu",IF($L365="Crédit","",IFERROR(INDEX('Paramètres'!$O:$O,MATCH($D365,'Paramètres'!$M:$M,0))&amp;"",""))))</f>
        <v>Dépense Fixe</v>
      </c>
      <c r="N365" s="6" t="str">
        <f>IF($D365="","",IFERROR(INDEX('Paramètres'!$Q:$Q,MATCH($D365,'Paramètres'!$M:$M,0))&amp;"",""))</f>
        <v>Immobilier</v>
      </c>
      <c r="O365" s="6">
        <f>IF($A365="","",IF(OR($J365&lt;&gt;"x",$A365&lt;=FinReleve),1,0))</f>
        <v>1</v>
      </c>
      <c r="P365" s="6">
        <f>IF($D365="","",IF(AND($L365="Crédit",OR(IFERROR(INDEX('Paramètres'!$O:$O,MATCH($D365,'Paramètres'!$M:$M,0))&amp;"","")&lt;&gt;"",ISNUMBER(SEARCH("remboursement",IFERROR(INDEX('Paramètres'!$N:$N,MATCH($D365,'Paramètres'!$M:$M,0))&amp;"",""))))),1,0))</f>
        <v>0</v>
      </c>
      <c r="Q365" s="6">
        <f>IF($K365="","",IF(ISNUMBER(SEARCH("transfert-interne",IFERROR(INDEX('Paramètres'!$N:$N,MATCH($D365,'Paramètres'!$M:$M,0))&amp;"",""))),0,IF($L365="Débit",$K365,IF($P365=1,-$K365,0))))</f>
        <v>168</v>
      </c>
      <c r="R365" s="6">
        <f>IF($K365="","",IF($L365="Crédit",$K365,-$K365))</f>
        <v>-168</v>
      </c>
      <c r="S365" s="6" t="str">
        <f>IF($C365="","",IFERROR(INDEX('Paramètres'!$H:$H,MATCH($C365,'Paramètres'!$D:$D,0))&amp;"",""))</f>
        <v>Banque A - Courant</v>
      </c>
      <c r="T365" s="6">
        <f>IF($K365="","",IF($S365="",0,IF(ISNUMBER(SEARCH("apport-exterieur",IFERROR(INDEX('Paramètres'!$N:$N,MATCH($D365,'Paramètres'!$M:$M,0))&amp;"",""))),0,IF(OR(IFERROR(INDEX('Paramètres'!$I:$I,MATCH($C365,'Paramètres'!$D:$D,0))&amp;"","")="Les deux",IFERROR(INDEX('Paramètres'!$I:$I,MATCH($C365,'Paramètres'!$D:$D,0))&amp;"","")=IF($P365=1,"Débit",$L365)),-IF($P365=1,-$K365,$K365),0))))</f>
        <v>0</v>
      </c>
      <c r="U365" s="6">
        <f>IF($K365="","",IF(ISNUMBER(SEARCH("sortie-epargne",IFERROR(INDEX('Paramètres'!$N:$N,MATCH($D365,'Paramètres'!$M:$M,0))&amp;"",""))),$K365,0))</f>
        <v>0</v>
      </c>
      <c r="V365" s="6" t="str">
        <f>IF(AND($A365&lt;&gt;"",$O365=1,$L365="Débit",N($Q365)&gt;0,$A365&gt;=Visualisation!$B$1,$A365&lt;Visualisation!$D$1),MAX($V$1:V364)+1,"")</f>
        <v/>
      </c>
    </row>
    <row r="366" spans="1:22" x14ac:dyDescent="0.25">
      <c r="A366" s="9">
        <v>45786</v>
      </c>
      <c r="B366" s="4" t="s">
        <v>76</v>
      </c>
      <c r="C366" s="4" t="s">
        <v>67</v>
      </c>
      <c r="D366" s="4" t="s">
        <v>77</v>
      </c>
      <c r="E366" s="10">
        <v>180.2</v>
      </c>
      <c r="G366" s="4" t="s">
        <v>78</v>
      </c>
      <c r="H366" s="4"/>
      <c r="I366" s="4" t="s">
        <v>93</v>
      </c>
      <c r="K366" s="11">
        <f>IF($E366="","",ROUND($E366*IF(ISNA(MATCH($C366,'Paramètres'!$D:$D,0)),1,IF(INDEX('Paramètres'!$J:$J,MATCH($C366,'Paramètres'!$D:$D,0))="",1,INDEX('Paramètres'!$J:$J,MATCH($C366,'Paramètres'!$D:$D,0)))),2))</f>
        <v>90.1</v>
      </c>
      <c r="L366" s="6" t="str">
        <f>IF($D366="","",IF($F366&lt;&gt;"",$F366,IF(ISNA(MATCH($D366,'Paramètres'!$M:$M,0)),"⚠ Type inconnu",IFERROR(INDEX('Paramètres'!$P:$P,MATCH($D366,'Paramètres'!$M:$M,0))&amp;"",""))))</f>
        <v>Débit</v>
      </c>
      <c r="M366" s="6" t="str">
        <f>IF($D366="","",IF(ISNA(MATCH($D366,'Paramètres'!$M:$M,0)),"⚠ Type inconnu",IF($L366="Crédit","",IFERROR(INDEX('Paramètres'!$O:$O,MATCH($D366,'Paramètres'!$M:$M,0))&amp;"",""))))</f>
        <v>Dépense Courante</v>
      </c>
      <c r="N366" s="6" t="str">
        <f>IF($D366="","",IFERROR(INDEX('Paramètres'!$Q:$Q,MATCH($D366,'Paramètres'!$M:$M,0))&amp;"",""))</f>
        <v>Alimentation</v>
      </c>
      <c r="O366" s="6">
        <f>IF($A366="","",IF(OR($J366&lt;&gt;"x",$A366&lt;=FinReleve),1,0))</f>
        <v>1</v>
      </c>
      <c r="P366" s="6">
        <f>IF($D366="","",IF(AND($L366="Crédit",OR(IFERROR(INDEX('Paramètres'!$O:$O,MATCH($D366,'Paramètres'!$M:$M,0))&amp;"","")&lt;&gt;"",ISNUMBER(SEARCH("remboursement",IFERROR(INDEX('Paramètres'!$N:$N,MATCH($D366,'Paramètres'!$M:$M,0))&amp;"",""))))),1,0))</f>
        <v>0</v>
      </c>
      <c r="Q366" s="6">
        <f>IF($K366="","",IF(ISNUMBER(SEARCH("transfert-interne",IFERROR(INDEX('Paramètres'!$N:$N,MATCH($D366,'Paramètres'!$M:$M,0))&amp;"",""))),0,IF($L366="Débit",$K366,IF($P366=1,-$K366,0))))</f>
        <v>90.1</v>
      </c>
      <c r="R366" s="6">
        <f>IF($K366="","",IF($L366="Crédit",$K366,-$K366))</f>
        <v>-90.1</v>
      </c>
      <c r="S366" s="6" t="str">
        <f>IF($C366="","",IFERROR(INDEX('Paramètres'!$H:$H,MATCH($C366,'Paramètres'!$D:$D,0))&amp;"",""))</f>
        <v>Banque A - Courant</v>
      </c>
      <c r="T366" s="6">
        <f>IF($K366="","",IF($S366="",0,IF(ISNUMBER(SEARCH("apport-exterieur",IFERROR(INDEX('Paramètres'!$N:$N,MATCH($D366,'Paramètres'!$M:$M,0))&amp;"",""))),0,IF(OR(IFERROR(INDEX('Paramètres'!$I:$I,MATCH($C366,'Paramètres'!$D:$D,0))&amp;"","")="Les deux",IFERROR(INDEX('Paramètres'!$I:$I,MATCH($C366,'Paramètres'!$D:$D,0))&amp;"","")=IF($P366=1,"Débit",$L366)),-IF($P366=1,-$K366,$K366),0))))</f>
        <v>0</v>
      </c>
      <c r="U366" s="6">
        <f>IF($K366="","",IF(ISNUMBER(SEARCH("sortie-epargne",IFERROR(INDEX('Paramètres'!$N:$N,MATCH($D366,'Paramètres'!$M:$M,0))&amp;"",""))),$K366,0))</f>
        <v>0</v>
      </c>
      <c r="V366" s="6" t="str">
        <f>IF(AND($A366&lt;&gt;"",$O366=1,$L366="Débit",N($Q366)&gt;0,$A366&gt;=Visualisation!$B$1,$A366&lt;Visualisation!$D$1),MAX($V$1:V365)+1,"")</f>
        <v/>
      </c>
    </row>
    <row r="367" spans="1:22" x14ac:dyDescent="0.25">
      <c r="A367" s="9">
        <v>45786</v>
      </c>
      <c r="B367" s="4" t="s">
        <v>76</v>
      </c>
      <c r="C367" s="4" t="s">
        <v>60</v>
      </c>
      <c r="D367" s="4" t="s">
        <v>77</v>
      </c>
      <c r="E367" s="10">
        <v>94.14</v>
      </c>
      <c r="G367" s="4" t="s">
        <v>98</v>
      </c>
      <c r="H367" s="4"/>
      <c r="I367" s="4" t="s">
        <v>79</v>
      </c>
      <c r="K367" s="11">
        <f>IF($E367="","",ROUND($E367*IF(ISNA(MATCH($C367,'Paramètres'!$D:$D,0)),1,IF(INDEX('Paramètres'!$J:$J,MATCH($C367,'Paramètres'!$D:$D,0))="",1,INDEX('Paramètres'!$J:$J,MATCH($C367,'Paramètres'!$D:$D,0)))),2))</f>
        <v>47.07</v>
      </c>
      <c r="L367" s="6" t="str">
        <f>IF($D367="","",IF($F367&lt;&gt;"",$F367,IF(ISNA(MATCH($D367,'Paramètres'!$M:$M,0)),"⚠ Type inconnu",IFERROR(INDEX('Paramètres'!$P:$P,MATCH($D367,'Paramètres'!$M:$M,0))&amp;"",""))))</f>
        <v>Débit</v>
      </c>
      <c r="M367" s="6" t="str">
        <f>IF($D367="","",IF(ISNA(MATCH($D367,'Paramètres'!$M:$M,0)),"⚠ Type inconnu",IF($L367="Crédit","",IFERROR(INDEX('Paramètres'!$O:$O,MATCH($D367,'Paramètres'!$M:$M,0))&amp;"",""))))</f>
        <v>Dépense Courante</v>
      </c>
      <c r="N367" s="6" t="str">
        <f>IF($D367="","",IFERROR(INDEX('Paramètres'!$Q:$Q,MATCH($D367,'Paramètres'!$M:$M,0))&amp;"",""))</f>
        <v>Alimentation</v>
      </c>
      <c r="O367" s="6">
        <f>IF($A367="","",IF(OR($J367&lt;&gt;"x",$A367&lt;=FinReleve),1,0))</f>
        <v>1</v>
      </c>
      <c r="P367" s="6">
        <f>IF($D367="","",IF(AND($L367="Crédit",OR(IFERROR(INDEX('Paramètres'!$O:$O,MATCH($D367,'Paramètres'!$M:$M,0))&amp;"","")&lt;&gt;"",ISNUMBER(SEARCH("remboursement",IFERROR(INDEX('Paramètres'!$N:$N,MATCH($D367,'Paramètres'!$M:$M,0))&amp;"",""))))),1,0))</f>
        <v>0</v>
      </c>
      <c r="Q367" s="6">
        <f>IF($K367="","",IF(ISNUMBER(SEARCH("transfert-interne",IFERROR(INDEX('Paramètres'!$N:$N,MATCH($D367,'Paramètres'!$M:$M,0))&amp;"",""))),0,IF($L367="Débit",$K367,IF($P367=1,-$K367,0))))</f>
        <v>47.07</v>
      </c>
      <c r="R367" s="6">
        <f>IF($K367="","",IF($L367="Crédit",$K367,-$K367))</f>
        <v>-47.07</v>
      </c>
      <c r="S367" s="6" t="str">
        <f>IF($C367="","",IFERROR(INDEX('Paramètres'!$H:$H,MATCH($C367,'Paramètres'!$D:$D,0))&amp;"",""))</f>
        <v>Banque A - Courant</v>
      </c>
      <c r="T367" s="6">
        <f>IF($K367="","",IF($S367="",0,IF(ISNUMBER(SEARCH("apport-exterieur",IFERROR(INDEX('Paramètres'!$N:$N,MATCH($D367,'Paramètres'!$M:$M,0))&amp;"",""))),0,IF(OR(IFERROR(INDEX('Paramètres'!$I:$I,MATCH($C367,'Paramètres'!$D:$D,0))&amp;"","")="Les deux",IFERROR(INDEX('Paramètres'!$I:$I,MATCH($C367,'Paramètres'!$D:$D,0))&amp;"","")=IF($P367=1,"Débit",$L367)),-IF($P367=1,-$K367,$K367),0))))</f>
        <v>-47.07</v>
      </c>
      <c r="U367" s="6">
        <f>IF($K367="","",IF(ISNUMBER(SEARCH("sortie-epargne",IFERROR(INDEX('Paramètres'!$N:$N,MATCH($D367,'Paramètres'!$M:$M,0))&amp;"",""))),$K367,0))</f>
        <v>0</v>
      </c>
      <c r="V367" s="6" t="str">
        <f>IF(AND($A367&lt;&gt;"",$O367=1,$L367="Débit",N($Q367)&gt;0,$A367&gt;=Visualisation!$B$1,$A367&lt;Visualisation!$D$1),MAX($V$1:V366)+1,"")</f>
        <v/>
      </c>
    </row>
    <row r="368" spans="1:22" x14ac:dyDescent="0.25">
      <c r="A368" s="9">
        <v>45787</v>
      </c>
      <c r="B368" s="4" t="s">
        <v>96</v>
      </c>
      <c r="C368" s="4" t="s">
        <v>75</v>
      </c>
      <c r="D368" s="4" t="s">
        <v>96</v>
      </c>
      <c r="E368" s="10">
        <v>22.4</v>
      </c>
      <c r="G368" s="4"/>
      <c r="H368" s="4"/>
      <c r="I368" s="4"/>
      <c r="K368" s="11">
        <f>IF($E368="","",ROUND($E368*IF(ISNA(MATCH($C368,'Paramètres'!$D:$D,0)),1,IF(INDEX('Paramètres'!$J:$J,MATCH($C368,'Paramètres'!$D:$D,0))="",1,INDEX('Paramètres'!$J:$J,MATCH($C368,'Paramètres'!$D:$D,0)))),2))</f>
        <v>22.4</v>
      </c>
      <c r="L368" s="6" t="str">
        <f>IF($D368="","",IF($F368&lt;&gt;"",$F368,IF(ISNA(MATCH($D368,'Paramètres'!$M:$M,0)),"⚠ Type inconnu",IFERROR(INDEX('Paramètres'!$P:$P,MATCH($D368,'Paramètres'!$M:$M,0))&amp;"",""))))</f>
        <v>Débit</v>
      </c>
      <c r="M368" s="6" t="str">
        <f>IF($D368="","",IF(ISNA(MATCH($D368,'Paramètres'!$M:$M,0)),"⚠ Type inconnu",IF($L368="Crédit","",IFERROR(INDEX('Paramètres'!$O:$O,MATCH($D368,'Paramètres'!$M:$M,0))&amp;"",""))))</f>
        <v>Dépense Fixe</v>
      </c>
      <c r="N368" s="6" t="str">
        <f>IF($D368="","",IFERROR(INDEX('Paramètres'!$Q:$Q,MATCH($D368,'Paramètres'!$M:$M,0))&amp;"",""))</f>
        <v>Assurances</v>
      </c>
      <c r="O368" s="6">
        <f>IF($A368="","",IF(OR($J368&lt;&gt;"x",$A368&lt;=FinReleve),1,0))</f>
        <v>1</v>
      </c>
      <c r="P368" s="6">
        <f>IF($D368="","",IF(AND($L368="Crédit",OR(IFERROR(INDEX('Paramètres'!$O:$O,MATCH($D368,'Paramètres'!$M:$M,0))&amp;"","")&lt;&gt;"",ISNUMBER(SEARCH("remboursement",IFERROR(INDEX('Paramètres'!$N:$N,MATCH($D368,'Paramètres'!$M:$M,0))&amp;"",""))))),1,0))</f>
        <v>0</v>
      </c>
      <c r="Q368" s="6">
        <f>IF($K368="","",IF(ISNUMBER(SEARCH("transfert-interne",IFERROR(INDEX('Paramètres'!$N:$N,MATCH($D368,'Paramètres'!$M:$M,0))&amp;"",""))),0,IF($L368="Débit",$K368,IF($P368=1,-$K368,0))))</f>
        <v>22.4</v>
      </c>
      <c r="R368" s="6">
        <f>IF($K368="","",IF($L368="Crédit",$K368,-$K368))</f>
        <v>-22.4</v>
      </c>
      <c r="S368" s="6" t="str">
        <f>IF($C368="","",IFERROR(INDEX('Paramètres'!$H:$H,MATCH($C368,'Paramètres'!$D:$D,0))&amp;"",""))</f>
        <v/>
      </c>
      <c r="T368" s="6">
        <f>IF($K368="","",IF($S368="",0,IF(ISNUMBER(SEARCH("apport-exterieur",IFERROR(INDEX('Paramètres'!$N:$N,MATCH($D368,'Paramètres'!$M:$M,0))&amp;"",""))),0,IF(OR(IFERROR(INDEX('Paramètres'!$I:$I,MATCH($C368,'Paramètres'!$D:$D,0))&amp;"","")="Les deux",IFERROR(INDEX('Paramètres'!$I:$I,MATCH($C368,'Paramètres'!$D:$D,0))&amp;"","")=IF($P368=1,"Débit",$L368)),-IF($P368=1,-$K368,$K368),0))))</f>
        <v>0</v>
      </c>
      <c r="U368" s="6">
        <f>IF($K368="","",IF(ISNUMBER(SEARCH("sortie-epargne",IFERROR(INDEX('Paramètres'!$N:$N,MATCH($D368,'Paramètres'!$M:$M,0))&amp;"",""))),$K368,0))</f>
        <v>0</v>
      </c>
      <c r="V368" s="6" t="str">
        <f>IF(AND($A368&lt;&gt;"",$O368=1,$L368="Débit",N($Q368)&gt;0,$A368&gt;=Visualisation!$B$1,$A368&lt;Visualisation!$D$1),MAX($V$1:V367)+1,"")</f>
        <v/>
      </c>
    </row>
    <row r="369" spans="1:22" x14ac:dyDescent="0.25">
      <c r="A369" s="9">
        <v>45788</v>
      </c>
      <c r="B369" s="4" t="s">
        <v>69</v>
      </c>
      <c r="C369" s="4" t="s">
        <v>70</v>
      </c>
      <c r="D369" s="4" t="s">
        <v>71</v>
      </c>
      <c r="E369" s="10">
        <v>11.66</v>
      </c>
      <c r="G369" s="4" t="s">
        <v>72</v>
      </c>
      <c r="H369" s="4"/>
      <c r="I369" s="4"/>
      <c r="K369" s="11">
        <f>IF($E369="","",ROUND($E369*IF(ISNA(MATCH($C369,'Paramètres'!$D:$D,0)),1,IF(INDEX('Paramètres'!$J:$J,MATCH($C369,'Paramètres'!$D:$D,0))="",1,INDEX('Paramètres'!$J:$J,MATCH($C369,'Paramètres'!$D:$D,0)))),2))</f>
        <v>11.66</v>
      </c>
      <c r="L369" s="6" t="str">
        <f>IF($D369="","",IF($F369&lt;&gt;"",$F369,IF(ISNA(MATCH($D369,'Paramètres'!$M:$M,0)),"⚠ Type inconnu",IFERROR(INDEX('Paramètres'!$P:$P,MATCH($D369,'Paramètres'!$M:$M,0))&amp;"",""))))</f>
        <v>Débit</v>
      </c>
      <c r="M369" s="6" t="str">
        <f>IF($D369="","",IF(ISNA(MATCH($D369,'Paramètres'!$M:$M,0)),"⚠ Type inconnu",IF($L369="Crédit","",IFERROR(INDEX('Paramètres'!$O:$O,MATCH($D369,'Paramètres'!$M:$M,0))&amp;"",""))))</f>
        <v>Dépense Courante</v>
      </c>
      <c r="N369" s="6" t="str">
        <f>IF($D369="","",IFERROR(INDEX('Paramètres'!$Q:$Q,MATCH($D369,'Paramètres'!$M:$M,0))&amp;"",""))</f>
        <v>Alimentation</v>
      </c>
      <c r="O369" s="6">
        <f>IF($A369="","",IF(OR($J369&lt;&gt;"x",$A369&lt;=FinReleve),1,0))</f>
        <v>1</v>
      </c>
      <c r="P369" s="6">
        <f>IF($D369="","",IF(AND($L369="Crédit",OR(IFERROR(INDEX('Paramètres'!$O:$O,MATCH($D369,'Paramètres'!$M:$M,0))&amp;"","")&lt;&gt;"",ISNUMBER(SEARCH("remboursement",IFERROR(INDEX('Paramètres'!$N:$N,MATCH($D369,'Paramètres'!$M:$M,0))&amp;"",""))))),1,0))</f>
        <v>0</v>
      </c>
      <c r="Q369" s="6">
        <f>IF($K369="","",IF(ISNUMBER(SEARCH("transfert-interne",IFERROR(INDEX('Paramètres'!$N:$N,MATCH($D369,'Paramètres'!$M:$M,0))&amp;"",""))),0,IF($L369="Débit",$K369,IF($P369=1,-$K369,0))))</f>
        <v>11.66</v>
      </c>
      <c r="R369" s="6">
        <f>IF($K369="","",IF($L369="Crédit",$K369,-$K369))</f>
        <v>-11.66</v>
      </c>
      <c r="S369" s="6" t="str">
        <f>IF($C369="","",IFERROR(INDEX('Paramètres'!$H:$H,MATCH($C369,'Paramètres'!$D:$D,0))&amp;"",""))</f>
        <v/>
      </c>
      <c r="T369" s="6">
        <f>IF($K369="","",IF($S369="",0,IF(ISNUMBER(SEARCH("apport-exterieur",IFERROR(INDEX('Paramètres'!$N:$N,MATCH($D369,'Paramètres'!$M:$M,0))&amp;"",""))),0,IF(OR(IFERROR(INDEX('Paramètres'!$I:$I,MATCH($C369,'Paramètres'!$D:$D,0))&amp;"","")="Les deux",IFERROR(INDEX('Paramètres'!$I:$I,MATCH($C369,'Paramètres'!$D:$D,0))&amp;"","")=IF($P369=1,"Débit",$L369)),-IF($P369=1,-$K369,$K369),0))))</f>
        <v>0</v>
      </c>
      <c r="U369" s="6">
        <f>IF($K369="","",IF(ISNUMBER(SEARCH("sortie-epargne",IFERROR(INDEX('Paramètres'!$N:$N,MATCH($D369,'Paramètres'!$M:$M,0))&amp;"",""))),$K369,0))</f>
        <v>0</v>
      </c>
      <c r="V369" s="6" t="str">
        <f>IF(AND($A369&lt;&gt;"",$O369=1,$L369="Débit",N($Q369)&gt;0,$A369&gt;=Visualisation!$B$1,$A369&lt;Visualisation!$D$1),MAX($V$1:V368)+1,"")</f>
        <v/>
      </c>
    </row>
    <row r="370" spans="1:22" x14ac:dyDescent="0.25">
      <c r="A370" s="9">
        <v>45788</v>
      </c>
      <c r="B370" s="4" t="s">
        <v>116</v>
      </c>
      <c r="C370" s="4" t="s">
        <v>126</v>
      </c>
      <c r="D370" s="4" t="s">
        <v>116</v>
      </c>
      <c r="E370" s="10">
        <v>370.4</v>
      </c>
      <c r="G370" s="4" t="s">
        <v>117</v>
      </c>
      <c r="H370" s="4" t="s">
        <v>144</v>
      </c>
      <c r="I370" s="4" t="s">
        <v>73</v>
      </c>
      <c r="K370" s="11">
        <f>IF($E370="","",ROUND($E370*IF(ISNA(MATCH($C370,'Paramètres'!$D:$D,0)),1,IF(INDEX('Paramètres'!$J:$J,MATCH($C370,'Paramètres'!$D:$D,0))="",1,INDEX('Paramètres'!$J:$J,MATCH($C370,'Paramètres'!$D:$D,0)))),2))</f>
        <v>185.2</v>
      </c>
      <c r="L370" s="6" t="str">
        <f>IF($D370="","",IF($F370&lt;&gt;"",$F370,IF(ISNA(MATCH($D370,'Paramètres'!$M:$M,0)),"⚠ Type inconnu",IFERROR(INDEX('Paramètres'!$P:$P,MATCH($D370,'Paramètres'!$M:$M,0))&amp;"",""))))</f>
        <v>Débit</v>
      </c>
      <c r="M370" s="6" t="str">
        <f>IF($D370="","",IF(ISNA(MATCH($D370,'Paramètres'!$M:$M,0)),"⚠ Type inconnu",IF($L370="Crédit","",IFERROR(INDEX('Paramètres'!$O:$O,MATCH($D370,'Paramètres'!$M:$M,0))&amp;"",""))))</f>
        <v>Dépense Occasionnelle</v>
      </c>
      <c r="N370" s="6" t="str">
        <f>IF($D370="","",IFERROR(INDEX('Paramètres'!$Q:$Q,MATCH($D370,'Paramètres'!$M:$M,0))&amp;"",""))</f>
        <v>Autre</v>
      </c>
      <c r="O370" s="6">
        <f>IF($A370="","",IF(OR($J370&lt;&gt;"x",$A370&lt;=FinReleve),1,0))</f>
        <v>1</v>
      </c>
      <c r="P370" s="6">
        <f>IF($D370="","",IF(AND($L370="Crédit",OR(IFERROR(INDEX('Paramètres'!$O:$O,MATCH($D370,'Paramètres'!$M:$M,0))&amp;"","")&lt;&gt;"",ISNUMBER(SEARCH("remboursement",IFERROR(INDEX('Paramètres'!$N:$N,MATCH($D370,'Paramètres'!$M:$M,0))&amp;"",""))))),1,0))</f>
        <v>0</v>
      </c>
      <c r="Q370" s="6">
        <f>IF($K370="","",IF(ISNUMBER(SEARCH("transfert-interne",IFERROR(INDEX('Paramètres'!$N:$N,MATCH($D370,'Paramètres'!$M:$M,0))&amp;"",""))),0,IF($L370="Débit",$K370,IF($P370=1,-$K370,0))))</f>
        <v>185.2</v>
      </c>
      <c r="R370" s="6">
        <f>IF($K370="","",IF($L370="Crédit",$K370,-$K370))</f>
        <v>-185.2</v>
      </c>
      <c r="S370" s="6" t="str">
        <f>IF($C370="","",IFERROR(INDEX('Paramètres'!$H:$H,MATCH($C370,'Paramètres'!$D:$D,0))&amp;"",""))</f>
        <v>Banque A - Courant</v>
      </c>
      <c r="T370" s="6">
        <f>IF($K370="","",IF($S370="",0,IF(ISNUMBER(SEARCH("apport-exterieur",IFERROR(INDEX('Paramètres'!$N:$N,MATCH($D370,'Paramètres'!$M:$M,0))&amp;"",""))),0,IF(OR(IFERROR(INDEX('Paramètres'!$I:$I,MATCH($C370,'Paramètres'!$D:$D,0))&amp;"","")="Les deux",IFERROR(INDEX('Paramètres'!$I:$I,MATCH($C370,'Paramètres'!$D:$D,0))&amp;"","")=IF($P370=1,"Débit",$L370)),-IF($P370=1,-$K370,$K370),0))))</f>
        <v>-185.2</v>
      </c>
      <c r="U370" s="6">
        <f>IF($K370="","",IF(ISNUMBER(SEARCH("sortie-epargne",IFERROR(INDEX('Paramètres'!$N:$N,MATCH($D370,'Paramètres'!$M:$M,0))&amp;"",""))),$K370,0))</f>
        <v>0</v>
      </c>
      <c r="V370" s="6" t="str">
        <f>IF(AND($A370&lt;&gt;"",$O370=1,$L370="Débit",N($Q370)&gt;0,$A370&gt;=Visualisation!$B$1,$A370&lt;Visualisation!$D$1),MAX($V$1:V369)+1,"")</f>
        <v/>
      </c>
    </row>
    <row r="371" spans="1:22" x14ac:dyDescent="0.25">
      <c r="A371" s="9">
        <v>45789</v>
      </c>
      <c r="B371" s="4" t="s">
        <v>97</v>
      </c>
      <c r="C371" s="4" t="s">
        <v>75</v>
      </c>
      <c r="D371" s="4" t="s">
        <v>97</v>
      </c>
      <c r="E371" s="10">
        <v>47.9</v>
      </c>
      <c r="G371" s="4"/>
      <c r="H371" s="4"/>
      <c r="I371" s="4"/>
      <c r="K371" s="11">
        <f>IF($E371="","",ROUND($E371*IF(ISNA(MATCH($C371,'Paramètres'!$D:$D,0)),1,IF(INDEX('Paramètres'!$J:$J,MATCH($C371,'Paramètres'!$D:$D,0))="",1,INDEX('Paramètres'!$J:$J,MATCH($C371,'Paramètres'!$D:$D,0)))),2))</f>
        <v>47.9</v>
      </c>
      <c r="L371" s="6" t="str">
        <f>IF($D371="","",IF($F371&lt;&gt;"",$F371,IF(ISNA(MATCH($D371,'Paramètres'!$M:$M,0)),"⚠ Type inconnu",IFERROR(INDEX('Paramètres'!$P:$P,MATCH($D371,'Paramètres'!$M:$M,0))&amp;"",""))))</f>
        <v>Débit</v>
      </c>
      <c r="M371" s="6" t="str">
        <f>IF($D371="","",IF(ISNA(MATCH($D371,'Paramètres'!$M:$M,0)),"⚠ Type inconnu",IF($L371="Crédit","",IFERROR(INDEX('Paramètres'!$O:$O,MATCH($D371,'Paramètres'!$M:$M,0))&amp;"",""))))</f>
        <v>Dépense Fixe</v>
      </c>
      <c r="N371" s="6" t="str">
        <f>IF($D371="","",IFERROR(INDEX('Paramètres'!$Q:$Q,MATCH($D371,'Paramètres'!$M:$M,0))&amp;"",""))</f>
        <v>Assurances</v>
      </c>
      <c r="O371" s="6">
        <f>IF($A371="","",IF(OR($J371&lt;&gt;"x",$A371&lt;=FinReleve),1,0))</f>
        <v>1</v>
      </c>
      <c r="P371" s="6">
        <f>IF($D371="","",IF(AND($L371="Crédit",OR(IFERROR(INDEX('Paramètres'!$O:$O,MATCH($D371,'Paramètres'!$M:$M,0))&amp;"","")&lt;&gt;"",ISNUMBER(SEARCH("remboursement",IFERROR(INDEX('Paramètres'!$N:$N,MATCH($D371,'Paramètres'!$M:$M,0))&amp;"",""))))),1,0))</f>
        <v>0</v>
      </c>
      <c r="Q371" s="6">
        <f>IF($K371="","",IF(ISNUMBER(SEARCH("transfert-interne",IFERROR(INDEX('Paramètres'!$N:$N,MATCH($D371,'Paramètres'!$M:$M,0))&amp;"",""))),0,IF($L371="Débit",$K371,IF($P371=1,-$K371,0))))</f>
        <v>47.9</v>
      </c>
      <c r="R371" s="6">
        <f>IF($K371="","",IF($L371="Crédit",$K371,-$K371))</f>
        <v>-47.9</v>
      </c>
      <c r="S371" s="6" t="str">
        <f>IF($C371="","",IFERROR(INDEX('Paramètres'!$H:$H,MATCH($C371,'Paramètres'!$D:$D,0))&amp;"",""))</f>
        <v/>
      </c>
      <c r="T371" s="6">
        <f>IF($K371="","",IF($S371="",0,IF(ISNUMBER(SEARCH("apport-exterieur",IFERROR(INDEX('Paramètres'!$N:$N,MATCH($D371,'Paramètres'!$M:$M,0))&amp;"",""))),0,IF(OR(IFERROR(INDEX('Paramètres'!$I:$I,MATCH($C371,'Paramètres'!$D:$D,0))&amp;"","")="Les deux",IFERROR(INDEX('Paramètres'!$I:$I,MATCH($C371,'Paramètres'!$D:$D,0))&amp;"","")=IF($P371=1,"Débit",$L371)),-IF($P371=1,-$K371,$K371),0))))</f>
        <v>0</v>
      </c>
      <c r="U371" s="6">
        <f>IF($K371="","",IF(ISNUMBER(SEARCH("sortie-epargne",IFERROR(INDEX('Paramètres'!$N:$N,MATCH($D371,'Paramètres'!$M:$M,0))&amp;"",""))),$K371,0))</f>
        <v>0</v>
      </c>
      <c r="V371" s="6" t="str">
        <f>IF(AND($A371&lt;&gt;"",$O371=1,$L371="Débit",N($Q371)&gt;0,$A371&gt;=Visualisation!$B$1,$A371&lt;Visualisation!$D$1),MAX($V$1:V370)+1,"")</f>
        <v/>
      </c>
    </row>
    <row r="372" spans="1:22" x14ac:dyDescent="0.25">
      <c r="A372" s="9">
        <v>45789</v>
      </c>
      <c r="B372" s="4" t="s">
        <v>76</v>
      </c>
      <c r="C372" s="4" t="s">
        <v>60</v>
      </c>
      <c r="D372" s="4" t="s">
        <v>77</v>
      </c>
      <c r="E372" s="10">
        <v>133.28</v>
      </c>
      <c r="G372" s="4" t="s">
        <v>102</v>
      </c>
      <c r="H372" s="4"/>
      <c r="I372" s="4" t="s">
        <v>93</v>
      </c>
      <c r="K372" s="11">
        <f>IF($E372="","",ROUND($E372*IF(ISNA(MATCH($C372,'Paramètres'!$D:$D,0)),1,IF(INDEX('Paramètres'!$J:$J,MATCH($C372,'Paramètres'!$D:$D,0))="",1,INDEX('Paramètres'!$J:$J,MATCH($C372,'Paramètres'!$D:$D,0)))),2))</f>
        <v>66.64</v>
      </c>
      <c r="L372" s="6" t="str">
        <f>IF($D372="","",IF($F372&lt;&gt;"",$F372,IF(ISNA(MATCH($D372,'Paramètres'!$M:$M,0)),"⚠ Type inconnu",IFERROR(INDEX('Paramètres'!$P:$P,MATCH($D372,'Paramètres'!$M:$M,0))&amp;"",""))))</f>
        <v>Débit</v>
      </c>
      <c r="M372" s="6" t="str">
        <f>IF($D372="","",IF(ISNA(MATCH($D372,'Paramètres'!$M:$M,0)),"⚠ Type inconnu",IF($L372="Crédit","",IFERROR(INDEX('Paramètres'!$O:$O,MATCH($D372,'Paramètres'!$M:$M,0))&amp;"",""))))</f>
        <v>Dépense Courante</v>
      </c>
      <c r="N372" s="6" t="str">
        <f>IF($D372="","",IFERROR(INDEX('Paramètres'!$Q:$Q,MATCH($D372,'Paramètres'!$M:$M,0))&amp;"",""))</f>
        <v>Alimentation</v>
      </c>
      <c r="O372" s="6">
        <f>IF($A372="","",IF(OR($J372&lt;&gt;"x",$A372&lt;=FinReleve),1,0))</f>
        <v>1</v>
      </c>
      <c r="P372" s="6">
        <f>IF($D372="","",IF(AND($L372="Crédit",OR(IFERROR(INDEX('Paramètres'!$O:$O,MATCH($D372,'Paramètres'!$M:$M,0))&amp;"","")&lt;&gt;"",ISNUMBER(SEARCH("remboursement",IFERROR(INDEX('Paramètres'!$N:$N,MATCH($D372,'Paramètres'!$M:$M,0))&amp;"",""))))),1,0))</f>
        <v>0</v>
      </c>
      <c r="Q372" s="6">
        <f>IF($K372="","",IF(ISNUMBER(SEARCH("transfert-interne",IFERROR(INDEX('Paramètres'!$N:$N,MATCH($D372,'Paramètres'!$M:$M,0))&amp;"",""))),0,IF($L372="Débit",$K372,IF($P372=1,-$K372,0))))</f>
        <v>66.64</v>
      </c>
      <c r="R372" s="6">
        <f>IF($K372="","",IF($L372="Crédit",$K372,-$K372))</f>
        <v>-66.64</v>
      </c>
      <c r="S372" s="6" t="str">
        <f>IF($C372="","",IFERROR(INDEX('Paramètres'!$H:$H,MATCH($C372,'Paramètres'!$D:$D,0))&amp;"",""))</f>
        <v>Banque A - Courant</v>
      </c>
      <c r="T372" s="6">
        <f>IF($K372="","",IF($S372="",0,IF(ISNUMBER(SEARCH("apport-exterieur",IFERROR(INDEX('Paramètres'!$N:$N,MATCH($D372,'Paramètres'!$M:$M,0))&amp;"",""))),0,IF(OR(IFERROR(INDEX('Paramètres'!$I:$I,MATCH($C372,'Paramètres'!$D:$D,0))&amp;"","")="Les deux",IFERROR(INDEX('Paramètres'!$I:$I,MATCH($C372,'Paramètres'!$D:$D,0))&amp;"","")=IF($P372=1,"Débit",$L372)),-IF($P372=1,-$K372,$K372),0))))</f>
        <v>-66.64</v>
      </c>
      <c r="U372" s="6">
        <f>IF($K372="","",IF(ISNUMBER(SEARCH("sortie-epargne",IFERROR(INDEX('Paramètres'!$N:$N,MATCH($D372,'Paramètres'!$M:$M,0))&amp;"",""))),$K372,0))</f>
        <v>0</v>
      </c>
      <c r="V372" s="6" t="str">
        <f>IF(AND($A372&lt;&gt;"",$O372=1,$L372="Débit",N($Q372)&gt;0,$A372&gt;=Visualisation!$B$1,$A372&lt;Visualisation!$D$1),MAX($V$1:V371)+1,"")</f>
        <v/>
      </c>
    </row>
    <row r="373" spans="1:22" x14ac:dyDescent="0.25">
      <c r="A373" s="9">
        <v>45789</v>
      </c>
      <c r="B373" s="4" t="s">
        <v>119</v>
      </c>
      <c r="C373" s="4" t="s">
        <v>126</v>
      </c>
      <c r="D373" s="4" t="s">
        <v>119</v>
      </c>
      <c r="E373" s="10">
        <v>123.42</v>
      </c>
      <c r="G373" s="4" t="s">
        <v>137</v>
      </c>
      <c r="H373" s="4"/>
      <c r="I373" s="4" t="s">
        <v>93</v>
      </c>
      <c r="K373" s="11">
        <f>IF($E373="","",ROUND($E373*IF(ISNA(MATCH($C373,'Paramètres'!$D:$D,0)),1,IF(INDEX('Paramètres'!$J:$J,MATCH($C373,'Paramètres'!$D:$D,0))="",1,INDEX('Paramètres'!$J:$J,MATCH($C373,'Paramètres'!$D:$D,0)))),2))</f>
        <v>61.71</v>
      </c>
      <c r="L373" s="6" t="str">
        <f>IF($D373="","",IF($F373&lt;&gt;"",$F373,IF(ISNA(MATCH($D373,'Paramètres'!$M:$M,0)),"⚠ Type inconnu",IFERROR(INDEX('Paramètres'!$P:$P,MATCH($D373,'Paramètres'!$M:$M,0))&amp;"",""))))</f>
        <v>Débit</v>
      </c>
      <c r="M373" s="6" t="str">
        <f>IF($D373="","",IF(ISNA(MATCH($D373,'Paramètres'!$M:$M,0)),"⚠ Type inconnu",IF($L373="Crédit","",IFERROR(INDEX('Paramètres'!$O:$O,MATCH($D373,'Paramètres'!$M:$M,0))&amp;"",""))))</f>
        <v>Dépense Occasionnelle</v>
      </c>
      <c r="N373" s="6" t="str">
        <f>IF($D373="","",IFERROR(INDEX('Paramètres'!$Q:$Q,MATCH($D373,'Paramètres'!$M:$M,0))&amp;"",""))</f>
        <v>Alimentation</v>
      </c>
      <c r="O373" s="6">
        <f>IF($A373="","",IF(OR($J373&lt;&gt;"x",$A373&lt;=FinReleve),1,0))</f>
        <v>1</v>
      </c>
      <c r="P373" s="6">
        <f>IF($D373="","",IF(AND($L373="Crédit",OR(IFERROR(INDEX('Paramètres'!$O:$O,MATCH($D373,'Paramètres'!$M:$M,0))&amp;"","")&lt;&gt;"",ISNUMBER(SEARCH("remboursement",IFERROR(INDEX('Paramètres'!$N:$N,MATCH($D373,'Paramètres'!$M:$M,0))&amp;"",""))))),1,0))</f>
        <v>0</v>
      </c>
      <c r="Q373" s="6">
        <f>IF($K373="","",IF(ISNUMBER(SEARCH("transfert-interne",IFERROR(INDEX('Paramètres'!$N:$N,MATCH($D373,'Paramètres'!$M:$M,0))&amp;"",""))),0,IF($L373="Débit",$K373,IF($P373=1,-$K373,0))))</f>
        <v>61.71</v>
      </c>
      <c r="R373" s="6">
        <f>IF($K373="","",IF($L373="Crédit",$K373,-$K373))</f>
        <v>-61.71</v>
      </c>
      <c r="S373" s="6" t="str">
        <f>IF($C373="","",IFERROR(INDEX('Paramètres'!$H:$H,MATCH($C373,'Paramètres'!$D:$D,0))&amp;"",""))</f>
        <v>Banque A - Courant</v>
      </c>
      <c r="T373" s="6">
        <f>IF($K373="","",IF($S373="",0,IF(ISNUMBER(SEARCH("apport-exterieur",IFERROR(INDEX('Paramètres'!$N:$N,MATCH($D373,'Paramètres'!$M:$M,0))&amp;"",""))),0,IF(OR(IFERROR(INDEX('Paramètres'!$I:$I,MATCH($C373,'Paramètres'!$D:$D,0))&amp;"","")="Les deux",IFERROR(INDEX('Paramètres'!$I:$I,MATCH($C373,'Paramètres'!$D:$D,0))&amp;"","")=IF($P373=1,"Débit",$L373)),-IF($P373=1,-$K373,$K373),0))))</f>
        <v>-61.71</v>
      </c>
      <c r="U373" s="6">
        <f>IF($K373="","",IF(ISNUMBER(SEARCH("sortie-epargne",IFERROR(INDEX('Paramètres'!$N:$N,MATCH($D373,'Paramètres'!$M:$M,0))&amp;"",""))),$K373,0))</f>
        <v>0</v>
      </c>
      <c r="V373" s="6" t="str">
        <f>IF(AND($A373&lt;&gt;"",$O373=1,$L373="Débit",N($Q373)&gt;0,$A373&gt;=Visualisation!$B$1,$A373&lt;Visualisation!$D$1),MAX($V$1:V372)+1,"")</f>
        <v/>
      </c>
    </row>
    <row r="374" spans="1:22" x14ac:dyDescent="0.25">
      <c r="A374" s="9">
        <v>45790</v>
      </c>
      <c r="B374" s="4" t="s">
        <v>69</v>
      </c>
      <c r="C374" s="4" t="s">
        <v>70</v>
      </c>
      <c r="D374" s="4" t="s">
        <v>71</v>
      </c>
      <c r="E374" s="10">
        <v>9.85</v>
      </c>
      <c r="G374" s="4" t="s">
        <v>72</v>
      </c>
      <c r="H374" s="4"/>
      <c r="I374" s="4" t="s">
        <v>63</v>
      </c>
      <c r="K374" s="11">
        <f>IF($E374="","",ROUND($E374*IF(ISNA(MATCH($C374,'Paramètres'!$D:$D,0)),1,IF(INDEX('Paramètres'!$J:$J,MATCH($C374,'Paramètres'!$D:$D,0))="",1,INDEX('Paramètres'!$J:$J,MATCH($C374,'Paramètres'!$D:$D,0)))),2))</f>
        <v>9.85</v>
      </c>
      <c r="L374" s="6" t="str">
        <f>IF($D374="","",IF($F374&lt;&gt;"",$F374,IF(ISNA(MATCH($D374,'Paramètres'!$M:$M,0)),"⚠ Type inconnu",IFERROR(INDEX('Paramètres'!$P:$P,MATCH($D374,'Paramètres'!$M:$M,0))&amp;"",""))))</f>
        <v>Débit</v>
      </c>
      <c r="M374" s="6" t="str">
        <f>IF($D374="","",IF(ISNA(MATCH($D374,'Paramètres'!$M:$M,0)),"⚠ Type inconnu",IF($L374="Crédit","",IFERROR(INDEX('Paramètres'!$O:$O,MATCH($D374,'Paramètres'!$M:$M,0))&amp;"",""))))</f>
        <v>Dépense Courante</v>
      </c>
      <c r="N374" s="6" t="str">
        <f>IF($D374="","",IFERROR(INDEX('Paramètres'!$Q:$Q,MATCH($D374,'Paramètres'!$M:$M,0))&amp;"",""))</f>
        <v>Alimentation</v>
      </c>
      <c r="O374" s="6">
        <f>IF($A374="","",IF(OR($J374&lt;&gt;"x",$A374&lt;=FinReleve),1,0))</f>
        <v>1</v>
      </c>
      <c r="P374" s="6">
        <f>IF($D374="","",IF(AND($L374="Crédit",OR(IFERROR(INDEX('Paramètres'!$O:$O,MATCH($D374,'Paramètres'!$M:$M,0))&amp;"","")&lt;&gt;"",ISNUMBER(SEARCH("remboursement",IFERROR(INDEX('Paramètres'!$N:$N,MATCH($D374,'Paramètres'!$M:$M,0))&amp;"",""))))),1,0))</f>
        <v>0</v>
      </c>
      <c r="Q374" s="6">
        <f>IF($K374="","",IF(ISNUMBER(SEARCH("transfert-interne",IFERROR(INDEX('Paramètres'!$N:$N,MATCH($D374,'Paramètres'!$M:$M,0))&amp;"",""))),0,IF($L374="Débit",$K374,IF($P374=1,-$K374,0))))</f>
        <v>9.85</v>
      </c>
      <c r="R374" s="6">
        <f>IF($K374="","",IF($L374="Crédit",$K374,-$K374))</f>
        <v>-9.85</v>
      </c>
      <c r="S374" s="6" t="str">
        <f>IF($C374="","",IFERROR(INDEX('Paramètres'!$H:$H,MATCH($C374,'Paramètres'!$D:$D,0))&amp;"",""))</f>
        <v/>
      </c>
      <c r="T374" s="6">
        <f>IF($K374="","",IF($S374="",0,IF(ISNUMBER(SEARCH("apport-exterieur",IFERROR(INDEX('Paramètres'!$N:$N,MATCH($D374,'Paramètres'!$M:$M,0))&amp;"",""))),0,IF(OR(IFERROR(INDEX('Paramètres'!$I:$I,MATCH($C374,'Paramètres'!$D:$D,0))&amp;"","")="Les deux",IFERROR(INDEX('Paramètres'!$I:$I,MATCH($C374,'Paramètres'!$D:$D,0))&amp;"","")=IF($P374=1,"Débit",$L374)),-IF($P374=1,-$K374,$K374),0))))</f>
        <v>0</v>
      </c>
      <c r="U374" s="6">
        <f>IF($K374="","",IF(ISNUMBER(SEARCH("sortie-epargne",IFERROR(INDEX('Paramètres'!$N:$N,MATCH($D374,'Paramètres'!$M:$M,0))&amp;"",""))),$K374,0))</f>
        <v>0</v>
      </c>
      <c r="V374" s="6" t="str">
        <f>IF(AND($A374&lt;&gt;"",$O374=1,$L374="Débit",N($Q374)&gt;0,$A374&gt;=Visualisation!$B$1,$A374&lt;Visualisation!$D$1),MAX($V$1:V373)+1,"")</f>
        <v/>
      </c>
    </row>
    <row r="375" spans="1:22" x14ac:dyDescent="0.25">
      <c r="A375" s="9">
        <v>45790</v>
      </c>
      <c r="B375" s="4" t="s">
        <v>69</v>
      </c>
      <c r="C375" s="4" t="s">
        <v>70</v>
      </c>
      <c r="D375" s="4" t="s">
        <v>71</v>
      </c>
      <c r="E375" s="10">
        <v>7.55</v>
      </c>
      <c r="G375" s="4" t="s">
        <v>72</v>
      </c>
      <c r="H375" s="4"/>
      <c r="I375" s="4" t="s">
        <v>63</v>
      </c>
      <c r="K375" s="11">
        <f>IF($E375="","",ROUND($E375*IF(ISNA(MATCH($C375,'Paramètres'!$D:$D,0)),1,IF(INDEX('Paramètres'!$J:$J,MATCH($C375,'Paramètres'!$D:$D,0))="",1,INDEX('Paramètres'!$J:$J,MATCH($C375,'Paramètres'!$D:$D,0)))),2))</f>
        <v>7.55</v>
      </c>
      <c r="L375" s="6" t="str">
        <f>IF($D375="","",IF($F375&lt;&gt;"",$F375,IF(ISNA(MATCH($D375,'Paramètres'!$M:$M,0)),"⚠ Type inconnu",IFERROR(INDEX('Paramètres'!$P:$P,MATCH($D375,'Paramètres'!$M:$M,0))&amp;"",""))))</f>
        <v>Débit</v>
      </c>
      <c r="M375" s="6" t="str">
        <f>IF($D375="","",IF(ISNA(MATCH($D375,'Paramètres'!$M:$M,0)),"⚠ Type inconnu",IF($L375="Crédit","",IFERROR(INDEX('Paramètres'!$O:$O,MATCH($D375,'Paramètres'!$M:$M,0))&amp;"",""))))</f>
        <v>Dépense Courante</v>
      </c>
      <c r="N375" s="6" t="str">
        <f>IF($D375="","",IFERROR(INDEX('Paramètres'!$Q:$Q,MATCH($D375,'Paramètres'!$M:$M,0))&amp;"",""))</f>
        <v>Alimentation</v>
      </c>
      <c r="O375" s="6">
        <f>IF($A375="","",IF(OR($J375&lt;&gt;"x",$A375&lt;=FinReleve),1,0))</f>
        <v>1</v>
      </c>
      <c r="P375" s="6">
        <f>IF($D375="","",IF(AND($L375="Crédit",OR(IFERROR(INDEX('Paramètres'!$O:$O,MATCH($D375,'Paramètres'!$M:$M,0))&amp;"","")&lt;&gt;"",ISNUMBER(SEARCH("remboursement",IFERROR(INDEX('Paramètres'!$N:$N,MATCH($D375,'Paramètres'!$M:$M,0))&amp;"",""))))),1,0))</f>
        <v>0</v>
      </c>
      <c r="Q375" s="6">
        <f>IF($K375="","",IF(ISNUMBER(SEARCH("transfert-interne",IFERROR(INDEX('Paramètres'!$N:$N,MATCH($D375,'Paramètres'!$M:$M,0))&amp;"",""))),0,IF($L375="Débit",$K375,IF($P375=1,-$K375,0))))</f>
        <v>7.55</v>
      </c>
      <c r="R375" s="6">
        <f>IF($K375="","",IF($L375="Crédit",$K375,-$K375))</f>
        <v>-7.55</v>
      </c>
      <c r="S375" s="6" t="str">
        <f>IF($C375="","",IFERROR(INDEX('Paramètres'!$H:$H,MATCH($C375,'Paramètres'!$D:$D,0))&amp;"",""))</f>
        <v/>
      </c>
      <c r="T375" s="6">
        <f>IF($K375="","",IF($S375="",0,IF(ISNUMBER(SEARCH("apport-exterieur",IFERROR(INDEX('Paramètres'!$N:$N,MATCH($D375,'Paramètres'!$M:$M,0))&amp;"",""))),0,IF(OR(IFERROR(INDEX('Paramètres'!$I:$I,MATCH($C375,'Paramètres'!$D:$D,0))&amp;"","")="Les deux",IFERROR(INDEX('Paramètres'!$I:$I,MATCH($C375,'Paramètres'!$D:$D,0))&amp;"","")=IF($P375=1,"Débit",$L375)),-IF($P375=1,-$K375,$K375),0))))</f>
        <v>0</v>
      </c>
      <c r="U375" s="6">
        <f>IF($K375="","",IF(ISNUMBER(SEARCH("sortie-epargne",IFERROR(INDEX('Paramètres'!$N:$N,MATCH($D375,'Paramètres'!$M:$M,0))&amp;"",""))),$K375,0))</f>
        <v>0</v>
      </c>
      <c r="V375" s="6" t="str">
        <f>IF(AND($A375&lt;&gt;"",$O375=1,$L375="Débit",N($Q375)&gt;0,$A375&gt;=Visualisation!$B$1,$A375&lt;Visualisation!$D$1),MAX($V$1:V374)+1,"")</f>
        <v/>
      </c>
    </row>
    <row r="376" spans="1:22" x14ac:dyDescent="0.25">
      <c r="A376" s="9">
        <v>45792</v>
      </c>
      <c r="B376" s="4" t="s">
        <v>100</v>
      </c>
      <c r="C376" s="4" t="s">
        <v>65</v>
      </c>
      <c r="D376" s="4" t="s">
        <v>100</v>
      </c>
      <c r="E376" s="10">
        <v>110.37</v>
      </c>
      <c r="G376" s="4"/>
      <c r="H376" s="4"/>
      <c r="I376" s="4"/>
      <c r="K376" s="11">
        <f>IF($E376="","",ROUND($E376*IF(ISNA(MATCH($C376,'Paramètres'!$D:$D,0)),1,IF(INDEX('Paramètres'!$J:$J,MATCH($C376,'Paramètres'!$D:$D,0))="",1,INDEX('Paramètres'!$J:$J,MATCH($C376,'Paramètres'!$D:$D,0)))),2))</f>
        <v>110.37</v>
      </c>
      <c r="L376" s="6" t="str">
        <f>IF($D376="","",IF($F376&lt;&gt;"",$F376,IF(ISNA(MATCH($D376,'Paramètres'!$M:$M,0)),"⚠ Type inconnu",IFERROR(INDEX('Paramètres'!$P:$P,MATCH($D376,'Paramètres'!$M:$M,0))&amp;"",""))))</f>
        <v>Débit</v>
      </c>
      <c r="M376" s="6" t="str">
        <f>IF($D376="","",IF(ISNA(MATCH($D376,'Paramètres'!$M:$M,0)),"⚠ Type inconnu",IF($L376="Crédit","",IFERROR(INDEX('Paramètres'!$O:$O,MATCH($D376,'Paramètres'!$M:$M,0))&amp;"",""))))</f>
        <v>Dépense Fixe</v>
      </c>
      <c r="N376" s="6" t="str">
        <f>IF($D376="","",IFERROR(INDEX('Paramètres'!$Q:$Q,MATCH($D376,'Paramètres'!$M:$M,0))&amp;"",""))</f>
        <v>Immobilier</v>
      </c>
      <c r="O376" s="6">
        <f>IF($A376="","",IF(OR($J376&lt;&gt;"x",$A376&lt;=FinReleve),1,0))</f>
        <v>1</v>
      </c>
      <c r="P376" s="6">
        <f>IF($D376="","",IF(AND($L376="Crédit",OR(IFERROR(INDEX('Paramètres'!$O:$O,MATCH($D376,'Paramètres'!$M:$M,0))&amp;"","")&lt;&gt;"",ISNUMBER(SEARCH("remboursement",IFERROR(INDEX('Paramètres'!$N:$N,MATCH($D376,'Paramètres'!$M:$M,0))&amp;"",""))))),1,0))</f>
        <v>0</v>
      </c>
      <c r="Q376" s="6">
        <f>IF($K376="","",IF(ISNUMBER(SEARCH("transfert-interne",IFERROR(INDEX('Paramètres'!$N:$N,MATCH($D376,'Paramètres'!$M:$M,0))&amp;"",""))),0,IF($L376="Débit",$K376,IF($P376=1,-$K376,0))))</f>
        <v>110.37</v>
      </c>
      <c r="R376" s="6">
        <f>IF($K376="","",IF($L376="Crédit",$K376,-$K376))</f>
        <v>-110.37</v>
      </c>
      <c r="S376" s="6" t="str">
        <f>IF($C376="","",IFERROR(INDEX('Paramètres'!$H:$H,MATCH($C376,'Paramètres'!$D:$D,0))&amp;"",""))</f>
        <v>Banque A - Courant</v>
      </c>
      <c r="T376" s="6">
        <f>IF($K376="","",IF($S376="",0,IF(ISNUMBER(SEARCH("apport-exterieur",IFERROR(INDEX('Paramètres'!$N:$N,MATCH($D376,'Paramètres'!$M:$M,0))&amp;"",""))),0,IF(OR(IFERROR(INDEX('Paramètres'!$I:$I,MATCH($C376,'Paramètres'!$D:$D,0))&amp;"","")="Les deux",IFERROR(INDEX('Paramètres'!$I:$I,MATCH($C376,'Paramètres'!$D:$D,0))&amp;"","")=IF($P376=1,"Débit",$L376)),-IF($P376=1,-$K376,$K376),0))))</f>
        <v>0</v>
      </c>
      <c r="U376" s="6">
        <f>IF($K376="","",IF(ISNUMBER(SEARCH("sortie-epargne",IFERROR(INDEX('Paramètres'!$N:$N,MATCH($D376,'Paramètres'!$M:$M,0))&amp;"",""))),$K376,0))</f>
        <v>0</v>
      </c>
      <c r="V376" s="6" t="str">
        <f>IF(AND($A376&lt;&gt;"",$O376=1,$L376="Débit",N($Q376)&gt;0,$A376&gt;=Visualisation!$B$1,$A376&lt;Visualisation!$D$1),MAX($V$1:V375)+1,"")</f>
        <v/>
      </c>
    </row>
    <row r="377" spans="1:22" x14ac:dyDescent="0.25">
      <c r="A377" s="9">
        <v>45792</v>
      </c>
      <c r="B377" s="4" t="s">
        <v>76</v>
      </c>
      <c r="C377" s="4" t="s">
        <v>67</v>
      </c>
      <c r="D377" s="4" t="s">
        <v>77</v>
      </c>
      <c r="E377" s="10">
        <v>153.36</v>
      </c>
      <c r="G377" s="4" t="s">
        <v>78</v>
      </c>
      <c r="H377" s="4"/>
      <c r="I377" s="4" t="s">
        <v>73</v>
      </c>
      <c r="K377" s="11">
        <f>IF($E377="","",ROUND($E377*IF(ISNA(MATCH($C377,'Paramètres'!$D:$D,0)),1,IF(INDEX('Paramètres'!$J:$J,MATCH($C377,'Paramètres'!$D:$D,0))="",1,INDEX('Paramètres'!$J:$J,MATCH($C377,'Paramètres'!$D:$D,0)))),2))</f>
        <v>76.68</v>
      </c>
      <c r="L377" s="6" t="str">
        <f>IF($D377="","",IF($F377&lt;&gt;"",$F377,IF(ISNA(MATCH($D377,'Paramètres'!$M:$M,0)),"⚠ Type inconnu",IFERROR(INDEX('Paramètres'!$P:$P,MATCH($D377,'Paramètres'!$M:$M,0))&amp;"",""))))</f>
        <v>Débit</v>
      </c>
      <c r="M377" s="6" t="str">
        <f>IF($D377="","",IF(ISNA(MATCH($D377,'Paramètres'!$M:$M,0)),"⚠ Type inconnu",IF($L377="Crédit","",IFERROR(INDEX('Paramètres'!$O:$O,MATCH($D377,'Paramètres'!$M:$M,0))&amp;"",""))))</f>
        <v>Dépense Courante</v>
      </c>
      <c r="N377" s="6" t="str">
        <f>IF($D377="","",IFERROR(INDEX('Paramètres'!$Q:$Q,MATCH($D377,'Paramètres'!$M:$M,0))&amp;"",""))</f>
        <v>Alimentation</v>
      </c>
      <c r="O377" s="6">
        <f>IF($A377="","",IF(OR($J377&lt;&gt;"x",$A377&lt;=FinReleve),1,0))</f>
        <v>1</v>
      </c>
      <c r="P377" s="6">
        <f>IF($D377="","",IF(AND($L377="Crédit",OR(IFERROR(INDEX('Paramètres'!$O:$O,MATCH($D377,'Paramètres'!$M:$M,0))&amp;"","")&lt;&gt;"",ISNUMBER(SEARCH("remboursement",IFERROR(INDEX('Paramètres'!$N:$N,MATCH($D377,'Paramètres'!$M:$M,0))&amp;"",""))))),1,0))</f>
        <v>0</v>
      </c>
      <c r="Q377" s="6">
        <f>IF($K377="","",IF(ISNUMBER(SEARCH("transfert-interne",IFERROR(INDEX('Paramètres'!$N:$N,MATCH($D377,'Paramètres'!$M:$M,0))&amp;"",""))),0,IF($L377="Débit",$K377,IF($P377=1,-$K377,0))))</f>
        <v>76.68</v>
      </c>
      <c r="R377" s="6">
        <f>IF($K377="","",IF($L377="Crédit",$K377,-$K377))</f>
        <v>-76.68</v>
      </c>
      <c r="S377" s="6" t="str">
        <f>IF($C377="","",IFERROR(INDEX('Paramètres'!$H:$H,MATCH($C377,'Paramètres'!$D:$D,0))&amp;"",""))</f>
        <v>Banque A - Courant</v>
      </c>
      <c r="T377" s="6">
        <f>IF($K377="","",IF($S377="",0,IF(ISNUMBER(SEARCH("apport-exterieur",IFERROR(INDEX('Paramètres'!$N:$N,MATCH($D377,'Paramètres'!$M:$M,0))&amp;"",""))),0,IF(OR(IFERROR(INDEX('Paramètres'!$I:$I,MATCH($C377,'Paramètres'!$D:$D,0))&amp;"","")="Les deux",IFERROR(INDEX('Paramètres'!$I:$I,MATCH($C377,'Paramètres'!$D:$D,0))&amp;"","")=IF($P377=1,"Débit",$L377)),-IF($P377=1,-$K377,$K377),0))))</f>
        <v>0</v>
      </c>
      <c r="U377" s="6">
        <f>IF($K377="","",IF(ISNUMBER(SEARCH("sortie-epargne",IFERROR(INDEX('Paramètres'!$N:$N,MATCH($D377,'Paramètres'!$M:$M,0))&amp;"",""))),$K377,0))</f>
        <v>0</v>
      </c>
      <c r="V377" s="6" t="str">
        <f>IF(AND($A377&lt;&gt;"",$O377=1,$L377="Débit",N($Q377)&gt;0,$A377&gt;=Visualisation!$B$1,$A377&lt;Visualisation!$D$1),MAX($V$1:V376)+1,"")</f>
        <v/>
      </c>
    </row>
    <row r="378" spans="1:22" x14ac:dyDescent="0.25">
      <c r="A378" s="9">
        <v>45792</v>
      </c>
      <c r="B378" s="4" t="s">
        <v>76</v>
      </c>
      <c r="C378" s="4" t="s">
        <v>67</v>
      </c>
      <c r="D378" s="4" t="s">
        <v>77</v>
      </c>
      <c r="E378" s="10">
        <v>188.7</v>
      </c>
      <c r="G378" s="4" t="s">
        <v>78</v>
      </c>
      <c r="H378" s="4"/>
      <c r="I378" s="4" t="s">
        <v>93</v>
      </c>
      <c r="K378" s="11">
        <f>IF($E378="","",ROUND($E378*IF(ISNA(MATCH($C378,'Paramètres'!$D:$D,0)),1,IF(INDEX('Paramètres'!$J:$J,MATCH($C378,'Paramètres'!$D:$D,0))="",1,INDEX('Paramètres'!$J:$J,MATCH($C378,'Paramètres'!$D:$D,0)))),2))</f>
        <v>94.35</v>
      </c>
      <c r="L378" s="6" t="str">
        <f>IF($D378="","",IF($F378&lt;&gt;"",$F378,IF(ISNA(MATCH($D378,'Paramètres'!$M:$M,0)),"⚠ Type inconnu",IFERROR(INDEX('Paramètres'!$P:$P,MATCH($D378,'Paramètres'!$M:$M,0))&amp;"",""))))</f>
        <v>Débit</v>
      </c>
      <c r="M378" s="6" t="str">
        <f>IF($D378="","",IF(ISNA(MATCH($D378,'Paramètres'!$M:$M,0)),"⚠ Type inconnu",IF($L378="Crédit","",IFERROR(INDEX('Paramètres'!$O:$O,MATCH($D378,'Paramètres'!$M:$M,0))&amp;"",""))))</f>
        <v>Dépense Courante</v>
      </c>
      <c r="N378" s="6" t="str">
        <f>IF($D378="","",IFERROR(INDEX('Paramètres'!$Q:$Q,MATCH($D378,'Paramètres'!$M:$M,0))&amp;"",""))</f>
        <v>Alimentation</v>
      </c>
      <c r="O378" s="6">
        <f>IF($A378="","",IF(OR($J378&lt;&gt;"x",$A378&lt;=FinReleve),1,0))</f>
        <v>1</v>
      </c>
      <c r="P378" s="6">
        <f>IF($D378="","",IF(AND($L378="Crédit",OR(IFERROR(INDEX('Paramètres'!$O:$O,MATCH($D378,'Paramètres'!$M:$M,0))&amp;"","")&lt;&gt;"",ISNUMBER(SEARCH("remboursement",IFERROR(INDEX('Paramètres'!$N:$N,MATCH($D378,'Paramètres'!$M:$M,0))&amp;"",""))))),1,0))</f>
        <v>0</v>
      </c>
      <c r="Q378" s="6">
        <f>IF($K378="","",IF(ISNUMBER(SEARCH("transfert-interne",IFERROR(INDEX('Paramètres'!$N:$N,MATCH($D378,'Paramètres'!$M:$M,0))&amp;"",""))),0,IF($L378="Débit",$K378,IF($P378=1,-$K378,0))))</f>
        <v>94.35</v>
      </c>
      <c r="R378" s="6">
        <f>IF($K378="","",IF($L378="Crédit",$K378,-$K378))</f>
        <v>-94.35</v>
      </c>
      <c r="S378" s="6" t="str">
        <f>IF($C378="","",IFERROR(INDEX('Paramètres'!$H:$H,MATCH($C378,'Paramètres'!$D:$D,0))&amp;"",""))</f>
        <v>Banque A - Courant</v>
      </c>
      <c r="T378" s="6">
        <f>IF($K378="","",IF($S378="",0,IF(ISNUMBER(SEARCH("apport-exterieur",IFERROR(INDEX('Paramètres'!$N:$N,MATCH($D378,'Paramètres'!$M:$M,0))&amp;"",""))),0,IF(OR(IFERROR(INDEX('Paramètres'!$I:$I,MATCH($C378,'Paramètres'!$D:$D,0))&amp;"","")="Les deux",IFERROR(INDEX('Paramètres'!$I:$I,MATCH($C378,'Paramètres'!$D:$D,0))&amp;"","")=IF($P378=1,"Débit",$L378)),-IF($P378=1,-$K378,$K378),0))))</f>
        <v>0</v>
      </c>
      <c r="U378" s="6">
        <f>IF($K378="","",IF(ISNUMBER(SEARCH("sortie-epargne",IFERROR(INDEX('Paramètres'!$N:$N,MATCH($D378,'Paramètres'!$M:$M,0))&amp;"",""))),$K378,0))</f>
        <v>0</v>
      </c>
      <c r="V378" s="6" t="str">
        <f>IF(AND($A378&lt;&gt;"",$O378=1,$L378="Débit",N($Q378)&gt;0,$A378&gt;=Visualisation!$B$1,$A378&lt;Visualisation!$D$1),MAX($V$1:V377)+1,"")</f>
        <v/>
      </c>
    </row>
    <row r="379" spans="1:22" x14ac:dyDescent="0.25">
      <c r="A379" s="9">
        <v>45792</v>
      </c>
      <c r="B379" s="4" t="s">
        <v>76</v>
      </c>
      <c r="C379" s="4" t="s">
        <v>60</v>
      </c>
      <c r="D379" s="4" t="s">
        <v>77</v>
      </c>
      <c r="E379" s="10">
        <v>149.7</v>
      </c>
      <c r="G379" s="4" t="s">
        <v>95</v>
      </c>
      <c r="H379" s="4"/>
      <c r="I379" s="4"/>
      <c r="K379" s="11">
        <f>IF($E379="","",ROUND($E379*IF(ISNA(MATCH($C379,'Paramètres'!$D:$D,0)),1,IF(INDEX('Paramètres'!$J:$J,MATCH($C379,'Paramètres'!$D:$D,0))="",1,INDEX('Paramètres'!$J:$J,MATCH($C379,'Paramètres'!$D:$D,0)))),2))</f>
        <v>74.85</v>
      </c>
      <c r="L379" s="6" t="str">
        <f>IF($D379="","",IF($F379&lt;&gt;"",$F379,IF(ISNA(MATCH($D379,'Paramètres'!$M:$M,0)),"⚠ Type inconnu",IFERROR(INDEX('Paramètres'!$P:$P,MATCH($D379,'Paramètres'!$M:$M,0))&amp;"",""))))</f>
        <v>Débit</v>
      </c>
      <c r="M379" s="6" t="str">
        <f>IF($D379="","",IF(ISNA(MATCH($D379,'Paramètres'!$M:$M,0)),"⚠ Type inconnu",IF($L379="Crédit","",IFERROR(INDEX('Paramètres'!$O:$O,MATCH($D379,'Paramètres'!$M:$M,0))&amp;"",""))))</f>
        <v>Dépense Courante</v>
      </c>
      <c r="N379" s="6" t="str">
        <f>IF($D379="","",IFERROR(INDEX('Paramètres'!$Q:$Q,MATCH($D379,'Paramètres'!$M:$M,0))&amp;"",""))</f>
        <v>Alimentation</v>
      </c>
      <c r="O379" s="6">
        <f>IF($A379="","",IF(OR($J379&lt;&gt;"x",$A379&lt;=FinReleve),1,0))</f>
        <v>1</v>
      </c>
      <c r="P379" s="6">
        <f>IF($D379="","",IF(AND($L379="Crédit",OR(IFERROR(INDEX('Paramètres'!$O:$O,MATCH($D379,'Paramètres'!$M:$M,0))&amp;"","")&lt;&gt;"",ISNUMBER(SEARCH("remboursement",IFERROR(INDEX('Paramètres'!$N:$N,MATCH($D379,'Paramètres'!$M:$M,0))&amp;"",""))))),1,0))</f>
        <v>0</v>
      </c>
      <c r="Q379" s="6">
        <f>IF($K379="","",IF(ISNUMBER(SEARCH("transfert-interne",IFERROR(INDEX('Paramètres'!$N:$N,MATCH($D379,'Paramètres'!$M:$M,0))&amp;"",""))),0,IF($L379="Débit",$K379,IF($P379=1,-$K379,0))))</f>
        <v>74.85</v>
      </c>
      <c r="R379" s="6">
        <f>IF($K379="","",IF($L379="Crédit",$K379,-$K379))</f>
        <v>-74.85</v>
      </c>
      <c r="S379" s="6" t="str">
        <f>IF($C379="","",IFERROR(INDEX('Paramètres'!$H:$H,MATCH($C379,'Paramètres'!$D:$D,0))&amp;"",""))</f>
        <v>Banque A - Courant</v>
      </c>
      <c r="T379" s="6">
        <f>IF($K379="","",IF($S379="",0,IF(ISNUMBER(SEARCH("apport-exterieur",IFERROR(INDEX('Paramètres'!$N:$N,MATCH($D379,'Paramètres'!$M:$M,0))&amp;"",""))),0,IF(OR(IFERROR(INDEX('Paramètres'!$I:$I,MATCH($C379,'Paramètres'!$D:$D,0))&amp;"","")="Les deux",IFERROR(INDEX('Paramètres'!$I:$I,MATCH($C379,'Paramètres'!$D:$D,0))&amp;"","")=IF($P379=1,"Débit",$L379)),-IF($P379=1,-$K379,$K379),0))))</f>
        <v>-74.85</v>
      </c>
      <c r="U379" s="6">
        <f>IF($K379="","",IF(ISNUMBER(SEARCH("sortie-epargne",IFERROR(INDEX('Paramètres'!$N:$N,MATCH($D379,'Paramètres'!$M:$M,0))&amp;"",""))),$K379,0))</f>
        <v>0</v>
      </c>
      <c r="V379" s="6" t="str">
        <f>IF(AND($A379&lt;&gt;"",$O379=1,$L379="Débit",N($Q379)&gt;0,$A379&gt;=Visualisation!$B$1,$A379&lt;Visualisation!$D$1),MAX($V$1:V378)+1,"")</f>
        <v/>
      </c>
    </row>
    <row r="380" spans="1:22" x14ac:dyDescent="0.25">
      <c r="A380" s="9">
        <v>45792</v>
      </c>
      <c r="B380" s="4" t="s">
        <v>121</v>
      </c>
      <c r="C380" s="4" t="s">
        <v>126</v>
      </c>
      <c r="D380" s="4" t="s">
        <v>121</v>
      </c>
      <c r="E380" s="10">
        <v>216.74</v>
      </c>
      <c r="G380" s="4" t="s">
        <v>137</v>
      </c>
      <c r="H380" s="4"/>
      <c r="I380" s="4" t="s">
        <v>63</v>
      </c>
      <c r="K380" s="11">
        <f>IF($E380="","",ROUND($E380*IF(ISNA(MATCH($C380,'Paramètres'!$D:$D,0)),1,IF(INDEX('Paramètres'!$J:$J,MATCH($C380,'Paramètres'!$D:$D,0))="",1,INDEX('Paramètres'!$J:$J,MATCH($C380,'Paramètres'!$D:$D,0)))),2))</f>
        <v>108.37</v>
      </c>
      <c r="L380" s="6" t="str">
        <f>IF($D380="","",IF($F380&lt;&gt;"",$F380,IF(ISNA(MATCH($D380,'Paramètres'!$M:$M,0)),"⚠ Type inconnu",IFERROR(INDEX('Paramètres'!$P:$P,MATCH($D380,'Paramètres'!$M:$M,0))&amp;"",""))))</f>
        <v>Débit</v>
      </c>
      <c r="M380" s="6" t="str">
        <f>IF($D380="","",IF(ISNA(MATCH($D380,'Paramètres'!$M:$M,0)),"⚠ Type inconnu",IF($L380="Crédit","",IFERROR(INDEX('Paramètres'!$O:$O,MATCH($D380,'Paramètres'!$M:$M,0))&amp;"",""))))</f>
        <v>Dépense Occasionnelle</v>
      </c>
      <c r="N380" s="6" t="str">
        <f>IF($D380="","",IFERROR(INDEX('Paramètres'!$Q:$Q,MATCH($D380,'Paramètres'!$M:$M,0))&amp;"",""))</f>
        <v>Autre</v>
      </c>
      <c r="O380" s="6">
        <f>IF($A380="","",IF(OR($J380&lt;&gt;"x",$A380&lt;=FinReleve),1,0))</f>
        <v>1</v>
      </c>
      <c r="P380" s="6">
        <f>IF($D380="","",IF(AND($L380="Crédit",OR(IFERROR(INDEX('Paramètres'!$O:$O,MATCH($D380,'Paramètres'!$M:$M,0))&amp;"","")&lt;&gt;"",ISNUMBER(SEARCH("remboursement",IFERROR(INDEX('Paramètres'!$N:$N,MATCH($D380,'Paramètres'!$M:$M,0))&amp;"",""))))),1,0))</f>
        <v>0</v>
      </c>
      <c r="Q380" s="6">
        <f>IF($K380="","",IF(ISNUMBER(SEARCH("transfert-interne",IFERROR(INDEX('Paramètres'!$N:$N,MATCH($D380,'Paramètres'!$M:$M,0))&amp;"",""))),0,IF($L380="Débit",$K380,IF($P380=1,-$K380,0))))</f>
        <v>108.37</v>
      </c>
      <c r="R380" s="6">
        <f>IF($K380="","",IF($L380="Crédit",$K380,-$K380))</f>
        <v>-108.37</v>
      </c>
      <c r="S380" s="6" t="str">
        <f>IF($C380="","",IFERROR(INDEX('Paramètres'!$H:$H,MATCH($C380,'Paramètres'!$D:$D,0))&amp;"",""))</f>
        <v>Banque A - Courant</v>
      </c>
      <c r="T380" s="6">
        <f>IF($K380="","",IF($S380="",0,IF(ISNUMBER(SEARCH("apport-exterieur",IFERROR(INDEX('Paramètres'!$N:$N,MATCH($D380,'Paramètres'!$M:$M,0))&amp;"",""))),0,IF(OR(IFERROR(INDEX('Paramètres'!$I:$I,MATCH($C380,'Paramètres'!$D:$D,0))&amp;"","")="Les deux",IFERROR(INDEX('Paramètres'!$I:$I,MATCH($C380,'Paramètres'!$D:$D,0))&amp;"","")=IF($P380=1,"Débit",$L380)),-IF($P380=1,-$K380,$K380),0))))</f>
        <v>-108.37</v>
      </c>
      <c r="U380" s="6">
        <f>IF($K380="","",IF(ISNUMBER(SEARCH("sortie-epargne",IFERROR(INDEX('Paramètres'!$N:$N,MATCH($D380,'Paramètres'!$M:$M,0))&amp;"",""))),$K380,0))</f>
        <v>0</v>
      </c>
      <c r="V380" s="6" t="str">
        <f>IF(AND($A380&lt;&gt;"",$O380=1,$L380="Débit",N($Q380)&gt;0,$A380&gt;=Visualisation!$B$1,$A380&lt;Visualisation!$D$1),MAX($V$1:V379)+1,"")</f>
        <v/>
      </c>
    </row>
    <row r="381" spans="1:22" x14ac:dyDescent="0.25">
      <c r="A381" s="9">
        <v>45794</v>
      </c>
      <c r="B381" s="4" t="s">
        <v>76</v>
      </c>
      <c r="C381" s="4" t="s">
        <v>60</v>
      </c>
      <c r="D381" s="4" t="s">
        <v>77</v>
      </c>
      <c r="E381" s="10">
        <v>179.46</v>
      </c>
      <c r="G381" s="4" t="s">
        <v>98</v>
      </c>
      <c r="H381" s="4"/>
      <c r="I381" s="4"/>
      <c r="K381" s="11">
        <f>IF($E381="","",ROUND($E381*IF(ISNA(MATCH($C381,'Paramètres'!$D:$D,0)),1,IF(INDEX('Paramètres'!$J:$J,MATCH($C381,'Paramètres'!$D:$D,0))="",1,INDEX('Paramètres'!$J:$J,MATCH($C381,'Paramètres'!$D:$D,0)))),2))</f>
        <v>89.73</v>
      </c>
      <c r="L381" s="6" t="str">
        <f>IF($D381="","",IF($F381&lt;&gt;"",$F381,IF(ISNA(MATCH($D381,'Paramètres'!$M:$M,0)),"⚠ Type inconnu",IFERROR(INDEX('Paramètres'!$P:$P,MATCH($D381,'Paramètres'!$M:$M,0))&amp;"",""))))</f>
        <v>Débit</v>
      </c>
      <c r="M381" s="6" t="str">
        <f>IF($D381="","",IF(ISNA(MATCH($D381,'Paramètres'!$M:$M,0)),"⚠ Type inconnu",IF($L381="Crédit","",IFERROR(INDEX('Paramètres'!$O:$O,MATCH($D381,'Paramètres'!$M:$M,0))&amp;"",""))))</f>
        <v>Dépense Courante</v>
      </c>
      <c r="N381" s="6" t="str">
        <f>IF($D381="","",IFERROR(INDEX('Paramètres'!$Q:$Q,MATCH($D381,'Paramètres'!$M:$M,0))&amp;"",""))</f>
        <v>Alimentation</v>
      </c>
      <c r="O381" s="6">
        <f>IF($A381="","",IF(OR($J381&lt;&gt;"x",$A381&lt;=FinReleve),1,0))</f>
        <v>1</v>
      </c>
      <c r="P381" s="6">
        <f>IF($D381="","",IF(AND($L381="Crédit",OR(IFERROR(INDEX('Paramètres'!$O:$O,MATCH($D381,'Paramètres'!$M:$M,0))&amp;"","")&lt;&gt;"",ISNUMBER(SEARCH("remboursement",IFERROR(INDEX('Paramètres'!$N:$N,MATCH($D381,'Paramètres'!$M:$M,0))&amp;"",""))))),1,0))</f>
        <v>0</v>
      </c>
      <c r="Q381" s="6">
        <f>IF($K381="","",IF(ISNUMBER(SEARCH("transfert-interne",IFERROR(INDEX('Paramètres'!$N:$N,MATCH($D381,'Paramètres'!$M:$M,0))&amp;"",""))),0,IF($L381="Débit",$K381,IF($P381=1,-$K381,0))))</f>
        <v>89.73</v>
      </c>
      <c r="R381" s="6">
        <f>IF($K381="","",IF($L381="Crédit",$K381,-$K381))</f>
        <v>-89.73</v>
      </c>
      <c r="S381" s="6" t="str">
        <f>IF($C381="","",IFERROR(INDEX('Paramètres'!$H:$H,MATCH($C381,'Paramètres'!$D:$D,0))&amp;"",""))</f>
        <v>Banque A - Courant</v>
      </c>
      <c r="T381" s="6">
        <f>IF($K381="","",IF($S381="",0,IF(ISNUMBER(SEARCH("apport-exterieur",IFERROR(INDEX('Paramètres'!$N:$N,MATCH($D381,'Paramètres'!$M:$M,0))&amp;"",""))),0,IF(OR(IFERROR(INDEX('Paramètres'!$I:$I,MATCH($C381,'Paramètres'!$D:$D,0))&amp;"","")="Les deux",IFERROR(INDEX('Paramètres'!$I:$I,MATCH($C381,'Paramètres'!$D:$D,0))&amp;"","")=IF($P381=1,"Débit",$L381)),-IF($P381=1,-$K381,$K381),0))))</f>
        <v>-89.73</v>
      </c>
      <c r="U381" s="6">
        <f>IF($K381="","",IF(ISNUMBER(SEARCH("sortie-epargne",IFERROR(INDEX('Paramètres'!$N:$N,MATCH($D381,'Paramètres'!$M:$M,0))&amp;"",""))),$K381,0))</f>
        <v>0</v>
      </c>
      <c r="V381" s="6" t="str">
        <f>IF(AND($A381&lt;&gt;"",$O381=1,$L381="Débit",N($Q381)&gt;0,$A381&gt;=Visualisation!$B$1,$A381&lt;Visualisation!$D$1),MAX($V$1:V380)+1,"")</f>
        <v/>
      </c>
    </row>
    <row r="382" spans="1:22" x14ac:dyDescent="0.25">
      <c r="A382" s="9">
        <v>45795</v>
      </c>
      <c r="B382" s="4" t="s">
        <v>103</v>
      </c>
      <c r="C382" s="4" t="s">
        <v>75</v>
      </c>
      <c r="D382" s="4" t="s">
        <v>103</v>
      </c>
      <c r="E382" s="10">
        <v>212</v>
      </c>
      <c r="G382" s="4"/>
      <c r="H382" s="4"/>
      <c r="I382" s="4"/>
      <c r="K382" s="11">
        <f>IF($E382="","",ROUND($E382*IF(ISNA(MATCH($C382,'Paramètres'!$D:$D,0)),1,IF(INDEX('Paramètres'!$J:$J,MATCH($C382,'Paramètres'!$D:$D,0))="",1,INDEX('Paramètres'!$J:$J,MATCH($C382,'Paramètres'!$D:$D,0)))),2))</f>
        <v>212</v>
      </c>
      <c r="L382" s="6" t="str">
        <f>IF($D382="","",IF($F382&lt;&gt;"",$F382,IF(ISNA(MATCH($D382,'Paramètres'!$M:$M,0)),"⚠ Type inconnu",IFERROR(INDEX('Paramètres'!$P:$P,MATCH($D382,'Paramètres'!$M:$M,0))&amp;"",""))))</f>
        <v>Débit</v>
      </c>
      <c r="M382" s="6" t="str">
        <f>IF($D382="","",IF(ISNA(MATCH($D382,'Paramètres'!$M:$M,0)),"⚠ Type inconnu",IF($L382="Crédit","",IFERROR(INDEX('Paramètres'!$O:$O,MATCH($D382,'Paramètres'!$M:$M,0))&amp;"",""))))</f>
        <v>Dépense Fixe</v>
      </c>
      <c r="N382" s="6" t="str">
        <f>IF($D382="","",IFERROR(INDEX('Paramètres'!$Q:$Q,MATCH($D382,'Paramètres'!$M:$M,0))&amp;"",""))</f>
        <v>Impots</v>
      </c>
      <c r="O382" s="6">
        <f>IF($A382="","",IF(OR($J382&lt;&gt;"x",$A382&lt;=FinReleve),1,0))</f>
        <v>1</v>
      </c>
      <c r="P382" s="6">
        <f>IF($D382="","",IF(AND($L382="Crédit",OR(IFERROR(INDEX('Paramètres'!$O:$O,MATCH($D382,'Paramètres'!$M:$M,0))&amp;"","")&lt;&gt;"",ISNUMBER(SEARCH("remboursement",IFERROR(INDEX('Paramètres'!$N:$N,MATCH($D382,'Paramètres'!$M:$M,0))&amp;"",""))))),1,0))</f>
        <v>0</v>
      </c>
      <c r="Q382" s="6">
        <f>IF($K382="","",IF(ISNUMBER(SEARCH("transfert-interne",IFERROR(INDEX('Paramètres'!$N:$N,MATCH($D382,'Paramètres'!$M:$M,0))&amp;"",""))),0,IF($L382="Débit",$K382,IF($P382=1,-$K382,0))))</f>
        <v>212</v>
      </c>
      <c r="R382" s="6">
        <f>IF($K382="","",IF($L382="Crédit",$K382,-$K382))</f>
        <v>-212</v>
      </c>
      <c r="S382" s="6" t="str">
        <f>IF($C382="","",IFERROR(INDEX('Paramètres'!$H:$H,MATCH($C382,'Paramètres'!$D:$D,0))&amp;"",""))</f>
        <v/>
      </c>
      <c r="T382" s="6">
        <f>IF($K382="","",IF($S382="",0,IF(ISNUMBER(SEARCH("apport-exterieur",IFERROR(INDEX('Paramètres'!$N:$N,MATCH($D382,'Paramètres'!$M:$M,0))&amp;"",""))),0,IF(OR(IFERROR(INDEX('Paramètres'!$I:$I,MATCH($C382,'Paramètres'!$D:$D,0))&amp;"","")="Les deux",IFERROR(INDEX('Paramètres'!$I:$I,MATCH($C382,'Paramètres'!$D:$D,0))&amp;"","")=IF($P382=1,"Débit",$L382)),-IF($P382=1,-$K382,$K382),0))))</f>
        <v>0</v>
      </c>
      <c r="U382" s="6">
        <f>IF($K382="","",IF(ISNUMBER(SEARCH("sortie-epargne",IFERROR(INDEX('Paramètres'!$N:$N,MATCH($D382,'Paramètres'!$M:$M,0))&amp;"",""))),$K382,0))</f>
        <v>0</v>
      </c>
      <c r="V382" s="6" t="str">
        <f>IF(AND($A382&lt;&gt;"",$O382=1,$L382="Débit",N($Q382)&gt;0,$A382&gt;=Visualisation!$B$1,$A382&lt;Visualisation!$D$1),MAX($V$1:V381)+1,"")</f>
        <v/>
      </c>
    </row>
    <row r="383" spans="1:22" x14ac:dyDescent="0.25">
      <c r="A383" s="9">
        <v>45795</v>
      </c>
      <c r="B383" s="4" t="s">
        <v>69</v>
      </c>
      <c r="C383" s="4" t="s">
        <v>70</v>
      </c>
      <c r="D383" s="4" t="s">
        <v>71</v>
      </c>
      <c r="E383" s="10">
        <v>13.89</v>
      </c>
      <c r="G383" s="4" t="s">
        <v>72</v>
      </c>
      <c r="H383" s="4"/>
      <c r="I383" s="4" t="s">
        <v>79</v>
      </c>
      <c r="K383" s="11">
        <f>IF($E383="","",ROUND($E383*IF(ISNA(MATCH($C383,'Paramètres'!$D:$D,0)),1,IF(INDEX('Paramètres'!$J:$J,MATCH($C383,'Paramètres'!$D:$D,0))="",1,INDEX('Paramètres'!$J:$J,MATCH($C383,'Paramètres'!$D:$D,0)))),2))</f>
        <v>13.89</v>
      </c>
      <c r="L383" s="6" t="str">
        <f>IF($D383="","",IF($F383&lt;&gt;"",$F383,IF(ISNA(MATCH($D383,'Paramètres'!$M:$M,0)),"⚠ Type inconnu",IFERROR(INDEX('Paramètres'!$P:$P,MATCH($D383,'Paramètres'!$M:$M,0))&amp;"",""))))</f>
        <v>Débit</v>
      </c>
      <c r="M383" s="6" t="str">
        <f>IF($D383="","",IF(ISNA(MATCH($D383,'Paramètres'!$M:$M,0)),"⚠ Type inconnu",IF($L383="Crédit","",IFERROR(INDEX('Paramètres'!$O:$O,MATCH($D383,'Paramètres'!$M:$M,0))&amp;"",""))))</f>
        <v>Dépense Courante</v>
      </c>
      <c r="N383" s="6" t="str">
        <f>IF($D383="","",IFERROR(INDEX('Paramètres'!$Q:$Q,MATCH($D383,'Paramètres'!$M:$M,0))&amp;"",""))</f>
        <v>Alimentation</v>
      </c>
      <c r="O383" s="6">
        <f>IF($A383="","",IF(OR($J383&lt;&gt;"x",$A383&lt;=FinReleve),1,0))</f>
        <v>1</v>
      </c>
      <c r="P383" s="6">
        <f>IF($D383="","",IF(AND($L383="Crédit",OR(IFERROR(INDEX('Paramètres'!$O:$O,MATCH($D383,'Paramètres'!$M:$M,0))&amp;"","")&lt;&gt;"",ISNUMBER(SEARCH("remboursement",IFERROR(INDEX('Paramètres'!$N:$N,MATCH($D383,'Paramètres'!$M:$M,0))&amp;"",""))))),1,0))</f>
        <v>0</v>
      </c>
      <c r="Q383" s="6">
        <f>IF($K383="","",IF(ISNUMBER(SEARCH("transfert-interne",IFERROR(INDEX('Paramètres'!$N:$N,MATCH($D383,'Paramètres'!$M:$M,0))&amp;"",""))),0,IF($L383="Débit",$K383,IF($P383=1,-$K383,0))))</f>
        <v>13.89</v>
      </c>
      <c r="R383" s="6">
        <f>IF($K383="","",IF($L383="Crédit",$K383,-$K383))</f>
        <v>-13.89</v>
      </c>
      <c r="S383" s="6" t="str">
        <f>IF($C383="","",IFERROR(INDEX('Paramètres'!$H:$H,MATCH($C383,'Paramètres'!$D:$D,0))&amp;"",""))</f>
        <v/>
      </c>
      <c r="T383" s="6">
        <f>IF($K383="","",IF($S383="",0,IF(ISNUMBER(SEARCH("apport-exterieur",IFERROR(INDEX('Paramètres'!$N:$N,MATCH($D383,'Paramètres'!$M:$M,0))&amp;"",""))),0,IF(OR(IFERROR(INDEX('Paramètres'!$I:$I,MATCH($C383,'Paramètres'!$D:$D,0))&amp;"","")="Les deux",IFERROR(INDEX('Paramètres'!$I:$I,MATCH($C383,'Paramètres'!$D:$D,0))&amp;"","")=IF($P383=1,"Débit",$L383)),-IF($P383=1,-$K383,$K383),0))))</f>
        <v>0</v>
      </c>
      <c r="U383" s="6">
        <f>IF($K383="","",IF(ISNUMBER(SEARCH("sortie-epargne",IFERROR(INDEX('Paramètres'!$N:$N,MATCH($D383,'Paramètres'!$M:$M,0))&amp;"",""))),$K383,0))</f>
        <v>0</v>
      </c>
      <c r="V383" s="6" t="str">
        <f>IF(AND($A383&lt;&gt;"",$O383=1,$L383="Débit",N($Q383)&gt;0,$A383&gt;=Visualisation!$B$1,$A383&lt;Visualisation!$D$1),MAX($V$1:V382)+1,"")</f>
        <v/>
      </c>
    </row>
    <row r="384" spans="1:22" x14ac:dyDescent="0.25">
      <c r="A384" s="9">
        <v>45795</v>
      </c>
      <c r="B384" s="4" t="s">
        <v>69</v>
      </c>
      <c r="C384" s="4" t="s">
        <v>70</v>
      </c>
      <c r="D384" s="4" t="s">
        <v>71</v>
      </c>
      <c r="E384" s="10">
        <v>8.77</v>
      </c>
      <c r="G384" s="4" t="s">
        <v>72</v>
      </c>
      <c r="H384" s="4"/>
      <c r="I384" s="4" t="s">
        <v>63</v>
      </c>
      <c r="K384" s="11">
        <f>IF($E384="","",ROUND($E384*IF(ISNA(MATCH($C384,'Paramètres'!$D:$D,0)),1,IF(INDEX('Paramètres'!$J:$J,MATCH($C384,'Paramètres'!$D:$D,0))="",1,INDEX('Paramètres'!$J:$J,MATCH($C384,'Paramètres'!$D:$D,0)))),2))</f>
        <v>8.77</v>
      </c>
      <c r="L384" s="6" t="str">
        <f>IF($D384="","",IF($F384&lt;&gt;"",$F384,IF(ISNA(MATCH($D384,'Paramètres'!$M:$M,0)),"⚠ Type inconnu",IFERROR(INDEX('Paramètres'!$P:$P,MATCH($D384,'Paramètres'!$M:$M,0))&amp;"",""))))</f>
        <v>Débit</v>
      </c>
      <c r="M384" s="6" t="str">
        <f>IF($D384="","",IF(ISNA(MATCH($D384,'Paramètres'!$M:$M,0)),"⚠ Type inconnu",IF($L384="Crédit","",IFERROR(INDEX('Paramètres'!$O:$O,MATCH($D384,'Paramètres'!$M:$M,0))&amp;"",""))))</f>
        <v>Dépense Courante</v>
      </c>
      <c r="N384" s="6" t="str">
        <f>IF($D384="","",IFERROR(INDEX('Paramètres'!$Q:$Q,MATCH($D384,'Paramètres'!$M:$M,0))&amp;"",""))</f>
        <v>Alimentation</v>
      </c>
      <c r="O384" s="6">
        <f>IF($A384="","",IF(OR($J384&lt;&gt;"x",$A384&lt;=FinReleve),1,0))</f>
        <v>1</v>
      </c>
      <c r="P384" s="6">
        <f>IF($D384="","",IF(AND($L384="Crédit",OR(IFERROR(INDEX('Paramètres'!$O:$O,MATCH($D384,'Paramètres'!$M:$M,0))&amp;"","")&lt;&gt;"",ISNUMBER(SEARCH("remboursement",IFERROR(INDEX('Paramètres'!$N:$N,MATCH($D384,'Paramètres'!$M:$M,0))&amp;"",""))))),1,0))</f>
        <v>0</v>
      </c>
      <c r="Q384" s="6">
        <f>IF($K384="","",IF(ISNUMBER(SEARCH("transfert-interne",IFERROR(INDEX('Paramètres'!$N:$N,MATCH($D384,'Paramètres'!$M:$M,0))&amp;"",""))),0,IF($L384="Débit",$K384,IF($P384=1,-$K384,0))))</f>
        <v>8.77</v>
      </c>
      <c r="R384" s="6">
        <f>IF($K384="","",IF($L384="Crédit",$K384,-$K384))</f>
        <v>-8.77</v>
      </c>
      <c r="S384" s="6" t="str">
        <f>IF($C384="","",IFERROR(INDEX('Paramètres'!$H:$H,MATCH($C384,'Paramètres'!$D:$D,0))&amp;"",""))</f>
        <v/>
      </c>
      <c r="T384" s="6">
        <f>IF($K384="","",IF($S384="",0,IF(ISNUMBER(SEARCH("apport-exterieur",IFERROR(INDEX('Paramètres'!$N:$N,MATCH($D384,'Paramètres'!$M:$M,0))&amp;"",""))),0,IF(OR(IFERROR(INDEX('Paramètres'!$I:$I,MATCH($C384,'Paramètres'!$D:$D,0))&amp;"","")="Les deux",IFERROR(INDEX('Paramètres'!$I:$I,MATCH($C384,'Paramètres'!$D:$D,0))&amp;"","")=IF($P384=1,"Débit",$L384)),-IF($P384=1,-$K384,$K384),0))))</f>
        <v>0</v>
      </c>
      <c r="U384" s="6">
        <f>IF($K384="","",IF(ISNUMBER(SEARCH("sortie-epargne",IFERROR(INDEX('Paramètres'!$N:$N,MATCH($D384,'Paramètres'!$M:$M,0))&amp;"",""))),$K384,0))</f>
        <v>0</v>
      </c>
      <c r="V384" s="6" t="str">
        <f>IF(AND($A384&lt;&gt;"",$O384=1,$L384="Débit",N($Q384)&gt;0,$A384&gt;=Visualisation!$B$1,$A384&lt;Visualisation!$D$1),MAX($V$1:V383)+1,"")</f>
        <v/>
      </c>
    </row>
    <row r="385" spans="1:22" x14ac:dyDescent="0.25">
      <c r="A385" s="9">
        <v>45797</v>
      </c>
      <c r="B385" s="4" t="s">
        <v>116</v>
      </c>
      <c r="C385" s="4" t="s">
        <v>60</v>
      </c>
      <c r="D385" s="4" t="s">
        <v>116</v>
      </c>
      <c r="E385" s="10">
        <v>232.08</v>
      </c>
      <c r="G385" s="4" t="s">
        <v>145</v>
      </c>
      <c r="H385" s="4" t="s">
        <v>144</v>
      </c>
      <c r="I385" s="4" t="s">
        <v>73</v>
      </c>
      <c r="K385" s="11">
        <f>IF($E385="","",ROUND($E385*IF(ISNA(MATCH($C385,'Paramètres'!$D:$D,0)),1,IF(INDEX('Paramètres'!$J:$J,MATCH($C385,'Paramètres'!$D:$D,0))="",1,INDEX('Paramètres'!$J:$J,MATCH($C385,'Paramètres'!$D:$D,0)))),2))</f>
        <v>116.04</v>
      </c>
      <c r="L385" s="6" t="str">
        <f>IF($D385="","",IF($F385&lt;&gt;"",$F385,IF(ISNA(MATCH($D385,'Paramètres'!$M:$M,0)),"⚠ Type inconnu",IFERROR(INDEX('Paramètres'!$P:$P,MATCH($D385,'Paramètres'!$M:$M,0))&amp;"",""))))</f>
        <v>Débit</v>
      </c>
      <c r="M385" s="6" t="str">
        <f>IF($D385="","",IF(ISNA(MATCH($D385,'Paramètres'!$M:$M,0)),"⚠ Type inconnu",IF($L385="Crédit","",IFERROR(INDEX('Paramètres'!$O:$O,MATCH($D385,'Paramètres'!$M:$M,0))&amp;"",""))))</f>
        <v>Dépense Occasionnelle</v>
      </c>
      <c r="N385" s="6" t="str">
        <f>IF($D385="","",IFERROR(INDEX('Paramètres'!$Q:$Q,MATCH($D385,'Paramètres'!$M:$M,0))&amp;"",""))</f>
        <v>Autre</v>
      </c>
      <c r="O385" s="6">
        <f>IF($A385="","",IF(OR($J385&lt;&gt;"x",$A385&lt;=FinReleve),1,0))</f>
        <v>1</v>
      </c>
      <c r="P385" s="6">
        <f>IF($D385="","",IF(AND($L385="Crédit",OR(IFERROR(INDEX('Paramètres'!$O:$O,MATCH($D385,'Paramètres'!$M:$M,0))&amp;"","")&lt;&gt;"",ISNUMBER(SEARCH("remboursement",IFERROR(INDEX('Paramètres'!$N:$N,MATCH($D385,'Paramètres'!$M:$M,0))&amp;"",""))))),1,0))</f>
        <v>0</v>
      </c>
      <c r="Q385" s="6">
        <f>IF($K385="","",IF(ISNUMBER(SEARCH("transfert-interne",IFERROR(INDEX('Paramètres'!$N:$N,MATCH($D385,'Paramètres'!$M:$M,0))&amp;"",""))),0,IF($L385="Débit",$K385,IF($P385=1,-$K385,0))))</f>
        <v>116.04</v>
      </c>
      <c r="R385" s="6">
        <f>IF($K385="","",IF($L385="Crédit",$K385,-$K385))</f>
        <v>-116.04</v>
      </c>
      <c r="S385" s="6" t="str">
        <f>IF($C385="","",IFERROR(INDEX('Paramètres'!$H:$H,MATCH($C385,'Paramètres'!$D:$D,0))&amp;"",""))</f>
        <v>Banque A - Courant</v>
      </c>
      <c r="T385" s="6">
        <f>IF($K385="","",IF($S385="",0,IF(ISNUMBER(SEARCH("apport-exterieur",IFERROR(INDEX('Paramètres'!$N:$N,MATCH($D385,'Paramètres'!$M:$M,0))&amp;"",""))),0,IF(OR(IFERROR(INDEX('Paramètres'!$I:$I,MATCH($C385,'Paramètres'!$D:$D,0))&amp;"","")="Les deux",IFERROR(INDEX('Paramètres'!$I:$I,MATCH($C385,'Paramètres'!$D:$D,0))&amp;"","")=IF($P385=1,"Débit",$L385)),-IF($P385=1,-$K385,$K385),0))))</f>
        <v>-116.04</v>
      </c>
      <c r="U385" s="6">
        <f>IF($K385="","",IF(ISNUMBER(SEARCH("sortie-epargne",IFERROR(INDEX('Paramètres'!$N:$N,MATCH($D385,'Paramètres'!$M:$M,0))&amp;"",""))),$K385,0))</f>
        <v>0</v>
      </c>
      <c r="V385" s="6" t="str">
        <f>IF(AND($A385&lt;&gt;"",$O385=1,$L385="Débit",N($Q385)&gt;0,$A385&gt;=Visualisation!$B$1,$A385&lt;Visualisation!$D$1),MAX($V$1:V384)+1,"")</f>
        <v/>
      </c>
    </row>
    <row r="386" spans="1:22" x14ac:dyDescent="0.25">
      <c r="A386" s="9">
        <v>45798</v>
      </c>
      <c r="B386" s="4" t="s">
        <v>69</v>
      </c>
      <c r="C386" s="4" t="s">
        <v>70</v>
      </c>
      <c r="D386" s="4" t="s">
        <v>71</v>
      </c>
      <c r="E386" s="10">
        <v>13.19</v>
      </c>
      <c r="G386" s="4" t="s">
        <v>72</v>
      </c>
      <c r="H386" s="4"/>
      <c r="I386" s="4" t="s">
        <v>63</v>
      </c>
      <c r="K386" s="11">
        <f>IF($E386="","",ROUND($E386*IF(ISNA(MATCH($C386,'Paramètres'!$D:$D,0)),1,IF(INDEX('Paramètres'!$J:$J,MATCH($C386,'Paramètres'!$D:$D,0))="",1,INDEX('Paramètres'!$J:$J,MATCH($C386,'Paramètres'!$D:$D,0)))),2))</f>
        <v>13.19</v>
      </c>
      <c r="L386" s="6" t="str">
        <f>IF($D386="","",IF($F386&lt;&gt;"",$F386,IF(ISNA(MATCH($D386,'Paramètres'!$M:$M,0)),"⚠ Type inconnu",IFERROR(INDEX('Paramètres'!$P:$P,MATCH($D386,'Paramètres'!$M:$M,0))&amp;"",""))))</f>
        <v>Débit</v>
      </c>
      <c r="M386" s="6" t="str">
        <f>IF($D386="","",IF(ISNA(MATCH($D386,'Paramètres'!$M:$M,0)),"⚠ Type inconnu",IF($L386="Crédit","",IFERROR(INDEX('Paramètres'!$O:$O,MATCH($D386,'Paramètres'!$M:$M,0))&amp;"",""))))</f>
        <v>Dépense Courante</v>
      </c>
      <c r="N386" s="6" t="str">
        <f>IF($D386="","",IFERROR(INDEX('Paramètres'!$Q:$Q,MATCH($D386,'Paramètres'!$M:$M,0))&amp;"",""))</f>
        <v>Alimentation</v>
      </c>
      <c r="O386" s="6">
        <f>IF($A386="","",IF(OR($J386&lt;&gt;"x",$A386&lt;=FinReleve),1,0))</f>
        <v>1</v>
      </c>
      <c r="P386" s="6">
        <f>IF($D386="","",IF(AND($L386="Crédit",OR(IFERROR(INDEX('Paramètres'!$O:$O,MATCH($D386,'Paramètres'!$M:$M,0))&amp;"","")&lt;&gt;"",ISNUMBER(SEARCH("remboursement",IFERROR(INDEX('Paramètres'!$N:$N,MATCH($D386,'Paramètres'!$M:$M,0))&amp;"",""))))),1,0))</f>
        <v>0</v>
      </c>
      <c r="Q386" s="6">
        <f>IF($K386="","",IF(ISNUMBER(SEARCH("transfert-interne",IFERROR(INDEX('Paramètres'!$N:$N,MATCH($D386,'Paramètres'!$M:$M,0))&amp;"",""))),0,IF($L386="Débit",$K386,IF($P386=1,-$K386,0))))</f>
        <v>13.19</v>
      </c>
      <c r="R386" s="6">
        <f>IF($K386="","",IF($L386="Crédit",$K386,-$K386))</f>
        <v>-13.19</v>
      </c>
      <c r="S386" s="6" t="str">
        <f>IF($C386="","",IFERROR(INDEX('Paramètres'!$H:$H,MATCH($C386,'Paramètres'!$D:$D,0))&amp;"",""))</f>
        <v/>
      </c>
      <c r="T386" s="6">
        <f>IF($K386="","",IF($S386="",0,IF(ISNUMBER(SEARCH("apport-exterieur",IFERROR(INDEX('Paramètres'!$N:$N,MATCH($D386,'Paramètres'!$M:$M,0))&amp;"",""))),0,IF(OR(IFERROR(INDEX('Paramètres'!$I:$I,MATCH($C386,'Paramètres'!$D:$D,0))&amp;"","")="Les deux",IFERROR(INDEX('Paramètres'!$I:$I,MATCH($C386,'Paramètres'!$D:$D,0))&amp;"","")=IF($P386=1,"Débit",$L386)),-IF($P386=1,-$K386,$K386),0))))</f>
        <v>0</v>
      </c>
      <c r="U386" s="6">
        <f>IF($K386="","",IF(ISNUMBER(SEARCH("sortie-epargne",IFERROR(INDEX('Paramètres'!$N:$N,MATCH($D386,'Paramètres'!$M:$M,0))&amp;"",""))),$K386,0))</f>
        <v>0</v>
      </c>
      <c r="V386" s="6" t="str">
        <f>IF(AND($A386&lt;&gt;"",$O386=1,$L386="Débit",N($Q386)&gt;0,$A386&gt;=Visualisation!$B$1,$A386&lt;Visualisation!$D$1),MAX($V$1:V385)+1,"")</f>
        <v/>
      </c>
    </row>
    <row r="387" spans="1:22" x14ac:dyDescent="0.25">
      <c r="A387" s="9">
        <v>45799</v>
      </c>
      <c r="B387" s="4" t="s">
        <v>76</v>
      </c>
      <c r="C387" s="4" t="s">
        <v>60</v>
      </c>
      <c r="D387" s="4" t="s">
        <v>77</v>
      </c>
      <c r="E387" s="10">
        <v>40.94</v>
      </c>
      <c r="G387" s="4" t="s">
        <v>78</v>
      </c>
      <c r="H387" s="4"/>
      <c r="I387" s="4" t="s">
        <v>93</v>
      </c>
      <c r="K387" s="11">
        <f>IF($E387="","",ROUND($E387*IF(ISNA(MATCH($C387,'Paramètres'!$D:$D,0)),1,IF(INDEX('Paramètres'!$J:$J,MATCH($C387,'Paramètres'!$D:$D,0))="",1,INDEX('Paramètres'!$J:$J,MATCH($C387,'Paramètres'!$D:$D,0)))),2))</f>
        <v>20.47</v>
      </c>
      <c r="L387" s="6" t="str">
        <f>IF($D387="","",IF($F387&lt;&gt;"",$F387,IF(ISNA(MATCH($D387,'Paramètres'!$M:$M,0)),"⚠ Type inconnu",IFERROR(INDEX('Paramètres'!$P:$P,MATCH($D387,'Paramètres'!$M:$M,0))&amp;"",""))))</f>
        <v>Débit</v>
      </c>
      <c r="M387" s="6" t="str">
        <f>IF($D387="","",IF(ISNA(MATCH($D387,'Paramètres'!$M:$M,0)),"⚠ Type inconnu",IF($L387="Crédit","",IFERROR(INDEX('Paramètres'!$O:$O,MATCH($D387,'Paramètres'!$M:$M,0))&amp;"",""))))</f>
        <v>Dépense Courante</v>
      </c>
      <c r="N387" s="6" t="str">
        <f>IF($D387="","",IFERROR(INDEX('Paramètres'!$Q:$Q,MATCH($D387,'Paramètres'!$M:$M,0))&amp;"",""))</f>
        <v>Alimentation</v>
      </c>
      <c r="O387" s="6">
        <f>IF($A387="","",IF(OR($J387&lt;&gt;"x",$A387&lt;=FinReleve),1,0))</f>
        <v>1</v>
      </c>
      <c r="P387" s="6">
        <f>IF($D387="","",IF(AND($L387="Crédit",OR(IFERROR(INDEX('Paramètres'!$O:$O,MATCH($D387,'Paramètres'!$M:$M,0))&amp;"","")&lt;&gt;"",ISNUMBER(SEARCH("remboursement",IFERROR(INDEX('Paramètres'!$N:$N,MATCH($D387,'Paramètres'!$M:$M,0))&amp;"",""))))),1,0))</f>
        <v>0</v>
      </c>
      <c r="Q387" s="6">
        <f>IF($K387="","",IF(ISNUMBER(SEARCH("transfert-interne",IFERROR(INDEX('Paramètres'!$N:$N,MATCH($D387,'Paramètres'!$M:$M,0))&amp;"",""))),0,IF($L387="Débit",$K387,IF($P387=1,-$K387,0))))</f>
        <v>20.47</v>
      </c>
      <c r="R387" s="6">
        <f>IF($K387="","",IF($L387="Crédit",$K387,-$K387))</f>
        <v>-20.47</v>
      </c>
      <c r="S387" s="6" t="str">
        <f>IF($C387="","",IFERROR(INDEX('Paramètres'!$H:$H,MATCH($C387,'Paramètres'!$D:$D,0))&amp;"",""))</f>
        <v>Banque A - Courant</v>
      </c>
      <c r="T387" s="6">
        <f>IF($K387="","",IF($S387="",0,IF(ISNUMBER(SEARCH("apport-exterieur",IFERROR(INDEX('Paramètres'!$N:$N,MATCH($D387,'Paramètres'!$M:$M,0))&amp;"",""))),0,IF(OR(IFERROR(INDEX('Paramètres'!$I:$I,MATCH($C387,'Paramètres'!$D:$D,0))&amp;"","")="Les deux",IFERROR(INDEX('Paramètres'!$I:$I,MATCH($C387,'Paramètres'!$D:$D,0))&amp;"","")=IF($P387=1,"Débit",$L387)),-IF($P387=1,-$K387,$K387),0))))</f>
        <v>-20.47</v>
      </c>
      <c r="U387" s="6">
        <f>IF($K387="","",IF(ISNUMBER(SEARCH("sortie-epargne",IFERROR(INDEX('Paramètres'!$N:$N,MATCH($D387,'Paramètres'!$M:$M,0))&amp;"",""))),$K387,0))</f>
        <v>0</v>
      </c>
      <c r="V387" s="6" t="str">
        <f>IF(AND($A387&lt;&gt;"",$O387=1,$L387="Débit",N($Q387)&gt;0,$A387&gt;=Visualisation!$B$1,$A387&lt;Visualisation!$D$1),MAX($V$1:V386)+1,"")</f>
        <v/>
      </c>
    </row>
    <row r="388" spans="1:22" x14ac:dyDescent="0.25">
      <c r="A388" s="9">
        <v>45799</v>
      </c>
      <c r="B388" s="4" t="s">
        <v>76</v>
      </c>
      <c r="C388" s="4" t="s">
        <v>60</v>
      </c>
      <c r="D388" s="4" t="s">
        <v>77</v>
      </c>
      <c r="E388" s="10">
        <v>23.06</v>
      </c>
      <c r="G388" s="4" t="s">
        <v>78</v>
      </c>
      <c r="H388" s="4"/>
      <c r="I388" s="4"/>
      <c r="K388" s="11">
        <f>IF($E388="","",ROUND($E388*IF(ISNA(MATCH($C388,'Paramètres'!$D:$D,0)),1,IF(INDEX('Paramètres'!$J:$J,MATCH($C388,'Paramètres'!$D:$D,0))="",1,INDEX('Paramètres'!$J:$J,MATCH($C388,'Paramètres'!$D:$D,0)))),2))</f>
        <v>11.53</v>
      </c>
      <c r="L388" s="6" t="str">
        <f>IF($D388="","",IF($F388&lt;&gt;"",$F388,IF(ISNA(MATCH($D388,'Paramètres'!$M:$M,0)),"⚠ Type inconnu",IFERROR(INDEX('Paramètres'!$P:$P,MATCH($D388,'Paramètres'!$M:$M,0))&amp;"",""))))</f>
        <v>Débit</v>
      </c>
      <c r="M388" s="6" t="str">
        <f>IF($D388="","",IF(ISNA(MATCH($D388,'Paramètres'!$M:$M,0)),"⚠ Type inconnu",IF($L388="Crédit","",IFERROR(INDEX('Paramètres'!$O:$O,MATCH($D388,'Paramètres'!$M:$M,0))&amp;"",""))))</f>
        <v>Dépense Courante</v>
      </c>
      <c r="N388" s="6" t="str">
        <f>IF($D388="","",IFERROR(INDEX('Paramètres'!$Q:$Q,MATCH($D388,'Paramètres'!$M:$M,0))&amp;"",""))</f>
        <v>Alimentation</v>
      </c>
      <c r="O388" s="6">
        <f>IF($A388="","",IF(OR($J388&lt;&gt;"x",$A388&lt;=FinReleve),1,0))</f>
        <v>1</v>
      </c>
      <c r="P388" s="6">
        <f>IF($D388="","",IF(AND($L388="Crédit",OR(IFERROR(INDEX('Paramètres'!$O:$O,MATCH($D388,'Paramètres'!$M:$M,0))&amp;"","")&lt;&gt;"",ISNUMBER(SEARCH("remboursement",IFERROR(INDEX('Paramètres'!$N:$N,MATCH($D388,'Paramètres'!$M:$M,0))&amp;"",""))))),1,0))</f>
        <v>0</v>
      </c>
      <c r="Q388" s="6">
        <f>IF($K388="","",IF(ISNUMBER(SEARCH("transfert-interne",IFERROR(INDEX('Paramètres'!$N:$N,MATCH($D388,'Paramètres'!$M:$M,0))&amp;"",""))),0,IF($L388="Débit",$K388,IF($P388=1,-$K388,0))))</f>
        <v>11.53</v>
      </c>
      <c r="R388" s="6">
        <f>IF($K388="","",IF($L388="Crédit",$K388,-$K388))</f>
        <v>-11.53</v>
      </c>
      <c r="S388" s="6" t="str">
        <f>IF($C388="","",IFERROR(INDEX('Paramètres'!$H:$H,MATCH($C388,'Paramètres'!$D:$D,0))&amp;"",""))</f>
        <v>Banque A - Courant</v>
      </c>
      <c r="T388" s="6">
        <f>IF($K388="","",IF($S388="",0,IF(ISNUMBER(SEARCH("apport-exterieur",IFERROR(INDEX('Paramètres'!$N:$N,MATCH($D388,'Paramètres'!$M:$M,0))&amp;"",""))),0,IF(OR(IFERROR(INDEX('Paramètres'!$I:$I,MATCH($C388,'Paramètres'!$D:$D,0))&amp;"","")="Les deux",IFERROR(INDEX('Paramètres'!$I:$I,MATCH($C388,'Paramètres'!$D:$D,0))&amp;"","")=IF($P388=1,"Débit",$L388)),-IF($P388=1,-$K388,$K388),0))))</f>
        <v>-11.53</v>
      </c>
      <c r="U388" s="6">
        <f>IF($K388="","",IF(ISNUMBER(SEARCH("sortie-epargne",IFERROR(INDEX('Paramètres'!$N:$N,MATCH($D388,'Paramètres'!$M:$M,0))&amp;"",""))),$K388,0))</f>
        <v>0</v>
      </c>
      <c r="V388" s="6" t="str">
        <f>IF(AND($A388&lt;&gt;"",$O388=1,$L388="Débit",N($Q388)&gt;0,$A388&gt;=Visualisation!$B$1,$A388&lt;Visualisation!$D$1),MAX($V$1:V387)+1,"")</f>
        <v/>
      </c>
    </row>
    <row r="389" spans="1:22" x14ac:dyDescent="0.25">
      <c r="A389" s="9">
        <v>45799</v>
      </c>
      <c r="B389" s="4" t="s">
        <v>76</v>
      </c>
      <c r="C389" s="4" t="s">
        <v>67</v>
      </c>
      <c r="D389" s="4" t="s">
        <v>77</v>
      </c>
      <c r="E389" s="10">
        <v>34.54</v>
      </c>
      <c r="G389" s="4" t="s">
        <v>95</v>
      </c>
      <c r="H389" s="4"/>
      <c r="I389" s="4" t="s">
        <v>79</v>
      </c>
      <c r="K389" s="11">
        <f>IF($E389="","",ROUND($E389*IF(ISNA(MATCH($C389,'Paramètres'!$D:$D,0)),1,IF(INDEX('Paramètres'!$J:$J,MATCH($C389,'Paramètres'!$D:$D,0))="",1,INDEX('Paramètres'!$J:$J,MATCH($C389,'Paramètres'!$D:$D,0)))),2))</f>
        <v>17.27</v>
      </c>
      <c r="L389" s="6" t="str">
        <f>IF($D389="","",IF($F389&lt;&gt;"",$F389,IF(ISNA(MATCH($D389,'Paramètres'!$M:$M,0)),"⚠ Type inconnu",IFERROR(INDEX('Paramètres'!$P:$P,MATCH($D389,'Paramètres'!$M:$M,0))&amp;"",""))))</f>
        <v>Débit</v>
      </c>
      <c r="M389" s="6" t="str">
        <f>IF($D389="","",IF(ISNA(MATCH($D389,'Paramètres'!$M:$M,0)),"⚠ Type inconnu",IF($L389="Crédit","",IFERROR(INDEX('Paramètres'!$O:$O,MATCH($D389,'Paramètres'!$M:$M,0))&amp;"",""))))</f>
        <v>Dépense Courante</v>
      </c>
      <c r="N389" s="6" t="str">
        <f>IF($D389="","",IFERROR(INDEX('Paramètres'!$Q:$Q,MATCH($D389,'Paramètres'!$M:$M,0))&amp;"",""))</f>
        <v>Alimentation</v>
      </c>
      <c r="O389" s="6">
        <f>IF($A389="","",IF(OR($J389&lt;&gt;"x",$A389&lt;=FinReleve),1,0))</f>
        <v>1</v>
      </c>
      <c r="P389" s="6">
        <f>IF($D389="","",IF(AND($L389="Crédit",OR(IFERROR(INDEX('Paramètres'!$O:$O,MATCH($D389,'Paramètres'!$M:$M,0))&amp;"","")&lt;&gt;"",ISNUMBER(SEARCH("remboursement",IFERROR(INDEX('Paramètres'!$N:$N,MATCH($D389,'Paramètres'!$M:$M,0))&amp;"",""))))),1,0))</f>
        <v>0</v>
      </c>
      <c r="Q389" s="6">
        <f>IF($K389="","",IF(ISNUMBER(SEARCH("transfert-interne",IFERROR(INDEX('Paramètres'!$N:$N,MATCH($D389,'Paramètres'!$M:$M,0))&amp;"",""))),0,IF($L389="Débit",$K389,IF($P389=1,-$K389,0))))</f>
        <v>17.27</v>
      </c>
      <c r="R389" s="6">
        <f>IF($K389="","",IF($L389="Crédit",$K389,-$K389))</f>
        <v>-17.27</v>
      </c>
      <c r="S389" s="6" t="str">
        <f>IF($C389="","",IFERROR(INDEX('Paramètres'!$H:$H,MATCH($C389,'Paramètres'!$D:$D,0))&amp;"",""))</f>
        <v>Banque A - Courant</v>
      </c>
      <c r="T389" s="6">
        <f>IF($K389="","",IF($S389="",0,IF(ISNUMBER(SEARCH("apport-exterieur",IFERROR(INDEX('Paramètres'!$N:$N,MATCH($D389,'Paramètres'!$M:$M,0))&amp;"",""))),0,IF(OR(IFERROR(INDEX('Paramètres'!$I:$I,MATCH($C389,'Paramètres'!$D:$D,0))&amp;"","")="Les deux",IFERROR(INDEX('Paramètres'!$I:$I,MATCH($C389,'Paramètres'!$D:$D,0))&amp;"","")=IF($P389=1,"Débit",$L389)),-IF($P389=1,-$K389,$K389),0))))</f>
        <v>0</v>
      </c>
      <c r="U389" s="6">
        <f>IF($K389="","",IF(ISNUMBER(SEARCH("sortie-epargne",IFERROR(INDEX('Paramètres'!$N:$N,MATCH($D389,'Paramètres'!$M:$M,0))&amp;"",""))),$K389,0))</f>
        <v>0</v>
      </c>
      <c r="V389" s="6" t="str">
        <f>IF(AND($A389&lt;&gt;"",$O389=1,$L389="Débit",N($Q389)&gt;0,$A389&gt;=Visualisation!$B$1,$A389&lt;Visualisation!$D$1),MAX($V$1:V388)+1,"")</f>
        <v/>
      </c>
    </row>
    <row r="390" spans="1:22" x14ac:dyDescent="0.25">
      <c r="A390" s="9">
        <v>45800</v>
      </c>
      <c r="B390" s="4" t="s">
        <v>76</v>
      </c>
      <c r="C390" s="4" t="s">
        <v>67</v>
      </c>
      <c r="D390" s="4" t="s">
        <v>77</v>
      </c>
      <c r="E390" s="10">
        <v>150.22</v>
      </c>
      <c r="G390" s="4" t="s">
        <v>98</v>
      </c>
      <c r="H390" s="4"/>
      <c r="I390" s="4"/>
      <c r="K390" s="11">
        <f>IF($E390="","",ROUND($E390*IF(ISNA(MATCH($C390,'Paramètres'!$D:$D,0)),1,IF(INDEX('Paramètres'!$J:$J,MATCH($C390,'Paramètres'!$D:$D,0))="",1,INDEX('Paramètres'!$J:$J,MATCH($C390,'Paramètres'!$D:$D,0)))),2))</f>
        <v>75.11</v>
      </c>
      <c r="L390" s="6" t="str">
        <f>IF($D390="","",IF($F390&lt;&gt;"",$F390,IF(ISNA(MATCH($D390,'Paramètres'!$M:$M,0)),"⚠ Type inconnu",IFERROR(INDEX('Paramètres'!$P:$P,MATCH($D390,'Paramètres'!$M:$M,0))&amp;"",""))))</f>
        <v>Débit</v>
      </c>
      <c r="M390" s="6" t="str">
        <f>IF($D390="","",IF(ISNA(MATCH($D390,'Paramètres'!$M:$M,0)),"⚠ Type inconnu",IF($L390="Crédit","",IFERROR(INDEX('Paramètres'!$O:$O,MATCH($D390,'Paramètres'!$M:$M,0))&amp;"",""))))</f>
        <v>Dépense Courante</v>
      </c>
      <c r="N390" s="6" t="str">
        <f>IF($D390="","",IFERROR(INDEX('Paramètres'!$Q:$Q,MATCH($D390,'Paramètres'!$M:$M,0))&amp;"",""))</f>
        <v>Alimentation</v>
      </c>
      <c r="O390" s="6">
        <f>IF($A390="","",IF(OR($J390&lt;&gt;"x",$A390&lt;=FinReleve),1,0))</f>
        <v>1</v>
      </c>
      <c r="P390" s="6">
        <f>IF($D390="","",IF(AND($L390="Crédit",OR(IFERROR(INDEX('Paramètres'!$O:$O,MATCH($D390,'Paramètres'!$M:$M,0))&amp;"","")&lt;&gt;"",ISNUMBER(SEARCH("remboursement",IFERROR(INDEX('Paramètres'!$N:$N,MATCH($D390,'Paramètres'!$M:$M,0))&amp;"",""))))),1,0))</f>
        <v>0</v>
      </c>
      <c r="Q390" s="6">
        <f>IF($K390="","",IF(ISNUMBER(SEARCH("transfert-interne",IFERROR(INDEX('Paramètres'!$N:$N,MATCH($D390,'Paramètres'!$M:$M,0))&amp;"",""))),0,IF($L390="Débit",$K390,IF($P390=1,-$K390,0))))</f>
        <v>75.11</v>
      </c>
      <c r="R390" s="6">
        <f>IF($K390="","",IF($L390="Crédit",$K390,-$K390))</f>
        <v>-75.11</v>
      </c>
      <c r="S390" s="6" t="str">
        <f>IF($C390="","",IFERROR(INDEX('Paramètres'!$H:$H,MATCH($C390,'Paramètres'!$D:$D,0))&amp;"",""))</f>
        <v>Banque A - Courant</v>
      </c>
      <c r="T390" s="6">
        <f>IF($K390="","",IF($S390="",0,IF(ISNUMBER(SEARCH("apport-exterieur",IFERROR(INDEX('Paramètres'!$N:$N,MATCH($D390,'Paramètres'!$M:$M,0))&amp;"",""))),0,IF(OR(IFERROR(INDEX('Paramètres'!$I:$I,MATCH($C390,'Paramètres'!$D:$D,0))&amp;"","")="Les deux",IFERROR(INDEX('Paramètres'!$I:$I,MATCH($C390,'Paramètres'!$D:$D,0))&amp;"","")=IF($P390=1,"Débit",$L390)),-IF($P390=1,-$K390,$K390),0))))</f>
        <v>0</v>
      </c>
      <c r="U390" s="6">
        <f>IF($K390="","",IF(ISNUMBER(SEARCH("sortie-epargne",IFERROR(INDEX('Paramètres'!$N:$N,MATCH($D390,'Paramètres'!$M:$M,0))&amp;"",""))),$K390,0))</f>
        <v>0</v>
      </c>
      <c r="V390" s="6" t="str">
        <f>IF(AND($A390&lt;&gt;"",$O390=1,$L390="Débit",N($Q390)&gt;0,$A390&gt;=Visualisation!$B$1,$A390&lt;Visualisation!$D$1),MAX($V$1:V389)+1,"")</f>
        <v/>
      </c>
    </row>
    <row r="391" spans="1:22" x14ac:dyDescent="0.25">
      <c r="A391" s="9">
        <v>45800</v>
      </c>
      <c r="B391" s="4" t="s">
        <v>123</v>
      </c>
      <c r="C391" s="4" t="s">
        <v>75</v>
      </c>
      <c r="D391" s="4" t="s">
        <v>124</v>
      </c>
      <c r="E391" s="10">
        <v>74.7</v>
      </c>
      <c r="G391" s="4" t="s">
        <v>125</v>
      </c>
      <c r="H391" s="4"/>
      <c r="I391" s="4" t="s">
        <v>93</v>
      </c>
      <c r="K391" s="11">
        <f>IF($E391="","",ROUND($E391*IF(ISNA(MATCH($C391,'Paramètres'!$D:$D,0)),1,IF(INDEX('Paramètres'!$J:$J,MATCH($C391,'Paramètres'!$D:$D,0))="",1,INDEX('Paramètres'!$J:$J,MATCH($C391,'Paramètres'!$D:$D,0)))),2))</f>
        <v>74.7</v>
      </c>
      <c r="L391" s="6" t="str">
        <f>IF($D391="","",IF($F391&lt;&gt;"",$F391,IF(ISNA(MATCH($D391,'Paramètres'!$M:$M,0)),"⚠ Type inconnu",IFERROR(INDEX('Paramètres'!$P:$P,MATCH($D391,'Paramètres'!$M:$M,0))&amp;"",""))))</f>
        <v>Débit</v>
      </c>
      <c r="M391" s="6" t="str">
        <f>IF($D391="","",IF(ISNA(MATCH($D391,'Paramètres'!$M:$M,0)),"⚠ Type inconnu",IF($L391="Crédit","",IFERROR(INDEX('Paramètres'!$O:$O,MATCH($D391,'Paramètres'!$M:$M,0))&amp;"",""))))</f>
        <v>Dépense Courante</v>
      </c>
      <c r="N391" s="6" t="str">
        <f>IF($D391="","",IFERROR(INDEX('Paramètres'!$Q:$Q,MATCH($D391,'Paramètres'!$M:$M,0))&amp;"",""))</f>
        <v>Habillement</v>
      </c>
      <c r="O391" s="6">
        <f>IF($A391="","",IF(OR($J391&lt;&gt;"x",$A391&lt;=FinReleve),1,0))</f>
        <v>1</v>
      </c>
      <c r="P391" s="6">
        <f>IF($D391="","",IF(AND($L391="Crédit",OR(IFERROR(INDEX('Paramètres'!$O:$O,MATCH($D391,'Paramètres'!$M:$M,0))&amp;"","")&lt;&gt;"",ISNUMBER(SEARCH("remboursement",IFERROR(INDEX('Paramètres'!$N:$N,MATCH($D391,'Paramètres'!$M:$M,0))&amp;"",""))))),1,0))</f>
        <v>0</v>
      </c>
      <c r="Q391" s="6">
        <f>IF($K391="","",IF(ISNUMBER(SEARCH("transfert-interne",IFERROR(INDEX('Paramètres'!$N:$N,MATCH($D391,'Paramètres'!$M:$M,0))&amp;"",""))),0,IF($L391="Débit",$K391,IF($P391=1,-$K391,0))))</f>
        <v>74.7</v>
      </c>
      <c r="R391" s="6">
        <f>IF($K391="","",IF($L391="Crédit",$K391,-$K391))</f>
        <v>-74.7</v>
      </c>
      <c r="S391" s="6" t="str">
        <f>IF($C391="","",IFERROR(INDEX('Paramètres'!$H:$H,MATCH($C391,'Paramètres'!$D:$D,0))&amp;"",""))</f>
        <v/>
      </c>
      <c r="T391" s="6">
        <f>IF($K391="","",IF($S391="",0,IF(ISNUMBER(SEARCH("apport-exterieur",IFERROR(INDEX('Paramètres'!$N:$N,MATCH($D391,'Paramètres'!$M:$M,0))&amp;"",""))),0,IF(OR(IFERROR(INDEX('Paramètres'!$I:$I,MATCH($C391,'Paramètres'!$D:$D,0))&amp;"","")="Les deux",IFERROR(INDEX('Paramètres'!$I:$I,MATCH($C391,'Paramètres'!$D:$D,0))&amp;"","")=IF($P391=1,"Débit",$L391)),-IF($P391=1,-$K391,$K391),0))))</f>
        <v>0</v>
      </c>
      <c r="U391" s="6">
        <f>IF($K391="","",IF(ISNUMBER(SEARCH("sortie-epargne",IFERROR(INDEX('Paramètres'!$N:$N,MATCH($D391,'Paramètres'!$M:$M,0))&amp;"",""))),$K391,0))</f>
        <v>0</v>
      </c>
      <c r="V391" s="6" t="str">
        <f>IF(AND($A391&lt;&gt;"",$O391=1,$L391="Débit",N($Q391)&gt;0,$A391&gt;=Visualisation!$B$1,$A391&lt;Visualisation!$D$1),MAX($V$1:V390)+1,"")</f>
        <v/>
      </c>
    </row>
    <row r="392" spans="1:22" x14ac:dyDescent="0.25">
      <c r="A392" s="9">
        <v>45800</v>
      </c>
      <c r="B392" s="4" t="s">
        <v>105</v>
      </c>
      <c r="C392" s="4" t="s">
        <v>75</v>
      </c>
      <c r="D392" s="4" t="s">
        <v>106</v>
      </c>
      <c r="E392" s="10">
        <v>278.72</v>
      </c>
      <c r="G392" s="4"/>
      <c r="H392" s="4"/>
      <c r="I392" s="4"/>
      <c r="K392" s="11">
        <f>IF($E392="","",ROUND($E392*IF(ISNA(MATCH($C392,'Paramètres'!$D:$D,0)),1,IF(INDEX('Paramètres'!$J:$J,MATCH($C392,'Paramètres'!$D:$D,0))="",1,INDEX('Paramètres'!$J:$J,MATCH($C392,'Paramètres'!$D:$D,0)))),2))</f>
        <v>278.72</v>
      </c>
      <c r="L392" s="6" t="str">
        <f>IF($D392="","",IF($F392&lt;&gt;"",$F392,IF(ISNA(MATCH($D392,'Paramètres'!$M:$M,0)),"⚠ Type inconnu",IFERROR(INDEX('Paramètres'!$P:$P,MATCH($D392,'Paramètres'!$M:$M,0))&amp;"",""))))</f>
        <v>Débit</v>
      </c>
      <c r="M392" s="6" t="str">
        <f>IF($D392="","",IF(ISNA(MATCH($D392,'Paramètres'!$M:$M,0)),"⚠ Type inconnu",IF($L392="Crédit","",IFERROR(INDEX('Paramètres'!$O:$O,MATCH($D392,'Paramètres'!$M:$M,0))&amp;"",""))))</f>
        <v/>
      </c>
      <c r="N392" s="6" t="str">
        <f>IF($D392="","",IFERROR(INDEX('Paramètres'!$Q:$Q,MATCH($D392,'Paramètres'!$M:$M,0))&amp;"",""))</f>
        <v>Comptes Bancaires</v>
      </c>
      <c r="O392" s="6">
        <f>IF($A392="","",IF(OR($J392&lt;&gt;"x",$A392&lt;=FinReleve),1,0))</f>
        <v>1</v>
      </c>
      <c r="P392" s="6">
        <f>IF($D392="","",IF(AND($L392="Crédit",OR(IFERROR(INDEX('Paramètres'!$O:$O,MATCH($D392,'Paramètres'!$M:$M,0))&amp;"","")&lt;&gt;"",ISNUMBER(SEARCH("remboursement",IFERROR(INDEX('Paramètres'!$N:$N,MATCH($D392,'Paramètres'!$M:$M,0))&amp;"",""))))),1,0))</f>
        <v>0</v>
      </c>
      <c r="Q392" s="6">
        <f>IF($K392="","",IF(ISNUMBER(SEARCH("transfert-interne",IFERROR(INDEX('Paramètres'!$N:$N,MATCH($D392,'Paramètres'!$M:$M,0))&amp;"",""))),0,IF($L392="Débit",$K392,IF($P392=1,-$K392,0))))</f>
        <v>278.72</v>
      </c>
      <c r="R392" s="6">
        <f>IF($K392="","",IF($L392="Crédit",$K392,-$K392))</f>
        <v>-278.72</v>
      </c>
      <c r="S392" s="6" t="str">
        <f>IF($C392="","",IFERROR(INDEX('Paramètres'!$H:$H,MATCH($C392,'Paramètres'!$D:$D,0))&amp;"",""))</f>
        <v/>
      </c>
      <c r="T392" s="6">
        <f>IF($K392="","",IF($S392="",0,IF(ISNUMBER(SEARCH("apport-exterieur",IFERROR(INDEX('Paramètres'!$N:$N,MATCH($D392,'Paramètres'!$M:$M,0))&amp;"",""))),0,IF(OR(IFERROR(INDEX('Paramètres'!$I:$I,MATCH($C392,'Paramètres'!$D:$D,0))&amp;"","")="Les deux",IFERROR(INDEX('Paramètres'!$I:$I,MATCH($C392,'Paramètres'!$D:$D,0))&amp;"","")=IF($P392=1,"Débit",$L392)),-IF($P392=1,-$K392,$K392),0))))</f>
        <v>0</v>
      </c>
      <c r="U392" s="6">
        <f>IF($K392="","",IF(ISNUMBER(SEARCH("sortie-epargne",IFERROR(INDEX('Paramètres'!$N:$N,MATCH($D392,'Paramètres'!$M:$M,0))&amp;"",""))),$K392,0))</f>
        <v>0</v>
      </c>
      <c r="V392" s="6" t="str">
        <f>IF(AND($A392&lt;&gt;"",$O392=1,$L392="Débit",N($Q392)&gt;0,$A392&gt;=Visualisation!$B$1,$A392&lt;Visualisation!$D$1),MAX($V$1:V391)+1,"")</f>
        <v/>
      </c>
    </row>
    <row r="393" spans="1:22" x14ac:dyDescent="0.25">
      <c r="A393" s="9">
        <v>45802</v>
      </c>
      <c r="B393" s="4" t="s">
        <v>76</v>
      </c>
      <c r="C393" s="4" t="s">
        <v>60</v>
      </c>
      <c r="D393" s="4" t="s">
        <v>77</v>
      </c>
      <c r="E393" s="10">
        <v>165</v>
      </c>
      <c r="G393" s="4" t="s">
        <v>98</v>
      </c>
      <c r="H393" s="4"/>
      <c r="I393" s="4"/>
      <c r="K393" s="11">
        <f>IF($E393="","",ROUND($E393*IF(ISNA(MATCH($C393,'Paramètres'!$D:$D,0)),1,IF(INDEX('Paramètres'!$J:$J,MATCH($C393,'Paramètres'!$D:$D,0))="",1,INDEX('Paramètres'!$J:$J,MATCH($C393,'Paramètres'!$D:$D,0)))),2))</f>
        <v>82.5</v>
      </c>
      <c r="L393" s="6" t="str">
        <f>IF($D393="","",IF($F393&lt;&gt;"",$F393,IF(ISNA(MATCH($D393,'Paramètres'!$M:$M,0)),"⚠ Type inconnu",IFERROR(INDEX('Paramètres'!$P:$P,MATCH($D393,'Paramètres'!$M:$M,0))&amp;"",""))))</f>
        <v>Débit</v>
      </c>
      <c r="M393" s="6" t="str">
        <f>IF($D393="","",IF(ISNA(MATCH($D393,'Paramètres'!$M:$M,0)),"⚠ Type inconnu",IF($L393="Crédit","",IFERROR(INDEX('Paramètres'!$O:$O,MATCH($D393,'Paramètres'!$M:$M,0))&amp;"",""))))</f>
        <v>Dépense Courante</v>
      </c>
      <c r="N393" s="6" t="str">
        <f>IF($D393="","",IFERROR(INDEX('Paramètres'!$Q:$Q,MATCH($D393,'Paramètres'!$M:$M,0))&amp;"",""))</f>
        <v>Alimentation</v>
      </c>
      <c r="O393" s="6">
        <f>IF($A393="","",IF(OR($J393&lt;&gt;"x",$A393&lt;=FinReleve),1,0))</f>
        <v>1</v>
      </c>
      <c r="P393" s="6">
        <f>IF($D393="","",IF(AND($L393="Crédit",OR(IFERROR(INDEX('Paramètres'!$O:$O,MATCH($D393,'Paramètres'!$M:$M,0))&amp;"","")&lt;&gt;"",ISNUMBER(SEARCH("remboursement",IFERROR(INDEX('Paramètres'!$N:$N,MATCH($D393,'Paramètres'!$M:$M,0))&amp;"",""))))),1,0))</f>
        <v>0</v>
      </c>
      <c r="Q393" s="6">
        <f>IF($K393="","",IF(ISNUMBER(SEARCH("transfert-interne",IFERROR(INDEX('Paramètres'!$N:$N,MATCH($D393,'Paramètres'!$M:$M,0))&amp;"",""))),0,IF($L393="Débit",$K393,IF($P393=1,-$K393,0))))</f>
        <v>82.5</v>
      </c>
      <c r="R393" s="6">
        <f>IF($K393="","",IF($L393="Crédit",$K393,-$K393))</f>
        <v>-82.5</v>
      </c>
      <c r="S393" s="6" t="str">
        <f>IF($C393="","",IFERROR(INDEX('Paramètres'!$H:$H,MATCH($C393,'Paramètres'!$D:$D,0))&amp;"",""))</f>
        <v>Banque A - Courant</v>
      </c>
      <c r="T393" s="6">
        <f>IF($K393="","",IF($S393="",0,IF(ISNUMBER(SEARCH("apport-exterieur",IFERROR(INDEX('Paramètres'!$N:$N,MATCH($D393,'Paramètres'!$M:$M,0))&amp;"",""))),0,IF(OR(IFERROR(INDEX('Paramètres'!$I:$I,MATCH($C393,'Paramètres'!$D:$D,0))&amp;"","")="Les deux",IFERROR(INDEX('Paramètres'!$I:$I,MATCH($C393,'Paramètres'!$D:$D,0))&amp;"","")=IF($P393=1,"Débit",$L393)),-IF($P393=1,-$K393,$K393),0))))</f>
        <v>-82.5</v>
      </c>
      <c r="U393" s="6">
        <f>IF($K393="","",IF(ISNUMBER(SEARCH("sortie-epargne",IFERROR(INDEX('Paramètres'!$N:$N,MATCH($D393,'Paramètres'!$M:$M,0))&amp;"",""))),$K393,0))</f>
        <v>0</v>
      </c>
      <c r="V393" s="6" t="str">
        <f>IF(AND($A393&lt;&gt;"",$O393=1,$L393="Débit",N($Q393)&gt;0,$A393&gt;=Visualisation!$B$1,$A393&lt;Visualisation!$D$1),MAX($V$1:V392)+1,"")</f>
        <v/>
      </c>
    </row>
    <row r="394" spans="1:22" x14ac:dyDescent="0.25">
      <c r="A394" s="9">
        <v>45802</v>
      </c>
      <c r="B394" s="4" t="s">
        <v>76</v>
      </c>
      <c r="C394" s="4" t="s">
        <v>107</v>
      </c>
      <c r="D394" s="4" t="s">
        <v>108</v>
      </c>
      <c r="E394" s="10">
        <v>17.56</v>
      </c>
      <c r="G394" s="4" t="s">
        <v>146</v>
      </c>
      <c r="H394" s="4" t="s">
        <v>144</v>
      </c>
      <c r="I394" s="4" t="s">
        <v>73</v>
      </c>
      <c r="K394" s="11">
        <f>IF($E394="","",ROUND($E394*IF(ISNA(MATCH($C394,'Paramètres'!$D:$D,0)),1,IF(INDEX('Paramètres'!$J:$J,MATCH($C394,'Paramètres'!$D:$D,0))="",1,INDEX('Paramètres'!$J:$J,MATCH($C394,'Paramètres'!$D:$D,0)))),2))</f>
        <v>17.56</v>
      </c>
      <c r="L394" s="6" t="str">
        <f>IF($D394="","",IF($F394&lt;&gt;"",$F394,IF(ISNA(MATCH($D394,'Paramètres'!$M:$M,0)),"⚠ Type inconnu",IFERROR(INDEX('Paramètres'!$P:$P,MATCH($D394,'Paramètres'!$M:$M,0))&amp;"",""))))</f>
        <v>Débit</v>
      </c>
      <c r="M394" s="6" t="str">
        <f>IF($D394="","",IF(ISNA(MATCH($D394,'Paramètres'!$M:$M,0)),"⚠ Type inconnu",IF($L394="Crédit","",IFERROR(INDEX('Paramètres'!$O:$O,MATCH($D394,'Paramètres'!$M:$M,0))&amp;"",""))))</f>
        <v>Dépense Occasionnelle</v>
      </c>
      <c r="N394" s="6" t="str">
        <f>IF($D394="","",IFERROR(INDEX('Paramètres'!$Q:$Q,MATCH($D394,'Paramètres'!$M:$M,0))&amp;"",""))</f>
        <v>Autre</v>
      </c>
      <c r="O394" s="6">
        <f>IF($A394="","",IF(OR($J394&lt;&gt;"x",$A394&lt;=FinReleve),1,0))</f>
        <v>1</v>
      </c>
      <c r="P394" s="6">
        <f>IF($D394="","",IF(AND($L394="Crédit",OR(IFERROR(INDEX('Paramètres'!$O:$O,MATCH($D394,'Paramètres'!$M:$M,0))&amp;"","")&lt;&gt;"",ISNUMBER(SEARCH("remboursement",IFERROR(INDEX('Paramètres'!$N:$N,MATCH($D394,'Paramètres'!$M:$M,0))&amp;"",""))))),1,0))</f>
        <v>0</v>
      </c>
      <c r="Q394" s="6">
        <f>IF($K394="","",IF(ISNUMBER(SEARCH("transfert-interne",IFERROR(INDEX('Paramètres'!$N:$N,MATCH($D394,'Paramètres'!$M:$M,0))&amp;"",""))),0,IF($L394="Débit",$K394,IF($P394=1,-$K394,0))))</f>
        <v>17.56</v>
      </c>
      <c r="R394" s="6">
        <f>IF($K394="","",IF($L394="Crédit",$K394,-$K394))</f>
        <v>-17.56</v>
      </c>
      <c r="S394" s="6" t="str">
        <f>IF($C394="","",IFERROR(INDEX('Paramètres'!$H:$H,MATCH($C394,'Paramètres'!$D:$D,0))&amp;"",""))</f>
        <v/>
      </c>
      <c r="T394" s="6">
        <f>IF($K394="","",IF($S394="",0,IF(ISNUMBER(SEARCH("apport-exterieur",IFERROR(INDEX('Paramètres'!$N:$N,MATCH($D394,'Paramètres'!$M:$M,0))&amp;"",""))),0,IF(OR(IFERROR(INDEX('Paramètres'!$I:$I,MATCH($C394,'Paramètres'!$D:$D,0))&amp;"","")="Les deux",IFERROR(INDEX('Paramètres'!$I:$I,MATCH($C394,'Paramètres'!$D:$D,0))&amp;"","")=IF($P394=1,"Débit",$L394)),-IF($P394=1,-$K394,$K394),0))))</f>
        <v>0</v>
      </c>
      <c r="U394" s="6">
        <f>IF($K394="","",IF(ISNUMBER(SEARCH("sortie-epargne",IFERROR(INDEX('Paramètres'!$N:$N,MATCH($D394,'Paramètres'!$M:$M,0))&amp;"",""))),$K394,0))</f>
        <v>0</v>
      </c>
      <c r="V394" s="6" t="str">
        <f>IF(AND($A394&lt;&gt;"",$O394=1,$L394="Débit",N($Q394)&gt;0,$A394&gt;=Visualisation!$B$1,$A394&lt;Visualisation!$D$1),MAX($V$1:V393)+1,"")</f>
        <v/>
      </c>
    </row>
    <row r="395" spans="1:22" x14ac:dyDescent="0.25">
      <c r="A395" s="9">
        <v>45803</v>
      </c>
      <c r="B395" s="4" t="s">
        <v>119</v>
      </c>
      <c r="C395" s="4" t="s">
        <v>60</v>
      </c>
      <c r="D395" s="4" t="s">
        <v>119</v>
      </c>
      <c r="E395" s="10">
        <v>65.74</v>
      </c>
      <c r="G395" s="4" t="s">
        <v>137</v>
      </c>
      <c r="H395" s="4"/>
      <c r="I395" s="4" t="s">
        <v>63</v>
      </c>
      <c r="K395" s="11">
        <f>IF($E395="","",ROUND($E395*IF(ISNA(MATCH($C395,'Paramètres'!$D:$D,0)),1,IF(INDEX('Paramètres'!$J:$J,MATCH($C395,'Paramètres'!$D:$D,0))="",1,INDEX('Paramètres'!$J:$J,MATCH($C395,'Paramètres'!$D:$D,0)))),2))</f>
        <v>32.87</v>
      </c>
      <c r="L395" s="6" t="str">
        <f>IF($D395="","",IF($F395&lt;&gt;"",$F395,IF(ISNA(MATCH($D395,'Paramètres'!$M:$M,0)),"⚠ Type inconnu",IFERROR(INDEX('Paramètres'!$P:$P,MATCH($D395,'Paramètres'!$M:$M,0))&amp;"",""))))</f>
        <v>Débit</v>
      </c>
      <c r="M395" s="6" t="str">
        <f>IF($D395="","",IF(ISNA(MATCH($D395,'Paramètres'!$M:$M,0)),"⚠ Type inconnu",IF($L395="Crédit","",IFERROR(INDEX('Paramètres'!$O:$O,MATCH($D395,'Paramètres'!$M:$M,0))&amp;"",""))))</f>
        <v>Dépense Occasionnelle</v>
      </c>
      <c r="N395" s="6" t="str">
        <f>IF($D395="","",IFERROR(INDEX('Paramètres'!$Q:$Q,MATCH($D395,'Paramètres'!$M:$M,0))&amp;"",""))</f>
        <v>Alimentation</v>
      </c>
      <c r="O395" s="6">
        <f>IF($A395="","",IF(OR($J395&lt;&gt;"x",$A395&lt;=FinReleve),1,0))</f>
        <v>1</v>
      </c>
      <c r="P395" s="6">
        <f>IF($D395="","",IF(AND($L395="Crédit",OR(IFERROR(INDEX('Paramètres'!$O:$O,MATCH($D395,'Paramètres'!$M:$M,0))&amp;"","")&lt;&gt;"",ISNUMBER(SEARCH("remboursement",IFERROR(INDEX('Paramètres'!$N:$N,MATCH($D395,'Paramètres'!$M:$M,0))&amp;"",""))))),1,0))</f>
        <v>0</v>
      </c>
      <c r="Q395" s="6">
        <f>IF($K395="","",IF(ISNUMBER(SEARCH("transfert-interne",IFERROR(INDEX('Paramètres'!$N:$N,MATCH($D395,'Paramètres'!$M:$M,0))&amp;"",""))),0,IF($L395="Débit",$K395,IF($P395=1,-$K395,0))))</f>
        <v>32.87</v>
      </c>
      <c r="R395" s="6">
        <f>IF($K395="","",IF($L395="Crédit",$K395,-$K395))</f>
        <v>-32.87</v>
      </c>
      <c r="S395" s="6" t="str">
        <f>IF($C395="","",IFERROR(INDEX('Paramètres'!$H:$H,MATCH($C395,'Paramètres'!$D:$D,0))&amp;"",""))</f>
        <v>Banque A - Courant</v>
      </c>
      <c r="T395" s="6">
        <f>IF($K395="","",IF($S395="",0,IF(ISNUMBER(SEARCH("apport-exterieur",IFERROR(INDEX('Paramètres'!$N:$N,MATCH($D395,'Paramètres'!$M:$M,0))&amp;"",""))),0,IF(OR(IFERROR(INDEX('Paramètres'!$I:$I,MATCH($C395,'Paramètres'!$D:$D,0))&amp;"","")="Les deux",IFERROR(INDEX('Paramètres'!$I:$I,MATCH($C395,'Paramètres'!$D:$D,0))&amp;"","")=IF($P395=1,"Débit",$L395)),-IF($P395=1,-$K395,$K395),0))))</f>
        <v>-32.87</v>
      </c>
      <c r="U395" s="6">
        <f>IF($K395="","",IF(ISNUMBER(SEARCH("sortie-epargne",IFERROR(INDEX('Paramètres'!$N:$N,MATCH($D395,'Paramètres'!$M:$M,0))&amp;"",""))),$K395,0))</f>
        <v>0</v>
      </c>
      <c r="V395" s="6" t="str">
        <f>IF(AND($A395&lt;&gt;"",$O395=1,$L395="Débit",N($Q395)&gt;0,$A395&gt;=Visualisation!$B$1,$A395&lt;Visualisation!$D$1),MAX($V$1:V394)+1,"")</f>
        <v/>
      </c>
    </row>
    <row r="396" spans="1:22" x14ac:dyDescent="0.25">
      <c r="A396" s="9">
        <v>45803</v>
      </c>
      <c r="B396" s="4" t="s">
        <v>105</v>
      </c>
      <c r="C396" s="4" t="s">
        <v>75</v>
      </c>
      <c r="D396" s="4" t="s">
        <v>110</v>
      </c>
      <c r="E396" s="10">
        <v>150</v>
      </c>
      <c r="G396" s="4"/>
      <c r="H396" s="4"/>
      <c r="I396" s="4"/>
      <c r="K396" s="11">
        <f>IF($E396="","",ROUND($E396*IF(ISNA(MATCH($C396,'Paramètres'!$D:$D,0)),1,IF(INDEX('Paramètres'!$J:$J,MATCH($C396,'Paramètres'!$D:$D,0))="",1,INDEX('Paramètres'!$J:$J,MATCH($C396,'Paramètres'!$D:$D,0)))),2))</f>
        <v>150</v>
      </c>
      <c r="L396" s="6" t="str">
        <f>IF($D396="","",IF($F396&lt;&gt;"",$F396,IF(ISNA(MATCH($D396,'Paramètres'!$M:$M,0)),"⚠ Type inconnu",IFERROR(INDEX('Paramètres'!$P:$P,MATCH($D396,'Paramètres'!$M:$M,0))&amp;"",""))))</f>
        <v>Débit</v>
      </c>
      <c r="M396" s="6" t="str">
        <f>IF($D396="","",IF(ISNA(MATCH($D396,'Paramètres'!$M:$M,0)),"⚠ Type inconnu",IF($L396="Crédit","",IFERROR(INDEX('Paramètres'!$O:$O,MATCH($D396,'Paramètres'!$M:$M,0))&amp;"",""))))</f>
        <v/>
      </c>
      <c r="N396" s="6" t="str">
        <f>IF($D396="","",IFERROR(INDEX('Paramètres'!$Q:$Q,MATCH($D396,'Paramètres'!$M:$M,0))&amp;"",""))</f>
        <v>Comptes Bancaires</v>
      </c>
      <c r="O396" s="6">
        <f>IF($A396="","",IF(OR($J396&lt;&gt;"x",$A396&lt;=FinReleve),1,0))</f>
        <v>1</v>
      </c>
      <c r="P396" s="6">
        <f>IF($D396="","",IF(AND($L396="Crédit",OR(IFERROR(INDEX('Paramètres'!$O:$O,MATCH($D396,'Paramètres'!$M:$M,0))&amp;"","")&lt;&gt;"",ISNUMBER(SEARCH("remboursement",IFERROR(INDEX('Paramètres'!$N:$N,MATCH($D396,'Paramètres'!$M:$M,0))&amp;"",""))))),1,0))</f>
        <v>0</v>
      </c>
      <c r="Q396" s="6">
        <f>IF($K396="","",IF(ISNUMBER(SEARCH("transfert-interne",IFERROR(INDEX('Paramètres'!$N:$N,MATCH($D396,'Paramètres'!$M:$M,0))&amp;"",""))),0,IF($L396="Débit",$K396,IF($P396=1,-$K396,0))))</f>
        <v>0</v>
      </c>
      <c r="R396" s="6">
        <f>IF($K396="","",IF($L396="Crédit",$K396,-$K396))</f>
        <v>-150</v>
      </c>
      <c r="S396" s="6" t="str">
        <f>IF($C396="","",IFERROR(INDEX('Paramètres'!$H:$H,MATCH($C396,'Paramètres'!$D:$D,0))&amp;"",""))</f>
        <v/>
      </c>
      <c r="T396" s="6">
        <f>IF($K396="","",IF($S396="",0,IF(ISNUMBER(SEARCH("apport-exterieur",IFERROR(INDEX('Paramètres'!$N:$N,MATCH($D396,'Paramètres'!$M:$M,0))&amp;"",""))),0,IF(OR(IFERROR(INDEX('Paramètres'!$I:$I,MATCH($C396,'Paramètres'!$D:$D,0))&amp;"","")="Les deux",IFERROR(INDEX('Paramètres'!$I:$I,MATCH($C396,'Paramètres'!$D:$D,0))&amp;"","")=IF($P396=1,"Débit",$L396)),-IF($P396=1,-$K396,$K396),0))))</f>
        <v>0</v>
      </c>
      <c r="U396" s="6">
        <f>IF($K396="","",IF(ISNUMBER(SEARCH("sortie-epargne",IFERROR(INDEX('Paramètres'!$N:$N,MATCH($D396,'Paramètres'!$M:$M,0))&amp;"",""))),$K396,0))</f>
        <v>0</v>
      </c>
      <c r="V396" s="6" t="str">
        <f>IF(AND($A396&lt;&gt;"",$O396=1,$L396="Débit",N($Q396)&gt;0,$A396&gt;=Visualisation!$B$1,$A396&lt;Visualisation!$D$1),MAX($V$1:V395)+1,"")</f>
        <v/>
      </c>
    </row>
    <row r="397" spans="1:22" x14ac:dyDescent="0.25">
      <c r="A397" s="9">
        <v>45803</v>
      </c>
      <c r="B397" s="4" t="s">
        <v>105</v>
      </c>
      <c r="C397" s="4" t="s">
        <v>75</v>
      </c>
      <c r="D397" s="4" t="s">
        <v>111</v>
      </c>
      <c r="E397" s="10">
        <v>200</v>
      </c>
      <c r="G397" s="4"/>
      <c r="H397" s="4"/>
      <c r="I397" s="4"/>
      <c r="K397" s="11">
        <f>IF($E397="","",ROUND($E397*IF(ISNA(MATCH($C397,'Paramètres'!$D:$D,0)),1,IF(INDEX('Paramètres'!$J:$J,MATCH($C397,'Paramètres'!$D:$D,0))="",1,INDEX('Paramètres'!$J:$J,MATCH($C397,'Paramètres'!$D:$D,0)))),2))</f>
        <v>200</v>
      </c>
      <c r="L397" s="6" t="str">
        <f>IF($D397="","",IF($F397&lt;&gt;"",$F397,IF(ISNA(MATCH($D397,'Paramètres'!$M:$M,0)),"⚠ Type inconnu",IFERROR(INDEX('Paramètres'!$P:$P,MATCH($D397,'Paramètres'!$M:$M,0))&amp;"",""))))</f>
        <v>Débit</v>
      </c>
      <c r="M397" s="6" t="str">
        <f>IF($D397="","",IF(ISNA(MATCH($D397,'Paramètres'!$M:$M,0)),"⚠ Type inconnu",IF($L397="Crédit","",IFERROR(INDEX('Paramètres'!$O:$O,MATCH($D397,'Paramètres'!$M:$M,0))&amp;"",""))))</f>
        <v/>
      </c>
      <c r="N397" s="6" t="str">
        <f>IF($D397="","",IFERROR(INDEX('Paramètres'!$Q:$Q,MATCH($D397,'Paramètres'!$M:$M,0))&amp;"",""))</f>
        <v>Comptes Bancaires</v>
      </c>
      <c r="O397" s="6">
        <f>IF($A397="","",IF(OR($J397&lt;&gt;"x",$A397&lt;=FinReleve),1,0))</f>
        <v>1</v>
      </c>
      <c r="P397" s="6">
        <f>IF($D397="","",IF(AND($L397="Crédit",OR(IFERROR(INDEX('Paramètres'!$O:$O,MATCH($D397,'Paramètres'!$M:$M,0))&amp;"","")&lt;&gt;"",ISNUMBER(SEARCH("remboursement",IFERROR(INDEX('Paramètres'!$N:$N,MATCH($D397,'Paramètres'!$M:$M,0))&amp;"",""))))),1,0))</f>
        <v>0</v>
      </c>
      <c r="Q397" s="6">
        <f>IF($K397="","",IF(ISNUMBER(SEARCH("transfert-interne",IFERROR(INDEX('Paramètres'!$N:$N,MATCH($D397,'Paramètres'!$M:$M,0))&amp;"",""))),0,IF($L397="Débit",$K397,IF($P397=1,-$K397,0))))</f>
        <v>200</v>
      </c>
      <c r="R397" s="6">
        <f>IF($K397="","",IF($L397="Crédit",$K397,-$K397))</f>
        <v>-200</v>
      </c>
      <c r="S397" s="6" t="str">
        <f>IF($C397="","",IFERROR(INDEX('Paramètres'!$H:$H,MATCH($C397,'Paramètres'!$D:$D,0))&amp;"",""))</f>
        <v/>
      </c>
      <c r="T397" s="6">
        <f>IF($K397="","",IF($S397="",0,IF(ISNUMBER(SEARCH("apport-exterieur",IFERROR(INDEX('Paramètres'!$N:$N,MATCH($D397,'Paramètres'!$M:$M,0))&amp;"",""))),0,IF(OR(IFERROR(INDEX('Paramètres'!$I:$I,MATCH($C397,'Paramètres'!$D:$D,0))&amp;"","")="Les deux",IFERROR(INDEX('Paramètres'!$I:$I,MATCH($C397,'Paramètres'!$D:$D,0))&amp;"","")=IF($P397=1,"Débit",$L397)),-IF($P397=1,-$K397,$K397),0))))</f>
        <v>0</v>
      </c>
      <c r="U397" s="6">
        <f>IF($K397="","",IF(ISNUMBER(SEARCH("sortie-epargne",IFERROR(INDEX('Paramètres'!$N:$N,MATCH($D397,'Paramètres'!$M:$M,0))&amp;"",""))),$K397,0))</f>
        <v>0</v>
      </c>
      <c r="V397" s="6" t="str">
        <f>IF(AND($A397&lt;&gt;"",$O397=1,$L397="Débit",N($Q397)&gt;0,$A397&gt;=Visualisation!$B$1,$A397&lt;Visualisation!$D$1),MAX($V$1:V396)+1,"")</f>
        <v/>
      </c>
    </row>
    <row r="398" spans="1:22" x14ac:dyDescent="0.25">
      <c r="A398" s="9">
        <v>45803</v>
      </c>
      <c r="B398" s="4" t="s">
        <v>112</v>
      </c>
      <c r="C398" s="4" t="s">
        <v>75</v>
      </c>
      <c r="D398" s="4" t="s">
        <v>113</v>
      </c>
      <c r="E398" s="10">
        <v>120</v>
      </c>
      <c r="G398" s="4"/>
      <c r="H398" s="4"/>
      <c r="I398" s="4"/>
      <c r="K398" s="11">
        <f>IF($E398="","",ROUND($E398*IF(ISNA(MATCH($C398,'Paramètres'!$D:$D,0)),1,IF(INDEX('Paramètres'!$J:$J,MATCH($C398,'Paramètres'!$D:$D,0))="",1,INDEX('Paramètres'!$J:$J,MATCH($C398,'Paramètres'!$D:$D,0)))),2))</f>
        <v>120</v>
      </c>
      <c r="L398" s="6" t="str">
        <f>IF($D398="","",IF($F398&lt;&gt;"",$F398,IF(ISNA(MATCH($D398,'Paramètres'!$M:$M,0)),"⚠ Type inconnu",IFERROR(INDEX('Paramètres'!$P:$P,MATCH($D398,'Paramètres'!$M:$M,0))&amp;"",""))))</f>
        <v>Débit</v>
      </c>
      <c r="M398" s="6" t="str">
        <f>IF($D398="","",IF(ISNA(MATCH($D398,'Paramètres'!$M:$M,0)),"⚠ Type inconnu",IF($L398="Crédit","",IFERROR(INDEX('Paramètres'!$O:$O,MATCH($D398,'Paramètres'!$M:$M,0))&amp;"",""))))</f>
        <v/>
      </c>
      <c r="N398" s="6" t="str">
        <f>IF($D398="","",IFERROR(INDEX('Paramètres'!$Q:$Q,MATCH($D398,'Paramètres'!$M:$M,0))&amp;"",""))</f>
        <v>Comptes Bancaires</v>
      </c>
      <c r="O398" s="6">
        <f>IF($A398="","",IF(OR($J398&lt;&gt;"x",$A398&lt;=FinReleve),1,0))</f>
        <v>1</v>
      </c>
      <c r="P398" s="6">
        <f>IF($D398="","",IF(AND($L398="Crédit",OR(IFERROR(INDEX('Paramètres'!$O:$O,MATCH($D398,'Paramètres'!$M:$M,0))&amp;"","")&lt;&gt;"",ISNUMBER(SEARCH("remboursement",IFERROR(INDEX('Paramètres'!$N:$N,MATCH($D398,'Paramètres'!$M:$M,0))&amp;"",""))))),1,0))</f>
        <v>0</v>
      </c>
      <c r="Q398" s="6">
        <f>IF($K398="","",IF(ISNUMBER(SEARCH("transfert-interne",IFERROR(INDEX('Paramètres'!$N:$N,MATCH($D398,'Paramètres'!$M:$M,0))&amp;"",""))),0,IF($L398="Débit",$K398,IF($P398=1,-$K398,0))))</f>
        <v>120</v>
      </c>
      <c r="R398" s="6">
        <f>IF($K398="","",IF($L398="Crédit",$K398,-$K398))</f>
        <v>-120</v>
      </c>
      <c r="S398" s="6" t="str">
        <f>IF($C398="","",IFERROR(INDEX('Paramètres'!$H:$H,MATCH($C398,'Paramètres'!$D:$D,0))&amp;"",""))</f>
        <v/>
      </c>
      <c r="T398" s="6">
        <f>IF($K398="","",IF($S398="",0,IF(ISNUMBER(SEARCH("apport-exterieur",IFERROR(INDEX('Paramètres'!$N:$N,MATCH($D398,'Paramètres'!$M:$M,0))&amp;"",""))),0,IF(OR(IFERROR(INDEX('Paramètres'!$I:$I,MATCH($C398,'Paramètres'!$D:$D,0))&amp;"","")="Les deux",IFERROR(INDEX('Paramètres'!$I:$I,MATCH($C398,'Paramètres'!$D:$D,0))&amp;"","")=IF($P398=1,"Débit",$L398)),-IF($P398=1,-$K398,$K398),0))))</f>
        <v>0</v>
      </c>
      <c r="U398" s="6">
        <f>IF($K398="","",IF(ISNUMBER(SEARCH("sortie-epargne",IFERROR(INDEX('Paramètres'!$N:$N,MATCH($D398,'Paramètres'!$M:$M,0))&amp;"",""))),$K398,0))</f>
        <v>0</v>
      </c>
      <c r="V398" s="6" t="str">
        <f>IF(AND($A398&lt;&gt;"",$O398=1,$L398="Débit",N($Q398)&gt;0,$A398&gt;=Visualisation!$B$1,$A398&lt;Visualisation!$D$1),MAX($V$1:V397)+1,"")</f>
        <v/>
      </c>
    </row>
    <row r="399" spans="1:22" x14ac:dyDescent="0.25">
      <c r="A399" s="9">
        <v>45804</v>
      </c>
      <c r="B399" s="4" t="s">
        <v>114</v>
      </c>
      <c r="C399" s="4" t="s">
        <v>75</v>
      </c>
      <c r="D399" s="4" t="s">
        <v>115</v>
      </c>
      <c r="E399" s="10">
        <v>2984.3</v>
      </c>
      <c r="G399" s="4" t="s">
        <v>115</v>
      </c>
      <c r="H399" s="4"/>
      <c r="I399" s="4"/>
      <c r="K399" s="11">
        <f>IF($E399="","",ROUND($E399*IF(ISNA(MATCH($C399,'Paramètres'!$D:$D,0)),1,IF(INDEX('Paramètres'!$J:$J,MATCH($C399,'Paramètres'!$D:$D,0))="",1,INDEX('Paramètres'!$J:$J,MATCH($C399,'Paramètres'!$D:$D,0)))),2))</f>
        <v>2984.3</v>
      </c>
      <c r="L399" s="6" t="str">
        <f>IF($D399="","",IF($F399&lt;&gt;"",$F399,IF(ISNA(MATCH($D399,'Paramètres'!$M:$M,0)),"⚠ Type inconnu",IFERROR(INDEX('Paramètres'!$P:$P,MATCH($D399,'Paramètres'!$M:$M,0))&amp;"",""))))</f>
        <v>Crédit</v>
      </c>
      <c r="M399" s="6" t="str">
        <f>IF($D399="","",IF(ISNA(MATCH($D399,'Paramètres'!$M:$M,0)),"⚠ Type inconnu",IF($L399="Crédit","",IFERROR(INDEX('Paramètres'!$O:$O,MATCH($D399,'Paramètres'!$M:$M,0))&amp;"",""))))</f>
        <v/>
      </c>
      <c r="N399" s="6" t="str">
        <f>IF($D399="","",IFERROR(INDEX('Paramètres'!$Q:$Q,MATCH($D399,'Paramètres'!$M:$M,0))&amp;"",""))</f>
        <v/>
      </c>
      <c r="O399" s="6">
        <f>IF($A399="","",IF(OR($J399&lt;&gt;"x",$A399&lt;=FinReleve),1,0))</f>
        <v>1</v>
      </c>
      <c r="P399" s="6">
        <f>IF($D399="","",IF(AND($L399="Crédit",OR(IFERROR(INDEX('Paramètres'!$O:$O,MATCH($D399,'Paramètres'!$M:$M,0))&amp;"","")&lt;&gt;"",ISNUMBER(SEARCH("remboursement",IFERROR(INDEX('Paramètres'!$N:$N,MATCH($D399,'Paramètres'!$M:$M,0))&amp;"",""))))),1,0))</f>
        <v>0</v>
      </c>
      <c r="Q399" s="6">
        <f>IF($K399="","",IF(ISNUMBER(SEARCH("transfert-interne",IFERROR(INDEX('Paramètres'!$N:$N,MATCH($D399,'Paramètres'!$M:$M,0))&amp;"",""))),0,IF($L399="Débit",$K399,IF($P399=1,-$K399,0))))</f>
        <v>0</v>
      </c>
      <c r="R399" s="6">
        <f>IF($K399="","",IF($L399="Crédit",$K399,-$K399))</f>
        <v>2984.3</v>
      </c>
      <c r="S399" s="6" t="str">
        <f>IF($C399="","",IFERROR(INDEX('Paramètres'!$H:$H,MATCH($C399,'Paramètres'!$D:$D,0))&amp;"",""))</f>
        <v/>
      </c>
      <c r="T399" s="6">
        <f>IF($K399="","",IF($S399="",0,IF(ISNUMBER(SEARCH("apport-exterieur",IFERROR(INDEX('Paramètres'!$N:$N,MATCH($D399,'Paramètres'!$M:$M,0))&amp;"",""))),0,IF(OR(IFERROR(INDEX('Paramètres'!$I:$I,MATCH($C399,'Paramètres'!$D:$D,0))&amp;"","")="Les deux",IFERROR(INDEX('Paramètres'!$I:$I,MATCH($C399,'Paramètres'!$D:$D,0))&amp;"","")=IF($P399=1,"Débit",$L399)),-IF($P399=1,-$K399,$K399),0))))</f>
        <v>0</v>
      </c>
      <c r="U399" s="6">
        <f>IF($K399="","",IF(ISNUMBER(SEARCH("sortie-epargne",IFERROR(INDEX('Paramètres'!$N:$N,MATCH($D399,'Paramètres'!$M:$M,0))&amp;"",""))),$K399,0))</f>
        <v>0</v>
      </c>
      <c r="V399" s="6" t="str">
        <f>IF(AND($A399&lt;&gt;"",$O399=1,$L399="Débit",N($Q399)&gt;0,$A399&gt;=Visualisation!$B$1,$A399&lt;Visualisation!$D$1),MAX($V$1:V398)+1,"")</f>
        <v/>
      </c>
    </row>
    <row r="400" spans="1:22" x14ac:dyDescent="0.25">
      <c r="A400" s="9">
        <v>45805</v>
      </c>
      <c r="B400" s="4" t="s">
        <v>118</v>
      </c>
      <c r="C400" s="4" t="s">
        <v>75</v>
      </c>
      <c r="D400" s="4" t="s">
        <v>118</v>
      </c>
      <c r="E400" s="10">
        <v>3</v>
      </c>
      <c r="G400" s="4"/>
      <c r="H400" s="4"/>
      <c r="I400" s="4"/>
      <c r="K400" s="11">
        <f>IF($E400="","",ROUND($E400*IF(ISNA(MATCH($C400,'Paramètres'!$D:$D,0)),1,IF(INDEX('Paramètres'!$J:$J,MATCH($C400,'Paramètres'!$D:$D,0))="",1,INDEX('Paramètres'!$J:$J,MATCH($C400,'Paramètres'!$D:$D,0)))),2))</f>
        <v>3</v>
      </c>
      <c r="L400" s="6" t="str">
        <f>IF($D400="","",IF($F400&lt;&gt;"",$F400,IF(ISNA(MATCH($D400,'Paramètres'!$M:$M,0)),"⚠ Type inconnu",IFERROR(INDEX('Paramètres'!$P:$P,MATCH($D400,'Paramètres'!$M:$M,0))&amp;"",""))))</f>
        <v>Débit</v>
      </c>
      <c r="M400" s="6" t="str">
        <f>IF($D400="","",IF(ISNA(MATCH($D400,'Paramètres'!$M:$M,0)),"⚠ Type inconnu",IF($L400="Crédit","",IFERROR(INDEX('Paramètres'!$O:$O,MATCH($D400,'Paramètres'!$M:$M,0))&amp;"",""))))</f>
        <v>Dépense Fixe</v>
      </c>
      <c r="N400" s="6" t="str">
        <f>IF($D400="","",IFERROR(INDEX('Paramètres'!$Q:$Q,MATCH($D400,'Paramètres'!$M:$M,0))&amp;"",""))</f>
        <v>Banque</v>
      </c>
      <c r="O400" s="6">
        <f>IF($A400="","",IF(OR($J400&lt;&gt;"x",$A400&lt;=FinReleve),1,0))</f>
        <v>1</v>
      </c>
      <c r="P400" s="6">
        <f>IF($D400="","",IF(AND($L400="Crédit",OR(IFERROR(INDEX('Paramètres'!$O:$O,MATCH($D400,'Paramètres'!$M:$M,0))&amp;"","")&lt;&gt;"",ISNUMBER(SEARCH("remboursement",IFERROR(INDEX('Paramètres'!$N:$N,MATCH($D400,'Paramètres'!$M:$M,0))&amp;"",""))))),1,0))</f>
        <v>0</v>
      </c>
      <c r="Q400" s="6">
        <f>IF($K400="","",IF(ISNUMBER(SEARCH("transfert-interne",IFERROR(INDEX('Paramètres'!$N:$N,MATCH($D400,'Paramètres'!$M:$M,0))&amp;"",""))),0,IF($L400="Débit",$K400,IF($P400=1,-$K400,0))))</f>
        <v>3</v>
      </c>
      <c r="R400" s="6">
        <f>IF($K400="","",IF($L400="Crédit",$K400,-$K400))</f>
        <v>-3</v>
      </c>
      <c r="S400" s="6" t="str">
        <f>IF($C400="","",IFERROR(INDEX('Paramètres'!$H:$H,MATCH($C400,'Paramètres'!$D:$D,0))&amp;"",""))</f>
        <v/>
      </c>
      <c r="T400" s="6">
        <f>IF($K400="","",IF($S400="",0,IF(ISNUMBER(SEARCH("apport-exterieur",IFERROR(INDEX('Paramètres'!$N:$N,MATCH($D400,'Paramètres'!$M:$M,0))&amp;"",""))),0,IF(OR(IFERROR(INDEX('Paramètres'!$I:$I,MATCH($C400,'Paramètres'!$D:$D,0))&amp;"","")="Les deux",IFERROR(INDEX('Paramètres'!$I:$I,MATCH($C400,'Paramètres'!$D:$D,0))&amp;"","")=IF($P400=1,"Débit",$L400)),-IF($P400=1,-$K400,$K400),0))))</f>
        <v>0</v>
      </c>
      <c r="U400" s="6">
        <f>IF($K400="","",IF(ISNUMBER(SEARCH("sortie-epargne",IFERROR(INDEX('Paramètres'!$N:$N,MATCH($D400,'Paramètres'!$M:$M,0))&amp;"",""))),$K400,0))</f>
        <v>0</v>
      </c>
      <c r="V400" s="6" t="str">
        <f>IF(AND($A400&lt;&gt;"",$O400=1,$L400="Débit",N($Q400)&gt;0,$A400&gt;=Visualisation!$B$1,$A400&lt;Visualisation!$D$1),MAX($V$1:V399)+1,"")</f>
        <v/>
      </c>
    </row>
    <row r="401" spans="1:22" x14ac:dyDescent="0.25">
      <c r="A401" s="9">
        <v>45805</v>
      </c>
      <c r="B401" s="4" t="s">
        <v>76</v>
      </c>
      <c r="C401" s="4" t="s">
        <v>60</v>
      </c>
      <c r="D401" s="4" t="s">
        <v>77</v>
      </c>
      <c r="E401" s="10">
        <v>23.88</v>
      </c>
      <c r="G401" s="4" t="s">
        <v>78</v>
      </c>
      <c r="H401" s="4"/>
      <c r="I401" s="4" t="s">
        <v>63</v>
      </c>
      <c r="K401" s="11">
        <f>IF($E401="","",ROUND($E401*IF(ISNA(MATCH($C401,'Paramètres'!$D:$D,0)),1,IF(INDEX('Paramètres'!$J:$J,MATCH($C401,'Paramètres'!$D:$D,0))="",1,INDEX('Paramètres'!$J:$J,MATCH($C401,'Paramètres'!$D:$D,0)))),2))</f>
        <v>11.94</v>
      </c>
      <c r="L401" s="6" t="str">
        <f>IF($D401="","",IF($F401&lt;&gt;"",$F401,IF(ISNA(MATCH($D401,'Paramètres'!$M:$M,0)),"⚠ Type inconnu",IFERROR(INDEX('Paramètres'!$P:$P,MATCH($D401,'Paramètres'!$M:$M,0))&amp;"",""))))</f>
        <v>Débit</v>
      </c>
      <c r="M401" s="6" t="str">
        <f>IF($D401="","",IF(ISNA(MATCH($D401,'Paramètres'!$M:$M,0)),"⚠ Type inconnu",IF($L401="Crédit","",IFERROR(INDEX('Paramètres'!$O:$O,MATCH($D401,'Paramètres'!$M:$M,0))&amp;"",""))))</f>
        <v>Dépense Courante</v>
      </c>
      <c r="N401" s="6" t="str">
        <f>IF($D401="","",IFERROR(INDEX('Paramètres'!$Q:$Q,MATCH($D401,'Paramètres'!$M:$M,0))&amp;"",""))</f>
        <v>Alimentation</v>
      </c>
      <c r="O401" s="6">
        <f>IF($A401="","",IF(OR($J401&lt;&gt;"x",$A401&lt;=FinReleve),1,0))</f>
        <v>1</v>
      </c>
      <c r="P401" s="6">
        <f>IF($D401="","",IF(AND($L401="Crédit",OR(IFERROR(INDEX('Paramètres'!$O:$O,MATCH($D401,'Paramètres'!$M:$M,0))&amp;"","")&lt;&gt;"",ISNUMBER(SEARCH("remboursement",IFERROR(INDEX('Paramètres'!$N:$N,MATCH($D401,'Paramètres'!$M:$M,0))&amp;"",""))))),1,0))</f>
        <v>0</v>
      </c>
      <c r="Q401" s="6">
        <f>IF($K401="","",IF(ISNUMBER(SEARCH("transfert-interne",IFERROR(INDEX('Paramètres'!$N:$N,MATCH($D401,'Paramètres'!$M:$M,0))&amp;"",""))),0,IF($L401="Débit",$K401,IF($P401=1,-$K401,0))))</f>
        <v>11.94</v>
      </c>
      <c r="R401" s="6">
        <f>IF($K401="","",IF($L401="Crédit",$K401,-$K401))</f>
        <v>-11.94</v>
      </c>
      <c r="S401" s="6" t="str">
        <f>IF($C401="","",IFERROR(INDEX('Paramètres'!$H:$H,MATCH($C401,'Paramètres'!$D:$D,0))&amp;"",""))</f>
        <v>Banque A - Courant</v>
      </c>
      <c r="T401" s="6">
        <f>IF($K401="","",IF($S401="",0,IF(ISNUMBER(SEARCH("apport-exterieur",IFERROR(INDEX('Paramètres'!$N:$N,MATCH($D401,'Paramètres'!$M:$M,0))&amp;"",""))),0,IF(OR(IFERROR(INDEX('Paramètres'!$I:$I,MATCH($C401,'Paramètres'!$D:$D,0))&amp;"","")="Les deux",IFERROR(INDEX('Paramètres'!$I:$I,MATCH($C401,'Paramètres'!$D:$D,0))&amp;"","")=IF($P401=1,"Débit",$L401)),-IF($P401=1,-$K401,$K401),0))))</f>
        <v>-11.94</v>
      </c>
      <c r="U401" s="6">
        <f>IF($K401="","",IF(ISNUMBER(SEARCH("sortie-epargne",IFERROR(INDEX('Paramètres'!$N:$N,MATCH($D401,'Paramètres'!$M:$M,0))&amp;"",""))),$K401,0))</f>
        <v>0</v>
      </c>
      <c r="V401" s="6" t="str">
        <f>IF(AND($A401&lt;&gt;"",$O401=1,$L401="Débit",N($Q401)&gt;0,$A401&gt;=Visualisation!$B$1,$A401&lt;Visualisation!$D$1),MAX($V$1:V400)+1,"")</f>
        <v/>
      </c>
    </row>
    <row r="402" spans="1:22" x14ac:dyDescent="0.25">
      <c r="A402" s="9">
        <v>45809</v>
      </c>
      <c r="B402" s="4" t="s">
        <v>59</v>
      </c>
      <c r="C402" s="4" t="s">
        <v>126</v>
      </c>
      <c r="D402" s="4" t="s">
        <v>59</v>
      </c>
      <c r="E402" s="10">
        <v>87.74</v>
      </c>
      <c r="G402" s="4" t="s">
        <v>61</v>
      </c>
      <c r="H402" s="4"/>
      <c r="I402" s="4"/>
      <c r="K402" s="11">
        <f>IF($E402="","",ROUND($E402*IF(ISNA(MATCH($C402,'Paramètres'!$D:$D,0)),1,IF(INDEX('Paramètres'!$J:$J,MATCH($C402,'Paramètres'!$D:$D,0))="",1,INDEX('Paramètres'!$J:$J,MATCH($C402,'Paramètres'!$D:$D,0)))),2))</f>
        <v>43.87</v>
      </c>
      <c r="L402" s="6" t="str">
        <f>IF($D402="","",IF($F402&lt;&gt;"",$F402,IF(ISNA(MATCH($D402,'Paramètres'!$M:$M,0)),"⚠ Type inconnu",IFERROR(INDEX('Paramètres'!$P:$P,MATCH($D402,'Paramètres'!$M:$M,0))&amp;"",""))))</f>
        <v>Débit</v>
      </c>
      <c r="M402" s="6" t="str">
        <f>IF($D402="","",IF(ISNA(MATCH($D402,'Paramètres'!$M:$M,0)),"⚠ Type inconnu",IF($L402="Crédit","",IFERROR(INDEX('Paramètres'!$O:$O,MATCH($D402,'Paramètres'!$M:$M,0))&amp;"",""))))</f>
        <v>Dépense Occasionnelle</v>
      </c>
      <c r="N402" s="6" t="str">
        <f>IF($D402="","",IFERROR(INDEX('Paramètres'!$Q:$Q,MATCH($D402,'Paramètres'!$M:$M,0))&amp;"",""))</f>
        <v>Loisir</v>
      </c>
      <c r="O402" s="6">
        <f>IF($A402="","",IF(OR($J402&lt;&gt;"x",$A402&lt;=FinReleve),1,0))</f>
        <v>1</v>
      </c>
      <c r="P402" s="6">
        <f>IF($D402="","",IF(AND($L402="Crédit",OR(IFERROR(INDEX('Paramètres'!$O:$O,MATCH($D402,'Paramètres'!$M:$M,0))&amp;"","")&lt;&gt;"",ISNUMBER(SEARCH("remboursement",IFERROR(INDEX('Paramètres'!$N:$N,MATCH($D402,'Paramètres'!$M:$M,0))&amp;"",""))))),1,0))</f>
        <v>0</v>
      </c>
      <c r="Q402" s="6">
        <f>IF($K402="","",IF(ISNUMBER(SEARCH("transfert-interne",IFERROR(INDEX('Paramètres'!$N:$N,MATCH($D402,'Paramètres'!$M:$M,0))&amp;"",""))),0,IF($L402="Débit",$K402,IF($P402=1,-$K402,0))))</f>
        <v>43.87</v>
      </c>
      <c r="R402" s="6">
        <f>IF($K402="","",IF($L402="Crédit",$K402,-$K402))</f>
        <v>-43.87</v>
      </c>
      <c r="S402" s="6" t="str">
        <f>IF($C402="","",IFERROR(INDEX('Paramètres'!$H:$H,MATCH($C402,'Paramètres'!$D:$D,0))&amp;"",""))</f>
        <v>Banque A - Courant</v>
      </c>
      <c r="T402" s="6">
        <f>IF($K402="","",IF($S402="",0,IF(ISNUMBER(SEARCH("apport-exterieur",IFERROR(INDEX('Paramètres'!$N:$N,MATCH($D402,'Paramètres'!$M:$M,0))&amp;"",""))),0,IF(OR(IFERROR(INDEX('Paramètres'!$I:$I,MATCH($C402,'Paramètres'!$D:$D,0))&amp;"","")="Les deux",IFERROR(INDEX('Paramètres'!$I:$I,MATCH($C402,'Paramètres'!$D:$D,0))&amp;"","")=IF($P402=1,"Débit",$L402)),-IF($P402=1,-$K402,$K402),0))))</f>
        <v>-43.87</v>
      </c>
      <c r="U402" s="6">
        <f>IF($K402="","",IF(ISNUMBER(SEARCH("sortie-epargne",IFERROR(INDEX('Paramètres'!$N:$N,MATCH($D402,'Paramètres'!$M:$M,0))&amp;"",""))),$K402,0))</f>
        <v>0</v>
      </c>
      <c r="V402" s="6" t="str">
        <f>IF(AND($A402&lt;&gt;"",$O402=1,$L402="Débit",N($Q402)&gt;0,$A402&gt;=Visualisation!$B$1,$A402&lt;Visualisation!$D$1),MAX($V$1:V401)+1,"")</f>
        <v/>
      </c>
    </row>
    <row r="403" spans="1:22" x14ac:dyDescent="0.25">
      <c r="A403" s="9">
        <v>45810</v>
      </c>
      <c r="B403" s="4" t="s">
        <v>64</v>
      </c>
      <c r="C403" s="4" t="s">
        <v>65</v>
      </c>
      <c r="D403" s="4" t="s">
        <v>66</v>
      </c>
      <c r="E403" s="10">
        <v>1160</v>
      </c>
      <c r="G403" s="4"/>
      <c r="H403" s="4"/>
      <c r="I403" s="4"/>
      <c r="K403" s="11">
        <f>IF($E403="","",ROUND($E403*IF(ISNA(MATCH($C403,'Paramètres'!$D:$D,0)),1,IF(INDEX('Paramètres'!$J:$J,MATCH($C403,'Paramètres'!$D:$D,0))="",1,INDEX('Paramètres'!$J:$J,MATCH($C403,'Paramètres'!$D:$D,0)))),2))</f>
        <v>1160</v>
      </c>
      <c r="L403" s="6" t="str">
        <f>IF($D403="","",IF($F403&lt;&gt;"",$F403,IF(ISNA(MATCH($D403,'Paramètres'!$M:$M,0)),"⚠ Type inconnu",IFERROR(INDEX('Paramètres'!$P:$P,MATCH($D403,'Paramètres'!$M:$M,0))&amp;"",""))))</f>
        <v>Crédit</v>
      </c>
      <c r="M403" s="6" t="str">
        <f>IF($D403="","",IF(ISNA(MATCH($D403,'Paramètres'!$M:$M,0)),"⚠ Type inconnu",IF($L403="Crédit","",IFERROR(INDEX('Paramètres'!$O:$O,MATCH($D403,'Paramètres'!$M:$M,0))&amp;"",""))))</f>
        <v/>
      </c>
      <c r="N403" s="6" t="str">
        <f>IF($D403="","",IFERROR(INDEX('Paramètres'!$Q:$Q,MATCH($D403,'Paramètres'!$M:$M,0))&amp;"",""))</f>
        <v>Comptes Bancaires</v>
      </c>
      <c r="O403" s="6">
        <f>IF($A403="","",IF(OR($J403&lt;&gt;"x",$A403&lt;=FinReleve),1,0))</f>
        <v>1</v>
      </c>
      <c r="P403" s="6">
        <f>IF($D403="","",IF(AND($L403="Crédit",OR(IFERROR(INDEX('Paramètres'!$O:$O,MATCH($D403,'Paramètres'!$M:$M,0))&amp;"","")&lt;&gt;"",ISNUMBER(SEARCH("remboursement",IFERROR(INDEX('Paramètres'!$N:$N,MATCH($D403,'Paramètres'!$M:$M,0))&amp;"",""))))),1,0))</f>
        <v>0</v>
      </c>
      <c r="Q403" s="6">
        <f>IF($K403="","",IF(ISNUMBER(SEARCH("transfert-interne",IFERROR(INDEX('Paramètres'!$N:$N,MATCH($D403,'Paramètres'!$M:$M,0))&amp;"",""))),0,IF($L403="Débit",$K403,IF($P403=1,-$K403,0))))</f>
        <v>0</v>
      </c>
      <c r="R403" s="6">
        <f>IF($K403="","",IF($L403="Crédit",$K403,-$K403))</f>
        <v>1160</v>
      </c>
      <c r="S403" s="6" t="str">
        <f>IF($C403="","",IFERROR(INDEX('Paramètres'!$H:$H,MATCH($C403,'Paramètres'!$D:$D,0))&amp;"",""))</f>
        <v>Banque A - Courant</v>
      </c>
      <c r="T403" s="6">
        <f>IF($K403="","",IF($S403="",0,IF(ISNUMBER(SEARCH("apport-exterieur",IFERROR(INDEX('Paramètres'!$N:$N,MATCH($D403,'Paramètres'!$M:$M,0))&amp;"",""))),0,IF(OR(IFERROR(INDEX('Paramètres'!$I:$I,MATCH($C403,'Paramètres'!$D:$D,0))&amp;"","")="Les deux",IFERROR(INDEX('Paramètres'!$I:$I,MATCH($C403,'Paramètres'!$D:$D,0))&amp;"","")=IF($P403=1,"Débit",$L403)),-IF($P403=1,-$K403,$K403),0))))</f>
        <v>-1160</v>
      </c>
      <c r="U403" s="6">
        <f>IF($K403="","",IF(ISNUMBER(SEARCH("sortie-epargne",IFERROR(INDEX('Paramètres'!$N:$N,MATCH($D403,'Paramètres'!$M:$M,0))&amp;"",""))),$K403,0))</f>
        <v>0</v>
      </c>
      <c r="V403" s="6" t="str">
        <f>IF(AND($A403&lt;&gt;"",$O403=1,$L403="Débit",N($Q403)&gt;0,$A403&gt;=Visualisation!$B$1,$A403&lt;Visualisation!$D$1),MAX($V$1:V402)+1,"")</f>
        <v/>
      </c>
    </row>
    <row r="404" spans="1:22" x14ac:dyDescent="0.25">
      <c r="A404" s="9">
        <v>45810</v>
      </c>
      <c r="B404" s="4" t="s">
        <v>64</v>
      </c>
      <c r="C404" s="4" t="s">
        <v>67</v>
      </c>
      <c r="D404" s="4" t="s">
        <v>68</v>
      </c>
      <c r="E404" s="10">
        <v>600</v>
      </c>
      <c r="G404" s="4"/>
      <c r="H404" s="4"/>
      <c r="I404" s="4"/>
      <c r="K404" s="11">
        <f>IF($E404="","",ROUND($E404*IF(ISNA(MATCH($C404,'Paramètres'!$D:$D,0)),1,IF(INDEX('Paramètres'!$J:$J,MATCH($C404,'Paramètres'!$D:$D,0))="",1,INDEX('Paramètres'!$J:$J,MATCH($C404,'Paramètres'!$D:$D,0)))),2))</f>
        <v>300</v>
      </c>
      <c r="L404" s="6" t="str">
        <f>IF($D404="","",IF($F404&lt;&gt;"",$F404,IF(ISNA(MATCH($D404,'Paramètres'!$M:$M,0)),"⚠ Type inconnu",IFERROR(INDEX('Paramètres'!$P:$P,MATCH($D404,'Paramètres'!$M:$M,0))&amp;"",""))))</f>
        <v>Crédit</v>
      </c>
      <c r="M404" s="6" t="str">
        <f>IF($D404="","",IF(ISNA(MATCH($D404,'Paramètres'!$M:$M,0)),"⚠ Type inconnu",IF($L404="Crédit","",IFERROR(INDEX('Paramètres'!$O:$O,MATCH($D404,'Paramètres'!$M:$M,0))&amp;"",""))))</f>
        <v/>
      </c>
      <c r="N404" s="6" t="str">
        <f>IF($D404="","",IFERROR(INDEX('Paramètres'!$Q:$Q,MATCH($D404,'Paramètres'!$M:$M,0))&amp;"",""))</f>
        <v>Comptes Bancaires</v>
      </c>
      <c r="O404" s="6">
        <f>IF($A404="","",IF(OR($J404&lt;&gt;"x",$A404&lt;=FinReleve),1,0))</f>
        <v>1</v>
      </c>
      <c r="P404" s="6">
        <f>IF($D404="","",IF(AND($L404="Crédit",OR(IFERROR(INDEX('Paramètres'!$O:$O,MATCH($D404,'Paramètres'!$M:$M,0))&amp;"","")&lt;&gt;"",ISNUMBER(SEARCH("remboursement",IFERROR(INDEX('Paramètres'!$N:$N,MATCH($D404,'Paramètres'!$M:$M,0))&amp;"",""))))),1,0))</f>
        <v>0</v>
      </c>
      <c r="Q404" s="6">
        <f>IF($K404="","",IF(ISNUMBER(SEARCH("transfert-interne",IFERROR(INDEX('Paramètres'!$N:$N,MATCH($D404,'Paramètres'!$M:$M,0))&amp;"",""))),0,IF($L404="Débit",$K404,IF($P404=1,-$K404,0))))</f>
        <v>0</v>
      </c>
      <c r="R404" s="6">
        <f>IF($K404="","",IF($L404="Crédit",$K404,-$K404))</f>
        <v>300</v>
      </c>
      <c r="S404" s="6" t="str">
        <f>IF($C404="","",IFERROR(INDEX('Paramètres'!$H:$H,MATCH($C404,'Paramètres'!$D:$D,0))&amp;"",""))</f>
        <v>Banque A - Courant</v>
      </c>
      <c r="T404" s="6">
        <f>IF($K404="","",IF($S404="",0,IF(ISNUMBER(SEARCH("apport-exterieur",IFERROR(INDEX('Paramètres'!$N:$N,MATCH($D404,'Paramètres'!$M:$M,0))&amp;"",""))),0,IF(OR(IFERROR(INDEX('Paramètres'!$I:$I,MATCH($C404,'Paramètres'!$D:$D,0))&amp;"","")="Les deux",IFERROR(INDEX('Paramètres'!$I:$I,MATCH($C404,'Paramètres'!$D:$D,0))&amp;"","")=IF($P404=1,"Débit",$L404)),-IF($P404=1,-$K404,$K404),0))))</f>
        <v>-300</v>
      </c>
      <c r="U404" s="6">
        <f>IF($K404="","",IF(ISNUMBER(SEARCH("sortie-epargne",IFERROR(INDEX('Paramètres'!$N:$N,MATCH($D404,'Paramètres'!$M:$M,0))&amp;"",""))),$K404,0))</f>
        <v>0</v>
      </c>
      <c r="V404" s="6" t="str">
        <f>IF(AND($A404&lt;&gt;"",$O404=1,$L404="Débit",N($Q404)&gt;0,$A404&gt;=Visualisation!$B$1,$A404&lt;Visualisation!$D$1),MAX($V$1:V403)+1,"")</f>
        <v/>
      </c>
    </row>
    <row r="405" spans="1:22" x14ac:dyDescent="0.25">
      <c r="A405" s="9">
        <v>45811</v>
      </c>
      <c r="B405" s="4" t="s">
        <v>74</v>
      </c>
      <c r="C405" s="4" t="s">
        <v>75</v>
      </c>
      <c r="D405" s="4" t="s">
        <v>74</v>
      </c>
      <c r="E405" s="10">
        <v>88.8</v>
      </c>
      <c r="G405" s="4"/>
      <c r="H405" s="4"/>
      <c r="I405" s="4"/>
      <c r="K405" s="11">
        <f>IF($E405="","",ROUND($E405*IF(ISNA(MATCH($C405,'Paramètres'!$D:$D,0)),1,IF(INDEX('Paramètres'!$J:$J,MATCH($C405,'Paramètres'!$D:$D,0))="",1,INDEX('Paramètres'!$J:$J,MATCH($C405,'Paramètres'!$D:$D,0)))),2))</f>
        <v>88.8</v>
      </c>
      <c r="L405" s="6" t="str">
        <f>IF($D405="","",IF($F405&lt;&gt;"",$F405,IF(ISNA(MATCH($D405,'Paramètres'!$M:$M,0)),"⚠ Type inconnu",IFERROR(INDEX('Paramètres'!$P:$P,MATCH($D405,'Paramètres'!$M:$M,0))&amp;"",""))))</f>
        <v>Débit</v>
      </c>
      <c r="M405" s="6" t="str">
        <f>IF($D405="","",IF(ISNA(MATCH($D405,'Paramètres'!$M:$M,0)),"⚠ Type inconnu",IF($L405="Crédit","",IFERROR(INDEX('Paramètres'!$O:$O,MATCH($D405,'Paramètres'!$M:$M,0))&amp;"",""))))</f>
        <v>Dépense Fixe</v>
      </c>
      <c r="N405" s="6" t="str">
        <f>IF($D405="","",IFERROR(INDEX('Paramètres'!$Q:$Q,MATCH($D405,'Paramètres'!$M:$M,0))&amp;"",""))</f>
        <v>Transport</v>
      </c>
      <c r="O405" s="6">
        <f>IF($A405="","",IF(OR($J405&lt;&gt;"x",$A405&lt;=FinReleve),1,0))</f>
        <v>1</v>
      </c>
      <c r="P405" s="6">
        <f>IF($D405="","",IF(AND($L405="Crédit",OR(IFERROR(INDEX('Paramètres'!$O:$O,MATCH($D405,'Paramètres'!$M:$M,0))&amp;"","")&lt;&gt;"",ISNUMBER(SEARCH("remboursement",IFERROR(INDEX('Paramètres'!$N:$N,MATCH($D405,'Paramètres'!$M:$M,0))&amp;"",""))))),1,0))</f>
        <v>0</v>
      </c>
      <c r="Q405" s="6">
        <f>IF($K405="","",IF(ISNUMBER(SEARCH("transfert-interne",IFERROR(INDEX('Paramètres'!$N:$N,MATCH($D405,'Paramètres'!$M:$M,0))&amp;"",""))),0,IF($L405="Débit",$K405,IF($P405=1,-$K405,0))))</f>
        <v>88.8</v>
      </c>
      <c r="R405" s="6">
        <f>IF($K405="","",IF($L405="Crédit",$K405,-$K405))</f>
        <v>-88.8</v>
      </c>
      <c r="S405" s="6" t="str">
        <f>IF($C405="","",IFERROR(INDEX('Paramètres'!$H:$H,MATCH($C405,'Paramètres'!$D:$D,0))&amp;"",""))</f>
        <v/>
      </c>
      <c r="T405" s="6">
        <f>IF($K405="","",IF($S405="",0,IF(ISNUMBER(SEARCH("apport-exterieur",IFERROR(INDEX('Paramètres'!$N:$N,MATCH($D405,'Paramètres'!$M:$M,0))&amp;"",""))),0,IF(OR(IFERROR(INDEX('Paramètres'!$I:$I,MATCH($C405,'Paramètres'!$D:$D,0))&amp;"","")="Les deux",IFERROR(INDEX('Paramètres'!$I:$I,MATCH($C405,'Paramètres'!$D:$D,0))&amp;"","")=IF($P405=1,"Débit",$L405)),-IF($P405=1,-$K405,$K405),0))))</f>
        <v>0</v>
      </c>
      <c r="U405" s="6">
        <f>IF($K405="","",IF(ISNUMBER(SEARCH("sortie-epargne",IFERROR(INDEX('Paramètres'!$N:$N,MATCH($D405,'Paramètres'!$M:$M,0))&amp;"",""))),$K405,0))</f>
        <v>0</v>
      </c>
      <c r="V405" s="6" t="str">
        <f>IF(AND($A405&lt;&gt;"",$O405=1,$L405="Débit",N($Q405)&gt;0,$A405&gt;=Visualisation!$B$1,$A405&lt;Visualisation!$D$1),MAX($V$1:V404)+1,"")</f>
        <v/>
      </c>
    </row>
    <row r="406" spans="1:22" x14ac:dyDescent="0.25">
      <c r="A406" s="9">
        <v>45812</v>
      </c>
      <c r="B406" s="4" t="s">
        <v>76</v>
      </c>
      <c r="C406" s="4" t="s">
        <v>67</v>
      </c>
      <c r="D406" s="4" t="s">
        <v>77</v>
      </c>
      <c r="E406" s="10">
        <v>82.68</v>
      </c>
      <c r="G406" s="4" t="s">
        <v>95</v>
      </c>
      <c r="H406" s="4"/>
      <c r="I406" s="4" t="s">
        <v>79</v>
      </c>
      <c r="K406" s="11">
        <f>IF($E406="","",ROUND($E406*IF(ISNA(MATCH($C406,'Paramètres'!$D:$D,0)),1,IF(INDEX('Paramètres'!$J:$J,MATCH($C406,'Paramètres'!$D:$D,0))="",1,INDEX('Paramètres'!$J:$J,MATCH($C406,'Paramètres'!$D:$D,0)))),2))</f>
        <v>41.34</v>
      </c>
      <c r="L406" s="6" t="str">
        <f>IF($D406="","",IF($F406&lt;&gt;"",$F406,IF(ISNA(MATCH($D406,'Paramètres'!$M:$M,0)),"⚠ Type inconnu",IFERROR(INDEX('Paramètres'!$P:$P,MATCH($D406,'Paramètres'!$M:$M,0))&amp;"",""))))</f>
        <v>Débit</v>
      </c>
      <c r="M406" s="6" t="str">
        <f>IF($D406="","",IF(ISNA(MATCH($D406,'Paramètres'!$M:$M,0)),"⚠ Type inconnu",IF($L406="Crédit","",IFERROR(INDEX('Paramètres'!$O:$O,MATCH($D406,'Paramètres'!$M:$M,0))&amp;"",""))))</f>
        <v>Dépense Courante</v>
      </c>
      <c r="N406" s="6" t="str">
        <f>IF($D406="","",IFERROR(INDEX('Paramètres'!$Q:$Q,MATCH($D406,'Paramètres'!$M:$M,0))&amp;"",""))</f>
        <v>Alimentation</v>
      </c>
      <c r="O406" s="6">
        <f>IF($A406="","",IF(OR($J406&lt;&gt;"x",$A406&lt;=FinReleve),1,0))</f>
        <v>1</v>
      </c>
      <c r="P406" s="6">
        <f>IF($D406="","",IF(AND($L406="Crédit",OR(IFERROR(INDEX('Paramètres'!$O:$O,MATCH($D406,'Paramètres'!$M:$M,0))&amp;"","")&lt;&gt;"",ISNUMBER(SEARCH("remboursement",IFERROR(INDEX('Paramètres'!$N:$N,MATCH($D406,'Paramètres'!$M:$M,0))&amp;"",""))))),1,0))</f>
        <v>0</v>
      </c>
      <c r="Q406" s="6">
        <f>IF($K406="","",IF(ISNUMBER(SEARCH("transfert-interne",IFERROR(INDEX('Paramètres'!$N:$N,MATCH($D406,'Paramètres'!$M:$M,0))&amp;"",""))),0,IF($L406="Débit",$K406,IF($P406=1,-$K406,0))))</f>
        <v>41.34</v>
      </c>
      <c r="R406" s="6">
        <f>IF($K406="","",IF($L406="Crédit",$K406,-$K406))</f>
        <v>-41.34</v>
      </c>
      <c r="S406" s="6" t="str">
        <f>IF($C406="","",IFERROR(INDEX('Paramètres'!$H:$H,MATCH($C406,'Paramètres'!$D:$D,0))&amp;"",""))</f>
        <v>Banque A - Courant</v>
      </c>
      <c r="T406" s="6">
        <f>IF($K406="","",IF($S406="",0,IF(ISNUMBER(SEARCH("apport-exterieur",IFERROR(INDEX('Paramètres'!$N:$N,MATCH($D406,'Paramètres'!$M:$M,0))&amp;"",""))),0,IF(OR(IFERROR(INDEX('Paramètres'!$I:$I,MATCH($C406,'Paramètres'!$D:$D,0))&amp;"","")="Les deux",IFERROR(INDEX('Paramètres'!$I:$I,MATCH($C406,'Paramètres'!$D:$D,0))&amp;"","")=IF($P406=1,"Débit",$L406)),-IF($P406=1,-$K406,$K406),0))))</f>
        <v>0</v>
      </c>
      <c r="U406" s="6">
        <f>IF($K406="","",IF(ISNUMBER(SEARCH("sortie-epargne",IFERROR(INDEX('Paramètres'!$N:$N,MATCH($D406,'Paramètres'!$M:$M,0))&amp;"",""))),$K406,0))</f>
        <v>0</v>
      </c>
      <c r="V406" s="6" t="str">
        <f>IF(AND($A406&lt;&gt;"",$O406=1,$L406="Débit",N($Q406)&gt;0,$A406&gt;=Visualisation!$B$1,$A406&lt;Visualisation!$D$1),MAX($V$1:V405)+1,"")</f>
        <v/>
      </c>
    </row>
    <row r="407" spans="1:22" x14ac:dyDescent="0.25">
      <c r="A407" s="9">
        <v>45812</v>
      </c>
      <c r="B407" s="4" t="s">
        <v>80</v>
      </c>
      <c r="C407" s="4" t="s">
        <v>70</v>
      </c>
      <c r="D407" s="4" t="s">
        <v>81</v>
      </c>
      <c r="E407" s="10">
        <v>122.65</v>
      </c>
      <c r="G407" s="4"/>
      <c r="H407" s="4"/>
      <c r="I407" s="4"/>
      <c r="K407" s="11">
        <f>IF($E407="","",ROUND($E407*IF(ISNA(MATCH($C407,'Paramètres'!$D:$D,0)),1,IF(INDEX('Paramètres'!$J:$J,MATCH($C407,'Paramètres'!$D:$D,0))="",1,INDEX('Paramètres'!$J:$J,MATCH($C407,'Paramètres'!$D:$D,0)))),2))</f>
        <v>122.65</v>
      </c>
      <c r="L407" s="6" t="str">
        <f>IF($D407="","",IF($F407&lt;&gt;"",$F407,IF(ISNA(MATCH($D407,'Paramètres'!$M:$M,0)),"⚠ Type inconnu",IFERROR(INDEX('Paramètres'!$P:$P,MATCH($D407,'Paramètres'!$M:$M,0))&amp;"",""))))</f>
        <v>Crédit</v>
      </c>
      <c r="M407" s="6" t="str">
        <f>IF($D407="","",IF(ISNA(MATCH($D407,'Paramètres'!$M:$M,0)),"⚠ Type inconnu",IF($L407="Crédit","",IFERROR(INDEX('Paramètres'!$O:$O,MATCH($D407,'Paramètres'!$M:$M,0))&amp;"",""))))</f>
        <v/>
      </c>
      <c r="N407" s="6" t="str">
        <f>IF($D407="","",IFERROR(INDEX('Paramètres'!$Q:$Q,MATCH($D407,'Paramètres'!$M:$M,0))&amp;"",""))</f>
        <v>Comptes Bancaires</v>
      </c>
      <c r="O407" s="6">
        <f>IF($A407="","",IF(OR($J407&lt;&gt;"x",$A407&lt;=FinReleve),1,0))</f>
        <v>1</v>
      </c>
      <c r="P407" s="6">
        <f>IF($D407="","",IF(AND($L407="Crédit",OR(IFERROR(INDEX('Paramètres'!$O:$O,MATCH($D407,'Paramètres'!$M:$M,0))&amp;"","")&lt;&gt;"",ISNUMBER(SEARCH("remboursement",IFERROR(INDEX('Paramètres'!$N:$N,MATCH($D407,'Paramètres'!$M:$M,0))&amp;"",""))))),1,0))</f>
        <v>0</v>
      </c>
      <c r="Q407" s="6">
        <f>IF($K407="","",IF(ISNUMBER(SEARCH("transfert-interne",IFERROR(INDEX('Paramètres'!$N:$N,MATCH($D407,'Paramètres'!$M:$M,0))&amp;"",""))),0,IF($L407="Débit",$K407,IF($P407=1,-$K407,0))))</f>
        <v>0</v>
      </c>
      <c r="R407" s="6">
        <f>IF($K407="","",IF($L407="Crédit",$K407,-$K407))</f>
        <v>122.65</v>
      </c>
      <c r="S407" s="6" t="str">
        <f>IF($C407="","",IFERROR(INDEX('Paramètres'!$H:$H,MATCH($C407,'Paramètres'!$D:$D,0))&amp;"",""))</f>
        <v/>
      </c>
      <c r="T407" s="6">
        <f>IF($K407="","",IF($S407="",0,IF(ISNUMBER(SEARCH("apport-exterieur",IFERROR(INDEX('Paramètres'!$N:$N,MATCH($D407,'Paramètres'!$M:$M,0))&amp;"",""))),0,IF(OR(IFERROR(INDEX('Paramètres'!$I:$I,MATCH($C407,'Paramètres'!$D:$D,0))&amp;"","")="Les deux",IFERROR(INDEX('Paramètres'!$I:$I,MATCH($C407,'Paramètres'!$D:$D,0))&amp;"","")=IF($P407=1,"Débit",$L407)),-IF($P407=1,-$K407,$K407),0))))</f>
        <v>0</v>
      </c>
      <c r="U407" s="6">
        <f>IF($K407="","",IF(ISNUMBER(SEARCH("sortie-epargne",IFERROR(INDEX('Paramètres'!$N:$N,MATCH($D407,'Paramètres'!$M:$M,0))&amp;"",""))),$K407,0))</f>
        <v>0</v>
      </c>
      <c r="V407" s="6" t="str">
        <f>IF(AND($A407&lt;&gt;"",$O407=1,$L407="Débit",N($Q407)&gt;0,$A407&gt;=Visualisation!$B$1,$A407&lt;Visualisation!$D$1),MAX($V$1:V406)+1,"")</f>
        <v/>
      </c>
    </row>
    <row r="408" spans="1:22" x14ac:dyDescent="0.25">
      <c r="A408" s="9">
        <v>45813</v>
      </c>
      <c r="B408" s="4" t="s">
        <v>82</v>
      </c>
      <c r="C408" s="4" t="s">
        <v>65</v>
      </c>
      <c r="D408" s="4" t="s">
        <v>83</v>
      </c>
      <c r="E408" s="10">
        <v>654.28</v>
      </c>
      <c r="G408" s="4" t="s">
        <v>84</v>
      </c>
      <c r="H408" s="4"/>
      <c r="I408" s="4"/>
      <c r="K408" s="11">
        <f>IF($E408="","",ROUND($E408*IF(ISNA(MATCH($C408,'Paramètres'!$D:$D,0)),1,IF(INDEX('Paramètres'!$J:$J,MATCH($C408,'Paramètres'!$D:$D,0))="",1,INDEX('Paramètres'!$J:$J,MATCH($C408,'Paramètres'!$D:$D,0)))),2))</f>
        <v>654.28</v>
      </c>
      <c r="L408" s="6" t="str">
        <f>IF($D408="","",IF($F408&lt;&gt;"",$F408,IF(ISNA(MATCH($D408,'Paramètres'!$M:$M,0)),"⚠ Type inconnu",IFERROR(INDEX('Paramètres'!$P:$P,MATCH($D408,'Paramètres'!$M:$M,0))&amp;"",""))))</f>
        <v>Débit</v>
      </c>
      <c r="M408" s="6" t="str">
        <f>IF($D408="","",IF(ISNA(MATCH($D408,'Paramètres'!$M:$M,0)),"⚠ Type inconnu",IF($L408="Crédit","",IFERROR(INDEX('Paramètres'!$O:$O,MATCH($D408,'Paramètres'!$M:$M,0))&amp;"",""))))</f>
        <v/>
      </c>
      <c r="N408" s="6" t="str">
        <f>IF($D408="","",IFERROR(INDEX('Paramètres'!$Q:$Q,MATCH($D408,'Paramètres'!$M:$M,0))&amp;"",""))</f>
        <v>Immobilier</v>
      </c>
      <c r="O408" s="6">
        <f>IF($A408="","",IF(OR($J408&lt;&gt;"x",$A408&lt;=FinReleve),1,0))</f>
        <v>1</v>
      </c>
      <c r="P408" s="6">
        <f>IF($D408="","",IF(AND($L408="Crédit",OR(IFERROR(INDEX('Paramètres'!$O:$O,MATCH($D408,'Paramètres'!$M:$M,0))&amp;"","")&lt;&gt;"",ISNUMBER(SEARCH("remboursement",IFERROR(INDEX('Paramètres'!$N:$N,MATCH($D408,'Paramètres'!$M:$M,0))&amp;"",""))))),1,0))</f>
        <v>0</v>
      </c>
      <c r="Q408" s="6">
        <f>IF($K408="","",IF(ISNUMBER(SEARCH("transfert-interne",IFERROR(INDEX('Paramètres'!$N:$N,MATCH($D408,'Paramètres'!$M:$M,0))&amp;"",""))),0,IF($L408="Débit",$K408,IF($P408=1,-$K408,0))))</f>
        <v>654.28</v>
      </c>
      <c r="R408" s="6">
        <f>IF($K408="","",IF($L408="Crédit",$K408,-$K408))</f>
        <v>-654.28</v>
      </c>
      <c r="S408" s="6" t="str">
        <f>IF($C408="","",IFERROR(INDEX('Paramètres'!$H:$H,MATCH($C408,'Paramètres'!$D:$D,0))&amp;"",""))</f>
        <v>Banque A - Courant</v>
      </c>
      <c r="T408" s="6">
        <f>IF($K408="","",IF($S408="",0,IF(ISNUMBER(SEARCH("apport-exterieur",IFERROR(INDEX('Paramètres'!$N:$N,MATCH($D408,'Paramètres'!$M:$M,0))&amp;"",""))),0,IF(OR(IFERROR(INDEX('Paramètres'!$I:$I,MATCH($C408,'Paramètres'!$D:$D,0))&amp;"","")="Les deux",IFERROR(INDEX('Paramètres'!$I:$I,MATCH($C408,'Paramètres'!$D:$D,0))&amp;"","")=IF($P408=1,"Débit",$L408)),-IF($P408=1,-$K408,$K408),0))))</f>
        <v>0</v>
      </c>
      <c r="U408" s="6">
        <f>IF($K408="","",IF(ISNUMBER(SEARCH("sortie-epargne",IFERROR(INDEX('Paramètres'!$N:$N,MATCH($D408,'Paramètres'!$M:$M,0))&amp;"",""))),$K408,0))</f>
        <v>0</v>
      </c>
      <c r="V408" s="6" t="str">
        <f>IF(AND($A408&lt;&gt;"",$O408=1,$L408="Débit",N($Q408)&gt;0,$A408&gt;=Visualisation!$B$1,$A408&lt;Visualisation!$D$1),MAX($V$1:V407)+1,"")</f>
        <v/>
      </c>
    </row>
    <row r="409" spans="1:22" x14ac:dyDescent="0.25">
      <c r="A409" s="9">
        <v>45813</v>
      </c>
      <c r="B409" s="4" t="s">
        <v>85</v>
      </c>
      <c r="C409" s="4" t="s">
        <v>65</v>
      </c>
      <c r="D409" s="4" t="s">
        <v>86</v>
      </c>
      <c r="E409" s="10">
        <v>239.36</v>
      </c>
      <c r="G409" s="4" t="s">
        <v>87</v>
      </c>
      <c r="H409" s="4"/>
      <c r="I409" s="4"/>
      <c r="K409" s="11">
        <f>IF($E409="","",ROUND($E409*IF(ISNA(MATCH($C409,'Paramètres'!$D:$D,0)),1,IF(INDEX('Paramètres'!$J:$J,MATCH($C409,'Paramètres'!$D:$D,0))="",1,INDEX('Paramètres'!$J:$J,MATCH($C409,'Paramètres'!$D:$D,0)))),2))</f>
        <v>239.36</v>
      </c>
      <c r="L409" s="6" t="str">
        <f>IF($D409="","",IF($F409&lt;&gt;"",$F409,IF(ISNA(MATCH($D409,'Paramètres'!$M:$M,0)),"⚠ Type inconnu",IFERROR(INDEX('Paramètres'!$P:$P,MATCH($D409,'Paramètres'!$M:$M,0))&amp;"",""))))</f>
        <v>Débit</v>
      </c>
      <c r="M409" s="6" t="str">
        <f>IF($D409="","",IF(ISNA(MATCH($D409,'Paramètres'!$M:$M,0)),"⚠ Type inconnu",IF($L409="Crédit","",IFERROR(INDEX('Paramètres'!$O:$O,MATCH($D409,'Paramètres'!$M:$M,0))&amp;"",""))))</f>
        <v>Dépense Fixe</v>
      </c>
      <c r="N409" s="6" t="str">
        <f>IF($D409="","",IFERROR(INDEX('Paramètres'!$Q:$Q,MATCH($D409,'Paramètres'!$M:$M,0))&amp;"",""))</f>
        <v>Immobilier</v>
      </c>
      <c r="O409" s="6">
        <f>IF($A409="","",IF(OR($J409&lt;&gt;"x",$A409&lt;=FinReleve),1,0))</f>
        <v>1</v>
      </c>
      <c r="P409" s="6">
        <f>IF($D409="","",IF(AND($L409="Crédit",OR(IFERROR(INDEX('Paramètres'!$O:$O,MATCH($D409,'Paramètres'!$M:$M,0))&amp;"","")&lt;&gt;"",ISNUMBER(SEARCH("remboursement",IFERROR(INDEX('Paramètres'!$N:$N,MATCH($D409,'Paramètres'!$M:$M,0))&amp;"",""))))),1,0))</f>
        <v>0</v>
      </c>
      <c r="Q409" s="6">
        <f>IF($K409="","",IF(ISNUMBER(SEARCH("transfert-interne",IFERROR(INDEX('Paramètres'!$N:$N,MATCH($D409,'Paramètres'!$M:$M,0))&amp;"",""))),0,IF($L409="Débit",$K409,IF($P409=1,-$K409,0))))</f>
        <v>239.36</v>
      </c>
      <c r="R409" s="6">
        <f>IF($K409="","",IF($L409="Crédit",$K409,-$K409))</f>
        <v>-239.36</v>
      </c>
      <c r="S409" s="6" t="str">
        <f>IF($C409="","",IFERROR(INDEX('Paramètres'!$H:$H,MATCH($C409,'Paramètres'!$D:$D,0))&amp;"",""))</f>
        <v>Banque A - Courant</v>
      </c>
      <c r="T409" s="6">
        <f>IF($K409="","",IF($S409="",0,IF(ISNUMBER(SEARCH("apport-exterieur",IFERROR(INDEX('Paramètres'!$N:$N,MATCH($D409,'Paramètres'!$M:$M,0))&amp;"",""))),0,IF(OR(IFERROR(INDEX('Paramètres'!$I:$I,MATCH($C409,'Paramètres'!$D:$D,0))&amp;"","")="Les deux",IFERROR(INDEX('Paramètres'!$I:$I,MATCH($C409,'Paramètres'!$D:$D,0))&amp;"","")=IF($P409=1,"Débit",$L409)),-IF($P409=1,-$K409,$K409),0))))</f>
        <v>0</v>
      </c>
      <c r="U409" s="6">
        <f>IF($K409="","",IF(ISNUMBER(SEARCH("sortie-epargne",IFERROR(INDEX('Paramètres'!$N:$N,MATCH($D409,'Paramètres'!$M:$M,0))&amp;"",""))),$K409,0))</f>
        <v>0</v>
      </c>
      <c r="V409" s="6" t="str">
        <f>IF(AND($A409&lt;&gt;"",$O409=1,$L409="Débit",N($Q409)&gt;0,$A409&gt;=Visualisation!$B$1,$A409&lt;Visualisation!$D$1),MAX($V$1:V408)+1,"")</f>
        <v/>
      </c>
    </row>
    <row r="410" spans="1:22" x14ac:dyDescent="0.25">
      <c r="A410" s="9">
        <v>45813</v>
      </c>
      <c r="B410" s="4" t="s">
        <v>88</v>
      </c>
      <c r="C410" s="4" t="s">
        <v>65</v>
      </c>
      <c r="D410" s="4" t="s">
        <v>88</v>
      </c>
      <c r="E410" s="10">
        <v>31.2</v>
      </c>
      <c r="G410" s="4"/>
      <c r="H410" s="4"/>
      <c r="I410" s="4"/>
      <c r="K410" s="11">
        <f>IF($E410="","",ROUND($E410*IF(ISNA(MATCH($C410,'Paramètres'!$D:$D,0)),1,IF(INDEX('Paramètres'!$J:$J,MATCH($C410,'Paramètres'!$D:$D,0))="",1,INDEX('Paramètres'!$J:$J,MATCH($C410,'Paramètres'!$D:$D,0)))),2))</f>
        <v>31.2</v>
      </c>
      <c r="L410" s="6" t="str">
        <f>IF($D410="","",IF($F410&lt;&gt;"",$F410,IF(ISNA(MATCH($D410,'Paramètres'!$M:$M,0)),"⚠ Type inconnu",IFERROR(INDEX('Paramètres'!$P:$P,MATCH($D410,'Paramètres'!$M:$M,0))&amp;"",""))))</f>
        <v>Débit</v>
      </c>
      <c r="M410" s="6" t="str">
        <f>IF($D410="","",IF(ISNA(MATCH($D410,'Paramètres'!$M:$M,0)),"⚠ Type inconnu",IF($L410="Crédit","",IFERROR(INDEX('Paramètres'!$O:$O,MATCH($D410,'Paramètres'!$M:$M,0))&amp;"",""))))</f>
        <v>Dépense Fixe</v>
      </c>
      <c r="N410" s="6" t="str">
        <f>IF($D410="","",IFERROR(INDEX('Paramètres'!$Q:$Q,MATCH($D410,'Paramètres'!$M:$M,0))&amp;"",""))</f>
        <v>Assurances</v>
      </c>
      <c r="O410" s="6">
        <f>IF($A410="","",IF(OR($J410&lt;&gt;"x",$A410&lt;=FinReleve),1,0))</f>
        <v>1</v>
      </c>
      <c r="P410" s="6">
        <f>IF($D410="","",IF(AND($L410="Crédit",OR(IFERROR(INDEX('Paramètres'!$O:$O,MATCH($D410,'Paramètres'!$M:$M,0))&amp;"","")&lt;&gt;"",ISNUMBER(SEARCH("remboursement",IFERROR(INDEX('Paramètres'!$N:$N,MATCH($D410,'Paramètres'!$M:$M,0))&amp;"",""))))),1,0))</f>
        <v>0</v>
      </c>
      <c r="Q410" s="6">
        <f>IF($K410="","",IF(ISNUMBER(SEARCH("transfert-interne",IFERROR(INDEX('Paramètres'!$N:$N,MATCH($D410,'Paramètres'!$M:$M,0))&amp;"",""))),0,IF($L410="Débit",$K410,IF($P410=1,-$K410,0))))</f>
        <v>31.2</v>
      </c>
      <c r="R410" s="6">
        <f>IF($K410="","",IF($L410="Crédit",$K410,-$K410))</f>
        <v>-31.2</v>
      </c>
      <c r="S410" s="6" t="str">
        <f>IF($C410="","",IFERROR(INDEX('Paramètres'!$H:$H,MATCH($C410,'Paramètres'!$D:$D,0))&amp;"",""))</f>
        <v>Banque A - Courant</v>
      </c>
      <c r="T410" s="6">
        <f>IF($K410="","",IF($S410="",0,IF(ISNUMBER(SEARCH("apport-exterieur",IFERROR(INDEX('Paramètres'!$N:$N,MATCH($D410,'Paramètres'!$M:$M,0))&amp;"",""))),0,IF(OR(IFERROR(INDEX('Paramètres'!$I:$I,MATCH($C410,'Paramètres'!$D:$D,0))&amp;"","")="Les deux",IFERROR(INDEX('Paramètres'!$I:$I,MATCH($C410,'Paramètres'!$D:$D,0))&amp;"","")=IF($P410=1,"Débit",$L410)),-IF($P410=1,-$K410,$K410),0))))</f>
        <v>0</v>
      </c>
      <c r="U410" s="6">
        <f>IF($K410="","",IF(ISNUMBER(SEARCH("sortie-epargne",IFERROR(INDEX('Paramètres'!$N:$N,MATCH($D410,'Paramètres'!$M:$M,0))&amp;"",""))),$K410,0))</f>
        <v>0</v>
      </c>
      <c r="V410" s="6" t="str">
        <f>IF(AND($A410&lt;&gt;"",$O410=1,$L410="Débit",N($Q410)&gt;0,$A410&gt;=Visualisation!$B$1,$A410&lt;Visualisation!$D$1),MAX($V$1:V409)+1,"")</f>
        <v/>
      </c>
    </row>
    <row r="411" spans="1:22" x14ac:dyDescent="0.25">
      <c r="A411" s="9">
        <v>45814</v>
      </c>
      <c r="B411" s="4" t="s">
        <v>89</v>
      </c>
      <c r="C411" s="4" t="s">
        <v>75</v>
      </c>
      <c r="D411" s="4" t="s">
        <v>89</v>
      </c>
      <c r="E411" s="10">
        <v>49.9</v>
      </c>
      <c r="G411" s="4"/>
      <c r="H411" s="4"/>
      <c r="I411" s="4"/>
      <c r="K411" s="11">
        <f>IF($E411="","",ROUND($E411*IF(ISNA(MATCH($C411,'Paramètres'!$D:$D,0)),1,IF(INDEX('Paramètres'!$J:$J,MATCH($C411,'Paramètres'!$D:$D,0))="",1,INDEX('Paramètres'!$J:$J,MATCH($C411,'Paramètres'!$D:$D,0)))),2))</f>
        <v>49.9</v>
      </c>
      <c r="L411" s="6" t="str">
        <f>IF($D411="","",IF($F411&lt;&gt;"",$F411,IF(ISNA(MATCH($D411,'Paramètres'!$M:$M,0)),"⚠ Type inconnu",IFERROR(INDEX('Paramètres'!$P:$P,MATCH($D411,'Paramètres'!$M:$M,0))&amp;"",""))))</f>
        <v>Débit</v>
      </c>
      <c r="M411" s="6" t="str">
        <f>IF($D411="","",IF(ISNA(MATCH($D411,'Paramètres'!$M:$M,0)),"⚠ Type inconnu",IF($L411="Crédit","",IFERROR(INDEX('Paramètres'!$O:$O,MATCH($D411,'Paramètres'!$M:$M,0))&amp;"",""))))</f>
        <v>Dépense Fixe</v>
      </c>
      <c r="N411" s="6" t="str">
        <f>IF($D411="","",IFERROR(INDEX('Paramètres'!$Q:$Q,MATCH($D411,'Paramètres'!$M:$M,0))&amp;"",""))</f>
        <v>Autre</v>
      </c>
      <c r="O411" s="6">
        <f>IF($A411="","",IF(OR($J411&lt;&gt;"x",$A411&lt;=FinReleve),1,0))</f>
        <v>1</v>
      </c>
      <c r="P411" s="6">
        <f>IF($D411="","",IF(AND($L411="Crédit",OR(IFERROR(INDEX('Paramètres'!$O:$O,MATCH($D411,'Paramètres'!$M:$M,0))&amp;"","")&lt;&gt;"",ISNUMBER(SEARCH("remboursement",IFERROR(INDEX('Paramètres'!$N:$N,MATCH($D411,'Paramètres'!$M:$M,0))&amp;"",""))))),1,0))</f>
        <v>0</v>
      </c>
      <c r="Q411" s="6">
        <f>IF($K411="","",IF(ISNUMBER(SEARCH("transfert-interne",IFERROR(INDEX('Paramètres'!$N:$N,MATCH($D411,'Paramètres'!$M:$M,0))&amp;"",""))),0,IF($L411="Débit",$K411,IF($P411=1,-$K411,0))))</f>
        <v>49.9</v>
      </c>
      <c r="R411" s="6">
        <f>IF($K411="","",IF($L411="Crédit",$K411,-$K411))</f>
        <v>-49.9</v>
      </c>
      <c r="S411" s="6" t="str">
        <f>IF($C411="","",IFERROR(INDEX('Paramètres'!$H:$H,MATCH($C411,'Paramètres'!$D:$D,0))&amp;"",""))</f>
        <v/>
      </c>
      <c r="T411" s="6">
        <f>IF($K411="","",IF($S411="",0,IF(ISNUMBER(SEARCH("apport-exterieur",IFERROR(INDEX('Paramètres'!$N:$N,MATCH($D411,'Paramètres'!$M:$M,0))&amp;"",""))),0,IF(OR(IFERROR(INDEX('Paramètres'!$I:$I,MATCH($C411,'Paramètres'!$D:$D,0))&amp;"","")="Les deux",IFERROR(INDEX('Paramètres'!$I:$I,MATCH($C411,'Paramètres'!$D:$D,0))&amp;"","")=IF($P411=1,"Débit",$L411)),-IF($P411=1,-$K411,$K411),0))))</f>
        <v>0</v>
      </c>
      <c r="U411" s="6">
        <f>IF($K411="","",IF(ISNUMBER(SEARCH("sortie-epargne",IFERROR(INDEX('Paramètres'!$N:$N,MATCH($D411,'Paramètres'!$M:$M,0))&amp;"",""))),$K411,0))</f>
        <v>0</v>
      </c>
      <c r="V411" s="6" t="str">
        <f>IF(AND($A411&lt;&gt;"",$O411=1,$L411="Débit",N($Q411)&gt;0,$A411&gt;=Visualisation!$B$1,$A411&lt;Visualisation!$D$1),MAX($V$1:V410)+1,"")</f>
        <v/>
      </c>
    </row>
    <row r="412" spans="1:22" x14ac:dyDescent="0.25">
      <c r="A412" s="9">
        <v>45814</v>
      </c>
      <c r="B412" s="4" t="s">
        <v>69</v>
      </c>
      <c r="C412" s="4" t="s">
        <v>70</v>
      </c>
      <c r="D412" s="4" t="s">
        <v>71</v>
      </c>
      <c r="E412" s="10">
        <v>10.02</v>
      </c>
      <c r="G412" s="4" t="s">
        <v>72</v>
      </c>
      <c r="H412" s="4"/>
      <c r="I412" s="4" t="s">
        <v>73</v>
      </c>
      <c r="K412" s="11">
        <f>IF($E412="","",ROUND($E412*IF(ISNA(MATCH($C412,'Paramètres'!$D:$D,0)),1,IF(INDEX('Paramètres'!$J:$J,MATCH($C412,'Paramètres'!$D:$D,0))="",1,INDEX('Paramètres'!$J:$J,MATCH($C412,'Paramètres'!$D:$D,0)))),2))</f>
        <v>10.02</v>
      </c>
      <c r="L412" s="6" t="str">
        <f>IF($D412="","",IF($F412&lt;&gt;"",$F412,IF(ISNA(MATCH($D412,'Paramètres'!$M:$M,0)),"⚠ Type inconnu",IFERROR(INDEX('Paramètres'!$P:$P,MATCH($D412,'Paramètres'!$M:$M,0))&amp;"",""))))</f>
        <v>Débit</v>
      </c>
      <c r="M412" s="6" t="str">
        <f>IF($D412="","",IF(ISNA(MATCH($D412,'Paramètres'!$M:$M,0)),"⚠ Type inconnu",IF($L412="Crédit","",IFERROR(INDEX('Paramètres'!$O:$O,MATCH($D412,'Paramètres'!$M:$M,0))&amp;"",""))))</f>
        <v>Dépense Courante</v>
      </c>
      <c r="N412" s="6" t="str">
        <f>IF($D412="","",IFERROR(INDEX('Paramètres'!$Q:$Q,MATCH($D412,'Paramètres'!$M:$M,0))&amp;"",""))</f>
        <v>Alimentation</v>
      </c>
      <c r="O412" s="6">
        <f>IF($A412="","",IF(OR($J412&lt;&gt;"x",$A412&lt;=FinReleve),1,0))</f>
        <v>1</v>
      </c>
      <c r="P412" s="6">
        <f>IF($D412="","",IF(AND($L412="Crédit",OR(IFERROR(INDEX('Paramètres'!$O:$O,MATCH($D412,'Paramètres'!$M:$M,0))&amp;"","")&lt;&gt;"",ISNUMBER(SEARCH("remboursement",IFERROR(INDEX('Paramètres'!$N:$N,MATCH($D412,'Paramètres'!$M:$M,0))&amp;"",""))))),1,0))</f>
        <v>0</v>
      </c>
      <c r="Q412" s="6">
        <f>IF($K412="","",IF(ISNUMBER(SEARCH("transfert-interne",IFERROR(INDEX('Paramètres'!$N:$N,MATCH($D412,'Paramètres'!$M:$M,0))&amp;"",""))),0,IF($L412="Débit",$K412,IF($P412=1,-$K412,0))))</f>
        <v>10.02</v>
      </c>
      <c r="R412" s="6">
        <f>IF($K412="","",IF($L412="Crédit",$K412,-$K412))</f>
        <v>-10.02</v>
      </c>
      <c r="S412" s="6" t="str">
        <f>IF($C412="","",IFERROR(INDEX('Paramètres'!$H:$H,MATCH($C412,'Paramètres'!$D:$D,0))&amp;"",""))</f>
        <v/>
      </c>
      <c r="T412" s="6">
        <f>IF($K412="","",IF($S412="",0,IF(ISNUMBER(SEARCH("apport-exterieur",IFERROR(INDEX('Paramètres'!$N:$N,MATCH($D412,'Paramètres'!$M:$M,0))&amp;"",""))),0,IF(OR(IFERROR(INDEX('Paramètres'!$I:$I,MATCH($C412,'Paramètres'!$D:$D,0))&amp;"","")="Les deux",IFERROR(INDEX('Paramètres'!$I:$I,MATCH($C412,'Paramètres'!$D:$D,0))&amp;"","")=IF($P412=1,"Débit",$L412)),-IF($P412=1,-$K412,$K412),0))))</f>
        <v>0</v>
      </c>
      <c r="U412" s="6">
        <f>IF($K412="","",IF(ISNUMBER(SEARCH("sortie-epargne",IFERROR(INDEX('Paramètres'!$N:$N,MATCH($D412,'Paramètres'!$M:$M,0))&amp;"",""))),$K412,0))</f>
        <v>0</v>
      </c>
      <c r="V412" s="6" t="str">
        <f>IF(AND($A412&lt;&gt;"",$O412=1,$L412="Débit",N($Q412)&gt;0,$A412&gt;=Visualisation!$B$1,$A412&lt;Visualisation!$D$1),MAX($V$1:V411)+1,"")</f>
        <v/>
      </c>
    </row>
    <row r="413" spans="1:22" x14ac:dyDescent="0.25">
      <c r="A413" s="9">
        <v>45814</v>
      </c>
      <c r="B413" s="4" t="s">
        <v>69</v>
      </c>
      <c r="C413" s="4" t="s">
        <v>70</v>
      </c>
      <c r="D413" s="4" t="s">
        <v>71</v>
      </c>
      <c r="E413" s="10">
        <v>8.98</v>
      </c>
      <c r="G413" s="4" t="s">
        <v>72</v>
      </c>
      <c r="H413" s="4"/>
      <c r="I413" s="4"/>
      <c r="K413" s="11">
        <f>IF($E413="","",ROUND($E413*IF(ISNA(MATCH($C413,'Paramètres'!$D:$D,0)),1,IF(INDEX('Paramètres'!$J:$J,MATCH($C413,'Paramètres'!$D:$D,0))="",1,INDEX('Paramètres'!$J:$J,MATCH($C413,'Paramètres'!$D:$D,0)))),2))</f>
        <v>8.98</v>
      </c>
      <c r="L413" s="6" t="str">
        <f>IF($D413="","",IF($F413&lt;&gt;"",$F413,IF(ISNA(MATCH($D413,'Paramètres'!$M:$M,0)),"⚠ Type inconnu",IFERROR(INDEX('Paramètres'!$P:$P,MATCH($D413,'Paramètres'!$M:$M,0))&amp;"",""))))</f>
        <v>Débit</v>
      </c>
      <c r="M413" s="6" t="str">
        <f>IF($D413="","",IF(ISNA(MATCH($D413,'Paramètres'!$M:$M,0)),"⚠ Type inconnu",IF($L413="Crédit","",IFERROR(INDEX('Paramètres'!$O:$O,MATCH($D413,'Paramètres'!$M:$M,0))&amp;"",""))))</f>
        <v>Dépense Courante</v>
      </c>
      <c r="N413" s="6" t="str">
        <f>IF($D413="","",IFERROR(INDEX('Paramètres'!$Q:$Q,MATCH($D413,'Paramètres'!$M:$M,0))&amp;"",""))</f>
        <v>Alimentation</v>
      </c>
      <c r="O413" s="6">
        <f>IF($A413="","",IF(OR($J413&lt;&gt;"x",$A413&lt;=FinReleve),1,0))</f>
        <v>1</v>
      </c>
      <c r="P413" s="6">
        <f>IF($D413="","",IF(AND($L413="Crédit",OR(IFERROR(INDEX('Paramètres'!$O:$O,MATCH($D413,'Paramètres'!$M:$M,0))&amp;"","")&lt;&gt;"",ISNUMBER(SEARCH("remboursement",IFERROR(INDEX('Paramètres'!$N:$N,MATCH($D413,'Paramètres'!$M:$M,0))&amp;"",""))))),1,0))</f>
        <v>0</v>
      </c>
      <c r="Q413" s="6">
        <f>IF($K413="","",IF(ISNUMBER(SEARCH("transfert-interne",IFERROR(INDEX('Paramètres'!$N:$N,MATCH($D413,'Paramètres'!$M:$M,0))&amp;"",""))),0,IF($L413="Débit",$K413,IF($P413=1,-$K413,0))))</f>
        <v>8.98</v>
      </c>
      <c r="R413" s="6">
        <f>IF($K413="","",IF($L413="Crédit",$K413,-$K413))</f>
        <v>-8.98</v>
      </c>
      <c r="S413" s="6" t="str">
        <f>IF($C413="","",IFERROR(INDEX('Paramètres'!$H:$H,MATCH($C413,'Paramètres'!$D:$D,0))&amp;"",""))</f>
        <v/>
      </c>
      <c r="T413" s="6">
        <f>IF($K413="","",IF($S413="",0,IF(ISNUMBER(SEARCH("apport-exterieur",IFERROR(INDEX('Paramètres'!$N:$N,MATCH($D413,'Paramètres'!$M:$M,0))&amp;"",""))),0,IF(OR(IFERROR(INDEX('Paramètres'!$I:$I,MATCH($C413,'Paramètres'!$D:$D,0))&amp;"","")="Les deux",IFERROR(INDEX('Paramètres'!$I:$I,MATCH($C413,'Paramètres'!$D:$D,0))&amp;"","")=IF($P413=1,"Débit",$L413)),-IF($P413=1,-$K413,$K413),0))))</f>
        <v>0</v>
      </c>
      <c r="U413" s="6">
        <f>IF($K413="","",IF(ISNUMBER(SEARCH("sortie-epargne",IFERROR(INDEX('Paramètres'!$N:$N,MATCH($D413,'Paramètres'!$M:$M,0))&amp;"",""))),$K413,0))</f>
        <v>0</v>
      </c>
      <c r="V413" s="6" t="str">
        <f>IF(AND($A413&lt;&gt;"",$O413=1,$L413="Débit",N($Q413)&gt;0,$A413&gt;=Visualisation!$B$1,$A413&lt;Visualisation!$D$1),MAX($V$1:V412)+1,"")</f>
        <v/>
      </c>
    </row>
    <row r="414" spans="1:22" x14ac:dyDescent="0.25">
      <c r="A414" s="9">
        <v>45816</v>
      </c>
      <c r="B414" s="4" t="s">
        <v>94</v>
      </c>
      <c r="C414" s="4" t="s">
        <v>65</v>
      </c>
      <c r="D414" s="4" t="s">
        <v>94</v>
      </c>
      <c r="E414" s="10">
        <v>168</v>
      </c>
      <c r="G414" s="4"/>
      <c r="H414" s="4"/>
      <c r="I414" s="4"/>
      <c r="K414" s="11">
        <f>IF($E414="","",ROUND($E414*IF(ISNA(MATCH($C414,'Paramètres'!$D:$D,0)),1,IF(INDEX('Paramètres'!$J:$J,MATCH($C414,'Paramètres'!$D:$D,0))="",1,INDEX('Paramètres'!$J:$J,MATCH($C414,'Paramètres'!$D:$D,0)))),2))</f>
        <v>168</v>
      </c>
      <c r="L414" s="6" t="str">
        <f>IF($D414="","",IF($F414&lt;&gt;"",$F414,IF(ISNA(MATCH($D414,'Paramètres'!$M:$M,0)),"⚠ Type inconnu",IFERROR(INDEX('Paramètres'!$P:$P,MATCH($D414,'Paramètres'!$M:$M,0))&amp;"",""))))</f>
        <v>Débit</v>
      </c>
      <c r="M414" s="6" t="str">
        <f>IF($D414="","",IF(ISNA(MATCH($D414,'Paramètres'!$M:$M,0)),"⚠ Type inconnu",IF($L414="Crédit","",IFERROR(INDEX('Paramètres'!$O:$O,MATCH($D414,'Paramètres'!$M:$M,0))&amp;"",""))))</f>
        <v>Dépense Fixe</v>
      </c>
      <c r="N414" s="6" t="str">
        <f>IF($D414="","",IFERROR(INDEX('Paramètres'!$Q:$Q,MATCH($D414,'Paramètres'!$M:$M,0))&amp;"",""))</f>
        <v>Immobilier</v>
      </c>
      <c r="O414" s="6">
        <f>IF($A414="","",IF(OR($J414&lt;&gt;"x",$A414&lt;=FinReleve),1,0))</f>
        <v>1</v>
      </c>
      <c r="P414" s="6">
        <f>IF($D414="","",IF(AND($L414="Crédit",OR(IFERROR(INDEX('Paramètres'!$O:$O,MATCH($D414,'Paramètres'!$M:$M,0))&amp;"","")&lt;&gt;"",ISNUMBER(SEARCH("remboursement",IFERROR(INDEX('Paramètres'!$N:$N,MATCH($D414,'Paramètres'!$M:$M,0))&amp;"",""))))),1,0))</f>
        <v>0</v>
      </c>
      <c r="Q414" s="6">
        <f>IF($K414="","",IF(ISNUMBER(SEARCH("transfert-interne",IFERROR(INDEX('Paramètres'!$N:$N,MATCH($D414,'Paramètres'!$M:$M,0))&amp;"",""))),0,IF($L414="Débit",$K414,IF($P414=1,-$K414,0))))</f>
        <v>168</v>
      </c>
      <c r="R414" s="6">
        <f>IF($K414="","",IF($L414="Crédit",$K414,-$K414))</f>
        <v>-168</v>
      </c>
      <c r="S414" s="6" t="str">
        <f>IF($C414="","",IFERROR(INDEX('Paramètres'!$H:$H,MATCH($C414,'Paramètres'!$D:$D,0))&amp;"",""))</f>
        <v>Banque A - Courant</v>
      </c>
      <c r="T414" s="6">
        <f>IF($K414="","",IF($S414="",0,IF(ISNUMBER(SEARCH("apport-exterieur",IFERROR(INDEX('Paramètres'!$N:$N,MATCH($D414,'Paramètres'!$M:$M,0))&amp;"",""))),0,IF(OR(IFERROR(INDEX('Paramètres'!$I:$I,MATCH($C414,'Paramètres'!$D:$D,0))&amp;"","")="Les deux",IFERROR(INDEX('Paramètres'!$I:$I,MATCH($C414,'Paramètres'!$D:$D,0))&amp;"","")=IF($P414=1,"Débit",$L414)),-IF($P414=1,-$K414,$K414),0))))</f>
        <v>0</v>
      </c>
      <c r="U414" s="6">
        <f>IF($K414="","",IF(ISNUMBER(SEARCH("sortie-epargne",IFERROR(INDEX('Paramètres'!$N:$N,MATCH($D414,'Paramètres'!$M:$M,0))&amp;"",""))),$K414,0))</f>
        <v>0</v>
      </c>
      <c r="V414" s="6" t="str">
        <f>IF(AND($A414&lt;&gt;"",$O414=1,$L414="Débit",N($Q414)&gt;0,$A414&gt;=Visualisation!$B$1,$A414&lt;Visualisation!$D$1),MAX($V$1:V413)+1,"")</f>
        <v/>
      </c>
    </row>
    <row r="415" spans="1:22" x14ac:dyDescent="0.25">
      <c r="A415" s="9">
        <v>45816</v>
      </c>
      <c r="B415" s="4" t="s">
        <v>49</v>
      </c>
      <c r="C415" s="4" t="s">
        <v>67</v>
      </c>
      <c r="D415" s="4" t="s">
        <v>101</v>
      </c>
      <c r="E415" s="10">
        <v>268.98</v>
      </c>
      <c r="G415" s="4"/>
      <c r="H415" s="4"/>
      <c r="I415" s="4"/>
      <c r="K415" s="11">
        <f>IF($E415="","",ROUND($E415*IF(ISNA(MATCH($C415,'Paramètres'!$D:$D,0)),1,IF(INDEX('Paramètres'!$J:$J,MATCH($C415,'Paramètres'!$D:$D,0))="",1,INDEX('Paramètres'!$J:$J,MATCH($C415,'Paramètres'!$D:$D,0)))),2))</f>
        <v>134.49</v>
      </c>
      <c r="L415" s="6" t="str">
        <f>IF($D415="","",IF($F415&lt;&gt;"",$F415,IF(ISNA(MATCH($D415,'Paramètres'!$M:$M,0)),"⚠ Type inconnu",IFERROR(INDEX('Paramètres'!$P:$P,MATCH($D415,'Paramètres'!$M:$M,0))&amp;"",""))))</f>
        <v>Crédit</v>
      </c>
      <c r="M415" s="6" t="str">
        <f>IF($D415="","",IF(ISNA(MATCH($D415,'Paramètres'!$M:$M,0)),"⚠ Type inconnu",IF($L415="Crédit","",IFERROR(INDEX('Paramètres'!$O:$O,MATCH($D415,'Paramètres'!$M:$M,0))&amp;"",""))))</f>
        <v/>
      </c>
      <c r="N415" s="6" t="str">
        <f>IF($D415="","",IFERROR(INDEX('Paramètres'!$Q:$Q,MATCH($D415,'Paramètres'!$M:$M,0))&amp;"",""))</f>
        <v>Comptes Bancaires</v>
      </c>
      <c r="O415" s="6">
        <f>IF($A415="","",IF(OR($J415&lt;&gt;"x",$A415&lt;=FinReleve),1,0))</f>
        <v>1</v>
      </c>
      <c r="P415" s="6">
        <f>IF($D415="","",IF(AND($L415="Crédit",OR(IFERROR(INDEX('Paramètres'!$O:$O,MATCH($D415,'Paramètres'!$M:$M,0))&amp;"","")&lt;&gt;"",ISNUMBER(SEARCH("remboursement",IFERROR(INDEX('Paramètres'!$N:$N,MATCH($D415,'Paramètres'!$M:$M,0))&amp;"",""))))),1,0))</f>
        <v>0</v>
      </c>
      <c r="Q415" s="6">
        <f>IF($K415="","",IF(ISNUMBER(SEARCH("transfert-interne",IFERROR(INDEX('Paramètres'!$N:$N,MATCH($D415,'Paramètres'!$M:$M,0))&amp;"",""))),0,IF($L415="Débit",$K415,IF($P415=1,-$K415,0))))</f>
        <v>0</v>
      </c>
      <c r="R415" s="6">
        <f>IF($K415="","",IF($L415="Crédit",$K415,-$K415))</f>
        <v>134.49</v>
      </c>
      <c r="S415" s="6" t="str">
        <f>IF($C415="","",IFERROR(INDEX('Paramètres'!$H:$H,MATCH($C415,'Paramètres'!$D:$D,0))&amp;"",""))</f>
        <v>Banque A - Courant</v>
      </c>
      <c r="T415" s="6">
        <f>IF($K415="","",IF($S415="",0,IF(ISNUMBER(SEARCH("apport-exterieur",IFERROR(INDEX('Paramètres'!$N:$N,MATCH($D415,'Paramètres'!$M:$M,0))&amp;"",""))),0,IF(OR(IFERROR(INDEX('Paramètres'!$I:$I,MATCH($C415,'Paramètres'!$D:$D,0))&amp;"","")="Les deux",IFERROR(INDEX('Paramètres'!$I:$I,MATCH($C415,'Paramètres'!$D:$D,0))&amp;"","")=IF($P415=1,"Débit",$L415)),-IF($P415=1,-$K415,$K415),0))))</f>
        <v>0</v>
      </c>
      <c r="U415" s="6">
        <f>IF($K415="","",IF(ISNUMBER(SEARCH("sortie-epargne",IFERROR(INDEX('Paramètres'!$N:$N,MATCH($D415,'Paramètres'!$M:$M,0))&amp;"",""))),$K415,0))</f>
        <v>0</v>
      </c>
      <c r="V415" s="6" t="str">
        <f>IF(AND($A415&lt;&gt;"",$O415=1,$L415="Débit",N($Q415)&gt;0,$A415&gt;=Visualisation!$B$1,$A415&lt;Visualisation!$D$1),MAX($V$1:V414)+1,"")</f>
        <v/>
      </c>
    </row>
    <row r="416" spans="1:22" x14ac:dyDescent="0.25">
      <c r="A416" s="9">
        <v>45817</v>
      </c>
      <c r="B416" s="4" t="s">
        <v>76</v>
      </c>
      <c r="C416" s="4" t="s">
        <v>60</v>
      </c>
      <c r="D416" s="4" t="s">
        <v>77</v>
      </c>
      <c r="E416" s="10">
        <v>60.72</v>
      </c>
      <c r="G416" s="4" t="s">
        <v>98</v>
      </c>
      <c r="H416" s="4"/>
      <c r="I416" s="4" t="s">
        <v>93</v>
      </c>
      <c r="K416" s="11">
        <f>IF($E416="","",ROUND($E416*IF(ISNA(MATCH($C416,'Paramètres'!$D:$D,0)),1,IF(INDEX('Paramètres'!$J:$J,MATCH($C416,'Paramètres'!$D:$D,0))="",1,INDEX('Paramètres'!$J:$J,MATCH($C416,'Paramètres'!$D:$D,0)))),2))</f>
        <v>30.36</v>
      </c>
      <c r="L416" s="6" t="str">
        <f>IF($D416="","",IF($F416&lt;&gt;"",$F416,IF(ISNA(MATCH($D416,'Paramètres'!$M:$M,0)),"⚠ Type inconnu",IFERROR(INDEX('Paramètres'!$P:$P,MATCH($D416,'Paramètres'!$M:$M,0))&amp;"",""))))</f>
        <v>Débit</v>
      </c>
      <c r="M416" s="6" t="str">
        <f>IF($D416="","",IF(ISNA(MATCH($D416,'Paramètres'!$M:$M,0)),"⚠ Type inconnu",IF($L416="Crédit","",IFERROR(INDEX('Paramètres'!$O:$O,MATCH($D416,'Paramètres'!$M:$M,0))&amp;"",""))))</f>
        <v>Dépense Courante</v>
      </c>
      <c r="N416" s="6" t="str">
        <f>IF($D416="","",IFERROR(INDEX('Paramètres'!$Q:$Q,MATCH($D416,'Paramètres'!$M:$M,0))&amp;"",""))</f>
        <v>Alimentation</v>
      </c>
      <c r="O416" s="6">
        <f>IF($A416="","",IF(OR($J416&lt;&gt;"x",$A416&lt;=FinReleve),1,0))</f>
        <v>1</v>
      </c>
      <c r="P416" s="6">
        <f>IF($D416="","",IF(AND($L416="Crédit",OR(IFERROR(INDEX('Paramètres'!$O:$O,MATCH($D416,'Paramètres'!$M:$M,0))&amp;"","")&lt;&gt;"",ISNUMBER(SEARCH("remboursement",IFERROR(INDEX('Paramètres'!$N:$N,MATCH($D416,'Paramètres'!$M:$M,0))&amp;"",""))))),1,0))</f>
        <v>0</v>
      </c>
      <c r="Q416" s="6">
        <f>IF($K416="","",IF(ISNUMBER(SEARCH("transfert-interne",IFERROR(INDEX('Paramètres'!$N:$N,MATCH($D416,'Paramètres'!$M:$M,0))&amp;"",""))),0,IF($L416="Débit",$K416,IF($P416=1,-$K416,0))))</f>
        <v>30.36</v>
      </c>
      <c r="R416" s="6">
        <f>IF($K416="","",IF($L416="Crédit",$K416,-$K416))</f>
        <v>-30.36</v>
      </c>
      <c r="S416" s="6" t="str">
        <f>IF($C416="","",IFERROR(INDEX('Paramètres'!$H:$H,MATCH($C416,'Paramètres'!$D:$D,0))&amp;"",""))</f>
        <v>Banque A - Courant</v>
      </c>
      <c r="T416" s="6">
        <f>IF($K416="","",IF($S416="",0,IF(ISNUMBER(SEARCH("apport-exterieur",IFERROR(INDEX('Paramètres'!$N:$N,MATCH($D416,'Paramètres'!$M:$M,0))&amp;"",""))),0,IF(OR(IFERROR(INDEX('Paramètres'!$I:$I,MATCH($C416,'Paramètres'!$D:$D,0))&amp;"","")="Les deux",IFERROR(INDEX('Paramètres'!$I:$I,MATCH($C416,'Paramètres'!$D:$D,0))&amp;"","")=IF($P416=1,"Débit",$L416)),-IF($P416=1,-$K416,$K416),0))))</f>
        <v>-30.36</v>
      </c>
      <c r="U416" s="6">
        <f>IF($K416="","",IF(ISNUMBER(SEARCH("sortie-epargne",IFERROR(INDEX('Paramètres'!$N:$N,MATCH($D416,'Paramètres'!$M:$M,0))&amp;"",""))),$K416,0))</f>
        <v>0</v>
      </c>
      <c r="V416" s="6" t="str">
        <f>IF(AND($A416&lt;&gt;"",$O416=1,$L416="Débit",N($Q416)&gt;0,$A416&gt;=Visualisation!$B$1,$A416&lt;Visualisation!$D$1),MAX($V$1:V415)+1,"")</f>
        <v/>
      </c>
    </row>
    <row r="417" spans="1:22" x14ac:dyDescent="0.25">
      <c r="A417" s="9">
        <v>45818</v>
      </c>
      <c r="B417" s="4" t="s">
        <v>96</v>
      </c>
      <c r="C417" s="4" t="s">
        <v>75</v>
      </c>
      <c r="D417" s="4" t="s">
        <v>96</v>
      </c>
      <c r="E417" s="10">
        <v>22.4</v>
      </c>
      <c r="G417" s="4"/>
      <c r="H417" s="4"/>
      <c r="I417" s="4"/>
      <c r="K417" s="11">
        <f>IF($E417="","",ROUND($E417*IF(ISNA(MATCH($C417,'Paramètres'!$D:$D,0)),1,IF(INDEX('Paramètres'!$J:$J,MATCH($C417,'Paramètres'!$D:$D,0))="",1,INDEX('Paramètres'!$J:$J,MATCH($C417,'Paramètres'!$D:$D,0)))),2))</f>
        <v>22.4</v>
      </c>
      <c r="L417" s="6" t="str">
        <f>IF($D417="","",IF($F417&lt;&gt;"",$F417,IF(ISNA(MATCH($D417,'Paramètres'!$M:$M,0)),"⚠ Type inconnu",IFERROR(INDEX('Paramètres'!$P:$P,MATCH($D417,'Paramètres'!$M:$M,0))&amp;"",""))))</f>
        <v>Débit</v>
      </c>
      <c r="M417" s="6" t="str">
        <f>IF($D417="","",IF(ISNA(MATCH($D417,'Paramètres'!$M:$M,0)),"⚠ Type inconnu",IF($L417="Crédit","",IFERROR(INDEX('Paramètres'!$O:$O,MATCH($D417,'Paramètres'!$M:$M,0))&amp;"",""))))</f>
        <v>Dépense Fixe</v>
      </c>
      <c r="N417" s="6" t="str">
        <f>IF($D417="","",IFERROR(INDEX('Paramètres'!$Q:$Q,MATCH($D417,'Paramètres'!$M:$M,0))&amp;"",""))</f>
        <v>Assurances</v>
      </c>
      <c r="O417" s="6">
        <f>IF($A417="","",IF(OR($J417&lt;&gt;"x",$A417&lt;=FinReleve),1,0))</f>
        <v>1</v>
      </c>
      <c r="P417" s="6">
        <f>IF($D417="","",IF(AND($L417="Crédit",OR(IFERROR(INDEX('Paramètres'!$O:$O,MATCH($D417,'Paramètres'!$M:$M,0))&amp;"","")&lt;&gt;"",ISNUMBER(SEARCH("remboursement",IFERROR(INDEX('Paramètres'!$N:$N,MATCH($D417,'Paramètres'!$M:$M,0))&amp;"",""))))),1,0))</f>
        <v>0</v>
      </c>
      <c r="Q417" s="6">
        <f>IF($K417="","",IF(ISNUMBER(SEARCH("transfert-interne",IFERROR(INDEX('Paramètres'!$N:$N,MATCH($D417,'Paramètres'!$M:$M,0))&amp;"",""))),0,IF($L417="Débit",$K417,IF($P417=1,-$K417,0))))</f>
        <v>22.4</v>
      </c>
      <c r="R417" s="6">
        <f>IF($K417="","",IF($L417="Crédit",$K417,-$K417))</f>
        <v>-22.4</v>
      </c>
      <c r="S417" s="6" t="str">
        <f>IF($C417="","",IFERROR(INDEX('Paramètres'!$H:$H,MATCH($C417,'Paramètres'!$D:$D,0))&amp;"",""))</f>
        <v/>
      </c>
      <c r="T417" s="6">
        <f>IF($K417="","",IF($S417="",0,IF(ISNUMBER(SEARCH("apport-exterieur",IFERROR(INDEX('Paramètres'!$N:$N,MATCH($D417,'Paramètres'!$M:$M,0))&amp;"",""))),0,IF(OR(IFERROR(INDEX('Paramètres'!$I:$I,MATCH($C417,'Paramètres'!$D:$D,0))&amp;"","")="Les deux",IFERROR(INDEX('Paramètres'!$I:$I,MATCH($C417,'Paramètres'!$D:$D,0))&amp;"","")=IF($P417=1,"Débit",$L417)),-IF($P417=1,-$K417,$K417),0))))</f>
        <v>0</v>
      </c>
      <c r="U417" s="6">
        <f>IF($K417="","",IF(ISNUMBER(SEARCH("sortie-epargne",IFERROR(INDEX('Paramètres'!$N:$N,MATCH($D417,'Paramètres'!$M:$M,0))&amp;"",""))),$K417,0))</f>
        <v>0</v>
      </c>
      <c r="V417" s="6" t="str">
        <f>IF(AND($A417&lt;&gt;"",$O417=1,$L417="Débit",N($Q417)&gt;0,$A417&gt;=Visualisation!$B$1,$A417&lt;Visualisation!$D$1),MAX($V$1:V416)+1,"")</f>
        <v/>
      </c>
    </row>
    <row r="418" spans="1:22" x14ac:dyDescent="0.25">
      <c r="A418" s="9">
        <v>45818</v>
      </c>
      <c r="B418" s="4" t="s">
        <v>90</v>
      </c>
      <c r="C418" s="4" t="s">
        <v>75</v>
      </c>
      <c r="D418" s="4" t="s">
        <v>91</v>
      </c>
      <c r="E418" s="10">
        <v>51.39</v>
      </c>
      <c r="G418" s="4" t="s">
        <v>92</v>
      </c>
      <c r="H418" s="4"/>
      <c r="I418" s="4" t="s">
        <v>93</v>
      </c>
      <c r="K418" s="11">
        <f>IF($E418="","",ROUND($E418*IF(ISNA(MATCH($C418,'Paramètres'!$D:$D,0)),1,IF(INDEX('Paramètres'!$J:$J,MATCH($C418,'Paramètres'!$D:$D,0))="",1,INDEX('Paramètres'!$J:$J,MATCH($C418,'Paramètres'!$D:$D,0)))),2))</f>
        <v>51.39</v>
      </c>
      <c r="L418" s="6" t="str">
        <f>IF($D418="","",IF($F418&lt;&gt;"",$F418,IF(ISNA(MATCH($D418,'Paramètres'!$M:$M,0)),"⚠ Type inconnu",IFERROR(INDEX('Paramètres'!$P:$P,MATCH($D418,'Paramètres'!$M:$M,0))&amp;"",""))))</f>
        <v>Débit</v>
      </c>
      <c r="M418" s="6" t="str">
        <f>IF($D418="","",IF(ISNA(MATCH($D418,'Paramètres'!$M:$M,0)),"⚠ Type inconnu",IF($L418="Crédit","",IFERROR(INDEX('Paramètres'!$O:$O,MATCH($D418,'Paramètres'!$M:$M,0))&amp;"",""))))</f>
        <v>Dépense Courante</v>
      </c>
      <c r="N418" s="6" t="str">
        <f>IF($D418="","",IFERROR(INDEX('Paramètres'!$Q:$Q,MATCH($D418,'Paramètres'!$M:$M,0))&amp;"",""))</f>
        <v>Transport</v>
      </c>
      <c r="O418" s="6">
        <f>IF($A418="","",IF(OR($J418&lt;&gt;"x",$A418&lt;=FinReleve),1,0))</f>
        <v>1</v>
      </c>
      <c r="P418" s="6">
        <f>IF($D418="","",IF(AND($L418="Crédit",OR(IFERROR(INDEX('Paramètres'!$O:$O,MATCH($D418,'Paramètres'!$M:$M,0))&amp;"","")&lt;&gt;"",ISNUMBER(SEARCH("remboursement",IFERROR(INDEX('Paramètres'!$N:$N,MATCH($D418,'Paramètres'!$M:$M,0))&amp;"",""))))),1,0))</f>
        <v>0</v>
      </c>
      <c r="Q418" s="6">
        <f>IF($K418="","",IF(ISNUMBER(SEARCH("transfert-interne",IFERROR(INDEX('Paramètres'!$N:$N,MATCH($D418,'Paramètres'!$M:$M,0))&amp;"",""))),0,IF($L418="Débit",$K418,IF($P418=1,-$K418,0))))</f>
        <v>51.39</v>
      </c>
      <c r="R418" s="6">
        <f>IF($K418="","",IF($L418="Crédit",$K418,-$K418))</f>
        <v>-51.39</v>
      </c>
      <c r="S418" s="6" t="str">
        <f>IF($C418="","",IFERROR(INDEX('Paramètres'!$H:$H,MATCH($C418,'Paramètres'!$D:$D,0))&amp;"",""))</f>
        <v/>
      </c>
      <c r="T418" s="6">
        <f>IF($K418="","",IF($S418="",0,IF(ISNUMBER(SEARCH("apport-exterieur",IFERROR(INDEX('Paramètres'!$N:$N,MATCH($D418,'Paramètres'!$M:$M,0))&amp;"",""))),0,IF(OR(IFERROR(INDEX('Paramètres'!$I:$I,MATCH($C418,'Paramètres'!$D:$D,0))&amp;"","")="Les deux",IFERROR(INDEX('Paramètres'!$I:$I,MATCH($C418,'Paramètres'!$D:$D,0))&amp;"","")=IF($P418=1,"Débit",$L418)),-IF($P418=1,-$K418,$K418),0))))</f>
        <v>0</v>
      </c>
      <c r="U418" s="6">
        <f>IF($K418="","",IF(ISNUMBER(SEARCH("sortie-epargne",IFERROR(INDEX('Paramètres'!$N:$N,MATCH($D418,'Paramètres'!$M:$M,0))&amp;"",""))),$K418,0))</f>
        <v>0</v>
      </c>
      <c r="V418" s="6" t="str">
        <f>IF(AND($A418&lt;&gt;"",$O418=1,$L418="Débit",N($Q418)&gt;0,$A418&gt;=Visualisation!$B$1,$A418&lt;Visualisation!$D$1),MAX($V$1:V417)+1,"")</f>
        <v/>
      </c>
    </row>
    <row r="419" spans="1:22" x14ac:dyDescent="0.25">
      <c r="A419" s="9">
        <v>45819</v>
      </c>
      <c r="B419" s="4" t="s">
        <v>69</v>
      </c>
      <c r="C419" s="4" t="s">
        <v>70</v>
      </c>
      <c r="D419" s="4" t="s">
        <v>71</v>
      </c>
      <c r="E419" s="10">
        <v>7.89</v>
      </c>
      <c r="G419" s="4" t="s">
        <v>72</v>
      </c>
      <c r="H419" s="4"/>
      <c r="I419" s="4"/>
      <c r="K419" s="11">
        <f>IF($E419="","",ROUND($E419*IF(ISNA(MATCH($C419,'Paramètres'!$D:$D,0)),1,IF(INDEX('Paramètres'!$J:$J,MATCH($C419,'Paramètres'!$D:$D,0))="",1,INDEX('Paramètres'!$J:$J,MATCH($C419,'Paramètres'!$D:$D,0)))),2))</f>
        <v>7.89</v>
      </c>
      <c r="L419" s="6" t="str">
        <f>IF($D419="","",IF($F419&lt;&gt;"",$F419,IF(ISNA(MATCH($D419,'Paramètres'!$M:$M,0)),"⚠ Type inconnu",IFERROR(INDEX('Paramètres'!$P:$P,MATCH($D419,'Paramètres'!$M:$M,0))&amp;"",""))))</f>
        <v>Débit</v>
      </c>
      <c r="M419" s="6" t="str">
        <f>IF($D419="","",IF(ISNA(MATCH($D419,'Paramètres'!$M:$M,0)),"⚠ Type inconnu",IF($L419="Crédit","",IFERROR(INDEX('Paramètres'!$O:$O,MATCH($D419,'Paramètres'!$M:$M,0))&amp;"",""))))</f>
        <v>Dépense Courante</v>
      </c>
      <c r="N419" s="6" t="str">
        <f>IF($D419="","",IFERROR(INDEX('Paramètres'!$Q:$Q,MATCH($D419,'Paramètres'!$M:$M,0))&amp;"",""))</f>
        <v>Alimentation</v>
      </c>
      <c r="O419" s="6">
        <f>IF($A419="","",IF(OR($J419&lt;&gt;"x",$A419&lt;=FinReleve),1,0))</f>
        <v>1</v>
      </c>
      <c r="P419" s="6">
        <f>IF($D419="","",IF(AND($L419="Crédit",OR(IFERROR(INDEX('Paramètres'!$O:$O,MATCH($D419,'Paramètres'!$M:$M,0))&amp;"","")&lt;&gt;"",ISNUMBER(SEARCH("remboursement",IFERROR(INDEX('Paramètres'!$N:$N,MATCH($D419,'Paramètres'!$M:$M,0))&amp;"",""))))),1,0))</f>
        <v>0</v>
      </c>
      <c r="Q419" s="6">
        <f>IF($K419="","",IF(ISNUMBER(SEARCH("transfert-interne",IFERROR(INDEX('Paramètres'!$N:$N,MATCH($D419,'Paramètres'!$M:$M,0))&amp;"",""))),0,IF($L419="Débit",$K419,IF($P419=1,-$K419,0))))</f>
        <v>7.89</v>
      </c>
      <c r="R419" s="6">
        <f>IF($K419="","",IF($L419="Crédit",$K419,-$K419))</f>
        <v>-7.89</v>
      </c>
      <c r="S419" s="6" t="str">
        <f>IF($C419="","",IFERROR(INDEX('Paramètres'!$H:$H,MATCH($C419,'Paramètres'!$D:$D,0))&amp;"",""))</f>
        <v/>
      </c>
      <c r="T419" s="6">
        <f>IF($K419="","",IF($S419="",0,IF(ISNUMBER(SEARCH("apport-exterieur",IFERROR(INDEX('Paramètres'!$N:$N,MATCH($D419,'Paramètres'!$M:$M,0))&amp;"",""))),0,IF(OR(IFERROR(INDEX('Paramètres'!$I:$I,MATCH($C419,'Paramètres'!$D:$D,0))&amp;"","")="Les deux",IFERROR(INDEX('Paramètres'!$I:$I,MATCH($C419,'Paramètres'!$D:$D,0))&amp;"","")=IF($P419=1,"Débit",$L419)),-IF($P419=1,-$K419,$K419),0))))</f>
        <v>0</v>
      </c>
      <c r="U419" s="6">
        <f>IF($K419="","",IF(ISNUMBER(SEARCH("sortie-epargne",IFERROR(INDEX('Paramètres'!$N:$N,MATCH($D419,'Paramètres'!$M:$M,0))&amp;"",""))),$K419,0))</f>
        <v>0</v>
      </c>
      <c r="V419" s="6" t="str">
        <f>IF(AND($A419&lt;&gt;"",$O419=1,$L419="Débit",N($Q419)&gt;0,$A419&gt;=Visualisation!$B$1,$A419&lt;Visualisation!$D$1),MAX($V$1:V418)+1,"")</f>
        <v/>
      </c>
    </row>
    <row r="420" spans="1:22" x14ac:dyDescent="0.25">
      <c r="A420" s="9">
        <v>45819</v>
      </c>
      <c r="B420" s="4" t="s">
        <v>76</v>
      </c>
      <c r="C420" s="4" t="s">
        <v>107</v>
      </c>
      <c r="D420" s="4" t="s">
        <v>108</v>
      </c>
      <c r="E420" s="10">
        <v>66.72</v>
      </c>
      <c r="G420" s="4" t="s">
        <v>146</v>
      </c>
      <c r="H420" s="4" t="s">
        <v>144</v>
      </c>
      <c r="I420" s="4" t="s">
        <v>63</v>
      </c>
      <c r="K420" s="11">
        <f>IF($E420="","",ROUND($E420*IF(ISNA(MATCH($C420,'Paramètres'!$D:$D,0)),1,IF(INDEX('Paramètres'!$J:$J,MATCH($C420,'Paramètres'!$D:$D,0))="",1,INDEX('Paramètres'!$J:$J,MATCH($C420,'Paramètres'!$D:$D,0)))),2))</f>
        <v>66.72</v>
      </c>
      <c r="L420" s="6" t="str">
        <f>IF($D420="","",IF($F420&lt;&gt;"",$F420,IF(ISNA(MATCH($D420,'Paramètres'!$M:$M,0)),"⚠ Type inconnu",IFERROR(INDEX('Paramètres'!$P:$P,MATCH($D420,'Paramètres'!$M:$M,0))&amp;"",""))))</f>
        <v>Débit</v>
      </c>
      <c r="M420" s="6" t="str">
        <f>IF($D420="","",IF(ISNA(MATCH($D420,'Paramètres'!$M:$M,0)),"⚠ Type inconnu",IF($L420="Crédit","",IFERROR(INDEX('Paramètres'!$O:$O,MATCH($D420,'Paramètres'!$M:$M,0))&amp;"",""))))</f>
        <v>Dépense Occasionnelle</v>
      </c>
      <c r="N420" s="6" t="str">
        <f>IF($D420="","",IFERROR(INDEX('Paramètres'!$Q:$Q,MATCH($D420,'Paramètres'!$M:$M,0))&amp;"",""))</f>
        <v>Autre</v>
      </c>
      <c r="O420" s="6">
        <f>IF($A420="","",IF(OR($J420&lt;&gt;"x",$A420&lt;=FinReleve),1,0))</f>
        <v>1</v>
      </c>
      <c r="P420" s="6">
        <f>IF($D420="","",IF(AND($L420="Crédit",OR(IFERROR(INDEX('Paramètres'!$O:$O,MATCH($D420,'Paramètres'!$M:$M,0))&amp;"","")&lt;&gt;"",ISNUMBER(SEARCH("remboursement",IFERROR(INDEX('Paramètres'!$N:$N,MATCH($D420,'Paramètres'!$M:$M,0))&amp;"",""))))),1,0))</f>
        <v>0</v>
      </c>
      <c r="Q420" s="6">
        <f>IF($K420="","",IF(ISNUMBER(SEARCH("transfert-interne",IFERROR(INDEX('Paramètres'!$N:$N,MATCH($D420,'Paramètres'!$M:$M,0))&amp;"",""))),0,IF($L420="Débit",$K420,IF($P420=1,-$K420,0))))</f>
        <v>66.72</v>
      </c>
      <c r="R420" s="6">
        <f>IF($K420="","",IF($L420="Crédit",$K420,-$K420))</f>
        <v>-66.72</v>
      </c>
      <c r="S420" s="6" t="str">
        <f>IF($C420="","",IFERROR(INDEX('Paramètres'!$H:$H,MATCH($C420,'Paramètres'!$D:$D,0))&amp;"",""))</f>
        <v/>
      </c>
      <c r="T420" s="6">
        <f>IF($K420="","",IF($S420="",0,IF(ISNUMBER(SEARCH("apport-exterieur",IFERROR(INDEX('Paramètres'!$N:$N,MATCH($D420,'Paramètres'!$M:$M,0))&amp;"",""))),0,IF(OR(IFERROR(INDEX('Paramètres'!$I:$I,MATCH($C420,'Paramètres'!$D:$D,0))&amp;"","")="Les deux",IFERROR(INDEX('Paramètres'!$I:$I,MATCH($C420,'Paramètres'!$D:$D,0))&amp;"","")=IF($P420=1,"Débit",$L420)),-IF($P420=1,-$K420,$K420),0))))</f>
        <v>0</v>
      </c>
      <c r="U420" s="6">
        <f>IF($K420="","",IF(ISNUMBER(SEARCH("sortie-epargne",IFERROR(INDEX('Paramètres'!$N:$N,MATCH($D420,'Paramètres'!$M:$M,0))&amp;"",""))),$K420,0))</f>
        <v>0</v>
      </c>
      <c r="V420" s="6" t="str">
        <f>IF(AND($A420&lt;&gt;"",$O420=1,$L420="Débit",N($Q420)&gt;0,$A420&gt;=Visualisation!$B$1,$A420&lt;Visualisation!$D$1),MAX($V$1:V419)+1,"")</f>
        <v/>
      </c>
    </row>
    <row r="421" spans="1:22" x14ac:dyDescent="0.25">
      <c r="A421" s="9">
        <v>45820</v>
      </c>
      <c r="B421" s="4" t="s">
        <v>97</v>
      </c>
      <c r="C421" s="4" t="s">
        <v>75</v>
      </c>
      <c r="D421" s="4" t="s">
        <v>97</v>
      </c>
      <c r="E421" s="10">
        <v>47.9</v>
      </c>
      <c r="G421" s="4"/>
      <c r="H421" s="4"/>
      <c r="I421" s="4"/>
      <c r="K421" s="11">
        <f>IF($E421="","",ROUND($E421*IF(ISNA(MATCH($C421,'Paramètres'!$D:$D,0)),1,IF(INDEX('Paramètres'!$J:$J,MATCH($C421,'Paramètres'!$D:$D,0))="",1,INDEX('Paramètres'!$J:$J,MATCH($C421,'Paramètres'!$D:$D,0)))),2))</f>
        <v>47.9</v>
      </c>
      <c r="L421" s="6" t="str">
        <f>IF($D421="","",IF($F421&lt;&gt;"",$F421,IF(ISNA(MATCH($D421,'Paramètres'!$M:$M,0)),"⚠ Type inconnu",IFERROR(INDEX('Paramètres'!$P:$P,MATCH($D421,'Paramètres'!$M:$M,0))&amp;"",""))))</f>
        <v>Débit</v>
      </c>
      <c r="M421" s="6" t="str">
        <f>IF($D421="","",IF(ISNA(MATCH($D421,'Paramètres'!$M:$M,0)),"⚠ Type inconnu",IF($L421="Crédit","",IFERROR(INDEX('Paramètres'!$O:$O,MATCH($D421,'Paramètres'!$M:$M,0))&amp;"",""))))</f>
        <v>Dépense Fixe</v>
      </c>
      <c r="N421" s="6" t="str">
        <f>IF($D421="","",IFERROR(INDEX('Paramètres'!$Q:$Q,MATCH($D421,'Paramètres'!$M:$M,0))&amp;"",""))</f>
        <v>Assurances</v>
      </c>
      <c r="O421" s="6">
        <f>IF($A421="","",IF(OR($J421&lt;&gt;"x",$A421&lt;=FinReleve),1,0))</f>
        <v>1</v>
      </c>
      <c r="P421" s="6">
        <f>IF($D421="","",IF(AND($L421="Crédit",OR(IFERROR(INDEX('Paramètres'!$O:$O,MATCH($D421,'Paramètres'!$M:$M,0))&amp;"","")&lt;&gt;"",ISNUMBER(SEARCH("remboursement",IFERROR(INDEX('Paramètres'!$N:$N,MATCH($D421,'Paramètres'!$M:$M,0))&amp;"",""))))),1,0))</f>
        <v>0</v>
      </c>
      <c r="Q421" s="6">
        <f>IF($K421="","",IF(ISNUMBER(SEARCH("transfert-interne",IFERROR(INDEX('Paramètres'!$N:$N,MATCH($D421,'Paramètres'!$M:$M,0))&amp;"",""))),0,IF($L421="Débit",$K421,IF($P421=1,-$K421,0))))</f>
        <v>47.9</v>
      </c>
      <c r="R421" s="6">
        <f>IF($K421="","",IF($L421="Crédit",$K421,-$K421))</f>
        <v>-47.9</v>
      </c>
      <c r="S421" s="6" t="str">
        <f>IF($C421="","",IFERROR(INDEX('Paramètres'!$H:$H,MATCH($C421,'Paramètres'!$D:$D,0))&amp;"",""))</f>
        <v/>
      </c>
      <c r="T421" s="6">
        <f>IF($K421="","",IF($S421="",0,IF(ISNUMBER(SEARCH("apport-exterieur",IFERROR(INDEX('Paramètres'!$N:$N,MATCH($D421,'Paramètres'!$M:$M,0))&amp;"",""))),0,IF(OR(IFERROR(INDEX('Paramètres'!$I:$I,MATCH($C421,'Paramètres'!$D:$D,0))&amp;"","")="Les deux",IFERROR(INDEX('Paramètres'!$I:$I,MATCH($C421,'Paramètres'!$D:$D,0))&amp;"","")=IF($P421=1,"Débit",$L421)),-IF($P421=1,-$K421,$K421),0))))</f>
        <v>0</v>
      </c>
      <c r="U421" s="6">
        <f>IF($K421="","",IF(ISNUMBER(SEARCH("sortie-epargne",IFERROR(INDEX('Paramètres'!$N:$N,MATCH($D421,'Paramètres'!$M:$M,0))&amp;"",""))),$K421,0))</f>
        <v>0</v>
      </c>
      <c r="V421" s="6" t="str">
        <f>IF(AND($A421&lt;&gt;"",$O421=1,$L421="Débit",N($Q421)&gt;0,$A421&gt;=Visualisation!$B$1,$A421&lt;Visualisation!$D$1),MAX($V$1:V420)+1,"")</f>
        <v/>
      </c>
    </row>
    <row r="422" spans="1:22" x14ac:dyDescent="0.25">
      <c r="A422" s="9">
        <v>45821</v>
      </c>
      <c r="B422" s="4" t="s">
        <v>76</v>
      </c>
      <c r="C422" s="4" t="s">
        <v>60</v>
      </c>
      <c r="D422" s="4" t="s">
        <v>77</v>
      </c>
      <c r="E422" s="10">
        <v>99.62</v>
      </c>
      <c r="G422" s="4" t="s">
        <v>95</v>
      </c>
      <c r="H422" s="4"/>
      <c r="I422" s="4" t="s">
        <v>73</v>
      </c>
      <c r="K422" s="11">
        <f>IF($E422="","",ROUND($E422*IF(ISNA(MATCH($C422,'Paramètres'!$D:$D,0)),1,IF(INDEX('Paramètres'!$J:$J,MATCH($C422,'Paramètres'!$D:$D,0))="",1,INDEX('Paramètres'!$J:$J,MATCH($C422,'Paramètres'!$D:$D,0)))),2))</f>
        <v>49.81</v>
      </c>
      <c r="L422" s="6" t="str">
        <f>IF($D422="","",IF($F422&lt;&gt;"",$F422,IF(ISNA(MATCH($D422,'Paramètres'!$M:$M,0)),"⚠ Type inconnu",IFERROR(INDEX('Paramètres'!$P:$P,MATCH($D422,'Paramètres'!$M:$M,0))&amp;"",""))))</f>
        <v>Débit</v>
      </c>
      <c r="M422" s="6" t="str">
        <f>IF($D422="","",IF(ISNA(MATCH($D422,'Paramètres'!$M:$M,0)),"⚠ Type inconnu",IF($L422="Crédit","",IFERROR(INDEX('Paramètres'!$O:$O,MATCH($D422,'Paramètres'!$M:$M,0))&amp;"",""))))</f>
        <v>Dépense Courante</v>
      </c>
      <c r="N422" s="6" t="str">
        <f>IF($D422="","",IFERROR(INDEX('Paramètres'!$Q:$Q,MATCH($D422,'Paramètres'!$M:$M,0))&amp;"",""))</f>
        <v>Alimentation</v>
      </c>
      <c r="O422" s="6">
        <f>IF($A422="","",IF(OR($J422&lt;&gt;"x",$A422&lt;=FinReleve),1,0))</f>
        <v>1</v>
      </c>
      <c r="P422" s="6">
        <f>IF($D422="","",IF(AND($L422="Crédit",OR(IFERROR(INDEX('Paramètres'!$O:$O,MATCH($D422,'Paramètres'!$M:$M,0))&amp;"","")&lt;&gt;"",ISNUMBER(SEARCH("remboursement",IFERROR(INDEX('Paramètres'!$N:$N,MATCH($D422,'Paramètres'!$M:$M,0))&amp;"",""))))),1,0))</f>
        <v>0</v>
      </c>
      <c r="Q422" s="6">
        <f>IF($K422="","",IF(ISNUMBER(SEARCH("transfert-interne",IFERROR(INDEX('Paramètres'!$N:$N,MATCH($D422,'Paramètres'!$M:$M,0))&amp;"",""))),0,IF($L422="Débit",$K422,IF($P422=1,-$K422,0))))</f>
        <v>49.81</v>
      </c>
      <c r="R422" s="6">
        <f>IF($K422="","",IF($L422="Crédit",$K422,-$K422))</f>
        <v>-49.81</v>
      </c>
      <c r="S422" s="6" t="str">
        <f>IF($C422="","",IFERROR(INDEX('Paramètres'!$H:$H,MATCH($C422,'Paramètres'!$D:$D,0))&amp;"",""))</f>
        <v>Banque A - Courant</v>
      </c>
      <c r="T422" s="6">
        <f>IF($K422="","",IF($S422="",0,IF(ISNUMBER(SEARCH("apport-exterieur",IFERROR(INDEX('Paramètres'!$N:$N,MATCH($D422,'Paramètres'!$M:$M,0))&amp;"",""))),0,IF(OR(IFERROR(INDEX('Paramètres'!$I:$I,MATCH($C422,'Paramètres'!$D:$D,0))&amp;"","")="Les deux",IFERROR(INDEX('Paramètres'!$I:$I,MATCH($C422,'Paramètres'!$D:$D,0))&amp;"","")=IF($P422=1,"Débit",$L422)),-IF($P422=1,-$K422,$K422),0))))</f>
        <v>-49.81</v>
      </c>
      <c r="U422" s="6">
        <f>IF($K422="","",IF(ISNUMBER(SEARCH("sortie-epargne",IFERROR(INDEX('Paramètres'!$N:$N,MATCH($D422,'Paramètres'!$M:$M,0))&amp;"",""))),$K422,0))</f>
        <v>0</v>
      </c>
      <c r="V422" s="6" t="str">
        <f>IF(AND($A422&lt;&gt;"",$O422=1,$L422="Débit",N($Q422)&gt;0,$A422&gt;=Visualisation!$B$1,$A422&lt;Visualisation!$D$1),MAX($V$1:V421)+1,"")</f>
        <v/>
      </c>
    </row>
    <row r="423" spans="1:22" x14ac:dyDescent="0.25">
      <c r="A423" s="9">
        <v>45822</v>
      </c>
      <c r="B423" s="4" t="s">
        <v>69</v>
      </c>
      <c r="C423" s="4" t="s">
        <v>70</v>
      </c>
      <c r="D423" s="4" t="s">
        <v>71</v>
      </c>
      <c r="E423" s="10">
        <v>13.51</v>
      </c>
      <c r="G423" s="4" t="s">
        <v>72</v>
      </c>
      <c r="H423" s="4"/>
      <c r="I423" s="4" t="s">
        <v>79</v>
      </c>
      <c r="K423" s="11">
        <f>IF($E423="","",ROUND($E423*IF(ISNA(MATCH($C423,'Paramètres'!$D:$D,0)),1,IF(INDEX('Paramètres'!$J:$J,MATCH($C423,'Paramètres'!$D:$D,0))="",1,INDEX('Paramètres'!$J:$J,MATCH($C423,'Paramètres'!$D:$D,0)))),2))</f>
        <v>13.51</v>
      </c>
      <c r="L423" s="6" t="str">
        <f>IF($D423="","",IF($F423&lt;&gt;"",$F423,IF(ISNA(MATCH($D423,'Paramètres'!$M:$M,0)),"⚠ Type inconnu",IFERROR(INDEX('Paramètres'!$P:$P,MATCH($D423,'Paramètres'!$M:$M,0))&amp;"",""))))</f>
        <v>Débit</v>
      </c>
      <c r="M423" s="6" t="str">
        <f>IF($D423="","",IF(ISNA(MATCH($D423,'Paramètres'!$M:$M,0)),"⚠ Type inconnu",IF($L423="Crédit","",IFERROR(INDEX('Paramètres'!$O:$O,MATCH($D423,'Paramètres'!$M:$M,0))&amp;"",""))))</f>
        <v>Dépense Courante</v>
      </c>
      <c r="N423" s="6" t="str">
        <f>IF($D423="","",IFERROR(INDEX('Paramètres'!$Q:$Q,MATCH($D423,'Paramètres'!$M:$M,0))&amp;"",""))</f>
        <v>Alimentation</v>
      </c>
      <c r="O423" s="6">
        <f>IF($A423="","",IF(OR($J423&lt;&gt;"x",$A423&lt;=FinReleve),1,0))</f>
        <v>1</v>
      </c>
      <c r="P423" s="6">
        <f>IF($D423="","",IF(AND($L423="Crédit",OR(IFERROR(INDEX('Paramètres'!$O:$O,MATCH($D423,'Paramètres'!$M:$M,0))&amp;"","")&lt;&gt;"",ISNUMBER(SEARCH("remboursement",IFERROR(INDEX('Paramètres'!$N:$N,MATCH($D423,'Paramètres'!$M:$M,0))&amp;"",""))))),1,0))</f>
        <v>0</v>
      </c>
      <c r="Q423" s="6">
        <f>IF($K423="","",IF(ISNUMBER(SEARCH("transfert-interne",IFERROR(INDEX('Paramètres'!$N:$N,MATCH($D423,'Paramètres'!$M:$M,0))&amp;"",""))),0,IF($L423="Débit",$K423,IF($P423=1,-$K423,0))))</f>
        <v>13.51</v>
      </c>
      <c r="R423" s="6">
        <f>IF($K423="","",IF($L423="Crédit",$K423,-$K423))</f>
        <v>-13.51</v>
      </c>
      <c r="S423" s="6" t="str">
        <f>IF($C423="","",IFERROR(INDEX('Paramètres'!$H:$H,MATCH($C423,'Paramètres'!$D:$D,0))&amp;"",""))</f>
        <v/>
      </c>
      <c r="T423" s="6">
        <f>IF($K423="","",IF($S423="",0,IF(ISNUMBER(SEARCH("apport-exterieur",IFERROR(INDEX('Paramètres'!$N:$N,MATCH($D423,'Paramètres'!$M:$M,0))&amp;"",""))),0,IF(OR(IFERROR(INDEX('Paramètres'!$I:$I,MATCH($C423,'Paramètres'!$D:$D,0))&amp;"","")="Les deux",IFERROR(INDEX('Paramètres'!$I:$I,MATCH($C423,'Paramètres'!$D:$D,0))&amp;"","")=IF($P423=1,"Débit",$L423)),-IF($P423=1,-$K423,$K423),0))))</f>
        <v>0</v>
      </c>
      <c r="U423" s="6">
        <f>IF($K423="","",IF(ISNUMBER(SEARCH("sortie-epargne",IFERROR(INDEX('Paramètres'!$N:$N,MATCH($D423,'Paramètres'!$M:$M,0))&amp;"",""))),$K423,0))</f>
        <v>0</v>
      </c>
      <c r="V423" s="6" t="str">
        <f>IF(AND($A423&lt;&gt;"",$O423=1,$L423="Débit",N($Q423)&gt;0,$A423&gt;=Visualisation!$B$1,$A423&lt;Visualisation!$D$1),MAX($V$1:V422)+1,"")</f>
        <v/>
      </c>
    </row>
    <row r="424" spans="1:22" x14ac:dyDescent="0.25">
      <c r="A424" s="9">
        <v>45822</v>
      </c>
      <c r="B424" s="4" t="s">
        <v>123</v>
      </c>
      <c r="C424" s="4" t="s">
        <v>75</v>
      </c>
      <c r="D424" s="4" t="s">
        <v>124</v>
      </c>
      <c r="E424" s="10">
        <v>89.91</v>
      </c>
      <c r="G424" s="4" t="s">
        <v>125</v>
      </c>
      <c r="H424" s="4"/>
      <c r="I424" s="4" t="s">
        <v>93</v>
      </c>
      <c r="K424" s="11">
        <f>IF($E424="","",ROUND($E424*IF(ISNA(MATCH($C424,'Paramètres'!$D:$D,0)),1,IF(INDEX('Paramètres'!$J:$J,MATCH($C424,'Paramètres'!$D:$D,0))="",1,INDEX('Paramètres'!$J:$J,MATCH($C424,'Paramètres'!$D:$D,0)))),2))</f>
        <v>89.91</v>
      </c>
      <c r="L424" s="6" t="str">
        <f>IF($D424="","",IF($F424&lt;&gt;"",$F424,IF(ISNA(MATCH($D424,'Paramètres'!$M:$M,0)),"⚠ Type inconnu",IFERROR(INDEX('Paramètres'!$P:$P,MATCH($D424,'Paramètres'!$M:$M,0))&amp;"",""))))</f>
        <v>Débit</v>
      </c>
      <c r="M424" s="6" t="str">
        <f>IF($D424="","",IF(ISNA(MATCH($D424,'Paramètres'!$M:$M,0)),"⚠ Type inconnu",IF($L424="Crédit","",IFERROR(INDEX('Paramètres'!$O:$O,MATCH($D424,'Paramètres'!$M:$M,0))&amp;"",""))))</f>
        <v>Dépense Courante</v>
      </c>
      <c r="N424" s="6" t="str">
        <f>IF($D424="","",IFERROR(INDEX('Paramètres'!$Q:$Q,MATCH($D424,'Paramètres'!$M:$M,0))&amp;"",""))</f>
        <v>Habillement</v>
      </c>
      <c r="O424" s="6">
        <f>IF($A424="","",IF(OR($J424&lt;&gt;"x",$A424&lt;=FinReleve),1,0))</f>
        <v>1</v>
      </c>
      <c r="P424" s="6">
        <f>IF($D424="","",IF(AND($L424="Crédit",OR(IFERROR(INDEX('Paramètres'!$O:$O,MATCH($D424,'Paramètres'!$M:$M,0))&amp;"","")&lt;&gt;"",ISNUMBER(SEARCH("remboursement",IFERROR(INDEX('Paramètres'!$N:$N,MATCH($D424,'Paramètres'!$M:$M,0))&amp;"",""))))),1,0))</f>
        <v>0</v>
      </c>
      <c r="Q424" s="6">
        <f>IF($K424="","",IF(ISNUMBER(SEARCH("transfert-interne",IFERROR(INDEX('Paramètres'!$N:$N,MATCH($D424,'Paramètres'!$M:$M,0))&amp;"",""))),0,IF($L424="Débit",$K424,IF($P424=1,-$K424,0))))</f>
        <v>89.91</v>
      </c>
      <c r="R424" s="6">
        <f>IF($K424="","",IF($L424="Crédit",$K424,-$K424))</f>
        <v>-89.91</v>
      </c>
      <c r="S424" s="6" t="str">
        <f>IF($C424="","",IFERROR(INDEX('Paramètres'!$H:$H,MATCH($C424,'Paramètres'!$D:$D,0))&amp;"",""))</f>
        <v/>
      </c>
      <c r="T424" s="6">
        <f>IF($K424="","",IF($S424="",0,IF(ISNUMBER(SEARCH("apport-exterieur",IFERROR(INDEX('Paramètres'!$N:$N,MATCH($D424,'Paramètres'!$M:$M,0))&amp;"",""))),0,IF(OR(IFERROR(INDEX('Paramètres'!$I:$I,MATCH($C424,'Paramètres'!$D:$D,0))&amp;"","")="Les deux",IFERROR(INDEX('Paramètres'!$I:$I,MATCH($C424,'Paramètres'!$D:$D,0))&amp;"","")=IF($P424=1,"Débit",$L424)),-IF($P424=1,-$K424,$K424),0))))</f>
        <v>0</v>
      </c>
      <c r="U424" s="6">
        <f>IF($K424="","",IF(ISNUMBER(SEARCH("sortie-epargne",IFERROR(INDEX('Paramètres'!$N:$N,MATCH($D424,'Paramètres'!$M:$M,0))&amp;"",""))),$K424,0))</f>
        <v>0</v>
      </c>
      <c r="V424" s="6" t="str">
        <f>IF(AND($A424&lt;&gt;"",$O424=1,$L424="Débit",N($Q424)&gt;0,$A424&gt;=Visualisation!$B$1,$A424&lt;Visualisation!$D$1),MAX($V$1:V423)+1,"")</f>
        <v/>
      </c>
    </row>
    <row r="425" spans="1:22" x14ac:dyDescent="0.25">
      <c r="A425" s="9">
        <v>45822</v>
      </c>
      <c r="B425" s="4" t="s">
        <v>121</v>
      </c>
      <c r="C425" s="4" t="s">
        <v>126</v>
      </c>
      <c r="D425" s="4" t="s">
        <v>121</v>
      </c>
      <c r="E425" s="10">
        <v>32.14</v>
      </c>
      <c r="G425" s="4" t="s">
        <v>122</v>
      </c>
      <c r="H425" s="4"/>
      <c r="I425" s="4"/>
      <c r="K425" s="11">
        <f>IF($E425="","",ROUND($E425*IF(ISNA(MATCH($C425,'Paramètres'!$D:$D,0)),1,IF(INDEX('Paramètres'!$J:$J,MATCH($C425,'Paramètres'!$D:$D,0))="",1,INDEX('Paramètres'!$J:$J,MATCH($C425,'Paramètres'!$D:$D,0)))),2))</f>
        <v>16.07</v>
      </c>
      <c r="L425" s="6" t="str">
        <f>IF($D425="","",IF($F425&lt;&gt;"",$F425,IF(ISNA(MATCH($D425,'Paramètres'!$M:$M,0)),"⚠ Type inconnu",IFERROR(INDEX('Paramètres'!$P:$P,MATCH($D425,'Paramètres'!$M:$M,0))&amp;"",""))))</f>
        <v>Débit</v>
      </c>
      <c r="M425" s="6" t="str">
        <f>IF($D425="","",IF(ISNA(MATCH($D425,'Paramètres'!$M:$M,0)),"⚠ Type inconnu",IF($L425="Crédit","",IFERROR(INDEX('Paramètres'!$O:$O,MATCH($D425,'Paramètres'!$M:$M,0))&amp;"",""))))</f>
        <v>Dépense Occasionnelle</v>
      </c>
      <c r="N425" s="6" t="str">
        <f>IF($D425="","",IFERROR(INDEX('Paramètres'!$Q:$Q,MATCH($D425,'Paramètres'!$M:$M,0))&amp;"",""))</f>
        <v>Autre</v>
      </c>
      <c r="O425" s="6">
        <f>IF($A425="","",IF(OR($J425&lt;&gt;"x",$A425&lt;=FinReleve),1,0))</f>
        <v>1</v>
      </c>
      <c r="P425" s="6">
        <f>IF($D425="","",IF(AND($L425="Crédit",OR(IFERROR(INDEX('Paramètres'!$O:$O,MATCH($D425,'Paramètres'!$M:$M,0))&amp;"","")&lt;&gt;"",ISNUMBER(SEARCH("remboursement",IFERROR(INDEX('Paramètres'!$N:$N,MATCH($D425,'Paramètres'!$M:$M,0))&amp;"",""))))),1,0))</f>
        <v>0</v>
      </c>
      <c r="Q425" s="6">
        <f>IF($K425="","",IF(ISNUMBER(SEARCH("transfert-interne",IFERROR(INDEX('Paramètres'!$N:$N,MATCH($D425,'Paramètres'!$M:$M,0))&amp;"",""))),0,IF($L425="Débit",$K425,IF($P425=1,-$K425,0))))</f>
        <v>16.07</v>
      </c>
      <c r="R425" s="6">
        <f>IF($K425="","",IF($L425="Crédit",$K425,-$K425))</f>
        <v>-16.07</v>
      </c>
      <c r="S425" s="6" t="str">
        <f>IF($C425="","",IFERROR(INDEX('Paramètres'!$H:$H,MATCH($C425,'Paramètres'!$D:$D,0))&amp;"",""))</f>
        <v>Banque A - Courant</v>
      </c>
      <c r="T425" s="6">
        <f>IF($K425="","",IF($S425="",0,IF(ISNUMBER(SEARCH("apport-exterieur",IFERROR(INDEX('Paramètres'!$N:$N,MATCH($D425,'Paramètres'!$M:$M,0))&amp;"",""))),0,IF(OR(IFERROR(INDEX('Paramètres'!$I:$I,MATCH($C425,'Paramètres'!$D:$D,0))&amp;"","")="Les deux",IFERROR(INDEX('Paramètres'!$I:$I,MATCH($C425,'Paramètres'!$D:$D,0))&amp;"","")=IF($P425=1,"Débit",$L425)),-IF($P425=1,-$K425,$K425),0))))</f>
        <v>-16.07</v>
      </c>
      <c r="U425" s="6">
        <f>IF($K425="","",IF(ISNUMBER(SEARCH("sortie-epargne",IFERROR(INDEX('Paramètres'!$N:$N,MATCH($D425,'Paramètres'!$M:$M,0))&amp;"",""))),$K425,0))</f>
        <v>0</v>
      </c>
      <c r="V425" s="6" t="str">
        <f>IF(AND($A425&lt;&gt;"",$O425=1,$L425="Débit",N($Q425)&gt;0,$A425&gt;=Visualisation!$B$1,$A425&lt;Visualisation!$D$1),MAX($V$1:V424)+1,"")</f>
        <v/>
      </c>
    </row>
    <row r="426" spans="1:22" x14ac:dyDescent="0.25">
      <c r="A426" s="9">
        <v>45822</v>
      </c>
      <c r="B426" s="4" t="s">
        <v>105</v>
      </c>
      <c r="C426" s="4" t="s">
        <v>75</v>
      </c>
      <c r="D426" s="4" t="s">
        <v>106</v>
      </c>
      <c r="E426" s="10">
        <v>207.11</v>
      </c>
      <c r="G426" s="4"/>
      <c r="H426" s="4"/>
      <c r="I426" s="4"/>
      <c r="K426" s="11">
        <f>IF($E426="","",ROUND($E426*IF(ISNA(MATCH($C426,'Paramètres'!$D:$D,0)),1,IF(INDEX('Paramètres'!$J:$J,MATCH($C426,'Paramètres'!$D:$D,0))="",1,INDEX('Paramètres'!$J:$J,MATCH($C426,'Paramètres'!$D:$D,0)))),2))</f>
        <v>207.11</v>
      </c>
      <c r="L426" s="6" t="str">
        <f>IF($D426="","",IF($F426&lt;&gt;"",$F426,IF(ISNA(MATCH($D426,'Paramètres'!$M:$M,0)),"⚠ Type inconnu",IFERROR(INDEX('Paramètres'!$P:$P,MATCH($D426,'Paramètres'!$M:$M,0))&amp;"",""))))</f>
        <v>Débit</v>
      </c>
      <c r="M426" s="6" t="str">
        <f>IF($D426="","",IF(ISNA(MATCH($D426,'Paramètres'!$M:$M,0)),"⚠ Type inconnu",IF($L426="Crédit","",IFERROR(INDEX('Paramètres'!$O:$O,MATCH($D426,'Paramètres'!$M:$M,0))&amp;"",""))))</f>
        <v/>
      </c>
      <c r="N426" s="6" t="str">
        <f>IF($D426="","",IFERROR(INDEX('Paramètres'!$Q:$Q,MATCH($D426,'Paramètres'!$M:$M,0))&amp;"",""))</f>
        <v>Comptes Bancaires</v>
      </c>
      <c r="O426" s="6">
        <f>IF($A426="","",IF(OR($J426&lt;&gt;"x",$A426&lt;=FinReleve),1,0))</f>
        <v>1</v>
      </c>
      <c r="P426" s="6">
        <f>IF($D426="","",IF(AND($L426="Crédit",OR(IFERROR(INDEX('Paramètres'!$O:$O,MATCH($D426,'Paramètres'!$M:$M,0))&amp;"","")&lt;&gt;"",ISNUMBER(SEARCH("remboursement",IFERROR(INDEX('Paramètres'!$N:$N,MATCH($D426,'Paramètres'!$M:$M,0))&amp;"",""))))),1,0))</f>
        <v>0</v>
      </c>
      <c r="Q426" s="6">
        <f>IF($K426="","",IF(ISNUMBER(SEARCH("transfert-interne",IFERROR(INDEX('Paramètres'!$N:$N,MATCH($D426,'Paramètres'!$M:$M,0))&amp;"",""))),0,IF($L426="Débit",$K426,IF($P426=1,-$K426,0))))</f>
        <v>207.11</v>
      </c>
      <c r="R426" s="6">
        <f>IF($K426="","",IF($L426="Crédit",$K426,-$K426))</f>
        <v>-207.11</v>
      </c>
      <c r="S426" s="6" t="str">
        <f>IF($C426="","",IFERROR(INDEX('Paramètres'!$H:$H,MATCH($C426,'Paramètres'!$D:$D,0))&amp;"",""))</f>
        <v/>
      </c>
      <c r="T426" s="6">
        <f>IF($K426="","",IF($S426="",0,IF(ISNUMBER(SEARCH("apport-exterieur",IFERROR(INDEX('Paramètres'!$N:$N,MATCH($D426,'Paramètres'!$M:$M,0))&amp;"",""))),0,IF(OR(IFERROR(INDEX('Paramètres'!$I:$I,MATCH($C426,'Paramètres'!$D:$D,0))&amp;"","")="Les deux",IFERROR(INDEX('Paramètres'!$I:$I,MATCH($C426,'Paramètres'!$D:$D,0))&amp;"","")=IF($P426=1,"Débit",$L426)),-IF($P426=1,-$K426,$K426),0))))</f>
        <v>0</v>
      </c>
      <c r="U426" s="6">
        <f>IF($K426="","",IF(ISNUMBER(SEARCH("sortie-epargne",IFERROR(INDEX('Paramètres'!$N:$N,MATCH($D426,'Paramètres'!$M:$M,0))&amp;"",""))),$K426,0))</f>
        <v>0</v>
      </c>
      <c r="V426" s="6" t="str">
        <f>IF(AND($A426&lt;&gt;"",$O426=1,$L426="Débit",N($Q426)&gt;0,$A426&gt;=Visualisation!$B$1,$A426&lt;Visualisation!$D$1),MAX($V$1:V425)+1,"")</f>
        <v/>
      </c>
    </row>
    <row r="427" spans="1:22" x14ac:dyDescent="0.25">
      <c r="A427" s="9">
        <v>45823</v>
      </c>
      <c r="B427" s="4" t="s">
        <v>100</v>
      </c>
      <c r="C427" s="4" t="s">
        <v>65</v>
      </c>
      <c r="D427" s="4" t="s">
        <v>100</v>
      </c>
      <c r="E427" s="10">
        <v>68.95</v>
      </c>
      <c r="G427" s="4"/>
      <c r="H427" s="4"/>
      <c r="I427" s="4"/>
      <c r="K427" s="11">
        <f>IF($E427="","",ROUND($E427*IF(ISNA(MATCH($C427,'Paramètres'!$D:$D,0)),1,IF(INDEX('Paramètres'!$J:$J,MATCH($C427,'Paramètres'!$D:$D,0))="",1,INDEX('Paramètres'!$J:$J,MATCH($C427,'Paramètres'!$D:$D,0)))),2))</f>
        <v>68.95</v>
      </c>
      <c r="L427" s="6" t="str">
        <f>IF($D427="","",IF($F427&lt;&gt;"",$F427,IF(ISNA(MATCH($D427,'Paramètres'!$M:$M,0)),"⚠ Type inconnu",IFERROR(INDEX('Paramètres'!$P:$P,MATCH($D427,'Paramètres'!$M:$M,0))&amp;"",""))))</f>
        <v>Débit</v>
      </c>
      <c r="M427" s="6" t="str">
        <f>IF($D427="","",IF(ISNA(MATCH($D427,'Paramètres'!$M:$M,0)),"⚠ Type inconnu",IF($L427="Crédit","",IFERROR(INDEX('Paramètres'!$O:$O,MATCH($D427,'Paramètres'!$M:$M,0))&amp;"",""))))</f>
        <v>Dépense Fixe</v>
      </c>
      <c r="N427" s="6" t="str">
        <f>IF($D427="","",IFERROR(INDEX('Paramètres'!$Q:$Q,MATCH($D427,'Paramètres'!$M:$M,0))&amp;"",""))</f>
        <v>Immobilier</v>
      </c>
      <c r="O427" s="6">
        <f>IF($A427="","",IF(OR($J427&lt;&gt;"x",$A427&lt;=FinReleve),1,0))</f>
        <v>1</v>
      </c>
      <c r="P427" s="6">
        <f>IF($D427="","",IF(AND($L427="Crédit",OR(IFERROR(INDEX('Paramètres'!$O:$O,MATCH($D427,'Paramètres'!$M:$M,0))&amp;"","")&lt;&gt;"",ISNUMBER(SEARCH("remboursement",IFERROR(INDEX('Paramètres'!$N:$N,MATCH($D427,'Paramètres'!$M:$M,0))&amp;"",""))))),1,0))</f>
        <v>0</v>
      </c>
      <c r="Q427" s="6">
        <f>IF($K427="","",IF(ISNUMBER(SEARCH("transfert-interne",IFERROR(INDEX('Paramètres'!$N:$N,MATCH($D427,'Paramètres'!$M:$M,0))&amp;"",""))),0,IF($L427="Débit",$K427,IF($P427=1,-$K427,0))))</f>
        <v>68.95</v>
      </c>
      <c r="R427" s="6">
        <f>IF($K427="","",IF($L427="Crédit",$K427,-$K427))</f>
        <v>-68.95</v>
      </c>
      <c r="S427" s="6" t="str">
        <f>IF($C427="","",IFERROR(INDEX('Paramètres'!$H:$H,MATCH($C427,'Paramètres'!$D:$D,0))&amp;"",""))</f>
        <v>Banque A - Courant</v>
      </c>
      <c r="T427" s="6">
        <f>IF($K427="","",IF($S427="",0,IF(ISNUMBER(SEARCH("apport-exterieur",IFERROR(INDEX('Paramètres'!$N:$N,MATCH($D427,'Paramètres'!$M:$M,0))&amp;"",""))),0,IF(OR(IFERROR(INDEX('Paramètres'!$I:$I,MATCH($C427,'Paramètres'!$D:$D,0))&amp;"","")="Les deux",IFERROR(INDEX('Paramètres'!$I:$I,MATCH($C427,'Paramètres'!$D:$D,0))&amp;"","")=IF($P427=1,"Débit",$L427)),-IF($P427=1,-$K427,$K427),0))))</f>
        <v>0</v>
      </c>
      <c r="U427" s="6">
        <f>IF($K427="","",IF(ISNUMBER(SEARCH("sortie-epargne",IFERROR(INDEX('Paramètres'!$N:$N,MATCH($D427,'Paramètres'!$M:$M,0))&amp;"",""))),$K427,0))</f>
        <v>0</v>
      </c>
      <c r="V427" s="6" t="str">
        <f>IF(AND($A427&lt;&gt;"",$O427=1,$L427="Débit",N($Q427)&gt;0,$A427&gt;=Visualisation!$B$1,$A427&lt;Visualisation!$D$1),MAX($V$1:V426)+1,"")</f>
        <v/>
      </c>
    </row>
    <row r="428" spans="1:22" x14ac:dyDescent="0.25">
      <c r="A428" s="9">
        <v>45823</v>
      </c>
      <c r="B428" s="4" t="s">
        <v>129</v>
      </c>
      <c r="C428" s="4" t="s">
        <v>126</v>
      </c>
      <c r="D428" s="4" t="s">
        <v>130</v>
      </c>
      <c r="E428" s="10">
        <v>42.78</v>
      </c>
      <c r="G428" s="4"/>
      <c r="H428" s="4"/>
      <c r="I428" s="4"/>
      <c r="K428" s="11">
        <f>IF($E428="","",ROUND($E428*IF(ISNA(MATCH($C428,'Paramètres'!$D:$D,0)),1,IF(INDEX('Paramètres'!$J:$J,MATCH($C428,'Paramètres'!$D:$D,0))="",1,INDEX('Paramètres'!$J:$J,MATCH($C428,'Paramètres'!$D:$D,0)))),2))</f>
        <v>21.39</v>
      </c>
      <c r="L428" s="6" t="str">
        <f>IF($D428="","",IF($F428&lt;&gt;"",$F428,IF(ISNA(MATCH($D428,'Paramètres'!$M:$M,0)),"⚠ Type inconnu",IFERROR(INDEX('Paramètres'!$P:$P,MATCH($D428,'Paramètres'!$M:$M,0))&amp;"",""))))</f>
        <v>Débit</v>
      </c>
      <c r="M428" s="6" t="str">
        <f>IF($D428="","",IF(ISNA(MATCH($D428,'Paramètres'!$M:$M,0)),"⚠ Type inconnu",IF($L428="Crédit","",IFERROR(INDEX('Paramètres'!$O:$O,MATCH($D428,'Paramètres'!$M:$M,0))&amp;"",""))))</f>
        <v/>
      </c>
      <c r="N428" s="6" t="str">
        <f>IF($D428="","",IFERROR(INDEX('Paramètres'!$Q:$Q,MATCH($D428,'Paramètres'!$M:$M,0))&amp;"",""))</f>
        <v>Comptes Bancaires</v>
      </c>
      <c r="O428" s="6">
        <f>IF($A428="","",IF(OR($J428&lt;&gt;"x",$A428&lt;=FinReleve),1,0))</f>
        <v>1</v>
      </c>
      <c r="P428" s="6">
        <f>IF($D428="","",IF(AND($L428="Crédit",OR(IFERROR(INDEX('Paramètres'!$O:$O,MATCH($D428,'Paramètres'!$M:$M,0))&amp;"","")&lt;&gt;"",ISNUMBER(SEARCH("remboursement",IFERROR(INDEX('Paramètres'!$N:$N,MATCH($D428,'Paramètres'!$M:$M,0))&amp;"",""))))),1,0))</f>
        <v>0</v>
      </c>
      <c r="Q428" s="6">
        <f>IF($K428="","",IF(ISNUMBER(SEARCH("transfert-interne",IFERROR(INDEX('Paramètres'!$N:$N,MATCH($D428,'Paramètres'!$M:$M,0))&amp;"",""))),0,IF($L428="Débit",$K428,IF($P428=1,-$K428,0))))</f>
        <v>21.39</v>
      </c>
      <c r="R428" s="6">
        <f>IF($K428="","",IF($L428="Crédit",$K428,-$K428))</f>
        <v>-21.39</v>
      </c>
      <c r="S428" s="6" t="str">
        <f>IF($C428="","",IFERROR(INDEX('Paramètres'!$H:$H,MATCH($C428,'Paramètres'!$D:$D,0))&amp;"",""))</f>
        <v>Banque A - Courant</v>
      </c>
      <c r="T428" s="6">
        <f>IF($K428="","",IF($S428="",0,IF(ISNUMBER(SEARCH("apport-exterieur",IFERROR(INDEX('Paramètres'!$N:$N,MATCH($D428,'Paramètres'!$M:$M,0))&amp;"",""))),0,IF(OR(IFERROR(INDEX('Paramètres'!$I:$I,MATCH($C428,'Paramètres'!$D:$D,0))&amp;"","")="Les deux",IFERROR(INDEX('Paramètres'!$I:$I,MATCH($C428,'Paramètres'!$D:$D,0))&amp;"","")=IF($P428=1,"Débit",$L428)),-IF($P428=1,-$K428,$K428),0))))</f>
        <v>-21.39</v>
      </c>
      <c r="U428" s="6">
        <f>IF($K428="","",IF(ISNUMBER(SEARCH("sortie-epargne",IFERROR(INDEX('Paramètres'!$N:$N,MATCH($D428,'Paramètres'!$M:$M,0))&amp;"",""))),$K428,0))</f>
        <v>0</v>
      </c>
      <c r="V428" s="6" t="str">
        <f>IF(AND($A428&lt;&gt;"",$O428=1,$L428="Débit",N($Q428)&gt;0,$A428&gt;=Visualisation!$B$1,$A428&lt;Visualisation!$D$1),MAX($V$1:V427)+1,"")</f>
        <v/>
      </c>
    </row>
    <row r="429" spans="1:22" x14ac:dyDescent="0.25">
      <c r="A429" s="9">
        <v>45824</v>
      </c>
      <c r="B429" s="4" t="s">
        <v>76</v>
      </c>
      <c r="C429" s="4" t="s">
        <v>67</v>
      </c>
      <c r="D429" s="4" t="s">
        <v>77</v>
      </c>
      <c r="E429" s="10">
        <v>32.62</v>
      </c>
      <c r="G429" s="4" t="s">
        <v>95</v>
      </c>
      <c r="H429" s="4"/>
      <c r="I429" s="4" t="s">
        <v>93</v>
      </c>
      <c r="K429" s="11">
        <f>IF($E429="","",ROUND($E429*IF(ISNA(MATCH($C429,'Paramètres'!$D:$D,0)),1,IF(INDEX('Paramètres'!$J:$J,MATCH($C429,'Paramètres'!$D:$D,0))="",1,INDEX('Paramètres'!$J:$J,MATCH($C429,'Paramètres'!$D:$D,0)))),2))</f>
        <v>16.31</v>
      </c>
      <c r="L429" s="6" t="str">
        <f>IF($D429="","",IF($F429&lt;&gt;"",$F429,IF(ISNA(MATCH($D429,'Paramètres'!$M:$M,0)),"⚠ Type inconnu",IFERROR(INDEX('Paramètres'!$P:$P,MATCH($D429,'Paramètres'!$M:$M,0))&amp;"",""))))</f>
        <v>Débit</v>
      </c>
      <c r="M429" s="6" t="str">
        <f>IF($D429="","",IF(ISNA(MATCH($D429,'Paramètres'!$M:$M,0)),"⚠ Type inconnu",IF($L429="Crédit","",IFERROR(INDEX('Paramètres'!$O:$O,MATCH($D429,'Paramètres'!$M:$M,0))&amp;"",""))))</f>
        <v>Dépense Courante</v>
      </c>
      <c r="N429" s="6" t="str">
        <f>IF($D429="","",IFERROR(INDEX('Paramètres'!$Q:$Q,MATCH($D429,'Paramètres'!$M:$M,0))&amp;"",""))</f>
        <v>Alimentation</v>
      </c>
      <c r="O429" s="6">
        <f>IF($A429="","",IF(OR($J429&lt;&gt;"x",$A429&lt;=FinReleve),1,0))</f>
        <v>1</v>
      </c>
      <c r="P429" s="6">
        <f>IF($D429="","",IF(AND($L429="Crédit",OR(IFERROR(INDEX('Paramètres'!$O:$O,MATCH($D429,'Paramètres'!$M:$M,0))&amp;"","")&lt;&gt;"",ISNUMBER(SEARCH("remboursement",IFERROR(INDEX('Paramètres'!$N:$N,MATCH($D429,'Paramètres'!$M:$M,0))&amp;"",""))))),1,0))</f>
        <v>0</v>
      </c>
      <c r="Q429" s="6">
        <f>IF($K429="","",IF(ISNUMBER(SEARCH("transfert-interne",IFERROR(INDEX('Paramètres'!$N:$N,MATCH($D429,'Paramètres'!$M:$M,0))&amp;"",""))),0,IF($L429="Débit",$K429,IF($P429=1,-$K429,0))))</f>
        <v>16.31</v>
      </c>
      <c r="R429" s="6">
        <f>IF($K429="","",IF($L429="Crédit",$K429,-$K429))</f>
        <v>-16.31</v>
      </c>
      <c r="S429" s="6" t="str">
        <f>IF($C429="","",IFERROR(INDEX('Paramètres'!$H:$H,MATCH($C429,'Paramètres'!$D:$D,0))&amp;"",""))</f>
        <v>Banque A - Courant</v>
      </c>
      <c r="T429" s="6">
        <f>IF($K429="","",IF($S429="",0,IF(ISNUMBER(SEARCH("apport-exterieur",IFERROR(INDEX('Paramètres'!$N:$N,MATCH($D429,'Paramètres'!$M:$M,0))&amp;"",""))),0,IF(OR(IFERROR(INDEX('Paramètres'!$I:$I,MATCH($C429,'Paramètres'!$D:$D,0))&amp;"","")="Les deux",IFERROR(INDEX('Paramètres'!$I:$I,MATCH($C429,'Paramètres'!$D:$D,0))&amp;"","")=IF($P429=1,"Débit",$L429)),-IF($P429=1,-$K429,$K429),0))))</f>
        <v>0</v>
      </c>
      <c r="U429" s="6">
        <f>IF($K429="","",IF(ISNUMBER(SEARCH("sortie-epargne",IFERROR(INDEX('Paramètres'!$N:$N,MATCH($D429,'Paramètres'!$M:$M,0))&amp;"",""))),$K429,0))</f>
        <v>0</v>
      </c>
      <c r="V429" s="6" t="str">
        <f>IF(AND($A429&lt;&gt;"",$O429=1,$L429="Débit",N($Q429)&gt;0,$A429&gt;=Visualisation!$B$1,$A429&lt;Visualisation!$D$1),MAX($V$1:V428)+1,"")</f>
        <v/>
      </c>
    </row>
    <row r="430" spans="1:22" x14ac:dyDescent="0.25">
      <c r="A430" s="9">
        <v>45824</v>
      </c>
      <c r="B430" s="4" t="s">
        <v>76</v>
      </c>
      <c r="C430" s="4" t="s">
        <v>60</v>
      </c>
      <c r="D430" s="4" t="s">
        <v>77</v>
      </c>
      <c r="E430" s="10">
        <v>48.62</v>
      </c>
      <c r="G430" s="4" t="s">
        <v>95</v>
      </c>
      <c r="H430" s="4"/>
      <c r="I430" s="4" t="s">
        <v>73</v>
      </c>
      <c r="K430" s="11">
        <f>IF($E430="","",ROUND($E430*IF(ISNA(MATCH($C430,'Paramètres'!$D:$D,0)),1,IF(INDEX('Paramètres'!$J:$J,MATCH($C430,'Paramètres'!$D:$D,0))="",1,INDEX('Paramètres'!$J:$J,MATCH($C430,'Paramètres'!$D:$D,0)))),2))</f>
        <v>24.31</v>
      </c>
      <c r="L430" s="6" t="str">
        <f>IF($D430="","",IF($F430&lt;&gt;"",$F430,IF(ISNA(MATCH($D430,'Paramètres'!$M:$M,0)),"⚠ Type inconnu",IFERROR(INDEX('Paramètres'!$P:$P,MATCH($D430,'Paramètres'!$M:$M,0))&amp;"",""))))</f>
        <v>Débit</v>
      </c>
      <c r="M430" s="6" t="str">
        <f>IF($D430="","",IF(ISNA(MATCH($D430,'Paramètres'!$M:$M,0)),"⚠ Type inconnu",IF($L430="Crédit","",IFERROR(INDEX('Paramètres'!$O:$O,MATCH($D430,'Paramètres'!$M:$M,0))&amp;"",""))))</f>
        <v>Dépense Courante</v>
      </c>
      <c r="N430" s="6" t="str">
        <f>IF($D430="","",IFERROR(INDEX('Paramètres'!$Q:$Q,MATCH($D430,'Paramètres'!$M:$M,0))&amp;"",""))</f>
        <v>Alimentation</v>
      </c>
      <c r="O430" s="6">
        <f>IF($A430="","",IF(OR($J430&lt;&gt;"x",$A430&lt;=FinReleve),1,0))</f>
        <v>1</v>
      </c>
      <c r="P430" s="6">
        <f>IF($D430="","",IF(AND($L430="Crédit",OR(IFERROR(INDEX('Paramètres'!$O:$O,MATCH($D430,'Paramètres'!$M:$M,0))&amp;"","")&lt;&gt;"",ISNUMBER(SEARCH("remboursement",IFERROR(INDEX('Paramètres'!$N:$N,MATCH($D430,'Paramètres'!$M:$M,0))&amp;"",""))))),1,0))</f>
        <v>0</v>
      </c>
      <c r="Q430" s="6">
        <f>IF($K430="","",IF(ISNUMBER(SEARCH("transfert-interne",IFERROR(INDEX('Paramètres'!$N:$N,MATCH($D430,'Paramètres'!$M:$M,0))&amp;"",""))),0,IF($L430="Débit",$K430,IF($P430=1,-$K430,0))))</f>
        <v>24.31</v>
      </c>
      <c r="R430" s="6">
        <f>IF($K430="","",IF($L430="Crédit",$K430,-$K430))</f>
        <v>-24.31</v>
      </c>
      <c r="S430" s="6" t="str">
        <f>IF($C430="","",IFERROR(INDEX('Paramètres'!$H:$H,MATCH($C430,'Paramètres'!$D:$D,0))&amp;"",""))</f>
        <v>Banque A - Courant</v>
      </c>
      <c r="T430" s="6">
        <f>IF($K430="","",IF($S430="",0,IF(ISNUMBER(SEARCH("apport-exterieur",IFERROR(INDEX('Paramètres'!$N:$N,MATCH($D430,'Paramètres'!$M:$M,0))&amp;"",""))),0,IF(OR(IFERROR(INDEX('Paramètres'!$I:$I,MATCH($C430,'Paramètres'!$D:$D,0))&amp;"","")="Les deux",IFERROR(INDEX('Paramètres'!$I:$I,MATCH($C430,'Paramètres'!$D:$D,0))&amp;"","")=IF($P430=1,"Débit",$L430)),-IF($P430=1,-$K430,$K430),0))))</f>
        <v>-24.31</v>
      </c>
      <c r="U430" s="6">
        <f>IF($K430="","",IF(ISNUMBER(SEARCH("sortie-epargne",IFERROR(INDEX('Paramètres'!$N:$N,MATCH($D430,'Paramètres'!$M:$M,0))&amp;"",""))),$K430,0))</f>
        <v>0</v>
      </c>
      <c r="V430" s="6" t="str">
        <f>IF(AND($A430&lt;&gt;"",$O430=1,$L430="Débit",N($Q430)&gt;0,$A430&gt;=Visualisation!$B$1,$A430&lt;Visualisation!$D$1),MAX($V$1:V429)+1,"")</f>
        <v/>
      </c>
    </row>
    <row r="431" spans="1:22" x14ac:dyDescent="0.25">
      <c r="A431" s="9">
        <v>45824</v>
      </c>
      <c r="B431" s="4" t="s">
        <v>59</v>
      </c>
      <c r="C431" s="4" t="s">
        <v>126</v>
      </c>
      <c r="D431" s="4" t="s">
        <v>59</v>
      </c>
      <c r="E431" s="10">
        <v>83.84</v>
      </c>
      <c r="G431" s="4" t="s">
        <v>99</v>
      </c>
      <c r="H431" s="4"/>
      <c r="I431" s="4"/>
      <c r="K431" s="11">
        <f>IF($E431="","",ROUND($E431*IF(ISNA(MATCH($C431,'Paramètres'!$D:$D,0)),1,IF(INDEX('Paramètres'!$J:$J,MATCH($C431,'Paramètres'!$D:$D,0))="",1,INDEX('Paramètres'!$J:$J,MATCH($C431,'Paramètres'!$D:$D,0)))),2))</f>
        <v>41.92</v>
      </c>
      <c r="L431" s="6" t="str">
        <f>IF($D431="","",IF($F431&lt;&gt;"",$F431,IF(ISNA(MATCH($D431,'Paramètres'!$M:$M,0)),"⚠ Type inconnu",IFERROR(INDEX('Paramètres'!$P:$P,MATCH($D431,'Paramètres'!$M:$M,0))&amp;"",""))))</f>
        <v>Débit</v>
      </c>
      <c r="M431" s="6" t="str">
        <f>IF($D431="","",IF(ISNA(MATCH($D431,'Paramètres'!$M:$M,0)),"⚠ Type inconnu",IF($L431="Crédit","",IFERROR(INDEX('Paramètres'!$O:$O,MATCH($D431,'Paramètres'!$M:$M,0))&amp;"",""))))</f>
        <v>Dépense Occasionnelle</v>
      </c>
      <c r="N431" s="6" t="str">
        <f>IF($D431="","",IFERROR(INDEX('Paramètres'!$Q:$Q,MATCH($D431,'Paramètres'!$M:$M,0))&amp;"",""))</f>
        <v>Loisir</v>
      </c>
      <c r="O431" s="6">
        <f>IF($A431="","",IF(OR($J431&lt;&gt;"x",$A431&lt;=FinReleve),1,0))</f>
        <v>1</v>
      </c>
      <c r="P431" s="6">
        <f>IF($D431="","",IF(AND($L431="Crédit",OR(IFERROR(INDEX('Paramètres'!$O:$O,MATCH($D431,'Paramètres'!$M:$M,0))&amp;"","")&lt;&gt;"",ISNUMBER(SEARCH("remboursement",IFERROR(INDEX('Paramètres'!$N:$N,MATCH($D431,'Paramètres'!$M:$M,0))&amp;"",""))))),1,0))</f>
        <v>0</v>
      </c>
      <c r="Q431" s="6">
        <f>IF($K431="","",IF(ISNUMBER(SEARCH("transfert-interne",IFERROR(INDEX('Paramètres'!$N:$N,MATCH($D431,'Paramètres'!$M:$M,0))&amp;"",""))),0,IF($L431="Débit",$K431,IF($P431=1,-$K431,0))))</f>
        <v>41.92</v>
      </c>
      <c r="R431" s="6">
        <f>IF($K431="","",IF($L431="Crédit",$K431,-$K431))</f>
        <v>-41.92</v>
      </c>
      <c r="S431" s="6" t="str">
        <f>IF($C431="","",IFERROR(INDEX('Paramètres'!$H:$H,MATCH($C431,'Paramètres'!$D:$D,0))&amp;"",""))</f>
        <v>Banque A - Courant</v>
      </c>
      <c r="T431" s="6">
        <f>IF($K431="","",IF($S431="",0,IF(ISNUMBER(SEARCH("apport-exterieur",IFERROR(INDEX('Paramètres'!$N:$N,MATCH($D431,'Paramètres'!$M:$M,0))&amp;"",""))),0,IF(OR(IFERROR(INDEX('Paramètres'!$I:$I,MATCH($C431,'Paramètres'!$D:$D,0))&amp;"","")="Les deux",IFERROR(INDEX('Paramètres'!$I:$I,MATCH($C431,'Paramètres'!$D:$D,0))&amp;"","")=IF($P431=1,"Débit",$L431)),-IF($P431=1,-$K431,$K431),0))))</f>
        <v>-41.92</v>
      </c>
      <c r="U431" s="6">
        <f>IF($K431="","",IF(ISNUMBER(SEARCH("sortie-epargne",IFERROR(INDEX('Paramètres'!$N:$N,MATCH($D431,'Paramètres'!$M:$M,0))&amp;"",""))),$K431,0))</f>
        <v>0</v>
      </c>
      <c r="V431" s="6" t="str">
        <f>IF(AND($A431&lt;&gt;"",$O431=1,$L431="Débit",N($Q431)&gt;0,$A431&gt;=Visualisation!$B$1,$A431&lt;Visualisation!$D$1),MAX($V$1:V430)+1,"")</f>
        <v/>
      </c>
    </row>
    <row r="432" spans="1:22" x14ac:dyDescent="0.25">
      <c r="A432" s="9">
        <v>45824</v>
      </c>
      <c r="B432" s="4" t="s">
        <v>59</v>
      </c>
      <c r="C432" s="4" t="s">
        <v>60</v>
      </c>
      <c r="D432" s="4" t="s">
        <v>59</v>
      </c>
      <c r="E432" s="10">
        <v>20.06</v>
      </c>
      <c r="G432" s="4" t="s">
        <v>134</v>
      </c>
      <c r="H432" s="4"/>
      <c r="I432" s="4" t="s">
        <v>63</v>
      </c>
      <c r="K432" s="11">
        <f>IF($E432="","",ROUND($E432*IF(ISNA(MATCH($C432,'Paramètres'!$D:$D,0)),1,IF(INDEX('Paramètres'!$J:$J,MATCH($C432,'Paramètres'!$D:$D,0))="",1,INDEX('Paramètres'!$J:$J,MATCH($C432,'Paramètres'!$D:$D,0)))),2))</f>
        <v>10.03</v>
      </c>
      <c r="L432" s="6" t="str">
        <f>IF($D432="","",IF($F432&lt;&gt;"",$F432,IF(ISNA(MATCH($D432,'Paramètres'!$M:$M,0)),"⚠ Type inconnu",IFERROR(INDEX('Paramètres'!$P:$P,MATCH($D432,'Paramètres'!$M:$M,0))&amp;"",""))))</f>
        <v>Débit</v>
      </c>
      <c r="M432" s="6" t="str">
        <f>IF($D432="","",IF(ISNA(MATCH($D432,'Paramètres'!$M:$M,0)),"⚠ Type inconnu",IF($L432="Crédit","",IFERROR(INDEX('Paramètres'!$O:$O,MATCH($D432,'Paramètres'!$M:$M,0))&amp;"",""))))</f>
        <v>Dépense Occasionnelle</v>
      </c>
      <c r="N432" s="6" t="str">
        <f>IF($D432="","",IFERROR(INDEX('Paramètres'!$Q:$Q,MATCH($D432,'Paramètres'!$M:$M,0))&amp;"",""))</f>
        <v>Loisir</v>
      </c>
      <c r="O432" s="6">
        <f>IF($A432="","",IF(OR($J432&lt;&gt;"x",$A432&lt;=FinReleve),1,0))</f>
        <v>1</v>
      </c>
      <c r="P432" s="6">
        <f>IF($D432="","",IF(AND($L432="Crédit",OR(IFERROR(INDEX('Paramètres'!$O:$O,MATCH($D432,'Paramètres'!$M:$M,0))&amp;"","")&lt;&gt;"",ISNUMBER(SEARCH("remboursement",IFERROR(INDEX('Paramètres'!$N:$N,MATCH($D432,'Paramètres'!$M:$M,0))&amp;"",""))))),1,0))</f>
        <v>0</v>
      </c>
      <c r="Q432" s="6">
        <f>IF($K432="","",IF(ISNUMBER(SEARCH("transfert-interne",IFERROR(INDEX('Paramètres'!$N:$N,MATCH($D432,'Paramètres'!$M:$M,0))&amp;"",""))),0,IF($L432="Débit",$K432,IF($P432=1,-$K432,0))))</f>
        <v>10.03</v>
      </c>
      <c r="R432" s="6">
        <f>IF($K432="","",IF($L432="Crédit",$K432,-$K432))</f>
        <v>-10.03</v>
      </c>
      <c r="S432" s="6" t="str">
        <f>IF($C432="","",IFERROR(INDEX('Paramètres'!$H:$H,MATCH($C432,'Paramètres'!$D:$D,0))&amp;"",""))</f>
        <v>Banque A - Courant</v>
      </c>
      <c r="T432" s="6">
        <f>IF($K432="","",IF($S432="",0,IF(ISNUMBER(SEARCH("apport-exterieur",IFERROR(INDEX('Paramètres'!$N:$N,MATCH($D432,'Paramètres'!$M:$M,0))&amp;"",""))),0,IF(OR(IFERROR(INDEX('Paramètres'!$I:$I,MATCH($C432,'Paramètres'!$D:$D,0))&amp;"","")="Les deux",IFERROR(INDEX('Paramètres'!$I:$I,MATCH($C432,'Paramètres'!$D:$D,0))&amp;"","")=IF($P432=1,"Débit",$L432)),-IF($P432=1,-$K432,$K432),0))))</f>
        <v>-10.03</v>
      </c>
      <c r="U432" s="6">
        <f>IF($K432="","",IF(ISNUMBER(SEARCH("sortie-epargne",IFERROR(INDEX('Paramètres'!$N:$N,MATCH($D432,'Paramètres'!$M:$M,0))&amp;"",""))),$K432,0))</f>
        <v>0</v>
      </c>
      <c r="V432" s="6" t="str">
        <f>IF(AND($A432&lt;&gt;"",$O432=1,$L432="Débit",N($Q432)&gt;0,$A432&gt;=Visualisation!$B$1,$A432&lt;Visualisation!$D$1),MAX($V$1:V431)+1,"")</f>
        <v/>
      </c>
    </row>
    <row r="433" spans="1:22" x14ac:dyDescent="0.25">
      <c r="A433" s="9">
        <v>45825</v>
      </c>
      <c r="B433" s="4" t="s">
        <v>69</v>
      </c>
      <c r="C433" s="4" t="s">
        <v>70</v>
      </c>
      <c r="D433" s="4" t="s">
        <v>71</v>
      </c>
      <c r="E433" s="10">
        <v>12.22</v>
      </c>
      <c r="G433" s="4" t="s">
        <v>72</v>
      </c>
      <c r="H433" s="4"/>
      <c r="I433" s="4" t="s">
        <v>63</v>
      </c>
      <c r="K433" s="11">
        <f>IF($E433="","",ROUND($E433*IF(ISNA(MATCH($C433,'Paramètres'!$D:$D,0)),1,IF(INDEX('Paramètres'!$J:$J,MATCH($C433,'Paramètres'!$D:$D,0))="",1,INDEX('Paramètres'!$J:$J,MATCH($C433,'Paramètres'!$D:$D,0)))),2))</f>
        <v>12.22</v>
      </c>
      <c r="L433" s="6" t="str">
        <f>IF($D433="","",IF($F433&lt;&gt;"",$F433,IF(ISNA(MATCH($D433,'Paramètres'!$M:$M,0)),"⚠ Type inconnu",IFERROR(INDEX('Paramètres'!$P:$P,MATCH($D433,'Paramètres'!$M:$M,0))&amp;"",""))))</f>
        <v>Débit</v>
      </c>
      <c r="M433" s="6" t="str">
        <f>IF($D433="","",IF(ISNA(MATCH($D433,'Paramètres'!$M:$M,0)),"⚠ Type inconnu",IF($L433="Crédit","",IFERROR(INDEX('Paramètres'!$O:$O,MATCH($D433,'Paramètres'!$M:$M,0))&amp;"",""))))</f>
        <v>Dépense Courante</v>
      </c>
      <c r="N433" s="6" t="str">
        <f>IF($D433="","",IFERROR(INDEX('Paramètres'!$Q:$Q,MATCH($D433,'Paramètres'!$M:$M,0))&amp;"",""))</f>
        <v>Alimentation</v>
      </c>
      <c r="O433" s="6">
        <f>IF($A433="","",IF(OR($J433&lt;&gt;"x",$A433&lt;=FinReleve),1,0))</f>
        <v>1</v>
      </c>
      <c r="P433" s="6">
        <f>IF($D433="","",IF(AND($L433="Crédit",OR(IFERROR(INDEX('Paramètres'!$O:$O,MATCH($D433,'Paramètres'!$M:$M,0))&amp;"","")&lt;&gt;"",ISNUMBER(SEARCH("remboursement",IFERROR(INDEX('Paramètres'!$N:$N,MATCH($D433,'Paramètres'!$M:$M,0))&amp;"",""))))),1,0))</f>
        <v>0</v>
      </c>
      <c r="Q433" s="6">
        <f>IF($K433="","",IF(ISNUMBER(SEARCH("transfert-interne",IFERROR(INDEX('Paramètres'!$N:$N,MATCH($D433,'Paramètres'!$M:$M,0))&amp;"",""))),0,IF($L433="Débit",$K433,IF($P433=1,-$K433,0))))</f>
        <v>12.22</v>
      </c>
      <c r="R433" s="6">
        <f>IF($K433="","",IF($L433="Crédit",$K433,-$K433))</f>
        <v>-12.22</v>
      </c>
      <c r="S433" s="6" t="str">
        <f>IF($C433="","",IFERROR(INDEX('Paramètres'!$H:$H,MATCH($C433,'Paramètres'!$D:$D,0))&amp;"",""))</f>
        <v/>
      </c>
      <c r="T433" s="6">
        <f>IF($K433="","",IF($S433="",0,IF(ISNUMBER(SEARCH("apport-exterieur",IFERROR(INDEX('Paramètres'!$N:$N,MATCH($D433,'Paramètres'!$M:$M,0))&amp;"",""))),0,IF(OR(IFERROR(INDEX('Paramètres'!$I:$I,MATCH($C433,'Paramètres'!$D:$D,0))&amp;"","")="Les deux",IFERROR(INDEX('Paramètres'!$I:$I,MATCH($C433,'Paramètres'!$D:$D,0))&amp;"","")=IF($P433=1,"Débit",$L433)),-IF($P433=1,-$K433,$K433),0))))</f>
        <v>0</v>
      </c>
      <c r="U433" s="6">
        <f>IF($K433="","",IF(ISNUMBER(SEARCH("sortie-epargne",IFERROR(INDEX('Paramètres'!$N:$N,MATCH($D433,'Paramètres'!$M:$M,0))&amp;"",""))),$K433,0))</f>
        <v>0</v>
      </c>
      <c r="V433" s="6" t="str">
        <f>IF(AND($A433&lt;&gt;"",$O433=1,$L433="Débit",N($Q433)&gt;0,$A433&gt;=Visualisation!$B$1,$A433&lt;Visualisation!$D$1),MAX($V$1:V432)+1,"")</f>
        <v/>
      </c>
    </row>
    <row r="434" spans="1:22" x14ac:dyDescent="0.25">
      <c r="A434" s="9">
        <v>45826</v>
      </c>
      <c r="B434" s="4" t="s">
        <v>103</v>
      </c>
      <c r="C434" s="4" t="s">
        <v>75</v>
      </c>
      <c r="D434" s="4" t="s">
        <v>103</v>
      </c>
      <c r="E434" s="10">
        <v>212</v>
      </c>
      <c r="G434" s="4"/>
      <c r="H434" s="4"/>
      <c r="I434" s="4"/>
      <c r="K434" s="11">
        <f>IF($E434="","",ROUND($E434*IF(ISNA(MATCH($C434,'Paramètres'!$D:$D,0)),1,IF(INDEX('Paramètres'!$J:$J,MATCH($C434,'Paramètres'!$D:$D,0))="",1,INDEX('Paramètres'!$J:$J,MATCH($C434,'Paramètres'!$D:$D,0)))),2))</f>
        <v>212</v>
      </c>
      <c r="L434" s="6" t="str">
        <f>IF($D434="","",IF($F434&lt;&gt;"",$F434,IF(ISNA(MATCH($D434,'Paramètres'!$M:$M,0)),"⚠ Type inconnu",IFERROR(INDEX('Paramètres'!$P:$P,MATCH($D434,'Paramètres'!$M:$M,0))&amp;"",""))))</f>
        <v>Débit</v>
      </c>
      <c r="M434" s="6" t="str">
        <f>IF($D434="","",IF(ISNA(MATCH($D434,'Paramètres'!$M:$M,0)),"⚠ Type inconnu",IF($L434="Crédit","",IFERROR(INDEX('Paramètres'!$O:$O,MATCH($D434,'Paramètres'!$M:$M,0))&amp;"",""))))</f>
        <v>Dépense Fixe</v>
      </c>
      <c r="N434" s="6" t="str">
        <f>IF($D434="","",IFERROR(INDEX('Paramètres'!$Q:$Q,MATCH($D434,'Paramètres'!$M:$M,0))&amp;"",""))</f>
        <v>Impots</v>
      </c>
      <c r="O434" s="6">
        <f>IF($A434="","",IF(OR($J434&lt;&gt;"x",$A434&lt;=FinReleve),1,0))</f>
        <v>1</v>
      </c>
      <c r="P434" s="6">
        <f>IF($D434="","",IF(AND($L434="Crédit",OR(IFERROR(INDEX('Paramètres'!$O:$O,MATCH($D434,'Paramètres'!$M:$M,0))&amp;"","")&lt;&gt;"",ISNUMBER(SEARCH("remboursement",IFERROR(INDEX('Paramètres'!$N:$N,MATCH($D434,'Paramètres'!$M:$M,0))&amp;"",""))))),1,0))</f>
        <v>0</v>
      </c>
      <c r="Q434" s="6">
        <f>IF($K434="","",IF(ISNUMBER(SEARCH("transfert-interne",IFERROR(INDEX('Paramètres'!$N:$N,MATCH($D434,'Paramètres'!$M:$M,0))&amp;"",""))),0,IF($L434="Débit",$K434,IF($P434=1,-$K434,0))))</f>
        <v>212</v>
      </c>
      <c r="R434" s="6">
        <f>IF($K434="","",IF($L434="Crédit",$K434,-$K434))</f>
        <v>-212</v>
      </c>
      <c r="S434" s="6" t="str">
        <f>IF($C434="","",IFERROR(INDEX('Paramètres'!$H:$H,MATCH($C434,'Paramètres'!$D:$D,0))&amp;"",""))</f>
        <v/>
      </c>
      <c r="T434" s="6">
        <f>IF($K434="","",IF($S434="",0,IF(ISNUMBER(SEARCH("apport-exterieur",IFERROR(INDEX('Paramètres'!$N:$N,MATCH($D434,'Paramètres'!$M:$M,0))&amp;"",""))),0,IF(OR(IFERROR(INDEX('Paramètres'!$I:$I,MATCH($C434,'Paramètres'!$D:$D,0))&amp;"","")="Les deux",IFERROR(INDEX('Paramètres'!$I:$I,MATCH($C434,'Paramètres'!$D:$D,0))&amp;"","")=IF($P434=1,"Débit",$L434)),-IF($P434=1,-$K434,$K434),0))))</f>
        <v>0</v>
      </c>
      <c r="U434" s="6">
        <f>IF($K434="","",IF(ISNUMBER(SEARCH("sortie-epargne",IFERROR(INDEX('Paramètres'!$N:$N,MATCH($D434,'Paramètres'!$M:$M,0))&amp;"",""))),$K434,0))</f>
        <v>0</v>
      </c>
      <c r="V434" s="6" t="str">
        <f>IF(AND($A434&lt;&gt;"",$O434=1,$L434="Débit",N($Q434)&gt;0,$A434&gt;=Visualisation!$B$1,$A434&lt;Visualisation!$D$1),MAX($V$1:V433)+1,"")</f>
        <v/>
      </c>
    </row>
    <row r="435" spans="1:22" x14ac:dyDescent="0.25">
      <c r="A435" s="9">
        <v>45826</v>
      </c>
      <c r="B435" s="4" t="s">
        <v>76</v>
      </c>
      <c r="C435" s="4" t="s">
        <v>67</v>
      </c>
      <c r="D435" s="4" t="s">
        <v>77</v>
      </c>
      <c r="E435" s="10">
        <v>144.58</v>
      </c>
      <c r="G435" s="4" t="s">
        <v>102</v>
      </c>
      <c r="H435" s="4"/>
      <c r="I435" s="4" t="s">
        <v>79</v>
      </c>
      <c r="K435" s="11">
        <f>IF($E435="","",ROUND($E435*IF(ISNA(MATCH($C435,'Paramètres'!$D:$D,0)),1,IF(INDEX('Paramètres'!$J:$J,MATCH($C435,'Paramètres'!$D:$D,0))="",1,INDEX('Paramètres'!$J:$J,MATCH($C435,'Paramètres'!$D:$D,0)))),2))</f>
        <v>72.29</v>
      </c>
      <c r="L435" s="6" t="str">
        <f>IF($D435="","",IF($F435&lt;&gt;"",$F435,IF(ISNA(MATCH($D435,'Paramètres'!$M:$M,0)),"⚠ Type inconnu",IFERROR(INDEX('Paramètres'!$P:$P,MATCH($D435,'Paramètres'!$M:$M,0))&amp;"",""))))</f>
        <v>Débit</v>
      </c>
      <c r="M435" s="6" t="str">
        <f>IF($D435="","",IF(ISNA(MATCH($D435,'Paramètres'!$M:$M,0)),"⚠ Type inconnu",IF($L435="Crédit","",IFERROR(INDEX('Paramètres'!$O:$O,MATCH($D435,'Paramètres'!$M:$M,0))&amp;"",""))))</f>
        <v>Dépense Courante</v>
      </c>
      <c r="N435" s="6" t="str">
        <f>IF($D435="","",IFERROR(INDEX('Paramètres'!$Q:$Q,MATCH($D435,'Paramètres'!$M:$M,0))&amp;"",""))</f>
        <v>Alimentation</v>
      </c>
      <c r="O435" s="6">
        <f>IF($A435="","",IF(OR($J435&lt;&gt;"x",$A435&lt;=FinReleve),1,0))</f>
        <v>1</v>
      </c>
      <c r="P435" s="6">
        <f>IF($D435="","",IF(AND($L435="Crédit",OR(IFERROR(INDEX('Paramètres'!$O:$O,MATCH($D435,'Paramètres'!$M:$M,0))&amp;"","")&lt;&gt;"",ISNUMBER(SEARCH("remboursement",IFERROR(INDEX('Paramètres'!$N:$N,MATCH($D435,'Paramètres'!$M:$M,0))&amp;"",""))))),1,0))</f>
        <v>0</v>
      </c>
      <c r="Q435" s="6">
        <f>IF($K435="","",IF(ISNUMBER(SEARCH("transfert-interne",IFERROR(INDEX('Paramètres'!$N:$N,MATCH($D435,'Paramètres'!$M:$M,0))&amp;"",""))),0,IF($L435="Débit",$K435,IF($P435=1,-$K435,0))))</f>
        <v>72.29</v>
      </c>
      <c r="R435" s="6">
        <f>IF($K435="","",IF($L435="Crédit",$K435,-$K435))</f>
        <v>-72.29</v>
      </c>
      <c r="S435" s="6" t="str">
        <f>IF($C435="","",IFERROR(INDEX('Paramètres'!$H:$H,MATCH($C435,'Paramètres'!$D:$D,0))&amp;"",""))</f>
        <v>Banque A - Courant</v>
      </c>
      <c r="T435" s="6">
        <f>IF($K435="","",IF($S435="",0,IF(ISNUMBER(SEARCH("apport-exterieur",IFERROR(INDEX('Paramètres'!$N:$N,MATCH($D435,'Paramètres'!$M:$M,0))&amp;"",""))),0,IF(OR(IFERROR(INDEX('Paramètres'!$I:$I,MATCH($C435,'Paramètres'!$D:$D,0))&amp;"","")="Les deux",IFERROR(INDEX('Paramètres'!$I:$I,MATCH($C435,'Paramètres'!$D:$D,0))&amp;"","")=IF($P435=1,"Débit",$L435)),-IF($P435=1,-$K435,$K435),0))))</f>
        <v>0</v>
      </c>
      <c r="U435" s="6">
        <f>IF($K435="","",IF(ISNUMBER(SEARCH("sortie-epargne",IFERROR(INDEX('Paramètres'!$N:$N,MATCH($D435,'Paramètres'!$M:$M,0))&amp;"",""))),$K435,0))</f>
        <v>0</v>
      </c>
      <c r="V435" s="6" t="str">
        <f>IF(AND($A435&lt;&gt;"",$O435=1,$L435="Débit",N($Q435)&gt;0,$A435&gt;=Visualisation!$B$1,$A435&lt;Visualisation!$D$1),MAX($V$1:V434)+1,"")</f>
        <v/>
      </c>
    </row>
    <row r="436" spans="1:22" x14ac:dyDescent="0.25">
      <c r="A436" s="9">
        <v>45826</v>
      </c>
      <c r="B436" s="4" t="s">
        <v>69</v>
      </c>
      <c r="C436" s="4" t="s">
        <v>70</v>
      </c>
      <c r="D436" s="4" t="s">
        <v>71</v>
      </c>
      <c r="E436" s="10">
        <v>7.7</v>
      </c>
      <c r="G436" s="4" t="s">
        <v>72</v>
      </c>
      <c r="H436" s="4"/>
      <c r="I436" s="4" t="s">
        <v>73</v>
      </c>
      <c r="K436" s="11">
        <f>IF($E436="","",ROUND($E436*IF(ISNA(MATCH($C436,'Paramètres'!$D:$D,0)),1,IF(INDEX('Paramètres'!$J:$J,MATCH($C436,'Paramètres'!$D:$D,0))="",1,INDEX('Paramètres'!$J:$J,MATCH($C436,'Paramètres'!$D:$D,0)))),2))</f>
        <v>7.7</v>
      </c>
      <c r="L436" s="6" t="str">
        <f>IF($D436="","",IF($F436&lt;&gt;"",$F436,IF(ISNA(MATCH($D436,'Paramètres'!$M:$M,0)),"⚠ Type inconnu",IFERROR(INDEX('Paramètres'!$P:$P,MATCH($D436,'Paramètres'!$M:$M,0))&amp;"",""))))</f>
        <v>Débit</v>
      </c>
      <c r="M436" s="6" t="str">
        <f>IF($D436="","",IF(ISNA(MATCH($D436,'Paramètres'!$M:$M,0)),"⚠ Type inconnu",IF($L436="Crédit","",IFERROR(INDEX('Paramètres'!$O:$O,MATCH($D436,'Paramètres'!$M:$M,0))&amp;"",""))))</f>
        <v>Dépense Courante</v>
      </c>
      <c r="N436" s="6" t="str">
        <f>IF($D436="","",IFERROR(INDEX('Paramètres'!$Q:$Q,MATCH($D436,'Paramètres'!$M:$M,0))&amp;"",""))</f>
        <v>Alimentation</v>
      </c>
      <c r="O436" s="6">
        <f>IF($A436="","",IF(OR($J436&lt;&gt;"x",$A436&lt;=FinReleve),1,0))</f>
        <v>1</v>
      </c>
      <c r="P436" s="6">
        <f>IF($D436="","",IF(AND($L436="Crédit",OR(IFERROR(INDEX('Paramètres'!$O:$O,MATCH($D436,'Paramètres'!$M:$M,0))&amp;"","")&lt;&gt;"",ISNUMBER(SEARCH("remboursement",IFERROR(INDEX('Paramètres'!$N:$N,MATCH($D436,'Paramètres'!$M:$M,0))&amp;"",""))))),1,0))</f>
        <v>0</v>
      </c>
      <c r="Q436" s="6">
        <f>IF($K436="","",IF(ISNUMBER(SEARCH("transfert-interne",IFERROR(INDEX('Paramètres'!$N:$N,MATCH($D436,'Paramètres'!$M:$M,0))&amp;"",""))),0,IF($L436="Débit",$K436,IF($P436=1,-$K436,0))))</f>
        <v>7.7</v>
      </c>
      <c r="R436" s="6">
        <f>IF($K436="","",IF($L436="Crédit",$K436,-$K436))</f>
        <v>-7.7</v>
      </c>
      <c r="S436" s="6" t="str">
        <f>IF($C436="","",IFERROR(INDEX('Paramètres'!$H:$H,MATCH($C436,'Paramètres'!$D:$D,0))&amp;"",""))</f>
        <v/>
      </c>
      <c r="T436" s="6">
        <f>IF($K436="","",IF($S436="",0,IF(ISNUMBER(SEARCH("apport-exterieur",IFERROR(INDEX('Paramètres'!$N:$N,MATCH($D436,'Paramètres'!$M:$M,0))&amp;"",""))),0,IF(OR(IFERROR(INDEX('Paramètres'!$I:$I,MATCH($C436,'Paramètres'!$D:$D,0))&amp;"","")="Les deux",IFERROR(INDEX('Paramètres'!$I:$I,MATCH($C436,'Paramètres'!$D:$D,0))&amp;"","")=IF($P436=1,"Débit",$L436)),-IF($P436=1,-$K436,$K436),0))))</f>
        <v>0</v>
      </c>
      <c r="U436" s="6">
        <f>IF($K436="","",IF(ISNUMBER(SEARCH("sortie-epargne",IFERROR(INDEX('Paramètres'!$N:$N,MATCH($D436,'Paramètres'!$M:$M,0))&amp;"",""))),$K436,0))</f>
        <v>0</v>
      </c>
      <c r="V436" s="6" t="str">
        <f>IF(AND($A436&lt;&gt;"",$O436=1,$L436="Débit",N($Q436)&gt;0,$A436&gt;=Visualisation!$B$1,$A436&lt;Visualisation!$D$1),MAX($V$1:V435)+1,"")</f>
        <v/>
      </c>
    </row>
    <row r="437" spans="1:22" x14ac:dyDescent="0.25">
      <c r="A437" s="9">
        <v>45826</v>
      </c>
      <c r="B437" s="4" t="s">
        <v>121</v>
      </c>
      <c r="C437" s="4" t="s">
        <v>60</v>
      </c>
      <c r="D437" s="4" t="s">
        <v>121</v>
      </c>
      <c r="E437" s="10">
        <v>92.2</v>
      </c>
      <c r="G437" s="4" t="s">
        <v>119</v>
      </c>
      <c r="H437" s="4"/>
      <c r="I437" s="4" t="s">
        <v>79</v>
      </c>
      <c r="K437" s="11">
        <f>IF($E437="","",ROUND($E437*IF(ISNA(MATCH($C437,'Paramètres'!$D:$D,0)),1,IF(INDEX('Paramètres'!$J:$J,MATCH($C437,'Paramètres'!$D:$D,0))="",1,INDEX('Paramètres'!$J:$J,MATCH($C437,'Paramètres'!$D:$D,0)))),2))</f>
        <v>46.1</v>
      </c>
      <c r="L437" s="6" t="str">
        <f>IF($D437="","",IF($F437&lt;&gt;"",$F437,IF(ISNA(MATCH($D437,'Paramètres'!$M:$M,0)),"⚠ Type inconnu",IFERROR(INDEX('Paramètres'!$P:$P,MATCH($D437,'Paramètres'!$M:$M,0))&amp;"",""))))</f>
        <v>Débit</v>
      </c>
      <c r="M437" s="6" t="str">
        <f>IF($D437="","",IF(ISNA(MATCH($D437,'Paramètres'!$M:$M,0)),"⚠ Type inconnu",IF($L437="Crédit","",IFERROR(INDEX('Paramètres'!$O:$O,MATCH($D437,'Paramètres'!$M:$M,0))&amp;"",""))))</f>
        <v>Dépense Occasionnelle</v>
      </c>
      <c r="N437" s="6" t="str">
        <f>IF($D437="","",IFERROR(INDEX('Paramètres'!$Q:$Q,MATCH($D437,'Paramètres'!$M:$M,0))&amp;"",""))</f>
        <v>Autre</v>
      </c>
      <c r="O437" s="6">
        <f>IF($A437="","",IF(OR($J437&lt;&gt;"x",$A437&lt;=FinReleve),1,0))</f>
        <v>1</v>
      </c>
      <c r="P437" s="6">
        <f>IF($D437="","",IF(AND($L437="Crédit",OR(IFERROR(INDEX('Paramètres'!$O:$O,MATCH($D437,'Paramètres'!$M:$M,0))&amp;"","")&lt;&gt;"",ISNUMBER(SEARCH("remboursement",IFERROR(INDEX('Paramètres'!$N:$N,MATCH($D437,'Paramètres'!$M:$M,0))&amp;"",""))))),1,0))</f>
        <v>0</v>
      </c>
      <c r="Q437" s="6">
        <f>IF($K437="","",IF(ISNUMBER(SEARCH("transfert-interne",IFERROR(INDEX('Paramètres'!$N:$N,MATCH($D437,'Paramètres'!$M:$M,0))&amp;"",""))),0,IF($L437="Débit",$K437,IF($P437=1,-$K437,0))))</f>
        <v>46.1</v>
      </c>
      <c r="R437" s="6">
        <f>IF($K437="","",IF($L437="Crédit",$K437,-$K437))</f>
        <v>-46.1</v>
      </c>
      <c r="S437" s="6" t="str">
        <f>IF($C437="","",IFERROR(INDEX('Paramètres'!$H:$H,MATCH($C437,'Paramètres'!$D:$D,0))&amp;"",""))</f>
        <v>Banque A - Courant</v>
      </c>
      <c r="T437" s="6">
        <f>IF($K437="","",IF($S437="",0,IF(ISNUMBER(SEARCH("apport-exterieur",IFERROR(INDEX('Paramètres'!$N:$N,MATCH($D437,'Paramètres'!$M:$M,0))&amp;"",""))),0,IF(OR(IFERROR(INDEX('Paramètres'!$I:$I,MATCH($C437,'Paramètres'!$D:$D,0))&amp;"","")="Les deux",IFERROR(INDEX('Paramètres'!$I:$I,MATCH($C437,'Paramètres'!$D:$D,0))&amp;"","")=IF($P437=1,"Débit",$L437)),-IF($P437=1,-$K437,$K437),0))))</f>
        <v>-46.1</v>
      </c>
      <c r="U437" s="6">
        <f>IF($K437="","",IF(ISNUMBER(SEARCH("sortie-epargne",IFERROR(INDEX('Paramètres'!$N:$N,MATCH($D437,'Paramètres'!$M:$M,0))&amp;"",""))),$K437,0))</f>
        <v>0</v>
      </c>
      <c r="V437" s="6" t="str">
        <f>IF(AND($A437&lt;&gt;"",$O437=1,$L437="Débit",N($Q437)&gt;0,$A437&gt;=Visualisation!$B$1,$A437&lt;Visualisation!$D$1),MAX($V$1:V436)+1,"")</f>
        <v/>
      </c>
    </row>
    <row r="438" spans="1:22" x14ac:dyDescent="0.25">
      <c r="A438" s="9">
        <v>45827</v>
      </c>
      <c r="B438" s="4" t="s">
        <v>76</v>
      </c>
      <c r="C438" s="4" t="s">
        <v>60</v>
      </c>
      <c r="D438" s="4" t="s">
        <v>77</v>
      </c>
      <c r="E438" s="10">
        <v>107.34</v>
      </c>
      <c r="G438" s="4" t="s">
        <v>102</v>
      </c>
      <c r="H438" s="4"/>
      <c r="I438" s="4" t="s">
        <v>63</v>
      </c>
      <c r="K438" s="11">
        <f>IF($E438="","",ROUND($E438*IF(ISNA(MATCH($C438,'Paramètres'!$D:$D,0)),1,IF(INDEX('Paramètres'!$J:$J,MATCH($C438,'Paramètres'!$D:$D,0))="",1,INDEX('Paramètres'!$J:$J,MATCH($C438,'Paramètres'!$D:$D,0)))),2))</f>
        <v>53.67</v>
      </c>
      <c r="L438" s="6" t="str">
        <f>IF($D438="","",IF($F438&lt;&gt;"",$F438,IF(ISNA(MATCH($D438,'Paramètres'!$M:$M,0)),"⚠ Type inconnu",IFERROR(INDEX('Paramètres'!$P:$P,MATCH($D438,'Paramètres'!$M:$M,0))&amp;"",""))))</f>
        <v>Débit</v>
      </c>
      <c r="M438" s="6" t="str">
        <f>IF($D438="","",IF(ISNA(MATCH($D438,'Paramètres'!$M:$M,0)),"⚠ Type inconnu",IF($L438="Crédit","",IFERROR(INDEX('Paramètres'!$O:$O,MATCH($D438,'Paramètres'!$M:$M,0))&amp;"",""))))</f>
        <v>Dépense Courante</v>
      </c>
      <c r="N438" s="6" t="str">
        <f>IF($D438="","",IFERROR(INDEX('Paramètres'!$Q:$Q,MATCH($D438,'Paramètres'!$M:$M,0))&amp;"",""))</f>
        <v>Alimentation</v>
      </c>
      <c r="O438" s="6">
        <f>IF($A438="","",IF(OR($J438&lt;&gt;"x",$A438&lt;=FinReleve),1,0))</f>
        <v>1</v>
      </c>
      <c r="P438" s="6">
        <f>IF($D438="","",IF(AND($L438="Crédit",OR(IFERROR(INDEX('Paramètres'!$O:$O,MATCH($D438,'Paramètres'!$M:$M,0))&amp;"","")&lt;&gt;"",ISNUMBER(SEARCH("remboursement",IFERROR(INDEX('Paramètres'!$N:$N,MATCH($D438,'Paramètres'!$M:$M,0))&amp;"",""))))),1,0))</f>
        <v>0</v>
      </c>
      <c r="Q438" s="6">
        <f>IF($K438="","",IF(ISNUMBER(SEARCH("transfert-interne",IFERROR(INDEX('Paramètres'!$N:$N,MATCH($D438,'Paramètres'!$M:$M,0))&amp;"",""))),0,IF($L438="Débit",$K438,IF($P438=1,-$K438,0))))</f>
        <v>53.67</v>
      </c>
      <c r="R438" s="6">
        <f>IF($K438="","",IF($L438="Crédit",$K438,-$K438))</f>
        <v>-53.67</v>
      </c>
      <c r="S438" s="6" t="str">
        <f>IF($C438="","",IFERROR(INDEX('Paramètres'!$H:$H,MATCH($C438,'Paramètres'!$D:$D,0))&amp;"",""))</f>
        <v>Banque A - Courant</v>
      </c>
      <c r="T438" s="6">
        <f>IF($K438="","",IF($S438="",0,IF(ISNUMBER(SEARCH("apport-exterieur",IFERROR(INDEX('Paramètres'!$N:$N,MATCH($D438,'Paramètres'!$M:$M,0))&amp;"",""))),0,IF(OR(IFERROR(INDEX('Paramètres'!$I:$I,MATCH($C438,'Paramètres'!$D:$D,0))&amp;"","")="Les deux",IFERROR(INDEX('Paramètres'!$I:$I,MATCH($C438,'Paramètres'!$D:$D,0))&amp;"","")=IF($P438=1,"Débit",$L438)),-IF($P438=1,-$K438,$K438),0))))</f>
        <v>-53.67</v>
      </c>
      <c r="U438" s="6">
        <f>IF($K438="","",IF(ISNUMBER(SEARCH("sortie-epargne",IFERROR(INDEX('Paramètres'!$N:$N,MATCH($D438,'Paramètres'!$M:$M,0))&amp;"",""))),$K438,0))</f>
        <v>0</v>
      </c>
      <c r="V438" s="6" t="str">
        <f>IF(AND($A438&lt;&gt;"",$O438=1,$L438="Débit",N($Q438)&gt;0,$A438&gt;=Visualisation!$B$1,$A438&lt;Visualisation!$D$1),MAX($V$1:V437)+1,"")</f>
        <v/>
      </c>
    </row>
    <row r="439" spans="1:22" x14ac:dyDescent="0.25">
      <c r="A439" s="9">
        <v>45830</v>
      </c>
      <c r="B439" s="4" t="s">
        <v>76</v>
      </c>
      <c r="C439" s="4" t="s">
        <v>67</v>
      </c>
      <c r="D439" s="4" t="s">
        <v>77</v>
      </c>
      <c r="E439" s="10">
        <v>153</v>
      </c>
      <c r="G439" s="4" t="s">
        <v>78</v>
      </c>
      <c r="H439" s="4"/>
      <c r="I439" s="4" t="s">
        <v>93</v>
      </c>
      <c r="K439" s="11">
        <f>IF($E439="","",ROUND($E439*IF(ISNA(MATCH($C439,'Paramètres'!$D:$D,0)),1,IF(INDEX('Paramètres'!$J:$J,MATCH($C439,'Paramètres'!$D:$D,0))="",1,INDEX('Paramètres'!$J:$J,MATCH($C439,'Paramètres'!$D:$D,0)))),2))</f>
        <v>76.5</v>
      </c>
      <c r="L439" s="6" t="str">
        <f>IF($D439="","",IF($F439&lt;&gt;"",$F439,IF(ISNA(MATCH($D439,'Paramètres'!$M:$M,0)),"⚠ Type inconnu",IFERROR(INDEX('Paramètres'!$P:$P,MATCH($D439,'Paramètres'!$M:$M,0))&amp;"",""))))</f>
        <v>Débit</v>
      </c>
      <c r="M439" s="6" t="str">
        <f>IF($D439="","",IF(ISNA(MATCH($D439,'Paramètres'!$M:$M,0)),"⚠ Type inconnu",IF($L439="Crédit","",IFERROR(INDEX('Paramètres'!$O:$O,MATCH($D439,'Paramètres'!$M:$M,0))&amp;"",""))))</f>
        <v>Dépense Courante</v>
      </c>
      <c r="N439" s="6" t="str">
        <f>IF($D439="","",IFERROR(INDEX('Paramètres'!$Q:$Q,MATCH($D439,'Paramètres'!$M:$M,0))&amp;"",""))</f>
        <v>Alimentation</v>
      </c>
      <c r="O439" s="6">
        <f>IF($A439="","",IF(OR($J439&lt;&gt;"x",$A439&lt;=FinReleve),1,0))</f>
        <v>1</v>
      </c>
      <c r="P439" s="6">
        <f>IF($D439="","",IF(AND($L439="Crédit",OR(IFERROR(INDEX('Paramètres'!$O:$O,MATCH($D439,'Paramètres'!$M:$M,0))&amp;"","")&lt;&gt;"",ISNUMBER(SEARCH("remboursement",IFERROR(INDEX('Paramètres'!$N:$N,MATCH($D439,'Paramètres'!$M:$M,0))&amp;"",""))))),1,0))</f>
        <v>0</v>
      </c>
      <c r="Q439" s="6">
        <f>IF($K439="","",IF(ISNUMBER(SEARCH("transfert-interne",IFERROR(INDEX('Paramètres'!$N:$N,MATCH($D439,'Paramètres'!$M:$M,0))&amp;"",""))),0,IF($L439="Débit",$K439,IF($P439=1,-$K439,0))))</f>
        <v>76.5</v>
      </c>
      <c r="R439" s="6">
        <f>IF($K439="","",IF($L439="Crédit",$K439,-$K439))</f>
        <v>-76.5</v>
      </c>
      <c r="S439" s="6" t="str">
        <f>IF($C439="","",IFERROR(INDEX('Paramètres'!$H:$H,MATCH($C439,'Paramètres'!$D:$D,0))&amp;"",""))</f>
        <v>Banque A - Courant</v>
      </c>
      <c r="T439" s="6">
        <f>IF($K439="","",IF($S439="",0,IF(ISNUMBER(SEARCH("apport-exterieur",IFERROR(INDEX('Paramètres'!$N:$N,MATCH($D439,'Paramètres'!$M:$M,0))&amp;"",""))),0,IF(OR(IFERROR(INDEX('Paramètres'!$I:$I,MATCH($C439,'Paramètres'!$D:$D,0))&amp;"","")="Les deux",IFERROR(INDEX('Paramètres'!$I:$I,MATCH($C439,'Paramètres'!$D:$D,0))&amp;"","")=IF($P439=1,"Débit",$L439)),-IF($P439=1,-$K439,$K439),0))))</f>
        <v>0</v>
      </c>
      <c r="U439" s="6">
        <f>IF($K439="","",IF(ISNUMBER(SEARCH("sortie-epargne",IFERROR(INDEX('Paramètres'!$N:$N,MATCH($D439,'Paramètres'!$M:$M,0))&amp;"",""))),$K439,0))</f>
        <v>0</v>
      </c>
      <c r="V439" s="6" t="str">
        <f>IF(AND($A439&lt;&gt;"",$O439=1,$L439="Débit",N($Q439)&gt;0,$A439&gt;=Visualisation!$B$1,$A439&lt;Visualisation!$D$1),MAX($V$1:V438)+1,"")</f>
        <v/>
      </c>
    </row>
    <row r="440" spans="1:22" x14ac:dyDescent="0.25">
      <c r="A440" s="9">
        <v>45830</v>
      </c>
      <c r="B440" s="4" t="s">
        <v>76</v>
      </c>
      <c r="C440" s="4" t="s">
        <v>67</v>
      </c>
      <c r="D440" s="4" t="s">
        <v>77</v>
      </c>
      <c r="E440" s="10">
        <v>151.28</v>
      </c>
      <c r="G440" s="4" t="s">
        <v>78</v>
      </c>
      <c r="H440" s="4"/>
      <c r="I440" s="4" t="s">
        <v>73</v>
      </c>
      <c r="K440" s="11">
        <f>IF($E440="","",ROUND($E440*IF(ISNA(MATCH($C440,'Paramètres'!$D:$D,0)),1,IF(INDEX('Paramètres'!$J:$J,MATCH($C440,'Paramètres'!$D:$D,0))="",1,INDEX('Paramètres'!$J:$J,MATCH($C440,'Paramètres'!$D:$D,0)))),2))</f>
        <v>75.64</v>
      </c>
      <c r="L440" s="6" t="str">
        <f>IF($D440="","",IF($F440&lt;&gt;"",$F440,IF(ISNA(MATCH($D440,'Paramètres'!$M:$M,0)),"⚠ Type inconnu",IFERROR(INDEX('Paramètres'!$P:$P,MATCH($D440,'Paramètres'!$M:$M,0))&amp;"",""))))</f>
        <v>Débit</v>
      </c>
      <c r="M440" s="6" t="str">
        <f>IF($D440="","",IF(ISNA(MATCH($D440,'Paramètres'!$M:$M,0)),"⚠ Type inconnu",IF($L440="Crédit","",IFERROR(INDEX('Paramètres'!$O:$O,MATCH($D440,'Paramètres'!$M:$M,0))&amp;"",""))))</f>
        <v>Dépense Courante</v>
      </c>
      <c r="N440" s="6" t="str">
        <f>IF($D440="","",IFERROR(INDEX('Paramètres'!$Q:$Q,MATCH($D440,'Paramètres'!$M:$M,0))&amp;"",""))</f>
        <v>Alimentation</v>
      </c>
      <c r="O440" s="6">
        <f>IF($A440="","",IF(OR($J440&lt;&gt;"x",$A440&lt;=FinReleve),1,0))</f>
        <v>1</v>
      </c>
      <c r="P440" s="6">
        <f>IF($D440="","",IF(AND($L440="Crédit",OR(IFERROR(INDEX('Paramètres'!$O:$O,MATCH($D440,'Paramètres'!$M:$M,0))&amp;"","")&lt;&gt;"",ISNUMBER(SEARCH("remboursement",IFERROR(INDEX('Paramètres'!$N:$N,MATCH($D440,'Paramètres'!$M:$M,0))&amp;"",""))))),1,0))</f>
        <v>0</v>
      </c>
      <c r="Q440" s="6">
        <f>IF($K440="","",IF(ISNUMBER(SEARCH("transfert-interne",IFERROR(INDEX('Paramètres'!$N:$N,MATCH($D440,'Paramètres'!$M:$M,0))&amp;"",""))),0,IF($L440="Débit",$K440,IF($P440=1,-$K440,0))))</f>
        <v>75.64</v>
      </c>
      <c r="R440" s="6">
        <f>IF($K440="","",IF($L440="Crédit",$K440,-$K440))</f>
        <v>-75.64</v>
      </c>
      <c r="S440" s="6" t="str">
        <f>IF($C440="","",IFERROR(INDEX('Paramètres'!$H:$H,MATCH($C440,'Paramètres'!$D:$D,0))&amp;"",""))</f>
        <v>Banque A - Courant</v>
      </c>
      <c r="T440" s="6">
        <f>IF($K440="","",IF($S440="",0,IF(ISNUMBER(SEARCH("apport-exterieur",IFERROR(INDEX('Paramètres'!$N:$N,MATCH($D440,'Paramètres'!$M:$M,0))&amp;"",""))),0,IF(OR(IFERROR(INDEX('Paramètres'!$I:$I,MATCH($C440,'Paramètres'!$D:$D,0))&amp;"","")="Les deux",IFERROR(INDEX('Paramètres'!$I:$I,MATCH($C440,'Paramètres'!$D:$D,0))&amp;"","")=IF($P440=1,"Débit",$L440)),-IF($P440=1,-$K440,$K440),0))))</f>
        <v>0</v>
      </c>
      <c r="U440" s="6">
        <f>IF($K440="","",IF(ISNUMBER(SEARCH("sortie-epargne",IFERROR(INDEX('Paramètres'!$N:$N,MATCH($D440,'Paramètres'!$M:$M,0))&amp;"",""))),$K440,0))</f>
        <v>0</v>
      </c>
      <c r="V440" s="6" t="str">
        <f>IF(AND($A440&lt;&gt;"",$O440=1,$L440="Débit",N($Q440)&gt;0,$A440&gt;=Visualisation!$B$1,$A440&lt;Visualisation!$D$1),MAX($V$1:V439)+1,"")</f>
        <v/>
      </c>
    </row>
    <row r="441" spans="1:22" x14ac:dyDescent="0.25">
      <c r="A441" s="9">
        <v>45830</v>
      </c>
      <c r="B441" s="4" t="s">
        <v>90</v>
      </c>
      <c r="C441" s="4" t="s">
        <v>75</v>
      </c>
      <c r="D441" s="4" t="s">
        <v>91</v>
      </c>
      <c r="E441" s="10">
        <v>79.79</v>
      </c>
      <c r="G441" s="4" t="s">
        <v>135</v>
      </c>
      <c r="H441" s="4"/>
      <c r="I441" s="4" t="s">
        <v>73</v>
      </c>
      <c r="K441" s="11">
        <f>IF($E441="","",ROUND($E441*IF(ISNA(MATCH($C441,'Paramètres'!$D:$D,0)),1,IF(INDEX('Paramètres'!$J:$J,MATCH($C441,'Paramètres'!$D:$D,0))="",1,INDEX('Paramètres'!$J:$J,MATCH($C441,'Paramètres'!$D:$D,0)))),2))</f>
        <v>79.79</v>
      </c>
      <c r="L441" s="6" t="str">
        <f>IF($D441="","",IF($F441&lt;&gt;"",$F441,IF(ISNA(MATCH($D441,'Paramètres'!$M:$M,0)),"⚠ Type inconnu",IFERROR(INDEX('Paramètres'!$P:$P,MATCH($D441,'Paramètres'!$M:$M,0))&amp;"",""))))</f>
        <v>Débit</v>
      </c>
      <c r="M441" s="6" t="str">
        <f>IF($D441="","",IF(ISNA(MATCH($D441,'Paramètres'!$M:$M,0)),"⚠ Type inconnu",IF($L441="Crédit","",IFERROR(INDEX('Paramètres'!$O:$O,MATCH($D441,'Paramètres'!$M:$M,0))&amp;"",""))))</f>
        <v>Dépense Courante</v>
      </c>
      <c r="N441" s="6" t="str">
        <f>IF($D441="","",IFERROR(INDEX('Paramètres'!$Q:$Q,MATCH($D441,'Paramètres'!$M:$M,0))&amp;"",""))</f>
        <v>Transport</v>
      </c>
      <c r="O441" s="6">
        <f>IF($A441="","",IF(OR($J441&lt;&gt;"x",$A441&lt;=FinReleve),1,0))</f>
        <v>1</v>
      </c>
      <c r="P441" s="6">
        <f>IF($D441="","",IF(AND($L441="Crédit",OR(IFERROR(INDEX('Paramètres'!$O:$O,MATCH($D441,'Paramètres'!$M:$M,0))&amp;"","")&lt;&gt;"",ISNUMBER(SEARCH("remboursement",IFERROR(INDEX('Paramètres'!$N:$N,MATCH($D441,'Paramètres'!$M:$M,0))&amp;"",""))))),1,0))</f>
        <v>0</v>
      </c>
      <c r="Q441" s="6">
        <f>IF($K441="","",IF(ISNUMBER(SEARCH("transfert-interne",IFERROR(INDEX('Paramètres'!$N:$N,MATCH($D441,'Paramètres'!$M:$M,0))&amp;"",""))),0,IF($L441="Débit",$K441,IF($P441=1,-$K441,0))))</f>
        <v>79.79</v>
      </c>
      <c r="R441" s="6">
        <f>IF($K441="","",IF($L441="Crédit",$K441,-$K441))</f>
        <v>-79.79</v>
      </c>
      <c r="S441" s="6" t="str">
        <f>IF($C441="","",IFERROR(INDEX('Paramètres'!$H:$H,MATCH($C441,'Paramètres'!$D:$D,0))&amp;"",""))</f>
        <v/>
      </c>
      <c r="T441" s="6">
        <f>IF($K441="","",IF($S441="",0,IF(ISNUMBER(SEARCH("apport-exterieur",IFERROR(INDEX('Paramètres'!$N:$N,MATCH($D441,'Paramètres'!$M:$M,0))&amp;"",""))),0,IF(OR(IFERROR(INDEX('Paramètres'!$I:$I,MATCH($C441,'Paramètres'!$D:$D,0))&amp;"","")="Les deux",IFERROR(INDEX('Paramètres'!$I:$I,MATCH($C441,'Paramètres'!$D:$D,0))&amp;"","")=IF($P441=1,"Débit",$L441)),-IF($P441=1,-$K441,$K441),0))))</f>
        <v>0</v>
      </c>
      <c r="U441" s="6">
        <f>IF($K441="","",IF(ISNUMBER(SEARCH("sortie-epargne",IFERROR(INDEX('Paramètres'!$N:$N,MATCH($D441,'Paramètres'!$M:$M,0))&amp;"",""))),$K441,0))</f>
        <v>0</v>
      </c>
      <c r="V441" s="6" t="str">
        <f>IF(AND($A441&lt;&gt;"",$O441=1,$L441="Débit",N($Q441)&gt;0,$A441&gt;=Visualisation!$B$1,$A441&lt;Visualisation!$D$1),MAX($V$1:V440)+1,"")</f>
        <v/>
      </c>
    </row>
    <row r="442" spans="1:22" x14ac:dyDescent="0.25">
      <c r="A442" s="9">
        <v>45831</v>
      </c>
      <c r="B442" s="4" t="s">
        <v>76</v>
      </c>
      <c r="C442" s="4" t="s">
        <v>60</v>
      </c>
      <c r="D442" s="4" t="s">
        <v>77</v>
      </c>
      <c r="E442" s="10">
        <v>155.16</v>
      </c>
      <c r="G442" s="4" t="s">
        <v>78</v>
      </c>
      <c r="H442" s="4"/>
      <c r="I442" s="4"/>
      <c r="K442" s="11">
        <f>IF($E442="","",ROUND($E442*IF(ISNA(MATCH($C442,'Paramètres'!$D:$D,0)),1,IF(INDEX('Paramètres'!$J:$J,MATCH($C442,'Paramètres'!$D:$D,0))="",1,INDEX('Paramètres'!$J:$J,MATCH($C442,'Paramètres'!$D:$D,0)))),2))</f>
        <v>77.58</v>
      </c>
      <c r="L442" s="6" t="str">
        <f>IF($D442="","",IF($F442&lt;&gt;"",$F442,IF(ISNA(MATCH($D442,'Paramètres'!$M:$M,0)),"⚠ Type inconnu",IFERROR(INDEX('Paramètres'!$P:$P,MATCH($D442,'Paramètres'!$M:$M,0))&amp;"",""))))</f>
        <v>Débit</v>
      </c>
      <c r="M442" s="6" t="str">
        <f>IF($D442="","",IF(ISNA(MATCH($D442,'Paramètres'!$M:$M,0)),"⚠ Type inconnu",IF($L442="Crédit","",IFERROR(INDEX('Paramètres'!$O:$O,MATCH($D442,'Paramètres'!$M:$M,0))&amp;"",""))))</f>
        <v>Dépense Courante</v>
      </c>
      <c r="N442" s="6" t="str">
        <f>IF($D442="","",IFERROR(INDEX('Paramètres'!$Q:$Q,MATCH($D442,'Paramètres'!$M:$M,0))&amp;"",""))</f>
        <v>Alimentation</v>
      </c>
      <c r="O442" s="6">
        <f>IF($A442="","",IF(OR($J442&lt;&gt;"x",$A442&lt;=FinReleve),1,0))</f>
        <v>1</v>
      </c>
      <c r="P442" s="6">
        <f>IF($D442="","",IF(AND($L442="Crédit",OR(IFERROR(INDEX('Paramètres'!$O:$O,MATCH($D442,'Paramètres'!$M:$M,0))&amp;"","")&lt;&gt;"",ISNUMBER(SEARCH("remboursement",IFERROR(INDEX('Paramètres'!$N:$N,MATCH($D442,'Paramètres'!$M:$M,0))&amp;"",""))))),1,0))</f>
        <v>0</v>
      </c>
      <c r="Q442" s="6">
        <f>IF($K442="","",IF(ISNUMBER(SEARCH("transfert-interne",IFERROR(INDEX('Paramètres'!$N:$N,MATCH($D442,'Paramètres'!$M:$M,0))&amp;"",""))),0,IF($L442="Débit",$K442,IF($P442=1,-$K442,0))))</f>
        <v>77.58</v>
      </c>
      <c r="R442" s="6">
        <f>IF($K442="","",IF($L442="Crédit",$K442,-$K442))</f>
        <v>-77.58</v>
      </c>
      <c r="S442" s="6" t="str">
        <f>IF($C442="","",IFERROR(INDEX('Paramètres'!$H:$H,MATCH($C442,'Paramètres'!$D:$D,0))&amp;"",""))</f>
        <v>Banque A - Courant</v>
      </c>
      <c r="T442" s="6">
        <f>IF($K442="","",IF($S442="",0,IF(ISNUMBER(SEARCH("apport-exterieur",IFERROR(INDEX('Paramètres'!$N:$N,MATCH($D442,'Paramètres'!$M:$M,0))&amp;"",""))),0,IF(OR(IFERROR(INDEX('Paramètres'!$I:$I,MATCH($C442,'Paramètres'!$D:$D,0))&amp;"","")="Les deux",IFERROR(INDEX('Paramètres'!$I:$I,MATCH($C442,'Paramètres'!$D:$D,0))&amp;"","")=IF($P442=1,"Débit",$L442)),-IF($P442=1,-$K442,$K442),0))))</f>
        <v>-77.58</v>
      </c>
      <c r="U442" s="6">
        <f>IF($K442="","",IF(ISNUMBER(SEARCH("sortie-epargne",IFERROR(INDEX('Paramètres'!$N:$N,MATCH($D442,'Paramètres'!$M:$M,0))&amp;"",""))),$K442,0))</f>
        <v>0</v>
      </c>
      <c r="V442" s="6" t="str">
        <f>IF(AND($A442&lt;&gt;"",$O442=1,$L442="Débit",N($Q442)&gt;0,$A442&gt;=Visualisation!$B$1,$A442&lt;Visualisation!$D$1),MAX($V$1:V441)+1,"")</f>
        <v/>
      </c>
    </row>
    <row r="443" spans="1:22" x14ac:dyDescent="0.25">
      <c r="A443" s="9">
        <v>45831</v>
      </c>
      <c r="B443" s="4" t="s">
        <v>69</v>
      </c>
      <c r="C443" s="4" t="s">
        <v>70</v>
      </c>
      <c r="D443" s="4" t="s">
        <v>71</v>
      </c>
      <c r="E443" s="10">
        <v>7.72</v>
      </c>
      <c r="G443" s="4" t="s">
        <v>72</v>
      </c>
      <c r="H443" s="4"/>
      <c r="I443" s="4" t="s">
        <v>79</v>
      </c>
      <c r="K443" s="11">
        <f>IF($E443="","",ROUND($E443*IF(ISNA(MATCH($C443,'Paramètres'!$D:$D,0)),1,IF(INDEX('Paramètres'!$J:$J,MATCH($C443,'Paramètres'!$D:$D,0))="",1,INDEX('Paramètres'!$J:$J,MATCH($C443,'Paramètres'!$D:$D,0)))),2))</f>
        <v>7.72</v>
      </c>
      <c r="L443" s="6" t="str">
        <f>IF($D443="","",IF($F443&lt;&gt;"",$F443,IF(ISNA(MATCH($D443,'Paramètres'!$M:$M,0)),"⚠ Type inconnu",IFERROR(INDEX('Paramètres'!$P:$P,MATCH($D443,'Paramètres'!$M:$M,0))&amp;"",""))))</f>
        <v>Débit</v>
      </c>
      <c r="M443" s="6" t="str">
        <f>IF($D443="","",IF(ISNA(MATCH($D443,'Paramètres'!$M:$M,0)),"⚠ Type inconnu",IF($L443="Crédit","",IFERROR(INDEX('Paramètres'!$O:$O,MATCH($D443,'Paramètres'!$M:$M,0))&amp;"",""))))</f>
        <v>Dépense Courante</v>
      </c>
      <c r="N443" s="6" t="str">
        <f>IF($D443="","",IFERROR(INDEX('Paramètres'!$Q:$Q,MATCH($D443,'Paramètres'!$M:$M,0))&amp;"",""))</f>
        <v>Alimentation</v>
      </c>
      <c r="O443" s="6">
        <f>IF($A443="","",IF(OR($J443&lt;&gt;"x",$A443&lt;=FinReleve),1,0))</f>
        <v>1</v>
      </c>
      <c r="P443" s="6">
        <f>IF($D443="","",IF(AND($L443="Crédit",OR(IFERROR(INDEX('Paramètres'!$O:$O,MATCH($D443,'Paramètres'!$M:$M,0))&amp;"","")&lt;&gt;"",ISNUMBER(SEARCH("remboursement",IFERROR(INDEX('Paramètres'!$N:$N,MATCH($D443,'Paramètres'!$M:$M,0))&amp;"",""))))),1,0))</f>
        <v>0</v>
      </c>
      <c r="Q443" s="6">
        <f>IF($K443="","",IF(ISNUMBER(SEARCH("transfert-interne",IFERROR(INDEX('Paramètres'!$N:$N,MATCH($D443,'Paramètres'!$M:$M,0))&amp;"",""))),0,IF($L443="Débit",$K443,IF($P443=1,-$K443,0))))</f>
        <v>7.72</v>
      </c>
      <c r="R443" s="6">
        <f>IF($K443="","",IF($L443="Crédit",$K443,-$K443))</f>
        <v>-7.72</v>
      </c>
      <c r="S443" s="6" t="str">
        <f>IF($C443="","",IFERROR(INDEX('Paramètres'!$H:$H,MATCH($C443,'Paramètres'!$D:$D,0))&amp;"",""))</f>
        <v/>
      </c>
      <c r="T443" s="6">
        <f>IF($K443="","",IF($S443="",0,IF(ISNUMBER(SEARCH("apport-exterieur",IFERROR(INDEX('Paramètres'!$N:$N,MATCH($D443,'Paramètres'!$M:$M,0))&amp;"",""))),0,IF(OR(IFERROR(INDEX('Paramètres'!$I:$I,MATCH($C443,'Paramètres'!$D:$D,0))&amp;"","")="Les deux",IFERROR(INDEX('Paramètres'!$I:$I,MATCH($C443,'Paramètres'!$D:$D,0))&amp;"","")=IF($P443=1,"Débit",$L443)),-IF($P443=1,-$K443,$K443),0))))</f>
        <v>0</v>
      </c>
      <c r="U443" s="6">
        <f>IF($K443="","",IF(ISNUMBER(SEARCH("sortie-epargne",IFERROR(INDEX('Paramètres'!$N:$N,MATCH($D443,'Paramètres'!$M:$M,0))&amp;"",""))),$K443,0))</f>
        <v>0</v>
      </c>
      <c r="V443" s="6" t="str">
        <f>IF(AND($A443&lt;&gt;"",$O443=1,$L443="Débit",N($Q443)&gt;0,$A443&gt;=Visualisation!$B$1,$A443&lt;Visualisation!$D$1),MAX($V$1:V442)+1,"")</f>
        <v/>
      </c>
    </row>
    <row r="444" spans="1:22" x14ac:dyDescent="0.25">
      <c r="A444" s="9">
        <v>45831</v>
      </c>
      <c r="B444" s="4" t="s">
        <v>131</v>
      </c>
      <c r="C444" s="4" t="s">
        <v>75</v>
      </c>
      <c r="D444" s="4" t="s">
        <v>132</v>
      </c>
      <c r="E444" s="10">
        <v>68.23</v>
      </c>
      <c r="G444" s="4" t="s">
        <v>147</v>
      </c>
      <c r="H444" s="4"/>
      <c r="I444" s="4"/>
      <c r="K444" s="11">
        <f>IF($E444="","",ROUND($E444*IF(ISNA(MATCH($C444,'Paramètres'!$D:$D,0)),1,IF(INDEX('Paramètres'!$J:$J,MATCH($C444,'Paramètres'!$D:$D,0))="",1,INDEX('Paramètres'!$J:$J,MATCH($C444,'Paramètres'!$D:$D,0)))),2))</f>
        <v>68.23</v>
      </c>
      <c r="L444" s="6" t="str">
        <f>IF($D444="","",IF($F444&lt;&gt;"",$F444,IF(ISNA(MATCH($D444,'Paramètres'!$M:$M,0)),"⚠ Type inconnu",IFERROR(INDEX('Paramètres'!$P:$P,MATCH($D444,'Paramètres'!$M:$M,0))&amp;"",""))))</f>
        <v>Débit</v>
      </c>
      <c r="M444" s="6" t="str">
        <f>IF($D444="","",IF(ISNA(MATCH($D444,'Paramètres'!$M:$M,0)),"⚠ Type inconnu",IF($L444="Crédit","",IFERROR(INDEX('Paramètres'!$O:$O,MATCH($D444,'Paramètres'!$M:$M,0))&amp;"",""))))</f>
        <v>Dépense Courante</v>
      </c>
      <c r="N444" s="6" t="str">
        <f>IF($D444="","",IFERROR(INDEX('Paramètres'!$Q:$Q,MATCH($D444,'Paramètres'!$M:$M,0))&amp;"",""))</f>
        <v>Santé</v>
      </c>
      <c r="O444" s="6">
        <f>IF($A444="","",IF(OR($J444&lt;&gt;"x",$A444&lt;=FinReleve),1,0))</f>
        <v>1</v>
      </c>
      <c r="P444" s="6">
        <f>IF($D444="","",IF(AND($L444="Crédit",OR(IFERROR(INDEX('Paramètres'!$O:$O,MATCH($D444,'Paramètres'!$M:$M,0))&amp;"","")&lt;&gt;"",ISNUMBER(SEARCH("remboursement",IFERROR(INDEX('Paramètres'!$N:$N,MATCH($D444,'Paramètres'!$M:$M,0))&amp;"",""))))),1,0))</f>
        <v>0</v>
      </c>
      <c r="Q444" s="6">
        <f>IF($K444="","",IF(ISNUMBER(SEARCH("transfert-interne",IFERROR(INDEX('Paramètres'!$N:$N,MATCH($D444,'Paramètres'!$M:$M,0))&amp;"",""))),0,IF($L444="Débit",$K444,IF($P444=1,-$K444,0))))</f>
        <v>68.23</v>
      </c>
      <c r="R444" s="6">
        <f>IF($K444="","",IF($L444="Crédit",$K444,-$K444))</f>
        <v>-68.23</v>
      </c>
      <c r="S444" s="6" t="str">
        <f>IF($C444="","",IFERROR(INDEX('Paramètres'!$H:$H,MATCH($C444,'Paramètres'!$D:$D,0))&amp;"",""))</f>
        <v/>
      </c>
      <c r="T444" s="6">
        <f>IF($K444="","",IF($S444="",0,IF(ISNUMBER(SEARCH("apport-exterieur",IFERROR(INDEX('Paramètres'!$N:$N,MATCH($D444,'Paramètres'!$M:$M,0))&amp;"",""))),0,IF(OR(IFERROR(INDEX('Paramètres'!$I:$I,MATCH($C444,'Paramètres'!$D:$D,0))&amp;"","")="Les deux",IFERROR(INDEX('Paramètres'!$I:$I,MATCH($C444,'Paramètres'!$D:$D,0))&amp;"","")=IF($P444=1,"Débit",$L444)),-IF($P444=1,-$K444,$K444),0))))</f>
        <v>0</v>
      </c>
      <c r="U444" s="6">
        <f>IF($K444="","",IF(ISNUMBER(SEARCH("sortie-epargne",IFERROR(INDEX('Paramètres'!$N:$N,MATCH($D444,'Paramètres'!$M:$M,0))&amp;"",""))),$K444,0))</f>
        <v>0</v>
      </c>
      <c r="V444" s="6" t="str">
        <f>IF(AND($A444&lt;&gt;"",$O444=1,$L444="Débit",N($Q444)&gt;0,$A444&gt;=Visualisation!$B$1,$A444&lt;Visualisation!$D$1),MAX($V$1:V443)+1,"")</f>
        <v/>
      </c>
    </row>
    <row r="445" spans="1:22" x14ac:dyDescent="0.25">
      <c r="A445" s="9">
        <v>45832</v>
      </c>
      <c r="B445" s="4" t="s">
        <v>76</v>
      </c>
      <c r="C445" s="4" t="s">
        <v>67</v>
      </c>
      <c r="D445" s="4" t="s">
        <v>77</v>
      </c>
      <c r="E445" s="10">
        <v>29.74</v>
      </c>
      <c r="G445" s="4" t="s">
        <v>78</v>
      </c>
      <c r="H445" s="4"/>
      <c r="I445" s="4" t="s">
        <v>93</v>
      </c>
      <c r="K445" s="11">
        <f>IF($E445="","",ROUND($E445*IF(ISNA(MATCH($C445,'Paramètres'!$D:$D,0)),1,IF(INDEX('Paramètres'!$J:$J,MATCH($C445,'Paramètres'!$D:$D,0))="",1,INDEX('Paramètres'!$J:$J,MATCH($C445,'Paramètres'!$D:$D,0)))),2))</f>
        <v>14.87</v>
      </c>
      <c r="L445" s="6" t="str">
        <f>IF($D445="","",IF($F445&lt;&gt;"",$F445,IF(ISNA(MATCH($D445,'Paramètres'!$M:$M,0)),"⚠ Type inconnu",IFERROR(INDEX('Paramètres'!$P:$P,MATCH($D445,'Paramètres'!$M:$M,0))&amp;"",""))))</f>
        <v>Débit</v>
      </c>
      <c r="M445" s="6" t="str">
        <f>IF($D445="","",IF(ISNA(MATCH($D445,'Paramètres'!$M:$M,0)),"⚠ Type inconnu",IF($L445="Crédit","",IFERROR(INDEX('Paramètres'!$O:$O,MATCH($D445,'Paramètres'!$M:$M,0))&amp;"",""))))</f>
        <v>Dépense Courante</v>
      </c>
      <c r="N445" s="6" t="str">
        <f>IF($D445="","",IFERROR(INDEX('Paramètres'!$Q:$Q,MATCH($D445,'Paramètres'!$M:$M,0))&amp;"",""))</f>
        <v>Alimentation</v>
      </c>
      <c r="O445" s="6">
        <f>IF($A445="","",IF(OR($J445&lt;&gt;"x",$A445&lt;=FinReleve),1,0))</f>
        <v>1</v>
      </c>
      <c r="P445" s="6">
        <f>IF($D445="","",IF(AND($L445="Crédit",OR(IFERROR(INDEX('Paramètres'!$O:$O,MATCH($D445,'Paramètres'!$M:$M,0))&amp;"","")&lt;&gt;"",ISNUMBER(SEARCH("remboursement",IFERROR(INDEX('Paramètres'!$N:$N,MATCH($D445,'Paramètres'!$M:$M,0))&amp;"",""))))),1,0))</f>
        <v>0</v>
      </c>
      <c r="Q445" s="6">
        <f>IF($K445="","",IF(ISNUMBER(SEARCH("transfert-interne",IFERROR(INDEX('Paramètres'!$N:$N,MATCH($D445,'Paramètres'!$M:$M,0))&amp;"",""))),0,IF($L445="Débit",$K445,IF($P445=1,-$K445,0))))</f>
        <v>14.87</v>
      </c>
      <c r="R445" s="6">
        <f>IF($K445="","",IF($L445="Crédit",$K445,-$K445))</f>
        <v>-14.87</v>
      </c>
      <c r="S445" s="6" t="str">
        <f>IF($C445="","",IFERROR(INDEX('Paramètres'!$H:$H,MATCH($C445,'Paramètres'!$D:$D,0))&amp;"",""))</f>
        <v>Banque A - Courant</v>
      </c>
      <c r="T445" s="6">
        <f>IF($K445="","",IF($S445="",0,IF(ISNUMBER(SEARCH("apport-exterieur",IFERROR(INDEX('Paramètres'!$N:$N,MATCH($D445,'Paramètres'!$M:$M,0))&amp;"",""))),0,IF(OR(IFERROR(INDEX('Paramètres'!$I:$I,MATCH($C445,'Paramètres'!$D:$D,0))&amp;"","")="Les deux",IFERROR(INDEX('Paramètres'!$I:$I,MATCH($C445,'Paramètres'!$D:$D,0))&amp;"","")=IF($P445=1,"Débit",$L445)),-IF($P445=1,-$K445,$K445),0))))</f>
        <v>0</v>
      </c>
      <c r="U445" s="6">
        <f>IF($K445="","",IF(ISNUMBER(SEARCH("sortie-epargne",IFERROR(INDEX('Paramètres'!$N:$N,MATCH($D445,'Paramètres'!$M:$M,0))&amp;"",""))),$K445,0))</f>
        <v>0</v>
      </c>
      <c r="V445" s="6" t="str">
        <f>IF(AND($A445&lt;&gt;"",$O445=1,$L445="Débit",N($Q445)&gt;0,$A445&gt;=Visualisation!$B$1,$A445&lt;Visualisation!$D$1),MAX($V$1:V444)+1,"")</f>
        <v/>
      </c>
    </row>
    <row r="446" spans="1:22" x14ac:dyDescent="0.25">
      <c r="A446" s="9">
        <v>45832</v>
      </c>
      <c r="B446" s="4" t="s">
        <v>90</v>
      </c>
      <c r="C446" s="4" t="s">
        <v>75</v>
      </c>
      <c r="D446" s="4" t="s">
        <v>91</v>
      </c>
      <c r="E446" s="10">
        <v>61.76</v>
      </c>
      <c r="G446" s="4" t="s">
        <v>136</v>
      </c>
      <c r="H446" s="4"/>
      <c r="I446" s="4" t="s">
        <v>79</v>
      </c>
      <c r="K446" s="11">
        <f>IF($E446="","",ROUND($E446*IF(ISNA(MATCH($C446,'Paramètres'!$D:$D,0)),1,IF(INDEX('Paramètres'!$J:$J,MATCH($C446,'Paramètres'!$D:$D,0))="",1,INDEX('Paramètres'!$J:$J,MATCH($C446,'Paramètres'!$D:$D,0)))),2))</f>
        <v>61.76</v>
      </c>
      <c r="L446" s="6" t="str">
        <f>IF($D446="","",IF($F446&lt;&gt;"",$F446,IF(ISNA(MATCH($D446,'Paramètres'!$M:$M,0)),"⚠ Type inconnu",IFERROR(INDEX('Paramètres'!$P:$P,MATCH($D446,'Paramètres'!$M:$M,0))&amp;"",""))))</f>
        <v>Débit</v>
      </c>
      <c r="M446" s="6" t="str">
        <f>IF($D446="","",IF(ISNA(MATCH($D446,'Paramètres'!$M:$M,0)),"⚠ Type inconnu",IF($L446="Crédit","",IFERROR(INDEX('Paramètres'!$O:$O,MATCH($D446,'Paramètres'!$M:$M,0))&amp;"",""))))</f>
        <v>Dépense Courante</v>
      </c>
      <c r="N446" s="6" t="str">
        <f>IF($D446="","",IFERROR(INDEX('Paramètres'!$Q:$Q,MATCH($D446,'Paramètres'!$M:$M,0))&amp;"",""))</f>
        <v>Transport</v>
      </c>
      <c r="O446" s="6">
        <f>IF($A446="","",IF(OR($J446&lt;&gt;"x",$A446&lt;=FinReleve),1,0))</f>
        <v>1</v>
      </c>
      <c r="P446" s="6">
        <f>IF($D446="","",IF(AND($L446="Crédit",OR(IFERROR(INDEX('Paramètres'!$O:$O,MATCH($D446,'Paramètres'!$M:$M,0))&amp;"","")&lt;&gt;"",ISNUMBER(SEARCH("remboursement",IFERROR(INDEX('Paramètres'!$N:$N,MATCH($D446,'Paramètres'!$M:$M,0))&amp;"",""))))),1,0))</f>
        <v>0</v>
      </c>
      <c r="Q446" s="6">
        <f>IF($K446="","",IF(ISNUMBER(SEARCH("transfert-interne",IFERROR(INDEX('Paramètres'!$N:$N,MATCH($D446,'Paramètres'!$M:$M,0))&amp;"",""))),0,IF($L446="Débit",$K446,IF($P446=1,-$K446,0))))</f>
        <v>61.76</v>
      </c>
      <c r="R446" s="6">
        <f>IF($K446="","",IF($L446="Crédit",$K446,-$K446))</f>
        <v>-61.76</v>
      </c>
      <c r="S446" s="6" t="str">
        <f>IF($C446="","",IFERROR(INDEX('Paramètres'!$H:$H,MATCH($C446,'Paramètres'!$D:$D,0))&amp;"",""))</f>
        <v/>
      </c>
      <c r="T446" s="6">
        <f>IF($K446="","",IF($S446="",0,IF(ISNUMBER(SEARCH("apport-exterieur",IFERROR(INDEX('Paramètres'!$N:$N,MATCH($D446,'Paramètres'!$M:$M,0))&amp;"",""))),0,IF(OR(IFERROR(INDEX('Paramètres'!$I:$I,MATCH($C446,'Paramètres'!$D:$D,0))&amp;"","")="Les deux",IFERROR(INDEX('Paramètres'!$I:$I,MATCH($C446,'Paramètres'!$D:$D,0))&amp;"","")=IF($P446=1,"Débit",$L446)),-IF($P446=1,-$K446,$K446),0))))</f>
        <v>0</v>
      </c>
      <c r="U446" s="6">
        <f>IF($K446="","",IF(ISNUMBER(SEARCH("sortie-epargne",IFERROR(INDEX('Paramètres'!$N:$N,MATCH($D446,'Paramètres'!$M:$M,0))&amp;"",""))),$K446,0))</f>
        <v>0</v>
      </c>
      <c r="V446" s="6" t="str">
        <f>IF(AND($A446&lt;&gt;"",$O446=1,$L446="Débit",N($Q446)&gt;0,$A446&gt;=Visualisation!$B$1,$A446&lt;Visualisation!$D$1),MAX($V$1:V445)+1,"")</f>
        <v/>
      </c>
    </row>
    <row r="447" spans="1:22" x14ac:dyDescent="0.25">
      <c r="A447" s="9">
        <v>45834</v>
      </c>
      <c r="B447" s="4" t="s">
        <v>105</v>
      </c>
      <c r="C447" s="4" t="s">
        <v>75</v>
      </c>
      <c r="D447" s="4" t="s">
        <v>110</v>
      </c>
      <c r="E447" s="10">
        <v>150</v>
      </c>
      <c r="G447" s="4"/>
      <c r="H447" s="4"/>
      <c r="I447" s="4"/>
      <c r="K447" s="11">
        <f>IF($E447="","",ROUND($E447*IF(ISNA(MATCH($C447,'Paramètres'!$D:$D,0)),1,IF(INDEX('Paramètres'!$J:$J,MATCH($C447,'Paramètres'!$D:$D,0))="",1,INDEX('Paramètres'!$J:$J,MATCH($C447,'Paramètres'!$D:$D,0)))),2))</f>
        <v>150</v>
      </c>
      <c r="L447" s="6" t="str">
        <f>IF($D447="","",IF($F447&lt;&gt;"",$F447,IF(ISNA(MATCH($D447,'Paramètres'!$M:$M,0)),"⚠ Type inconnu",IFERROR(INDEX('Paramètres'!$P:$P,MATCH($D447,'Paramètres'!$M:$M,0))&amp;"",""))))</f>
        <v>Débit</v>
      </c>
      <c r="M447" s="6" t="str">
        <f>IF($D447="","",IF(ISNA(MATCH($D447,'Paramètres'!$M:$M,0)),"⚠ Type inconnu",IF($L447="Crédit","",IFERROR(INDEX('Paramètres'!$O:$O,MATCH($D447,'Paramètres'!$M:$M,0))&amp;"",""))))</f>
        <v/>
      </c>
      <c r="N447" s="6" t="str">
        <f>IF($D447="","",IFERROR(INDEX('Paramètres'!$Q:$Q,MATCH($D447,'Paramètres'!$M:$M,0))&amp;"",""))</f>
        <v>Comptes Bancaires</v>
      </c>
      <c r="O447" s="6">
        <f>IF($A447="","",IF(OR($J447&lt;&gt;"x",$A447&lt;=FinReleve),1,0))</f>
        <v>1</v>
      </c>
      <c r="P447" s="6">
        <f>IF($D447="","",IF(AND($L447="Crédit",OR(IFERROR(INDEX('Paramètres'!$O:$O,MATCH($D447,'Paramètres'!$M:$M,0))&amp;"","")&lt;&gt;"",ISNUMBER(SEARCH("remboursement",IFERROR(INDEX('Paramètres'!$N:$N,MATCH($D447,'Paramètres'!$M:$M,0))&amp;"",""))))),1,0))</f>
        <v>0</v>
      </c>
      <c r="Q447" s="6">
        <f>IF($K447="","",IF(ISNUMBER(SEARCH("transfert-interne",IFERROR(INDEX('Paramètres'!$N:$N,MATCH($D447,'Paramètres'!$M:$M,0))&amp;"",""))),0,IF($L447="Débit",$K447,IF($P447=1,-$K447,0))))</f>
        <v>0</v>
      </c>
      <c r="R447" s="6">
        <f>IF($K447="","",IF($L447="Crédit",$K447,-$K447))</f>
        <v>-150</v>
      </c>
      <c r="S447" s="6" t="str">
        <f>IF($C447="","",IFERROR(INDEX('Paramètres'!$H:$H,MATCH($C447,'Paramètres'!$D:$D,0))&amp;"",""))</f>
        <v/>
      </c>
      <c r="T447" s="6">
        <f>IF($K447="","",IF($S447="",0,IF(ISNUMBER(SEARCH("apport-exterieur",IFERROR(INDEX('Paramètres'!$N:$N,MATCH($D447,'Paramètres'!$M:$M,0))&amp;"",""))),0,IF(OR(IFERROR(INDEX('Paramètres'!$I:$I,MATCH($C447,'Paramètres'!$D:$D,0))&amp;"","")="Les deux",IFERROR(INDEX('Paramètres'!$I:$I,MATCH($C447,'Paramètres'!$D:$D,0))&amp;"","")=IF($P447=1,"Débit",$L447)),-IF($P447=1,-$K447,$K447),0))))</f>
        <v>0</v>
      </c>
      <c r="U447" s="6">
        <f>IF($K447="","",IF(ISNUMBER(SEARCH("sortie-epargne",IFERROR(INDEX('Paramètres'!$N:$N,MATCH($D447,'Paramètres'!$M:$M,0))&amp;"",""))),$K447,0))</f>
        <v>0</v>
      </c>
      <c r="V447" s="6" t="str">
        <f>IF(AND($A447&lt;&gt;"",$O447=1,$L447="Débit",N($Q447)&gt;0,$A447&gt;=Visualisation!$B$1,$A447&lt;Visualisation!$D$1),MAX($V$1:V446)+1,"")</f>
        <v/>
      </c>
    </row>
    <row r="448" spans="1:22" x14ac:dyDescent="0.25">
      <c r="A448" s="9">
        <v>45834</v>
      </c>
      <c r="B448" s="4" t="s">
        <v>105</v>
      </c>
      <c r="C448" s="4" t="s">
        <v>75</v>
      </c>
      <c r="D448" s="4" t="s">
        <v>111</v>
      </c>
      <c r="E448" s="10">
        <v>200</v>
      </c>
      <c r="G448" s="4"/>
      <c r="H448" s="4"/>
      <c r="I448" s="4"/>
      <c r="K448" s="11">
        <f>IF($E448="","",ROUND($E448*IF(ISNA(MATCH($C448,'Paramètres'!$D:$D,0)),1,IF(INDEX('Paramètres'!$J:$J,MATCH($C448,'Paramètres'!$D:$D,0))="",1,INDEX('Paramètres'!$J:$J,MATCH($C448,'Paramètres'!$D:$D,0)))),2))</f>
        <v>200</v>
      </c>
      <c r="L448" s="6" t="str">
        <f>IF($D448="","",IF($F448&lt;&gt;"",$F448,IF(ISNA(MATCH($D448,'Paramètres'!$M:$M,0)),"⚠ Type inconnu",IFERROR(INDEX('Paramètres'!$P:$P,MATCH($D448,'Paramètres'!$M:$M,0))&amp;"",""))))</f>
        <v>Débit</v>
      </c>
      <c r="M448" s="6" t="str">
        <f>IF($D448="","",IF(ISNA(MATCH($D448,'Paramètres'!$M:$M,0)),"⚠ Type inconnu",IF($L448="Crédit","",IFERROR(INDEX('Paramètres'!$O:$O,MATCH($D448,'Paramètres'!$M:$M,0))&amp;"",""))))</f>
        <v/>
      </c>
      <c r="N448" s="6" t="str">
        <f>IF($D448="","",IFERROR(INDEX('Paramètres'!$Q:$Q,MATCH($D448,'Paramètres'!$M:$M,0))&amp;"",""))</f>
        <v>Comptes Bancaires</v>
      </c>
      <c r="O448" s="6">
        <f>IF($A448="","",IF(OR($J448&lt;&gt;"x",$A448&lt;=FinReleve),1,0))</f>
        <v>1</v>
      </c>
      <c r="P448" s="6">
        <f>IF($D448="","",IF(AND($L448="Crédit",OR(IFERROR(INDEX('Paramètres'!$O:$O,MATCH($D448,'Paramètres'!$M:$M,0))&amp;"","")&lt;&gt;"",ISNUMBER(SEARCH("remboursement",IFERROR(INDEX('Paramètres'!$N:$N,MATCH($D448,'Paramètres'!$M:$M,0))&amp;"",""))))),1,0))</f>
        <v>0</v>
      </c>
      <c r="Q448" s="6">
        <f>IF($K448="","",IF(ISNUMBER(SEARCH("transfert-interne",IFERROR(INDEX('Paramètres'!$N:$N,MATCH($D448,'Paramètres'!$M:$M,0))&amp;"",""))),0,IF($L448="Débit",$K448,IF($P448=1,-$K448,0))))</f>
        <v>200</v>
      </c>
      <c r="R448" s="6">
        <f>IF($K448="","",IF($L448="Crédit",$K448,-$K448))</f>
        <v>-200</v>
      </c>
      <c r="S448" s="6" t="str">
        <f>IF($C448="","",IFERROR(INDEX('Paramètres'!$H:$H,MATCH($C448,'Paramètres'!$D:$D,0))&amp;"",""))</f>
        <v/>
      </c>
      <c r="T448" s="6">
        <f>IF($K448="","",IF($S448="",0,IF(ISNUMBER(SEARCH("apport-exterieur",IFERROR(INDEX('Paramètres'!$N:$N,MATCH($D448,'Paramètres'!$M:$M,0))&amp;"",""))),0,IF(OR(IFERROR(INDEX('Paramètres'!$I:$I,MATCH($C448,'Paramètres'!$D:$D,0))&amp;"","")="Les deux",IFERROR(INDEX('Paramètres'!$I:$I,MATCH($C448,'Paramètres'!$D:$D,0))&amp;"","")=IF($P448=1,"Débit",$L448)),-IF($P448=1,-$K448,$K448),0))))</f>
        <v>0</v>
      </c>
      <c r="U448" s="6">
        <f>IF($K448="","",IF(ISNUMBER(SEARCH("sortie-epargne",IFERROR(INDEX('Paramètres'!$N:$N,MATCH($D448,'Paramètres'!$M:$M,0))&amp;"",""))),$K448,0))</f>
        <v>0</v>
      </c>
      <c r="V448" s="6" t="str">
        <f>IF(AND($A448&lt;&gt;"",$O448=1,$L448="Débit",N($Q448)&gt;0,$A448&gt;=Visualisation!$B$1,$A448&lt;Visualisation!$D$1),MAX($V$1:V447)+1,"")</f>
        <v/>
      </c>
    </row>
    <row r="449" spans="1:22" x14ac:dyDescent="0.25">
      <c r="A449" s="9">
        <v>45834</v>
      </c>
      <c r="B449" s="4" t="s">
        <v>112</v>
      </c>
      <c r="C449" s="4" t="s">
        <v>75</v>
      </c>
      <c r="D449" s="4" t="s">
        <v>113</v>
      </c>
      <c r="E449" s="10">
        <v>120</v>
      </c>
      <c r="G449" s="4"/>
      <c r="H449" s="4"/>
      <c r="I449" s="4"/>
      <c r="K449" s="11">
        <f>IF($E449="","",ROUND($E449*IF(ISNA(MATCH($C449,'Paramètres'!$D:$D,0)),1,IF(INDEX('Paramètres'!$J:$J,MATCH($C449,'Paramètres'!$D:$D,0))="",1,INDEX('Paramètres'!$J:$J,MATCH($C449,'Paramètres'!$D:$D,0)))),2))</f>
        <v>120</v>
      </c>
      <c r="L449" s="6" t="str">
        <f>IF($D449="","",IF($F449&lt;&gt;"",$F449,IF(ISNA(MATCH($D449,'Paramètres'!$M:$M,0)),"⚠ Type inconnu",IFERROR(INDEX('Paramètres'!$P:$P,MATCH($D449,'Paramètres'!$M:$M,0))&amp;"",""))))</f>
        <v>Débit</v>
      </c>
      <c r="M449" s="6" t="str">
        <f>IF($D449="","",IF(ISNA(MATCH($D449,'Paramètres'!$M:$M,0)),"⚠ Type inconnu",IF($L449="Crédit","",IFERROR(INDEX('Paramètres'!$O:$O,MATCH($D449,'Paramètres'!$M:$M,0))&amp;"",""))))</f>
        <v/>
      </c>
      <c r="N449" s="6" t="str">
        <f>IF($D449="","",IFERROR(INDEX('Paramètres'!$Q:$Q,MATCH($D449,'Paramètres'!$M:$M,0))&amp;"",""))</f>
        <v>Comptes Bancaires</v>
      </c>
      <c r="O449" s="6">
        <f>IF($A449="","",IF(OR($J449&lt;&gt;"x",$A449&lt;=FinReleve),1,0))</f>
        <v>1</v>
      </c>
      <c r="P449" s="6">
        <f>IF($D449="","",IF(AND($L449="Crédit",OR(IFERROR(INDEX('Paramètres'!$O:$O,MATCH($D449,'Paramètres'!$M:$M,0))&amp;"","")&lt;&gt;"",ISNUMBER(SEARCH("remboursement",IFERROR(INDEX('Paramètres'!$N:$N,MATCH($D449,'Paramètres'!$M:$M,0))&amp;"",""))))),1,0))</f>
        <v>0</v>
      </c>
      <c r="Q449" s="6">
        <f>IF($K449="","",IF(ISNUMBER(SEARCH("transfert-interne",IFERROR(INDEX('Paramètres'!$N:$N,MATCH($D449,'Paramètres'!$M:$M,0))&amp;"",""))),0,IF($L449="Débit",$K449,IF($P449=1,-$K449,0))))</f>
        <v>120</v>
      </c>
      <c r="R449" s="6">
        <f>IF($K449="","",IF($L449="Crédit",$K449,-$K449))</f>
        <v>-120</v>
      </c>
      <c r="S449" s="6" t="str">
        <f>IF($C449="","",IFERROR(INDEX('Paramètres'!$H:$H,MATCH($C449,'Paramètres'!$D:$D,0))&amp;"",""))</f>
        <v/>
      </c>
      <c r="T449" s="6">
        <f>IF($K449="","",IF($S449="",0,IF(ISNUMBER(SEARCH("apport-exterieur",IFERROR(INDEX('Paramètres'!$N:$N,MATCH($D449,'Paramètres'!$M:$M,0))&amp;"",""))),0,IF(OR(IFERROR(INDEX('Paramètres'!$I:$I,MATCH($C449,'Paramètres'!$D:$D,0))&amp;"","")="Les deux",IFERROR(INDEX('Paramètres'!$I:$I,MATCH($C449,'Paramètres'!$D:$D,0))&amp;"","")=IF($P449=1,"Débit",$L449)),-IF($P449=1,-$K449,$K449),0))))</f>
        <v>0</v>
      </c>
      <c r="U449" s="6">
        <f>IF($K449="","",IF(ISNUMBER(SEARCH("sortie-epargne",IFERROR(INDEX('Paramètres'!$N:$N,MATCH($D449,'Paramètres'!$M:$M,0))&amp;"",""))),$K449,0))</f>
        <v>0</v>
      </c>
      <c r="V449" s="6" t="str">
        <f>IF(AND($A449&lt;&gt;"",$O449=1,$L449="Débit",N($Q449)&gt;0,$A449&gt;=Visualisation!$B$1,$A449&lt;Visualisation!$D$1),MAX($V$1:V448)+1,"")</f>
        <v/>
      </c>
    </row>
    <row r="450" spans="1:22" x14ac:dyDescent="0.25">
      <c r="A450" s="9">
        <v>45835</v>
      </c>
      <c r="B450" s="4" t="s">
        <v>114</v>
      </c>
      <c r="C450" s="4" t="s">
        <v>75</v>
      </c>
      <c r="D450" s="4" t="s">
        <v>115</v>
      </c>
      <c r="E450" s="10">
        <v>2960.14</v>
      </c>
      <c r="G450" s="4" t="s">
        <v>115</v>
      </c>
      <c r="H450" s="4"/>
      <c r="I450" s="4"/>
      <c r="K450" s="11">
        <f>IF($E450="","",ROUND($E450*IF(ISNA(MATCH($C450,'Paramètres'!$D:$D,0)),1,IF(INDEX('Paramètres'!$J:$J,MATCH($C450,'Paramètres'!$D:$D,0))="",1,INDEX('Paramètres'!$J:$J,MATCH($C450,'Paramètres'!$D:$D,0)))),2))</f>
        <v>2960.14</v>
      </c>
      <c r="L450" s="6" t="str">
        <f>IF($D450="","",IF($F450&lt;&gt;"",$F450,IF(ISNA(MATCH($D450,'Paramètres'!$M:$M,0)),"⚠ Type inconnu",IFERROR(INDEX('Paramètres'!$P:$P,MATCH($D450,'Paramètres'!$M:$M,0))&amp;"",""))))</f>
        <v>Crédit</v>
      </c>
      <c r="M450" s="6" t="str">
        <f>IF($D450="","",IF(ISNA(MATCH($D450,'Paramètres'!$M:$M,0)),"⚠ Type inconnu",IF($L450="Crédit","",IFERROR(INDEX('Paramètres'!$O:$O,MATCH($D450,'Paramètres'!$M:$M,0))&amp;"",""))))</f>
        <v/>
      </c>
      <c r="N450" s="6" t="str">
        <f>IF($D450="","",IFERROR(INDEX('Paramètres'!$Q:$Q,MATCH($D450,'Paramètres'!$M:$M,0))&amp;"",""))</f>
        <v/>
      </c>
      <c r="O450" s="6">
        <f>IF($A450="","",IF(OR($J450&lt;&gt;"x",$A450&lt;=FinReleve),1,0))</f>
        <v>1</v>
      </c>
      <c r="P450" s="6">
        <f>IF($D450="","",IF(AND($L450="Crédit",OR(IFERROR(INDEX('Paramètres'!$O:$O,MATCH($D450,'Paramètres'!$M:$M,0))&amp;"","")&lt;&gt;"",ISNUMBER(SEARCH("remboursement",IFERROR(INDEX('Paramètres'!$N:$N,MATCH($D450,'Paramètres'!$M:$M,0))&amp;"",""))))),1,0))</f>
        <v>0</v>
      </c>
      <c r="Q450" s="6">
        <f>IF($K450="","",IF(ISNUMBER(SEARCH("transfert-interne",IFERROR(INDEX('Paramètres'!$N:$N,MATCH($D450,'Paramètres'!$M:$M,0))&amp;"",""))),0,IF($L450="Débit",$K450,IF($P450=1,-$K450,0))))</f>
        <v>0</v>
      </c>
      <c r="R450" s="6">
        <f>IF($K450="","",IF($L450="Crédit",$K450,-$K450))</f>
        <v>2960.14</v>
      </c>
      <c r="S450" s="6" t="str">
        <f>IF($C450="","",IFERROR(INDEX('Paramètres'!$H:$H,MATCH($C450,'Paramètres'!$D:$D,0))&amp;"",""))</f>
        <v/>
      </c>
      <c r="T450" s="6">
        <f>IF($K450="","",IF($S450="",0,IF(ISNUMBER(SEARCH("apport-exterieur",IFERROR(INDEX('Paramètres'!$N:$N,MATCH($D450,'Paramètres'!$M:$M,0))&amp;"",""))),0,IF(OR(IFERROR(INDEX('Paramètres'!$I:$I,MATCH($C450,'Paramètres'!$D:$D,0))&amp;"","")="Les deux",IFERROR(INDEX('Paramètres'!$I:$I,MATCH($C450,'Paramètres'!$D:$D,0))&amp;"","")=IF($P450=1,"Débit",$L450)),-IF($P450=1,-$K450,$K450),0))))</f>
        <v>0</v>
      </c>
      <c r="U450" s="6">
        <f>IF($K450="","",IF(ISNUMBER(SEARCH("sortie-epargne",IFERROR(INDEX('Paramètres'!$N:$N,MATCH($D450,'Paramètres'!$M:$M,0))&amp;"",""))),$K450,0))</f>
        <v>0</v>
      </c>
      <c r="V450" s="6" t="str">
        <f>IF(AND($A450&lt;&gt;"",$O450=1,$L450="Débit",N($Q450)&gt;0,$A450&gt;=Visualisation!$B$1,$A450&lt;Visualisation!$D$1),MAX($V$1:V449)+1,"")</f>
        <v/>
      </c>
    </row>
    <row r="451" spans="1:22" x14ac:dyDescent="0.25">
      <c r="A451" s="9">
        <v>45836</v>
      </c>
      <c r="B451" s="4" t="s">
        <v>118</v>
      </c>
      <c r="C451" s="4" t="s">
        <v>75</v>
      </c>
      <c r="D451" s="4" t="s">
        <v>118</v>
      </c>
      <c r="E451" s="10">
        <v>3</v>
      </c>
      <c r="G451" s="4"/>
      <c r="H451" s="4"/>
      <c r="I451" s="4"/>
      <c r="K451" s="11">
        <f>IF($E451="","",ROUND($E451*IF(ISNA(MATCH($C451,'Paramètres'!$D:$D,0)),1,IF(INDEX('Paramètres'!$J:$J,MATCH($C451,'Paramètres'!$D:$D,0))="",1,INDEX('Paramètres'!$J:$J,MATCH($C451,'Paramètres'!$D:$D,0)))),2))</f>
        <v>3</v>
      </c>
      <c r="L451" s="6" t="str">
        <f>IF($D451="","",IF($F451&lt;&gt;"",$F451,IF(ISNA(MATCH($D451,'Paramètres'!$M:$M,0)),"⚠ Type inconnu",IFERROR(INDEX('Paramètres'!$P:$P,MATCH($D451,'Paramètres'!$M:$M,0))&amp;"",""))))</f>
        <v>Débit</v>
      </c>
      <c r="M451" s="6" t="str">
        <f>IF($D451="","",IF(ISNA(MATCH($D451,'Paramètres'!$M:$M,0)),"⚠ Type inconnu",IF($L451="Crédit","",IFERROR(INDEX('Paramètres'!$O:$O,MATCH($D451,'Paramètres'!$M:$M,0))&amp;"",""))))</f>
        <v>Dépense Fixe</v>
      </c>
      <c r="N451" s="6" t="str">
        <f>IF($D451="","",IFERROR(INDEX('Paramètres'!$Q:$Q,MATCH($D451,'Paramètres'!$M:$M,0))&amp;"",""))</f>
        <v>Banque</v>
      </c>
      <c r="O451" s="6">
        <f>IF($A451="","",IF(OR($J451&lt;&gt;"x",$A451&lt;=FinReleve),1,0))</f>
        <v>1</v>
      </c>
      <c r="P451" s="6">
        <f>IF($D451="","",IF(AND($L451="Crédit",OR(IFERROR(INDEX('Paramètres'!$O:$O,MATCH($D451,'Paramètres'!$M:$M,0))&amp;"","")&lt;&gt;"",ISNUMBER(SEARCH("remboursement",IFERROR(INDEX('Paramètres'!$N:$N,MATCH($D451,'Paramètres'!$M:$M,0))&amp;"",""))))),1,0))</f>
        <v>0</v>
      </c>
      <c r="Q451" s="6">
        <f>IF($K451="","",IF(ISNUMBER(SEARCH("transfert-interne",IFERROR(INDEX('Paramètres'!$N:$N,MATCH($D451,'Paramètres'!$M:$M,0))&amp;"",""))),0,IF($L451="Débit",$K451,IF($P451=1,-$K451,0))))</f>
        <v>3</v>
      </c>
      <c r="R451" s="6">
        <f>IF($K451="","",IF($L451="Crédit",$K451,-$K451))</f>
        <v>-3</v>
      </c>
      <c r="S451" s="6" t="str">
        <f>IF($C451="","",IFERROR(INDEX('Paramètres'!$H:$H,MATCH($C451,'Paramètres'!$D:$D,0))&amp;"",""))</f>
        <v/>
      </c>
      <c r="T451" s="6">
        <f>IF($K451="","",IF($S451="",0,IF(ISNUMBER(SEARCH("apport-exterieur",IFERROR(INDEX('Paramètres'!$N:$N,MATCH($D451,'Paramètres'!$M:$M,0))&amp;"",""))),0,IF(OR(IFERROR(INDEX('Paramètres'!$I:$I,MATCH($C451,'Paramètres'!$D:$D,0))&amp;"","")="Les deux",IFERROR(INDEX('Paramètres'!$I:$I,MATCH($C451,'Paramètres'!$D:$D,0))&amp;"","")=IF($P451=1,"Débit",$L451)),-IF($P451=1,-$K451,$K451),0))))</f>
        <v>0</v>
      </c>
      <c r="U451" s="6">
        <f>IF($K451="","",IF(ISNUMBER(SEARCH("sortie-epargne",IFERROR(INDEX('Paramètres'!$N:$N,MATCH($D451,'Paramètres'!$M:$M,0))&amp;"",""))),$K451,0))</f>
        <v>0</v>
      </c>
      <c r="V451" s="6" t="str">
        <f>IF(AND($A451&lt;&gt;"",$O451=1,$L451="Débit",N($Q451)&gt;0,$A451&gt;=Visualisation!$B$1,$A451&lt;Visualisation!$D$1),MAX($V$1:V450)+1,"")</f>
        <v/>
      </c>
    </row>
    <row r="452" spans="1:22" x14ac:dyDescent="0.25">
      <c r="A452" s="9">
        <v>45865</v>
      </c>
      <c r="B452" s="4" t="s">
        <v>114</v>
      </c>
      <c r="C452" s="4" t="s">
        <v>75</v>
      </c>
      <c r="D452" s="4" t="s">
        <v>115</v>
      </c>
      <c r="E452" s="10">
        <v>3006.71</v>
      </c>
      <c r="G452" s="4" t="s">
        <v>115</v>
      </c>
      <c r="H452" s="4"/>
      <c r="I452" s="4"/>
      <c r="K452" s="11">
        <f>IF($E452="","",ROUND($E452*IF(ISNA(MATCH($C452,'Paramètres'!$D:$D,0)),1,IF(INDEX('Paramètres'!$J:$J,MATCH($C452,'Paramètres'!$D:$D,0))="",1,INDEX('Paramètres'!$J:$J,MATCH($C452,'Paramètres'!$D:$D,0)))),2))</f>
        <v>3006.71</v>
      </c>
      <c r="L452" s="6" t="str">
        <f>IF($D452="","",IF($F452&lt;&gt;"",$F452,IF(ISNA(MATCH($D452,'Paramètres'!$M:$M,0)),"⚠ Type inconnu",IFERROR(INDEX('Paramètres'!$P:$P,MATCH($D452,'Paramètres'!$M:$M,0))&amp;"",""))))</f>
        <v>Crédit</v>
      </c>
      <c r="M452" s="6" t="str">
        <f>IF($D452="","",IF(ISNA(MATCH($D452,'Paramètres'!$M:$M,0)),"⚠ Type inconnu",IF($L452="Crédit","",IFERROR(INDEX('Paramètres'!$O:$O,MATCH($D452,'Paramètres'!$M:$M,0))&amp;"",""))))</f>
        <v/>
      </c>
      <c r="N452" s="6" t="str">
        <f>IF($D452="","",IFERROR(INDEX('Paramètres'!$Q:$Q,MATCH($D452,'Paramètres'!$M:$M,0))&amp;"",""))</f>
        <v/>
      </c>
      <c r="O452" s="6">
        <f>IF($A452="","",IF(OR($J452&lt;&gt;"x",$A452&lt;=FinReleve),1,0))</f>
        <v>1</v>
      </c>
      <c r="P452" s="6">
        <f>IF($D452="","",IF(AND($L452="Crédit",OR(IFERROR(INDEX('Paramètres'!$O:$O,MATCH($D452,'Paramètres'!$M:$M,0))&amp;"","")&lt;&gt;"",ISNUMBER(SEARCH("remboursement",IFERROR(INDEX('Paramètres'!$N:$N,MATCH($D452,'Paramètres'!$M:$M,0))&amp;"",""))))),1,0))</f>
        <v>0</v>
      </c>
      <c r="Q452" s="6">
        <f>IF($K452="","",IF(ISNUMBER(SEARCH("transfert-interne",IFERROR(INDEX('Paramètres'!$N:$N,MATCH($D452,'Paramètres'!$M:$M,0))&amp;"",""))),0,IF($L452="Débit",$K452,IF($P452=1,-$K452,0))))</f>
        <v>0</v>
      </c>
      <c r="R452" s="6">
        <f>IF($K452="","",IF($L452="Crédit",$K452,-$K452))</f>
        <v>3006.71</v>
      </c>
      <c r="S452" s="6" t="str">
        <f>IF($C452="","",IFERROR(INDEX('Paramètres'!$H:$H,MATCH($C452,'Paramètres'!$D:$D,0))&amp;"",""))</f>
        <v/>
      </c>
      <c r="T452" s="6">
        <f>IF($K452="","",IF($S452="",0,IF(ISNUMBER(SEARCH("apport-exterieur",IFERROR(INDEX('Paramètres'!$N:$N,MATCH($D452,'Paramètres'!$M:$M,0))&amp;"",""))),0,IF(OR(IFERROR(INDEX('Paramètres'!$I:$I,MATCH($C452,'Paramètres'!$D:$D,0))&amp;"","")="Les deux",IFERROR(INDEX('Paramètres'!$I:$I,MATCH($C452,'Paramètres'!$D:$D,0))&amp;"","")=IF($P452=1,"Débit",$L452)),-IF($P452=1,-$K452,$K452),0))))</f>
        <v>0</v>
      </c>
      <c r="U452" s="6">
        <f>IF($K452="","",IF(ISNUMBER(SEARCH("sortie-epargne",IFERROR(INDEX('Paramètres'!$N:$N,MATCH($D452,'Paramètres'!$M:$M,0))&amp;"",""))),$K452,0))</f>
        <v>0</v>
      </c>
      <c r="V452" s="6" t="str">
        <f>IF(AND($A452&lt;&gt;"",$O452=1,$L452="Débit",N($Q452)&gt;0,$A452&gt;=Visualisation!$B$1,$A452&lt;Visualisation!$D$1),MAX($V$1:V451)+1,"")</f>
        <v/>
      </c>
    </row>
    <row r="453" spans="1:22" x14ac:dyDescent="0.25">
      <c r="A453" s="9">
        <v>45871</v>
      </c>
      <c r="B453" s="4" t="s">
        <v>64</v>
      </c>
      <c r="C453" s="4" t="s">
        <v>65</v>
      </c>
      <c r="D453" s="4" t="s">
        <v>66</v>
      </c>
      <c r="E453" s="10">
        <v>1160</v>
      </c>
      <c r="G453" s="4"/>
      <c r="H453" s="4"/>
      <c r="I453" s="4"/>
      <c r="K453" s="11">
        <f>IF($E453="","",ROUND($E453*IF(ISNA(MATCH($C453,'Paramètres'!$D:$D,0)),1,IF(INDEX('Paramètres'!$J:$J,MATCH($C453,'Paramètres'!$D:$D,0))="",1,INDEX('Paramètres'!$J:$J,MATCH($C453,'Paramètres'!$D:$D,0)))),2))</f>
        <v>1160</v>
      </c>
      <c r="L453" s="6" t="str">
        <f>IF($D453="","",IF($F453&lt;&gt;"",$F453,IF(ISNA(MATCH($D453,'Paramètres'!$M:$M,0)),"⚠ Type inconnu",IFERROR(INDEX('Paramètres'!$P:$P,MATCH($D453,'Paramètres'!$M:$M,0))&amp;"",""))))</f>
        <v>Crédit</v>
      </c>
      <c r="M453" s="6" t="str">
        <f>IF($D453="","",IF(ISNA(MATCH($D453,'Paramètres'!$M:$M,0)),"⚠ Type inconnu",IF($L453="Crédit","",IFERROR(INDEX('Paramètres'!$O:$O,MATCH($D453,'Paramètres'!$M:$M,0))&amp;"",""))))</f>
        <v/>
      </c>
      <c r="N453" s="6" t="str">
        <f>IF($D453="","",IFERROR(INDEX('Paramètres'!$Q:$Q,MATCH($D453,'Paramètres'!$M:$M,0))&amp;"",""))</f>
        <v>Comptes Bancaires</v>
      </c>
      <c r="O453" s="6">
        <f>IF($A453="","",IF(OR($J453&lt;&gt;"x",$A453&lt;=FinReleve),1,0))</f>
        <v>1</v>
      </c>
      <c r="P453" s="6">
        <f>IF($D453="","",IF(AND($L453="Crédit",OR(IFERROR(INDEX('Paramètres'!$O:$O,MATCH($D453,'Paramètres'!$M:$M,0))&amp;"","")&lt;&gt;"",ISNUMBER(SEARCH("remboursement",IFERROR(INDEX('Paramètres'!$N:$N,MATCH($D453,'Paramètres'!$M:$M,0))&amp;"",""))))),1,0))</f>
        <v>0</v>
      </c>
      <c r="Q453" s="6">
        <f>IF($K453="","",IF(ISNUMBER(SEARCH("transfert-interne",IFERROR(INDEX('Paramètres'!$N:$N,MATCH($D453,'Paramètres'!$M:$M,0))&amp;"",""))),0,IF($L453="Débit",$K453,IF($P453=1,-$K453,0))))</f>
        <v>0</v>
      </c>
      <c r="R453" s="6">
        <f>IF($K453="","",IF($L453="Crédit",$K453,-$K453))</f>
        <v>1160</v>
      </c>
      <c r="S453" s="6" t="str">
        <f>IF($C453="","",IFERROR(INDEX('Paramètres'!$H:$H,MATCH($C453,'Paramètres'!$D:$D,0))&amp;"",""))</f>
        <v>Banque A - Courant</v>
      </c>
      <c r="T453" s="6">
        <f>IF($K453="","",IF($S453="",0,IF(ISNUMBER(SEARCH("apport-exterieur",IFERROR(INDEX('Paramètres'!$N:$N,MATCH($D453,'Paramètres'!$M:$M,0))&amp;"",""))),0,IF(OR(IFERROR(INDEX('Paramètres'!$I:$I,MATCH($C453,'Paramètres'!$D:$D,0))&amp;"","")="Les deux",IFERROR(INDEX('Paramètres'!$I:$I,MATCH($C453,'Paramètres'!$D:$D,0))&amp;"","")=IF($P453=1,"Débit",$L453)),-IF($P453=1,-$K453,$K453),0))))</f>
        <v>-1160</v>
      </c>
      <c r="U453" s="6">
        <f>IF($K453="","",IF(ISNUMBER(SEARCH("sortie-epargne",IFERROR(INDEX('Paramètres'!$N:$N,MATCH($D453,'Paramètres'!$M:$M,0))&amp;"",""))),$K453,0))</f>
        <v>0</v>
      </c>
      <c r="V453" s="6" t="str">
        <f>IF(AND($A453&lt;&gt;"",$O453=1,$L453="Débit",N($Q453)&gt;0,$A453&gt;=Visualisation!$B$1,$A453&lt;Visualisation!$D$1),MAX($V$1:V452)+1,"")</f>
        <v/>
      </c>
    </row>
    <row r="454" spans="1:22" x14ac:dyDescent="0.25">
      <c r="A454" s="9">
        <v>45871</v>
      </c>
      <c r="B454" s="4" t="s">
        <v>64</v>
      </c>
      <c r="C454" s="4" t="s">
        <v>67</v>
      </c>
      <c r="D454" s="4" t="s">
        <v>68</v>
      </c>
      <c r="E454" s="10">
        <v>600</v>
      </c>
      <c r="G454" s="4"/>
      <c r="H454" s="4"/>
      <c r="I454" s="4"/>
      <c r="K454" s="11">
        <f>IF($E454="","",ROUND($E454*IF(ISNA(MATCH($C454,'Paramètres'!$D:$D,0)),1,IF(INDEX('Paramètres'!$J:$J,MATCH($C454,'Paramètres'!$D:$D,0))="",1,INDEX('Paramètres'!$J:$J,MATCH($C454,'Paramètres'!$D:$D,0)))),2))</f>
        <v>300</v>
      </c>
      <c r="L454" s="6" t="str">
        <f>IF($D454="","",IF($F454&lt;&gt;"",$F454,IF(ISNA(MATCH($D454,'Paramètres'!$M:$M,0)),"⚠ Type inconnu",IFERROR(INDEX('Paramètres'!$P:$P,MATCH($D454,'Paramètres'!$M:$M,0))&amp;"",""))))</f>
        <v>Crédit</v>
      </c>
      <c r="M454" s="6" t="str">
        <f>IF($D454="","",IF(ISNA(MATCH($D454,'Paramètres'!$M:$M,0)),"⚠ Type inconnu",IF($L454="Crédit","",IFERROR(INDEX('Paramètres'!$O:$O,MATCH($D454,'Paramètres'!$M:$M,0))&amp;"",""))))</f>
        <v/>
      </c>
      <c r="N454" s="6" t="str">
        <f>IF($D454="","",IFERROR(INDEX('Paramètres'!$Q:$Q,MATCH($D454,'Paramètres'!$M:$M,0))&amp;"",""))</f>
        <v>Comptes Bancaires</v>
      </c>
      <c r="O454" s="6">
        <f>IF($A454="","",IF(OR($J454&lt;&gt;"x",$A454&lt;=FinReleve),1,0))</f>
        <v>1</v>
      </c>
      <c r="P454" s="6">
        <f>IF($D454="","",IF(AND($L454="Crédit",OR(IFERROR(INDEX('Paramètres'!$O:$O,MATCH($D454,'Paramètres'!$M:$M,0))&amp;"","")&lt;&gt;"",ISNUMBER(SEARCH("remboursement",IFERROR(INDEX('Paramètres'!$N:$N,MATCH($D454,'Paramètres'!$M:$M,0))&amp;"",""))))),1,0))</f>
        <v>0</v>
      </c>
      <c r="Q454" s="6">
        <f>IF($K454="","",IF(ISNUMBER(SEARCH("transfert-interne",IFERROR(INDEX('Paramètres'!$N:$N,MATCH($D454,'Paramètres'!$M:$M,0))&amp;"",""))),0,IF($L454="Débit",$K454,IF($P454=1,-$K454,0))))</f>
        <v>0</v>
      </c>
      <c r="R454" s="6">
        <f>IF($K454="","",IF($L454="Crédit",$K454,-$K454))</f>
        <v>300</v>
      </c>
      <c r="S454" s="6" t="str">
        <f>IF($C454="","",IFERROR(INDEX('Paramètres'!$H:$H,MATCH($C454,'Paramètres'!$D:$D,0))&amp;"",""))</f>
        <v>Banque A - Courant</v>
      </c>
      <c r="T454" s="6">
        <f>IF($K454="","",IF($S454="",0,IF(ISNUMBER(SEARCH("apport-exterieur",IFERROR(INDEX('Paramètres'!$N:$N,MATCH($D454,'Paramètres'!$M:$M,0))&amp;"",""))),0,IF(OR(IFERROR(INDEX('Paramètres'!$I:$I,MATCH($C454,'Paramètres'!$D:$D,0))&amp;"","")="Les deux",IFERROR(INDEX('Paramètres'!$I:$I,MATCH($C454,'Paramètres'!$D:$D,0))&amp;"","")=IF($P454=1,"Débit",$L454)),-IF($P454=1,-$K454,$K454),0))))</f>
        <v>-300</v>
      </c>
      <c r="U454" s="6">
        <f>IF($K454="","",IF(ISNUMBER(SEARCH("sortie-epargne",IFERROR(INDEX('Paramètres'!$N:$N,MATCH($D454,'Paramètres'!$M:$M,0))&amp;"",""))),$K454,0))</f>
        <v>0</v>
      </c>
      <c r="V454" s="6" t="str">
        <f>IF(AND($A454&lt;&gt;"",$O454=1,$L454="Débit",N($Q454)&gt;0,$A454&gt;=Visualisation!$B$1,$A454&lt;Visualisation!$D$1),MAX($V$1:V453)+1,"")</f>
        <v/>
      </c>
    </row>
    <row r="455" spans="1:22" x14ac:dyDescent="0.25">
      <c r="A455" s="9">
        <v>45871</v>
      </c>
      <c r="B455" s="4" t="s">
        <v>69</v>
      </c>
      <c r="C455" s="4" t="s">
        <v>70</v>
      </c>
      <c r="D455" s="4" t="s">
        <v>71</v>
      </c>
      <c r="E455" s="10">
        <v>8.56</v>
      </c>
      <c r="G455" s="4" t="s">
        <v>72</v>
      </c>
      <c r="H455" s="4"/>
      <c r="I455" s="4" t="s">
        <v>73</v>
      </c>
      <c r="K455" s="11">
        <f>IF($E455="","",ROUND($E455*IF(ISNA(MATCH($C455,'Paramètres'!$D:$D,0)),1,IF(INDEX('Paramètres'!$J:$J,MATCH($C455,'Paramètres'!$D:$D,0))="",1,INDEX('Paramètres'!$J:$J,MATCH($C455,'Paramètres'!$D:$D,0)))),2))</f>
        <v>8.56</v>
      </c>
      <c r="L455" s="6" t="str">
        <f>IF($D455="","",IF($F455&lt;&gt;"",$F455,IF(ISNA(MATCH($D455,'Paramètres'!$M:$M,0)),"⚠ Type inconnu",IFERROR(INDEX('Paramètres'!$P:$P,MATCH($D455,'Paramètres'!$M:$M,0))&amp;"",""))))</f>
        <v>Débit</v>
      </c>
      <c r="M455" s="6" t="str">
        <f>IF($D455="","",IF(ISNA(MATCH($D455,'Paramètres'!$M:$M,0)),"⚠ Type inconnu",IF($L455="Crédit","",IFERROR(INDEX('Paramètres'!$O:$O,MATCH($D455,'Paramètres'!$M:$M,0))&amp;"",""))))</f>
        <v>Dépense Courante</v>
      </c>
      <c r="N455" s="6" t="str">
        <f>IF($D455="","",IFERROR(INDEX('Paramètres'!$Q:$Q,MATCH($D455,'Paramètres'!$M:$M,0))&amp;"",""))</f>
        <v>Alimentation</v>
      </c>
      <c r="O455" s="6">
        <f>IF($A455="","",IF(OR($J455&lt;&gt;"x",$A455&lt;=FinReleve),1,0))</f>
        <v>1</v>
      </c>
      <c r="P455" s="6">
        <f>IF($D455="","",IF(AND($L455="Crédit",OR(IFERROR(INDEX('Paramètres'!$O:$O,MATCH($D455,'Paramètres'!$M:$M,0))&amp;"","")&lt;&gt;"",ISNUMBER(SEARCH("remboursement",IFERROR(INDEX('Paramètres'!$N:$N,MATCH($D455,'Paramètres'!$M:$M,0))&amp;"",""))))),1,0))</f>
        <v>0</v>
      </c>
      <c r="Q455" s="6">
        <f>IF($K455="","",IF(ISNUMBER(SEARCH("transfert-interne",IFERROR(INDEX('Paramètres'!$N:$N,MATCH($D455,'Paramètres'!$M:$M,0))&amp;"",""))),0,IF($L455="Débit",$K455,IF($P455=1,-$K455,0))))</f>
        <v>8.56</v>
      </c>
      <c r="R455" s="6">
        <f>IF($K455="","",IF($L455="Crédit",$K455,-$K455))</f>
        <v>-8.56</v>
      </c>
      <c r="S455" s="6" t="str">
        <f>IF($C455="","",IFERROR(INDEX('Paramètres'!$H:$H,MATCH($C455,'Paramètres'!$D:$D,0))&amp;"",""))</f>
        <v/>
      </c>
      <c r="T455" s="6">
        <f>IF($K455="","",IF($S455="",0,IF(ISNUMBER(SEARCH("apport-exterieur",IFERROR(INDEX('Paramètres'!$N:$N,MATCH($D455,'Paramètres'!$M:$M,0))&amp;"",""))),0,IF(OR(IFERROR(INDEX('Paramètres'!$I:$I,MATCH($C455,'Paramètres'!$D:$D,0))&amp;"","")="Les deux",IFERROR(INDEX('Paramètres'!$I:$I,MATCH($C455,'Paramètres'!$D:$D,0))&amp;"","")=IF($P455=1,"Débit",$L455)),-IF($P455=1,-$K455,$K455),0))))</f>
        <v>0</v>
      </c>
      <c r="U455" s="6">
        <f>IF($K455="","",IF(ISNUMBER(SEARCH("sortie-epargne",IFERROR(INDEX('Paramètres'!$N:$N,MATCH($D455,'Paramètres'!$M:$M,0))&amp;"",""))),$K455,0))</f>
        <v>0</v>
      </c>
      <c r="V455" s="6" t="str">
        <f>IF(AND($A455&lt;&gt;"",$O455=1,$L455="Débit",N($Q455)&gt;0,$A455&gt;=Visualisation!$B$1,$A455&lt;Visualisation!$D$1),MAX($V$1:V454)+1,"")</f>
        <v/>
      </c>
    </row>
    <row r="456" spans="1:22" x14ac:dyDescent="0.25">
      <c r="A456" s="9">
        <v>45871</v>
      </c>
      <c r="B456" s="4" t="s">
        <v>69</v>
      </c>
      <c r="C456" s="4" t="s">
        <v>70</v>
      </c>
      <c r="D456" s="4" t="s">
        <v>71</v>
      </c>
      <c r="E456" s="10">
        <v>13.2</v>
      </c>
      <c r="G456" s="4" t="s">
        <v>72</v>
      </c>
      <c r="H456" s="4"/>
      <c r="I456" s="4"/>
      <c r="K456" s="11">
        <f>IF($E456="","",ROUND($E456*IF(ISNA(MATCH($C456,'Paramètres'!$D:$D,0)),1,IF(INDEX('Paramètres'!$J:$J,MATCH($C456,'Paramètres'!$D:$D,0))="",1,INDEX('Paramètres'!$J:$J,MATCH($C456,'Paramètres'!$D:$D,0)))),2))</f>
        <v>13.2</v>
      </c>
      <c r="L456" s="6" t="str">
        <f>IF($D456="","",IF($F456&lt;&gt;"",$F456,IF(ISNA(MATCH($D456,'Paramètres'!$M:$M,0)),"⚠ Type inconnu",IFERROR(INDEX('Paramètres'!$P:$P,MATCH($D456,'Paramètres'!$M:$M,0))&amp;"",""))))</f>
        <v>Débit</v>
      </c>
      <c r="M456" s="6" t="str">
        <f>IF($D456="","",IF(ISNA(MATCH($D456,'Paramètres'!$M:$M,0)),"⚠ Type inconnu",IF($L456="Crédit","",IFERROR(INDEX('Paramètres'!$O:$O,MATCH($D456,'Paramètres'!$M:$M,0))&amp;"",""))))</f>
        <v>Dépense Courante</v>
      </c>
      <c r="N456" s="6" t="str">
        <f>IF($D456="","",IFERROR(INDEX('Paramètres'!$Q:$Q,MATCH($D456,'Paramètres'!$M:$M,0))&amp;"",""))</f>
        <v>Alimentation</v>
      </c>
      <c r="O456" s="6">
        <f>IF($A456="","",IF(OR($J456&lt;&gt;"x",$A456&lt;=FinReleve),1,0))</f>
        <v>1</v>
      </c>
      <c r="P456" s="6">
        <f>IF($D456="","",IF(AND($L456="Crédit",OR(IFERROR(INDEX('Paramètres'!$O:$O,MATCH($D456,'Paramètres'!$M:$M,0))&amp;"","")&lt;&gt;"",ISNUMBER(SEARCH("remboursement",IFERROR(INDEX('Paramètres'!$N:$N,MATCH($D456,'Paramètres'!$M:$M,0))&amp;"",""))))),1,0))</f>
        <v>0</v>
      </c>
      <c r="Q456" s="6">
        <f>IF($K456="","",IF(ISNUMBER(SEARCH("transfert-interne",IFERROR(INDEX('Paramètres'!$N:$N,MATCH($D456,'Paramètres'!$M:$M,0))&amp;"",""))),0,IF($L456="Débit",$K456,IF($P456=1,-$K456,0))))</f>
        <v>13.2</v>
      </c>
      <c r="R456" s="6">
        <f>IF($K456="","",IF($L456="Crédit",$K456,-$K456))</f>
        <v>-13.2</v>
      </c>
      <c r="S456" s="6" t="str">
        <f>IF($C456="","",IFERROR(INDEX('Paramètres'!$H:$H,MATCH($C456,'Paramètres'!$D:$D,0))&amp;"",""))</f>
        <v/>
      </c>
      <c r="T456" s="6">
        <f>IF($K456="","",IF($S456="",0,IF(ISNUMBER(SEARCH("apport-exterieur",IFERROR(INDEX('Paramètres'!$N:$N,MATCH($D456,'Paramètres'!$M:$M,0))&amp;"",""))),0,IF(OR(IFERROR(INDEX('Paramètres'!$I:$I,MATCH($C456,'Paramètres'!$D:$D,0))&amp;"","")="Les deux",IFERROR(INDEX('Paramètres'!$I:$I,MATCH($C456,'Paramètres'!$D:$D,0))&amp;"","")=IF($P456=1,"Débit",$L456)),-IF($P456=1,-$K456,$K456),0))))</f>
        <v>0</v>
      </c>
      <c r="U456" s="6">
        <f>IF($K456="","",IF(ISNUMBER(SEARCH("sortie-epargne",IFERROR(INDEX('Paramètres'!$N:$N,MATCH($D456,'Paramètres'!$M:$M,0))&amp;"",""))),$K456,0))</f>
        <v>0</v>
      </c>
      <c r="V456" s="6" t="str">
        <f>IF(AND($A456&lt;&gt;"",$O456=1,$L456="Débit",N($Q456)&gt;0,$A456&gt;=Visualisation!$B$1,$A456&lt;Visualisation!$D$1),MAX($V$1:V455)+1,"")</f>
        <v/>
      </c>
    </row>
    <row r="457" spans="1:22" x14ac:dyDescent="0.25">
      <c r="A457" s="9">
        <v>45871</v>
      </c>
      <c r="B457" s="4" t="s">
        <v>69</v>
      </c>
      <c r="C457" s="4" t="s">
        <v>70</v>
      </c>
      <c r="D457" s="4" t="s">
        <v>71</v>
      </c>
      <c r="E457" s="10">
        <v>10.99</v>
      </c>
      <c r="G457" s="4" t="s">
        <v>72</v>
      </c>
      <c r="H457" s="4"/>
      <c r="I457" s="4" t="s">
        <v>63</v>
      </c>
      <c r="K457" s="11">
        <f>IF($E457="","",ROUND($E457*IF(ISNA(MATCH($C457,'Paramètres'!$D:$D,0)),1,IF(INDEX('Paramètres'!$J:$J,MATCH($C457,'Paramètres'!$D:$D,0))="",1,INDEX('Paramètres'!$J:$J,MATCH($C457,'Paramètres'!$D:$D,0)))),2))</f>
        <v>10.99</v>
      </c>
      <c r="L457" s="6" t="str">
        <f>IF($D457="","",IF($F457&lt;&gt;"",$F457,IF(ISNA(MATCH($D457,'Paramètres'!$M:$M,0)),"⚠ Type inconnu",IFERROR(INDEX('Paramètres'!$P:$P,MATCH($D457,'Paramètres'!$M:$M,0))&amp;"",""))))</f>
        <v>Débit</v>
      </c>
      <c r="M457" s="6" t="str">
        <f>IF($D457="","",IF(ISNA(MATCH($D457,'Paramètres'!$M:$M,0)),"⚠ Type inconnu",IF($L457="Crédit","",IFERROR(INDEX('Paramètres'!$O:$O,MATCH($D457,'Paramètres'!$M:$M,0))&amp;"",""))))</f>
        <v>Dépense Courante</v>
      </c>
      <c r="N457" s="6" t="str">
        <f>IF($D457="","",IFERROR(INDEX('Paramètres'!$Q:$Q,MATCH($D457,'Paramètres'!$M:$M,0))&amp;"",""))</f>
        <v>Alimentation</v>
      </c>
      <c r="O457" s="6">
        <f>IF($A457="","",IF(OR($J457&lt;&gt;"x",$A457&lt;=FinReleve),1,0))</f>
        <v>1</v>
      </c>
      <c r="P457" s="6">
        <f>IF($D457="","",IF(AND($L457="Crédit",OR(IFERROR(INDEX('Paramètres'!$O:$O,MATCH($D457,'Paramètres'!$M:$M,0))&amp;"","")&lt;&gt;"",ISNUMBER(SEARCH("remboursement",IFERROR(INDEX('Paramètres'!$N:$N,MATCH($D457,'Paramètres'!$M:$M,0))&amp;"",""))))),1,0))</f>
        <v>0</v>
      </c>
      <c r="Q457" s="6">
        <f>IF($K457="","",IF(ISNUMBER(SEARCH("transfert-interne",IFERROR(INDEX('Paramètres'!$N:$N,MATCH($D457,'Paramètres'!$M:$M,0))&amp;"",""))),0,IF($L457="Débit",$K457,IF($P457=1,-$K457,0))))</f>
        <v>10.99</v>
      </c>
      <c r="R457" s="6">
        <f>IF($K457="","",IF($L457="Crédit",$K457,-$K457))</f>
        <v>-10.99</v>
      </c>
      <c r="S457" s="6" t="str">
        <f>IF($C457="","",IFERROR(INDEX('Paramètres'!$H:$H,MATCH($C457,'Paramètres'!$D:$D,0))&amp;"",""))</f>
        <v/>
      </c>
      <c r="T457" s="6">
        <f>IF($K457="","",IF($S457="",0,IF(ISNUMBER(SEARCH("apport-exterieur",IFERROR(INDEX('Paramètres'!$N:$N,MATCH($D457,'Paramètres'!$M:$M,0))&amp;"",""))),0,IF(OR(IFERROR(INDEX('Paramètres'!$I:$I,MATCH($C457,'Paramètres'!$D:$D,0))&amp;"","")="Les deux",IFERROR(INDEX('Paramètres'!$I:$I,MATCH($C457,'Paramètres'!$D:$D,0))&amp;"","")=IF($P457=1,"Débit",$L457)),-IF($P457=1,-$K457,$K457),0))))</f>
        <v>0</v>
      </c>
      <c r="U457" s="6">
        <f>IF($K457="","",IF(ISNUMBER(SEARCH("sortie-epargne",IFERROR(INDEX('Paramètres'!$N:$N,MATCH($D457,'Paramètres'!$M:$M,0))&amp;"",""))),$K457,0))</f>
        <v>0</v>
      </c>
      <c r="V457" s="6" t="str">
        <f>IF(AND($A457&lt;&gt;"",$O457=1,$L457="Débit",N($Q457)&gt;0,$A457&gt;=Visualisation!$B$1,$A457&lt;Visualisation!$D$1),MAX($V$1:V456)+1,"")</f>
        <v/>
      </c>
    </row>
    <row r="458" spans="1:22" x14ac:dyDescent="0.25">
      <c r="A458" s="9">
        <v>45871</v>
      </c>
      <c r="B458" s="4" t="s">
        <v>69</v>
      </c>
      <c r="C458" s="4" t="s">
        <v>70</v>
      </c>
      <c r="D458" s="4" t="s">
        <v>71</v>
      </c>
      <c r="E458" s="10">
        <v>9.06</v>
      </c>
      <c r="G458" s="4" t="s">
        <v>72</v>
      </c>
      <c r="H458" s="4"/>
      <c r="I458" s="4" t="s">
        <v>73</v>
      </c>
      <c r="K458" s="11">
        <f>IF($E458="","",ROUND($E458*IF(ISNA(MATCH($C458,'Paramètres'!$D:$D,0)),1,IF(INDEX('Paramètres'!$J:$J,MATCH($C458,'Paramètres'!$D:$D,0))="",1,INDEX('Paramètres'!$J:$J,MATCH($C458,'Paramètres'!$D:$D,0)))),2))</f>
        <v>9.06</v>
      </c>
      <c r="L458" s="6" t="str">
        <f>IF($D458="","",IF($F458&lt;&gt;"",$F458,IF(ISNA(MATCH($D458,'Paramètres'!$M:$M,0)),"⚠ Type inconnu",IFERROR(INDEX('Paramètres'!$P:$P,MATCH($D458,'Paramètres'!$M:$M,0))&amp;"",""))))</f>
        <v>Débit</v>
      </c>
      <c r="M458" s="6" t="str">
        <f>IF($D458="","",IF(ISNA(MATCH($D458,'Paramètres'!$M:$M,0)),"⚠ Type inconnu",IF($L458="Crédit","",IFERROR(INDEX('Paramètres'!$O:$O,MATCH($D458,'Paramètres'!$M:$M,0))&amp;"",""))))</f>
        <v>Dépense Courante</v>
      </c>
      <c r="N458" s="6" t="str">
        <f>IF($D458="","",IFERROR(INDEX('Paramètres'!$Q:$Q,MATCH($D458,'Paramètres'!$M:$M,0))&amp;"",""))</f>
        <v>Alimentation</v>
      </c>
      <c r="O458" s="6">
        <f>IF($A458="","",IF(OR($J458&lt;&gt;"x",$A458&lt;=FinReleve),1,0))</f>
        <v>1</v>
      </c>
      <c r="P458" s="6">
        <f>IF($D458="","",IF(AND($L458="Crédit",OR(IFERROR(INDEX('Paramètres'!$O:$O,MATCH($D458,'Paramètres'!$M:$M,0))&amp;"","")&lt;&gt;"",ISNUMBER(SEARCH("remboursement",IFERROR(INDEX('Paramètres'!$N:$N,MATCH($D458,'Paramètres'!$M:$M,0))&amp;"",""))))),1,0))</f>
        <v>0</v>
      </c>
      <c r="Q458" s="6">
        <f>IF($K458="","",IF(ISNUMBER(SEARCH("transfert-interne",IFERROR(INDEX('Paramètres'!$N:$N,MATCH($D458,'Paramètres'!$M:$M,0))&amp;"",""))),0,IF($L458="Débit",$K458,IF($P458=1,-$K458,0))))</f>
        <v>9.06</v>
      </c>
      <c r="R458" s="6">
        <f>IF($K458="","",IF($L458="Crédit",$K458,-$K458))</f>
        <v>-9.06</v>
      </c>
      <c r="S458" s="6" t="str">
        <f>IF($C458="","",IFERROR(INDEX('Paramètres'!$H:$H,MATCH($C458,'Paramètres'!$D:$D,0))&amp;"",""))</f>
        <v/>
      </c>
      <c r="T458" s="6">
        <f>IF($K458="","",IF($S458="",0,IF(ISNUMBER(SEARCH("apport-exterieur",IFERROR(INDEX('Paramètres'!$N:$N,MATCH($D458,'Paramètres'!$M:$M,0))&amp;"",""))),0,IF(OR(IFERROR(INDEX('Paramètres'!$I:$I,MATCH($C458,'Paramètres'!$D:$D,0))&amp;"","")="Les deux",IFERROR(INDEX('Paramètres'!$I:$I,MATCH($C458,'Paramètres'!$D:$D,0))&amp;"","")=IF($P458=1,"Débit",$L458)),-IF($P458=1,-$K458,$K458),0))))</f>
        <v>0</v>
      </c>
      <c r="U458" s="6">
        <f>IF($K458="","",IF(ISNUMBER(SEARCH("sortie-epargne",IFERROR(INDEX('Paramètres'!$N:$N,MATCH($D458,'Paramètres'!$M:$M,0))&amp;"",""))),$K458,0))</f>
        <v>0</v>
      </c>
      <c r="V458" s="6" t="str">
        <f>IF(AND($A458&lt;&gt;"",$O458=1,$L458="Débit",N($Q458)&gt;0,$A458&gt;=Visualisation!$B$1,$A458&lt;Visualisation!$D$1),MAX($V$1:V457)+1,"")</f>
        <v/>
      </c>
    </row>
    <row r="459" spans="1:22" x14ac:dyDescent="0.25">
      <c r="A459" s="9">
        <v>45872</v>
      </c>
      <c r="B459" s="4" t="s">
        <v>74</v>
      </c>
      <c r="C459" s="4" t="s">
        <v>75</v>
      </c>
      <c r="D459" s="4" t="s">
        <v>74</v>
      </c>
      <c r="E459" s="10">
        <v>88.8</v>
      </c>
      <c r="G459" s="4"/>
      <c r="H459" s="4"/>
      <c r="I459" s="4"/>
      <c r="K459" s="11">
        <f>IF($E459="","",ROUND($E459*IF(ISNA(MATCH($C459,'Paramètres'!$D:$D,0)),1,IF(INDEX('Paramètres'!$J:$J,MATCH($C459,'Paramètres'!$D:$D,0))="",1,INDEX('Paramètres'!$J:$J,MATCH($C459,'Paramètres'!$D:$D,0)))),2))</f>
        <v>88.8</v>
      </c>
      <c r="L459" s="6" t="str">
        <f>IF($D459="","",IF($F459&lt;&gt;"",$F459,IF(ISNA(MATCH($D459,'Paramètres'!$M:$M,0)),"⚠ Type inconnu",IFERROR(INDEX('Paramètres'!$P:$P,MATCH($D459,'Paramètres'!$M:$M,0))&amp;"",""))))</f>
        <v>Débit</v>
      </c>
      <c r="M459" s="6" t="str">
        <f>IF($D459="","",IF(ISNA(MATCH($D459,'Paramètres'!$M:$M,0)),"⚠ Type inconnu",IF($L459="Crédit","",IFERROR(INDEX('Paramètres'!$O:$O,MATCH($D459,'Paramètres'!$M:$M,0))&amp;"",""))))</f>
        <v>Dépense Fixe</v>
      </c>
      <c r="N459" s="6" t="str">
        <f>IF($D459="","",IFERROR(INDEX('Paramètres'!$Q:$Q,MATCH($D459,'Paramètres'!$M:$M,0))&amp;"",""))</f>
        <v>Transport</v>
      </c>
      <c r="O459" s="6">
        <f>IF($A459="","",IF(OR($J459&lt;&gt;"x",$A459&lt;=FinReleve),1,0))</f>
        <v>1</v>
      </c>
      <c r="P459" s="6">
        <f>IF($D459="","",IF(AND($L459="Crédit",OR(IFERROR(INDEX('Paramètres'!$O:$O,MATCH($D459,'Paramètres'!$M:$M,0))&amp;"","")&lt;&gt;"",ISNUMBER(SEARCH("remboursement",IFERROR(INDEX('Paramètres'!$N:$N,MATCH($D459,'Paramètres'!$M:$M,0))&amp;"",""))))),1,0))</f>
        <v>0</v>
      </c>
      <c r="Q459" s="6">
        <f>IF($K459="","",IF(ISNUMBER(SEARCH("transfert-interne",IFERROR(INDEX('Paramètres'!$N:$N,MATCH($D459,'Paramètres'!$M:$M,0))&amp;"",""))),0,IF($L459="Débit",$K459,IF($P459=1,-$K459,0))))</f>
        <v>88.8</v>
      </c>
      <c r="R459" s="6">
        <f>IF($K459="","",IF($L459="Crédit",$K459,-$K459))</f>
        <v>-88.8</v>
      </c>
      <c r="S459" s="6" t="str">
        <f>IF($C459="","",IFERROR(INDEX('Paramètres'!$H:$H,MATCH($C459,'Paramètres'!$D:$D,0))&amp;"",""))</f>
        <v/>
      </c>
      <c r="T459" s="6">
        <f>IF($K459="","",IF($S459="",0,IF(ISNUMBER(SEARCH("apport-exterieur",IFERROR(INDEX('Paramètres'!$N:$N,MATCH($D459,'Paramètres'!$M:$M,0))&amp;"",""))),0,IF(OR(IFERROR(INDEX('Paramètres'!$I:$I,MATCH($C459,'Paramètres'!$D:$D,0))&amp;"","")="Les deux",IFERROR(INDEX('Paramètres'!$I:$I,MATCH($C459,'Paramètres'!$D:$D,0))&amp;"","")=IF($P459=1,"Débit",$L459)),-IF($P459=1,-$K459,$K459),0))))</f>
        <v>0</v>
      </c>
      <c r="U459" s="6">
        <f>IF($K459="","",IF(ISNUMBER(SEARCH("sortie-epargne",IFERROR(INDEX('Paramètres'!$N:$N,MATCH($D459,'Paramètres'!$M:$M,0))&amp;"",""))),$K459,0))</f>
        <v>0</v>
      </c>
      <c r="V459" s="6" t="str">
        <f>IF(AND($A459&lt;&gt;"",$O459=1,$L459="Débit",N($Q459)&gt;0,$A459&gt;=Visualisation!$B$1,$A459&lt;Visualisation!$D$1),MAX($V$1:V458)+1,"")</f>
        <v/>
      </c>
    </row>
    <row r="460" spans="1:22" x14ac:dyDescent="0.25">
      <c r="A460" s="9">
        <v>45873</v>
      </c>
      <c r="B460" s="4" t="s">
        <v>76</v>
      </c>
      <c r="C460" s="4" t="s">
        <v>67</v>
      </c>
      <c r="D460" s="4" t="s">
        <v>77</v>
      </c>
      <c r="E460" s="10">
        <v>147.32</v>
      </c>
      <c r="G460" s="4" t="s">
        <v>78</v>
      </c>
      <c r="H460" s="4" t="s">
        <v>148</v>
      </c>
      <c r="I460" s="4" t="s">
        <v>73</v>
      </c>
      <c r="K460" s="11">
        <f>IF($E460="","",ROUND($E460*IF(ISNA(MATCH($C460,'Paramètres'!$D:$D,0)),1,IF(INDEX('Paramètres'!$J:$J,MATCH($C460,'Paramètres'!$D:$D,0))="",1,INDEX('Paramètres'!$J:$J,MATCH($C460,'Paramètres'!$D:$D,0)))),2))</f>
        <v>73.66</v>
      </c>
      <c r="L460" s="6" t="str">
        <f>IF($D460="","",IF($F460&lt;&gt;"",$F460,IF(ISNA(MATCH($D460,'Paramètres'!$M:$M,0)),"⚠ Type inconnu",IFERROR(INDEX('Paramètres'!$P:$P,MATCH($D460,'Paramètres'!$M:$M,0))&amp;"",""))))</f>
        <v>Débit</v>
      </c>
      <c r="M460" s="6" t="str">
        <f>IF($D460="","",IF(ISNA(MATCH($D460,'Paramètres'!$M:$M,0)),"⚠ Type inconnu",IF($L460="Crédit","",IFERROR(INDEX('Paramètres'!$O:$O,MATCH($D460,'Paramètres'!$M:$M,0))&amp;"",""))))</f>
        <v>Dépense Courante</v>
      </c>
      <c r="N460" s="6" t="str">
        <f>IF($D460="","",IFERROR(INDEX('Paramètres'!$Q:$Q,MATCH($D460,'Paramètres'!$M:$M,0))&amp;"",""))</f>
        <v>Alimentation</v>
      </c>
      <c r="O460" s="6">
        <f>IF($A460="","",IF(OR($J460&lt;&gt;"x",$A460&lt;=FinReleve),1,0))</f>
        <v>1</v>
      </c>
      <c r="P460" s="6">
        <f>IF($D460="","",IF(AND($L460="Crédit",OR(IFERROR(INDEX('Paramètres'!$O:$O,MATCH($D460,'Paramètres'!$M:$M,0))&amp;"","")&lt;&gt;"",ISNUMBER(SEARCH("remboursement",IFERROR(INDEX('Paramètres'!$N:$N,MATCH($D460,'Paramètres'!$M:$M,0))&amp;"",""))))),1,0))</f>
        <v>0</v>
      </c>
      <c r="Q460" s="6">
        <f>IF($K460="","",IF(ISNUMBER(SEARCH("transfert-interne",IFERROR(INDEX('Paramètres'!$N:$N,MATCH($D460,'Paramètres'!$M:$M,0))&amp;"",""))),0,IF($L460="Débit",$K460,IF($P460=1,-$K460,0))))</f>
        <v>73.66</v>
      </c>
      <c r="R460" s="6">
        <f>IF($K460="","",IF($L460="Crédit",$K460,-$K460))</f>
        <v>-73.66</v>
      </c>
      <c r="S460" s="6" t="str">
        <f>IF($C460="","",IFERROR(INDEX('Paramètres'!$H:$H,MATCH($C460,'Paramètres'!$D:$D,0))&amp;"",""))</f>
        <v>Banque A - Courant</v>
      </c>
      <c r="T460" s="6">
        <f>IF($K460="","",IF($S460="",0,IF(ISNUMBER(SEARCH("apport-exterieur",IFERROR(INDEX('Paramètres'!$N:$N,MATCH($D460,'Paramètres'!$M:$M,0))&amp;"",""))),0,IF(OR(IFERROR(INDEX('Paramètres'!$I:$I,MATCH($C460,'Paramètres'!$D:$D,0))&amp;"","")="Les deux",IFERROR(INDEX('Paramètres'!$I:$I,MATCH($C460,'Paramètres'!$D:$D,0))&amp;"","")=IF($P460=1,"Débit",$L460)),-IF($P460=1,-$K460,$K460),0))))</f>
        <v>0</v>
      </c>
      <c r="U460" s="6">
        <f>IF($K460="","",IF(ISNUMBER(SEARCH("sortie-epargne",IFERROR(INDEX('Paramètres'!$N:$N,MATCH($D460,'Paramètres'!$M:$M,0))&amp;"",""))),$K460,0))</f>
        <v>0</v>
      </c>
      <c r="V460" s="6" t="str">
        <f>IF(AND($A460&lt;&gt;"",$O460=1,$L460="Débit",N($Q460)&gt;0,$A460&gt;=Visualisation!$B$1,$A460&lt;Visualisation!$D$1),MAX($V$1:V459)+1,"")</f>
        <v/>
      </c>
    </row>
    <row r="461" spans="1:22" x14ac:dyDescent="0.25">
      <c r="A461" s="9">
        <v>45873</v>
      </c>
      <c r="B461" s="4" t="s">
        <v>80</v>
      </c>
      <c r="C461" s="4" t="s">
        <v>70</v>
      </c>
      <c r="D461" s="4" t="s">
        <v>81</v>
      </c>
      <c r="E461" s="10">
        <v>126.05</v>
      </c>
      <c r="G461" s="4"/>
      <c r="H461" s="4"/>
      <c r="I461" s="4"/>
      <c r="K461" s="11">
        <f>IF($E461="","",ROUND($E461*IF(ISNA(MATCH($C461,'Paramètres'!$D:$D,0)),1,IF(INDEX('Paramètres'!$J:$J,MATCH($C461,'Paramètres'!$D:$D,0))="",1,INDEX('Paramètres'!$J:$J,MATCH($C461,'Paramètres'!$D:$D,0)))),2))</f>
        <v>126.05</v>
      </c>
      <c r="L461" s="6" t="str">
        <f>IF($D461="","",IF($F461&lt;&gt;"",$F461,IF(ISNA(MATCH($D461,'Paramètres'!$M:$M,0)),"⚠ Type inconnu",IFERROR(INDEX('Paramètres'!$P:$P,MATCH($D461,'Paramètres'!$M:$M,0))&amp;"",""))))</f>
        <v>Crédit</v>
      </c>
      <c r="M461" s="6" t="str">
        <f>IF($D461="","",IF(ISNA(MATCH($D461,'Paramètres'!$M:$M,0)),"⚠ Type inconnu",IF($L461="Crédit","",IFERROR(INDEX('Paramètres'!$O:$O,MATCH($D461,'Paramètres'!$M:$M,0))&amp;"",""))))</f>
        <v/>
      </c>
      <c r="N461" s="6" t="str">
        <f>IF($D461="","",IFERROR(INDEX('Paramètres'!$Q:$Q,MATCH($D461,'Paramètres'!$M:$M,0))&amp;"",""))</f>
        <v>Comptes Bancaires</v>
      </c>
      <c r="O461" s="6">
        <f>IF($A461="","",IF(OR($J461&lt;&gt;"x",$A461&lt;=FinReleve),1,0))</f>
        <v>1</v>
      </c>
      <c r="P461" s="6">
        <f>IF($D461="","",IF(AND($L461="Crédit",OR(IFERROR(INDEX('Paramètres'!$O:$O,MATCH($D461,'Paramètres'!$M:$M,0))&amp;"","")&lt;&gt;"",ISNUMBER(SEARCH("remboursement",IFERROR(INDEX('Paramètres'!$N:$N,MATCH($D461,'Paramètres'!$M:$M,0))&amp;"",""))))),1,0))</f>
        <v>0</v>
      </c>
      <c r="Q461" s="6">
        <f>IF($K461="","",IF(ISNUMBER(SEARCH("transfert-interne",IFERROR(INDEX('Paramètres'!$N:$N,MATCH($D461,'Paramètres'!$M:$M,0))&amp;"",""))),0,IF($L461="Débit",$K461,IF($P461=1,-$K461,0))))</f>
        <v>0</v>
      </c>
      <c r="R461" s="6">
        <f>IF($K461="","",IF($L461="Crédit",$K461,-$K461))</f>
        <v>126.05</v>
      </c>
      <c r="S461" s="6" t="str">
        <f>IF($C461="","",IFERROR(INDEX('Paramètres'!$H:$H,MATCH($C461,'Paramètres'!$D:$D,0))&amp;"",""))</f>
        <v/>
      </c>
      <c r="T461" s="6">
        <f>IF($K461="","",IF($S461="",0,IF(ISNUMBER(SEARCH("apport-exterieur",IFERROR(INDEX('Paramètres'!$N:$N,MATCH($D461,'Paramètres'!$M:$M,0))&amp;"",""))),0,IF(OR(IFERROR(INDEX('Paramètres'!$I:$I,MATCH($C461,'Paramètres'!$D:$D,0))&amp;"","")="Les deux",IFERROR(INDEX('Paramètres'!$I:$I,MATCH($C461,'Paramètres'!$D:$D,0))&amp;"","")=IF($P461=1,"Débit",$L461)),-IF($P461=1,-$K461,$K461),0))))</f>
        <v>0</v>
      </c>
      <c r="U461" s="6">
        <f>IF($K461="","",IF(ISNUMBER(SEARCH("sortie-epargne",IFERROR(INDEX('Paramètres'!$N:$N,MATCH($D461,'Paramètres'!$M:$M,0))&amp;"",""))),$K461,0))</f>
        <v>0</v>
      </c>
      <c r="V461" s="6" t="str">
        <f>IF(AND($A461&lt;&gt;"",$O461=1,$L461="Débit",N($Q461)&gt;0,$A461&gt;=Visualisation!$B$1,$A461&lt;Visualisation!$D$1),MAX($V$1:V460)+1,"")</f>
        <v/>
      </c>
    </row>
    <row r="462" spans="1:22" x14ac:dyDescent="0.25">
      <c r="A462" s="9">
        <v>45874</v>
      </c>
      <c r="B462" s="4" t="s">
        <v>82</v>
      </c>
      <c r="C462" s="4" t="s">
        <v>65</v>
      </c>
      <c r="D462" s="4" t="s">
        <v>83</v>
      </c>
      <c r="E462" s="10">
        <v>656.25</v>
      </c>
      <c r="G462" s="4" t="s">
        <v>84</v>
      </c>
      <c r="H462" s="4"/>
      <c r="I462" s="4"/>
      <c r="K462" s="11">
        <f>IF($E462="","",ROUND($E462*IF(ISNA(MATCH($C462,'Paramètres'!$D:$D,0)),1,IF(INDEX('Paramètres'!$J:$J,MATCH($C462,'Paramètres'!$D:$D,0))="",1,INDEX('Paramètres'!$J:$J,MATCH($C462,'Paramètres'!$D:$D,0)))),2))</f>
        <v>656.25</v>
      </c>
      <c r="L462" s="6" t="str">
        <f>IF($D462="","",IF($F462&lt;&gt;"",$F462,IF(ISNA(MATCH($D462,'Paramètres'!$M:$M,0)),"⚠ Type inconnu",IFERROR(INDEX('Paramètres'!$P:$P,MATCH($D462,'Paramètres'!$M:$M,0))&amp;"",""))))</f>
        <v>Débit</v>
      </c>
      <c r="M462" s="6" t="str">
        <f>IF($D462="","",IF(ISNA(MATCH($D462,'Paramètres'!$M:$M,0)),"⚠ Type inconnu",IF($L462="Crédit","",IFERROR(INDEX('Paramètres'!$O:$O,MATCH($D462,'Paramètres'!$M:$M,0))&amp;"",""))))</f>
        <v/>
      </c>
      <c r="N462" s="6" t="str">
        <f>IF($D462="","",IFERROR(INDEX('Paramètres'!$Q:$Q,MATCH($D462,'Paramètres'!$M:$M,0))&amp;"",""))</f>
        <v>Immobilier</v>
      </c>
      <c r="O462" s="6">
        <f>IF($A462="","",IF(OR($J462&lt;&gt;"x",$A462&lt;=FinReleve),1,0))</f>
        <v>1</v>
      </c>
      <c r="P462" s="6">
        <f>IF($D462="","",IF(AND($L462="Crédit",OR(IFERROR(INDEX('Paramètres'!$O:$O,MATCH($D462,'Paramètres'!$M:$M,0))&amp;"","")&lt;&gt;"",ISNUMBER(SEARCH("remboursement",IFERROR(INDEX('Paramètres'!$N:$N,MATCH($D462,'Paramètres'!$M:$M,0))&amp;"",""))))),1,0))</f>
        <v>0</v>
      </c>
      <c r="Q462" s="6">
        <f>IF($K462="","",IF(ISNUMBER(SEARCH("transfert-interne",IFERROR(INDEX('Paramètres'!$N:$N,MATCH($D462,'Paramètres'!$M:$M,0))&amp;"",""))),0,IF($L462="Débit",$K462,IF($P462=1,-$K462,0))))</f>
        <v>656.25</v>
      </c>
      <c r="R462" s="6">
        <f>IF($K462="","",IF($L462="Crédit",$K462,-$K462))</f>
        <v>-656.25</v>
      </c>
      <c r="S462" s="6" t="str">
        <f>IF($C462="","",IFERROR(INDEX('Paramètres'!$H:$H,MATCH($C462,'Paramètres'!$D:$D,0))&amp;"",""))</f>
        <v>Banque A - Courant</v>
      </c>
      <c r="T462" s="6">
        <f>IF($K462="","",IF($S462="",0,IF(ISNUMBER(SEARCH("apport-exterieur",IFERROR(INDEX('Paramètres'!$N:$N,MATCH($D462,'Paramètres'!$M:$M,0))&amp;"",""))),0,IF(OR(IFERROR(INDEX('Paramètres'!$I:$I,MATCH($C462,'Paramètres'!$D:$D,0))&amp;"","")="Les deux",IFERROR(INDEX('Paramètres'!$I:$I,MATCH($C462,'Paramètres'!$D:$D,0))&amp;"","")=IF($P462=1,"Débit",$L462)),-IF($P462=1,-$K462,$K462),0))))</f>
        <v>0</v>
      </c>
      <c r="U462" s="6">
        <f>IF($K462="","",IF(ISNUMBER(SEARCH("sortie-epargne",IFERROR(INDEX('Paramètres'!$N:$N,MATCH($D462,'Paramètres'!$M:$M,0))&amp;"",""))),$K462,0))</f>
        <v>0</v>
      </c>
      <c r="V462" s="6" t="str">
        <f>IF(AND($A462&lt;&gt;"",$O462=1,$L462="Débit",N($Q462)&gt;0,$A462&gt;=Visualisation!$B$1,$A462&lt;Visualisation!$D$1),MAX($V$1:V461)+1,"")</f>
        <v/>
      </c>
    </row>
    <row r="463" spans="1:22" x14ac:dyDescent="0.25">
      <c r="A463" s="9">
        <v>45874</v>
      </c>
      <c r="B463" s="4" t="s">
        <v>85</v>
      </c>
      <c r="C463" s="4" t="s">
        <v>65</v>
      </c>
      <c r="D463" s="4" t="s">
        <v>86</v>
      </c>
      <c r="E463" s="10">
        <v>237.39</v>
      </c>
      <c r="G463" s="4" t="s">
        <v>87</v>
      </c>
      <c r="H463" s="4"/>
      <c r="I463" s="4"/>
      <c r="K463" s="11">
        <f>IF($E463="","",ROUND($E463*IF(ISNA(MATCH($C463,'Paramètres'!$D:$D,0)),1,IF(INDEX('Paramètres'!$J:$J,MATCH($C463,'Paramètres'!$D:$D,0))="",1,INDEX('Paramètres'!$J:$J,MATCH($C463,'Paramètres'!$D:$D,0)))),2))</f>
        <v>237.39</v>
      </c>
      <c r="L463" s="6" t="str">
        <f>IF($D463="","",IF($F463&lt;&gt;"",$F463,IF(ISNA(MATCH($D463,'Paramètres'!$M:$M,0)),"⚠ Type inconnu",IFERROR(INDEX('Paramètres'!$P:$P,MATCH($D463,'Paramètres'!$M:$M,0))&amp;"",""))))</f>
        <v>Débit</v>
      </c>
      <c r="M463" s="6" t="str">
        <f>IF($D463="","",IF(ISNA(MATCH($D463,'Paramètres'!$M:$M,0)),"⚠ Type inconnu",IF($L463="Crédit","",IFERROR(INDEX('Paramètres'!$O:$O,MATCH($D463,'Paramètres'!$M:$M,0))&amp;"",""))))</f>
        <v>Dépense Fixe</v>
      </c>
      <c r="N463" s="6" t="str">
        <f>IF($D463="","",IFERROR(INDEX('Paramètres'!$Q:$Q,MATCH($D463,'Paramètres'!$M:$M,0))&amp;"",""))</f>
        <v>Immobilier</v>
      </c>
      <c r="O463" s="6">
        <f>IF($A463="","",IF(OR($J463&lt;&gt;"x",$A463&lt;=FinReleve),1,0))</f>
        <v>1</v>
      </c>
      <c r="P463" s="6">
        <f>IF($D463="","",IF(AND($L463="Crédit",OR(IFERROR(INDEX('Paramètres'!$O:$O,MATCH($D463,'Paramètres'!$M:$M,0))&amp;"","")&lt;&gt;"",ISNUMBER(SEARCH("remboursement",IFERROR(INDEX('Paramètres'!$N:$N,MATCH($D463,'Paramètres'!$M:$M,0))&amp;"",""))))),1,0))</f>
        <v>0</v>
      </c>
      <c r="Q463" s="6">
        <f>IF($K463="","",IF(ISNUMBER(SEARCH("transfert-interne",IFERROR(INDEX('Paramètres'!$N:$N,MATCH($D463,'Paramètres'!$M:$M,0))&amp;"",""))),0,IF($L463="Débit",$K463,IF($P463=1,-$K463,0))))</f>
        <v>237.39</v>
      </c>
      <c r="R463" s="6">
        <f>IF($K463="","",IF($L463="Crédit",$K463,-$K463))</f>
        <v>-237.39</v>
      </c>
      <c r="S463" s="6" t="str">
        <f>IF($C463="","",IFERROR(INDEX('Paramètres'!$H:$H,MATCH($C463,'Paramètres'!$D:$D,0))&amp;"",""))</f>
        <v>Banque A - Courant</v>
      </c>
      <c r="T463" s="6">
        <f>IF($K463="","",IF($S463="",0,IF(ISNUMBER(SEARCH("apport-exterieur",IFERROR(INDEX('Paramètres'!$N:$N,MATCH($D463,'Paramètres'!$M:$M,0))&amp;"",""))),0,IF(OR(IFERROR(INDEX('Paramètres'!$I:$I,MATCH($C463,'Paramètres'!$D:$D,0))&amp;"","")="Les deux",IFERROR(INDEX('Paramètres'!$I:$I,MATCH($C463,'Paramètres'!$D:$D,0))&amp;"","")=IF($P463=1,"Débit",$L463)),-IF($P463=1,-$K463,$K463),0))))</f>
        <v>0</v>
      </c>
      <c r="U463" s="6">
        <f>IF($K463="","",IF(ISNUMBER(SEARCH("sortie-epargne",IFERROR(INDEX('Paramètres'!$N:$N,MATCH($D463,'Paramètres'!$M:$M,0))&amp;"",""))),$K463,0))</f>
        <v>0</v>
      </c>
      <c r="V463" s="6" t="str">
        <f>IF(AND($A463&lt;&gt;"",$O463=1,$L463="Débit",N($Q463)&gt;0,$A463&gt;=Visualisation!$B$1,$A463&lt;Visualisation!$D$1),MAX($V$1:V462)+1,"")</f>
        <v/>
      </c>
    </row>
    <row r="464" spans="1:22" x14ac:dyDescent="0.25">
      <c r="A464" s="9">
        <v>45874</v>
      </c>
      <c r="B464" s="4" t="s">
        <v>88</v>
      </c>
      <c r="C464" s="4" t="s">
        <v>65</v>
      </c>
      <c r="D464" s="4" t="s">
        <v>88</v>
      </c>
      <c r="E464" s="10">
        <v>31.2</v>
      </c>
      <c r="G464" s="4"/>
      <c r="H464" s="4"/>
      <c r="I464" s="4"/>
      <c r="K464" s="11">
        <f>IF($E464="","",ROUND($E464*IF(ISNA(MATCH($C464,'Paramètres'!$D:$D,0)),1,IF(INDEX('Paramètres'!$J:$J,MATCH($C464,'Paramètres'!$D:$D,0))="",1,INDEX('Paramètres'!$J:$J,MATCH($C464,'Paramètres'!$D:$D,0)))),2))</f>
        <v>31.2</v>
      </c>
      <c r="L464" s="6" t="str">
        <f>IF($D464="","",IF($F464&lt;&gt;"",$F464,IF(ISNA(MATCH($D464,'Paramètres'!$M:$M,0)),"⚠ Type inconnu",IFERROR(INDEX('Paramètres'!$P:$P,MATCH($D464,'Paramètres'!$M:$M,0))&amp;"",""))))</f>
        <v>Débit</v>
      </c>
      <c r="M464" s="6" t="str">
        <f>IF($D464="","",IF(ISNA(MATCH($D464,'Paramètres'!$M:$M,0)),"⚠ Type inconnu",IF($L464="Crédit","",IFERROR(INDEX('Paramètres'!$O:$O,MATCH($D464,'Paramètres'!$M:$M,0))&amp;"",""))))</f>
        <v>Dépense Fixe</v>
      </c>
      <c r="N464" s="6" t="str">
        <f>IF($D464="","",IFERROR(INDEX('Paramètres'!$Q:$Q,MATCH($D464,'Paramètres'!$M:$M,0))&amp;"",""))</f>
        <v>Assurances</v>
      </c>
      <c r="O464" s="6">
        <f>IF($A464="","",IF(OR($J464&lt;&gt;"x",$A464&lt;=FinReleve),1,0))</f>
        <v>1</v>
      </c>
      <c r="P464" s="6">
        <f>IF($D464="","",IF(AND($L464="Crédit",OR(IFERROR(INDEX('Paramètres'!$O:$O,MATCH($D464,'Paramètres'!$M:$M,0))&amp;"","")&lt;&gt;"",ISNUMBER(SEARCH("remboursement",IFERROR(INDEX('Paramètres'!$N:$N,MATCH($D464,'Paramètres'!$M:$M,0))&amp;"",""))))),1,0))</f>
        <v>0</v>
      </c>
      <c r="Q464" s="6">
        <f>IF($K464="","",IF(ISNUMBER(SEARCH("transfert-interne",IFERROR(INDEX('Paramètres'!$N:$N,MATCH($D464,'Paramètres'!$M:$M,0))&amp;"",""))),0,IF($L464="Débit",$K464,IF($P464=1,-$K464,0))))</f>
        <v>31.2</v>
      </c>
      <c r="R464" s="6">
        <f>IF($K464="","",IF($L464="Crédit",$K464,-$K464))</f>
        <v>-31.2</v>
      </c>
      <c r="S464" s="6" t="str">
        <f>IF($C464="","",IFERROR(INDEX('Paramètres'!$H:$H,MATCH($C464,'Paramètres'!$D:$D,0))&amp;"",""))</f>
        <v>Banque A - Courant</v>
      </c>
      <c r="T464" s="6">
        <f>IF($K464="","",IF($S464="",0,IF(ISNUMBER(SEARCH("apport-exterieur",IFERROR(INDEX('Paramètres'!$N:$N,MATCH($D464,'Paramètres'!$M:$M,0))&amp;"",""))),0,IF(OR(IFERROR(INDEX('Paramètres'!$I:$I,MATCH($C464,'Paramètres'!$D:$D,0))&amp;"","")="Les deux",IFERROR(INDEX('Paramètres'!$I:$I,MATCH($C464,'Paramètres'!$D:$D,0))&amp;"","")=IF($P464=1,"Débit",$L464)),-IF($P464=1,-$K464,$K464),0))))</f>
        <v>0</v>
      </c>
      <c r="U464" s="6">
        <f>IF($K464="","",IF(ISNUMBER(SEARCH("sortie-epargne",IFERROR(INDEX('Paramètres'!$N:$N,MATCH($D464,'Paramètres'!$M:$M,0))&amp;"",""))),$K464,0))</f>
        <v>0</v>
      </c>
      <c r="V464" s="6" t="str">
        <f>IF(AND($A464&lt;&gt;"",$O464=1,$L464="Débit",N($Q464)&gt;0,$A464&gt;=Visualisation!$B$1,$A464&lt;Visualisation!$D$1),MAX($V$1:V463)+1,"")</f>
        <v/>
      </c>
    </row>
    <row r="465" spans="1:22" x14ac:dyDescent="0.25">
      <c r="A465" s="9">
        <v>45874</v>
      </c>
      <c r="B465" s="4" t="s">
        <v>76</v>
      </c>
      <c r="C465" s="4" t="s">
        <v>67</v>
      </c>
      <c r="D465" s="4" t="s">
        <v>77</v>
      </c>
      <c r="E465" s="10">
        <v>69.64</v>
      </c>
      <c r="G465" s="4" t="s">
        <v>102</v>
      </c>
      <c r="H465" s="4" t="s">
        <v>148</v>
      </c>
      <c r="I465" s="4" t="s">
        <v>73</v>
      </c>
      <c r="K465" s="11">
        <f>IF($E465="","",ROUND($E465*IF(ISNA(MATCH($C465,'Paramètres'!$D:$D,0)),1,IF(INDEX('Paramètres'!$J:$J,MATCH($C465,'Paramètres'!$D:$D,0))="",1,INDEX('Paramètres'!$J:$J,MATCH($C465,'Paramètres'!$D:$D,0)))),2))</f>
        <v>34.82</v>
      </c>
      <c r="L465" s="6" t="str">
        <f>IF($D465="","",IF($F465&lt;&gt;"",$F465,IF(ISNA(MATCH($D465,'Paramètres'!$M:$M,0)),"⚠ Type inconnu",IFERROR(INDEX('Paramètres'!$P:$P,MATCH($D465,'Paramètres'!$M:$M,0))&amp;"",""))))</f>
        <v>Débit</v>
      </c>
      <c r="M465" s="6" t="str">
        <f>IF($D465="","",IF(ISNA(MATCH($D465,'Paramètres'!$M:$M,0)),"⚠ Type inconnu",IF($L465="Crédit","",IFERROR(INDEX('Paramètres'!$O:$O,MATCH($D465,'Paramètres'!$M:$M,0))&amp;"",""))))</f>
        <v>Dépense Courante</v>
      </c>
      <c r="N465" s="6" t="str">
        <f>IF($D465="","",IFERROR(INDEX('Paramètres'!$Q:$Q,MATCH($D465,'Paramètres'!$M:$M,0))&amp;"",""))</f>
        <v>Alimentation</v>
      </c>
      <c r="O465" s="6">
        <f>IF($A465="","",IF(OR($J465&lt;&gt;"x",$A465&lt;=FinReleve),1,0))</f>
        <v>1</v>
      </c>
      <c r="P465" s="6">
        <f>IF($D465="","",IF(AND($L465="Crédit",OR(IFERROR(INDEX('Paramètres'!$O:$O,MATCH($D465,'Paramètres'!$M:$M,0))&amp;"","")&lt;&gt;"",ISNUMBER(SEARCH("remboursement",IFERROR(INDEX('Paramètres'!$N:$N,MATCH($D465,'Paramètres'!$M:$M,0))&amp;"",""))))),1,0))</f>
        <v>0</v>
      </c>
      <c r="Q465" s="6">
        <f>IF($K465="","",IF(ISNUMBER(SEARCH("transfert-interne",IFERROR(INDEX('Paramètres'!$N:$N,MATCH($D465,'Paramètres'!$M:$M,0))&amp;"",""))),0,IF($L465="Débit",$K465,IF($P465=1,-$K465,0))))</f>
        <v>34.82</v>
      </c>
      <c r="R465" s="6">
        <f>IF($K465="","",IF($L465="Crédit",$K465,-$K465))</f>
        <v>-34.82</v>
      </c>
      <c r="S465" s="6" t="str">
        <f>IF($C465="","",IFERROR(INDEX('Paramètres'!$H:$H,MATCH($C465,'Paramètres'!$D:$D,0))&amp;"",""))</f>
        <v>Banque A - Courant</v>
      </c>
      <c r="T465" s="6">
        <f>IF($K465="","",IF($S465="",0,IF(ISNUMBER(SEARCH("apport-exterieur",IFERROR(INDEX('Paramètres'!$N:$N,MATCH($D465,'Paramètres'!$M:$M,0))&amp;"",""))),0,IF(OR(IFERROR(INDEX('Paramètres'!$I:$I,MATCH($C465,'Paramètres'!$D:$D,0))&amp;"","")="Les deux",IFERROR(INDEX('Paramètres'!$I:$I,MATCH($C465,'Paramètres'!$D:$D,0))&amp;"","")=IF($P465=1,"Débit",$L465)),-IF($P465=1,-$K465,$K465),0))))</f>
        <v>0</v>
      </c>
      <c r="U465" s="6">
        <f>IF($K465="","",IF(ISNUMBER(SEARCH("sortie-epargne",IFERROR(INDEX('Paramètres'!$N:$N,MATCH($D465,'Paramètres'!$M:$M,0))&amp;"",""))),$K465,0))</f>
        <v>0</v>
      </c>
      <c r="V465" s="6" t="str">
        <f>IF(AND($A465&lt;&gt;"",$O465=1,$L465="Débit",N($Q465)&gt;0,$A465&gt;=Visualisation!$B$1,$A465&lt;Visualisation!$D$1),MAX($V$1:V464)+1,"")</f>
        <v/>
      </c>
    </row>
    <row r="466" spans="1:22" x14ac:dyDescent="0.25">
      <c r="A466" s="9">
        <v>45875</v>
      </c>
      <c r="B466" s="4" t="s">
        <v>89</v>
      </c>
      <c r="C466" s="4" t="s">
        <v>75</v>
      </c>
      <c r="D466" s="4" t="s">
        <v>89</v>
      </c>
      <c r="E466" s="10">
        <v>49.9</v>
      </c>
      <c r="G466" s="4"/>
      <c r="H466" s="4"/>
      <c r="I466" s="4"/>
      <c r="K466" s="11">
        <f>IF($E466="","",ROUND($E466*IF(ISNA(MATCH($C466,'Paramètres'!$D:$D,0)),1,IF(INDEX('Paramètres'!$J:$J,MATCH($C466,'Paramètres'!$D:$D,0))="",1,INDEX('Paramètres'!$J:$J,MATCH($C466,'Paramètres'!$D:$D,0)))),2))</f>
        <v>49.9</v>
      </c>
      <c r="L466" s="6" t="str">
        <f>IF($D466="","",IF($F466&lt;&gt;"",$F466,IF(ISNA(MATCH($D466,'Paramètres'!$M:$M,0)),"⚠ Type inconnu",IFERROR(INDEX('Paramètres'!$P:$P,MATCH($D466,'Paramètres'!$M:$M,0))&amp;"",""))))</f>
        <v>Débit</v>
      </c>
      <c r="M466" s="6" t="str">
        <f>IF($D466="","",IF(ISNA(MATCH($D466,'Paramètres'!$M:$M,0)),"⚠ Type inconnu",IF($L466="Crédit","",IFERROR(INDEX('Paramètres'!$O:$O,MATCH($D466,'Paramètres'!$M:$M,0))&amp;"",""))))</f>
        <v>Dépense Fixe</v>
      </c>
      <c r="N466" s="6" t="str">
        <f>IF($D466="","",IFERROR(INDEX('Paramètres'!$Q:$Q,MATCH($D466,'Paramètres'!$M:$M,0))&amp;"",""))</f>
        <v>Autre</v>
      </c>
      <c r="O466" s="6">
        <f>IF($A466="","",IF(OR($J466&lt;&gt;"x",$A466&lt;=FinReleve),1,0))</f>
        <v>1</v>
      </c>
      <c r="P466" s="6">
        <f>IF($D466="","",IF(AND($L466="Crédit",OR(IFERROR(INDEX('Paramètres'!$O:$O,MATCH($D466,'Paramètres'!$M:$M,0))&amp;"","")&lt;&gt;"",ISNUMBER(SEARCH("remboursement",IFERROR(INDEX('Paramètres'!$N:$N,MATCH($D466,'Paramètres'!$M:$M,0))&amp;"",""))))),1,0))</f>
        <v>0</v>
      </c>
      <c r="Q466" s="6">
        <f>IF($K466="","",IF(ISNUMBER(SEARCH("transfert-interne",IFERROR(INDEX('Paramètres'!$N:$N,MATCH($D466,'Paramètres'!$M:$M,0))&amp;"",""))),0,IF($L466="Débit",$K466,IF($P466=1,-$K466,0))))</f>
        <v>49.9</v>
      </c>
      <c r="R466" s="6">
        <f>IF($K466="","",IF($L466="Crédit",$K466,-$K466))</f>
        <v>-49.9</v>
      </c>
      <c r="S466" s="6" t="str">
        <f>IF($C466="","",IFERROR(INDEX('Paramètres'!$H:$H,MATCH($C466,'Paramètres'!$D:$D,0))&amp;"",""))</f>
        <v/>
      </c>
      <c r="T466" s="6">
        <f>IF($K466="","",IF($S466="",0,IF(ISNUMBER(SEARCH("apport-exterieur",IFERROR(INDEX('Paramètres'!$N:$N,MATCH($D466,'Paramètres'!$M:$M,0))&amp;"",""))),0,IF(OR(IFERROR(INDEX('Paramètres'!$I:$I,MATCH($C466,'Paramètres'!$D:$D,0))&amp;"","")="Les deux",IFERROR(INDEX('Paramètres'!$I:$I,MATCH($C466,'Paramètres'!$D:$D,0))&amp;"","")=IF($P466=1,"Débit",$L466)),-IF($P466=1,-$K466,$K466),0))))</f>
        <v>0</v>
      </c>
      <c r="U466" s="6">
        <f>IF($K466="","",IF(ISNUMBER(SEARCH("sortie-epargne",IFERROR(INDEX('Paramètres'!$N:$N,MATCH($D466,'Paramètres'!$M:$M,0))&amp;"",""))),$K466,0))</f>
        <v>0</v>
      </c>
      <c r="V466" s="6" t="str">
        <f>IF(AND($A466&lt;&gt;"",$O466=1,$L466="Débit",N($Q466)&gt;0,$A466&gt;=Visualisation!$B$1,$A466&lt;Visualisation!$D$1),MAX($V$1:V465)+1,"")</f>
        <v/>
      </c>
    </row>
    <row r="467" spans="1:22" x14ac:dyDescent="0.25">
      <c r="A467" s="9">
        <v>45876</v>
      </c>
      <c r="B467" s="4" t="s">
        <v>69</v>
      </c>
      <c r="C467" s="4" t="s">
        <v>70</v>
      </c>
      <c r="D467" s="4" t="s">
        <v>71</v>
      </c>
      <c r="E467" s="10">
        <v>7.9</v>
      </c>
      <c r="G467" s="4" t="s">
        <v>72</v>
      </c>
      <c r="H467" s="4"/>
      <c r="I467" s="4" t="s">
        <v>79</v>
      </c>
      <c r="K467" s="11">
        <f>IF($E467="","",ROUND($E467*IF(ISNA(MATCH($C467,'Paramètres'!$D:$D,0)),1,IF(INDEX('Paramètres'!$J:$J,MATCH($C467,'Paramètres'!$D:$D,0))="",1,INDEX('Paramètres'!$J:$J,MATCH($C467,'Paramètres'!$D:$D,0)))),2))</f>
        <v>7.9</v>
      </c>
      <c r="L467" s="6" t="str">
        <f>IF($D467="","",IF($F467&lt;&gt;"",$F467,IF(ISNA(MATCH($D467,'Paramètres'!$M:$M,0)),"⚠ Type inconnu",IFERROR(INDEX('Paramètres'!$P:$P,MATCH($D467,'Paramètres'!$M:$M,0))&amp;"",""))))</f>
        <v>Débit</v>
      </c>
      <c r="M467" s="6" t="str">
        <f>IF($D467="","",IF(ISNA(MATCH($D467,'Paramètres'!$M:$M,0)),"⚠ Type inconnu",IF($L467="Crédit","",IFERROR(INDEX('Paramètres'!$O:$O,MATCH($D467,'Paramètres'!$M:$M,0))&amp;"",""))))</f>
        <v>Dépense Courante</v>
      </c>
      <c r="N467" s="6" t="str">
        <f>IF($D467="","",IFERROR(INDEX('Paramètres'!$Q:$Q,MATCH($D467,'Paramètres'!$M:$M,0))&amp;"",""))</f>
        <v>Alimentation</v>
      </c>
      <c r="O467" s="6">
        <f>IF($A467="","",IF(OR($J467&lt;&gt;"x",$A467&lt;=FinReleve),1,0))</f>
        <v>1</v>
      </c>
      <c r="P467" s="6">
        <f>IF($D467="","",IF(AND($L467="Crédit",OR(IFERROR(INDEX('Paramètres'!$O:$O,MATCH($D467,'Paramètres'!$M:$M,0))&amp;"","")&lt;&gt;"",ISNUMBER(SEARCH("remboursement",IFERROR(INDEX('Paramètres'!$N:$N,MATCH($D467,'Paramètres'!$M:$M,0))&amp;"",""))))),1,0))</f>
        <v>0</v>
      </c>
      <c r="Q467" s="6">
        <f>IF($K467="","",IF(ISNUMBER(SEARCH("transfert-interne",IFERROR(INDEX('Paramètres'!$N:$N,MATCH($D467,'Paramètres'!$M:$M,0))&amp;"",""))),0,IF($L467="Débit",$K467,IF($P467=1,-$K467,0))))</f>
        <v>7.9</v>
      </c>
      <c r="R467" s="6">
        <f>IF($K467="","",IF($L467="Crédit",$K467,-$K467))</f>
        <v>-7.9</v>
      </c>
      <c r="S467" s="6" t="str">
        <f>IF($C467="","",IFERROR(INDEX('Paramètres'!$H:$H,MATCH($C467,'Paramètres'!$D:$D,0))&amp;"",""))</f>
        <v/>
      </c>
      <c r="T467" s="6">
        <f>IF($K467="","",IF($S467="",0,IF(ISNUMBER(SEARCH("apport-exterieur",IFERROR(INDEX('Paramètres'!$N:$N,MATCH($D467,'Paramètres'!$M:$M,0))&amp;"",""))),0,IF(OR(IFERROR(INDEX('Paramètres'!$I:$I,MATCH($C467,'Paramètres'!$D:$D,0))&amp;"","")="Les deux",IFERROR(INDEX('Paramètres'!$I:$I,MATCH($C467,'Paramètres'!$D:$D,0))&amp;"","")=IF($P467=1,"Débit",$L467)),-IF($P467=1,-$K467,$K467),0))))</f>
        <v>0</v>
      </c>
      <c r="U467" s="6">
        <f>IF($K467="","",IF(ISNUMBER(SEARCH("sortie-epargne",IFERROR(INDEX('Paramètres'!$N:$N,MATCH($D467,'Paramètres'!$M:$M,0))&amp;"",""))),$K467,0))</f>
        <v>0</v>
      </c>
      <c r="V467" s="6" t="str">
        <f>IF(AND($A467&lt;&gt;"",$O467=1,$L467="Débit",N($Q467)&gt;0,$A467&gt;=Visualisation!$B$1,$A467&lt;Visualisation!$D$1),MAX($V$1:V466)+1,"")</f>
        <v/>
      </c>
    </row>
    <row r="468" spans="1:22" x14ac:dyDescent="0.25">
      <c r="A468" s="9">
        <v>45877</v>
      </c>
      <c r="B468" s="4" t="s">
        <v>94</v>
      </c>
      <c r="C468" s="4" t="s">
        <v>65</v>
      </c>
      <c r="D468" s="4" t="s">
        <v>94</v>
      </c>
      <c r="E468" s="10">
        <v>168</v>
      </c>
      <c r="G468" s="4"/>
      <c r="H468" s="4"/>
      <c r="I468" s="4"/>
      <c r="K468" s="11">
        <f>IF($E468="","",ROUND($E468*IF(ISNA(MATCH($C468,'Paramètres'!$D:$D,0)),1,IF(INDEX('Paramètres'!$J:$J,MATCH($C468,'Paramètres'!$D:$D,0))="",1,INDEX('Paramètres'!$J:$J,MATCH($C468,'Paramètres'!$D:$D,0)))),2))</f>
        <v>168</v>
      </c>
      <c r="L468" s="6" t="str">
        <f>IF($D468="","",IF($F468&lt;&gt;"",$F468,IF(ISNA(MATCH($D468,'Paramètres'!$M:$M,0)),"⚠ Type inconnu",IFERROR(INDEX('Paramètres'!$P:$P,MATCH($D468,'Paramètres'!$M:$M,0))&amp;"",""))))</f>
        <v>Débit</v>
      </c>
      <c r="M468" s="6" t="str">
        <f>IF($D468="","",IF(ISNA(MATCH($D468,'Paramètres'!$M:$M,0)),"⚠ Type inconnu",IF($L468="Crédit","",IFERROR(INDEX('Paramètres'!$O:$O,MATCH($D468,'Paramètres'!$M:$M,0))&amp;"",""))))</f>
        <v>Dépense Fixe</v>
      </c>
      <c r="N468" s="6" t="str">
        <f>IF($D468="","",IFERROR(INDEX('Paramètres'!$Q:$Q,MATCH($D468,'Paramètres'!$M:$M,0))&amp;"",""))</f>
        <v>Immobilier</v>
      </c>
      <c r="O468" s="6">
        <f>IF($A468="","",IF(OR($J468&lt;&gt;"x",$A468&lt;=FinReleve),1,0))</f>
        <v>1</v>
      </c>
      <c r="P468" s="6">
        <f>IF($D468="","",IF(AND($L468="Crédit",OR(IFERROR(INDEX('Paramètres'!$O:$O,MATCH($D468,'Paramètres'!$M:$M,0))&amp;"","")&lt;&gt;"",ISNUMBER(SEARCH("remboursement",IFERROR(INDEX('Paramètres'!$N:$N,MATCH($D468,'Paramètres'!$M:$M,0))&amp;"",""))))),1,0))</f>
        <v>0</v>
      </c>
      <c r="Q468" s="6">
        <f>IF($K468="","",IF(ISNUMBER(SEARCH("transfert-interne",IFERROR(INDEX('Paramètres'!$N:$N,MATCH($D468,'Paramètres'!$M:$M,0))&amp;"",""))),0,IF($L468="Débit",$K468,IF($P468=1,-$K468,0))))</f>
        <v>168</v>
      </c>
      <c r="R468" s="6">
        <f>IF($K468="","",IF($L468="Crédit",$K468,-$K468))</f>
        <v>-168</v>
      </c>
      <c r="S468" s="6" t="str">
        <f>IF($C468="","",IFERROR(INDEX('Paramètres'!$H:$H,MATCH($C468,'Paramètres'!$D:$D,0))&amp;"",""))</f>
        <v>Banque A - Courant</v>
      </c>
      <c r="T468" s="6">
        <f>IF($K468="","",IF($S468="",0,IF(ISNUMBER(SEARCH("apport-exterieur",IFERROR(INDEX('Paramètres'!$N:$N,MATCH($D468,'Paramètres'!$M:$M,0))&amp;"",""))),0,IF(OR(IFERROR(INDEX('Paramètres'!$I:$I,MATCH($C468,'Paramètres'!$D:$D,0))&amp;"","")="Les deux",IFERROR(INDEX('Paramètres'!$I:$I,MATCH($C468,'Paramètres'!$D:$D,0))&amp;"","")=IF($P468=1,"Débit",$L468)),-IF($P468=1,-$K468,$K468),0))))</f>
        <v>0</v>
      </c>
      <c r="U468" s="6">
        <f>IF($K468="","",IF(ISNUMBER(SEARCH("sortie-epargne",IFERROR(INDEX('Paramètres'!$N:$N,MATCH($D468,'Paramètres'!$M:$M,0))&amp;"",""))),$K468,0))</f>
        <v>0</v>
      </c>
      <c r="V468" s="6" t="str">
        <f>IF(AND($A468&lt;&gt;"",$O468=1,$L468="Débit",N($Q468)&gt;0,$A468&gt;=Visualisation!$B$1,$A468&lt;Visualisation!$D$1),MAX($V$1:V467)+1,"")</f>
        <v/>
      </c>
    </row>
    <row r="469" spans="1:22" x14ac:dyDescent="0.25">
      <c r="A469" s="9">
        <v>45877</v>
      </c>
      <c r="B469" s="4" t="s">
        <v>131</v>
      </c>
      <c r="C469" s="4" t="s">
        <v>75</v>
      </c>
      <c r="D469" s="4" t="s">
        <v>132</v>
      </c>
      <c r="E469" s="10">
        <v>54.87</v>
      </c>
      <c r="G469" s="4" t="s">
        <v>133</v>
      </c>
      <c r="H469" s="4"/>
      <c r="I469" s="4" t="s">
        <v>79</v>
      </c>
      <c r="K469" s="11">
        <f>IF($E469="","",ROUND($E469*IF(ISNA(MATCH($C469,'Paramètres'!$D:$D,0)),1,IF(INDEX('Paramètres'!$J:$J,MATCH($C469,'Paramètres'!$D:$D,0))="",1,INDEX('Paramètres'!$J:$J,MATCH($C469,'Paramètres'!$D:$D,0)))),2))</f>
        <v>54.87</v>
      </c>
      <c r="L469" s="6" t="str">
        <f>IF($D469="","",IF($F469&lt;&gt;"",$F469,IF(ISNA(MATCH($D469,'Paramètres'!$M:$M,0)),"⚠ Type inconnu",IFERROR(INDEX('Paramètres'!$P:$P,MATCH($D469,'Paramètres'!$M:$M,0))&amp;"",""))))</f>
        <v>Débit</v>
      </c>
      <c r="M469" s="6" t="str">
        <f>IF($D469="","",IF(ISNA(MATCH($D469,'Paramètres'!$M:$M,0)),"⚠ Type inconnu",IF($L469="Crédit","",IFERROR(INDEX('Paramètres'!$O:$O,MATCH($D469,'Paramètres'!$M:$M,0))&amp;"",""))))</f>
        <v>Dépense Courante</v>
      </c>
      <c r="N469" s="6" t="str">
        <f>IF($D469="","",IFERROR(INDEX('Paramètres'!$Q:$Q,MATCH($D469,'Paramètres'!$M:$M,0))&amp;"",""))</f>
        <v>Santé</v>
      </c>
      <c r="O469" s="6">
        <f>IF($A469="","",IF(OR($J469&lt;&gt;"x",$A469&lt;=FinReleve),1,0))</f>
        <v>1</v>
      </c>
      <c r="P469" s="6">
        <f>IF($D469="","",IF(AND($L469="Crédit",OR(IFERROR(INDEX('Paramètres'!$O:$O,MATCH($D469,'Paramètres'!$M:$M,0))&amp;"","")&lt;&gt;"",ISNUMBER(SEARCH("remboursement",IFERROR(INDEX('Paramètres'!$N:$N,MATCH($D469,'Paramètres'!$M:$M,0))&amp;"",""))))),1,0))</f>
        <v>0</v>
      </c>
      <c r="Q469" s="6">
        <f>IF($K469="","",IF(ISNUMBER(SEARCH("transfert-interne",IFERROR(INDEX('Paramètres'!$N:$N,MATCH($D469,'Paramètres'!$M:$M,0))&amp;"",""))),0,IF($L469="Débit",$K469,IF($P469=1,-$K469,0))))</f>
        <v>54.87</v>
      </c>
      <c r="R469" s="6">
        <f>IF($K469="","",IF($L469="Crédit",$K469,-$K469))</f>
        <v>-54.87</v>
      </c>
      <c r="S469" s="6" t="str">
        <f>IF($C469="","",IFERROR(INDEX('Paramètres'!$H:$H,MATCH($C469,'Paramètres'!$D:$D,0))&amp;"",""))</f>
        <v/>
      </c>
      <c r="T469" s="6">
        <f>IF($K469="","",IF($S469="",0,IF(ISNUMBER(SEARCH("apport-exterieur",IFERROR(INDEX('Paramètres'!$N:$N,MATCH($D469,'Paramètres'!$M:$M,0))&amp;"",""))),0,IF(OR(IFERROR(INDEX('Paramètres'!$I:$I,MATCH($C469,'Paramètres'!$D:$D,0))&amp;"","")="Les deux",IFERROR(INDEX('Paramètres'!$I:$I,MATCH($C469,'Paramètres'!$D:$D,0))&amp;"","")=IF($P469=1,"Débit",$L469)),-IF($P469=1,-$K469,$K469),0))))</f>
        <v>0</v>
      </c>
      <c r="U469" s="6">
        <f>IF($K469="","",IF(ISNUMBER(SEARCH("sortie-epargne",IFERROR(INDEX('Paramètres'!$N:$N,MATCH($D469,'Paramètres'!$M:$M,0))&amp;"",""))),$K469,0))</f>
        <v>0</v>
      </c>
      <c r="V469" s="6" t="str">
        <f>IF(AND($A469&lt;&gt;"",$O469=1,$L469="Débit",N($Q469)&gt;0,$A469&gt;=Visualisation!$B$1,$A469&lt;Visualisation!$D$1),MAX($V$1:V468)+1,"")</f>
        <v/>
      </c>
    </row>
    <row r="470" spans="1:22" x14ac:dyDescent="0.25">
      <c r="A470" s="9">
        <v>45878</v>
      </c>
      <c r="B470" s="4" t="s">
        <v>76</v>
      </c>
      <c r="C470" s="4" t="s">
        <v>67</v>
      </c>
      <c r="D470" s="4" t="s">
        <v>77</v>
      </c>
      <c r="E470" s="10">
        <v>30.22</v>
      </c>
      <c r="G470" s="4" t="s">
        <v>102</v>
      </c>
      <c r="H470" s="4" t="s">
        <v>148</v>
      </c>
      <c r="I470" s="4" t="s">
        <v>93</v>
      </c>
      <c r="K470" s="11">
        <f>IF($E470="","",ROUND($E470*IF(ISNA(MATCH($C470,'Paramètres'!$D:$D,0)),1,IF(INDEX('Paramètres'!$J:$J,MATCH($C470,'Paramètres'!$D:$D,0))="",1,INDEX('Paramètres'!$J:$J,MATCH($C470,'Paramètres'!$D:$D,0)))),2))</f>
        <v>15.11</v>
      </c>
      <c r="L470" s="6" t="str">
        <f>IF($D470="","",IF($F470&lt;&gt;"",$F470,IF(ISNA(MATCH($D470,'Paramètres'!$M:$M,0)),"⚠ Type inconnu",IFERROR(INDEX('Paramètres'!$P:$P,MATCH($D470,'Paramètres'!$M:$M,0))&amp;"",""))))</f>
        <v>Débit</v>
      </c>
      <c r="M470" s="6" t="str">
        <f>IF($D470="","",IF(ISNA(MATCH($D470,'Paramètres'!$M:$M,0)),"⚠ Type inconnu",IF($L470="Crédit","",IFERROR(INDEX('Paramètres'!$O:$O,MATCH($D470,'Paramètres'!$M:$M,0))&amp;"",""))))</f>
        <v>Dépense Courante</v>
      </c>
      <c r="N470" s="6" t="str">
        <f>IF($D470="","",IFERROR(INDEX('Paramètres'!$Q:$Q,MATCH($D470,'Paramètres'!$M:$M,0))&amp;"",""))</f>
        <v>Alimentation</v>
      </c>
      <c r="O470" s="6">
        <f>IF($A470="","",IF(OR($J470&lt;&gt;"x",$A470&lt;=FinReleve),1,0))</f>
        <v>1</v>
      </c>
      <c r="P470" s="6">
        <f>IF($D470="","",IF(AND($L470="Crédit",OR(IFERROR(INDEX('Paramètres'!$O:$O,MATCH($D470,'Paramètres'!$M:$M,0))&amp;"","")&lt;&gt;"",ISNUMBER(SEARCH("remboursement",IFERROR(INDEX('Paramètres'!$N:$N,MATCH($D470,'Paramètres'!$M:$M,0))&amp;"",""))))),1,0))</f>
        <v>0</v>
      </c>
      <c r="Q470" s="6">
        <f>IF($K470="","",IF(ISNUMBER(SEARCH("transfert-interne",IFERROR(INDEX('Paramètres'!$N:$N,MATCH($D470,'Paramètres'!$M:$M,0))&amp;"",""))),0,IF($L470="Débit",$K470,IF($P470=1,-$K470,0))))</f>
        <v>15.11</v>
      </c>
      <c r="R470" s="6">
        <f>IF($K470="","",IF($L470="Crédit",$K470,-$K470))</f>
        <v>-15.11</v>
      </c>
      <c r="S470" s="6" t="str">
        <f>IF($C470="","",IFERROR(INDEX('Paramètres'!$H:$H,MATCH($C470,'Paramètres'!$D:$D,0))&amp;"",""))</f>
        <v>Banque A - Courant</v>
      </c>
      <c r="T470" s="6">
        <f>IF($K470="","",IF($S470="",0,IF(ISNUMBER(SEARCH("apport-exterieur",IFERROR(INDEX('Paramètres'!$N:$N,MATCH($D470,'Paramètres'!$M:$M,0))&amp;"",""))),0,IF(OR(IFERROR(INDEX('Paramètres'!$I:$I,MATCH($C470,'Paramètres'!$D:$D,0))&amp;"","")="Les deux",IFERROR(INDEX('Paramètres'!$I:$I,MATCH($C470,'Paramètres'!$D:$D,0))&amp;"","")=IF($P470=1,"Débit",$L470)),-IF($P470=1,-$K470,$K470),0))))</f>
        <v>0</v>
      </c>
      <c r="U470" s="6">
        <f>IF($K470="","",IF(ISNUMBER(SEARCH("sortie-epargne",IFERROR(INDEX('Paramètres'!$N:$N,MATCH($D470,'Paramètres'!$M:$M,0))&amp;"",""))),$K470,0))</f>
        <v>0</v>
      </c>
      <c r="V470" s="6" t="str">
        <f>IF(AND($A470&lt;&gt;"",$O470=1,$L470="Débit",N($Q470)&gt;0,$A470&gt;=Visualisation!$B$1,$A470&lt;Visualisation!$D$1),MAX($V$1:V469)+1,"")</f>
        <v/>
      </c>
    </row>
    <row r="471" spans="1:22" x14ac:dyDescent="0.25">
      <c r="A471" s="9">
        <v>45878</v>
      </c>
      <c r="B471" s="4" t="s">
        <v>76</v>
      </c>
      <c r="C471" s="4" t="s">
        <v>107</v>
      </c>
      <c r="D471" s="4" t="s">
        <v>108</v>
      </c>
      <c r="E471" s="10">
        <v>44.48</v>
      </c>
      <c r="G471" s="4" t="s">
        <v>137</v>
      </c>
      <c r="H471" s="4"/>
      <c r="I471" s="4" t="s">
        <v>73</v>
      </c>
      <c r="K471" s="11">
        <f>IF($E471="","",ROUND($E471*IF(ISNA(MATCH($C471,'Paramètres'!$D:$D,0)),1,IF(INDEX('Paramètres'!$J:$J,MATCH($C471,'Paramètres'!$D:$D,0))="",1,INDEX('Paramètres'!$J:$J,MATCH($C471,'Paramètres'!$D:$D,0)))),2))</f>
        <v>44.48</v>
      </c>
      <c r="L471" s="6" t="str">
        <f>IF($D471="","",IF($F471&lt;&gt;"",$F471,IF(ISNA(MATCH($D471,'Paramètres'!$M:$M,0)),"⚠ Type inconnu",IFERROR(INDEX('Paramètres'!$P:$P,MATCH($D471,'Paramètres'!$M:$M,0))&amp;"",""))))</f>
        <v>Débit</v>
      </c>
      <c r="M471" s="6" t="str">
        <f>IF($D471="","",IF(ISNA(MATCH($D471,'Paramètres'!$M:$M,0)),"⚠ Type inconnu",IF($L471="Crédit","",IFERROR(INDEX('Paramètres'!$O:$O,MATCH($D471,'Paramètres'!$M:$M,0))&amp;"",""))))</f>
        <v>Dépense Occasionnelle</v>
      </c>
      <c r="N471" s="6" t="str">
        <f>IF($D471="","",IFERROR(INDEX('Paramètres'!$Q:$Q,MATCH($D471,'Paramètres'!$M:$M,0))&amp;"",""))</f>
        <v>Autre</v>
      </c>
      <c r="O471" s="6">
        <f>IF($A471="","",IF(OR($J471&lt;&gt;"x",$A471&lt;=FinReleve),1,0))</f>
        <v>1</v>
      </c>
      <c r="P471" s="6">
        <f>IF($D471="","",IF(AND($L471="Crédit",OR(IFERROR(INDEX('Paramètres'!$O:$O,MATCH($D471,'Paramètres'!$M:$M,0))&amp;"","")&lt;&gt;"",ISNUMBER(SEARCH("remboursement",IFERROR(INDEX('Paramètres'!$N:$N,MATCH($D471,'Paramètres'!$M:$M,0))&amp;"",""))))),1,0))</f>
        <v>0</v>
      </c>
      <c r="Q471" s="6">
        <f>IF($K471="","",IF(ISNUMBER(SEARCH("transfert-interne",IFERROR(INDEX('Paramètres'!$N:$N,MATCH($D471,'Paramètres'!$M:$M,0))&amp;"",""))),0,IF($L471="Débit",$K471,IF($P471=1,-$K471,0))))</f>
        <v>44.48</v>
      </c>
      <c r="R471" s="6">
        <f>IF($K471="","",IF($L471="Crédit",$K471,-$K471))</f>
        <v>-44.48</v>
      </c>
      <c r="S471" s="6" t="str">
        <f>IF($C471="","",IFERROR(INDEX('Paramètres'!$H:$H,MATCH($C471,'Paramètres'!$D:$D,0))&amp;"",""))</f>
        <v/>
      </c>
      <c r="T471" s="6">
        <f>IF($K471="","",IF($S471="",0,IF(ISNUMBER(SEARCH("apport-exterieur",IFERROR(INDEX('Paramètres'!$N:$N,MATCH($D471,'Paramètres'!$M:$M,0))&amp;"",""))),0,IF(OR(IFERROR(INDEX('Paramètres'!$I:$I,MATCH($C471,'Paramètres'!$D:$D,0))&amp;"","")="Les deux",IFERROR(INDEX('Paramètres'!$I:$I,MATCH($C471,'Paramètres'!$D:$D,0))&amp;"","")=IF($P471=1,"Débit",$L471)),-IF($P471=1,-$K471,$K471),0))))</f>
        <v>0</v>
      </c>
      <c r="U471" s="6">
        <f>IF($K471="","",IF(ISNUMBER(SEARCH("sortie-epargne",IFERROR(INDEX('Paramètres'!$N:$N,MATCH($D471,'Paramètres'!$M:$M,0))&amp;"",""))),$K471,0))</f>
        <v>0</v>
      </c>
      <c r="V471" s="6" t="str">
        <f>IF(AND($A471&lt;&gt;"",$O471=1,$L471="Débit",N($Q471)&gt;0,$A471&gt;=Visualisation!$B$1,$A471&lt;Visualisation!$D$1),MAX($V$1:V470)+1,"")</f>
        <v/>
      </c>
    </row>
    <row r="472" spans="1:22" x14ac:dyDescent="0.25">
      <c r="A472" s="9">
        <v>45879</v>
      </c>
      <c r="B472" s="4" t="s">
        <v>96</v>
      </c>
      <c r="C472" s="4" t="s">
        <v>75</v>
      </c>
      <c r="D472" s="4" t="s">
        <v>96</v>
      </c>
      <c r="E472" s="10">
        <v>22.4</v>
      </c>
      <c r="G472" s="4"/>
      <c r="H472" s="4"/>
      <c r="I472" s="4"/>
      <c r="K472" s="11">
        <f>IF($E472="","",ROUND($E472*IF(ISNA(MATCH($C472,'Paramètres'!$D:$D,0)),1,IF(INDEX('Paramètres'!$J:$J,MATCH($C472,'Paramètres'!$D:$D,0))="",1,INDEX('Paramètres'!$J:$J,MATCH($C472,'Paramètres'!$D:$D,0)))),2))</f>
        <v>22.4</v>
      </c>
      <c r="L472" s="6" t="str">
        <f>IF($D472="","",IF($F472&lt;&gt;"",$F472,IF(ISNA(MATCH($D472,'Paramètres'!$M:$M,0)),"⚠ Type inconnu",IFERROR(INDEX('Paramètres'!$P:$P,MATCH($D472,'Paramètres'!$M:$M,0))&amp;"",""))))</f>
        <v>Débit</v>
      </c>
      <c r="M472" s="6" t="str">
        <f>IF($D472="","",IF(ISNA(MATCH($D472,'Paramètres'!$M:$M,0)),"⚠ Type inconnu",IF($L472="Crédit","",IFERROR(INDEX('Paramètres'!$O:$O,MATCH($D472,'Paramètres'!$M:$M,0))&amp;"",""))))</f>
        <v>Dépense Fixe</v>
      </c>
      <c r="N472" s="6" t="str">
        <f>IF($D472="","",IFERROR(INDEX('Paramètres'!$Q:$Q,MATCH($D472,'Paramètres'!$M:$M,0))&amp;"",""))</f>
        <v>Assurances</v>
      </c>
      <c r="O472" s="6">
        <f>IF($A472="","",IF(OR($J472&lt;&gt;"x",$A472&lt;=FinReleve),1,0))</f>
        <v>1</v>
      </c>
      <c r="P472" s="6">
        <f>IF($D472="","",IF(AND($L472="Crédit",OR(IFERROR(INDEX('Paramètres'!$O:$O,MATCH($D472,'Paramètres'!$M:$M,0))&amp;"","")&lt;&gt;"",ISNUMBER(SEARCH("remboursement",IFERROR(INDEX('Paramètres'!$N:$N,MATCH($D472,'Paramètres'!$M:$M,0))&amp;"",""))))),1,0))</f>
        <v>0</v>
      </c>
      <c r="Q472" s="6">
        <f>IF($K472="","",IF(ISNUMBER(SEARCH("transfert-interne",IFERROR(INDEX('Paramètres'!$N:$N,MATCH($D472,'Paramètres'!$M:$M,0))&amp;"",""))),0,IF($L472="Débit",$K472,IF($P472=1,-$K472,0))))</f>
        <v>22.4</v>
      </c>
      <c r="R472" s="6">
        <f>IF($K472="","",IF($L472="Crédit",$K472,-$K472))</f>
        <v>-22.4</v>
      </c>
      <c r="S472" s="6" t="str">
        <f>IF($C472="","",IFERROR(INDEX('Paramètres'!$H:$H,MATCH($C472,'Paramètres'!$D:$D,0))&amp;"",""))</f>
        <v/>
      </c>
      <c r="T472" s="6">
        <f>IF($K472="","",IF($S472="",0,IF(ISNUMBER(SEARCH("apport-exterieur",IFERROR(INDEX('Paramètres'!$N:$N,MATCH($D472,'Paramètres'!$M:$M,0))&amp;"",""))),0,IF(OR(IFERROR(INDEX('Paramètres'!$I:$I,MATCH($C472,'Paramètres'!$D:$D,0))&amp;"","")="Les deux",IFERROR(INDEX('Paramètres'!$I:$I,MATCH($C472,'Paramètres'!$D:$D,0))&amp;"","")=IF($P472=1,"Débit",$L472)),-IF($P472=1,-$K472,$K472),0))))</f>
        <v>0</v>
      </c>
      <c r="U472" s="6">
        <f>IF($K472="","",IF(ISNUMBER(SEARCH("sortie-epargne",IFERROR(INDEX('Paramètres'!$N:$N,MATCH($D472,'Paramètres'!$M:$M,0))&amp;"",""))),$K472,0))</f>
        <v>0</v>
      </c>
      <c r="V472" s="6" t="str">
        <f>IF(AND($A472&lt;&gt;"",$O472=1,$L472="Débit",N($Q472)&gt;0,$A472&gt;=Visualisation!$B$1,$A472&lt;Visualisation!$D$1),MAX($V$1:V471)+1,"")</f>
        <v/>
      </c>
    </row>
    <row r="473" spans="1:22" x14ac:dyDescent="0.25">
      <c r="A473" s="9">
        <v>45879</v>
      </c>
      <c r="B473" s="4" t="s">
        <v>76</v>
      </c>
      <c r="C473" s="4" t="s">
        <v>67</v>
      </c>
      <c r="D473" s="4" t="s">
        <v>77</v>
      </c>
      <c r="E473" s="10">
        <v>180.06</v>
      </c>
      <c r="G473" s="4" t="s">
        <v>98</v>
      </c>
      <c r="H473" s="4" t="s">
        <v>148</v>
      </c>
      <c r="I473" s="4"/>
      <c r="K473" s="11">
        <f>IF($E473="","",ROUND($E473*IF(ISNA(MATCH($C473,'Paramètres'!$D:$D,0)),1,IF(INDEX('Paramètres'!$J:$J,MATCH($C473,'Paramètres'!$D:$D,0))="",1,INDEX('Paramètres'!$J:$J,MATCH($C473,'Paramètres'!$D:$D,0)))),2))</f>
        <v>90.03</v>
      </c>
      <c r="L473" s="6" t="str">
        <f>IF($D473="","",IF($F473&lt;&gt;"",$F473,IF(ISNA(MATCH($D473,'Paramètres'!$M:$M,0)),"⚠ Type inconnu",IFERROR(INDEX('Paramètres'!$P:$P,MATCH($D473,'Paramètres'!$M:$M,0))&amp;"",""))))</f>
        <v>Débit</v>
      </c>
      <c r="M473" s="6" t="str">
        <f>IF($D473="","",IF(ISNA(MATCH($D473,'Paramètres'!$M:$M,0)),"⚠ Type inconnu",IF($L473="Crédit","",IFERROR(INDEX('Paramètres'!$O:$O,MATCH($D473,'Paramètres'!$M:$M,0))&amp;"",""))))</f>
        <v>Dépense Courante</v>
      </c>
      <c r="N473" s="6" t="str">
        <f>IF($D473="","",IFERROR(INDEX('Paramètres'!$Q:$Q,MATCH($D473,'Paramètres'!$M:$M,0))&amp;"",""))</f>
        <v>Alimentation</v>
      </c>
      <c r="O473" s="6">
        <f>IF($A473="","",IF(OR($J473&lt;&gt;"x",$A473&lt;=FinReleve),1,0))</f>
        <v>1</v>
      </c>
      <c r="P473" s="6">
        <f>IF($D473="","",IF(AND($L473="Crédit",OR(IFERROR(INDEX('Paramètres'!$O:$O,MATCH($D473,'Paramètres'!$M:$M,0))&amp;"","")&lt;&gt;"",ISNUMBER(SEARCH("remboursement",IFERROR(INDEX('Paramètres'!$N:$N,MATCH($D473,'Paramètres'!$M:$M,0))&amp;"",""))))),1,0))</f>
        <v>0</v>
      </c>
      <c r="Q473" s="6">
        <f>IF($K473="","",IF(ISNUMBER(SEARCH("transfert-interne",IFERROR(INDEX('Paramètres'!$N:$N,MATCH($D473,'Paramètres'!$M:$M,0))&amp;"",""))),0,IF($L473="Débit",$K473,IF($P473=1,-$K473,0))))</f>
        <v>90.03</v>
      </c>
      <c r="R473" s="6">
        <f>IF($K473="","",IF($L473="Crédit",$K473,-$K473))</f>
        <v>-90.03</v>
      </c>
      <c r="S473" s="6" t="str">
        <f>IF($C473="","",IFERROR(INDEX('Paramètres'!$H:$H,MATCH($C473,'Paramètres'!$D:$D,0))&amp;"",""))</f>
        <v>Banque A - Courant</v>
      </c>
      <c r="T473" s="6">
        <f>IF($K473="","",IF($S473="",0,IF(ISNUMBER(SEARCH("apport-exterieur",IFERROR(INDEX('Paramètres'!$N:$N,MATCH($D473,'Paramètres'!$M:$M,0))&amp;"",""))),0,IF(OR(IFERROR(INDEX('Paramètres'!$I:$I,MATCH($C473,'Paramètres'!$D:$D,0))&amp;"","")="Les deux",IFERROR(INDEX('Paramètres'!$I:$I,MATCH($C473,'Paramètres'!$D:$D,0))&amp;"","")=IF($P473=1,"Débit",$L473)),-IF($P473=1,-$K473,$K473),0))))</f>
        <v>0</v>
      </c>
      <c r="U473" s="6">
        <f>IF($K473="","",IF(ISNUMBER(SEARCH("sortie-epargne",IFERROR(INDEX('Paramètres'!$N:$N,MATCH($D473,'Paramètres'!$M:$M,0))&amp;"",""))),$K473,0))</f>
        <v>0</v>
      </c>
      <c r="V473" s="6" t="str">
        <f>IF(AND($A473&lt;&gt;"",$O473=1,$L473="Débit",N($Q473)&gt;0,$A473&gt;=Visualisation!$B$1,$A473&lt;Visualisation!$D$1),MAX($V$1:V472)+1,"")</f>
        <v/>
      </c>
    </row>
    <row r="474" spans="1:22" x14ac:dyDescent="0.25">
      <c r="A474" s="9">
        <v>45879</v>
      </c>
      <c r="B474" s="4" t="s">
        <v>121</v>
      </c>
      <c r="C474" s="4" t="s">
        <v>60</v>
      </c>
      <c r="D474" s="4" t="s">
        <v>121</v>
      </c>
      <c r="E474" s="10">
        <v>64.04</v>
      </c>
      <c r="G474" s="4" t="s">
        <v>127</v>
      </c>
      <c r="H474" s="4"/>
      <c r="I474" s="4"/>
      <c r="K474" s="11">
        <f>IF($E474="","",ROUND($E474*IF(ISNA(MATCH($C474,'Paramètres'!$D:$D,0)),1,IF(INDEX('Paramètres'!$J:$J,MATCH($C474,'Paramètres'!$D:$D,0))="",1,INDEX('Paramètres'!$J:$J,MATCH($C474,'Paramètres'!$D:$D,0)))),2))</f>
        <v>32.02</v>
      </c>
      <c r="L474" s="6" t="str">
        <f>IF($D474="","",IF($F474&lt;&gt;"",$F474,IF(ISNA(MATCH($D474,'Paramètres'!$M:$M,0)),"⚠ Type inconnu",IFERROR(INDEX('Paramètres'!$P:$P,MATCH($D474,'Paramètres'!$M:$M,0))&amp;"",""))))</f>
        <v>Débit</v>
      </c>
      <c r="M474" s="6" t="str">
        <f>IF($D474="","",IF(ISNA(MATCH($D474,'Paramètres'!$M:$M,0)),"⚠ Type inconnu",IF($L474="Crédit","",IFERROR(INDEX('Paramètres'!$O:$O,MATCH($D474,'Paramètres'!$M:$M,0))&amp;"",""))))</f>
        <v>Dépense Occasionnelle</v>
      </c>
      <c r="N474" s="6" t="str">
        <f>IF($D474="","",IFERROR(INDEX('Paramètres'!$Q:$Q,MATCH($D474,'Paramètres'!$M:$M,0))&amp;"",""))</f>
        <v>Autre</v>
      </c>
      <c r="O474" s="6">
        <f>IF($A474="","",IF(OR($J474&lt;&gt;"x",$A474&lt;=FinReleve),1,0))</f>
        <v>1</v>
      </c>
      <c r="P474" s="6">
        <f>IF($D474="","",IF(AND($L474="Crédit",OR(IFERROR(INDEX('Paramètres'!$O:$O,MATCH($D474,'Paramètres'!$M:$M,0))&amp;"","")&lt;&gt;"",ISNUMBER(SEARCH("remboursement",IFERROR(INDEX('Paramètres'!$N:$N,MATCH($D474,'Paramètres'!$M:$M,0))&amp;"",""))))),1,0))</f>
        <v>0</v>
      </c>
      <c r="Q474" s="6">
        <f>IF($K474="","",IF(ISNUMBER(SEARCH("transfert-interne",IFERROR(INDEX('Paramètres'!$N:$N,MATCH($D474,'Paramètres'!$M:$M,0))&amp;"",""))),0,IF($L474="Débit",$K474,IF($P474=1,-$K474,0))))</f>
        <v>32.02</v>
      </c>
      <c r="R474" s="6">
        <f>IF($K474="","",IF($L474="Crédit",$K474,-$K474))</f>
        <v>-32.02</v>
      </c>
      <c r="S474" s="6" t="str">
        <f>IF($C474="","",IFERROR(INDEX('Paramètres'!$H:$H,MATCH($C474,'Paramètres'!$D:$D,0))&amp;"",""))</f>
        <v>Banque A - Courant</v>
      </c>
      <c r="T474" s="6">
        <f>IF($K474="","",IF($S474="",0,IF(ISNUMBER(SEARCH("apport-exterieur",IFERROR(INDEX('Paramètres'!$N:$N,MATCH($D474,'Paramètres'!$M:$M,0))&amp;"",""))),0,IF(OR(IFERROR(INDEX('Paramètres'!$I:$I,MATCH($C474,'Paramètres'!$D:$D,0))&amp;"","")="Les deux",IFERROR(INDEX('Paramètres'!$I:$I,MATCH($C474,'Paramètres'!$D:$D,0))&amp;"","")=IF($P474=1,"Débit",$L474)),-IF($P474=1,-$K474,$K474),0))))</f>
        <v>-32.02</v>
      </c>
      <c r="U474" s="6">
        <f>IF($K474="","",IF(ISNUMBER(SEARCH("sortie-epargne",IFERROR(INDEX('Paramètres'!$N:$N,MATCH($D474,'Paramètres'!$M:$M,0))&amp;"",""))),$K474,0))</f>
        <v>0</v>
      </c>
      <c r="V474" s="6" t="str">
        <f>IF(AND($A474&lt;&gt;"",$O474=1,$L474="Débit",N($Q474)&gt;0,$A474&gt;=Visualisation!$B$1,$A474&lt;Visualisation!$D$1),MAX($V$1:V473)+1,"")</f>
        <v/>
      </c>
    </row>
    <row r="475" spans="1:22" x14ac:dyDescent="0.25">
      <c r="A475" s="9">
        <v>45880</v>
      </c>
      <c r="B475" s="4" t="s">
        <v>76</v>
      </c>
      <c r="C475" s="4" t="s">
        <v>67</v>
      </c>
      <c r="D475" s="4" t="s">
        <v>77</v>
      </c>
      <c r="E475" s="10">
        <v>37.9</v>
      </c>
      <c r="G475" s="4" t="s">
        <v>95</v>
      </c>
      <c r="H475" s="4" t="s">
        <v>148</v>
      </c>
      <c r="I475" s="4" t="s">
        <v>63</v>
      </c>
      <c r="K475" s="11">
        <f>IF($E475="","",ROUND($E475*IF(ISNA(MATCH($C475,'Paramètres'!$D:$D,0)),1,IF(INDEX('Paramètres'!$J:$J,MATCH($C475,'Paramètres'!$D:$D,0))="",1,INDEX('Paramètres'!$J:$J,MATCH($C475,'Paramètres'!$D:$D,0)))),2))</f>
        <v>18.95</v>
      </c>
      <c r="L475" s="6" t="str">
        <f>IF($D475="","",IF($F475&lt;&gt;"",$F475,IF(ISNA(MATCH($D475,'Paramètres'!$M:$M,0)),"⚠ Type inconnu",IFERROR(INDEX('Paramètres'!$P:$P,MATCH($D475,'Paramètres'!$M:$M,0))&amp;"",""))))</f>
        <v>Débit</v>
      </c>
      <c r="M475" s="6" t="str">
        <f>IF($D475="","",IF(ISNA(MATCH($D475,'Paramètres'!$M:$M,0)),"⚠ Type inconnu",IF($L475="Crédit","",IFERROR(INDEX('Paramètres'!$O:$O,MATCH($D475,'Paramètres'!$M:$M,0))&amp;"",""))))</f>
        <v>Dépense Courante</v>
      </c>
      <c r="N475" s="6" t="str">
        <f>IF($D475="","",IFERROR(INDEX('Paramètres'!$Q:$Q,MATCH($D475,'Paramètres'!$M:$M,0))&amp;"",""))</f>
        <v>Alimentation</v>
      </c>
      <c r="O475" s="6">
        <f>IF($A475="","",IF(OR($J475&lt;&gt;"x",$A475&lt;=FinReleve),1,0))</f>
        <v>1</v>
      </c>
      <c r="P475" s="6">
        <f>IF($D475="","",IF(AND($L475="Crédit",OR(IFERROR(INDEX('Paramètres'!$O:$O,MATCH($D475,'Paramètres'!$M:$M,0))&amp;"","")&lt;&gt;"",ISNUMBER(SEARCH("remboursement",IFERROR(INDEX('Paramètres'!$N:$N,MATCH($D475,'Paramètres'!$M:$M,0))&amp;"",""))))),1,0))</f>
        <v>0</v>
      </c>
      <c r="Q475" s="6">
        <f>IF($K475="","",IF(ISNUMBER(SEARCH("transfert-interne",IFERROR(INDEX('Paramètres'!$N:$N,MATCH($D475,'Paramètres'!$M:$M,0))&amp;"",""))),0,IF($L475="Débit",$K475,IF($P475=1,-$K475,0))))</f>
        <v>18.95</v>
      </c>
      <c r="R475" s="6">
        <f>IF($K475="","",IF($L475="Crédit",$K475,-$K475))</f>
        <v>-18.95</v>
      </c>
      <c r="S475" s="6" t="str">
        <f>IF($C475="","",IFERROR(INDEX('Paramètres'!$H:$H,MATCH($C475,'Paramètres'!$D:$D,0))&amp;"",""))</f>
        <v>Banque A - Courant</v>
      </c>
      <c r="T475" s="6">
        <f>IF($K475="","",IF($S475="",0,IF(ISNUMBER(SEARCH("apport-exterieur",IFERROR(INDEX('Paramètres'!$N:$N,MATCH($D475,'Paramètres'!$M:$M,0))&amp;"",""))),0,IF(OR(IFERROR(INDEX('Paramètres'!$I:$I,MATCH($C475,'Paramètres'!$D:$D,0))&amp;"","")="Les deux",IFERROR(INDEX('Paramètres'!$I:$I,MATCH($C475,'Paramètres'!$D:$D,0))&amp;"","")=IF($P475=1,"Débit",$L475)),-IF($P475=1,-$K475,$K475),0))))</f>
        <v>0</v>
      </c>
      <c r="U475" s="6">
        <f>IF($K475="","",IF(ISNUMBER(SEARCH("sortie-epargne",IFERROR(INDEX('Paramètres'!$N:$N,MATCH($D475,'Paramètres'!$M:$M,0))&amp;"",""))),$K475,0))</f>
        <v>0</v>
      </c>
      <c r="V475" s="6" t="str">
        <f>IF(AND($A475&lt;&gt;"",$O475=1,$L475="Débit",N($Q475)&gt;0,$A475&gt;=Visualisation!$B$1,$A475&lt;Visualisation!$D$1),MAX($V$1:V474)+1,"")</f>
        <v/>
      </c>
    </row>
    <row r="476" spans="1:22" x14ac:dyDescent="0.25">
      <c r="A476" s="9">
        <v>45880</v>
      </c>
      <c r="B476" s="4" t="s">
        <v>76</v>
      </c>
      <c r="C476" s="4" t="s">
        <v>67</v>
      </c>
      <c r="D476" s="4" t="s">
        <v>77</v>
      </c>
      <c r="E476" s="10">
        <v>44.14</v>
      </c>
      <c r="G476" s="4" t="s">
        <v>102</v>
      </c>
      <c r="H476" s="4" t="s">
        <v>148</v>
      </c>
      <c r="I476" s="4" t="s">
        <v>93</v>
      </c>
      <c r="K476" s="11">
        <f>IF($E476="","",ROUND($E476*IF(ISNA(MATCH($C476,'Paramètres'!$D:$D,0)),1,IF(INDEX('Paramètres'!$J:$J,MATCH($C476,'Paramètres'!$D:$D,0))="",1,INDEX('Paramètres'!$J:$J,MATCH($C476,'Paramètres'!$D:$D,0)))),2))</f>
        <v>22.07</v>
      </c>
      <c r="L476" s="6" t="str">
        <f>IF($D476="","",IF($F476&lt;&gt;"",$F476,IF(ISNA(MATCH($D476,'Paramètres'!$M:$M,0)),"⚠ Type inconnu",IFERROR(INDEX('Paramètres'!$P:$P,MATCH($D476,'Paramètres'!$M:$M,0))&amp;"",""))))</f>
        <v>Débit</v>
      </c>
      <c r="M476" s="6" t="str">
        <f>IF($D476="","",IF(ISNA(MATCH($D476,'Paramètres'!$M:$M,0)),"⚠ Type inconnu",IF($L476="Crédit","",IFERROR(INDEX('Paramètres'!$O:$O,MATCH($D476,'Paramètres'!$M:$M,0))&amp;"",""))))</f>
        <v>Dépense Courante</v>
      </c>
      <c r="N476" s="6" t="str">
        <f>IF($D476="","",IFERROR(INDEX('Paramètres'!$Q:$Q,MATCH($D476,'Paramètres'!$M:$M,0))&amp;"",""))</f>
        <v>Alimentation</v>
      </c>
      <c r="O476" s="6">
        <f>IF($A476="","",IF(OR($J476&lt;&gt;"x",$A476&lt;=FinReleve),1,0))</f>
        <v>1</v>
      </c>
      <c r="P476" s="6">
        <f>IF($D476="","",IF(AND($L476="Crédit",OR(IFERROR(INDEX('Paramètres'!$O:$O,MATCH($D476,'Paramètres'!$M:$M,0))&amp;"","")&lt;&gt;"",ISNUMBER(SEARCH("remboursement",IFERROR(INDEX('Paramètres'!$N:$N,MATCH($D476,'Paramètres'!$M:$M,0))&amp;"",""))))),1,0))</f>
        <v>0</v>
      </c>
      <c r="Q476" s="6">
        <f>IF($K476="","",IF(ISNUMBER(SEARCH("transfert-interne",IFERROR(INDEX('Paramètres'!$N:$N,MATCH($D476,'Paramètres'!$M:$M,0))&amp;"",""))),0,IF($L476="Débit",$K476,IF($P476=1,-$K476,0))))</f>
        <v>22.07</v>
      </c>
      <c r="R476" s="6">
        <f>IF($K476="","",IF($L476="Crédit",$K476,-$K476))</f>
        <v>-22.07</v>
      </c>
      <c r="S476" s="6" t="str">
        <f>IF($C476="","",IFERROR(INDEX('Paramètres'!$H:$H,MATCH($C476,'Paramètres'!$D:$D,0))&amp;"",""))</f>
        <v>Banque A - Courant</v>
      </c>
      <c r="T476" s="6">
        <f>IF($K476="","",IF($S476="",0,IF(ISNUMBER(SEARCH("apport-exterieur",IFERROR(INDEX('Paramètres'!$N:$N,MATCH($D476,'Paramètres'!$M:$M,0))&amp;"",""))),0,IF(OR(IFERROR(INDEX('Paramètres'!$I:$I,MATCH($C476,'Paramètres'!$D:$D,0))&amp;"","")="Les deux",IFERROR(INDEX('Paramètres'!$I:$I,MATCH($C476,'Paramètres'!$D:$D,0))&amp;"","")=IF($P476=1,"Débit",$L476)),-IF($P476=1,-$K476,$K476),0))))</f>
        <v>0</v>
      </c>
      <c r="U476" s="6">
        <f>IF($K476="","",IF(ISNUMBER(SEARCH("sortie-epargne",IFERROR(INDEX('Paramètres'!$N:$N,MATCH($D476,'Paramètres'!$M:$M,0))&amp;"",""))),$K476,0))</f>
        <v>0</v>
      </c>
      <c r="V476" s="6" t="str">
        <f>IF(AND($A476&lt;&gt;"",$O476=1,$L476="Débit",N($Q476)&gt;0,$A476&gt;=Visualisation!$B$1,$A476&lt;Visualisation!$D$1),MAX($V$1:V475)+1,"")</f>
        <v/>
      </c>
    </row>
    <row r="477" spans="1:22" x14ac:dyDescent="0.25">
      <c r="A477" s="9">
        <v>45880</v>
      </c>
      <c r="B477" s="4" t="s">
        <v>119</v>
      </c>
      <c r="C477" s="4" t="s">
        <v>60</v>
      </c>
      <c r="D477" s="4" t="s">
        <v>119</v>
      </c>
      <c r="E477" s="10">
        <v>86.22</v>
      </c>
      <c r="G477" s="4" t="s">
        <v>122</v>
      </c>
      <c r="H477" s="4" t="s">
        <v>148</v>
      </c>
      <c r="I477" s="4" t="s">
        <v>63</v>
      </c>
      <c r="K477" s="11">
        <f>IF($E477="","",ROUND($E477*IF(ISNA(MATCH($C477,'Paramètres'!$D:$D,0)),1,IF(INDEX('Paramètres'!$J:$J,MATCH($C477,'Paramètres'!$D:$D,0))="",1,INDEX('Paramètres'!$J:$J,MATCH($C477,'Paramètres'!$D:$D,0)))),2))</f>
        <v>43.11</v>
      </c>
      <c r="L477" s="6" t="str">
        <f>IF($D477="","",IF($F477&lt;&gt;"",$F477,IF(ISNA(MATCH($D477,'Paramètres'!$M:$M,0)),"⚠ Type inconnu",IFERROR(INDEX('Paramètres'!$P:$P,MATCH($D477,'Paramètres'!$M:$M,0))&amp;"",""))))</f>
        <v>Débit</v>
      </c>
      <c r="M477" s="6" t="str">
        <f>IF($D477="","",IF(ISNA(MATCH($D477,'Paramètres'!$M:$M,0)),"⚠ Type inconnu",IF($L477="Crédit","",IFERROR(INDEX('Paramètres'!$O:$O,MATCH($D477,'Paramètres'!$M:$M,0))&amp;"",""))))</f>
        <v>Dépense Occasionnelle</v>
      </c>
      <c r="N477" s="6" t="str">
        <f>IF($D477="","",IFERROR(INDEX('Paramètres'!$Q:$Q,MATCH($D477,'Paramètres'!$M:$M,0))&amp;"",""))</f>
        <v>Alimentation</v>
      </c>
      <c r="O477" s="6">
        <f>IF($A477="","",IF(OR($J477&lt;&gt;"x",$A477&lt;=FinReleve),1,0))</f>
        <v>1</v>
      </c>
      <c r="P477" s="6">
        <f>IF($D477="","",IF(AND($L477="Crédit",OR(IFERROR(INDEX('Paramètres'!$O:$O,MATCH($D477,'Paramètres'!$M:$M,0))&amp;"","")&lt;&gt;"",ISNUMBER(SEARCH("remboursement",IFERROR(INDEX('Paramètres'!$N:$N,MATCH($D477,'Paramètres'!$M:$M,0))&amp;"",""))))),1,0))</f>
        <v>0</v>
      </c>
      <c r="Q477" s="6">
        <f>IF($K477="","",IF(ISNUMBER(SEARCH("transfert-interne",IFERROR(INDEX('Paramètres'!$N:$N,MATCH($D477,'Paramètres'!$M:$M,0))&amp;"",""))),0,IF($L477="Débit",$K477,IF($P477=1,-$K477,0))))</f>
        <v>43.11</v>
      </c>
      <c r="R477" s="6">
        <f>IF($K477="","",IF($L477="Crédit",$K477,-$K477))</f>
        <v>-43.11</v>
      </c>
      <c r="S477" s="6" t="str">
        <f>IF($C477="","",IFERROR(INDEX('Paramètres'!$H:$H,MATCH($C477,'Paramètres'!$D:$D,0))&amp;"",""))</f>
        <v>Banque A - Courant</v>
      </c>
      <c r="T477" s="6">
        <f>IF($K477="","",IF($S477="",0,IF(ISNUMBER(SEARCH("apport-exterieur",IFERROR(INDEX('Paramètres'!$N:$N,MATCH($D477,'Paramètres'!$M:$M,0))&amp;"",""))),0,IF(OR(IFERROR(INDEX('Paramètres'!$I:$I,MATCH($C477,'Paramètres'!$D:$D,0))&amp;"","")="Les deux",IFERROR(INDEX('Paramètres'!$I:$I,MATCH($C477,'Paramètres'!$D:$D,0))&amp;"","")=IF($P477=1,"Débit",$L477)),-IF($P477=1,-$K477,$K477),0))))</f>
        <v>-43.11</v>
      </c>
      <c r="U477" s="6">
        <f>IF($K477="","",IF(ISNUMBER(SEARCH("sortie-epargne",IFERROR(INDEX('Paramètres'!$N:$N,MATCH($D477,'Paramètres'!$M:$M,0))&amp;"",""))),$K477,0))</f>
        <v>0</v>
      </c>
      <c r="V477" s="6" t="str">
        <f>IF(AND($A477&lt;&gt;"",$O477=1,$L477="Débit",N($Q477)&gt;0,$A477&gt;=Visualisation!$B$1,$A477&lt;Visualisation!$D$1),MAX($V$1:V476)+1,"")</f>
        <v/>
      </c>
    </row>
    <row r="478" spans="1:22" x14ac:dyDescent="0.25">
      <c r="A478" s="9">
        <v>45881</v>
      </c>
      <c r="B478" s="4" t="s">
        <v>97</v>
      </c>
      <c r="C478" s="4" t="s">
        <v>75</v>
      </c>
      <c r="D478" s="4" t="s">
        <v>97</v>
      </c>
      <c r="E478" s="10">
        <v>47.9</v>
      </c>
      <c r="G478" s="4"/>
      <c r="H478" s="4"/>
      <c r="I478" s="4"/>
      <c r="K478" s="11">
        <f>IF($E478="","",ROUND($E478*IF(ISNA(MATCH($C478,'Paramètres'!$D:$D,0)),1,IF(INDEX('Paramètres'!$J:$J,MATCH($C478,'Paramètres'!$D:$D,0))="",1,INDEX('Paramètres'!$J:$J,MATCH($C478,'Paramètres'!$D:$D,0)))),2))</f>
        <v>47.9</v>
      </c>
      <c r="L478" s="6" t="str">
        <f>IF($D478="","",IF($F478&lt;&gt;"",$F478,IF(ISNA(MATCH($D478,'Paramètres'!$M:$M,0)),"⚠ Type inconnu",IFERROR(INDEX('Paramètres'!$P:$P,MATCH($D478,'Paramètres'!$M:$M,0))&amp;"",""))))</f>
        <v>Débit</v>
      </c>
      <c r="M478" s="6" t="str">
        <f>IF($D478="","",IF(ISNA(MATCH($D478,'Paramètres'!$M:$M,0)),"⚠ Type inconnu",IF($L478="Crédit","",IFERROR(INDEX('Paramètres'!$O:$O,MATCH($D478,'Paramètres'!$M:$M,0))&amp;"",""))))</f>
        <v>Dépense Fixe</v>
      </c>
      <c r="N478" s="6" t="str">
        <f>IF($D478="","",IFERROR(INDEX('Paramètres'!$Q:$Q,MATCH($D478,'Paramètres'!$M:$M,0))&amp;"",""))</f>
        <v>Assurances</v>
      </c>
      <c r="O478" s="6">
        <f>IF($A478="","",IF(OR($J478&lt;&gt;"x",$A478&lt;=FinReleve),1,0))</f>
        <v>1</v>
      </c>
      <c r="P478" s="6">
        <f>IF($D478="","",IF(AND($L478="Crédit",OR(IFERROR(INDEX('Paramètres'!$O:$O,MATCH($D478,'Paramètres'!$M:$M,0))&amp;"","")&lt;&gt;"",ISNUMBER(SEARCH("remboursement",IFERROR(INDEX('Paramètres'!$N:$N,MATCH($D478,'Paramètres'!$M:$M,0))&amp;"",""))))),1,0))</f>
        <v>0</v>
      </c>
      <c r="Q478" s="6">
        <f>IF($K478="","",IF(ISNUMBER(SEARCH("transfert-interne",IFERROR(INDEX('Paramètres'!$N:$N,MATCH($D478,'Paramètres'!$M:$M,0))&amp;"",""))),0,IF($L478="Débit",$K478,IF($P478=1,-$K478,0))))</f>
        <v>47.9</v>
      </c>
      <c r="R478" s="6">
        <f>IF($K478="","",IF($L478="Crédit",$K478,-$K478))</f>
        <v>-47.9</v>
      </c>
      <c r="S478" s="6" t="str">
        <f>IF($C478="","",IFERROR(INDEX('Paramètres'!$H:$H,MATCH($C478,'Paramètres'!$D:$D,0))&amp;"",""))</f>
        <v/>
      </c>
      <c r="T478" s="6">
        <f>IF($K478="","",IF($S478="",0,IF(ISNUMBER(SEARCH("apport-exterieur",IFERROR(INDEX('Paramètres'!$N:$N,MATCH($D478,'Paramètres'!$M:$M,0))&amp;"",""))),0,IF(OR(IFERROR(INDEX('Paramètres'!$I:$I,MATCH($C478,'Paramètres'!$D:$D,0))&amp;"","")="Les deux",IFERROR(INDEX('Paramètres'!$I:$I,MATCH($C478,'Paramètres'!$D:$D,0))&amp;"","")=IF($P478=1,"Débit",$L478)),-IF($P478=1,-$K478,$K478),0))))</f>
        <v>0</v>
      </c>
      <c r="U478" s="6">
        <f>IF($K478="","",IF(ISNUMBER(SEARCH("sortie-epargne",IFERROR(INDEX('Paramètres'!$N:$N,MATCH($D478,'Paramètres'!$M:$M,0))&amp;"",""))),$K478,0))</f>
        <v>0</v>
      </c>
      <c r="V478" s="6" t="str">
        <f>IF(AND($A478&lt;&gt;"",$O478=1,$L478="Débit",N($Q478)&gt;0,$A478&gt;=Visualisation!$B$1,$A478&lt;Visualisation!$D$1),MAX($V$1:V477)+1,"")</f>
        <v/>
      </c>
    </row>
    <row r="479" spans="1:22" x14ac:dyDescent="0.25">
      <c r="A479" s="9">
        <v>45882</v>
      </c>
      <c r="B479" s="4" t="s">
        <v>90</v>
      </c>
      <c r="C479" s="4" t="s">
        <v>75</v>
      </c>
      <c r="D479" s="4" t="s">
        <v>91</v>
      </c>
      <c r="E479" s="10">
        <v>41.66</v>
      </c>
      <c r="G479" s="4" t="s">
        <v>136</v>
      </c>
      <c r="H479" s="4" t="s">
        <v>148</v>
      </c>
      <c r="I479" s="4" t="s">
        <v>63</v>
      </c>
      <c r="K479" s="11">
        <f>IF($E479="","",ROUND($E479*IF(ISNA(MATCH($C479,'Paramètres'!$D:$D,0)),1,IF(INDEX('Paramètres'!$J:$J,MATCH($C479,'Paramètres'!$D:$D,0))="",1,INDEX('Paramètres'!$J:$J,MATCH($C479,'Paramètres'!$D:$D,0)))),2))</f>
        <v>41.66</v>
      </c>
      <c r="L479" s="6" t="str">
        <f>IF($D479="","",IF($F479&lt;&gt;"",$F479,IF(ISNA(MATCH($D479,'Paramètres'!$M:$M,0)),"⚠ Type inconnu",IFERROR(INDEX('Paramètres'!$P:$P,MATCH($D479,'Paramètres'!$M:$M,0))&amp;"",""))))</f>
        <v>Débit</v>
      </c>
      <c r="M479" s="6" t="str">
        <f>IF($D479="","",IF(ISNA(MATCH($D479,'Paramètres'!$M:$M,0)),"⚠ Type inconnu",IF($L479="Crédit","",IFERROR(INDEX('Paramètres'!$O:$O,MATCH($D479,'Paramètres'!$M:$M,0))&amp;"",""))))</f>
        <v>Dépense Courante</v>
      </c>
      <c r="N479" s="6" t="str">
        <f>IF($D479="","",IFERROR(INDEX('Paramètres'!$Q:$Q,MATCH($D479,'Paramètres'!$M:$M,0))&amp;"",""))</f>
        <v>Transport</v>
      </c>
      <c r="O479" s="6">
        <f>IF($A479="","",IF(OR($J479&lt;&gt;"x",$A479&lt;=FinReleve),1,0))</f>
        <v>1</v>
      </c>
      <c r="P479" s="6">
        <f>IF($D479="","",IF(AND($L479="Crédit",OR(IFERROR(INDEX('Paramètres'!$O:$O,MATCH($D479,'Paramètres'!$M:$M,0))&amp;"","")&lt;&gt;"",ISNUMBER(SEARCH("remboursement",IFERROR(INDEX('Paramètres'!$N:$N,MATCH($D479,'Paramètres'!$M:$M,0))&amp;"",""))))),1,0))</f>
        <v>0</v>
      </c>
      <c r="Q479" s="6">
        <f>IF($K479="","",IF(ISNUMBER(SEARCH("transfert-interne",IFERROR(INDEX('Paramètres'!$N:$N,MATCH($D479,'Paramètres'!$M:$M,0))&amp;"",""))),0,IF($L479="Débit",$K479,IF($P479=1,-$K479,0))))</f>
        <v>41.66</v>
      </c>
      <c r="R479" s="6">
        <f>IF($K479="","",IF($L479="Crédit",$K479,-$K479))</f>
        <v>-41.66</v>
      </c>
      <c r="S479" s="6" t="str">
        <f>IF($C479="","",IFERROR(INDEX('Paramètres'!$H:$H,MATCH($C479,'Paramètres'!$D:$D,0))&amp;"",""))</f>
        <v/>
      </c>
      <c r="T479" s="6">
        <f>IF($K479="","",IF($S479="",0,IF(ISNUMBER(SEARCH("apport-exterieur",IFERROR(INDEX('Paramètres'!$N:$N,MATCH($D479,'Paramètres'!$M:$M,0))&amp;"",""))),0,IF(OR(IFERROR(INDEX('Paramètres'!$I:$I,MATCH($C479,'Paramètres'!$D:$D,0))&amp;"","")="Les deux",IFERROR(INDEX('Paramètres'!$I:$I,MATCH($C479,'Paramètres'!$D:$D,0))&amp;"","")=IF($P479=1,"Débit",$L479)),-IF($P479=1,-$K479,$K479),0))))</f>
        <v>0</v>
      </c>
      <c r="U479" s="6">
        <f>IF($K479="","",IF(ISNUMBER(SEARCH("sortie-epargne",IFERROR(INDEX('Paramètres'!$N:$N,MATCH($D479,'Paramètres'!$M:$M,0))&amp;"",""))),$K479,0))</f>
        <v>0</v>
      </c>
      <c r="V479" s="6" t="str">
        <f>IF(AND($A479&lt;&gt;"",$O479=1,$L479="Débit",N($Q479)&gt;0,$A479&gt;=Visualisation!$B$1,$A479&lt;Visualisation!$D$1),MAX($V$1:V478)+1,"")</f>
        <v/>
      </c>
    </row>
    <row r="480" spans="1:22" x14ac:dyDescent="0.25">
      <c r="A480" s="9">
        <v>45882</v>
      </c>
      <c r="B480" s="4" t="s">
        <v>119</v>
      </c>
      <c r="C480" s="4" t="s">
        <v>60</v>
      </c>
      <c r="D480" s="4" t="s">
        <v>119</v>
      </c>
      <c r="E480" s="10">
        <v>132.38</v>
      </c>
      <c r="G480" s="4" t="s">
        <v>122</v>
      </c>
      <c r="H480" s="4" t="s">
        <v>148</v>
      </c>
      <c r="I480" s="4" t="s">
        <v>79</v>
      </c>
      <c r="K480" s="11">
        <f>IF($E480="","",ROUND($E480*IF(ISNA(MATCH($C480,'Paramètres'!$D:$D,0)),1,IF(INDEX('Paramètres'!$J:$J,MATCH($C480,'Paramètres'!$D:$D,0))="",1,INDEX('Paramètres'!$J:$J,MATCH($C480,'Paramètres'!$D:$D,0)))),2))</f>
        <v>66.19</v>
      </c>
      <c r="L480" s="6" t="str">
        <f>IF($D480="","",IF($F480&lt;&gt;"",$F480,IF(ISNA(MATCH($D480,'Paramètres'!$M:$M,0)),"⚠ Type inconnu",IFERROR(INDEX('Paramètres'!$P:$P,MATCH($D480,'Paramètres'!$M:$M,0))&amp;"",""))))</f>
        <v>Débit</v>
      </c>
      <c r="M480" s="6" t="str">
        <f>IF($D480="","",IF(ISNA(MATCH($D480,'Paramètres'!$M:$M,0)),"⚠ Type inconnu",IF($L480="Crédit","",IFERROR(INDEX('Paramètres'!$O:$O,MATCH($D480,'Paramètres'!$M:$M,0))&amp;"",""))))</f>
        <v>Dépense Occasionnelle</v>
      </c>
      <c r="N480" s="6" t="str">
        <f>IF($D480="","",IFERROR(INDEX('Paramètres'!$Q:$Q,MATCH($D480,'Paramètres'!$M:$M,0))&amp;"",""))</f>
        <v>Alimentation</v>
      </c>
      <c r="O480" s="6">
        <f>IF($A480="","",IF(OR($J480&lt;&gt;"x",$A480&lt;=FinReleve),1,0))</f>
        <v>1</v>
      </c>
      <c r="P480" s="6">
        <f>IF($D480="","",IF(AND($L480="Crédit",OR(IFERROR(INDEX('Paramètres'!$O:$O,MATCH($D480,'Paramètres'!$M:$M,0))&amp;"","")&lt;&gt;"",ISNUMBER(SEARCH("remboursement",IFERROR(INDEX('Paramètres'!$N:$N,MATCH($D480,'Paramètres'!$M:$M,0))&amp;"",""))))),1,0))</f>
        <v>0</v>
      </c>
      <c r="Q480" s="6">
        <f>IF($K480="","",IF(ISNUMBER(SEARCH("transfert-interne",IFERROR(INDEX('Paramètres'!$N:$N,MATCH($D480,'Paramètres'!$M:$M,0))&amp;"",""))),0,IF($L480="Débit",$K480,IF($P480=1,-$K480,0))))</f>
        <v>66.19</v>
      </c>
      <c r="R480" s="6">
        <f>IF($K480="","",IF($L480="Crédit",$K480,-$K480))</f>
        <v>-66.19</v>
      </c>
      <c r="S480" s="6" t="str">
        <f>IF($C480="","",IFERROR(INDEX('Paramètres'!$H:$H,MATCH($C480,'Paramètres'!$D:$D,0))&amp;"",""))</f>
        <v>Banque A - Courant</v>
      </c>
      <c r="T480" s="6">
        <f>IF($K480="","",IF($S480="",0,IF(ISNUMBER(SEARCH("apport-exterieur",IFERROR(INDEX('Paramètres'!$N:$N,MATCH($D480,'Paramètres'!$M:$M,0))&amp;"",""))),0,IF(OR(IFERROR(INDEX('Paramètres'!$I:$I,MATCH($C480,'Paramètres'!$D:$D,0))&amp;"","")="Les deux",IFERROR(INDEX('Paramètres'!$I:$I,MATCH($C480,'Paramètres'!$D:$D,0))&amp;"","")=IF($P480=1,"Débit",$L480)),-IF($P480=1,-$K480,$K480),0))))</f>
        <v>-66.19</v>
      </c>
      <c r="U480" s="6">
        <f>IF($K480="","",IF(ISNUMBER(SEARCH("sortie-epargne",IFERROR(INDEX('Paramètres'!$N:$N,MATCH($D480,'Paramètres'!$M:$M,0))&amp;"",""))),$K480,0))</f>
        <v>0</v>
      </c>
      <c r="V480" s="6" t="str">
        <f>IF(AND($A480&lt;&gt;"",$O480=1,$L480="Débit",N($Q480)&gt;0,$A480&gt;=Visualisation!$B$1,$A480&lt;Visualisation!$D$1),MAX($V$1:V479)+1,"")</f>
        <v/>
      </c>
    </row>
    <row r="481" spans="1:22" x14ac:dyDescent="0.25">
      <c r="A481" s="9">
        <v>45882</v>
      </c>
      <c r="B481" s="4" t="s">
        <v>49</v>
      </c>
      <c r="C481" s="4" t="s">
        <v>67</v>
      </c>
      <c r="D481" s="4" t="s">
        <v>101</v>
      </c>
      <c r="E481" s="10">
        <v>200.56</v>
      </c>
      <c r="G481" s="4"/>
      <c r="H481" s="4"/>
      <c r="I481" s="4"/>
      <c r="K481" s="11">
        <f>IF($E481="","",ROUND($E481*IF(ISNA(MATCH($C481,'Paramètres'!$D:$D,0)),1,IF(INDEX('Paramètres'!$J:$J,MATCH($C481,'Paramètres'!$D:$D,0))="",1,INDEX('Paramètres'!$J:$J,MATCH($C481,'Paramètres'!$D:$D,0)))),2))</f>
        <v>100.28</v>
      </c>
      <c r="L481" s="6" t="str">
        <f>IF($D481="","",IF($F481&lt;&gt;"",$F481,IF(ISNA(MATCH($D481,'Paramètres'!$M:$M,0)),"⚠ Type inconnu",IFERROR(INDEX('Paramètres'!$P:$P,MATCH($D481,'Paramètres'!$M:$M,0))&amp;"",""))))</f>
        <v>Crédit</v>
      </c>
      <c r="M481" s="6" t="str">
        <f>IF($D481="","",IF(ISNA(MATCH($D481,'Paramètres'!$M:$M,0)),"⚠ Type inconnu",IF($L481="Crédit","",IFERROR(INDEX('Paramètres'!$O:$O,MATCH($D481,'Paramètres'!$M:$M,0))&amp;"",""))))</f>
        <v/>
      </c>
      <c r="N481" s="6" t="str">
        <f>IF($D481="","",IFERROR(INDEX('Paramètres'!$Q:$Q,MATCH($D481,'Paramètres'!$M:$M,0))&amp;"",""))</f>
        <v>Comptes Bancaires</v>
      </c>
      <c r="O481" s="6">
        <f>IF($A481="","",IF(OR($J481&lt;&gt;"x",$A481&lt;=FinReleve),1,0))</f>
        <v>1</v>
      </c>
      <c r="P481" s="6">
        <f>IF($D481="","",IF(AND($L481="Crédit",OR(IFERROR(INDEX('Paramètres'!$O:$O,MATCH($D481,'Paramètres'!$M:$M,0))&amp;"","")&lt;&gt;"",ISNUMBER(SEARCH("remboursement",IFERROR(INDEX('Paramètres'!$N:$N,MATCH($D481,'Paramètres'!$M:$M,0))&amp;"",""))))),1,0))</f>
        <v>0</v>
      </c>
      <c r="Q481" s="6">
        <f>IF($K481="","",IF(ISNUMBER(SEARCH("transfert-interne",IFERROR(INDEX('Paramètres'!$N:$N,MATCH($D481,'Paramètres'!$M:$M,0))&amp;"",""))),0,IF($L481="Débit",$K481,IF($P481=1,-$K481,0))))</f>
        <v>0</v>
      </c>
      <c r="R481" s="6">
        <f>IF($K481="","",IF($L481="Crédit",$K481,-$K481))</f>
        <v>100.28</v>
      </c>
      <c r="S481" s="6" t="str">
        <f>IF($C481="","",IFERROR(INDEX('Paramètres'!$H:$H,MATCH($C481,'Paramètres'!$D:$D,0))&amp;"",""))</f>
        <v>Banque A - Courant</v>
      </c>
      <c r="T481" s="6">
        <f>IF($K481="","",IF($S481="",0,IF(ISNUMBER(SEARCH("apport-exterieur",IFERROR(INDEX('Paramètres'!$N:$N,MATCH($D481,'Paramètres'!$M:$M,0))&amp;"",""))),0,IF(OR(IFERROR(INDEX('Paramètres'!$I:$I,MATCH($C481,'Paramètres'!$D:$D,0))&amp;"","")="Les deux",IFERROR(INDEX('Paramètres'!$I:$I,MATCH($C481,'Paramètres'!$D:$D,0))&amp;"","")=IF($P481=1,"Débit",$L481)),-IF($P481=1,-$K481,$K481),0))))</f>
        <v>0</v>
      </c>
      <c r="U481" s="6">
        <f>IF($K481="","",IF(ISNUMBER(SEARCH("sortie-epargne",IFERROR(INDEX('Paramètres'!$N:$N,MATCH($D481,'Paramètres'!$M:$M,0))&amp;"",""))),$K481,0))</f>
        <v>0</v>
      </c>
      <c r="V481" s="6" t="str">
        <f>IF(AND($A481&lt;&gt;"",$O481=1,$L481="Débit",N($Q481)&gt;0,$A481&gt;=Visualisation!$B$1,$A481&lt;Visualisation!$D$1),MAX($V$1:V480)+1,"")</f>
        <v/>
      </c>
    </row>
    <row r="482" spans="1:22" x14ac:dyDescent="0.25">
      <c r="A482" s="9">
        <v>45884</v>
      </c>
      <c r="B482" s="4" t="s">
        <v>100</v>
      </c>
      <c r="C482" s="4" t="s">
        <v>65</v>
      </c>
      <c r="D482" s="4" t="s">
        <v>100</v>
      </c>
      <c r="E482" s="10">
        <v>87.52</v>
      </c>
      <c r="G482" s="4"/>
      <c r="H482" s="4"/>
      <c r="I482" s="4"/>
      <c r="K482" s="11">
        <f>IF($E482="","",ROUND($E482*IF(ISNA(MATCH($C482,'Paramètres'!$D:$D,0)),1,IF(INDEX('Paramètres'!$J:$J,MATCH($C482,'Paramètres'!$D:$D,0))="",1,INDEX('Paramètres'!$J:$J,MATCH($C482,'Paramètres'!$D:$D,0)))),2))</f>
        <v>87.52</v>
      </c>
      <c r="L482" s="6" t="str">
        <f>IF($D482="","",IF($F482&lt;&gt;"",$F482,IF(ISNA(MATCH($D482,'Paramètres'!$M:$M,0)),"⚠ Type inconnu",IFERROR(INDEX('Paramètres'!$P:$P,MATCH($D482,'Paramètres'!$M:$M,0))&amp;"",""))))</f>
        <v>Débit</v>
      </c>
      <c r="M482" s="6" t="str">
        <f>IF($D482="","",IF(ISNA(MATCH($D482,'Paramètres'!$M:$M,0)),"⚠ Type inconnu",IF($L482="Crédit","",IFERROR(INDEX('Paramètres'!$O:$O,MATCH($D482,'Paramètres'!$M:$M,0))&amp;"",""))))</f>
        <v>Dépense Fixe</v>
      </c>
      <c r="N482" s="6" t="str">
        <f>IF($D482="","",IFERROR(INDEX('Paramètres'!$Q:$Q,MATCH($D482,'Paramètres'!$M:$M,0))&amp;"",""))</f>
        <v>Immobilier</v>
      </c>
      <c r="O482" s="6">
        <f>IF($A482="","",IF(OR($J482&lt;&gt;"x",$A482&lt;=FinReleve),1,0))</f>
        <v>1</v>
      </c>
      <c r="P482" s="6">
        <f>IF($D482="","",IF(AND($L482="Crédit",OR(IFERROR(INDEX('Paramètres'!$O:$O,MATCH($D482,'Paramètres'!$M:$M,0))&amp;"","")&lt;&gt;"",ISNUMBER(SEARCH("remboursement",IFERROR(INDEX('Paramètres'!$N:$N,MATCH($D482,'Paramètres'!$M:$M,0))&amp;"",""))))),1,0))</f>
        <v>0</v>
      </c>
      <c r="Q482" s="6">
        <f>IF($K482="","",IF(ISNUMBER(SEARCH("transfert-interne",IFERROR(INDEX('Paramètres'!$N:$N,MATCH($D482,'Paramètres'!$M:$M,0))&amp;"",""))),0,IF($L482="Débit",$K482,IF($P482=1,-$K482,0))))</f>
        <v>87.52</v>
      </c>
      <c r="R482" s="6">
        <f>IF($K482="","",IF($L482="Crédit",$K482,-$K482))</f>
        <v>-87.52</v>
      </c>
      <c r="S482" s="6" t="str">
        <f>IF($C482="","",IFERROR(INDEX('Paramètres'!$H:$H,MATCH($C482,'Paramètres'!$D:$D,0))&amp;"",""))</f>
        <v>Banque A - Courant</v>
      </c>
      <c r="T482" s="6">
        <f>IF($K482="","",IF($S482="",0,IF(ISNUMBER(SEARCH("apport-exterieur",IFERROR(INDEX('Paramètres'!$N:$N,MATCH($D482,'Paramètres'!$M:$M,0))&amp;"",""))),0,IF(OR(IFERROR(INDEX('Paramètres'!$I:$I,MATCH($C482,'Paramètres'!$D:$D,0))&amp;"","")="Les deux",IFERROR(INDEX('Paramètres'!$I:$I,MATCH($C482,'Paramètres'!$D:$D,0))&amp;"","")=IF($P482=1,"Débit",$L482)),-IF($P482=1,-$K482,$K482),0))))</f>
        <v>0</v>
      </c>
      <c r="U482" s="6">
        <f>IF($K482="","",IF(ISNUMBER(SEARCH("sortie-epargne",IFERROR(INDEX('Paramètres'!$N:$N,MATCH($D482,'Paramètres'!$M:$M,0))&amp;"",""))),$K482,0))</f>
        <v>0</v>
      </c>
      <c r="V482" s="6" t="str">
        <f>IF(AND($A482&lt;&gt;"",$O482=1,$L482="Débit",N($Q482)&gt;0,$A482&gt;=Visualisation!$B$1,$A482&lt;Visualisation!$D$1),MAX($V$1:V481)+1,"")</f>
        <v/>
      </c>
    </row>
    <row r="483" spans="1:22" x14ac:dyDescent="0.25">
      <c r="A483" s="9">
        <v>45886</v>
      </c>
      <c r="B483" s="4" t="s">
        <v>123</v>
      </c>
      <c r="C483" s="4" t="s">
        <v>75</v>
      </c>
      <c r="D483" s="4" t="s">
        <v>124</v>
      </c>
      <c r="E483" s="10">
        <v>36.51</v>
      </c>
      <c r="G483" s="4" t="s">
        <v>125</v>
      </c>
      <c r="H483" s="4"/>
      <c r="I483" s="4" t="s">
        <v>93</v>
      </c>
      <c r="K483" s="11">
        <f>IF($E483="","",ROUND($E483*IF(ISNA(MATCH($C483,'Paramètres'!$D:$D,0)),1,IF(INDEX('Paramètres'!$J:$J,MATCH($C483,'Paramètres'!$D:$D,0))="",1,INDEX('Paramètres'!$J:$J,MATCH($C483,'Paramètres'!$D:$D,0)))),2))</f>
        <v>36.51</v>
      </c>
      <c r="L483" s="6" t="str">
        <f>IF($D483="","",IF($F483&lt;&gt;"",$F483,IF(ISNA(MATCH($D483,'Paramètres'!$M:$M,0)),"⚠ Type inconnu",IFERROR(INDEX('Paramètres'!$P:$P,MATCH($D483,'Paramètres'!$M:$M,0))&amp;"",""))))</f>
        <v>Débit</v>
      </c>
      <c r="M483" s="6" t="str">
        <f>IF($D483="","",IF(ISNA(MATCH($D483,'Paramètres'!$M:$M,0)),"⚠ Type inconnu",IF($L483="Crédit","",IFERROR(INDEX('Paramètres'!$O:$O,MATCH($D483,'Paramètres'!$M:$M,0))&amp;"",""))))</f>
        <v>Dépense Courante</v>
      </c>
      <c r="N483" s="6" t="str">
        <f>IF($D483="","",IFERROR(INDEX('Paramètres'!$Q:$Q,MATCH($D483,'Paramètres'!$M:$M,0))&amp;"",""))</f>
        <v>Habillement</v>
      </c>
      <c r="O483" s="6">
        <f>IF($A483="","",IF(OR($J483&lt;&gt;"x",$A483&lt;=FinReleve),1,0))</f>
        <v>1</v>
      </c>
      <c r="P483" s="6">
        <f>IF($D483="","",IF(AND($L483="Crédit",OR(IFERROR(INDEX('Paramètres'!$O:$O,MATCH($D483,'Paramètres'!$M:$M,0))&amp;"","")&lt;&gt;"",ISNUMBER(SEARCH("remboursement",IFERROR(INDEX('Paramètres'!$N:$N,MATCH($D483,'Paramètres'!$M:$M,0))&amp;"",""))))),1,0))</f>
        <v>0</v>
      </c>
      <c r="Q483" s="6">
        <f>IF($K483="","",IF(ISNUMBER(SEARCH("transfert-interne",IFERROR(INDEX('Paramètres'!$N:$N,MATCH($D483,'Paramètres'!$M:$M,0))&amp;"",""))),0,IF($L483="Débit",$K483,IF($P483=1,-$K483,0))))</f>
        <v>36.51</v>
      </c>
      <c r="R483" s="6">
        <f>IF($K483="","",IF($L483="Crédit",$K483,-$K483))</f>
        <v>-36.51</v>
      </c>
      <c r="S483" s="6" t="str">
        <f>IF($C483="","",IFERROR(INDEX('Paramètres'!$H:$H,MATCH($C483,'Paramètres'!$D:$D,0))&amp;"",""))</f>
        <v/>
      </c>
      <c r="T483" s="6">
        <f>IF($K483="","",IF($S483="",0,IF(ISNUMBER(SEARCH("apport-exterieur",IFERROR(INDEX('Paramètres'!$N:$N,MATCH($D483,'Paramètres'!$M:$M,0))&amp;"",""))),0,IF(OR(IFERROR(INDEX('Paramètres'!$I:$I,MATCH($C483,'Paramètres'!$D:$D,0))&amp;"","")="Les deux",IFERROR(INDEX('Paramètres'!$I:$I,MATCH($C483,'Paramètres'!$D:$D,0))&amp;"","")=IF($P483=1,"Débit",$L483)),-IF($P483=1,-$K483,$K483),0))))</f>
        <v>0</v>
      </c>
      <c r="U483" s="6">
        <f>IF($K483="","",IF(ISNUMBER(SEARCH("sortie-epargne",IFERROR(INDEX('Paramètres'!$N:$N,MATCH($D483,'Paramètres'!$M:$M,0))&amp;"",""))),$K483,0))</f>
        <v>0</v>
      </c>
      <c r="V483" s="6" t="str">
        <f>IF(AND($A483&lt;&gt;"",$O483=1,$L483="Débit",N($Q483)&gt;0,$A483&gt;=Visualisation!$B$1,$A483&lt;Visualisation!$D$1),MAX($V$1:V482)+1,"")</f>
        <v/>
      </c>
    </row>
    <row r="484" spans="1:22" x14ac:dyDescent="0.25">
      <c r="A484" s="9">
        <v>45887</v>
      </c>
      <c r="B484" s="4" t="s">
        <v>103</v>
      </c>
      <c r="C484" s="4" t="s">
        <v>75</v>
      </c>
      <c r="D484" s="4" t="s">
        <v>103</v>
      </c>
      <c r="E484" s="10">
        <v>212</v>
      </c>
      <c r="G484" s="4"/>
      <c r="H484" s="4"/>
      <c r="I484" s="4"/>
      <c r="K484" s="11">
        <f>IF($E484="","",ROUND($E484*IF(ISNA(MATCH($C484,'Paramètres'!$D:$D,0)),1,IF(INDEX('Paramètres'!$J:$J,MATCH($C484,'Paramètres'!$D:$D,0))="",1,INDEX('Paramètres'!$J:$J,MATCH($C484,'Paramètres'!$D:$D,0)))),2))</f>
        <v>212</v>
      </c>
      <c r="L484" s="6" t="str">
        <f>IF($D484="","",IF($F484&lt;&gt;"",$F484,IF(ISNA(MATCH($D484,'Paramètres'!$M:$M,0)),"⚠ Type inconnu",IFERROR(INDEX('Paramètres'!$P:$P,MATCH($D484,'Paramètres'!$M:$M,0))&amp;"",""))))</f>
        <v>Débit</v>
      </c>
      <c r="M484" s="6" t="str">
        <f>IF($D484="","",IF(ISNA(MATCH($D484,'Paramètres'!$M:$M,0)),"⚠ Type inconnu",IF($L484="Crédit","",IFERROR(INDEX('Paramètres'!$O:$O,MATCH($D484,'Paramètres'!$M:$M,0))&amp;"",""))))</f>
        <v>Dépense Fixe</v>
      </c>
      <c r="N484" s="6" t="str">
        <f>IF($D484="","",IFERROR(INDEX('Paramètres'!$Q:$Q,MATCH($D484,'Paramètres'!$M:$M,0))&amp;"",""))</f>
        <v>Impots</v>
      </c>
      <c r="O484" s="6">
        <f>IF($A484="","",IF(OR($J484&lt;&gt;"x",$A484&lt;=FinReleve),1,0))</f>
        <v>1</v>
      </c>
      <c r="P484" s="6">
        <f>IF($D484="","",IF(AND($L484="Crédit",OR(IFERROR(INDEX('Paramètres'!$O:$O,MATCH($D484,'Paramètres'!$M:$M,0))&amp;"","")&lt;&gt;"",ISNUMBER(SEARCH("remboursement",IFERROR(INDEX('Paramètres'!$N:$N,MATCH($D484,'Paramètres'!$M:$M,0))&amp;"",""))))),1,0))</f>
        <v>0</v>
      </c>
      <c r="Q484" s="6">
        <f>IF($K484="","",IF(ISNUMBER(SEARCH("transfert-interne",IFERROR(INDEX('Paramètres'!$N:$N,MATCH($D484,'Paramètres'!$M:$M,0))&amp;"",""))),0,IF($L484="Débit",$K484,IF($P484=1,-$K484,0))))</f>
        <v>212</v>
      </c>
      <c r="R484" s="6">
        <f>IF($K484="","",IF($L484="Crédit",$K484,-$K484))</f>
        <v>-212</v>
      </c>
      <c r="S484" s="6" t="str">
        <f>IF($C484="","",IFERROR(INDEX('Paramètres'!$H:$H,MATCH($C484,'Paramètres'!$D:$D,0))&amp;"",""))</f>
        <v/>
      </c>
      <c r="T484" s="6">
        <f>IF($K484="","",IF($S484="",0,IF(ISNUMBER(SEARCH("apport-exterieur",IFERROR(INDEX('Paramètres'!$N:$N,MATCH($D484,'Paramètres'!$M:$M,0))&amp;"",""))),0,IF(OR(IFERROR(INDEX('Paramètres'!$I:$I,MATCH($C484,'Paramètres'!$D:$D,0))&amp;"","")="Les deux",IFERROR(INDEX('Paramètres'!$I:$I,MATCH($C484,'Paramètres'!$D:$D,0))&amp;"","")=IF($P484=1,"Débit",$L484)),-IF($P484=1,-$K484,$K484),0))))</f>
        <v>0</v>
      </c>
      <c r="U484" s="6">
        <f>IF($K484="","",IF(ISNUMBER(SEARCH("sortie-epargne",IFERROR(INDEX('Paramètres'!$N:$N,MATCH($D484,'Paramètres'!$M:$M,0))&amp;"",""))),$K484,0))</f>
        <v>0</v>
      </c>
      <c r="V484" s="6" t="str">
        <f>IF(AND($A484&lt;&gt;"",$O484=1,$L484="Débit",N($Q484)&gt;0,$A484&gt;=Visualisation!$B$1,$A484&lt;Visualisation!$D$1),MAX($V$1:V483)+1,"")</f>
        <v/>
      </c>
    </row>
    <row r="485" spans="1:22" x14ac:dyDescent="0.25">
      <c r="A485" s="9">
        <v>45888</v>
      </c>
      <c r="B485" s="4" t="s">
        <v>76</v>
      </c>
      <c r="C485" s="4" t="s">
        <v>67</v>
      </c>
      <c r="D485" s="4" t="s">
        <v>77</v>
      </c>
      <c r="E485" s="10">
        <v>134.74</v>
      </c>
      <c r="G485" s="4" t="s">
        <v>98</v>
      </c>
      <c r="H485" s="4" t="s">
        <v>148</v>
      </c>
      <c r="I485" s="4" t="s">
        <v>63</v>
      </c>
      <c r="K485" s="11">
        <f>IF($E485="","",ROUND($E485*IF(ISNA(MATCH($C485,'Paramètres'!$D:$D,0)),1,IF(INDEX('Paramètres'!$J:$J,MATCH($C485,'Paramètres'!$D:$D,0))="",1,INDEX('Paramètres'!$J:$J,MATCH($C485,'Paramètres'!$D:$D,0)))),2))</f>
        <v>67.37</v>
      </c>
      <c r="L485" s="6" t="str">
        <f>IF($D485="","",IF($F485&lt;&gt;"",$F485,IF(ISNA(MATCH($D485,'Paramètres'!$M:$M,0)),"⚠ Type inconnu",IFERROR(INDEX('Paramètres'!$P:$P,MATCH($D485,'Paramètres'!$M:$M,0))&amp;"",""))))</f>
        <v>Débit</v>
      </c>
      <c r="M485" s="6" t="str">
        <f>IF($D485="","",IF(ISNA(MATCH($D485,'Paramètres'!$M:$M,0)),"⚠ Type inconnu",IF($L485="Crédit","",IFERROR(INDEX('Paramètres'!$O:$O,MATCH($D485,'Paramètres'!$M:$M,0))&amp;"",""))))</f>
        <v>Dépense Courante</v>
      </c>
      <c r="N485" s="6" t="str">
        <f>IF($D485="","",IFERROR(INDEX('Paramètres'!$Q:$Q,MATCH($D485,'Paramètres'!$M:$M,0))&amp;"",""))</f>
        <v>Alimentation</v>
      </c>
      <c r="O485" s="6">
        <f>IF($A485="","",IF(OR($J485&lt;&gt;"x",$A485&lt;=FinReleve),1,0))</f>
        <v>1</v>
      </c>
      <c r="P485" s="6">
        <f>IF($D485="","",IF(AND($L485="Crédit",OR(IFERROR(INDEX('Paramètres'!$O:$O,MATCH($D485,'Paramètres'!$M:$M,0))&amp;"","")&lt;&gt;"",ISNUMBER(SEARCH("remboursement",IFERROR(INDEX('Paramètres'!$N:$N,MATCH($D485,'Paramètres'!$M:$M,0))&amp;"",""))))),1,0))</f>
        <v>0</v>
      </c>
      <c r="Q485" s="6">
        <f>IF($K485="","",IF(ISNUMBER(SEARCH("transfert-interne",IFERROR(INDEX('Paramètres'!$N:$N,MATCH($D485,'Paramètres'!$M:$M,0))&amp;"",""))),0,IF($L485="Débit",$K485,IF($P485=1,-$K485,0))))</f>
        <v>67.37</v>
      </c>
      <c r="R485" s="6">
        <f>IF($K485="","",IF($L485="Crédit",$K485,-$K485))</f>
        <v>-67.37</v>
      </c>
      <c r="S485" s="6" t="str">
        <f>IF($C485="","",IFERROR(INDEX('Paramètres'!$H:$H,MATCH($C485,'Paramètres'!$D:$D,0))&amp;"",""))</f>
        <v>Banque A - Courant</v>
      </c>
      <c r="T485" s="6">
        <f>IF($K485="","",IF($S485="",0,IF(ISNUMBER(SEARCH("apport-exterieur",IFERROR(INDEX('Paramètres'!$N:$N,MATCH($D485,'Paramètres'!$M:$M,0))&amp;"",""))),0,IF(OR(IFERROR(INDEX('Paramètres'!$I:$I,MATCH($C485,'Paramètres'!$D:$D,0))&amp;"","")="Les deux",IFERROR(INDEX('Paramètres'!$I:$I,MATCH($C485,'Paramètres'!$D:$D,0))&amp;"","")=IF($P485=1,"Débit",$L485)),-IF($P485=1,-$K485,$K485),0))))</f>
        <v>0</v>
      </c>
      <c r="U485" s="6">
        <f>IF($K485="","",IF(ISNUMBER(SEARCH("sortie-epargne",IFERROR(INDEX('Paramètres'!$N:$N,MATCH($D485,'Paramètres'!$M:$M,0))&amp;"",""))),$K485,0))</f>
        <v>0</v>
      </c>
      <c r="V485" s="6" t="str">
        <f>IF(AND($A485&lt;&gt;"",$O485=1,$L485="Débit",N($Q485)&gt;0,$A485&gt;=Visualisation!$B$1,$A485&lt;Visualisation!$D$1),MAX($V$1:V484)+1,"")</f>
        <v/>
      </c>
    </row>
    <row r="486" spans="1:22" x14ac:dyDescent="0.25">
      <c r="A486" s="9">
        <v>45888</v>
      </c>
      <c r="B486" s="4" t="s">
        <v>76</v>
      </c>
      <c r="C486" s="4" t="s">
        <v>67</v>
      </c>
      <c r="D486" s="4" t="s">
        <v>77</v>
      </c>
      <c r="E486" s="10">
        <v>52.4</v>
      </c>
      <c r="G486" s="4" t="s">
        <v>102</v>
      </c>
      <c r="H486" s="4" t="s">
        <v>148</v>
      </c>
      <c r="I486" s="4"/>
      <c r="K486" s="11">
        <f>IF($E486="","",ROUND($E486*IF(ISNA(MATCH($C486,'Paramètres'!$D:$D,0)),1,IF(INDEX('Paramètres'!$J:$J,MATCH($C486,'Paramètres'!$D:$D,0))="",1,INDEX('Paramètres'!$J:$J,MATCH($C486,'Paramètres'!$D:$D,0)))),2))</f>
        <v>26.2</v>
      </c>
      <c r="L486" s="6" t="str">
        <f>IF($D486="","",IF($F486&lt;&gt;"",$F486,IF(ISNA(MATCH($D486,'Paramètres'!$M:$M,0)),"⚠ Type inconnu",IFERROR(INDEX('Paramètres'!$P:$P,MATCH($D486,'Paramètres'!$M:$M,0))&amp;"",""))))</f>
        <v>Débit</v>
      </c>
      <c r="M486" s="6" t="str">
        <f>IF($D486="","",IF(ISNA(MATCH($D486,'Paramètres'!$M:$M,0)),"⚠ Type inconnu",IF($L486="Crédit","",IFERROR(INDEX('Paramètres'!$O:$O,MATCH($D486,'Paramètres'!$M:$M,0))&amp;"",""))))</f>
        <v>Dépense Courante</v>
      </c>
      <c r="N486" s="6" t="str">
        <f>IF($D486="","",IFERROR(INDEX('Paramètres'!$Q:$Q,MATCH($D486,'Paramètres'!$M:$M,0))&amp;"",""))</f>
        <v>Alimentation</v>
      </c>
      <c r="O486" s="6">
        <f>IF($A486="","",IF(OR($J486&lt;&gt;"x",$A486&lt;=FinReleve),1,0))</f>
        <v>1</v>
      </c>
      <c r="P486" s="6">
        <f>IF($D486="","",IF(AND($L486="Crédit",OR(IFERROR(INDEX('Paramètres'!$O:$O,MATCH($D486,'Paramètres'!$M:$M,0))&amp;"","")&lt;&gt;"",ISNUMBER(SEARCH("remboursement",IFERROR(INDEX('Paramètres'!$N:$N,MATCH($D486,'Paramètres'!$M:$M,0))&amp;"",""))))),1,0))</f>
        <v>0</v>
      </c>
      <c r="Q486" s="6">
        <f>IF($K486="","",IF(ISNUMBER(SEARCH("transfert-interne",IFERROR(INDEX('Paramètres'!$N:$N,MATCH($D486,'Paramètres'!$M:$M,0))&amp;"",""))),0,IF($L486="Débit",$K486,IF($P486=1,-$K486,0))))</f>
        <v>26.2</v>
      </c>
      <c r="R486" s="6">
        <f>IF($K486="","",IF($L486="Crédit",$K486,-$K486))</f>
        <v>-26.2</v>
      </c>
      <c r="S486" s="6" t="str">
        <f>IF($C486="","",IFERROR(INDEX('Paramètres'!$H:$H,MATCH($C486,'Paramètres'!$D:$D,0))&amp;"",""))</f>
        <v>Banque A - Courant</v>
      </c>
      <c r="T486" s="6">
        <f>IF($K486="","",IF($S486="",0,IF(ISNUMBER(SEARCH("apport-exterieur",IFERROR(INDEX('Paramètres'!$N:$N,MATCH($D486,'Paramètres'!$M:$M,0))&amp;"",""))),0,IF(OR(IFERROR(INDEX('Paramètres'!$I:$I,MATCH($C486,'Paramètres'!$D:$D,0))&amp;"","")="Les deux",IFERROR(INDEX('Paramètres'!$I:$I,MATCH($C486,'Paramètres'!$D:$D,0))&amp;"","")=IF($P486=1,"Débit",$L486)),-IF($P486=1,-$K486,$K486),0))))</f>
        <v>0</v>
      </c>
      <c r="U486" s="6">
        <f>IF($K486="","",IF(ISNUMBER(SEARCH("sortie-epargne",IFERROR(INDEX('Paramètres'!$N:$N,MATCH($D486,'Paramètres'!$M:$M,0))&amp;"",""))),$K486,0))</f>
        <v>0</v>
      </c>
      <c r="V486" s="6" t="str">
        <f>IF(AND($A486&lt;&gt;"",$O486=1,$L486="Débit",N($Q486)&gt;0,$A486&gt;=Visualisation!$B$1,$A486&lt;Visualisation!$D$1),MAX($V$1:V485)+1,"")</f>
        <v/>
      </c>
    </row>
    <row r="487" spans="1:22" x14ac:dyDescent="0.25">
      <c r="A487" s="9">
        <v>45888</v>
      </c>
      <c r="B487" s="4" t="s">
        <v>69</v>
      </c>
      <c r="C487" s="4" t="s">
        <v>70</v>
      </c>
      <c r="D487" s="4" t="s">
        <v>71</v>
      </c>
      <c r="E487" s="10">
        <v>10.92</v>
      </c>
      <c r="G487" s="4" t="s">
        <v>72</v>
      </c>
      <c r="H487" s="4"/>
      <c r="I487" s="4" t="s">
        <v>79</v>
      </c>
      <c r="K487" s="11">
        <f>IF($E487="","",ROUND($E487*IF(ISNA(MATCH($C487,'Paramètres'!$D:$D,0)),1,IF(INDEX('Paramètres'!$J:$J,MATCH($C487,'Paramètres'!$D:$D,0))="",1,INDEX('Paramètres'!$J:$J,MATCH($C487,'Paramètres'!$D:$D,0)))),2))</f>
        <v>10.92</v>
      </c>
      <c r="L487" s="6" t="str">
        <f>IF($D487="","",IF($F487&lt;&gt;"",$F487,IF(ISNA(MATCH($D487,'Paramètres'!$M:$M,0)),"⚠ Type inconnu",IFERROR(INDEX('Paramètres'!$P:$P,MATCH($D487,'Paramètres'!$M:$M,0))&amp;"",""))))</f>
        <v>Débit</v>
      </c>
      <c r="M487" s="6" t="str">
        <f>IF($D487="","",IF(ISNA(MATCH($D487,'Paramètres'!$M:$M,0)),"⚠ Type inconnu",IF($L487="Crédit","",IFERROR(INDEX('Paramètres'!$O:$O,MATCH($D487,'Paramètres'!$M:$M,0))&amp;"",""))))</f>
        <v>Dépense Courante</v>
      </c>
      <c r="N487" s="6" t="str">
        <f>IF($D487="","",IFERROR(INDEX('Paramètres'!$Q:$Q,MATCH($D487,'Paramètres'!$M:$M,0))&amp;"",""))</f>
        <v>Alimentation</v>
      </c>
      <c r="O487" s="6">
        <f>IF($A487="","",IF(OR($J487&lt;&gt;"x",$A487&lt;=FinReleve),1,0))</f>
        <v>1</v>
      </c>
      <c r="P487" s="6">
        <f>IF($D487="","",IF(AND($L487="Crédit",OR(IFERROR(INDEX('Paramètres'!$O:$O,MATCH($D487,'Paramètres'!$M:$M,0))&amp;"","")&lt;&gt;"",ISNUMBER(SEARCH("remboursement",IFERROR(INDEX('Paramètres'!$N:$N,MATCH($D487,'Paramètres'!$M:$M,0))&amp;"",""))))),1,0))</f>
        <v>0</v>
      </c>
      <c r="Q487" s="6">
        <f>IF($K487="","",IF(ISNUMBER(SEARCH("transfert-interne",IFERROR(INDEX('Paramètres'!$N:$N,MATCH($D487,'Paramètres'!$M:$M,0))&amp;"",""))),0,IF($L487="Débit",$K487,IF($P487=1,-$K487,0))))</f>
        <v>10.92</v>
      </c>
      <c r="R487" s="6">
        <f>IF($K487="","",IF($L487="Crédit",$K487,-$K487))</f>
        <v>-10.92</v>
      </c>
      <c r="S487" s="6" t="str">
        <f>IF($C487="","",IFERROR(INDEX('Paramètres'!$H:$H,MATCH($C487,'Paramètres'!$D:$D,0))&amp;"",""))</f>
        <v/>
      </c>
      <c r="T487" s="6">
        <f>IF($K487="","",IF($S487="",0,IF(ISNUMBER(SEARCH("apport-exterieur",IFERROR(INDEX('Paramètres'!$N:$N,MATCH($D487,'Paramètres'!$M:$M,0))&amp;"",""))),0,IF(OR(IFERROR(INDEX('Paramètres'!$I:$I,MATCH($C487,'Paramètres'!$D:$D,0))&amp;"","")="Les deux",IFERROR(INDEX('Paramètres'!$I:$I,MATCH($C487,'Paramètres'!$D:$D,0))&amp;"","")=IF($P487=1,"Débit",$L487)),-IF($P487=1,-$K487,$K487),0))))</f>
        <v>0</v>
      </c>
      <c r="U487" s="6">
        <f>IF($K487="","",IF(ISNUMBER(SEARCH("sortie-epargne",IFERROR(INDEX('Paramètres'!$N:$N,MATCH($D487,'Paramètres'!$M:$M,0))&amp;"",""))),$K487,0))</f>
        <v>0</v>
      </c>
      <c r="V487" s="6" t="str">
        <f>IF(AND($A487&lt;&gt;"",$O487=1,$L487="Débit",N($Q487)&gt;0,$A487&gt;=Visualisation!$B$1,$A487&lt;Visualisation!$D$1),MAX($V$1:V486)+1,"")</f>
        <v/>
      </c>
    </row>
    <row r="488" spans="1:22" x14ac:dyDescent="0.25">
      <c r="A488" s="9">
        <v>45889</v>
      </c>
      <c r="B488" s="4" t="s">
        <v>76</v>
      </c>
      <c r="C488" s="4" t="s">
        <v>67</v>
      </c>
      <c r="D488" s="4" t="s">
        <v>77</v>
      </c>
      <c r="E488" s="10">
        <v>35</v>
      </c>
      <c r="G488" s="4" t="s">
        <v>78</v>
      </c>
      <c r="H488" s="4" t="s">
        <v>148</v>
      </c>
      <c r="I488" s="4"/>
      <c r="K488" s="11">
        <f>IF($E488="","",ROUND($E488*IF(ISNA(MATCH($C488,'Paramètres'!$D:$D,0)),1,IF(INDEX('Paramètres'!$J:$J,MATCH($C488,'Paramètres'!$D:$D,0))="",1,INDEX('Paramètres'!$J:$J,MATCH($C488,'Paramètres'!$D:$D,0)))),2))</f>
        <v>17.5</v>
      </c>
      <c r="L488" s="6" t="str">
        <f>IF($D488="","",IF($F488&lt;&gt;"",$F488,IF(ISNA(MATCH($D488,'Paramètres'!$M:$M,0)),"⚠ Type inconnu",IFERROR(INDEX('Paramètres'!$P:$P,MATCH($D488,'Paramètres'!$M:$M,0))&amp;"",""))))</f>
        <v>Débit</v>
      </c>
      <c r="M488" s="6" t="str">
        <f>IF($D488="","",IF(ISNA(MATCH($D488,'Paramètres'!$M:$M,0)),"⚠ Type inconnu",IF($L488="Crédit","",IFERROR(INDEX('Paramètres'!$O:$O,MATCH($D488,'Paramètres'!$M:$M,0))&amp;"",""))))</f>
        <v>Dépense Courante</v>
      </c>
      <c r="N488" s="6" t="str">
        <f>IF($D488="","",IFERROR(INDEX('Paramètres'!$Q:$Q,MATCH($D488,'Paramètres'!$M:$M,0))&amp;"",""))</f>
        <v>Alimentation</v>
      </c>
      <c r="O488" s="6">
        <f>IF($A488="","",IF(OR($J488&lt;&gt;"x",$A488&lt;=FinReleve),1,0))</f>
        <v>1</v>
      </c>
      <c r="P488" s="6">
        <f>IF($D488="","",IF(AND($L488="Crédit",OR(IFERROR(INDEX('Paramètres'!$O:$O,MATCH($D488,'Paramètres'!$M:$M,0))&amp;"","")&lt;&gt;"",ISNUMBER(SEARCH("remboursement",IFERROR(INDEX('Paramètres'!$N:$N,MATCH($D488,'Paramètres'!$M:$M,0))&amp;"",""))))),1,0))</f>
        <v>0</v>
      </c>
      <c r="Q488" s="6">
        <f>IF($K488="","",IF(ISNUMBER(SEARCH("transfert-interne",IFERROR(INDEX('Paramètres'!$N:$N,MATCH($D488,'Paramètres'!$M:$M,0))&amp;"",""))),0,IF($L488="Débit",$K488,IF($P488=1,-$K488,0))))</f>
        <v>17.5</v>
      </c>
      <c r="R488" s="6">
        <f>IF($K488="","",IF($L488="Crédit",$K488,-$K488))</f>
        <v>-17.5</v>
      </c>
      <c r="S488" s="6" t="str">
        <f>IF($C488="","",IFERROR(INDEX('Paramètres'!$H:$H,MATCH($C488,'Paramètres'!$D:$D,0))&amp;"",""))</f>
        <v>Banque A - Courant</v>
      </c>
      <c r="T488" s="6">
        <f>IF($K488="","",IF($S488="",0,IF(ISNUMBER(SEARCH("apport-exterieur",IFERROR(INDEX('Paramètres'!$N:$N,MATCH($D488,'Paramètres'!$M:$M,0))&amp;"",""))),0,IF(OR(IFERROR(INDEX('Paramètres'!$I:$I,MATCH($C488,'Paramètres'!$D:$D,0))&amp;"","")="Les deux",IFERROR(INDEX('Paramètres'!$I:$I,MATCH($C488,'Paramètres'!$D:$D,0))&amp;"","")=IF($P488=1,"Débit",$L488)),-IF($P488=1,-$K488,$K488),0))))</f>
        <v>0</v>
      </c>
      <c r="U488" s="6">
        <f>IF($K488="","",IF(ISNUMBER(SEARCH("sortie-epargne",IFERROR(INDEX('Paramètres'!$N:$N,MATCH($D488,'Paramètres'!$M:$M,0))&amp;"",""))),$K488,0))</f>
        <v>0</v>
      </c>
      <c r="V488" s="6" t="str">
        <f>IF(AND($A488&lt;&gt;"",$O488=1,$L488="Débit",N($Q488)&gt;0,$A488&gt;=Visualisation!$B$1,$A488&lt;Visualisation!$D$1),MAX($V$1:V487)+1,"")</f>
        <v/>
      </c>
    </row>
    <row r="489" spans="1:22" x14ac:dyDescent="0.25">
      <c r="A489" s="9">
        <v>45890</v>
      </c>
      <c r="B489" s="4" t="s">
        <v>76</v>
      </c>
      <c r="C489" s="4" t="s">
        <v>107</v>
      </c>
      <c r="D489" s="4" t="s">
        <v>108</v>
      </c>
      <c r="E489" s="10">
        <v>34.98</v>
      </c>
      <c r="G489" s="4" t="s">
        <v>109</v>
      </c>
      <c r="H489" s="4"/>
      <c r="I489" s="4" t="s">
        <v>93</v>
      </c>
      <c r="K489" s="11">
        <f>IF($E489="","",ROUND($E489*IF(ISNA(MATCH($C489,'Paramètres'!$D:$D,0)),1,IF(INDEX('Paramètres'!$J:$J,MATCH($C489,'Paramètres'!$D:$D,0))="",1,INDEX('Paramètres'!$J:$J,MATCH($C489,'Paramètres'!$D:$D,0)))),2))</f>
        <v>34.98</v>
      </c>
      <c r="L489" s="6" t="str">
        <f>IF($D489="","",IF($F489&lt;&gt;"",$F489,IF(ISNA(MATCH($D489,'Paramètres'!$M:$M,0)),"⚠ Type inconnu",IFERROR(INDEX('Paramètres'!$P:$P,MATCH($D489,'Paramètres'!$M:$M,0))&amp;"",""))))</f>
        <v>Débit</v>
      </c>
      <c r="M489" s="6" t="str">
        <f>IF($D489="","",IF(ISNA(MATCH($D489,'Paramètres'!$M:$M,0)),"⚠ Type inconnu",IF($L489="Crédit","",IFERROR(INDEX('Paramètres'!$O:$O,MATCH($D489,'Paramètres'!$M:$M,0))&amp;"",""))))</f>
        <v>Dépense Occasionnelle</v>
      </c>
      <c r="N489" s="6" t="str">
        <f>IF($D489="","",IFERROR(INDEX('Paramètres'!$Q:$Q,MATCH($D489,'Paramètres'!$M:$M,0))&amp;"",""))</f>
        <v>Autre</v>
      </c>
      <c r="O489" s="6">
        <f>IF($A489="","",IF(OR($J489&lt;&gt;"x",$A489&lt;=FinReleve),1,0))</f>
        <v>1</v>
      </c>
      <c r="P489" s="6">
        <f>IF($D489="","",IF(AND($L489="Crédit",OR(IFERROR(INDEX('Paramètres'!$O:$O,MATCH($D489,'Paramètres'!$M:$M,0))&amp;"","")&lt;&gt;"",ISNUMBER(SEARCH("remboursement",IFERROR(INDEX('Paramètres'!$N:$N,MATCH($D489,'Paramètres'!$M:$M,0))&amp;"",""))))),1,0))</f>
        <v>0</v>
      </c>
      <c r="Q489" s="6">
        <f>IF($K489="","",IF(ISNUMBER(SEARCH("transfert-interne",IFERROR(INDEX('Paramètres'!$N:$N,MATCH($D489,'Paramètres'!$M:$M,0))&amp;"",""))),0,IF($L489="Débit",$K489,IF($P489=1,-$K489,0))))</f>
        <v>34.98</v>
      </c>
      <c r="R489" s="6">
        <f>IF($K489="","",IF($L489="Crédit",$K489,-$K489))</f>
        <v>-34.98</v>
      </c>
      <c r="S489" s="6" t="str">
        <f>IF($C489="","",IFERROR(INDEX('Paramètres'!$H:$H,MATCH($C489,'Paramètres'!$D:$D,0))&amp;"",""))</f>
        <v/>
      </c>
      <c r="T489" s="6">
        <f>IF($K489="","",IF($S489="",0,IF(ISNUMBER(SEARCH("apport-exterieur",IFERROR(INDEX('Paramètres'!$N:$N,MATCH($D489,'Paramètres'!$M:$M,0))&amp;"",""))),0,IF(OR(IFERROR(INDEX('Paramètres'!$I:$I,MATCH($C489,'Paramètres'!$D:$D,0))&amp;"","")="Les deux",IFERROR(INDEX('Paramètres'!$I:$I,MATCH($C489,'Paramètres'!$D:$D,0))&amp;"","")=IF($P489=1,"Débit",$L489)),-IF($P489=1,-$K489,$K489),0))))</f>
        <v>0</v>
      </c>
      <c r="U489" s="6">
        <f>IF($K489="","",IF(ISNUMBER(SEARCH("sortie-epargne",IFERROR(INDEX('Paramètres'!$N:$N,MATCH($D489,'Paramètres'!$M:$M,0))&amp;"",""))),$K489,0))</f>
        <v>0</v>
      </c>
      <c r="V489" s="6" t="str">
        <f>IF(AND($A489&lt;&gt;"",$O489=1,$L489="Débit",N($Q489)&gt;0,$A489&gt;=Visualisation!$B$1,$A489&lt;Visualisation!$D$1),MAX($V$1:V488)+1,"")</f>
        <v/>
      </c>
    </row>
    <row r="490" spans="1:22" x14ac:dyDescent="0.25">
      <c r="A490" s="9">
        <v>45891</v>
      </c>
      <c r="B490" s="4" t="s">
        <v>76</v>
      </c>
      <c r="C490" s="4" t="s">
        <v>67</v>
      </c>
      <c r="D490" s="4" t="s">
        <v>77</v>
      </c>
      <c r="E490" s="10">
        <v>29.12</v>
      </c>
      <c r="G490" s="4" t="s">
        <v>102</v>
      </c>
      <c r="H490" s="4" t="s">
        <v>148</v>
      </c>
      <c r="I490" s="4" t="s">
        <v>73</v>
      </c>
      <c r="K490" s="11">
        <f>IF($E490="","",ROUND($E490*IF(ISNA(MATCH($C490,'Paramètres'!$D:$D,0)),1,IF(INDEX('Paramètres'!$J:$J,MATCH($C490,'Paramètres'!$D:$D,0))="",1,INDEX('Paramètres'!$J:$J,MATCH($C490,'Paramètres'!$D:$D,0)))),2))</f>
        <v>14.56</v>
      </c>
      <c r="L490" s="6" t="str">
        <f>IF($D490="","",IF($F490&lt;&gt;"",$F490,IF(ISNA(MATCH($D490,'Paramètres'!$M:$M,0)),"⚠ Type inconnu",IFERROR(INDEX('Paramètres'!$P:$P,MATCH($D490,'Paramètres'!$M:$M,0))&amp;"",""))))</f>
        <v>Débit</v>
      </c>
      <c r="M490" s="6" t="str">
        <f>IF($D490="","",IF(ISNA(MATCH($D490,'Paramètres'!$M:$M,0)),"⚠ Type inconnu",IF($L490="Crédit","",IFERROR(INDEX('Paramètres'!$O:$O,MATCH($D490,'Paramètres'!$M:$M,0))&amp;"",""))))</f>
        <v>Dépense Courante</v>
      </c>
      <c r="N490" s="6" t="str">
        <f>IF($D490="","",IFERROR(INDEX('Paramètres'!$Q:$Q,MATCH($D490,'Paramètres'!$M:$M,0))&amp;"",""))</f>
        <v>Alimentation</v>
      </c>
      <c r="O490" s="6">
        <f>IF($A490="","",IF(OR($J490&lt;&gt;"x",$A490&lt;=FinReleve),1,0))</f>
        <v>1</v>
      </c>
      <c r="P490" s="6">
        <f>IF($D490="","",IF(AND($L490="Crédit",OR(IFERROR(INDEX('Paramètres'!$O:$O,MATCH($D490,'Paramètres'!$M:$M,0))&amp;"","")&lt;&gt;"",ISNUMBER(SEARCH("remboursement",IFERROR(INDEX('Paramètres'!$N:$N,MATCH($D490,'Paramètres'!$M:$M,0))&amp;"",""))))),1,0))</f>
        <v>0</v>
      </c>
      <c r="Q490" s="6">
        <f>IF($K490="","",IF(ISNUMBER(SEARCH("transfert-interne",IFERROR(INDEX('Paramètres'!$N:$N,MATCH($D490,'Paramètres'!$M:$M,0))&amp;"",""))),0,IF($L490="Débit",$K490,IF($P490=1,-$K490,0))))</f>
        <v>14.56</v>
      </c>
      <c r="R490" s="6">
        <f>IF($K490="","",IF($L490="Crédit",$K490,-$K490))</f>
        <v>-14.56</v>
      </c>
      <c r="S490" s="6" t="str">
        <f>IF($C490="","",IFERROR(INDEX('Paramètres'!$H:$H,MATCH($C490,'Paramètres'!$D:$D,0))&amp;"",""))</f>
        <v>Banque A - Courant</v>
      </c>
      <c r="T490" s="6">
        <f>IF($K490="","",IF($S490="",0,IF(ISNUMBER(SEARCH("apport-exterieur",IFERROR(INDEX('Paramètres'!$N:$N,MATCH($D490,'Paramètres'!$M:$M,0))&amp;"",""))),0,IF(OR(IFERROR(INDEX('Paramètres'!$I:$I,MATCH($C490,'Paramètres'!$D:$D,0))&amp;"","")="Les deux",IFERROR(INDEX('Paramètres'!$I:$I,MATCH($C490,'Paramètres'!$D:$D,0))&amp;"","")=IF($P490=1,"Débit",$L490)),-IF($P490=1,-$K490,$K490),0))))</f>
        <v>0</v>
      </c>
      <c r="U490" s="6">
        <f>IF($K490="","",IF(ISNUMBER(SEARCH("sortie-epargne",IFERROR(INDEX('Paramètres'!$N:$N,MATCH($D490,'Paramètres'!$M:$M,0))&amp;"",""))),$K490,0))</f>
        <v>0</v>
      </c>
      <c r="V490" s="6" t="str">
        <f>IF(AND($A490&lt;&gt;"",$O490=1,$L490="Débit",N($Q490)&gt;0,$A490&gt;=Visualisation!$B$1,$A490&lt;Visualisation!$D$1),MAX($V$1:V489)+1,"")</f>
        <v/>
      </c>
    </row>
    <row r="491" spans="1:22" x14ac:dyDescent="0.25">
      <c r="A491" s="9">
        <v>45893</v>
      </c>
      <c r="B491" s="4" t="s">
        <v>76</v>
      </c>
      <c r="C491" s="4" t="s">
        <v>67</v>
      </c>
      <c r="D491" s="4" t="s">
        <v>77</v>
      </c>
      <c r="E491" s="10">
        <v>118.88</v>
      </c>
      <c r="G491" s="4" t="s">
        <v>95</v>
      </c>
      <c r="H491" s="4" t="s">
        <v>148</v>
      </c>
      <c r="I491" s="4"/>
      <c r="K491" s="11">
        <f>IF($E491="","",ROUND($E491*IF(ISNA(MATCH($C491,'Paramètres'!$D:$D,0)),1,IF(INDEX('Paramètres'!$J:$J,MATCH($C491,'Paramètres'!$D:$D,0))="",1,INDEX('Paramètres'!$J:$J,MATCH($C491,'Paramètres'!$D:$D,0)))),2))</f>
        <v>59.44</v>
      </c>
      <c r="L491" s="6" t="str">
        <f>IF($D491="","",IF($F491&lt;&gt;"",$F491,IF(ISNA(MATCH($D491,'Paramètres'!$M:$M,0)),"⚠ Type inconnu",IFERROR(INDEX('Paramètres'!$P:$P,MATCH($D491,'Paramètres'!$M:$M,0))&amp;"",""))))</f>
        <v>Débit</v>
      </c>
      <c r="M491" s="6" t="str">
        <f>IF($D491="","",IF(ISNA(MATCH($D491,'Paramètres'!$M:$M,0)),"⚠ Type inconnu",IF($L491="Crédit","",IFERROR(INDEX('Paramètres'!$O:$O,MATCH($D491,'Paramètres'!$M:$M,0))&amp;"",""))))</f>
        <v>Dépense Courante</v>
      </c>
      <c r="N491" s="6" t="str">
        <f>IF($D491="","",IFERROR(INDEX('Paramètres'!$Q:$Q,MATCH($D491,'Paramètres'!$M:$M,0))&amp;"",""))</f>
        <v>Alimentation</v>
      </c>
      <c r="O491" s="6">
        <f>IF($A491="","",IF(OR($J491&lt;&gt;"x",$A491&lt;=FinReleve),1,0))</f>
        <v>1</v>
      </c>
      <c r="P491" s="6">
        <f>IF($D491="","",IF(AND($L491="Crédit",OR(IFERROR(INDEX('Paramètres'!$O:$O,MATCH($D491,'Paramètres'!$M:$M,0))&amp;"","")&lt;&gt;"",ISNUMBER(SEARCH("remboursement",IFERROR(INDEX('Paramètres'!$N:$N,MATCH($D491,'Paramètres'!$M:$M,0))&amp;"",""))))),1,0))</f>
        <v>0</v>
      </c>
      <c r="Q491" s="6">
        <f>IF($K491="","",IF(ISNUMBER(SEARCH("transfert-interne",IFERROR(INDEX('Paramètres'!$N:$N,MATCH($D491,'Paramètres'!$M:$M,0))&amp;"",""))),0,IF($L491="Débit",$K491,IF($P491=1,-$K491,0))))</f>
        <v>59.44</v>
      </c>
      <c r="R491" s="6">
        <f>IF($K491="","",IF($L491="Crédit",$K491,-$K491))</f>
        <v>-59.44</v>
      </c>
      <c r="S491" s="6" t="str">
        <f>IF($C491="","",IFERROR(INDEX('Paramètres'!$H:$H,MATCH($C491,'Paramètres'!$D:$D,0))&amp;"",""))</f>
        <v>Banque A - Courant</v>
      </c>
      <c r="T491" s="6">
        <f>IF($K491="","",IF($S491="",0,IF(ISNUMBER(SEARCH("apport-exterieur",IFERROR(INDEX('Paramètres'!$N:$N,MATCH($D491,'Paramètres'!$M:$M,0))&amp;"",""))),0,IF(OR(IFERROR(INDEX('Paramètres'!$I:$I,MATCH($C491,'Paramètres'!$D:$D,0))&amp;"","")="Les deux",IFERROR(INDEX('Paramètres'!$I:$I,MATCH($C491,'Paramètres'!$D:$D,0))&amp;"","")=IF($P491=1,"Débit",$L491)),-IF($P491=1,-$K491,$K491),0))))</f>
        <v>0</v>
      </c>
      <c r="U491" s="6">
        <f>IF($K491="","",IF(ISNUMBER(SEARCH("sortie-epargne",IFERROR(INDEX('Paramètres'!$N:$N,MATCH($D491,'Paramètres'!$M:$M,0))&amp;"",""))),$K491,0))</f>
        <v>0</v>
      </c>
      <c r="V491" s="6" t="str">
        <f>IF(AND($A491&lt;&gt;"",$O491=1,$L491="Débit",N($Q491)&gt;0,$A491&gt;=Visualisation!$B$1,$A491&lt;Visualisation!$D$1),MAX($V$1:V490)+1,"")</f>
        <v/>
      </c>
    </row>
    <row r="492" spans="1:22" x14ac:dyDescent="0.25">
      <c r="A492" s="9">
        <v>45893</v>
      </c>
      <c r="B492" s="4" t="s">
        <v>69</v>
      </c>
      <c r="C492" s="4" t="s">
        <v>70</v>
      </c>
      <c r="D492" s="4" t="s">
        <v>71</v>
      </c>
      <c r="E492" s="10">
        <v>9.88</v>
      </c>
      <c r="G492" s="4" t="s">
        <v>72</v>
      </c>
      <c r="H492" s="4"/>
      <c r="I492" s="4" t="s">
        <v>79</v>
      </c>
      <c r="K492" s="11">
        <f>IF($E492="","",ROUND($E492*IF(ISNA(MATCH($C492,'Paramètres'!$D:$D,0)),1,IF(INDEX('Paramètres'!$J:$J,MATCH($C492,'Paramètres'!$D:$D,0))="",1,INDEX('Paramètres'!$J:$J,MATCH($C492,'Paramètres'!$D:$D,0)))),2))</f>
        <v>9.88</v>
      </c>
      <c r="L492" s="6" t="str">
        <f>IF($D492="","",IF($F492&lt;&gt;"",$F492,IF(ISNA(MATCH($D492,'Paramètres'!$M:$M,0)),"⚠ Type inconnu",IFERROR(INDEX('Paramètres'!$P:$P,MATCH($D492,'Paramètres'!$M:$M,0))&amp;"",""))))</f>
        <v>Débit</v>
      </c>
      <c r="M492" s="6" t="str">
        <f>IF($D492="","",IF(ISNA(MATCH($D492,'Paramètres'!$M:$M,0)),"⚠ Type inconnu",IF($L492="Crédit","",IFERROR(INDEX('Paramètres'!$O:$O,MATCH($D492,'Paramètres'!$M:$M,0))&amp;"",""))))</f>
        <v>Dépense Courante</v>
      </c>
      <c r="N492" s="6" t="str">
        <f>IF($D492="","",IFERROR(INDEX('Paramètres'!$Q:$Q,MATCH($D492,'Paramètres'!$M:$M,0))&amp;"",""))</f>
        <v>Alimentation</v>
      </c>
      <c r="O492" s="6">
        <f>IF($A492="","",IF(OR($J492&lt;&gt;"x",$A492&lt;=FinReleve),1,0))</f>
        <v>1</v>
      </c>
      <c r="P492" s="6">
        <f>IF($D492="","",IF(AND($L492="Crédit",OR(IFERROR(INDEX('Paramètres'!$O:$O,MATCH($D492,'Paramètres'!$M:$M,0))&amp;"","")&lt;&gt;"",ISNUMBER(SEARCH("remboursement",IFERROR(INDEX('Paramètres'!$N:$N,MATCH($D492,'Paramètres'!$M:$M,0))&amp;"",""))))),1,0))</f>
        <v>0</v>
      </c>
      <c r="Q492" s="6">
        <f>IF($K492="","",IF(ISNUMBER(SEARCH("transfert-interne",IFERROR(INDEX('Paramètres'!$N:$N,MATCH($D492,'Paramètres'!$M:$M,0))&amp;"",""))),0,IF($L492="Débit",$K492,IF($P492=1,-$K492,0))))</f>
        <v>9.88</v>
      </c>
      <c r="R492" s="6">
        <f>IF($K492="","",IF($L492="Crédit",$K492,-$K492))</f>
        <v>-9.88</v>
      </c>
      <c r="S492" s="6" t="str">
        <f>IF($C492="","",IFERROR(INDEX('Paramètres'!$H:$H,MATCH($C492,'Paramètres'!$D:$D,0))&amp;"",""))</f>
        <v/>
      </c>
      <c r="T492" s="6">
        <f>IF($K492="","",IF($S492="",0,IF(ISNUMBER(SEARCH("apport-exterieur",IFERROR(INDEX('Paramètres'!$N:$N,MATCH($D492,'Paramètres'!$M:$M,0))&amp;"",""))),0,IF(OR(IFERROR(INDEX('Paramètres'!$I:$I,MATCH($C492,'Paramètres'!$D:$D,0))&amp;"","")="Les deux",IFERROR(INDEX('Paramètres'!$I:$I,MATCH($C492,'Paramètres'!$D:$D,0))&amp;"","")=IF($P492=1,"Débit",$L492)),-IF($P492=1,-$K492,$K492),0))))</f>
        <v>0</v>
      </c>
      <c r="U492" s="6">
        <f>IF($K492="","",IF(ISNUMBER(SEARCH("sortie-epargne",IFERROR(INDEX('Paramètres'!$N:$N,MATCH($D492,'Paramètres'!$M:$M,0))&amp;"",""))),$K492,0))</f>
        <v>0</v>
      </c>
      <c r="V492" s="6" t="str">
        <f>IF(AND($A492&lt;&gt;"",$O492=1,$L492="Débit",N($Q492)&gt;0,$A492&gt;=Visualisation!$B$1,$A492&lt;Visualisation!$D$1),MAX($V$1:V491)+1,"")</f>
        <v/>
      </c>
    </row>
    <row r="493" spans="1:22" x14ac:dyDescent="0.25">
      <c r="A493" s="9">
        <v>45894</v>
      </c>
      <c r="B493" s="4" t="s">
        <v>90</v>
      </c>
      <c r="C493" s="4" t="s">
        <v>75</v>
      </c>
      <c r="D493" s="4" t="s">
        <v>91</v>
      </c>
      <c r="E493" s="10">
        <v>44.25</v>
      </c>
      <c r="G493" s="4" t="s">
        <v>136</v>
      </c>
      <c r="H493" s="4" t="s">
        <v>148</v>
      </c>
      <c r="I493" s="4" t="s">
        <v>79</v>
      </c>
      <c r="K493" s="11">
        <f>IF($E493="","",ROUND($E493*IF(ISNA(MATCH($C493,'Paramètres'!$D:$D,0)),1,IF(INDEX('Paramètres'!$J:$J,MATCH($C493,'Paramètres'!$D:$D,0))="",1,INDEX('Paramètres'!$J:$J,MATCH($C493,'Paramètres'!$D:$D,0)))),2))</f>
        <v>44.25</v>
      </c>
      <c r="L493" s="6" t="str">
        <f>IF($D493="","",IF($F493&lt;&gt;"",$F493,IF(ISNA(MATCH($D493,'Paramètres'!$M:$M,0)),"⚠ Type inconnu",IFERROR(INDEX('Paramètres'!$P:$P,MATCH($D493,'Paramètres'!$M:$M,0))&amp;"",""))))</f>
        <v>Débit</v>
      </c>
      <c r="M493" s="6" t="str">
        <f>IF($D493="","",IF(ISNA(MATCH($D493,'Paramètres'!$M:$M,0)),"⚠ Type inconnu",IF($L493="Crédit","",IFERROR(INDEX('Paramètres'!$O:$O,MATCH($D493,'Paramètres'!$M:$M,0))&amp;"",""))))</f>
        <v>Dépense Courante</v>
      </c>
      <c r="N493" s="6" t="str">
        <f>IF($D493="","",IFERROR(INDEX('Paramètres'!$Q:$Q,MATCH($D493,'Paramètres'!$M:$M,0))&amp;"",""))</f>
        <v>Transport</v>
      </c>
      <c r="O493" s="6">
        <f>IF($A493="","",IF(OR($J493&lt;&gt;"x",$A493&lt;=FinReleve),1,0))</f>
        <v>1</v>
      </c>
      <c r="P493" s="6">
        <f>IF($D493="","",IF(AND($L493="Crédit",OR(IFERROR(INDEX('Paramètres'!$O:$O,MATCH($D493,'Paramètres'!$M:$M,0))&amp;"","")&lt;&gt;"",ISNUMBER(SEARCH("remboursement",IFERROR(INDEX('Paramètres'!$N:$N,MATCH($D493,'Paramètres'!$M:$M,0))&amp;"",""))))),1,0))</f>
        <v>0</v>
      </c>
      <c r="Q493" s="6">
        <f>IF($K493="","",IF(ISNUMBER(SEARCH("transfert-interne",IFERROR(INDEX('Paramètres'!$N:$N,MATCH($D493,'Paramètres'!$M:$M,0))&amp;"",""))),0,IF($L493="Débit",$K493,IF($P493=1,-$K493,0))))</f>
        <v>44.25</v>
      </c>
      <c r="R493" s="6">
        <f>IF($K493="","",IF($L493="Crédit",$K493,-$K493))</f>
        <v>-44.25</v>
      </c>
      <c r="S493" s="6" t="str">
        <f>IF($C493="","",IFERROR(INDEX('Paramètres'!$H:$H,MATCH($C493,'Paramètres'!$D:$D,0))&amp;"",""))</f>
        <v/>
      </c>
      <c r="T493" s="6">
        <f>IF($K493="","",IF($S493="",0,IF(ISNUMBER(SEARCH("apport-exterieur",IFERROR(INDEX('Paramètres'!$N:$N,MATCH($D493,'Paramètres'!$M:$M,0))&amp;"",""))),0,IF(OR(IFERROR(INDEX('Paramètres'!$I:$I,MATCH($C493,'Paramètres'!$D:$D,0))&amp;"","")="Les deux",IFERROR(INDEX('Paramètres'!$I:$I,MATCH($C493,'Paramètres'!$D:$D,0))&amp;"","")=IF($P493=1,"Débit",$L493)),-IF($P493=1,-$K493,$K493),0))))</f>
        <v>0</v>
      </c>
      <c r="U493" s="6">
        <f>IF($K493="","",IF(ISNUMBER(SEARCH("sortie-epargne",IFERROR(INDEX('Paramètres'!$N:$N,MATCH($D493,'Paramètres'!$M:$M,0))&amp;"",""))),$K493,0))</f>
        <v>0</v>
      </c>
      <c r="V493" s="6" t="str">
        <f>IF(AND($A493&lt;&gt;"",$O493=1,$L493="Débit",N($Q493)&gt;0,$A493&gt;=Visualisation!$B$1,$A493&lt;Visualisation!$D$1),MAX($V$1:V492)+1,"")</f>
        <v/>
      </c>
    </row>
    <row r="494" spans="1:22" x14ac:dyDescent="0.25">
      <c r="A494" s="9">
        <v>45895</v>
      </c>
      <c r="B494" s="4" t="s">
        <v>105</v>
      </c>
      <c r="C494" s="4" t="s">
        <v>75</v>
      </c>
      <c r="D494" s="4" t="s">
        <v>110</v>
      </c>
      <c r="E494" s="10">
        <v>150</v>
      </c>
      <c r="G494" s="4"/>
      <c r="H494" s="4"/>
      <c r="I494" s="4"/>
      <c r="K494" s="11">
        <f>IF($E494="","",ROUND($E494*IF(ISNA(MATCH($C494,'Paramètres'!$D:$D,0)),1,IF(INDEX('Paramètres'!$J:$J,MATCH($C494,'Paramètres'!$D:$D,0))="",1,INDEX('Paramètres'!$J:$J,MATCH($C494,'Paramètres'!$D:$D,0)))),2))</f>
        <v>150</v>
      </c>
      <c r="L494" s="6" t="str">
        <f>IF($D494="","",IF($F494&lt;&gt;"",$F494,IF(ISNA(MATCH($D494,'Paramètres'!$M:$M,0)),"⚠ Type inconnu",IFERROR(INDEX('Paramètres'!$P:$P,MATCH($D494,'Paramètres'!$M:$M,0))&amp;"",""))))</f>
        <v>Débit</v>
      </c>
      <c r="M494" s="6" t="str">
        <f>IF($D494="","",IF(ISNA(MATCH($D494,'Paramètres'!$M:$M,0)),"⚠ Type inconnu",IF($L494="Crédit","",IFERROR(INDEX('Paramètres'!$O:$O,MATCH($D494,'Paramètres'!$M:$M,0))&amp;"",""))))</f>
        <v/>
      </c>
      <c r="N494" s="6" t="str">
        <f>IF($D494="","",IFERROR(INDEX('Paramètres'!$Q:$Q,MATCH($D494,'Paramètres'!$M:$M,0))&amp;"",""))</f>
        <v>Comptes Bancaires</v>
      </c>
      <c r="O494" s="6">
        <f>IF($A494="","",IF(OR($J494&lt;&gt;"x",$A494&lt;=FinReleve),1,0))</f>
        <v>1</v>
      </c>
      <c r="P494" s="6">
        <f>IF($D494="","",IF(AND($L494="Crédit",OR(IFERROR(INDEX('Paramètres'!$O:$O,MATCH($D494,'Paramètres'!$M:$M,0))&amp;"","")&lt;&gt;"",ISNUMBER(SEARCH("remboursement",IFERROR(INDEX('Paramètres'!$N:$N,MATCH($D494,'Paramètres'!$M:$M,0))&amp;"",""))))),1,0))</f>
        <v>0</v>
      </c>
      <c r="Q494" s="6">
        <f>IF($K494="","",IF(ISNUMBER(SEARCH("transfert-interne",IFERROR(INDEX('Paramètres'!$N:$N,MATCH($D494,'Paramètres'!$M:$M,0))&amp;"",""))),0,IF($L494="Débit",$K494,IF($P494=1,-$K494,0))))</f>
        <v>0</v>
      </c>
      <c r="R494" s="6">
        <f>IF($K494="","",IF($L494="Crédit",$K494,-$K494))</f>
        <v>-150</v>
      </c>
      <c r="S494" s="6" t="str">
        <f>IF($C494="","",IFERROR(INDEX('Paramètres'!$H:$H,MATCH($C494,'Paramètres'!$D:$D,0))&amp;"",""))</f>
        <v/>
      </c>
      <c r="T494" s="6">
        <f>IF($K494="","",IF($S494="",0,IF(ISNUMBER(SEARCH("apport-exterieur",IFERROR(INDEX('Paramètres'!$N:$N,MATCH($D494,'Paramètres'!$M:$M,0))&amp;"",""))),0,IF(OR(IFERROR(INDEX('Paramètres'!$I:$I,MATCH($C494,'Paramètres'!$D:$D,0))&amp;"","")="Les deux",IFERROR(INDEX('Paramètres'!$I:$I,MATCH($C494,'Paramètres'!$D:$D,0))&amp;"","")=IF($P494=1,"Débit",$L494)),-IF($P494=1,-$K494,$K494),0))))</f>
        <v>0</v>
      </c>
      <c r="U494" s="6">
        <f>IF($K494="","",IF(ISNUMBER(SEARCH("sortie-epargne",IFERROR(INDEX('Paramètres'!$N:$N,MATCH($D494,'Paramètres'!$M:$M,0))&amp;"",""))),$K494,0))</f>
        <v>0</v>
      </c>
      <c r="V494" s="6" t="str">
        <f>IF(AND($A494&lt;&gt;"",$O494=1,$L494="Débit",N($Q494)&gt;0,$A494&gt;=Visualisation!$B$1,$A494&lt;Visualisation!$D$1),MAX($V$1:V493)+1,"")</f>
        <v/>
      </c>
    </row>
    <row r="495" spans="1:22" x14ac:dyDescent="0.25">
      <c r="A495" s="9">
        <v>45895</v>
      </c>
      <c r="B495" s="4" t="s">
        <v>105</v>
      </c>
      <c r="C495" s="4" t="s">
        <v>75</v>
      </c>
      <c r="D495" s="4" t="s">
        <v>111</v>
      </c>
      <c r="E495" s="10">
        <v>200</v>
      </c>
      <c r="G495" s="4"/>
      <c r="H495" s="4"/>
      <c r="I495" s="4"/>
      <c r="K495" s="11">
        <f>IF($E495="","",ROUND($E495*IF(ISNA(MATCH($C495,'Paramètres'!$D:$D,0)),1,IF(INDEX('Paramètres'!$J:$J,MATCH($C495,'Paramètres'!$D:$D,0))="",1,INDEX('Paramètres'!$J:$J,MATCH($C495,'Paramètres'!$D:$D,0)))),2))</f>
        <v>200</v>
      </c>
      <c r="L495" s="6" t="str">
        <f>IF($D495="","",IF($F495&lt;&gt;"",$F495,IF(ISNA(MATCH($D495,'Paramètres'!$M:$M,0)),"⚠ Type inconnu",IFERROR(INDEX('Paramètres'!$P:$P,MATCH($D495,'Paramètres'!$M:$M,0))&amp;"",""))))</f>
        <v>Débit</v>
      </c>
      <c r="M495" s="6" t="str">
        <f>IF($D495="","",IF(ISNA(MATCH($D495,'Paramètres'!$M:$M,0)),"⚠ Type inconnu",IF($L495="Crédit","",IFERROR(INDEX('Paramètres'!$O:$O,MATCH($D495,'Paramètres'!$M:$M,0))&amp;"",""))))</f>
        <v/>
      </c>
      <c r="N495" s="6" t="str">
        <f>IF($D495="","",IFERROR(INDEX('Paramètres'!$Q:$Q,MATCH($D495,'Paramètres'!$M:$M,0))&amp;"",""))</f>
        <v>Comptes Bancaires</v>
      </c>
      <c r="O495" s="6">
        <f>IF($A495="","",IF(OR($J495&lt;&gt;"x",$A495&lt;=FinReleve),1,0))</f>
        <v>1</v>
      </c>
      <c r="P495" s="6">
        <f>IF($D495="","",IF(AND($L495="Crédit",OR(IFERROR(INDEX('Paramètres'!$O:$O,MATCH($D495,'Paramètres'!$M:$M,0))&amp;"","")&lt;&gt;"",ISNUMBER(SEARCH("remboursement",IFERROR(INDEX('Paramètres'!$N:$N,MATCH($D495,'Paramètres'!$M:$M,0))&amp;"",""))))),1,0))</f>
        <v>0</v>
      </c>
      <c r="Q495" s="6">
        <f>IF($K495="","",IF(ISNUMBER(SEARCH("transfert-interne",IFERROR(INDEX('Paramètres'!$N:$N,MATCH($D495,'Paramètres'!$M:$M,0))&amp;"",""))),0,IF($L495="Débit",$K495,IF($P495=1,-$K495,0))))</f>
        <v>200</v>
      </c>
      <c r="R495" s="6">
        <f>IF($K495="","",IF($L495="Crédit",$K495,-$K495))</f>
        <v>-200</v>
      </c>
      <c r="S495" s="6" t="str">
        <f>IF($C495="","",IFERROR(INDEX('Paramètres'!$H:$H,MATCH($C495,'Paramètres'!$D:$D,0))&amp;"",""))</f>
        <v/>
      </c>
      <c r="T495" s="6">
        <f>IF($K495="","",IF($S495="",0,IF(ISNUMBER(SEARCH("apport-exterieur",IFERROR(INDEX('Paramètres'!$N:$N,MATCH($D495,'Paramètres'!$M:$M,0))&amp;"",""))),0,IF(OR(IFERROR(INDEX('Paramètres'!$I:$I,MATCH($C495,'Paramètres'!$D:$D,0))&amp;"","")="Les deux",IFERROR(INDEX('Paramètres'!$I:$I,MATCH($C495,'Paramètres'!$D:$D,0))&amp;"","")=IF($P495=1,"Débit",$L495)),-IF($P495=1,-$K495,$K495),0))))</f>
        <v>0</v>
      </c>
      <c r="U495" s="6">
        <f>IF($K495="","",IF(ISNUMBER(SEARCH("sortie-epargne",IFERROR(INDEX('Paramètres'!$N:$N,MATCH($D495,'Paramètres'!$M:$M,0))&amp;"",""))),$K495,0))</f>
        <v>0</v>
      </c>
      <c r="V495" s="6" t="str">
        <f>IF(AND($A495&lt;&gt;"",$O495=1,$L495="Débit",N($Q495)&gt;0,$A495&gt;=Visualisation!$B$1,$A495&lt;Visualisation!$D$1),MAX($V$1:V494)+1,"")</f>
        <v/>
      </c>
    </row>
    <row r="496" spans="1:22" x14ac:dyDescent="0.25">
      <c r="A496" s="9">
        <v>45895</v>
      </c>
      <c r="B496" s="4" t="s">
        <v>112</v>
      </c>
      <c r="C496" s="4" t="s">
        <v>75</v>
      </c>
      <c r="D496" s="4" t="s">
        <v>113</v>
      </c>
      <c r="E496" s="10">
        <v>120</v>
      </c>
      <c r="G496" s="4"/>
      <c r="H496" s="4"/>
      <c r="I496" s="4"/>
      <c r="K496" s="11">
        <f>IF($E496="","",ROUND($E496*IF(ISNA(MATCH($C496,'Paramètres'!$D:$D,0)),1,IF(INDEX('Paramètres'!$J:$J,MATCH($C496,'Paramètres'!$D:$D,0))="",1,INDEX('Paramètres'!$J:$J,MATCH($C496,'Paramètres'!$D:$D,0)))),2))</f>
        <v>120</v>
      </c>
      <c r="L496" s="6" t="str">
        <f>IF($D496="","",IF($F496&lt;&gt;"",$F496,IF(ISNA(MATCH($D496,'Paramètres'!$M:$M,0)),"⚠ Type inconnu",IFERROR(INDEX('Paramètres'!$P:$P,MATCH($D496,'Paramètres'!$M:$M,0))&amp;"",""))))</f>
        <v>Débit</v>
      </c>
      <c r="M496" s="6" t="str">
        <f>IF($D496="","",IF(ISNA(MATCH($D496,'Paramètres'!$M:$M,0)),"⚠ Type inconnu",IF($L496="Crédit","",IFERROR(INDEX('Paramètres'!$O:$O,MATCH($D496,'Paramètres'!$M:$M,0))&amp;"",""))))</f>
        <v/>
      </c>
      <c r="N496" s="6" t="str">
        <f>IF($D496="","",IFERROR(INDEX('Paramètres'!$Q:$Q,MATCH($D496,'Paramètres'!$M:$M,0))&amp;"",""))</f>
        <v>Comptes Bancaires</v>
      </c>
      <c r="O496" s="6">
        <f>IF($A496="","",IF(OR($J496&lt;&gt;"x",$A496&lt;=FinReleve),1,0))</f>
        <v>1</v>
      </c>
      <c r="P496" s="6">
        <f>IF($D496="","",IF(AND($L496="Crédit",OR(IFERROR(INDEX('Paramètres'!$O:$O,MATCH($D496,'Paramètres'!$M:$M,0))&amp;"","")&lt;&gt;"",ISNUMBER(SEARCH("remboursement",IFERROR(INDEX('Paramètres'!$N:$N,MATCH($D496,'Paramètres'!$M:$M,0))&amp;"",""))))),1,0))</f>
        <v>0</v>
      </c>
      <c r="Q496" s="6">
        <f>IF($K496="","",IF(ISNUMBER(SEARCH("transfert-interne",IFERROR(INDEX('Paramètres'!$N:$N,MATCH($D496,'Paramètres'!$M:$M,0))&amp;"",""))),0,IF($L496="Débit",$K496,IF($P496=1,-$K496,0))))</f>
        <v>120</v>
      </c>
      <c r="R496" s="6">
        <f>IF($K496="","",IF($L496="Crédit",$K496,-$K496))</f>
        <v>-120</v>
      </c>
      <c r="S496" s="6" t="str">
        <f>IF($C496="","",IFERROR(INDEX('Paramètres'!$H:$H,MATCH($C496,'Paramètres'!$D:$D,0))&amp;"",""))</f>
        <v/>
      </c>
      <c r="T496" s="6">
        <f>IF($K496="","",IF($S496="",0,IF(ISNUMBER(SEARCH("apport-exterieur",IFERROR(INDEX('Paramètres'!$N:$N,MATCH($D496,'Paramètres'!$M:$M,0))&amp;"",""))),0,IF(OR(IFERROR(INDEX('Paramètres'!$I:$I,MATCH($C496,'Paramètres'!$D:$D,0))&amp;"","")="Les deux",IFERROR(INDEX('Paramètres'!$I:$I,MATCH($C496,'Paramètres'!$D:$D,0))&amp;"","")=IF($P496=1,"Débit",$L496)),-IF($P496=1,-$K496,$K496),0))))</f>
        <v>0</v>
      </c>
      <c r="U496" s="6">
        <f>IF($K496="","",IF(ISNUMBER(SEARCH("sortie-epargne",IFERROR(INDEX('Paramètres'!$N:$N,MATCH($D496,'Paramètres'!$M:$M,0))&amp;"",""))),$K496,0))</f>
        <v>0</v>
      </c>
      <c r="V496" s="6" t="str">
        <f>IF(AND($A496&lt;&gt;"",$O496=1,$L496="Débit",N($Q496)&gt;0,$A496&gt;=Visualisation!$B$1,$A496&lt;Visualisation!$D$1),MAX($V$1:V495)+1,"")</f>
        <v/>
      </c>
    </row>
    <row r="497" spans="1:22" x14ac:dyDescent="0.25">
      <c r="A497" s="9">
        <v>45896</v>
      </c>
      <c r="B497" s="4" t="s">
        <v>114</v>
      </c>
      <c r="C497" s="4" t="s">
        <v>75</v>
      </c>
      <c r="D497" s="4" t="s">
        <v>115</v>
      </c>
      <c r="E497" s="10">
        <v>2889.37</v>
      </c>
      <c r="G497" s="4" t="s">
        <v>115</v>
      </c>
      <c r="H497" s="4"/>
      <c r="I497" s="4"/>
      <c r="K497" s="11">
        <f>IF($E497="","",ROUND($E497*IF(ISNA(MATCH($C497,'Paramètres'!$D:$D,0)),1,IF(INDEX('Paramètres'!$J:$J,MATCH($C497,'Paramètres'!$D:$D,0))="",1,INDEX('Paramètres'!$J:$J,MATCH($C497,'Paramètres'!$D:$D,0)))),2))</f>
        <v>2889.37</v>
      </c>
      <c r="L497" s="6" t="str">
        <f>IF($D497="","",IF($F497&lt;&gt;"",$F497,IF(ISNA(MATCH($D497,'Paramètres'!$M:$M,0)),"⚠ Type inconnu",IFERROR(INDEX('Paramètres'!$P:$P,MATCH($D497,'Paramètres'!$M:$M,0))&amp;"",""))))</f>
        <v>Crédit</v>
      </c>
      <c r="M497" s="6" t="str">
        <f>IF($D497="","",IF(ISNA(MATCH($D497,'Paramètres'!$M:$M,0)),"⚠ Type inconnu",IF($L497="Crédit","",IFERROR(INDEX('Paramètres'!$O:$O,MATCH($D497,'Paramètres'!$M:$M,0))&amp;"",""))))</f>
        <v/>
      </c>
      <c r="N497" s="6" t="str">
        <f>IF($D497="","",IFERROR(INDEX('Paramètres'!$Q:$Q,MATCH($D497,'Paramètres'!$M:$M,0))&amp;"",""))</f>
        <v/>
      </c>
      <c r="O497" s="6">
        <f>IF($A497="","",IF(OR($J497&lt;&gt;"x",$A497&lt;=FinReleve),1,0))</f>
        <v>1</v>
      </c>
      <c r="P497" s="6">
        <f>IF($D497="","",IF(AND($L497="Crédit",OR(IFERROR(INDEX('Paramètres'!$O:$O,MATCH($D497,'Paramètres'!$M:$M,0))&amp;"","")&lt;&gt;"",ISNUMBER(SEARCH("remboursement",IFERROR(INDEX('Paramètres'!$N:$N,MATCH($D497,'Paramètres'!$M:$M,0))&amp;"",""))))),1,0))</f>
        <v>0</v>
      </c>
      <c r="Q497" s="6">
        <f>IF($K497="","",IF(ISNUMBER(SEARCH("transfert-interne",IFERROR(INDEX('Paramètres'!$N:$N,MATCH($D497,'Paramètres'!$M:$M,0))&amp;"",""))),0,IF($L497="Débit",$K497,IF($P497=1,-$K497,0))))</f>
        <v>0</v>
      </c>
      <c r="R497" s="6">
        <f>IF($K497="","",IF($L497="Crédit",$K497,-$K497))</f>
        <v>2889.37</v>
      </c>
      <c r="S497" s="6" t="str">
        <f>IF($C497="","",IFERROR(INDEX('Paramètres'!$H:$H,MATCH($C497,'Paramètres'!$D:$D,0))&amp;"",""))</f>
        <v/>
      </c>
      <c r="T497" s="6">
        <f>IF($K497="","",IF($S497="",0,IF(ISNUMBER(SEARCH("apport-exterieur",IFERROR(INDEX('Paramètres'!$N:$N,MATCH($D497,'Paramètres'!$M:$M,0))&amp;"",""))),0,IF(OR(IFERROR(INDEX('Paramètres'!$I:$I,MATCH($C497,'Paramètres'!$D:$D,0))&amp;"","")="Les deux",IFERROR(INDEX('Paramètres'!$I:$I,MATCH($C497,'Paramètres'!$D:$D,0))&amp;"","")=IF($P497=1,"Débit",$L497)),-IF($P497=1,-$K497,$K497),0))))</f>
        <v>0</v>
      </c>
      <c r="U497" s="6">
        <f>IF($K497="","",IF(ISNUMBER(SEARCH("sortie-epargne",IFERROR(INDEX('Paramètres'!$N:$N,MATCH($D497,'Paramètres'!$M:$M,0))&amp;"",""))),$K497,0))</f>
        <v>0</v>
      </c>
      <c r="V497" s="6" t="str">
        <f>IF(AND($A497&lt;&gt;"",$O497=1,$L497="Débit",N($Q497)&gt;0,$A497&gt;=Visualisation!$B$1,$A497&lt;Visualisation!$D$1),MAX($V$1:V496)+1,"")</f>
        <v/>
      </c>
    </row>
    <row r="498" spans="1:22" x14ac:dyDescent="0.25">
      <c r="A498" s="9">
        <v>45896</v>
      </c>
      <c r="B498" s="4" t="s">
        <v>76</v>
      </c>
      <c r="C498" s="4" t="s">
        <v>60</v>
      </c>
      <c r="D498" s="4" t="s">
        <v>77</v>
      </c>
      <c r="E498" s="10">
        <v>97.54</v>
      </c>
      <c r="G498" s="4" t="s">
        <v>98</v>
      </c>
      <c r="H498" s="4" t="s">
        <v>148</v>
      </c>
      <c r="I498" s="4" t="s">
        <v>79</v>
      </c>
      <c r="K498" s="11">
        <f>IF($E498="","",ROUND($E498*IF(ISNA(MATCH($C498,'Paramètres'!$D:$D,0)),1,IF(INDEX('Paramètres'!$J:$J,MATCH($C498,'Paramètres'!$D:$D,0))="",1,INDEX('Paramètres'!$J:$J,MATCH($C498,'Paramètres'!$D:$D,0)))),2))</f>
        <v>48.77</v>
      </c>
      <c r="L498" s="6" t="str">
        <f>IF($D498="","",IF($F498&lt;&gt;"",$F498,IF(ISNA(MATCH($D498,'Paramètres'!$M:$M,0)),"⚠ Type inconnu",IFERROR(INDEX('Paramètres'!$P:$P,MATCH($D498,'Paramètres'!$M:$M,0))&amp;"",""))))</f>
        <v>Débit</v>
      </c>
      <c r="M498" s="6" t="str">
        <f>IF($D498="","",IF(ISNA(MATCH($D498,'Paramètres'!$M:$M,0)),"⚠ Type inconnu",IF($L498="Crédit","",IFERROR(INDEX('Paramètres'!$O:$O,MATCH($D498,'Paramètres'!$M:$M,0))&amp;"",""))))</f>
        <v>Dépense Courante</v>
      </c>
      <c r="N498" s="6" t="str">
        <f>IF($D498="","",IFERROR(INDEX('Paramètres'!$Q:$Q,MATCH($D498,'Paramètres'!$M:$M,0))&amp;"",""))</f>
        <v>Alimentation</v>
      </c>
      <c r="O498" s="6">
        <f>IF($A498="","",IF(OR($J498&lt;&gt;"x",$A498&lt;=FinReleve),1,0))</f>
        <v>1</v>
      </c>
      <c r="P498" s="6">
        <f>IF($D498="","",IF(AND($L498="Crédit",OR(IFERROR(INDEX('Paramètres'!$O:$O,MATCH($D498,'Paramètres'!$M:$M,0))&amp;"","")&lt;&gt;"",ISNUMBER(SEARCH("remboursement",IFERROR(INDEX('Paramètres'!$N:$N,MATCH($D498,'Paramètres'!$M:$M,0))&amp;"",""))))),1,0))</f>
        <v>0</v>
      </c>
      <c r="Q498" s="6">
        <f>IF($K498="","",IF(ISNUMBER(SEARCH("transfert-interne",IFERROR(INDEX('Paramètres'!$N:$N,MATCH($D498,'Paramètres'!$M:$M,0))&amp;"",""))),0,IF($L498="Débit",$K498,IF($P498=1,-$K498,0))))</f>
        <v>48.77</v>
      </c>
      <c r="R498" s="6">
        <f>IF($K498="","",IF($L498="Crédit",$K498,-$K498))</f>
        <v>-48.77</v>
      </c>
      <c r="S498" s="6" t="str">
        <f>IF($C498="","",IFERROR(INDEX('Paramètres'!$H:$H,MATCH($C498,'Paramètres'!$D:$D,0))&amp;"",""))</f>
        <v>Banque A - Courant</v>
      </c>
      <c r="T498" s="6">
        <f>IF($K498="","",IF($S498="",0,IF(ISNUMBER(SEARCH("apport-exterieur",IFERROR(INDEX('Paramètres'!$N:$N,MATCH($D498,'Paramètres'!$M:$M,0))&amp;"",""))),0,IF(OR(IFERROR(INDEX('Paramètres'!$I:$I,MATCH($C498,'Paramètres'!$D:$D,0))&amp;"","")="Les deux",IFERROR(INDEX('Paramètres'!$I:$I,MATCH($C498,'Paramètres'!$D:$D,0))&amp;"","")=IF($P498=1,"Débit",$L498)),-IF($P498=1,-$K498,$K498),0))))</f>
        <v>-48.77</v>
      </c>
      <c r="U498" s="6">
        <f>IF($K498="","",IF(ISNUMBER(SEARCH("sortie-epargne",IFERROR(INDEX('Paramètres'!$N:$N,MATCH($D498,'Paramètres'!$M:$M,0))&amp;"",""))),$K498,0))</f>
        <v>0</v>
      </c>
      <c r="V498" s="6" t="str">
        <f>IF(AND($A498&lt;&gt;"",$O498=1,$L498="Débit",N($Q498)&gt;0,$A498&gt;=Visualisation!$B$1,$A498&lt;Visualisation!$D$1),MAX($V$1:V497)+1,"")</f>
        <v/>
      </c>
    </row>
    <row r="499" spans="1:22" x14ac:dyDescent="0.25">
      <c r="A499" s="9">
        <v>45897</v>
      </c>
      <c r="B499" s="4" t="s">
        <v>118</v>
      </c>
      <c r="C499" s="4" t="s">
        <v>75</v>
      </c>
      <c r="D499" s="4" t="s">
        <v>118</v>
      </c>
      <c r="E499" s="10">
        <v>3</v>
      </c>
      <c r="G499" s="4"/>
      <c r="H499" s="4"/>
      <c r="I499" s="4"/>
      <c r="K499" s="11">
        <f>IF($E499="","",ROUND($E499*IF(ISNA(MATCH($C499,'Paramètres'!$D:$D,0)),1,IF(INDEX('Paramètres'!$J:$J,MATCH($C499,'Paramètres'!$D:$D,0))="",1,INDEX('Paramètres'!$J:$J,MATCH($C499,'Paramètres'!$D:$D,0)))),2))</f>
        <v>3</v>
      </c>
      <c r="L499" s="6" t="str">
        <f>IF($D499="","",IF($F499&lt;&gt;"",$F499,IF(ISNA(MATCH($D499,'Paramètres'!$M:$M,0)),"⚠ Type inconnu",IFERROR(INDEX('Paramètres'!$P:$P,MATCH($D499,'Paramètres'!$M:$M,0))&amp;"",""))))</f>
        <v>Débit</v>
      </c>
      <c r="M499" s="6" t="str">
        <f>IF($D499="","",IF(ISNA(MATCH($D499,'Paramètres'!$M:$M,0)),"⚠ Type inconnu",IF($L499="Crédit","",IFERROR(INDEX('Paramètres'!$O:$O,MATCH($D499,'Paramètres'!$M:$M,0))&amp;"",""))))</f>
        <v>Dépense Fixe</v>
      </c>
      <c r="N499" s="6" t="str">
        <f>IF($D499="","",IFERROR(INDEX('Paramètres'!$Q:$Q,MATCH($D499,'Paramètres'!$M:$M,0))&amp;"",""))</f>
        <v>Banque</v>
      </c>
      <c r="O499" s="6">
        <f>IF($A499="","",IF(OR($J499&lt;&gt;"x",$A499&lt;=FinReleve),1,0))</f>
        <v>1</v>
      </c>
      <c r="P499" s="6">
        <f>IF($D499="","",IF(AND($L499="Crédit",OR(IFERROR(INDEX('Paramètres'!$O:$O,MATCH($D499,'Paramètres'!$M:$M,0))&amp;"","")&lt;&gt;"",ISNUMBER(SEARCH("remboursement",IFERROR(INDEX('Paramètres'!$N:$N,MATCH($D499,'Paramètres'!$M:$M,0))&amp;"",""))))),1,0))</f>
        <v>0</v>
      </c>
      <c r="Q499" s="6">
        <f>IF($K499="","",IF(ISNUMBER(SEARCH("transfert-interne",IFERROR(INDEX('Paramètres'!$N:$N,MATCH($D499,'Paramètres'!$M:$M,0))&amp;"",""))),0,IF($L499="Débit",$K499,IF($P499=1,-$K499,0))))</f>
        <v>3</v>
      </c>
      <c r="R499" s="6">
        <f>IF($K499="","",IF($L499="Crédit",$K499,-$K499))</f>
        <v>-3</v>
      </c>
      <c r="S499" s="6" t="str">
        <f>IF($C499="","",IFERROR(INDEX('Paramètres'!$H:$H,MATCH($C499,'Paramètres'!$D:$D,0))&amp;"",""))</f>
        <v/>
      </c>
      <c r="T499" s="6">
        <f>IF($K499="","",IF($S499="",0,IF(ISNUMBER(SEARCH("apport-exterieur",IFERROR(INDEX('Paramètres'!$N:$N,MATCH($D499,'Paramètres'!$M:$M,0))&amp;"",""))),0,IF(OR(IFERROR(INDEX('Paramètres'!$I:$I,MATCH($C499,'Paramètres'!$D:$D,0))&amp;"","")="Les deux",IFERROR(INDEX('Paramètres'!$I:$I,MATCH($C499,'Paramètres'!$D:$D,0))&amp;"","")=IF($P499=1,"Débit",$L499)),-IF($P499=1,-$K499,$K499),0))))</f>
        <v>0</v>
      </c>
      <c r="U499" s="6">
        <f>IF($K499="","",IF(ISNUMBER(SEARCH("sortie-epargne",IFERROR(INDEX('Paramètres'!$N:$N,MATCH($D499,'Paramètres'!$M:$M,0))&amp;"",""))),$K499,0))</f>
        <v>0</v>
      </c>
      <c r="V499" s="6" t="str">
        <f>IF(AND($A499&lt;&gt;"",$O499=1,$L499="Débit",N($Q499)&gt;0,$A499&gt;=Visualisation!$B$1,$A499&lt;Visualisation!$D$1),MAX($V$1:V498)+1,"")</f>
        <v/>
      </c>
    </row>
    <row r="500" spans="1:22" x14ac:dyDescent="0.25">
      <c r="A500" s="9">
        <v>45897</v>
      </c>
      <c r="B500" s="4" t="s">
        <v>69</v>
      </c>
      <c r="C500" s="4" t="s">
        <v>70</v>
      </c>
      <c r="D500" s="4" t="s">
        <v>71</v>
      </c>
      <c r="E500" s="10">
        <v>11.1</v>
      </c>
      <c r="G500" s="4" t="s">
        <v>72</v>
      </c>
      <c r="H500" s="4"/>
      <c r="I500" s="4" t="s">
        <v>93</v>
      </c>
      <c r="K500" s="11">
        <f>IF($E500="","",ROUND($E500*IF(ISNA(MATCH($C500,'Paramètres'!$D:$D,0)),1,IF(INDEX('Paramètres'!$J:$J,MATCH($C500,'Paramètres'!$D:$D,0))="",1,INDEX('Paramètres'!$J:$J,MATCH($C500,'Paramètres'!$D:$D,0)))),2))</f>
        <v>11.1</v>
      </c>
      <c r="L500" s="6" t="str">
        <f>IF($D500="","",IF($F500&lt;&gt;"",$F500,IF(ISNA(MATCH($D500,'Paramètres'!$M:$M,0)),"⚠ Type inconnu",IFERROR(INDEX('Paramètres'!$P:$P,MATCH($D500,'Paramètres'!$M:$M,0))&amp;"",""))))</f>
        <v>Débit</v>
      </c>
      <c r="M500" s="6" t="str">
        <f>IF($D500="","",IF(ISNA(MATCH($D500,'Paramètres'!$M:$M,0)),"⚠ Type inconnu",IF($L500="Crédit","",IFERROR(INDEX('Paramètres'!$O:$O,MATCH($D500,'Paramètres'!$M:$M,0))&amp;"",""))))</f>
        <v>Dépense Courante</v>
      </c>
      <c r="N500" s="6" t="str">
        <f>IF($D500="","",IFERROR(INDEX('Paramètres'!$Q:$Q,MATCH($D500,'Paramètres'!$M:$M,0))&amp;"",""))</f>
        <v>Alimentation</v>
      </c>
      <c r="O500" s="6">
        <f>IF($A500="","",IF(OR($J500&lt;&gt;"x",$A500&lt;=FinReleve),1,0))</f>
        <v>1</v>
      </c>
      <c r="P500" s="6">
        <f>IF($D500="","",IF(AND($L500="Crédit",OR(IFERROR(INDEX('Paramètres'!$O:$O,MATCH($D500,'Paramètres'!$M:$M,0))&amp;"","")&lt;&gt;"",ISNUMBER(SEARCH("remboursement",IFERROR(INDEX('Paramètres'!$N:$N,MATCH($D500,'Paramètres'!$M:$M,0))&amp;"",""))))),1,0))</f>
        <v>0</v>
      </c>
      <c r="Q500" s="6">
        <f>IF($K500="","",IF(ISNUMBER(SEARCH("transfert-interne",IFERROR(INDEX('Paramètres'!$N:$N,MATCH($D500,'Paramètres'!$M:$M,0))&amp;"",""))),0,IF($L500="Débit",$K500,IF($P500=1,-$K500,0))))</f>
        <v>11.1</v>
      </c>
      <c r="R500" s="6">
        <f>IF($K500="","",IF($L500="Crédit",$K500,-$K500))</f>
        <v>-11.1</v>
      </c>
      <c r="S500" s="6" t="str">
        <f>IF($C500="","",IFERROR(INDEX('Paramètres'!$H:$H,MATCH($C500,'Paramètres'!$D:$D,0))&amp;"",""))</f>
        <v/>
      </c>
      <c r="T500" s="6">
        <f>IF($K500="","",IF($S500="",0,IF(ISNUMBER(SEARCH("apport-exterieur",IFERROR(INDEX('Paramètres'!$N:$N,MATCH($D500,'Paramètres'!$M:$M,0))&amp;"",""))),0,IF(OR(IFERROR(INDEX('Paramètres'!$I:$I,MATCH($C500,'Paramètres'!$D:$D,0))&amp;"","")="Les deux",IFERROR(INDEX('Paramètres'!$I:$I,MATCH($C500,'Paramètres'!$D:$D,0))&amp;"","")=IF($P500=1,"Débit",$L500)),-IF($P500=1,-$K500,$K500),0))))</f>
        <v>0</v>
      </c>
      <c r="U500" s="6">
        <f>IF($K500="","",IF(ISNUMBER(SEARCH("sortie-epargne",IFERROR(INDEX('Paramètres'!$N:$N,MATCH($D500,'Paramètres'!$M:$M,0))&amp;"",""))),$K500,0))</f>
        <v>0</v>
      </c>
      <c r="V500" s="6" t="str">
        <f>IF(AND($A500&lt;&gt;"",$O500=1,$L500="Débit",N($Q500)&gt;0,$A500&gt;=Visualisation!$B$1,$A500&lt;Visualisation!$D$1),MAX($V$1:V499)+1,"")</f>
        <v/>
      </c>
    </row>
    <row r="501" spans="1:22" x14ac:dyDescent="0.25">
      <c r="A501" s="9">
        <v>45901</v>
      </c>
      <c r="B501" s="4" t="s">
        <v>76</v>
      </c>
      <c r="C501" s="4" t="s">
        <v>60</v>
      </c>
      <c r="D501" s="4" t="s">
        <v>77</v>
      </c>
      <c r="E501" s="10">
        <v>114.3</v>
      </c>
      <c r="G501" s="4" t="s">
        <v>98</v>
      </c>
      <c r="H501" s="4"/>
      <c r="I501" s="4" t="s">
        <v>73</v>
      </c>
      <c r="K501" s="11">
        <f>IF($E501="","",ROUND($E501*IF(ISNA(MATCH($C501,'Paramètres'!$D:$D,0)),1,IF(INDEX('Paramètres'!$J:$J,MATCH($C501,'Paramètres'!$D:$D,0))="",1,INDEX('Paramètres'!$J:$J,MATCH($C501,'Paramètres'!$D:$D,0)))),2))</f>
        <v>57.15</v>
      </c>
      <c r="L501" s="6" t="str">
        <f>IF($D501="","",IF($F501&lt;&gt;"",$F501,IF(ISNA(MATCH($D501,'Paramètres'!$M:$M,0)),"⚠ Type inconnu",IFERROR(INDEX('Paramètres'!$P:$P,MATCH($D501,'Paramètres'!$M:$M,0))&amp;"",""))))</f>
        <v>Débit</v>
      </c>
      <c r="M501" s="6" t="str">
        <f>IF($D501="","",IF(ISNA(MATCH($D501,'Paramètres'!$M:$M,0)),"⚠ Type inconnu",IF($L501="Crédit","",IFERROR(INDEX('Paramètres'!$O:$O,MATCH($D501,'Paramètres'!$M:$M,0))&amp;"",""))))</f>
        <v>Dépense Courante</v>
      </c>
      <c r="N501" s="6" t="str">
        <f>IF($D501="","",IFERROR(INDEX('Paramètres'!$Q:$Q,MATCH($D501,'Paramètres'!$M:$M,0))&amp;"",""))</f>
        <v>Alimentation</v>
      </c>
      <c r="O501" s="6">
        <f>IF($A501="","",IF(OR($J501&lt;&gt;"x",$A501&lt;=FinReleve),1,0))</f>
        <v>1</v>
      </c>
      <c r="P501" s="6">
        <f>IF($D501="","",IF(AND($L501="Crédit",OR(IFERROR(INDEX('Paramètres'!$O:$O,MATCH($D501,'Paramètres'!$M:$M,0))&amp;"","")&lt;&gt;"",ISNUMBER(SEARCH("remboursement",IFERROR(INDEX('Paramètres'!$N:$N,MATCH($D501,'Paramètres'!$M:$M,0))&amp;"",""))))),1,0))</f>
        <v>0</v>
      </c>
      <c r="Q501" s="6">
        <f>IF($K501="","",IF(ISNUMBER(SEARCH("transfert-interne",IFERROR(INDEX('Paramètres'!$N:$N,MATCH($D501,'Paramètres'!$M:$M,0))&amp;"",""))),0,IF($L501="Débit",$K501,IF($P501=1,-$K501,0))))</f>
        <v>57.15</v>
      </c>
      <c r="R501" s="6">
        <f>IF($K501="","",IF($L501="Crédit",$K501,-$K501))</f>
        <v>-57.15</v>
      </c>
      <c r="S501" s="6" t="str">
        <f>IF($C501="","",IFERROR(INDEX('Paramètres'!$H:$H,MATCH($C501,'Paramètres'!$D:$D,0))&amp;"",""))</f>
        <v>Banque A - Courant</v>
      </c>
      <c r="T501" s="6">
        <f>IF($K501="","",IF($S501="",0,IF(ISNUMBER(SEARCH("apport-exterieur",IFERROR(INDEX('Paramètres'!$N:$N,MATCH($D501,'Paramètres'!$M:$M,0))&amp;"",""))),0,IF(OR(IFERROR(INDEX('Paramètres'!$I:$I,MATCH($C501,'Paramètres'!$D:$D,0))&amp;"","")="Les deux",IFERROR(INDEX('Paramètres'!$I:$I,MATCH($C501,'Paramètres'!$D:$D,0))&amp;"","")=IF($P501=1,"Débit",$L501)),-IF($P501=1,-$K501,$K501),0))))</f>
        <v>-57.15</v>
      </c>
      <c r="U501" s="6">
        <f>IF($K501="","",IF(ISNUMBER(SEARCH("sortie-epargne",IFERROR(INDEX('Paramètres'!$N:$N,MATCH($D501,'Paramètres'!$M:$M,0))&amp;"",""))),$K501,0))</f>
        <v>0</v>
      </c>
      <c r="V501" s="6" t="str">
        <f>IF(AND($A501&lt;&gt;"",$O501=1,$L501="Débit",N($Q501)&gt;0,$A501&gt;=Visualisation!$B$1,$A501&lt;Visualisation!$D$1),MAX($V$1:V500)+1,"")</f>
        <v/>
      </c>
    </row>
    <row r="502" spans="1:22" x14ac:dyDescent="0.25">
      <c r="A502" s="9">
        <v>45901</v>
      </c>
      <c r="B502" s="4" t="s">
        <v>76</v>
      </c>
      <c r="C502" s="4" t="s">
        <v>60</v>
      </c>
      <c r="D502" s="4" t="s">
        <v>77</v>
      </c>
      <c r="E502" s="10">
        <v>62.34</v>
      </c>
      <c r="G502" s="4" t="s">
        <v>102</v>
      </c>
      <c r="H502" s="4"/>
      <c r="I502" s="4" t="s">
        <v>63</v>
      </c>
      <c r="K502" s="11">
        <f>IF($E502="","",ROUND($E502*IF(ISNA(MATCH($C502,'Paramètres'!$D:$D,0)),1,IF(INDEX('Paramètres'!$J:$J,MATCH($C502,'Paramètres'!$D:$D,0))="",1,INDEX('Paramètres'!$J:$J,MATCH($C502,'Paramètres'!$D:$D,0)))),2))</f>
        <v>31.17</v>
      </c>
      <c r="L502" s="6" t="str">
        <f>IF($D502="","",IF($F502&lt;&gt;"",$F502,IF(ISNA(MATCH($D502,'Paramètres'!$M:$M,0)),"⚠ Type inconnu",IFERROR(INDEX('Paramètres'!$P:$P,MATCH($D502,'Paramètres'!$M:$M,0))&amp;"",""))))</f>
        <v>Débit</v>
      </c>
      <c r="M502" s="6" t="str">
        <f>IF($D502="","",IF(ISNA(MATCH($D502,'Paramètres'!$M:$M,0)),"⚠ Type inconnu",IF($L502="Crédit","",IFERROR(INDEX('Paramètres'!$O:$O,MATCH($D502,'Paramètres'!$M:$M,0))&amp;"",""))))</f>
        <v>Dépense Courante</v>
      </c>
      <c r="N502" s="6" t="str">
        <f>IF($D502="","",IFERROR(INDEX('Paramètres'!$Q:$Q,MATCH($D502,'Paramètres'!$M:$M,0))&amp;"",""))</f>
        <v>Alimentation</v>
      </c>
      <c r="O502" s="6">
        <f>IF($A502="","",IF(OR($J502&lt;&gt;"x",$A502&lt;=FinReleve),1,0))</f>
        <v>1</v>
      </c>
      <c r="P502" s="6">
        <f>IF($D502="","",IF(AND($L502="Crédit",OR(IFERROR(INDEX('Paramètres'!$O:$O,MATCH($D502,'Paramètres'!$M:$M,0))&amp;"","")&lt;&gt;"",ISNUMBER(SEARCH("remboursement",IFERROR(INDEX('Paramètres'!$N:$N,MATCH($D502,'Paramètres'!$M:$M,0))&amp;"",""))))),1,0))</f>
        <v>0</v>
      </c>
      <c r="Q502" s="6">
        <f>IF($K502="","",IF(ISNUMBER(SEARCH("transfert-interne",IFERROR(INDEX('Paramètres'!$N:$N,MATCH($D502,'Paramètres'!$M:$M,0))&amp;"",""))),0,IF($L502="Débit",$K502,IF($P502=1,-$K502,0))))</f>
        <v>31.17</v>
      </c>
      <c r="R502" s="6">
        <f>IF($K502="","",IF($L502="Crédit",$K502,-$K502))</f>
        <v>-31.17</v>
      </c>
      <c r="S502" s="6" t="str">
        <f>IF($C502="","",IFERROR(INDEX('Paramètres'!$H:$H,MATCH($C502,'Paramètres'!$D:$D,0))&amp;"",""))</f>
        <v>Banque A - Courant</v>
      </c>
      <c r="T502" s="6">
        <f>IF($K502="","",IF($S502="",0,IF(ISNUMBER(SEARCH("apport-exterieur",IFERROR(INDEX('Paramètres'!$N:$N,MATCH($D502,'Paramètres'!$M:$M,0))&amp;"",""))),0,IF(OR(IFERROR(INDEX('Paramètres'!$I:$I,MATCH($C502,'Paramètres'!$D:$D,0))&amp;"","")="Les deux",IFERROR(INDEX('Paramètres'!$I:$I,MATCH($C502,'Paramètres'!$D:$D,0))&amp;"","")=IF($P502=1,"Débit",$L502)),-IF($P502=1,-$K502,$K502),0))))</f>
        <v>-31.17</v>
      </c>
      <c r="U502" s="6">
        <f>IF($K502="","",IF(ISNUMBER(SEARCH("sortie-epargne",IFERROR(INDEX('Paramètres'!$N:$N,MATCH($D502,'Paramètres'!$M:$M,0))&amp;"",""))),$K502,0))</f>
        <v>0</v>
      </c>
      <c r="V502" s="6" t="str">
        <f>IF(AND($A502&lt;&gt;"",$O502=1,$L502="Débit",N($Q502)&gt;0,$A502&gt;=Visualisation!$B$1,$A502&lt;Visualisation!$D$1),MAX($V$1:V501)+1,"")</f>
        <v/>
      </c>
    </row>
    <row r="503" spans="1:22" x14ac:dyDescent="0.25">
      <c r="A503" s="9">
        <v>45902</v>
      </c>
      <c r="B503" s="4" t="s">
        <v>64</v>
      </c>
      <c r="C503" s="4" t="s">
        <v>65</v>
      </c>
      <c r="D503" s="4" t="s">
        <v>66</v>
      </c>
      <c r="E503" s="10">
        <v>1160</v>
      </c>
      <c r="G503" s="4"/>
      <c r="H503" s="4"/>
      <c r="I503" s="4"/>
      <c r="K503" s="11">
        <f>IF($E503="","",ROUND($E503*IF(ISNA(MATCH($C503,'Paramètres'!$D:$D,0)),1,IF(INDEX('Paramètres'!$J:$J,MATCH($C503,'Paramètres'!$D:$D,0))="",1,INDEX('Paramètres'!$J:$J,MATCH($C503,'Paramètres'!$D:$D,0)))),2))</f>
        <v>1160</v>
      </c>
      <c r="L503" s="6" t="str">
        <f>IF($D503="","",IF($F503&lt;&gt;"",$F503,IF(ISNA(MATCH($D503,'Paramètres'!$M:$M,0)),"⚠ Type inconnu",IFERROR(INDEX('Paramètres'!$P:$P,MATCH($D503,'Paramètres'!$M:$M,0))&amp;"",""))))</f>
        <v>Crédit</v>
      </c>
      <c r="M503" s="6" t="str">
        <f>IF($D503="","",IF(ISNA(MATCH($D503,'Paramètres'!$M:$M,0)),"⚠ Type inconnu",IF($L503="Crédit","",IFERROR(INDEX('Paramètres'!$O:$O,MATCH($D503,'Paramètres'!$M:$M,0))&amp;"",""))))</f>
        <v/>
      </c>
      <c r="N503" s="6" t="str">
        <f>IF($D503="","",IFERROR(INDEX('Paramètres'!$Q:$Q,MATCH($D503,'Paramètres'!$M:$M,0))&amp;"",""))</f>
        <v>Comptes Bancaires</v>
      </c>
      <c r="O503" s="6">
        <f>IF($A503="","",IF(OR($J503&lt;&gt;"x",$A503&lt;=FinReleve),1,0))</f>
        <v>1</v>
      </c>
      <c r="P503" s="6">
        <f>IF($D503="","",IF(AND($L503="Crédit",OR(IFERROR(INDEX('Paramètres'!$O:$O,MATCH($D503,'Paramètres'!$M:$M,0))&amp;"","")&lt;&gt;"",ISNUMBER(SEARCH("remboursement",IFERROR(INDEX('Paramètres'!$N:$N,MATCH($D503,'Paramètres'!$M:$M,0))&amp;"",""))))),1,0))</f>
        <v>0</v>
      </c>
      <c r="Q503" s="6">
        <f>IF($K503="","",IF(ISNUMBER(SEARCH("transfert-interne",IFERROR(INDEX('Paramètres'!$N:$N,MATCH($D503,'Paramètres'!$M:$M,0))&amp;"",""))),0,IF($L503="Débit",$K503,IF($P503=1,-$K503,0))))</f>
        <v>0</v>
      </c>
      <c r="R503" s="6">
        <f>IF($K503="","",IF($L503="Crédit",$K503,-$K503))</f>
        <v>1160</v>
      </c>
      <c r="S503" s="6" t="str">
        <f>IF($C503="","",IFERROR(INDEX('Paramètres'!$H:$H,MATCH($C503,'Paramètres'!$D:$D,0))&amp;"",""))</f>
        <v>Banque A - Courant</v>
      </c>
      <c r="T503" s="6">
        <f>IF($K503="","",IF($S503="",0,IF(ISNUMBER(SEARCH("apport-exterieur",IFERROR(INDEX('Paramètres'!$N:$N,MATCH($D503,'Paramètres'!$M:$M,0))&amp;"",""))),0,IF(OR(IFERROR(INDEX('Paramètres'!$I:$I,MATCH($C503,'Paramètres'!$D:$D,0))&amp;"","")="Les deux",IFERROR(INDEX('Paramètres'!$I:$I,MATCH($C503,'Paramètres'!$D:$D,0))&amp;"","")=IF($P503=1,"Débit",$L503)),-IF($P503=1,-$K503,$K503),0))))</f>
        <v>-1160</v>
      </c>
      <c r="U503" s="6">
        <f>IF($K503="","",IF(ISNUMBER(SEARCH("sortie-epargne",IFERROR(INDEX('Paramètres'!$N:$N,MATCH($D503,'Paramètres'!$M:$M,0))&amp;"",""))),$K503,0))</f>
        <v>0</v>
      </c>
      <c r="V503" s="6" t="str">
        <f>IF(AND($A503&lt;&gt;"",$O503=1,$L503="Débit",N($Q503)&gt;0,$A503&gt;=Visualisation!$B$1,$A503&lt;Visualisation!$D$1),MAX($V$1:V502)+1,"")</f>
        <v/>
      </c>
    </row>
    <row r="504" spans="1:22" x14ac:dyDescent="0.25">
      <c r="A504" s="9">
        <v>45902</v>
      </c>
      <c r="B504" s="4" t="s">
        <v>64</v>
      </c>
      <c r="C504" s="4" t="s">
        <v>67</v>
      </c>
      <c r="D504" s="4" t="s">
        <v>68</v>
      </c>
      <c r="E504" s="10">
        <v>600</v>
      </c>
      <c r="G504" s="4"/>
      <c r="H504" s="4"/>
      <c r="I504" s="4"/>
      <c r="K504" s="11">
        <f>IF($E504="","",ROUND($E504*IF(ISNA(MATCH($C504,'Paramètres'!$D:$D,0)),1,IF(INDEX('Paramètres'!$J:$J,MATCH($C504,'Paramètres'!$D:$D,0))="",1,INDEX('Paramètres'!$J:$J,MATCH($C504,'Paramètres'!$D:$D,0)))),2))</f>
        <v>300</v>
      </c>
      <c r="L504" s="6" t="str">
        <f>IF($D504="","",IF($F504&lt;&gt;"",$F504,IF(ISNA(MATCH($D504,'Paramètres'!$M:$M,0)),"⚠ Type inconnu",IFERROR(INDEX('Paramètres'!$P:$P,MATCH($D504,'Paramètres'!$M:$M,0))&amp;"",""))))</f>
        <v>Crédit</v>
      </c>
      <c r="M504" s="6" t="str">
        <f>IF($D504="","",IF(ISNA(MATCH($D504,'Paramètres'!$M:$M,0)),"⚠ Type inconnu",IF($L504="Crédit","",IFERROR(INDEX('Paramètres'!$O:$O,MATCH($D504,'Paramètres'!$M:$M,0))&amp;"",""))))</f>
        <v/>
      </c>
      <c r="N504" s="6" t="str">
        <f>IF($D504="","",IFERROR(INDEX('Paramètres'!$Q:$Q,MATCH($D504,'Paramètres'!$M:$M,0))&amp;"",""))</f>
        <v>Comptes Bancaires</v>
      </c>
      <c r="O504" s="6">
        <f>IF($A504="","",IF(OR($J504&lt;&gt;"x",$A504&lt;=FinReleve),1,0))</f>
        <v>1</v>
      </c>
      <c r="P504" s="6">
        <f>IF($D504="","",IF(AND($L504="Crédit",OR(IFERROR(INDEX('Paramètres'!$O:$O,MATCH($D504,'Paramètres'!$M:$M,0))&amp;"","")&lt;&gt;"",ISNUMBER(SEARCH("remboursement",IFERROR(INDEX('Paramètres'!$N:$N,MATCH($D504,'Paramètres'!$M:$M,0))&amp;"",""))))),1,0))</f>
        <v>0</v>
      </c>
      <c r="Q504" s="6">
        <f>IF($K504="","",IF(ISNUMBER(SEARCH("transfert-interne",IFERROR(INDEX('Paramètres'!$N:$N,MATCH($D504,'Paramètres'!$M:$M,0))&amp;"",""))),0,IF($L504="Débit",$K504,IF($P504=1,-$K504,0))))</f>
        <v>0</v>
      </c>
      <c r="R504" s="6">
        <f>IF($K504="","",IF($L504="Crédit",$K504,-$K504))</f>
        <v>300</v>
      </c>
      <c r="S504" s="6" t="str">
        <f>IF($C504="","",IFERROR(INDEX('Paramètres'!$H:$H,MATCH($C504,'Paramètres'!$D:$D,0))&amp;"",""))</f>
        <v>Banque A - Courant</v>
      </c>
      <c r="T504" s="6">
        <f>IF($K504="","",IF($S504="",0,IF(ISNUMBER(SEARCH("apport-exterieur",IFERROR(INDEX('Paramètres'!$N:$N,MATCH($D504,'Paramètres'!$M:$M,0))&amp;"",""))),0,IF(OR(IFERROR(INDEX('Paramètres'!$I:$I,MATCH($C504,'Paramètres'!$D:$D,0))&amp;"","")="Les deux",IFERROR(INDEX('Paramètres'!$I:$I,MATCH($C504,'Paramètres'!$D:$D,0))&amp;"","")=IF($P504=1,"Débit",$L504)),-IF($P504=1,-$K504,$K504),0))))</f>
        <v>-300</v>
      </c>
      <c r="U504" s="6">
        <f>IF($K504="","",IF(ISNUMBER(SEARCH("sortie-epargne",IFERROR(INDEX('Paramètres'!$N:$N,MATCH($D504,'Paramètres'!$M:$M,0))&amp;"",""))),$K504,0))</f>
        <v>0</v>
      </c>
      <c r="V504" s="6" t="str">
        <f>IF(AND($A504&lt;&gt;"",$O504=1,$L504="Débit",N($Q504)&gt;0,$A504&gt;=Visualisation!$B$1,$A504&lt;Visualisation!$D$1),MAX($V$1:V503)+1,"")</f>
        <v/>
      </c>
    </row>
    <row r="505" spans="1:22" x14ac:dyDescent="0.25">
      <c r="A505" s="9">
        <v>45902</v>
      </c>
      <c r="B505" s="4" t="s">
        <v>69</v>
      </c>
      <c r="C505" s="4" t="s">
        <v>70</v>
      </c>
      <c r="D505" s="4" t="s">
        <v>71</v>
      </c>
      <c r="E505" s="10">
        <v>8.03</v>
      </c>
      <c r="G505" s="4" t="s">
        <v>72</v>
      </c>
      <c r="H505" s="4"/>
      <c r="I505" s="4" t="s">
        <v>79</v>
      </c>
      <c r="K505" s="11">
        <f>IF($E505="","",ROUND($E505*IF(ISNA(MATCH($C505,'Paramètres'!$D:$D,0)),1,IF(INDEX('Paramètres'!$J:$J,MATCH($C505,'Paramètres'!$D:$D,0))="",1,INDEX('Paramètres'!$J:$J,MATCH($C505,'Paramètres'!$D:$D,0)))),2))</f>
        <v>8.03</v>
      </c>
      <c r="L505" s="6" t="str">
        <f>IF($D505="","",IF($F505&lt;&gt;"",$F505,IF(ISNA(MATCH($D505,'Paramètres'!$M:$M,0)),"⚠ Type inconnu",IFERROR(INDEX('Paramètres'!$P:$P,MATCH($D505,'Paramètres'!$M:$M,0))&amp;"",""))))</f>
        <v>Débit</v>
      </c>
      <c r="M505" s="6" t="str">
        <f>IF($D505="","",IF(ISNA(MATCH($D505,'Paramètres'!$M:$M,0)),"⚠ Type inconnu",IF($L505="Crédit","",IFERROR(INDEX('Paramètres'!$O:$O,MATCH($D505,'Paramètres'!$M:$M,0))&amp;"",""))))</f>
        <v>Dépense Courante</v>
      </c>
      <c r="N505" s="6" t="str">
        <f>IF($D505="","",IFERROR(INDEX('Paramètres'!$Q:$Q,MATCH($D505,'Paramètres'!$M:$M,0))&amp;"",""))</f>
        <v>Alimentation</v>
      </c>
      <c r="O505" s="6">
        <f>IF($A505="","",IF(OR($J505&lt;&gt;"x",$A505&lt;=FinReleve),1,0))</f>
        <v>1</v>
      </c>
      <c r="P505" s="6">
        <f>IF($D505="","",IF(AND($L505="Crédit",OR(IFERROR(INDEX('Paramètres'!$O:$O,MATCH($D505,'Paramètres'!$M:$M,0))&amp;"","")&lt;&gt;"",ISNUMBER(SEARCH("remboursement",IFERROR(INDEX('Paramètres'!$N:$N,MATCH($D505,'Paramètres'!$M:$M,0))&amp;"",""))))),1,0))</f>
        <v>0</v>
      </c>
      <c r="Q505" s="6">
        <f>IF($K505="","",IF(ISNUMBER(SEARCH("transfert-interne",IFERROR(INDEX('Paramètres'!$N:$N,MATCH($D505,'Paramètres'!$M:$M,0))&amp;"",""))),0,IF($L505="Débit",$K505,IF($P505=1,-$K505,0))))</f>
        <v>8.03</v>
      </c>
      <c r="R505" s="6">
        <f>IF($K505="","",IF($L505="Crédit",$K505,-$K505))</f>
        <v>-8.03</v>
      </c>
      <c r="S505" s="6" t="str">
        <f>IF($C505="","",IFERROR(INDEX('Paramètres'!$H:$H,MATCH($C505,'Paramètres'!$D:$D,0))&amp;"",""))</f>
        <v/>
      </c>
      <c r="T505" s="6">
        <f>IF($K505="","",IF($S505="",0,IF(ISNUMBER(SEARCH("apport-exterieur",IFERROR(INDEX('Paramètres'!$N:$N,MATCH($D505,'Paramètres'!$M:$M,0))&amp;"",""))),0,IF(OR(IFERROR(INDEX('Paramètres'!$I:$I,MATCH($C505,'Paramètres'!$D:$D,0))&amp;"","")="Les deux",IFERROR(INDEX('Paramètres'!$I:$I,MATCH($C505,'Paramètres'!$D:$D,0))&amp;"","")=IF($P505=1,"Débit",$L505)),-IF($P505=1,-$K505,$K505),0))))</f>
        <v>0</v>
      </c>
      <c r="U505" s="6">
        <f>IF($K505="","",IF(ISNUMBER(SEARCH("sortie-epargne",IFERROR(INDEX('Paramètres'!$N:$N,MATCH($D505,'Paramètres'!$M:$M,0))&amp;"",""))),$K505,0))</f>
        <v>0</v>
      </c>
      <c r="V505" s="6" t="str">
        <f>IF(AND($A505&lt;&gt;"",$O505=1,$L505="Débit",N($Q505)&gt;0,$A505&gt;=Visualisation!$B$1,$A505&lt;Visualisation!$D$1),MAX($V$1:V504)+1,"")</f>
        <v/>
      </c>
    </row>
    <row r="506" spans="1:22" x14ac:dyDescent="0.25">
      <c r="A506" s="9">
        <v>45903</v>
      </c>
      <c r="B506" s="4" t="s">
        <v>74</v>
      </c>
      <c r="C506" s="4" t="s">
        <v>75</v>
      </c>
      <c r="D506" s="4" t="s">
        <v>74</v>
      </c>
      <c r="E506" s="10">
        <v>88.8</v>
      </c>
      <c r="G506" s="4"/>
      <c r="H506" s="4"/>
      <c r="I506" s="4"/>
      <c r="K506" s="11">
        <f>IF($E506="","",ROUND($E506*IF(ISNA(MATCH($C506,'Paramètres'!$D:$D,0)),1,IF(INDEX('Paramètres'!$J:$J,MATCH($C506,'Paramètres'!$D:$D,0))="",1,INDEX('Paramètres'!$J:$J,MATCH($C506,'Paramètres'!$D:$D,0)))),2))</f>
        <v>88.8</v>
      </c>
      <c r="L506" s="6" t="str">
        <f>IF($D506="","",IF($F506&lt;&gt;"",$F506,IF(ISNA(MATCH($D506,'Paramètres'!$M:$M,0)),"⚠ Type inconnu",IFERROR(INDEX('Paramètres'!$P:$P,MATCH($D506,'Paramètres'!$M:$M,0))&amp;"",""))))</f>
        <v>Débit</v>
      </c>
      <c r="M506" s="6" t="str">
        <f>IF($D506="","",IF(ISNA(MATCH($D506,'Paramètres'!$M:$M,0)),"⚠ Type inconnu",IF($L506="Crédit","",IFERROR(INDEX('Paramètres'!$O:$O,MATCH($D506,'Paramètres'!$M:$M,0))&amp;"",""))))</f>
        <v>Dépense Fixe</v>
      </c>
      <c r="N506" s="6" t="str">
        <f>IF($D506="","",IFERROR(INDEX('Paramètres'!$Q:$Q,MATCH($D506,'Paramètres'!$M:$M,0))&amp;"",""))</f>
        <v>Transport</v>
      </c>
      <c r="O506" s="6">
        <f>IF($A506="","",IF(OR($J506&lt;&gt;"x",$A506&lt;=FinReleve),1,0))</f>
        <v>1</v>
      </c>
      <c r="P506" s="6">
        <f>IF($D506="","",IF(AND($L506="Crédit",OR(IFERROR(INDEX('Paramètres'!$O:$O,MATCH($D506,'Paramètres'!$M:$M,0))&amp;"","")&lt;&gt;"",ISNUMBER(SEARCH("remboursement",IFERROR(INDEX('Paramètres'!$N:$N,MATCH($D506,'Paramètres'!$M:$M,0))&amp;"",""))))),1,0))</f>
        <v>0</v>
      </c>
      <c r="Q506" s="6">
        <f>IF($K506="","",IF(ISNUMBER(SEARCH("transfert-interne",IFERROR(INDEX('Paramètres'!$N:$N,MATCH($D506,'Paramètres'!$M:$M,0))&amp;"",""))),0,IF($L506="Débit",$K506,IF($P506=1,-$K506,0))))</f>
        <v>88.8</v>
      </c>
      <c r="R506" s="6">
        <f>IF($K506="","",IF($L506="Crédit",$K506,-$K506))</f>
        <v>-88.8</v>
      </c>
      <c r="S506" s="6" t="str">
        <f>IF($C506="","",IFERROR(INDEX('Paramètres'!$H:$H,MATCH($C506,'Paramètres'!$D:$D,0))&amp;"",""))</f>
        <v/>
      </c>
      <c r="T506" s="6">
        <f>IF($K506="","",IF($S506="",0,IF(ISNUMBER(SEARCH("apport-exterieur",IFERROR(INDEX('Paramètres'!$N:$N,MATCH($D506,'Paramètres'!$M:$M,0))&amp;"",""))),0,IF(OR(IFERROR(INDEX('Paramètres'!$I:$I,MATCH($C506,'Paramètres'!$D:$D,0))&amp;"","")="Les deux",IFERROR(INDEX('Paramètres'!$I:$I,MATCH($C506,'Paramètres'!$D:$D,0))&amp;"","")=IF($P506=1,"Débit",$L506)),-IF($P506=1,-$K506,$K506),0))))</f>
        <v>0</v>
      </c>
      <c r="U506" s="6">
        <f>IF($K506="","",IF(ISNUMBER(SEARCH("sortie-epargne",IFERROR(INDEX('Paramètres'!$N:$N,MATCH($D506,'Paramètres'!$M:$M,0))&amp;"",""))),$K506,0))</f>
        <v>0</v>
      </c>
      <c r="V506" s="6" t="str">
        <f>IF(AND($A506&lt;&gt;"",$O506=1,$L506="Débit",N($Q506)&gt;0,$A506&gt;=Visualisation!$B$1,$A506&lt;Visualisation!$D$1),MAX($V$1:V505)+1,"")</f>
        <v/>
      </c>
    </row>
    <row r="507" spans="1:22" x14ac:dyDescent="0.25">
      <c r="A507" s="9">
        <v>45903</v>
      </c>
      <c r="B507" s="4" t="s">
        <v>69</v>
      </c>
      <c r="C507" s="4" t="s">
        <v>70</v>
      </c>
      <c r="D507" s="4" t="s">
        <v>71</v>
      </c>
      <c r="E507" s="10">
        <v>12.96</v>
      </c>
      <c r="G507" s="4" t="s">
        <v>72</v>
      </c>
      <c r="H507" s="4"/>
      <c r="I507" s="4"/>
      <c r="K507" s="11">
        <f>IF($E507="","",ROUND($E507*IF(ISNA(MATCH($C507,'Paramètres'!$D:$D,0)),1,IF(INDEX('Paramètres'!$J:$J,MATCH($C507,'Paramètres'!$D:$D,0))="",1,INDEX('Paramètres'!$J:$J,MATCH($C507,'Paramètres'!$D:$D,0)))),2))</f>
        <v>12.96</v>
      </c>
      <c r="L507" s="6" t="str">
        <f>IF($D507="","",IF($F507&lt;&gt;"",$F507,IF(ISNA(MATCH($D507,'Paramètres'!$M:$M,0)),"⚠ Type inconnu",IFERROR(INDEX('Paramètres'!$P:$P,MATCH($D507,'Paramètres'!$M:$M,0))&amp;"",""))))</f>
        <v>Débit</v>
      </c>
      <c r="M507" s="6" t="str">
        <f>IF($D507="","",IF(ISNA(MATCH($D507,'Paramètres'!$M:$M,0)),"⚠ Type inconnu",IF($L507="Crédit","",IFERROR(INDEX('Paramètres'!$O:$O,MATCH($D507,'Paramètres'!$M:$M,0))&amp;"",""))))</f>
        <v>Dépense Courante</v>
      </c>
      <c r="N507" s="6" t="str">
        <f>IF($D507="","",IFERROR(INDEX('Paramètres'!$Q:$Q,MATCH($D507,'Paramètres'!$M:$M,0))&amp;"",""))</f>
        <v>Alimentation</v>
      </c>
      <c r="O507" s="6">
        <f>IF($A507="","",IF(OR($J507&lt;&gt;"x",$A507&lt;=FinReleve),1,0))</f>
        <v>1</v>
      </c>
      <c r="P507" s="6">
        <f>IF($D507="","",IF(AND($L507="Crédit",OR(IFERROR(INDEX('Paramètres'!$O:$O,MATCH($D507,'Paramètres'!$M:$M,0))&amp;"","")&lt;&gt;"",ISNUMBER(SEARCH("remboursement",IFERROR(INDEX('Paramètres'!$N:$N,MATCH($D507,'Paramètres'!$M:$M,0))&amp;"",""))))),1,0))</f>
        <v>0</v>
      </c>
      <c r="Q507" s="6">
        <f>IF($K507="","",IF(ISNUMBER(SEARCH("transfert-interne",IFERROR(INDEX('Paramètres'!$N:$N,MATCH($D507,'Paramètres'!$M:$M,0))&amp;"",""))),0,IF($L507="Débit",$K507,IF($P507=1,-$K507,0))))</f>
        <v>12.96</v>
      </c>
      <c r="R507" s="6">
        <f>IF($K507="","",IF($L507="Crédit",$K507,-$K507))</f>
        <v>-12.96</v>
      </c>
      <c r="S507" s="6" t="str">
        <f>IF($C507="","",IFERROR(INDEX('Paramètres'!$H:$H,MATCH($C507,'Paramètres'!$D:$D,0))&amp;"",""))</f>
        <v/>
      </c>
      <c r="T507" s="6">
        <f>IF($K507="","",IF($S507="",0,IF(ISNUMBER(SEARCH("apport-exterieur",IFERROR(INDEX('Paramètres'!$N:$N,MATCH($D507,'Paramètres'!$M:$M,0))&amp;"",""))),0,IF(OR(IFERROR(INDEX('Paramètres'!$I:$I,MATCH($C507,'Paramètres'!$D:$D,0))&amp;"","")="Les deux",IFERROR(INDEX('Paramètres'!$I:$I,MATCH($C507,'Paramètres'!$D:$D,0))&amp;"","")=IF($P507=1,"Débit",$L507)),-IF($P507=1,-$K507,$K507),0))))</f>
        <v>0</v>
      </c>
      <c r="U507" s="6">
        <f>IF($K507="","",IF(ISNUMBER(SEARCH("sortie-epargne",IFERROR(INDEX('Paramètres'!$N:$N,MATCH($D507,'Paramètres'!$M:$M,0))&amp;"",""))),$K507,0))</f>
        <v>0</v>
      </c>
      <c r="V507" s="6" t="str">
        <f>IF(AND($A507&lt;&gt;"",$O507=1,$L507="Débit",N($Q507)&gt;0,$A507&gt;=Visualisation!$B$1,$A507&lt;Visualisation!$D$1),MAX($V$1:V506)+1,"")</f>
        <v/>
      </c>
    </row>
    <row r="508" spans="1:22" x14ac:dyDescent="0.25">
      <c r="A508" s="9">
        <v>45903</v>
      </c>
      <c r="B508" s="4" t="s">
        <v>69</v>
      </c>
      <c r="C508" s="4" t="s">
        <v>70</v>
      </c>
      <c r="D508" s="4" t="s">
        <v>71</v>
      </c>
      <c r="E508" s="10">
        <v>8.05</v>
      </c>
      <c r="G508" s="4" t="s">
        <v>72</v>
      </c>
      <c r="H508" s="4"/>
      <c r="I508" s="4" t="s">
        <v>73</v>
      </c>
      <c r="K508" s="11">
        <f>IF($E508="","",ROUND($E508*IF(ISNA(MATCH($C508,'Paramètres'!$D:$D,0)),1,IF(INDEX('Paramètres'!$J:$J,MATCH($C508,'Paramètres'!$D:$D,0))="",1,INDEX('Paramètres'!$J:$J,MATCH($C508,'Paramètres'!$D:$D,0)))),2))</f>
        <v>8.05</v>
      </c>
      <c r="L508" s="6" t="str">
        <f>IF($D508="","",IF($F508&lt;&gt;"",$F508,IF(ISNA(MATCH($D508,'Paramètres'!$M:$M,0)),"⚠ Type inconnu",IFERROR(INDEX('Paramètres'!$P:$P,MATCH($D508,'Paramètres'!$M:$M,0))&amp;"",""))))</f>
        <v>Débit</v>
      </c>
      <c r="M508" s="6" t="str">
        <f>IF($D508="","",IF(ISNA(MATCH($D508,'Paramètres'!$M:$M,0)),"⚠ Type inconnu",IF($L508="Crédit","",IFERROR(INDEX('Paramètres'!$O:$O,MATCH($D508,'Paramètres'!$M:$M,0))&amp;"",""))))</f>
        <v>Dépense Courante</v>
      </c>
      <c r="N508" s="6" t="str">
        <f>IF($D508="","",IFERROR(INDEX('Paramètres'!$Q:$Q,MATCH($D508,'Paramètres'!$M:$M,0))&amp;"",""))</f>
        <v>Alimentation</v>
      </c>
      <c r="O508" s="6">
        <f>IF($A508="","",IF(OR($J508&lt;&gt;"x",$A508&lt;=FinReleve),1,0))</f>
        <v>1</v>
      </c>
      <c r="P508" s="6">
        <f>IF($D508="","",IF(AND($L508="Crédit",OR(IFERROR(INDEX('Paramètres'!$O:$O,MATCH($D508,'Paramètres'!$M:$M,0))&amp;"","")&lt;&gt;"",ISNUMBER(SEARCH("remboursement",IFERROR(INDEX('Paramètres'!$N:$N,MATCH($D508,'Paramètres'!$M:$M,0))&amp;"",""))))),1,0))</f>
        <v>0</v>
      </c>
      <c r="Q508" s="6">
        <f>IF($K508="","",IF(ISNUMBER(SEARCH("transfert-interne",IFERROR(INDEX('Paramètres'!$N:$N,MATCH($D508,'Paramètres'!$M:$M,0))&amp;"",""))),0,IF($L508="Débit",$K508,IF($P508=1,-$K508,0))))</f>
        <v>8.05</v>
      </c>
      <c r="R508" s="6">
        <f>IF($K508="","",IF($L508="Crédit",$K508,-$K508))</f>
        <v>-8.05</v>
      </c>
      <c r="S508" s="6" t="str">
        <f>IF($C508="","",IFERROR(INDEX('Paramètres'!$H:$H,MATCH($C508,'Paramètres'!$D:$D,0))&amp;"",""))</f>
        <v/>
      </c>
      <c r="T508" s="6">
        <f>IF($K508="","",IF($S508="",0,IF(ISNUMBER(SEARCH("apport-exterieur",IFERROR(INDEX('Paramètres'!$N:$N,MATCH($D508,'Paramètres'!$M:$M,0))&amp;"",""))),0,IF(OR(IFERROR(INDEX('Paramètres'!$I:$I,MATCH($C508,'Paramètres'!$D:$D,0))&amp;"","")="Les deux",IFERROR(INDEX('Paramètres'!$I:$I,MATCH($C508,'Paramètres'!$D:$D,0))&amp;"","")=IF($P508=1,"Débit",$L508)),-IF($P508=1,-$K508,$K508),0))))</f>
        <v>0</v>
      </c>
      <c r="U508" s="6">
        <f>IF($K508="","",IF(ISNUMBER(SEARCH("sortie-epargne",IFERROR(INDEX('Paramètres'!$N:$N,MATCH($D508,'Paramètres'!$M:$M,0))&amp;"",""))),$K508,0))</f>
        <v>0</v>
      </c>
      <c r="V508" s="6" t="str">
        <f>IF(AND($A508&lt;&gt;"",$O508=1,$L508="Débit",N($Q508)&gt;0,$A508&gt;=Visualisation!$B$1,$A508&lt;Visualisation!$D$1),MAX($V$1:V507)+1,"")</f>
        <v/>
      </c>
    </row>
    <row r="509" spans="1:22" x14ac:dyDescent="0.25">
      <c r="A509" s="9">
        <v>45904</v>
      </c>
      <c r="B509" s="4" t="s">
        <v>69</v>
      </c>
      <c r="C509" s="4" t="s">
        <v>70</v>
      </c>
      <c r="D509" s="4" t="s">
        <v>71</v>
      </c>
      <c r="E509" s="10">
        <v>11.55</v>
      </c>
      <c r="G509" s="4" t="s">
        <v>72</v>
      </c>
      <c r="H509" s="4"/>
      <c r="I509" s="4"/>
      <c r="K509" s="11">
        <f>IF($E509="","",ROUND($E509*IF(ISNA(MATCH($C509,'Paramètres'!$D:$D,0)),1,IF(INDEX('Paramètres'!$J:$J,MATCH($C509,'Paramètres'!$D:$D,0))="",1,INDEX('Paramètres'!$J:$J,MATCH($C509,'Paramètres'!$D:$D,0)))),2))</f>
        <v>11.55</v>
      </c>
      <c r="L509" s="6" t="str">
        <f>IF($D509="","",IF($F509&lt;&gt;"",$F509,IF(ISNA(MATCH($D509,'Paramètres'!$M:$M,0)),"⚠ Type inconnu",IFERROR(INDEX('Paramètres'!$P:$P,MATCH($D509,'Paramètres'!$M:$M,0))&amp;"",""))))</f>
        <v>Débit</v>
      </c>
      <c r="M509" s="6" t="str">
        <f>IF($D509="","",IF(ISNA(MATCH($D509,'Paramètres'!$M:$M,0)),"⚠ Type inconnu",IF($L509="Crédit","",IFERROR(INDEX('Paramètres'!$O:$O,MATCH($D509,'Paramètres'!$M:$M,0))&amp;"",""))))</f>
        <v>Dépense Courante</v>
      </c>
      <c r="N509" s="6" t="str">
        <f>IF($D509="","",IFERROR(INDEX('Paramètres'!$Q:$Q,MATCH($D509,'Paramètres'!$M:$M,0))&amp;"",""))</f>
        <v>Alimentation</v>
      </c>
      <c r="O509" s="6">
        <f>IF($A509="","",IF(OR($J509&lt;&gt;"x",$A509&lt;=FinReleve),1,0))</f>
        <v>1</v>
      </c>
      <c r="P509" s="6">
        <f>IF($D509="","",IF(AND($L509="Crédit",OR(IFERROR(INDEX('Paramètres'!$O:$O,MATCH($D509,'Paramètres'!$M:$M,0))&amp;"","")&lt;&gt;"",ISNUMBER(SEARCH("remboursement",IFERROR(INDEX('Paramètres'!$N:$N,MATCH($D509,'Paramètres'!$M:$M,0))&amp;"",""))))),1,0))</f>
        <v>0</v>
      </c>
      <c r="Q509" s="6">
        <f>IF($K509="","",IF(ISNUMBER(SEARCH("transfert-interne",IFERROR(INDEX('Paramètres'!$N:$N,MATCH($D509,'Paramètres'!$M:$M,0))&amp;"",""))),0,IF($L509="Débit",$K509,IF($P509=1,-$K509,0))))</f>
        <v>11.55</v>
      </c>
      <c r="R509" s="6">
        <f>IF($K509="","",IF($L509="Crédit",$K509,-$K509))</f>
        <v>-11.55</v>
      </c>
      <c r="S509" s="6" t="str">
        <f>IF($C509="","",IFERROR(INDEX('Paramètres'!$H:$H,MATCH($C509,'Paramètres'!$D:$D,0))&amp;"",""))</f>
        <v/>
      </c>
      <c r="T509" s="6">
        <f>IF($K509="","",IF($S509="",0,IF(ISNUMBER(SEARCH("apport-exterieur",IFERROR(INDEX('Paramètres'!$N:$N,MATCH($D509,'Paramètres'!$M:$M,0))&amp;"",""))),0,IF(OR(IFERROR(INDEX('Paramètres'!$I:$I,MATCH($C509,'Paramètres'!$D:$D,0))&amp;"","")="Les deux",IFERROR(INDEX('Paramètres'!$I:$I,MATCH($C509,'Paramètres'!$D:$D,0))&amp;"","")=IF($P509=1,"Débit",$L509)),-IF($P509=1,-$K509,$K509),0))))</f>
        <v>0</v>
      </c>
      <c r="U509" s="6">
        <f>IF($K509="","",IF(ISNUMBER(SEARCH("sortie-epargne",IFERROR(INDEX('Paramètres'!$N:$N,MATCH($D509,'Paramètres'!$M:$M,0))&amp;"",""))),$K509,0))</f>
        <v>0</v>
      </c>
      <c r="V509" s="6" t="str">
        <f>IF(AND($A509&lt;&gt;"",$O509=1,$L509="Débit",N($Q509)&gt;0,$A509&gt;=Visualisation!$B$1,$A509&lt;Visualisation!$D$1),MAX($V$1:V508)+1,"")</f>
        <v/>
      </c>
    </row>
    <row r="510" spans="1:22" x14ac:dyDescent="0.25">
      <c r="A510" s="9">
        <v>45904</v>
      </c>
      <c r="B510" s="4" t="s">
        <v>80</v>
      </c>
      <c r="C510" s="4" t="s">
        <v>70</v>
      </c>
      <c r="D510" s="4" t="s">
        <v>81</v>
      </c>
      <c r="E510" s="10">
        <v>122.2</v>
      </c>
      <c r="G510" s="4"/>
      <c r="H510" s="4"/>
      <c r="I510" s="4"/>
      <c r="K510" s="11">
        <f>IF($E510="","",ROUND($E510*IF(ISNA(MATCH($C510,'Paramètres'!$D:$D,0)),1,IF(INDEX('Paramètres'!$J:$J,MATCH($C510,'Paramètres'!$D:$D,0))="",1,INDEX('Paramètres'!$J:$J,MATCH($C510,'Paramètres'!$D:$D,0)))),2))</f>
        <v>122.2</v>
      </c>
      <c r="L510" s="6" t="str">
        <f>IF($D510="","",IF($F510&lt;&gt;"",$F510,IF(ISNA(MATCH($D510,'Paramètres'!$M:$M,0)),"⚠ Type inconnu",IFERROR(INDEX('Paramètres'!$P:$P,MATCH($D510,'Paramètres'!$M:$M,0))&amp;"",""))))</f>
        <v>Crédit</v>
      </c>
      <c r="M510" s="6" t="str">
        <f>IF($D510="","",IF(ISNA(MATCH($D510,'Paramètres'!$M:$M,0)),"⚠ Type inconnu",IF($L510="Crédit","",IFERROR(INDEX('Paramètres'!$O:$O,MATCH($D510,'Paramètres'!$M:$M,0))&amp;"",""))))</f>
        <v/>
      </c>
      <c r="N510" s="6" t="str">
        <f>IF($D510="","",IFERROR(INDEX('Paramètres'!$Q:$Q,MATCH($D510,'Paramètres'!$M:$M,0))&amp;"",""))</f>
        <v>Comptes Bancaires</v>
      </c>
      <c r="O510" s="6">
        <f>IF($A510="","",IF(OR($J510&lt;&gt;"x",$A510&lt;=FinReleve),1,0))</f>
        <v>1</v>
      </c>
      <c r="P510" s="6">
        <f>IF($D510="","",IF(AND($L510="Crédit",OR(IFERROR(INDEX('Paramètres'!$O:$O,MATCH($D510,'Paramètres'!$M:$M,0))&amp;"","")&lt;&gt;"",ISNUMBER(SEARCH("remboursement",IFERROR(INDEX('Paramètres'!$N:$N,MATCH($D510,'Paramètres'!$M:$M,0))&amp;"",""))))),1,0))</f>
        <v>0</v>
      </c>
      <c r="Q510" s="6">
        <f>IF($K510="","",IF(ISNUMBER(SEARCH("transfert-interne",IFERROR(INDEX('Paramètres'!$N:$N,MATCH($D510,'Paramètres'!$M:$M,0))&amp;"",""))),0,IF($L510="Débit",$K510,IF($P510=1,-$K510,0))))</f>
        <v>0</v>
      </c>
      <c r="R510" s="6">
        <f>IF($K510="","",IF($L510="Crédit",$K510,-$K510))</f>
        <v>122.2</v>
      </c>
      <c r="S510" s="6" t="str">
        <f>IF($C510="","",IFERROR(INDEX('Paramètres'!$H:$H,MATCH($C510,'Paramètres'!$D:$D,0))&amp;"",""))</f>
        <v/>
      </c>
      <c r="T510" s="6">
        <f>IF($K510="","",IF($S510="",0,IF(ISNUMBER(SEARCH("apport-exterieur",IFERROR(INDEX('Paramètres'!$N:$N,MATCH($D510,'Paramètres'!$M:$M,0))&amp;"",""))),0,IF(OR(IFERROR(INDEX('Paramètres'!$I:$I,MATCH($C510,'Paramètres'!$D:$D,0))&amp;"","")="Les deux",IFERROR(INDEX('Paramètres'!$I:$I,MATCH($C510,'Paramètres'!$D:$D,0))&amp;"","")=IF($P510=1,"Débit",$L510)),-IF($P510=1,-$K510,$K510),0))))</f>
        <v>0</v>
      </c>
      <c r="U510" s="6">
        <f>IF($K510="","",IF(ISNUMBER(SEARCH("sortie-epargne",IFERROR(INDEX('Paramètres'!$N:$N,MATCH($D510,'Paramètres'!$M:$M,0))&amp;"",""))),$K510,0))</f>
        <v>0</v>
      </c>
      <c r="V510" s="6" t="str">
        <f>IF(AND($A510&lt;&gt;"",$O510=1,$L510="Débit",N($Q510)&gt;0,$A510&gt;=Visualisation!$B$1,$A510&lt;Visualisation!$D$1),MAX($V$1:V509)+1,"")</f>
        <v/>
      </c>
    </row>
    <row r="511" spans="1:22" x14ac:dyDescent="0.25">
      <c r="A511" s="9">
        <v>45905</v>
      </c>
      <c r="B511" s="4" t="s">
        <v>82</v>
      </c>
      <c r="C511" s="4" t="s">
        <v>65</v>
      </c>
      <c r="D511" s="4" t="s">
        <v>83</v>
      </c>
      <c r="E511" s="10">
        <v>657.23</v>
      </c>
      <c r="G511" s="4" t="s">
        <v>84</v>
      </c>
      <c r="H511" s="4"/>
      <c r="I511" s="4"/>
      <c r="K511" s="11">
        <f>IF($E511="","",ROUND($E511*IF(ISNA(MATCH($C511,'Paramètres'!$D:$D,0)),1,IF(INDEX('Paramètres'!$J:$J,MATCH($C511,'Paramètres'!$D:$D,0))="",1,INDEX('Paramètres'!$J:$J,MATCH($C511,'Paramètres'!$D:$D,0)))),2))</f>
        <v>657.23</v>
      </c>
      <c r="L511" s="6" t="str">
        <f>IF($D511="","",IF($F511&lt;&gt;"",$F511,IF(ISNA(MATCH($D511,'Paramètres'!$M:$M,0)),"⚠ Type inconnu",IFERROR(INDEX('Paramètres'!$P:$P,MATCH($D511,'Paramètres'!$M:$M,0))&amp;"",""))))</f>
        <v>Débit</v>
      </c>
      <c r="M511" s="6" t="str">
        <f>IF($D511="","",IF(ISNA(MATCH($D511,'Paramètres'!$M:$M,0)),"⚠ Type inconnu",IF($L511="Crédit","",IFERROR(INDEX('Paramètres'!$O:$O,MATCH($D511,'Paramètres'!$M:$M,0))&amp;"",""))))</f>
        <v/>
      </c>
      <c r="N511" s="6" t="str">
        <f>IF($D511="","",IFERROR(INDEX('Paramètres'!$Q:$Q,MATCH($D511,'Paramètres'!$M:$M,0))&amp;"",""))</f>
        <v>Immobilier</v>
      </c>
      <c r="O511" s="6">
        <f>IF($A511="","",IF(OR($J511&lt;&gt;"x",$A511&lt;=FinReleve),1,0))</f>
        <v>1</v>
      </c>
      <c r="P511" s="6">
        <f>IF($D511="","",IF(AND($L511="Crédit",OR(IFERROR(INDEX('Paramètres'!$O:$O,MATCH($D511,'Paramètres'!$M:$M,0))&amp;"","")&lt;&gt;"",ISNUMBER(SEARCH("remboursement",IFERROR(INDEX('Paramètres'!$N:$N,MATCH($D511,'Paramètres'!$M:$M,0))&amp;"",""))))),1,0))</f>
        <v>0</v>
      </c>
      <c r="Q511" s="6">
        <f>IF($K511="","",IF(ISNUMBER(SEARCH("transfert-interne",IFERROR(INDEX('Paramètres'!$N:$N,MATCH($D511,'Paramètres'!$M:$M,0))&amp;"",""))),0,IF($L511="Débit",$K511,IF($P511=1,-$K511,0))))</f>
        <v>657.23</v>
      </c>
      <c r="R511" s="6">
        <f>IF($K511="","",IF($L511="Crédit",$K511,-$K511))</f>
        <v>-657.23</v>
      </c>
      <c r="S511" s="6" t="str">
        <f>IF($C511="","",IFERROR(INDEX('Paramètres'!$H:$H,MATCH($C511,'Paramètres'!$D:$D,0))&amp;"",""))</f>
        <v>Banque A - Courant</v>
      </c>
      <c r="T511" s="6">
        <f>IF($K511="","",IF($S511="",0,IF(ISNUMBER(SEARCH("apport-exterieur",IFERROR(INDEX('Paramètres'!$N:$N,MATCH($D511,'Paramètres'!$M:$M,0))&amp;"",""))),0,IF(OR(IFERROR(INDEX('Paramètres'!$I:$I,MATCH($C511,'Paramètres'!$D:$D,0))&amp;"","")="Les deux",IFERROR(INDEX('Paramètres'!$I:$I,MATCH($C511,'Paramètres'!$D:$D,0))&amp;"","")=IF($P511=1,"Débit",$L511)),-IF($P511=1,-$K511,$K511),0))))</f>
        <v>0</v>
      </c>
      <c r="U511" s="6">
        <f>IF($K511="","",IF(ISNUMBER(SEARCH("sortie-epargne",IFERROR(INDEX('Paramètres'!$N:$N,MATCH($D511,'Paramètres'!$M:$M,0))&amp;"",""))),$K511,0))</f>
        <v>0</v>
      </c>
      <c r="V511" s="6" t="str">
        <f>IF(AND($A511&lt;&gt;"",$O511=1,$L511="Débit",N($Q511)&gt;0,$A511&gt;=Visualisation!$B$1,$A511&lt;Visualisation!$D$1),MAX($V$1:V510)+1,"")</f>
        <v/>
      </c>
    </row>
    <row r="512" spans="1:22" x14ac:dyDescent="0.25">
      <c r="A512" s="9">
        <v>45905</v>
      </c>
      <c r="B512" s="4" t="s">
        <v>85</v>
      </c>
      <c r="C512" s="4" t="s">
        <v>65</v>
      </c>
      <c r="D512" s="4" t="s">
        <v>86</v>
      </c>
      <c r="E512" s="10">
        <v>236.41</v>
      </c>
      <c r="G512" s="4" t="s">
        <v>87</v>
      </c>
      <c r="H512" s="4"/>
      <c r="I512" s="4"/>
      <c r="K512" s="11">
        <f>IF($E512="","",ROUND($E512*IF(ISNA(MATCH($C512,'Paramètres'!$D:$D,0)),1,IF(INDEX('Paramètres'!$J:$J,MATCH($C512,'Paramètres'!$D:$D,0))="",1,INDEX('Paramètres'!$J:$J,MATCH($C512,'Paramètres'!$D:$D,0)))),2))</f>
        <v>236.41</v>
      </c>
      <c r="L512" s="6" t="str">
        <f>IF($D512="","",IF($F512&lt;&gt;"",$F512,IF(ISNA(MATCH($D512,'Paramètres'!$M:$M,0)),"⚠ Type inconnu",IFERROR(INDEX('Paramètres'!$P:$P,MATCH($D512,'Paramètres'!$M:$M,0))&amp;"",""))))</f>
        <v>Débit</v>
      </c>
      <c r="M512" s="6" t="str">
        <f>IF($D512="","",IF(ISNA(MATCH($D512,'Paramètres'!$M:$M,0)),"⚠ Type inconnu",IF($L512="Crédit","",IFERROR(INDEX('Paramètres'!$O:$O,MATCH($D512,'Paramètres'!$M:$M,0))&amp;"",""))))</f>
        <v>Dépense Fixe</v>
      </c>
      <c r="N512" s="6" t="str">
        <f>IF($D512="","",IFERROR(INDEX('Paramètres'!$Q:$Q,MATCH($D512,'Paramètres'!$M:$M,0))&amp;"",""))</f>
        <v>Immobilier</v>
      </c>
      <c r="O512" s="6">
        <f>IF($A512="","",IF(OR($J512&lt;&gt;"x",$A512&lt;=FinReleve),1,0))</f>
        <v>1</v>
      </c>
      <c r="P512" s="6">
        <f>IF($D512="","",IF(AND($L512="Crédit",OR(IFERROR(INDEX('Paramètres'!$O:$O,MATCH($D512,'Paramètres'!$M:$M,0))&amp;"","")&lt;&gt;"",ISNUMBER(SEARCH("remboursement",IFERROR(INDEX('Paramètres'!$N:$N,MATCH($D512,'Paramètres'!$M:$M,0))&amp;"",""))))),1,0))</f>
        <v>0</v>
      </c>
      <c r="Q512" s="6">
        <f>IF($K512="","",IF(ISNUMBER(SEARCH("transfert-interne",IFERROR(INDEX('Paramètres'!$N:$N,MATCH($D512,'Paramètres'!$M:$M,0))&amp;"",""))),0,IF($L512="Débit",$K512,IF($P512=1,-$K512,0))))</f>
        <v>236.41</v>
      </c>
      <c r="R512" s="6">
        <f>IF($K512="","",IF($L512="Crédit",$K512,-$K512))</f>
        <v>-236.41</v>
      </c>
      <c r="S512" s="6" t="str">
        <f>IF($C512="","",IFERROR(INDEX('Paramètres'!$H:$H,MATCH($C512,'Paramètres'!$D:$D,0))&amp;"",""))</f>
        <v>Banque A - Courant</v>
      </c>
      <c r="T512" s="6">
        <f>IF($K512="","",IF($S512="",0,IF(ISNUMBER(SEARCH("apport-exterieur",IFERROR(INDEX('Paramètres'!$N:$N,MATCH($D512,'Paramètres'!$M:$M,0))&amp;"",""))),0,IF(OR(IFERROR(INDEX('Paramètres'!$I:$I,MATCH($C512,'Paramètres'!$D:$D,0))&amp;"","")="Les deux",IFERROR(INDEX('Paramètres'!$I:$I,MATCH($C512,'Paramètres'!$D:$D,0))&amp;"","")=IF($P512=1,"Débit",$L512)),-IF($P512=1,-$K512,$K512),0))))</f>
        <v>0</v>
      </c>
      <c r="U512" s="6">
        <f>IF($K512="","",IF(ISNUMBER(SEARCH("sortie-epargne",IFERROR(INDEX('Paramètres'!$N:$N,MATCH($D512,'Paramètres'!$M:$M,0))&amp;"",""))),$K512,0))</f>
        <v>0</v>
      </c>
      <c r="V512" s="6" t="str">
        <f>IF(AND($A512&lt;&gt;"",$O512=1,$L512="Débit",N($Q512)&gt;0,$A512&gt;=Visualisation!$B$1,$A512&lt;Visualisation!$D$1),MAX($V$1:V511)+1,"")</f>
        <v/>
      </c>
    </row>
    <row r="513" spans="1:22" x14ac:dyDescent="0.25">
      <c r="A513" s="9">
        <v>45905</v>
      </c>
      <c r="B513" s="4" t="s">
        <v>88</v>
      </c>
      <c r="C513" s="4" t="s">
        <v>65</v>
      </c>
      <c r="D513" s="4" t="s">
        <v>88</v>
      </c>
      <c r="E513" s="10">
        <v>31.2</v>
      </c>
      <c r="G513" s="4"/>
      <c r="H513" s="4"/>
      <c r="I513" s="4"/>
      <c r="K513" s="11">
        <f>IF($E513="","",ROUND($E513*IF(ISNA(MATCH($C513,'Paramètres'!$D:$D,0)),1,IF(INDEX('Paramètres'!$J:$J,MATCH($C513,'Paramètres'!$D:$D,0))="",1,INDEX('Paramètres'!$J:$J,MATCH($C513,'Paramètres'!$D:$D,0)))),2))</f>
        <v>31.2</v>
      </c>
      <c r="L513" s="6" t="str">
        <f>IF($D513="","",IF($F513&lt;&gt;"",$F513,IF(ISNA(MATCH($D513,'Paramètres'!$M:$M,0)),"⚠ Type inconnu",IFERROR(INDEX('Paramètres'!$P:$P,MATCH($D513,'Paramètres'!$M:$M,0))&amp;"",""))))</f>
        <v>Débit</v>
      </c>
      <c r="M513" s="6" t="str">
        <f>IF($D513="","",IF(ISNA(MATCH($D513,'Paramètres'!$M:$M,0)),"⚠ Type inconnu",IF($L513="Crédit","",IFERROR(INDEX('Paramètres'!$O:$O,MATCH($D513,'Paramètres'!$M:$M,0))&amp;"",""))))</f>
        <v>Dépense Fixe</v>
      </c>
      <c r="N513" s="6" t="str">
        <f>IF($D513="","",IFERROR(INDEX('Paramètres'!$Q:$Q,MATCH($D513,'Paramètres'!$M:$M,0))&amp;"",""))</f>
        <v>Assurances</v>
      </c>
      <c r="O513" s="6">
        <f>IF($A513="","",IF(OR($J513&lt;&gt;"x",$A513&lt;=FinReleve),1,0))</f>
        <v>1</v>
      </c>
      <c r="P513" s="6">
        <f>IF($D513="","",IF(AND($L513="Crédit",OR(IFERROR(INDEX('Paramètres'!$O:$O,MATCH($D513,'Paramètres'!$M:$M,0))&amp;"","")&lt;&gt;"",ISNUMBER(SEARCH("remboursement",IFERROR(INDEX('Paramètres'!$N:$N,MATCH($D513,'Paramètres'!$M:$M,0))&amp;"",""))))),1,0))</f>
        <v>0</v>
      </c>
      <c r="Q513" s="6">
        <f>IF($K513="","",IF(ISNUMBER(SEARCH("transfert-interne",IFERROR(INDEX('Paramètres'!$N:$N,MATCH($D513,'Paramètres'!$M:$M,0))&amp;"",""))),0,IF($L513="Débit",$K513,IF($P513=1,-$K513,0))))</f>
        <v>31.2</v>
      </c>
      <c r="R513" s="6">
        <f>IF($K513="","",IF($L513="Crédit",$K513,-$K513))</f>
        <v>-31.2</v>
      </c>
      <c r="S513" s="6" t="str">
        <f>IF($C513="","",IFERROR(INDEX('Paramètres'!$H:$H,MATCH($C513,'Paramètres'!$D:$D,0))&amp;"",""))</f>
        <v>Banque A - Courant</v>
      </c>
      <c r="T513" s="6">
        <f>IF($K513="","",IF($S513="",0,IF(ISNUMBER(SEARCH("apport-exterieur",IFERROR(INDEX('Paramètres'!$N:$N,MATCH($D513,'Paramètres'!$M:$M,0))&amp;"",""))),0,IF(OR(IFERROR(INDEX('Paramètres'!$I:$I,MATCH($C513,'Paramètres'!$D:$D,0))&amp;"","")="Les deux",IFERROR(INDEX('Paramètres'!$I:$I,MATCH($C513,'Paramètres'!$D:$D,0))&amp;"","")=IF($P513=1,"Débit",$L513)),-IF($P513=1,-$K513,$K513),0))))</f>
        <v>0</v>
      </c>
      <c r="U513" s="6">
        <f>IF($K513="","",IF(ISNUMBER(SEARCH("sortie-epargne",IFERROR(INDEX('Paramètres'!$N:$N,MATCH($D513,'Paramètres'!$M:$M,0))&amp;"",""))),$K513,0))</f>
        <v>0</v>
      </c>
      <c r="V513" s="6" t="str">
        <f>IF(AND($A513&lt;&gt;"",$O513=1,$L513="Débit",N($Q513)&gt;0,$A513&gt;=Visualisation!$B$1,$A513&lt;Visualisation!$D$1),MAX($V$1:V512)+1,"")</f>
        <v/>
      </c>
    </row>
    <row r="514" spans="1:22" x14ac:dyDescent="0.25">
      <c r="A514" s="9">
        <v>45905</v>
      </c>
      <c r="B514" s="4" t="s">
        <v>76</v>
      </c>
      <c r="C514" s="4" t="s">
        <v>67</v>
      </c>
      <c r="D514" s="4" t="s">
        <v>77</v>
      </c>
      <c r="E514" s="10">
        <v>112.02</v>
      </c>
      <c r="G514" s="4" t="s">
        <v>98</v>
      </c>
      <c r="H514" s="4"/>
      <c r="I514" s="4" t="s">
        <v>79</v>
      </c>
      <c r="K514" s="11">
        <f>IF($E514="","",ROUND($E514*IF(ISNA(MATCH($C514,'Paramètres'!$D:$D,0)),1,IF(INDEX('Paramètres'!$J:$J,MATCH($C514,'Paramètres'!$D:$D,0))="",1,INDEX('Paramètres'!$J:$J,MATCH($C514,'Paramètres'!$D:$D,0)))),2))</f>
        <v>56.01</v>
      </c>
      <c r="L514" s="6" t="str">
        <f>IF($D514="","",IF($F514&lt;&gt;"",$F514,IF(ISNA(MATCH($D514,'Paramètres'!$M:$M,0)),"⚠ Type inconnu",IFERROR(INDEX('Paramètres'!$P:$P,MATCH($D514,'Paramètres'!$M:$M,0))&amp;"",""))))</f>
        <v>Débit</v>
      </c>
      <c r="M514" s="6" t="str">
        <f>IF($D514="","",IF(ISNA(MATCH($D514,'Paramètres'!$M:$M,0)),"⚠ Type inconnu",IF($L514="Crédit","",IFERROR(INDEX('Paramètres'!$O:$O,MATCH($D514,'Paramètres'!$M:$M,0))&amp;"",""))))</f>
        <v>Dépense Courante</v>
      </c>
      <c r="N514" s="6" t="str">
        <f>IF($D514="","",IFERROR(INDEX('Paramètres'!$Q:$Q,MATCH($D514,'Paramètres'!$M:$M,0))&amp;"",""))</f>
        <v>Alimentation</v>
      </c>
      <c r="O514" s="6">
        <f>IF($A514="","",IF(OR($J514&lt;&gt;"x",$A514&lt;=FinReleve),1,0))</f>
        <v>1</v>
      </c>
      <c r="P514" s="6">
        <f>IF($D514="","",IF(AND($L514="Crédit",OR(IFERROR(INDEX('Paramètres'!$O:$O,MATCH($D514,'Paramètres'!$M:$M,0))&amp;"","")&lt;&gt;"",ISNUMBER(SEARCH("remboursement",IFERROR(INDEX('Paramètres'!$N:$N,MATCH($D514,'Paramètres'!$M:$M,0))&amp;"",""))))),1,0))</f>
        <v>0</v>
      </c>
      <c r="Q514" s="6">
        <f>IF($K514="","",IF(ISNUMBER(SEARCH("transfert-interne",IFERROR(INDEX('Paramètres'!$N:$N,MATCH($D514,'Paramètres'!$M:$M,0))&amp;"",""))),0,IF($L514="Débit",$K514,IF($P514=1,-$K514,0))))</f>
        <v>56.01</v>
      </c>
      <c r="R514" s="6">
        <f>IF($K514="","",IF($L514="Crédit",$K514,-$K514))</f>
        <v>-56.01</v>
      </c>
      <c r="S514" s="6" t="str">
        <f>IF($C514="","",IFERROR(INDEX('Paramètres'!$H:$H,MATCH($C514,'Paramètres'!$D:$D,0))&amp;"",""))</f>
        <v>Banque A - Courant</v>
      </c>
      <c r="T514" s="6">
        <f>IF($K514="","",IF($S514="",0,IF(ISNUMBER(SEARCH("apport-exterieur",IFERROR(INDEX('Paramètres'!$N:$N,MATCH($D514,'Paramètres'!$M:$M,0))&amp;"",""))),0,IF(OR(IFERROR(INDEX('Paramètres'!$I:$I,MATCH($C514,'Paramètres'!$D:$D,0))&amp;"","")="Les deux",IFERROR(INDEX('Paramètres'!$I:$I,MATCH($C514,'Paramètres'!$D:$D,0))&amp;"","")=IF($P514=1,"Débit",$L514)),-IF($P514=1,-$K514,$K514),0))))</f>
        <v>0</v>
      </c>
      <c r="U514" s="6">
        <f>IF($K514="","",IF(ISNUMBER(SEARCH("sortie-epargne",IFERROR(INDEX('Paramètres'!$N:$N,MATCH($D514,'Paramètres'!$M:$M,0))&amp;"",""))),$K514,0))</f>
        <v>0</v>
      </c>
      <c r="V514" s="6" t="str">
        <f>IF(AND($A514&lt;&gt;"",$O514=1,$L514="Débit",N($Q514)&gt;0,$A514&gt;=Visualisation!$B$1,$A514&lt;Visualisation!$D$1),MAX($V$1:V513)+1,"")</f>
        <v/>
      </c>
    </row>
    <row r="515" spans="1:22" x14ac:dyDescent="0.25">
      <c r="A515" s="9">
        <v>45905</v>
      </c>
      <c r="B515" s="4" t="s">
        <v>76</v>
      </c>
      <c r="C515" s="4" t="s">
        <v>67</v>
      </c>
      <c r="D515" s="4" t="s">
        <v>77</v>
      </c>
      <c r="E515" s="10">
        <v>107.84</v>
      </c>
      <c r="G515" s="4" t="s">
        <v>95</v>
      </c>
      <c r="H515" s="4"/>
      <c r="I515" s="4" t="s">
        <v>79</v>
      </c>
      <c r="K515" s="11">
        <f>IF($E515="","",ROUND($E515*IF(ISNA(MATCH($C515,'Paramètres'!$D:$D,0)),1,IF(INDEX('Paramètres'!$J:$J,MATCH($C515,'Paramètres'!$D:$D,0))="",1,INDEX('Paramètres'!$J:$J,MATCH($C515,'Paramètres'!$D:$D,0)))),2))</f>
        <v>53.92</v>
      </c>
      <c r="L515" s="6" t="str">
        <f>IF($D515="","",IF($F515&lt;&gt;"",$F515,IF(ISNA(MATCH($D515,'Paramètres'!$M:$M,0)),"⚠ Type inconnu",IFERROR(INDEX('Paramètres'!$P:$P,MATCH($D515,'Paramètres'!$M:$M,0))&amp;"",""))))</f>
        <v>Débit</v>
      </c>
      <c r="M515" s="6" t="str">
        <f>IF($D515="","",IF(ISNA(MATCH($D515,'Paramètres'!$M:$M,0)),"⚠ Type inconnu",IF($L515="Crédit","",IFERROR(INDEX('Paramètres'!$O:$O,MATCH($D515,'Paramètres'!$M:$M,0))&amp;"",""))))</f>
        <v>Dépense Courante</v>
      </c>
      <c r="N515" s="6" t="str">
        <f>IF($D515="","",IFERROR(INDEX('Paramètres'!$Q:$Q,MATCH($D515,'Paramètres'!$M:$M,0))&amp;"",""))</f>
        <v>Alimentation</v>
      </c>
      <c r="O515" s="6">
        <f>IF($A515="","",IF(OR($J515&lt;&gt;"x",$A515&lt;=FinReleve),1,0))</f>
        <v>1</v>
      </c>
      <c r="P515" s="6">
        <f>IF($D515="","",IF(AND($L515="Crédit",OR(IFERROR(INDEX('Paramètres'!$O:$O,MATCH($D515,'Paramètres'!$M:$M,0))&amp;"","")&lt;&gt;"",ISNUMBER(SEARCH("remboursement",IFERROR(INDEX('Paramètres'!$N:$N,MATCH($D515,'Paramètres'!$M:$M,0))&amp;"",""))))),1,0))</f>
        <v>0</v>
      </c>
      <c r="Q515" s="6">
        <f>IF($K515="","",IF(ISNUMBER(SEARCH("transfert-interne",IFERROR(INDEX('Paramètres'!$N:$N,MATCH($D515,'Paramètres'!$M:$M,0))&amp;"",""))),0,IF($L515="Débit",$K515,IF($P515=1,-$K515,0))))</f>
        <v>53.92</v>
      </c>
      <c r="R515" s="6">
        <f>IF($K515="","",IF($L515="Crédit",$K515,-$K515))</f>
        <v>-53.92</v>
      </c>
      <c r="S515" s="6" t="str">
        <f>IF($C515="","",IFERROR(INDEX('Paramètres'!$H:$H,MATCH($C515,'Paramètres'!$D:$D,0))&amp;"",""))</f>
        <v>Banque A - Courant</v>
      </c>
      <c r="T515" s="6">
        <f>IF($K515="","",IF($S515="",0,IF(ISNUMBER(SEARCH("apport-exterieur",IFERROR(INDEX('Paramètres'!$N:$N,MATCH($D515,'Paramètres'!$M:$M,0))&amp;"",""))),0,IF(OR(IFERROR(INDEX('Paramètres'!$I:$I,MATCH($C515,'Paramètres'!$D:$D,0))&amp;"","")="Les deux",IFERROR(INDEX('Paramètres'!$I:$I,MATCH($C515,'Paramètres'!$D:$D,0))&amp;"","")=IF($P515=1,"Débit",$L515)),-IF($P515=1,-$K515,$K515),0))))</f>
        <v>0</v>
      </c>
      <c r="U515" s="6">
        <f>IF($K515="","",IF(ISNUMBER(SEARCH("sortie-epargne",IFERROR(INDEX('Paramètres'!$N:$N,MATCH($D515,'Paramètres'!$M:$M,0))&amp;"",""))),$K515,0))</f>
        <v>0</v>
      </c>
      <c r="V515" s="6" t="str">
        <f>IF(AND($A515&lt;&gt;"",$O515=1,$L515="Débit",N($Q515)&gt;0,$A515&gt;=Visualisation!$B$1,$A515&lt;Visualisation!$D$1),MAX($V$1:V514)+1,"")</f>
        <v/>
      </c>
    </row>
    <row r="516" spans="1:22" x14ac:dyDescent="0.25">
      <c r="A516" s="9">
        <v>45906</v>
      </c>
      <c r="B516" s="4" t="s">
        <v>89</v>
      </c>
      <c r="C516" s="4" t="s">
        <v>75</v>
      </c>
      <c r="D516" s="4" t="s">
        <v>89</v>
      </c>
      <c r="E516" s="10">
        <v>49.9</v>
      </c>
      <c r="G516" s="4"/>
      <c r="H516" s="4"/>
      <c r="I516" s="4"/>
      <c r="K516" s="11">
        <f>IF($E516="","",ROUND($E516*IF(ISNA(MATCH($C516,'Paramètres'!$D:$D,0)),1,IF(INDEX('Paramètres'!$J:$J,MATCH($C516,'Paramètres'!$D:$D,0))="",1,INDEX('Paramètres'!$J:$J,MATCH($C516,'Paramètres'!$D:$D,0)))),2))</f>
        <v>49.9</v>
      </c>
      <c r="L516" s="6" t="str">
        <f>IF($D516="","",IF($F516&lt;&gt;"",$F516,IF(ISNA(MATCH($D516,'Paramètres'!$M:$M,0)),"⚠ Type inconnu",IFERROR(INDEX('Paramètres'!$P:$P,MATCH($D516,'Paramètres'!$M:$M,0))&amp;"",""))))</f>
        <v>Débit</v>
      </c>
      <c r="M516" s="6" t="str">
        <f>IF($D516="","",IF(ISNA(MATCH($D516,'Paramètres'!$M:$M,0)),"⚠ Type inconnu",IF($L516="Crédit","",IFERROR(INDEX('Paramètres'!$O:$O,MATCH($D516,'Paramètres'!$M:$M,0))&amp;"",""))))</f>
        <v>Dépense Fixe</v>
      </c>
      <c r="N516" s="6" t="str">
        <f>IF($D516="","",IFERROR(INDEX('Paramètres'!$Q:$Q,MATCH($D516,'Paramètres'!$M:$M,0))&amp;"",""))</f>
        <v>Autre</v>
      </c>
      <c r="O516" s="6">
        <f>IF($A516="","",IF(OR($J516&lt;&gt;"x",$A516&lt;=FinReleve),1,0))</f>
        <v>1</v>
      </c>
      <c r="P516" s="6">
        <f>IF($D516="","",IF(AND($L516="Crédit",OR(IFERROR(INDEX('Paramètres'!$O:$O,MATCH($D516,'Paramètres'!$M:$M,0))&amp;"","")&lt;&gt;"",ISNUMBER(SEARCH("remboursement",IFERROR(INDEX('Paramètres'!$N:$N,MATCH($D516,'Paramètres'!$M:$M,0))&amp;"",""))))),1,0))</f>
        <v>0</v>
      </c>
      <c r="Q516" s="6">
        <f>IF($K516="","",IF(ISNUMBER(SEARCH("transfert-interne",IFERROR(INDEX('Paramètres'!$N:$N,MATCH($D516,'Paramètres'!$M:$M,0))&amp;"",""))),0,IF($L516="Débit",$K516,IF($P516=1,-$K516,0))))</f>
        <v>49.9</v>
      </c>
      <c r="R516" s="6">
        <f>IF($K516="","",IF($L516="Crédit",$K516,-$K516))</f>
        <v>-49.9</v>
      </c>
      <c r="S516" s="6" t="str">
        <f>IF($C516="","",IFERROR(INDEX('Paramètres'!$H:$H,MATCH($C516,'Paramètres'!$D:$D,0))&amp;"",""))</f>
        <v/>
      </c>
      <c r="T516" s="6">
        <f>IF($K516="","",IF($S516="",0,IF(ISNUMBER(SEARCH("apport-exterieur",IFERROR(INDEX('Paramètres'!$N:$N,MATCH($D516,'Paramètres'!$M:$M,0))&amp;"",""))),0,IF(OR(IFERROR(INDEX('Paramètres'!$I:$I,MATCH($C516,'Paramètres'!$D:$D,0))&amp;"","")="Les deux",IFERROR(INDEX('Paramètres'!$I:$I,MATCH($C516,'Paramètres'!$D:$D,0))&amp;"","")=IF($P516=1,"Débit",$L516)),-IF($P516=1,-$K516,$K516),0))))</f>
        <v>0</v>
      </c>
      <c r="U516" s="6">
        <f>IF($K516="","",IF(ISNUMBER(SEARCH("sortie-epargne",IFERROR(INDEX('Paramètres'!$N:$N,MATCH($D516,'Paramètres'!$M:$M,0))&amp;"",""))),$K516,0))</f>
        <v>0</v>
      </c>
      <c r="V516" s="6" t="str">
        <f>IF(AND($A516&lt;&gt;"",$O516=1,$L516="Débit",N($Q516)&gt;0,$A516&gt;=Visualisation!$B$1,$A516&lt;Visualisation!$D$1),MAX($V$1:V515)+1,"")</f>
        <v/>
      </c>
    </row>
    <row r="517" spans="1:22" x14ac:dyDescent="0.25">
      <c r="A517" s="9">
        <v>45908</v>
      </c>
      <c r="B517" s="4" t="s">
        <v>94</v>
      </c>
      <c r="C517" s="4" t="s">
        <v>65</v>
      </c>
      <c r="D517" s="4" t="s">
        <v>94</v>
      </c>
      <c r="E517" s="10">
        <v>168</v>
      </c>
      <c r="G517" s="4"/>
      <c r="H517" s="4"/>
      <c r="I517" s="4"/>
      <c r="K517" s="11">
        <f>IF($E517="","",ROUND($E517*IF(ISNA(MATCH($C517,'Paramètres'!$D:$D,0)),1,IF(INDEX('Paramètres'!$J:$J,MATCH($C517,'Paramètres'!$D:$D,0))="",1,INDEX('Paramètres'!$J:$J,MATCH($C517,'Paramètres'!$D:$D,0)))),2))</f>
        <v>168</v>
      </c>
      <c r="L517" s="6" t="str">
        <f>IF($D517="","",IF($F517&lt;&gt;"",$F517,IF(ISNA(MATCH($D517,'Paramètres'!$M:$M,0)),"⚠ Type inconnu",IFERROR(INDEX('Paramètres'!$P:$P,MATCH($D517,'Paramètres'!$M:$M,0))&amp;"",""))))</f>
        <v>Débit</v>
      </c>
      <c r="M517" s="6" t="str">
        <f>IF($D517="","",IF(ISNA(MATCH($D517,'Paramètres'!$M:$M,0)),"⚠ Type inconnu",IF($L517="Crédit","",IFERROR(INDEX('Paramètres'!$O:$O,MATCH($D517,'Paramètres'!$M:$M,0))&amp;"",""))))</f>
        <v>Dépense Fixe</v>
      </c>
      <c r="N517" s="6" t="str">
        <f>IF($D517="","",IFERROR(INDEX('Paramètres'!$Q:$Q,MATCH($D517,'Paramètres'!$M:$M,0))&amp;"",""))</f>
        <v>Immobilier</v>
      </c>
      <c r="O517" s="6">
        <f>IF($A517="","",IF(OR($J517&lt;&gt;"x",$A517&lt;=FinReleve),1,0))</f>
        <v>1</v>
      </c>
      <c r="P517" s="6">
        <f>IF($D517="","",IF(AND($L517="Crédit",OR(IFERROR(INDEX('Paramètres'!$O:$O,MATCH($D517,'Paramètres'!$M:$M,0))&amp;"","")&lt;&gt;"",ISNUMBER(SEARCH("remboursement",IFERROR(INDEX('Paramètres'!$N:$N,MATCH($D517,'Paramètres'!$M:$M,0))&amp;"",""))))),1,0))</f>
        <v>0</v>
      </c>
      <c r="Q517" s="6">
        <f>IF($K517="","",IF(ISNUMBER(SEARCH("transfert-interne",IFERROR(INDEX('Paramètres'!$N:$N,MATCH($D517,'Paramètres'!$M:$M,0))&amp;"",""))),0,IF($L517="Débit",$K517,IF($P517=1,-$K517,0))))</f>
        <v>168</v>
      </c>
      <c r="R517" s="6">
        <f>IF($K517="","",IF($L517="Crédit",$K517,-$K517))</f>
        <v>-168</v>
      </c>
      <c r="S517" s="6" t="str">
        <f>IF($C517="","",IFERROR(INDEX('Paramètres'!$H:$H,MATCH($C517,'Paramètres'!$D:$D,0))&amp;"",""))</f>
        <v>Banque A - Courant</v>
      </c>
      <c r="T517" s="6">
        <f>IF($K517="","",IF($S517="",0,IF(ISNUMBER(SEARCH("apport-exterieur",IFERROR(INDEX('Paramètres'!$N:$N,MATCH($D517,'Paramètres'!$M:$M,0))&amp;"",""))),0,IF(OR(IFERROR(INDEX('Paramètres'!$I:$I,MATCH($C517,'Paramètres'!$D:$D,0))&amp;"","")="Les deux",IFERROR(INDEX('Paramètres'!$I:$I,MATCH($C517,'Paramètres'!$D:$D,0))&amp;"","")=IF($P517=1,"Débit",$L517)),-IF($P517=1,-$K517,$K517),0))))</f>
        <v>0</v>
      </c>
      <c r="U517" s="6">
        <f>IF($K517="","",IF(ISNUMBER(SEARCH("sortie-epargne",IFERROR(INDEX('Paramètres'!$N:$N,MATCH($D517,'Paramètres'!$M:$M,0))&amp;"",""))),$K517,0))</f>
        <v>0</v>
      </c>
      <c r="V517" s="6" t="str">
        <f>IF(AND($A517&lt;&gt;"",$O517=1,$L517="Débit",N($Q517)&gt;0,$A517&gt;=Visualisation!$B$1,$A517&lt;Visualisation!$D$1),MAX($V$1:V516)+1,"")</f>
        <v/>
      </c>
    </row>
    <row r="518" spans="1:22" x14ac:dyDescent="0.25">
      <c r="A518" s="9">
        <v>45910</v>
      </c>
      <c r="B518" s="4" t="s">
        <v>96</v>
      </c>
      <c r="C518" s="4" t="s">
        <v>75</v>
      </c>
      <c r="D518" s="4" t="s">
        <v>96</v>
      </c>
      <c r="E518" s="10">
        <v>22.4</v>
      </c>
      <c r="G518" s="4"/>
      <c r="H518" s="4"/>
      <c r="I518" s="4"/>
      <c r="K518" s="11">
        <f>IF($E518="","",ROUND($E518*IF(ISNA(MATCH($C518,'Paramètres'!$D:$D,0)),1,IF(INDEX('Paramètres'!$J:$J,MATCH($C518,'Paramètres'!$D:$D,0))="",1,INDEX('Paramètres'!$J:$J,MATCH($C518,'Paramètres'!$D:$D,0)))),2))</f>
        <v>22.4</v>
      </c>
      <c r="L518" s="6" t="str">
        <f>IF($D518="","",IF($F518&lt;&gt;"",$F518,IF(ISNA(MATCH($D518,'Paramètres'!$M:$M,0)),"⚠ Type inconnu",IFERROR(INDEX('Paramètres'!$P:$P,MATCH($D518,'Paramètres'!$M:$M,0))&amp;"",""))))</f>
        <v>Débit</v>
      </c>
      <c r="M518" s="6" t="str">
        <f>IF($D518="","",IF(ISNA(MATCH($D518,'Paramètres'!$M:$M,0)),"⚠ Type inconnu",IF($L518="Crédit","",IFERROR(INDEX('Paramètres'!$O:$O,MATCH($D518,'Paramètres'!$M:$M,0))&amp;"",""))))</f>
        <v>Dépense Fixe</v>
      </c>
      <c r="N518" s="6" t="str">
        <f>IF($D518="","",IFERROR(INDEX('Paramètres'!$Q:$Q,MATCH($D518,'Paramètres'!$M:$M,0))&amp;"",""))</f>
        <v>Assurances</v>
      </c>
      <c r="O518" s="6">
        <f>IF($A518="","",IF(OR($J518&lt;&gt;"x",$A518&lt;=FinReleve),1,0))</f>
        <v>1</v>
      </c>
      <c r="P518" s="6">
        <f>IF($D518="","",IF(AND($L518="Crédit",OR(IFERROR(INDEX('Paramètres'!$O:$O,MATCH($D518,'Paramètres'!$M:$M,0))&amp;"","")&lt;&gt;"",ISNUMBER(SEARCH("remboursement",IFERROR(INDEX('Paramètres'!$N:$N,MATCH($D518,'Paramètres'!$M:$M,0))&amp;"",""))))),1,0))</f>
        <v>0</v>
      </c>
      <c r="Q518" s="6">
        <f>IF($K518="","",IF(ISNUMBER(SEARCH("transfert-interne",IFERROR(INDEX('Paramètres'!$N:$N,MATCH($D518,'Paramètres'!$M:$M,0))&amp;"",""))),0,IF($L518="Débit",$K518,IF($P518=1,-$K518,0))))</f>
        <v>22.4</v>
      </c>
      <c r="R518" s="6">
        <f>IF($K518="","",IF($L518="Crédit",$K518,-$K518))</f>
        <v>-22.4</v>
      </c>
      <c r="S518" s="6" t="str">
        <f>IF($C518="","",IFERROR(INDEX('Paramètres'!$H:$H,MATCH($C518,'Paramètres'!$D:$D,0))&amp;"",""))</f>
        <v/>
      </c>
      <c r="T518" s="6">
        <f>IF($K518="","",IF($S518="",0,IF(ISNUMBER(SEARCH("apport-exterieur",IFERROR(INDEX('Paramètres'!$N:$N,MATCH($D518,'Paramètres'!$M:$M,0))&amp;"",""))),0,IF(OR(IFERROR(INDEX('Paramètres'!$I:$I,MATCH($C518,'Paramètres'!$D:$D,0))&amp;"","")="Les deux",IFERROR(INDEX('Paramètres'!$I:$I,MATCH($C518,'Paramètres'!$D:$D,0))&amp;"","")=IF($P518=1,"Débit",$L518)),-IF($P518=1,-$K518,$K518),0))))</f>
        <v>0</v>
      </c>
      <c r="U518" s="6">
        <f>IF($K518="","",IF(ISNUMBER(SEARCH("sortie-epargne",IFERROR(INDEX('Paramètres'!$N:$N,MATCH($D518,'Paramètres'!$M:$M,0))&amp;"",""))),$K518,0))</f>
        <v>0</v>
      </c>
      <c r="V518" s="6" t="str">
        <f>IF(AND($A518&lt;&gt;"",$O518=1,$L518="Débit",N($Q518)&gt;0,$A518&gt;=Visualisation!$B$1,$A518&lt;Visualisation!$D$1),MAX($V$1:V517)+1,"")</f>
        <v/>
      </c>
    </row>
    <row r="519" spans="1:22" x14ac:dyDescent="0.25">
      <c r="A519" s="9">
        <v>45911</v>
      </c>
      <c r="B519" s="4" t="s">
        <v>76</v>
      </c>
      <c r="C519" s="4" t="s">
        <v>107</v>
      </c>
      <c r="D519" s="4" t="s">
        <v>108</v>
      </c>
      <c r="E519" s="10">
        <v>26.33</v>
      </c>
      <c r="G519" s="4" t="s">
        <v>119</v>
      </c>
      <c r="H519" s="4" t="s">
        <v>62</v>
      </c>
      <c r="I519" s="4" t="s">
        <v>63</v>
      </c>
      <c r="K519" s="11">
        <f>IF($E519="","",ROUND($E519*IF(ISNA(MATCH($C519,'Paramètres'!$D:$D,0)),1,IF(INDEX('Paramètres'!$J:$J,MATCH($C519,'Paramètres'!$D:$D,0))="",1,INDEX('Paramètres'!$J:$J,MATCH($C519,'Paramètres'!$D:$D,0)))),2))</f>
        <v>26.33</v>
      </c>
      <c r="L519" s="6" t="str">
        <f>IF($D519="","",IF($F519&lt;&gt;"",$F519,IF(ISNA(MATCH($D519,'Paramètres'!$M:$M,0)),"⚠ Type inconnu",IFERROR(INDEX('Paramètres'!$P:$P,MATCH($D519,'Paramètres'!$M:$M,0))&amp;"",""))))</f>
        <v>Débit</v>
      </c>
      <c r="M519" s="6" t="str">
        <f>IF($D519="","",IF(ISNA(MATCH($D519,'Paramètres'!$M:$M,0)),"⚠ Type inconnu",IF($L519="Crédit","",IFERROR(INDEX('Paramètres'!$O:$O,MATCH($D519,'Paramètres'!$M:$M,0))&amp;"",""))))</f>
        <v>Dépense Occasionnelle</v>
      </c>
      <c r="N519" s="6" t="str">
        <f>IF($D519="","",IFERROR(INDEX('Paramètres'!$Q:$Q,MATCH($D519,'Paramètres'!$M:$M,0))&amp;"",""))</f>
        <v>Autre</v>
      </c>
      <c r="O519" s="6">
        <f>IF($A519="","",IF(OR($J519&lt;&gt;"x",$A519&lt;=FinReleve),1,0))</f>
        <v>1</v>
      </c>
      <c r="P519" s="6">
        <f>IF($D519="","",IF(AND($L519="Crédit",OR(IFERROR(INDEX('Paramètres'!$O:$O,MATCH($D519,'Paramètres'!$M:$M,0))&amp;"","")&lt;&gt;"",ISNUMBER(SEARCH("remboursement",IFERROR(INDEX('Paramètres'!$N:$N,MATCH($D519,'Paramètres'!$M:$M,0))&amp;"",""))))),1,0))</f>
        <v>0</v>
      </c>
      <c r="Q519" s="6">
        <f>IF($K519="","",IF(ISNUMBER(SEARCH("transfert-interne",IFERROR(INDEX('Paramètres'!$N:$N,MATCH($D519,'Paramètres'!$M:$M,0))&amp;"",""))),0,IF($L519="Débit",$K519,IF($P519=1,-$K519,0))))</f>
        <v>26.33</v>
      </c>
      <c r="R519" s="6">
        <f>IF($K519="","",IF($L519="Crédit",$K519,-$K519))</f>
        <v>-26.33</v>
      </c>
      <c r="S519" s="6" t="str">
        <f>IF($C519="","",IFERROR(INDEX('Paramètres'!$H:$H,MATCH($C519,'Paramètres'!$D:$D,0))&amp;"",""))</f>
        <v/>
      </c>
      <c r="T519" s="6">
        <f>IF($K519="","",IF($S519="",0,IF(ISNUMBER(SEARCH("apport-exterieur",IFERROR(INDEX('Paramètres'!$N:$N,MATCH($D519,'Paramètres'!$M:$M,0))&amp;"",""))),0,IF(OR(IFERROR(INDEX('Paramètres'!$I:$I,MATCH($C519,'Paramètres'!$D:$D,0))&amp;"","")="Les deux",IFERROR(INDEX('Paramètres'!$I:$I,MATCH($C519,'Paramètres'!$D:$D,0))&amp;"","")=IF($P519=1,"Débit",$L519)),-IF($P519=1,-$K519,$K519),0))))</f>
        <v>0</v>
      </c>
      <c r="U519" s="6">
        <f>IF($K519="","",IF(ISNUMBER(SEARCH("sortie-epargne",IFERROR(INDEX('Paramètres'!$N:$N,MATCH($D519,'Paramètres'!$M:$M,0))&amp;"",""))),$K519,0))</f>
        <v>0</v>
      </c>
      <c r="V519" s="6" t="str">
        <f>IF(AND($A519&lt;&gt;"",$O519=1,$L519="Débit",N($Q519)&gt;0,$A519&gt;=Visualisation!$B$1,$A519&lt;Visualisation!$D$1),MAX($V$1:V518)+1,"")</f>
        <v/>
      </c>
    </row>
    <row r="520" spans="1:22" x14ac:dyDescent="0.25">
      <c r="A520" s="9">
        <v>45912</v>
      </c>
      <c r="B520" s="4" t="s">
        <v>97</v>
      </c>
      <c r="C520" s="4" t="s">
        <v>75</v>
      </c>
      <c r="D520" s="4" t="s">
        <v>97</v>
      </c>
      <c r="E520" s="10">
        <v>47.9</v>
      </c>
      <c r="G520" s="4"/>
      <c r="H520" s="4"/>
      <c r="I520" s="4"/>
      <c r="K520" s="11">
        <f>IF($E520="","",ROUND($E520*IF(ISNA(MATCH($C520,'Paramètres'!$D:$D,0)),1,IF(INDEX('Paramètres'!$J:$J,MATCH($C520,'Paramètres'!$D:$D,0))="",1,INDEX('Paramètres'!$J:$J,MATCH($C520,'Paramètres'!$D:$D,0)))),2))</f>
        <v>47.9</v>
      </c>
      <c r="L520" s="6" t="str">
        <f>IF($D520="","",IF($F520&lt;&gt;"",$F520,IF(ISNA(MATCH($D520,'Paramètres'!$M:$M,0)),"⚠ Type inconnu",IFERROR(INDEX('Paramètres'!$P:$P,MATCH($D520,'Paramètres'!$M:$M,0))&amp;"",""))))</f>
        <v>Débit</v>
      </c>
      <c r="M520" s="6" t="str">
        <f>IF($D520="","",IF(ISNA(MATCH($D520,'Paramètres'!$M:$M,0)),"⚠ Type inconnu",IF($L520="Crédit","",IFERROR(INDEX('Paramètres'!$O:$O,MATCH($D520,'Paramètres'!$M:$M,0))&amp;"",""))))</f>
        <v>Dépense Fixe</v>
      </c>
      <c r="N520" s="6" t="str">
        <f>IF($D520="","",IFERROR(INDEX('Paramètres'!$Q:$Q,MATCH($D520,'Paramètres'!$M:$M,0))&amp;"",""))</f>
        <v>Assurances</v>
      </c>
      <c r="O520" s="6">
        <f>IF($A520="","",IF(OR($J520&lt;&gt;"x",$A520&lt;=FinReleve),1,0))</f>
        <v>1</v>
      </c>
      <c r="P520" s="6">
        <f>IF($D520="","",IF(AND($L520="Crédit",OR(IFERROR(INDEX('Paramètres'!$O:$O,MATCH($D520,'Paramètres'!$M:$M,0))&amp;"","")&lt;&gt;"",ISNUMBER(SEARCH("remboursement",IFERROR(INDEX('Paramètres'!$N:$N,MATCH($D520,'Paramètres'!$M:$M,0))&amp;"",""))))),1,0))</f>
        <v>0</v>
      </c>
      <c r="Q520" s="6">
        <f>IF($K520="","",IF(ISNUMBER(SEARCH("transfert-interne",IFERROR(INDEX('Paramètres'!$N:$N,MATCH($D520,'Paramètres'!$M:$M,0))&amp;"",""))),0,IF($L520="Débit",$K520,IF($P520=1,-$K520,0))))</f>
        <v>47.9</v>
      </c>
      <c r="R520" s="6">
        <f>IF($K520="","",IF($L520="Crédit",$K520,-$K520))</f>
        <v>-47.9</v>
      </c>
      <c r="S520" s="6" t="str">
        <f>IF($C520="","",IFERROR(INDEX('Paramètres'!$H:$H,MATCH($C520,'Paramètres'!$D:$D,0))&amp;"",""))</f>
        <v/>
      </c>
      <c r="T520" s="6">
        <f>IF($K520="","",IF($S520="",0,IF(ISNUMBER(SEARCH("apport-exterieur",IFERROR(INDEX('Paramètres'!$N:$N,MATCH($D520,'Paramètres'!$M:$M,0))&amp;"",""))),0,IF(OR(IFERROR(INDEX('Paramètres'!$I:$I,MATCH($C520,'Paramètres'!$D:$D,0))&amp;"","")="Les deux",IFERROR(INDEX('Paramètres'!$I:$I,MATCH($C520,'Paramètres'!$D:$D,0))&amp;"","")=IF($P520=1,"Débit",$L520)),-IF($P520=1,-$K520,$K520),0))))</f>
        <v>0</v>
      </c>
      <c r="U520" s="6">
        <f>IF($K520="","",IF(ISNUMBER(SEARCH("sortie-epargne",IFERROR(INDEX('Paramètres'!$N:$N,MATCH($D520,'Paramètres'!$M:$M,0))&amp;"",""))),$K520,0))</f>
        <v>0</v>
      </c>
      <c r="V520" s="6" t="str">
        <f>IF(AND($A520&lt;&gt;"",$O520=1,$L520="Débit",N($Q520)&gt;0,$A520&gt;=Visualisation!$B$1,$A520&lt;Visualisation!$D$1),MAX($V$1:V519)+1,"")</f>
        <v/>
      </c>
    </row>
    <row r="521" spans="1:22" x14ac:dyDescent="0.25">
      <c r="A521" s="9">
        <v>45912</v>
      </c>
      <c r="B521" s="4" t="s">
        <v>59</v>
      </c>
      <c r="C521" s="4" t="s">
        <v>126</v>
      </c>
      <c r="D521" s="4" t="s">
        <v>59</v>
      </c>
      <c r="E521" s="10">
        <v>80.4</v>
      </c>
      <c r="G521" s="4" t="s">
        <v>61</v>
      </c>
      <c r="H521" s="4" t="s">
        <v>62</v>
      </c>
      <c r="I521" s="4" t="s">
        <v>63</v>
      </c>
      <c r="K521" s="11">
        <f>IF($E521="","",ROUND($E521*IF(ISNA(MATCH($C521,'Paramètres'!$D:$D,0)),1,IF(INDEX('Paramètres'!$J:$J,MATCH($C521,'Paramètres'!$D:$D,0))="",1,INDEX('Paramètres'!$J:$J,MATCH($C521,'Paramètres'!$D:$D,0)))),2))</f>
        <v>40.2</v>
      </c>
      <c r="L521" s="6" t="str">
        <f>IF($D521="","",IF($F521&lt;&gt;"",$F521,IF(ISNA(MATCH($D521,'Paramètres'!$M:$M,0)),"⚠ Type inconnu",IFERROR(INDEX('Paramètres'!$P:$P,MATCH($D521,'Paramètres'!$M:$M,0))&amp;"",""))))</f>
        <v>Débit</v>
      </c>
      <c r="M521" s="6" t="str">
        <f>IF($D521="","",IF(ISNA(MATCH($D521,'Paramètres'!$M:$M,0)),"⚠ Type inconnu",IF($L521="Crédit","",IFERROR(INDEX('Paramètres'!$O:$O,MATCH($D521,'Paramètres'!$M:$M,0))&amp;"",""))))</f>
        <v>Dépense Occasionnelle</v>
      </c>
      <c r="N521" s="6" t="str">
        <f>IF($D521="","",IFERROR(INDEX('Paramètres'!$Q:$Q,MATCH($D521,'Paramètres'!$M:$M,0))&amp;"",""))</f>
        <v>Loisir</v>
      </c>
      <c r="O521" s="6">
        <f>IF($A521="","",IF(OR($J521&lt;&gt;"x",$A521&lt;=FinReleve),1,0))</f>
        <v>1</v>
      </c>
      <c r="P521" s="6">
        <f>IF($D521="","",IF(AND($L521="Crédit",OR(IFERROR(INDEX('Paramètres'!$O:$O,MATCH($D521,'Paramètres'!$M:$M,0))&amp;"","")&lt;&gt;"",ISNUMBER(SEARCH("remboursement",IFERROR(INDEX('Paramètres'!$N:$N,MATCH($D521,'Paramètres'!$M:$M,0))&amp;"",""))))),1,0))</f>
        <v>0</v>
      </c>
      <c r="Q521" s="6">
        <f>IF($K521="","",IF(ISNUMBER(SEARCH("transfert-interne",IFERROR(INDEX('Paramètres'!$N:$N,MATCH($D521,'Paramètres'!$M:$M,0))&amp;"",""))),0,IF($L521="Débit",$K521,IF($P521=1,-$K521,0))))</f>
        <v>40.2</v>
      </c>
      <c r="R521" s="6">
        <f>IF($K521="","",IF($L521="Crédit",$K521,-$K521))</f>
        <v>-40.2</v>
      </c>
      <c r="S521" s="6" t="str">
        <f>IF($C521="","",IFERROR(INDEX('Paramètres'!$H:$H,MATCH($C521,'Paramètres'!$D:$D,0))&amp;"",""))</f>
        <v>Banque A - Courant</v>
      </c>
      <c r="T521" s="6">
        <f>IF($K521="","",IF($S521="",0,IF(ISNUMBER(SEARCH("apport-exterieur",IFERROR(INDEX('Paramètres'!$N:$N,MATCH($D521,'Paramètres'!$M:$M,0))&amp;"",""))),0,IF(OR(IFERROR(INDEX('Paramètres'!$I:$I,MATCH($C521,'Paramètres'!$D:$D,0))&amp;"","")="Les deux",IFERROR(INDEX('Paramètres'!$I:$I,MATCH($C521,'Paramètres'!$D:$D,0))&amp;"","")=IF($P521=1,"Débit",$L521)),-IF($P521=1,-$K521,$K521),0))))</f>
        <v>-40.2</v>
      </c>
      <c r="U521" s="6">
        <f>IF($K521="","",IF(ISNUMBER(SEARCH("sortie-epargne",IFERROR(INDEX('Paramètres'!$N:$N,MATCH($D521,'Paramètres'!$M:$M,0))&amp;"",""))),$K521,0))</f>
        <v>0</v>
      </c>
      <c r="V521" s="6" t="str">
        <f>IF(AND($A521&lt;&gt;"",$O521=1,$L521="Débit",N($Q521)&gt;0,$A521&gt;=Visualisation!$B$1,$A521&lt;Visualisation!$D$1),MAX($V$1:V520)+1,"")</f>
        <v/>
      </c>
    </row>
    <row r="522" spans="1:22" x14ac:dyDescent="0.25">
      <c r="A522" s="9">
        <v>45913</v>
      </c>
      <c r="B522" s="4" t="s">
        <v>69</v>
      </c>
      <c r="C522" s="4" t="s">
        <v>70</v>
      </c>
      <c r="D522" s="4" t="s">
        <v>71</v>
      </c>
      <c r="E522" s="10">
        <v>8.32</v>
      </c>
      <c r="G522" s="4" t="s">
        <v>72</v>
      </c>
      <c r="H522" s="4"/>
      <c r="I522" s="4" t="s">
        <v>73</v>
      </c>
      <c r="K522" s="11">
        <f>IF($E522="","",ROUND($E522*IF(ISNA(MATCH($C522,'Paramètres'!$D:$D,0)),1,IF(INDEX('Paramètres'!$J:$J,MATCH($C522,'Paramètres'!$D:$D,0))="",1,INDEX('Paramètres'!$J:$J,MATCH($C522,'Paramètres'!$D:$D,0)))),2))</f>
        <v>8.32</v>
      </c>
      <c r="L522" s="6" t="str">
        <f>IF($D522="","",IF($F522&lt;&gt;"",$F522,IF(ISNA(MATCH($D522,'Paramètres'!$M:$M,0)),"⚠ Type inconnu",IFERROR(INDEX('Paramètres'!$P:$P,MATCH($D522,'Paramètres'!$M:$M,0))&amp;"",""))))</f>
        <v>Débit</v>
      </c>
      <c r="M522" s="6" t="str">
        <f>IF($D522="","",IF(ISNA(MATCH($D522,'Paramètres'!$M:$M,0)),"⚠ Type inconnu",IF($L522="Crédit","",IFERROR(INDEX('Paramètres'!$O:$O,MATCH($D522,'Paramètres'!$M:$M,0))&amp;"",""))))</f>
        <v>Dépense Courante</v>
      </c>
      <c r="N522" s="6" t="str">
        <f>IF($D522="","",IFERROR(INDEX('Paramètres'!$Q:$Q,MATCH($D522,'Paramètres'!$M:$M,0))&amp;"",""))</f>
        <v>Alimentation</v>
      </c>
      <c r="O522" s="6">
        <f>IF($A522="","",IF(OR($J522&lt;&gt;"x",$A522&lt;=FinReleve),1,0))</f>
        <v>1</v>
      </c>
      <c r="P522" s="6">
        <f>IF($D522="","",IF(AND($L522="Crédit",OR(IFERROR(INDEX('Paramètres'!$O:$O,MATCH($D522,'Paramètres'!$M:$M,0))&amp;"","")&lt;&gt;"",ISNUMBER(SEARCH("remboursement",IFERROR(INDEX('Paramètres'!$N:$N,MATCH($D522,'Paramètres'!$M:$M,0))&amp;"",""))))),1,0))</f>
        <v>0</v>
      </c>
      <c r="Q522" s="6">
        <f>IF($K522="","",IF(ISNUMBER(SEARCH("transfert-interne",IFERROR(INDEX('Paramètres'!$N:$N,MATCH($D522,'Paramètres'!$M:$M,0))&amp;"",""))),0,IF($L522="Débit",$K522,IF($P522=1,-$K522,0))))</f>
        <v>8.32</v>
      </c>
      <c r="R522" s="6">
        <f>IF($K522="","",IF($L522="Crédit",$K522,-$K522))</f>
        <v>-8.32</v>
      </c>
      <c r="S522" s="6" t="str">
        <f>IF($C522="","",IFERROR(INDEX('Paramètres'!$H:$H,MATCH($C522,'Paramètres'!$D:$D,0))&amp;"",""))</f>
        <v/>
      </c>
      <c r="T522" s="6">
        <f>IF($K522="","",IF($S522="",0,IF(ISNUMBER(SEARCH("apport-exterieur",IFERROR(INDEX('Paramètres'!$N:$N,MATCH($D522,'Paramètres'!$M:$M,0))&amp;"",""))),0,IF(OR(IFERROR(INDEX('Paramètres'!$I:$I,MATCH($C522,'Paramètres'!$D:$D,0))&amp;"","")="Les deux",IFERROR(INDEX('Paramètres'!$I:$I,MATCH($C522,'Paramètres'!$D:$D,0))&amp;"","")=IF($P522=1,"Débit",$L522)),-IF($P522=1,-$K522,$K522),0))))</f>
        <v>0</v>
      </c>
      <c r="U522" s="6">
        <f>IF($K522="","",IF(ISNUMBER(SEARCH("sortie-epargne",IFERROR(INDEX('Paramètres'!$N:$N,MATCH($D522,'Paramètres'!$M:$M,0))&amp;"",""))),$K522,0))</f>
        <v>0</v>
      </c>
      <c r="V522" s="6" t="str">
        <f>IF(AND($A522&lt;&gt;"",$O522=1,$L522="Débit",N($Q522)&gt;0,$A522&gt;=Visualisation!$B$1,$A522&lt;Visualisation!$D$1),MAX($V$1:V521)+1,"")</f>
        <v/>
      </c>
    </row>
    <row r="523" spans="1:22" x14ac:dyDescent="0.25">
      <c r="A523" s="9">
        <v>45913</v>
      </c>
      <c r="B523" s="4" t="s">
        <v>69</v>
      </c>
      <c r="C523" s="4" t="s">
        <v>70</v>
      </c>
      <c r="D523" s="4" t="s">
        <v>71</v>
      </c>
      <c r="E523" s="10">
        <v>7.84</v>
      </c>
      <c r="G523" s="4" t="s">
        <v>72</v>
      </c>
      <c r="H523" s="4"/>
      <c r="I523" s="4" t="s">
        <v>93</v>
      </c>
      <c r="K523" s="11">
        <f>IF($E523="","",ROUND($E523*IF(ISNA(MATCH($C523,'Paramètres'!$D:$D,0)),1,IF(INDEX('Paramètres'!$J:$J,MATCH($C523,'Paramètres'!$D:$D,0))="",1,INDEX('Paramètres'!$J:$J,MATCH($C523,'Paramètres'!$D:$D,0)))),2))</f>
        <v>7.84</v>
      </c>
      <c r="L523" s="6" t="str">
        <f>IF($D523="","",IF($F523&lt;&gt;"",$F523,IF(ISNA(MATCH($D523,'Paramètres'!$M:$M,0)),"⚠ Type inconnu",IFERROR(INDEX('Paramètres'!$P:$P,MATCH($D523,'Paramètres'!$M:$M,0))&amp;"",""))))</f>
        <v>Débit</v>
      </c>
      <c r="M523" s="6" t="str">
        <f>IF($D523="","",IF(ISNA(MATCH($D523,'Paramètres'!$M:$M,0)),"⚠ Type inconnu",IF($L523="Crédit","",IFERROR(INDEX('Paramètres'!$O:$O,MATCH($D523,'Paramètres'!$M:$M,0))&amp;"",""))))</f>
        <v>Dépense Courante</v>
      </c>
      <c r="N523" s="6" t="str">
        <f>IF($D523="","",IFERROR(INDEX('Paramètres'!$Q:$Q,MATCH($D523,'Paramètres'!$M:$M,0))&amp;"",""))</f>
        <v>Alimentation</v>
      </c>
      <c r="O523" s="6">
        <f>IF($A523="","",IF(OR($J523&lt;&gt;"x",$A523&lt;=FinReleve),1,0))</f>
        <v>1</v>
      </c>
      <c r="P523" s="6">
        <f>IF($D523="","",IF(AND($L523="Crédit",OR(IFERROR(INDEX('Paramètres'!$O:$O,MATCH($D523,'Paramètres'!$M:$M,0))&amp;"","")&lt;&gt;"",ISNUMBER(SEARCH("remboursement",IFERROR(INDEX('Paramètres'!$N:$N,MATCH($D523,'Paramètres'!$M:$M,0))&amp;"",""))))),1,0))</f>
        <v>0</v>
      </c>
      <c r="Q523" s="6">
        <f>IF($K523="","",IF(ISNUMBER(SEARCH("transfert-interne",IFERROR(INDEX('Paramètres'!$N:$N,MATCH($D523,'Paramètres'!$M:$M,0))&amp;"",""))),0,IF($L523="Débit",$K523,IF($P523=1,-$K523,0))))</f>
        <v>7.84</v>
      </c>
      <c r="R523" s="6">
        <f>IF($K523="","",IF($L523="Crédit",$K523,-$K523))</f>
        <v>-7.84</v>
      </c>
      <c r="S523" s="6" t="str">
        <f>IF($C523="","",IFERROR(INDEX('Paramètres'!$H:$H,MATCH($C523,'Paramètres'!$D:$D,0))&amp;"",""))</f>
        <v/>
      </c>
      <c r="T523" s="6">
        <f>IF($K523="","",IF($S523="",0,IF(ISNUMBER(SEARCH("apport-exterieur",IFERROR(INDEX('Paramètres'!$N:$N,MATCH($D523,'Paramètres'!$M:$M,0))&amp;"",""))),0,IF(OR(IFERROR(INDEX('Paramètres'!$I:$I,MATCH($C523,'Paramètres'!$D:$D,0))&amp;"","")="Les deux",IFERROR(INDEX('Paramètres'!$I:$I,MATCH($C523,'Paramètres'!$D:$D,0))&amp;"","")=IF($P523=1,"Débit",$L523)),-IF($P523=1,-$K523,$K523),0))))</f>
        <v>0</v>
      </c>
      <c r="U523" s="6">
        <f>IF($K523="","",IF(ISNUMBER(SEARCH("sortie-epargne",IFERROR(INDEX('Paramètres'!$N:$N,MATCH($D523,'Paramètres'!$M:$M,0))&amp;"",""))),$K523,0))</f>
        <v>0</v>
      </c>
      <c r="V523" s="6" t="str">
        <f>IF(AND($A523&lt;&gt;"",$O523=1,$L523="Débit",N($Q523)&gt;0,$A523&gt;=Visualisation!$B$1,$A523&lt;Visualisation!$D$1),MAX($V$1:V522)+1,"")</f>
        <v/>
      </c>
    </row>
    <row r="524" spans="1:22" x14ac:dyDescent="0.25">
      <c r="A524" s="9">
        <v>45913</v>
      </c>
      <c r="B524" s="4" t="s">
        <v>49</v>
      </c>
      <c r="C524" s="4" t="s">
        <v>67</v>
      </c>
      <c r="D524" s="4" t="s">
        <v>101</v>
      </c>
      <c r="E524" s="10">
        <v>591.5</v>
      </c>
      <c r="G524" s="4"/>
      <c r="H524" s="4"/>
      <c r="I524" s="4"/>
      <c r="K524" s="11">
        <f>IF($E524="","",ROUND($E524*IF(ISNA(MATCH($C524,'Paramètres'!$D:$D,0)),1,IF(INDEX('Paramètres'!$J:$J,MATCH($C524,'Paramètres'!$D:$D,0))="",1,INDEX('Paramètres'!$J:$J,MATCH($C524,'Paramètres'!$D:$D,0)))),2))</f>
        <v>295.75</v>
      </c>
      <c r="L524" s="6" t="str">
        <f>IF($D524="","",IF($F524&lt;&gt;"",$F524,IF(ISNA(MATCH($D524,'Paramètres'!$M:$M,0)),"⚠ Type inconnu",IFERROR(INDEX('Paramètres'!$P:$P,MATCH($D524,'Paramètres'!$M:$M,0))&amp;"",""))))</f>
        <v>Crédit</v>
      </c>
      <c r="M524" s="6" t="str">
        <f>IF($D524="","",IF(ISNA(MATCH($D524,'Paramètres'!$M:$M,0)),"⚠ Type inconnu",IF($L524="Crédit","",IFERROR(INDEX('Paramètres'!$O:$O,MATCH($D524,'Paramètres'!$M:$M,0))&amp;"",""))))</f>
        <v/>
      </c>
      <c r="N524" s="6" t="str">
        <f>IF($D524="","",IFERROR(INDEX('Paramètres'!$Q:$Q,MATCH($D524,'Paramètres'!$M:$M,0))&amp;"",""))</f>
        <v>Comptes Bancaires</v>
      </c>
      <c r="O524" s="6">
        <f>IF($A524="","",IF(OR($J524&lt;&gt;"x",$A524&lt;=FinReleve),1,0))</f>
        <v>1</v>
      </c>
      <c r="P524" s="6">
        <f>IF($D524="","",IF(AND($L524="Crédit",OR(IFERROR(INDEX('Paramètres'!$O:$O,MATCH($D524,'Paramètres'!$M:$M,0))&amp;"","")&lt;&gt;"",ISNUMBER(SEARCH("remboursement",IFERROR(INDEX('Paramètres'!$N:$N,MATCH($D524,'Paramètres'!$M:$M,0))&amp;"",""))))),1,0))</f>
        <v>0</v>
      </c>
      <c r="Q524" s="6">
        <f>IF($K524="","",IF(ISNUMBER(SEARCH("transfert-interne",IFERROR(INDEX('Paramètres'!$N:$N,MATCH($D524,'Paramètres'!$M:$M,0))&amp;"",""))),0,IF($L524="Débit",$K524,IF($P524=1,-$K524,0))))</f>
        <v>0</v>
      </c>
      <c r="R524" s="6">
        <f>IF($K524="","",IF($L524="Crédit",$K524,-$K524))</f>
        <v>295.75</v>
      </c>
      <c r="S524" s="6" t="str">
        <f>IF($C524="","",IFERROR(INDEX('Paramètres'!$H:$H,MATCH($C524,'Paramètres'!$D:$D,0))&amp;"",""))</f>
        <v>Banque A - Courant</v>
      </c>
      <c r="T524" s="6">
        <f>IF($K524="","",IF($S524="",0,IF(ISNUMBER(SEARCH("apport-exterieur",IFERROR(INDEX('Paramètres'!$N:$N,MATCH($D524,'Paramètres'!$M:$M,0))&amp;"",""))),0,IF(OR(IFERROR(INDEX('Paramètres'!$I:$I,MATCH($C524,'Paramètres'!$D:$D,0))&amp;"","")="Les deux",IFERROR(INDEX('Paramètres'!$I:$I,MATCH($C524,'Paramètres'!$D:$D,0))&amp;"","")=IF($P524=1,"Débit",$L524)),-IF($P524=1,-$K524,$K524),0))))</f>
        <v>0</v>
      </c>
      <c r="U524" s="6">
        <f>IF($K524="","",IF(ISNUMBER(SEARCH("sortie-epargne",IFERROR(INDEX('Paramètres'!$N:$N,MATCH($D524,'Paramètres'!$M:$M,0))&amp;"",""))),$K524,0))</f>
        <v>0</v>
      </c>
      <c r="V524" s="6" t="str">
        <f>IF(AND($A524&lt;&gt;"",$O524=1,$L524="Débit",N($Q524)&gt;0,$A524&gt;=Visualisation!$B$1,$A524&lt;Visualisation!$D$1),MAX($V$1:V523)+1,"")</f>
        <v/>
      </c>
    </row>
    <row r="525" spans="1:22" x14ac:dyDescent="0.25">
      <c r="A525" s="9">
        <v>45915</v>
      </c>
      <c r="B525" s="4" t="s">
        <v>100</v>
      </c>
      <c r="C525" s="4" t="s">
        <v>65</v>
      </c>
      <c r="D525" s="4" t="s">
        <v>100</v>
      </c>
      <c r="E525" s="10">
        <v>109.92</v>
      </c>
      <c r="G525" s="4"/>
      <c r="H525" s="4"/>
      <c r="I525" s="4"/>
      <c r="K525" s="11">
        <f>IF($E525="","",ROUND($E525*IF(ISNA(MATCH($C525,'Paramètres'!$D:$D,0)),1,IF(INDEX('Paramètres'!$J:$J,MATCH($C525,'Paramètres'!$D:$D,0))="",1,INDEX('Paramètres'!$J:$J,MATCH($C525,'Paramètres'!$D:$D,0)))),2))</f>
        <v>109.92</v>
      </c>
      <c r="L525" s="6" t="str">
        <f>IF($D525="","",IF($F525&lt;&gt;"",$F525,IF(ISNA(MATCH($D525,'Paramètres'!$M:$M,0)),"⚠ Type inconnu",IFERROR(INDEX('Paramètres'!$P:$P,MATCH($D525,'Paramètres'!$M:$M,0))&amp;"",""))))</f>
        <v>Débit</v>
      </c>
      <c r="M525" s="6" t="str">
        <f>IF($D525="","",IF(ISNA(MATCH($D525,'Paramètres'!$M:$M,0)),"⚠ Type inconnu",IF($L525="Crédit","",IFERROR(INDEX('Paramètres'!$O:$O,MATCH($D525,'Paramètres'!$M:$M,0))&amp;"",""))))</f>
        <v>Dépense Fixe</v>
      </c>
      <c r="N525" s="6" t="str">
        <f>IF($D525="","",IFERROR(INDEX('Paramètres'!$Q:$Q,MATCH($D525,'Paramètres'!$M:$M,0))&amp;"",""))</f>
        <v>Immobilier</v>
      </c>
      <c r="O525" s="6">
        <f>IF($A525="","",IF(OR($J525&lt;&gt;"x",$A525&lt;=FinReleve),1,0))</f>
        <v>1</v>
      </c>
      <c r="P525" s="6">
        <f>IF($D525="","",IF(AND($L525="Crédit",OR(IFERROR(INDEX('Paramètres'!$O:$O,MATCH($D525,'Paramètres'!$M:$M,0))&amp;"","")&lt;&gt;"",ISNUMBER(SEARCH("remboursement",IFERROR(INDEX('Paramètres'!$N:$N,MATCH($D525,'Paramètres'!$M:$M,0))&amp;"",""))))),1,0))</f>
        <v>0</v>
      </c>
      <c r="Q525" s="6">
        <f>IF($K525="","",IF(ISNUMBER(SEARCH("transfert-interne",IFERROR(INDEX('Paramètres'!$N:$N,MATCH($D525,'Paramètres'!$M:$M,0))&amp;"",""))),0,IF($L525="Débit",$K525,IF($P525=1,-$K525,0))))</f>
        <v>109.92</v>
      </c>
      <c r="R525" s="6">
        <f>IF($K525="","",IF($L525="Crédit",$K525,-$K525))</f>
        <v>-109.92</v>
      </c>
      <c r="S525" s="6" t="str">
        <f>IF($C525="","",IFERROR(INDEX('Paramètres'!$H:$H,MATCH($C525,'Paramètres'!$D:$D,0))&amp;"",""))</f>
        <v>Banque A - Courant</v>
      </c>
      <c r="T525" s="6">
        <f>IF($K525="","",IF($S525="",0,IF(ISNUMBER(SEARCH("apport-exterieur",IFERROR(INDEX('Paramètres'!$N:$N,MATCH($D525,'Paramètres'!$M:$M,0))&amp;"",""))),0,IF(OR(IFERROR(INDEX('Paramètres'!$I:$I,MATCH($C525,'Paramètres'!$D:$D,0))&amp;"","")="Les deux",IFERROR(INDEX('Paramètres'!$I:$I,MATCH($C525,'Paramètres'!$D:$D,0))&amp;"","")=IF($P525=1,"Débit",$L525)),-IF($P525=1,-$K525,$K525),0))))</f>
        <v>0</v>
      </c>
      <c r="U525" s="6">
        <f>IF($K525="","",IF(ISNUMBER(SEARCH("sortie-epargne",IFERROR(INDEX('Paramètres'!$N:$N,MATCH($D525,'Paramètres'!$M:$M,0))&amp;"",""))),$K525,0))</f>
        <v>0</v>
      </c>
      <c r="V525" s="6" t="str">
        <f>IF(AND($A525&lt;&gt;"",$O525=1,$L525="Débit",N($Q525)&gt;0,$A525&gt;=Visualisation!$B$1,$A525&lt;Visualisation!$D$1),MAX($V$1:V524)+1,"")</f>
        <v/>
      </c>
    </row>
    <row r="526" spans="1:22" x14ac:dyDescent="0.25">
      <c r="A526" s="9">
        <v>45915</v>
      </c>
      <c r="B526" s="4" t="s">
        <v>76</v>
      </c>
      <c r="C526" s="4" t="s">
        <v>60</v>
      </c>
      <c r="D526" s="4" t="s">
        <v>77</v>
      </c>
      <c r="E526" s="10">
        <v>65.86</v>
      </c>
      <c r="G526" s="4" t="s">
        <v>102</v>
      </c>
      <c r="H526" s="4"/>
      <c r="I526" s="4" t="s">
        <v>93</v>
      </c>
      <c r="K526" s="11">
        <f>IF($E526="","",ROUND($E526*IF(ISNA(MATCH($C526,'Paramètres'!$D:$D,0)),1,IF(INDEX('Paramètres'!$J:$J,MATCH($C526,'Paramètres'!$D:$D,0))="",1,INDEX('Paramètres'!$J:$J,MATCH($C526,'Paramètres'!$D:$D,0)))),2))</f>
        <v>32.93</v>
      </c>
      <c r="L526" s="6" t="str">
        <f>IF($D526="","",IF($F526&lt;&gt;"",$F526,IF(ISNA(MATCH($D526,'Paramètres'!$M:$M,0)),"⚠ Type inconnu",IFERROR(INDEX('Paramètres'!$P:$P,MATCH($D526,'Paramètres'!$M:$M,0))&amp;"",""))))</f>
        <v>Débit</v>
      </c>
      <c r="M526" s="6" t="str">
        <f>IF($D526="","",IF(ISNA(MATCH($D526,'Paramètres'!$M:$M,0)),"⚠ Type inconnu",IF($L526="Crédit","",IFERROR(INDEX('Paramètres'!$O:$O,MATCH($D526,'Paramètres'!$M:$M,0))&amp;"",""))))</f>
        <v>Dépense Courante</v>
      </c>
      <c r="N526" s="6" t="str">
        <f>IF($D526="","",IFERROR(INDEX('Paramètres'!$Q:$Q,MATCH($D526,'Paramètres'!$M:$M,0))&amp;"",""))</f>
        <v>Alimentation</v>
      </c>
      <c r="O526" s="6">
        <f>IF($A526="","",IF(OR($J526&lt;&gt;"x",$A526&lt;=FinReleve),1,0))</f>
        <v>1</v>
      </c>
      <c r="P526" s="6">
        <f>IF($D526="","",IF(AND($L526="Crédit",OR(IFERROR(INDEX('Paramètres'!$O:$O,MATCH($D526,'Paramètres'!$M:$M,0))&amp;"","")&lt;&gt;"",ISNUMBER(SEARCH("remboursement",IFERROR(INDEX('Paramètres'!$N:$N,MATCH($D526,'Paramètres'!$M:$M,0))&amp;"",""))))),1,0))</f>
        <v>0</v>
      </c>
      <c r="Q526" s="6">
        <f>IF($K526="","",IF(ISNUMBER(SEARCH("transfert-interne",IFERROR(INDEX('Paramètres'!$N:$N,MATCH($D526,'Paramètres'!$M:$M,0))&amp;"",""))),0,IF($L526="Débit",$K526,IF($P526=1,-$K526,0))))</f>
        <v>32.93</v>
      </c>
      <c r="R526" s="6">
        <f>IF($K526="","",IF($L526="Crédit",$K526,-$K526))</f>
        <v>-32.93</v>
      </c>
      <c r="S526" s="6" t="str">
        <f>IF($C526="","",IFERROR(INDEX('Paramètres'!$H:$H,MATCH($C526,'Paramètres'!$D:$D,0))&amp;"",""))</f>
        <v>Banque A - Courant</v>
      </c>
      <c r="T526" s="6">
        <f>IF($K526="","",IF($S526="",0,IF(ISNUMBER(SEARCH("apport-exterieur",IFERROR(INDEX('Paramètres'!$N:$N,MATCH($D526,'Paramètres'!$M:$M,0))&amp;"",""))),0,IF(OR(IFERROR(INDEX('Paramètres'!$I:$I,MATCH($C526,'Paramètres'!$D:$D,0))&amp;"","")="Les deux",IFERROR(INDEX('Paramètres'!$I:$I,MATCH($C526,'Paramètres'!$D:$D,0))&amp;"","")=IF($P526=1,"Débit",$L526)),-IF($P526=1,-$K526,$K526),0))))</f>
        <v>-32.93</v>
      </c>
      <c r="U526" s="6">
        <f>IF($K526="","",IF(ISNUMBER(SEARCH("sortie-epargne",IFERROR(INDEX('Paramètres'!$N:$N,MATCH($D526,'Paramètres'!$M:$M,0))&amp;"",""))),$K526,0))</f>
        <v>0</v>
      </c>
      <c r="V526" s="6" t="str">
        <f>IF(AND($A526&lt;&gt;"",$O526=1,$L526="Débit",N($Q526)&gt;0,$A526&gt;=Visualisation!$B$1,$A526&lt;Visualisation!$D$1),MAX($V$1:V525)+1,"")</f>
        <v/>
      </c>
    </row>
    <row r="527" spans="1:22" x14ac:dyDescent="0.25">
      <c r="A527" s="9">
        <v>45915</v>
      </c>
      <c r="B527" s="4" t="s">
        <v>119</v>
      </c>
      <c r="C527" s="4" t="s">
        <v>126</v>
      </c>
      <c r="D527" s="4" t="s">
        <v>119</v>
      </c>
      <c r="E527" s="10">
        <v>134.68</v>
      </c>
      <c r="G527" s="4" t="s">
        <v>146</v>
      </c>
      <c r="H527" s="4"/>
      <c r="I527" s="4"/>
      <c r="K527" s="11">
        <f>IF($E527="","",ROUND($E527*IF(ISNA(MATCH($C527,'Paramètres'!$D:$D,0)),1,IF(INDEX('Paramètres'!$J:$J,MATCH($C527,'Paramètres'!$D:$D,0))="",1,INDEX('Paramètres'!$J:$J,MATCH($C527,'Paramètres'!$D:$D,0)))),2))</f>
        <v>67.34</v>
      </c>
      <c r="L527" s="6" t="str">
        <f>IF($D527="","",IF($F527&lt;&gt;"",$F527,IF(ISNA(MATCH($D527,'Paramètres'!$M:$M,0)),"⚠ Type inconnu",IFERROR(INDEX('Paramètres'!$P:$P,MATCH($D527,'Paramètres'!$M:$M,0))&amp;"",""))))</f>
        <v>Débit</v>
      </c>
      <c r="M527" s="6" t="str">
        <f>IF($D527="","",IF(ISNA(MATCH($D527,'Paramètres'!$M:$M,0)),"⚠ Type inconnu",IF($L527="Crédit","",IFERROR(INDEX('Paramètres'!$O:$O,MATCH($D527,'Paramètres'!$M:$M,0))&amp;"",""))))</f>
        <v>Dépense Occasionnelle</v>
      </c>
      <c r="N527" s="6" t="str">
        <f>IF($D527="","",IFERROR(INDEX('Paramètres'!$Q:$Q,MATCH($D527,'Paramètres'!$M:$M,0))&amp;"",""))</f>
        <v>Alimentation</v>
      </c>
      <c r="O527" s="6">
        <f>IF($A527="","",IF(OR($J527&lt;&gt;"x",$A527&lt;=FinReleve),1,0))</f>
        <v>1</v>
      </c>
      <c r="P527" s="6">
        <f>IF($D527="","",IF(AND($L527="Crédit",OR(IFERROR(INDEX('Paramètres'!$O:$O,MATCH($D527,'Paramètres'!$M:$M,0))&amp;"","")&lt;&gt;"",ISNUMBER(SEARCH("remboursement",IFERROR(INDEX('Paramètres'!$N:$N,MATCH($D527,'Paramètres'!$M:$M,0))&amp;"",""))))),1,0))</f>
        <v>0</v>
      </c>
      <c r="Q527" s="6">
        <f>IF($K527="","",IF(ISNUMBER(SEARCH("transfert-interne",IFERROR(INDEX('Paramètres'!$N:$N,MATCH($D527,'Paramètres'!$M:$M,0))&amp;"",""))),0,IF($L527="Débit",$K527,IF($P527=1,-$K527,0))))</f>
        <v>67.34</v>
      </c>
      <c r="R527" s="6">
        <f>IF($K527="","",IF($L527="Crédit",$K527,-$K527))</f>
        <v>-67.34</v>
      </c>
      <c r="S527" s="6" t="str">
        <f>IF($C527="","",IFERROR(INDEX('Paramètres'!$H:$H,MATCH($C527,'Paramètres'!$D:$D,0))&amp;"",""))</f>
        <v>Banque A - Courant</v>
      </c>
      <c r="T527" s="6">
        <f>IF($K527="","",IF($S527="",0,IF(ISNUMBER(SEARCH("apport-exterieur",IFERROR(INDEX('Paramètres'!$N:$N,MATCH($D527,'Paramètres'!$M:$M,0))&amp;"",""))),0,IF(OR(IFERROR(INDEX('Paramètres'!$I:$I,MATCH($C527,'Paramètres'!$D:$D,0))&amp;"","")="Les deux",IFERROR(INDEX('Paramètres'!$I:$I,MATCH($C527,'Paramètres'!$D:$D,0))&amp;"","")=IF($P527=1,"Débit",$L527)),-IF($P527=1,-$K527,$K527),0))))</f>
        <v>-67.34</v>
      </c>
      <c r="U527" s="6">
        <f>IF($K527="","",IF(ISNUMBER(SEARCH("sortie-epargne",IFERROR(INDEX('Paramètres'!$N:$N,MATCH($D527,'Paramètres'!$M:$M,0))&amp;"",""))),$K527,0))</f>
        <v>0</v>
      </c>
      <c r="V527" s="6" t="str">
        <f>IF(AND($A527&lt;&gt;"",$O527=1,$L527="Débit",N($Q527)&gt;0,$A527&gt;=Visualisation!$B$1,$A527&lt;Visualisation!$D$1),MAX($V$1:V526)+1,"")</f>
        <v/>
      </c>
    </row>
    <row r="528" spans="1:22" x14ac:dyDescent="0.25">
      <c r="A528" s="9">
        <v>45916</v>
      </c>
      <c r="B528" s="4" t="s">
        <v>76</v>
      </c>
      <c r="C528" s="4" t="s">
        <v>67</v>
      </c>
      <c r="D528" s="4" t="s">
        <v>77</v>
      </c>
      <c r="E528" s="10">
        <v>58.76</v>
      </c>
      <c r="G528" s="4" t="s">
        <v>98</v>
      </c>
      <c r="H528" s="4"/>
      <c r="I528" s="4" t="s">
        <v>93</v>
      </c>
      <c r="K528" s="11">
        <f>IF($E528="","",ROUND($E528*IF(ISNA(MATCH($C528,'Paramètres'!$D:$D,0)),1,IF(INDEX('Paramètres'!$J:$J,MATCH($C528,'Paramètres'!$D:$D,0))="",1,INDEX('Paramètres'!$J:$J,MATCH($C528,'Paramètres'!$D:$D,0)))),2))</f>
        <v>29.38</v>
      </c>
      <c r="L528" s="6" t="str">
        <f>IF($D528="","",IF($F528&lt;&gt;"",$F528,IF(ISNA(MATCH($D528,'Paramètres'!$M:$M,0)),"⚠ Type inconnu",IFERROR(INDEX('Paramètres'!$P:$P,MATCH($D528,'Paramètres'!$M:$M,0))&amp;"",""))))</f>
        <v>Débit</v>
      </c>
      <c r="M528" s="6" t="str">
        <f>IF($D528="","",IF(ISNA(MATCH($D528,'Paramètres'!$M:$M,0)),"⚠ Type inconnu",IF($L528="Crédit","",IFERROR(INDEX('Paramètres'!$O:$O,MATCH($D528,'Paramètres'!$M:$M,0))&amp;"",""))))</f>
        <v>Dépense Courante</v>
      </c>
      <c r="N528" s="6" t="str">
        <f>IF($D528="","",IFERROR(INDEX('Paramètres'!$Q:$Q,MATCH($D528,'Paramètres'!$M:$M,0))&amp;"",""))</f>
        <v>Alimentation</v>
      </c>
      <c r="O528" s="6">
        <f>IF($A528="","",IF(OR($J528&lt;&gt;"x",$A528&lt;=FinReleve),1,0))</f>
        <v>1</v>
      </c>
      <c r="P528" s="6">
        <f>IF($D528="","",IF(AND($L528="Crédit",OR(IFERROR(INDEX('Paramètres'!$O:$O,MATCH($D528,'Paramètres'!$M:$M,0))&amp;"","")&lt;&gt;"",ISNUMBER(SEARCH("remboursement",IFERROR(INDEX('Paramètres'!$N:$N,MATCH($D528,'Paramètres'!$M:$M,0))&amp;"",""))))),1,0))</f>
        <v>0</v>
      </c>
      <c r="Q528" s="6">
        <f>IF($K528="","",IF(ISNUMBER(SEARCH("transfert-interne",IFERROR(INDEX('Paramètres'!$N:$N,MATCH($D528,'Paramètres'!$M:$M,0))&amp;"",""))),0,IF($L528="Débit",$K528,IF($P528=1,-$K528,0))))</f>
        <v>29.38</v>
      </c>
      <c r="R528" s="6">
        <f>IF($K528="","",IF($L528="Crédit",$K528,-$K528))</f>
        <v>-29.38</v>
      </c>
      <c r="S528" s="6" t="str">
        <f>IF($C528="","",IFERROR(INDEX('Paramètres'!$H:$H,MATCH($C528,'Paramètres'!$D:$D,0))&amp;"",""))</f>
        <v>Banque A - Courant</v>
      </c>
      <c r="T528" s="6">
        <f>IF($K528="","",IF($S528="",0,IF(ISNUMBER(SEARCH("apport-exterieur",IFERROR(INDEX('Paramètres'!$N:$N,MATCH($D528,'Paramètres'!$M:$M,0))&amp;"",""))),0,IF(OR(IFERROR(INDEX('Paramètres'!$I:$I,MATCH($C528,'Paramètres'!$D:$D,0))&amp;"","")="Les deux",IFERROR(INDEX('Paramètres'!$I:$I,MATCH($C528,'Paramètres'!$D:$D,0))&amp;"","")=IF($P528=1,"Débit",$L528)),-IF($P528=1,-$K528,$K528),0))))</f>
        <v>0</v>
      </c>
      <c r="U528" s="6">
        <f>IF($K528="","",IF(ISNUMBER(SEARCH("sortie-epargne",IFERROR(INDEX('Paramètres'!$N:$N,MATCH($D528,'Paramètres'!$M:$M,0))&amp;"",""))),$K528,0))</f>
        <v>0</v>
      </c>
      <c r="V528" s="6" t="str">
        <f>IF(AND($A528&lt;&gt;"",$O528=1,$L528="Débit",N($Q528)&gt;0,$A528&gt;=Visualisation!$B$1,$A528&lt;Visualisation!$D$1),MAX($V$1:V527)+1,"")</f>
        <v/>
      </c>
    </row>
    <row r="529" spans="1:22" x14ac:dyDescent="0.25">
      <c r="A529" s="9">
        <v>45917</v>
      </c>
      <c r="B529" s="4" t="s">
        <v>76</v>
      </c>
      <c r="C529" s="4" t="s">
        <v>67</v>
      </c>
      <c r="D529" s="4" t="s">
        <v>77</v>
      </c>
      <c r="E529" s="10">
        <v>64.86</v>
      </c>
      <c r="G529" s="4" t="s">
        <v>98</v>
      </c>
      <c r="H529" s="4"/>
      <c r="I529" s="4"/>
      <c r="K529" s="11">
        <f>IF($E529="","",ROUND($E529*IF(ISNA(MATCH($C529,'Paramètres'!$D:$D,0)),1,IF(INDEX('Paramètres'!$J:$J,MATCH($C529,'Paramètres'!$D:$D,0))="",1,INDEX('Paramètres'!$J:$J,MATCH($C529,'Paramètres'!$D:$D,0)))),2))</f>
        <v>32.43</v>
      </c>
      <c r="L529" s="6" t="str">
        <f>IF($D529="","",IF($F529&lt;&gt;"",$F529,IF(ISNA(MATCH($D529,'Paramètres'!$M:$M,0)),"⚠ Type inconnu",IFERROR(INDEX('Paramètres'!$P:$P,MATCH($D529,'Paramètres'!$M:$M,0))&amp;"",""))))</f>
        <v>Débit</v>
      </c>
      <c r="M529" s="6" t="str">
        <f>IF($D529="","",IF(ISNA(MATCH($D529,'Paramètres'!$M:$M,0)),"⚠ Type inconnu",IF($L529="Crédit","",IFERROR(INDEX('Paramètres'!$O:$O,MATCH($D529,'Paramètres'!$M:$M,0))&amp;"",""))))</f>
        <v>Dépense Courante</v>
      </c>
      <c r="N529" s="6" t="str">
        <f>IF($D529="","",IFERROR(INDEX('Paramètres'!$Q:$Q,MATCH($D529,'Paramètres'!$M:$M,0))&amp;"",""))</f>
        <v>Alimentation</v>
      </c>
      <c r="O529" s="6">
        <f>IF($A529="","",IF(OR($J529&lt;&gt;"x",$A529&lt;=FinReleve),1,0))</f>
        <v>1</v>
      </c>
      <c r="P529" s="6">
        <f>IF($D529="","",IF(AND($L529="Crédit",OR(IFERROR(INDEX('Paramètres'!$O:$O,MATCH($D529,'Paramètres'!$M:$M,0))&amp;"","")&lt;&gt;"",ISNUMBER(SEARCH("remboursement",IFERROR(INDEX('Paramètres'!$N:$N,MATCH($D529,'Paramètres'!$M:$M,0))&amp;"",""))))),1,0))</f>
        <v>0</v>
      </c>
      <c r="Q529" s="6">
        <f>IF($K529="","",IF(ISNUMBER(SEARCH("transfert-interne",IFERROR(INDEX('Paramètres'!$N:$N,MATCH($D529,'Paramètres'!$M:$M,0))&amp;"",""))),0,IF($L529="Débit",$K529,IF($P529=1,-$K529,0))))</f>
        <v>32.43</v>
      </c>
      <c r="R529" s="6">
        <f>IF($K529="","",IF($L529="Crédit",$K529,-$K529))</f>
        <v>-32.43</v>
      </c>
      <c r="S529" s="6" t="str">
        <f>IF($C529="","",IFERROR(INDEX('Paramètres'!$H:$H,MATCH($C529,'Paramètres'!$D:$D,0))&amp;"",""))</f>
        <v>Banque A - Courant</v>
      </c>
      <c r="T529" s="6">
        <f>IF($K529="","",IF($S529="",0,IF(ISNUMBER(SEARCH("apport-exterieur",IFERROR(INDEX('Paramètres'!$N:$N,MATCH($D529,'Paramètres'!$M:$M,0))&amp;"",""))),0,IF(OR(IFERROR(INDEX('Paramètres'!$I:$I,MATCH($C529,'Paramètres'!$D:$D,0))&amp;"","")="Les deux",IFERROR(INDEX('Paramètres'!$I:$I,MATCH($C529,'Paramètres'!$D:$D,0))&amp;"","")=IF($P529=1,"Débit",$L529)),-IF($P529=1,-$K529,$K529),0))))</f>
        <v>0</v>
      </c>
      <c r="U529" s="6">
        <f>IF($K529="","",IF(ISNUMBER(SEARCH("sortie-epargne",IFERROR(INDEX('Paramètres'!$N:$N,MATCH($D529,'Paramètres'!$M:$M,0))&amp;"",""))),$K529,0))</f>
        <v>0</v>
      </c>
      <c r="V529" s="6" t="str">
        <f>IF(AND($A529&lt;&gt;"",$O529=1,$L529="Débit",N($Q529)&gt;0,$A529&gt;=Visualisation!$B$1,$A529&lt;Visualisation!$D$1),MAX($V$1:V528)+1,"")</f>
        <v/>
      </c>
    </row>
    <row r="530" spans="1:22" x14ac:dyDescent="0.25">
      <c r="A530" s="9">
        <v>45918</v>
      </c>
      <c r="B530" s="4" t="s">
        <v>103</v>
      </c>
      <c r="C530" s="4" t="s">
        <v>75</v>
      </c>
      <c r="D530" s="4" t="s">
        <v>103</v>
      </c>
      <c r="E530" s="10">
        <v>212</v>
      </c>
      <c r="G530" s="4"/>
      <c r="H530" s="4"/>
      <c r="I530" s="4"/>
      <c r="K530" s="11">
        <f>IF($E530="","",ROUND($E530*IF(ISNA(MATCH($C530,'Paramètres'!$D:$D,0)),1,IF(INDEX('Paramètres'!$J:$J,MATCH($C530,'Paramètres'!$D:$D,0))="",1,INDEX('Paramètres'!$J:$J,MATCH($C530,'Paramètres'!$D:$D,0)))),2))</f>
        <v>212</v>
      </c>
      <c r="L530" s="6" t="str">
        <f>IF($D530="","",IF($F530&lt;&gt;"",$F530,IF(ISNA(MATCH($D530,'Paramètres'!$M:$M,0)),"⚠ Type inconnu",IFERROR(INDEX('Paramètres'!$P:$P,MATCH($D530,'Paramètres'!$M:$M,0))&amp;"",""))))</f>
        <v>Débit</v>
      </c>
      <c r="M530" s="6" t="str">
        <f>IF($D530="","",IF(ISNA(MATCH($D530,'Paramètres'!$M:$M,0)),"⚠ Type inconnu",IF($L530="Crédit","",IFERROR(INDEX('Paramètres'!$O:$O,MATCH($D530,'Paramètres'!$M:$M,0))&amp;"",""))))</f>
        <v>Dépense Fixe</v>
      </c>
      <c r="N530" s="6" t="str">
        <f>IF($D530="","",IFERROR(INDEX('Paramètres'!$Q:$Q,MATCH($D530,'Paramètres'!$M:$M,0))&amp;"",""))</f>
        <v>Impots</v>
      </c>
      <c r="O530" s="6">
        <f>IF($A530="","",IF(OR($J530&lt;&gt;"x",$A530&lt;=FinReleve),1,0))</f>
        <v>1</v>
      </c>
      <c r="P530" s="6">
        <f>IF($D530="","",IF(AND($L530="Crédit",OR(IFERROR(INDEX('Paramètres'!$O:$O,MATCH($D530,'Paramètres'!$M:$M,0))&amp;"","")&lt;&gt;"",ISNUMBER(SEARCH("remboursement",IFERROR(INDEX('Paramètres'!$N:$N,MATCH($D530,'Paramètres'!$M:$M,0))&amp;"",""))))),1,0))</f>
        <v>0</v>
      </c>
      <c r="Q530" s="6">
        <f>IF($K530="","",IF(ISNUMBER(SEARCH("transfert-interne",IFERROR(INDEX('Paramètres'!$N:$N,MATCH($D530,'Paramètres'!$M:$M,0))&amp;"",""))),0,IF($L530="Débit",$K530,IF($P530=1,-$K530,0))))</f>
        <v>212</v>
      </c>
      <c r="R530" s="6">
        <f>IF($K530="","",IF($L530="Crédit",$K530,-$K530))</f>
        <v>-212</v>
      </c>
      <c r="S530" s="6" t="str">
        <f>IF($C530="","",IFERROR(INDEX('Paramètres'!$H:$H,MATCH($C530,'Paramètres'!$D:$D,0))&amp;"",""))</f>
        <v/>
      </c>
      <c r="T530" s="6">
        <f>IF($K530="","",IF($S530="",0,IF(ISNUMBER(SEARCH("apport-exterieur",IFERROR(INDEX('Paramètres'!$N:$N,MATCH($D530,'Paramètres'!$M:$M,0))&amp;"",""))),0,IF(OR(IFERROR(INDEX('Paramètres'!$I:$I,MATCH($C530,'Paramètres'!$D:$D,0))&amp;"","")="Les deux",IFERROR(INDEX('Paramètres'!$I:$I,MATCH($C530,'Paramètres'!$D:$D,0))&amp;"","")=IF($P530=1,"Débit",$L530)),-IF($P530=1,-$K530,$K530),0))))</f>
        <v>0</v>
      </c>
      <c r="U530" s="6">
        <f>IF($K530="","",IF(ISNUMBER(SEARCH("sortie-epargne",IFERROR(INDEX('Paramètres'!$N:$N,MATCH($D530,'Paramètres'!$M:$M,0))&amp;"",""))),$K530,0))</f>
        <v>0</v>
      </c>
      <c r="V530" s="6" t="str">
        <f>IF(AND($A530&lt;&gt;"",$O530=1,$L530="Débit",N($Q530)&gt;0,$A530&gt;=Visualisation!$B$1,$A530&lt;Visualisation!$D$1),MAX($V$1:V529)+1,"")</f>
        <v/>
      </c>
    </row>
    <row r="531" spans="1:22" x14ac:dyDescent="0.25">
      <c r="A531" s="9">
        <v>45919</v>
      </c>
      <c r="B531" s="4" t="s">
        <v>76</v>
      </c>
      <c r="C531" s="4" t="s">
        <v>60</v>
      </c>
      <c r="D531" s="4" t="s">
        <v>77</v>
      </c>
      <c r="E531" s="10">
        <v>191.4</v>
      </c>
      <c r="G531" s="4" t="s">
        <v>98</v>
      </c>
      <c r="H531" s="4"/>
      <c r="I531" s="4" t="s">
        <v>93</v>
      </c>
      <c r="K531" s="11">
        <f>IF($E531="","",ROUND($E531*IF(ISNA(MATCH($C531,'Paramètres'!$D:$D,0)),1,IF(INDEX('Paramètres'!$J:$J,MATCH($C531,'Paramètres'!$D:$D,0))="",1,INDEX('Paramètres'!$J:$J,MATCH($C531,'Paramètres'!$D:$D,0)))),2))</f>
        <v>95.7</v>
      </c>
      <c r="L531" s="6" t="str">
        <f>IF($D531="","",IF($F531&lt;&gt;"",$F531,IF(ISNA(MATCH($D531,'Paramètres'!$M:$M,0)),"⚠ Type inconnu",IFERROR(INDEX('Paramètres'!$P:$P,MATCH($D531,'Paramètres'!$M:$M,0))&amp;"",""))))</f>
        <v>Débit</v>
      </c>
      <c r="M531" s="6" t="str">
        <f>IF($D531="","",IF(ISNA(MATCH($D531,'Paramètres'!$M:$M,0)),"⚠ Type inconnu",IF($L531="Crédit","",IFERROR(INDEX('Paramètres'!$O:$O,MATCH($D531,'Paramètres'!$M:$M,0))&amp;"",""))))</f>
        <v>Dépense Courante</v>
      </c>
      <c r="N531" s="6" t="str">
        <f>IF($D531="","",IFERROR(INDEX('Paramètres'!$Q:$Q,MATCH($D531,'Paramètres'!$M:$M,0))&amp;"",""))</f>
        <v>Alimentation</v>
      </c>
      <c r="O531" s="6">
        <f>IF($A531="","",IF(OR($J531&lt;&gt;"x",$A531&lt;=FinReleve),1,0))</f>
        <v>1</v>
      </c>
      <c r="P531" s="6">
        <f>IF($D531="","",IF(AND($L531="Crédit",OR(IFERROR(INDEX('Paramètres'!$O:$O,MATCH($D531,'Paramètres'!$M:$M,0))&amp;"","")&lt;&gt;"",ISNUMBER(SEARCH("remboursement",IFERROR(INDEX('Paramètres'!$N:$N,MATCH($D531,'Paramètres'!$M:$M,0))&amp;"",""))))),1,0))</f>
        <v>0</v>
      </c>
      <c r="Q531" s="6">
        <f>IF($K531="","",IF(ISNUMBER(SEARCH("transfert-interne",IFERROR(INDEX('Paramètres'!$N:$N,MATCH($D531,'Paramètres'!$M:$M,0))&amp;"",""))),0,IF($L531="Débit",$K531,IF($P531=1,-$K531,0))))</f>
        <v>95.7</v>
      </c>
      <c r="R531" s="6">
        <f>IF($K531="","",IF($L531="Crédit",$K531,-$K531))</f>
        <v>-95.7</v>
      </c>
      <c r="S531" s="6" t="str">
        <f>IF($C531="","",IFERROR(INDEX('Paramètres'!$H:$H,MATCH($C531,'Paramètres'!$D:$D,0))&amp;"",""))</f>
        <v>Banque A - Courant</v>
      </c>
      <c r="T531" s="6">
        <f>IF($K531="","",IF($S531="",0,IF(ISNUMBER(SEARCH("apport-exterieur",IFERROR(INDEX('Paramètres'!$N:$N,MATCH($D531,'Paramètres'!$M:$M,0))&amp;"",""))),0,IF(OR(IFERROR(INDEX('Paramètres'!$I:$I,MATCH($C531,'Paramètres'!$D:$D,0))&amp;"","")="Les deux",IFERROR(INDEX('Paramètres'!$I:$I,MATCH($C531,'Paramètres'!$D:$D,0))&amp;"","")=IF($P531=1,"Débit",$L531)),-IF($P531=1,-$K531,$K531),0))))</f>
        <v>-95.7</v>
      </c>
      <c r="U531" s="6">
        <f>IF($K531="","",IF(ISNUMBER(SEARCH("sortie-epargne",IFERROR(INDEX('Paramètres'!$N:$N,MATCH($D531,'Paramètres'!$M:$M,0))&amp;"",""))),$K531,0))</f>
        <v>0</v>
      </c>
      <c r="V531" s="6" t="str">
        <f>IF(AND($A531&lt;&gt;"",$O531=1,$L531="Débit",N($Q531)&gt;0,$A531&gt;=Visualisation!$B$1,$A531&lt;Visualisation!$D$1),MAX($V$1:V530)+1,"")</f>
        <v/>
      </c>
    </row>
    <row r="532" spans="1:22" x14ac:dyDescent="0.25">
      <c r="A532" s="9">
        <v>45919</v>
      </c>
      <c r="B532" s="4" t="s">
        <v>76</v>
      </c>
      <c r="C532" s="4" t="s">
        <v>67</v>
      </c>
      <c r="D532" s="4" t="s">
        <v>77</v>
      </c>
      <c r="E532" s="10">
        <v>181.02</v>
      </c>
      <c r="G532" s="4" t="s">
        <v>78</v>
      </c>
      <c r="H532" s="4"/>
      <c r="I532" s="4" t="s">
        <v>73</v>
      </c>
      <c r="K532" s="11">
        <f>IF($E532="","",ROUND($E532*IF(ISNA(MATCH($C532,'Paramètres'!$D:$D,0)),1,IF(INDEX('Paramètres'!$J:$J,MATCH($C532,'Paramètres'!$D:$D,0))="",1,INDEX('Paramètres'!$J:$J,MATCH($C532,'Paramètres'!$D:$D,0)))),2))</f>
        <v>90.51</v>
      </c>
      <c r="L532" s="6" t="str">
        <f>IF($D532="","",IF($F532&lt;&gt;"",$F532,IF(ISNA(MATCH($D532,'Paramètres'!$M:$M,0)),"⚠ Type inconnu",IFERROR(INDEX('Paramètres'!$P:$P,MATCH($D532,'Paramètres'!$M:$M,0))&amp;"",""))))</f>
        <v>Débit</v>
      </c>
      <c r="M532" s="6" t="str">
        <f>IF($D532="","",IF(ISNA(MATCH($D532,'Paramètres'!$M:$M,0)),"⚠ Type inconnu",IF($L532="Crédit","",IFERROR(INDEX('Paramètres'!$O:$O,MATCH($D532,'Paramètres'!$M:$M,0))&amp;"",""))))</f>
        <v>Dépense Courante</v>
      </c>
      <c r="N532" s="6" t="str">
        <f>IF($D532="","",IFERROR(INDEX('Paramètres'!$Q:$Q,MATCH($D532,'Paramètres'!$M:$M,0))&amp;"",""))</f>
        <v>Alimentation</v>
      </c>
      <c r="O532" s="6">
        <f>IF($A532="","",IF(OR($J532&lt;&gt;"x",$A532&lt;=FinReleve),1,0))</f>
        <v>1</v>
      </c>
      <c r="P532" s="6">
        <f>IF($D532="","",IF(AND($L532="Crédit",OR(IFERROR(INDEX('Paramètres'!$O:$O,MATCH($D532,'Paramètres'!$M:$M,0))&amp;"","")&lt;&gt;"",ISNUMBER(SEARCH("remboursement",IFERROR(INDEX('Paramètres'!$N:$N,MATCH($D532,'Paramètres'!$M:$M,0))&amp;"",""))))),1,0))</f>
        <v>0</v>
      </c>
      <c r="Q532" s="6">
        <f>IF($K532="","",IF(ISNUMBER(SEARCH("transfert-interne",IFERROR(INDEX('Paramètres'!$N:$N,MATCH($D532,'Paramètres'!$M:$M,0))&amp;"",""))),0,IF($L532="Débit",$K532,IF($P532=1,-$K532,0))))</f>
        <v>90.51</v>
      </c>
      <c r="R532" s="6">
        <f>IF($K532="","",IF($L532="Crédit",$K532,-$K532))</f>
        <v>-90.51</v>
      </c>
      <c r="S532" s="6" t="str">
        <f>IF($C532="","",IFERROR(INDEX('Paramètres'!$H:$H,MATCH($C532,'Paramètres'!$D:$D,0))&amp;"",""))</f>
        <v>Banque A - Courant</v>
      </c>
      <c r="T532" s="6">
        <f>IF($K532="","",IF($S532="",0,IF(ISNUMBER(SEARCH("apport-exterieur",IFERROR(INDEX('Paramètres'!$N:$N,MATCH($D532,'Paramètres'!$M:$M,0))&amp;"",""))),0,IF(OR(IFERROR(INDEX('Paramètres'!$I:$I,MATCH($C532,'Paramètres'!$D:$D,0))&amp;"","")="Les deux",IFERROR(INDEX('Paramètres'!$I:$I,MATCH($C532,'Paramètres'!$D:$D,0))&amp;"","")=IF($P532=1,"Débit",$L532)),-IF($P532=1,-$K532,$K532),0))))</f>
        <v>0</v>
      </c>
      <c r="U532" s="6">
        <f>IF($K532="","",IF(ISNUMBER(SEARCH("sortie-epargne",IFERROR(INDEX('Paramètres'!$N:$N,MATCH($D532,'Paramètres'!$M:$M,0))&amp;"",""))),$K532,0))</f>
        <v>0</v>
      </c>
      <c r="V532" s="6" t="str">
        <f>IF(AND($A532&lt;&gt;"",$O532=1,$L532="Débit",N($Q532)&gt;0,$A532&gt;=Visualisation!$B$1,$A532&lt;Visualisation!$D$1),MAX($V$1:V531)+1,"")</f>
        <v/>
      </c>
    </row>
    <row r="533" spans="1:22" x14ac:dyDescent="0.25">
      <c r="A533" s="9">
        <v>45919</v>
      </c>
      <c r="B533" s="4" t="s">
        <v>59</v>
      </c>
      <c r="C533" s="4" t="s">
        <v>126</v>
      </c>
      <c r="D533" s="4" t="s">
        <v>59</v>
      </c>
      <c r="E533" s="10">
        <v>114.76</v>
      </c>
      <c r="G533" s="4" t="s">
        <v>99</v>
      </c>
      <c r="H533" s="4" t="s">
        <v>62</v>
      </c>
      <c r="I533" s="4"/>
      <c r="K533" s="11">
        <f>IF($E533="","",ROUND($E533*IF(ISNA(MATCH($C533,'Paramètres'!$D:$D,0)),1,IF(INDEX('Paramètres'!$J:$J,MATCH($C533,'Paramètres'!$D:$D,0))="",1,INDEX('Paramètres'!$J:$J,MATCH($C533,'Paramètres'!$D:$D,0)))),2))</f>
        <v>57.38</v>
      </c>
      <c r="L533" s="6" t="str">
        <f>IF($D533="","",IF($F533&lt;&gt;"",$F533,IF(ISNA(MATCH($D533,'Paramètres'!$M:$M,0)),"⚠ Type inconnu",IFERROR(INDEX('Paramètres'!$P:$P,MATCH($D533,'Paramètres'!$M:$M,0))&amp;"",""))))</f>
        <v>Débit</v>
      </c>
      <c r="M533" s="6" t="str">
        <f>IF($D533="","",IF(ISNA(MATCH($D533,'Paramètres'!$M:$M,0)),"⚠ Type inconnu",IF($L533="Crédit","",IFERROR(INDEX('Paramètres'!$O:$O,MATCH($D533,'Paramètres'!$M:$M,0))&amp;"",""))))</f>
        <v>Dépense Occasionnelle</v>
      </c>
      <c r="N533" s="6" t="str">
        <f>IF($D533="","",IFERROR(INDEX('Paramètres'!$Q:$Q,MATCH($D533,'Paramètres'!$M:$M,0))&amp;"",""))</f>
        <v>Loisir</v>
      </c>
      <c r="O533" s="6">
        <f>IF($A533="","",IF(OR($J533&lt;&gt;"x",$A533&lt;=FinReleve),1,0))</f>
        <v>1</v>
      </c>
      <c r="P533" s="6">
        <f>IF($D533="","",IF(AND($L533="Crédit",OR(IFERROR(INDEX('Paramètres'!$O:$O,MATCH($D533,'Paramètres'!$M:$M,0))&amp;"","")&lt;&gt;"",ISNUMBER(SEARCH("remboursement",IFERROR(INDEX('Paramètres'!$N:$N,MATCH($D533,'Paramètres'!$M:$M,0))&amp;"",""))))),1,0))</f>
        <v>0</v>
      </c>
      <c r="Q533" s="6">
        <f>IF($K533="","",IF(ISNUMBER(SEARCH("transfert-interne",IFERROR(INDEX('Paramètres'!$N:$N,MATCH($D533,'Paramètres'!$M:$M,0))&amp;"",""))),0,IF($L533="Débit",$K533,IF($P533=1,-$K533,0))))</f>
        <v>57.38</v>
      </c>
      <c r="R533" s="6">
        <f>IF($K533="","",IF($L533="Crédit",$K533,-$K533))</f>
        <v>-57.38</v>
      </c>
      <c r="S533" s="6" t="str">
        <f>IF($C533="","",IFERROR(INDEX('Paramètres'!$H:$H,MATCH($C533,'Paramètres'!$D:$D,0))&amp;"",""))</f>
        <v>Banque A - Courant</v>
      </c>
      <c r="T533" s="6">
        <f>IF($K533="","",IF($S533="",0,IF(ISNUMBER(SEARCH("apport-exterieur",IFERROR(INDEX('Paramètres'!$N:$N,MATCH($D533,'Paramètres'!$M:$M,0))&amp;"",""))),0,IF(OR(IFERROR(INDEX('Paramètres'!$I:$I,MATCH($C533,'Paramètres'!$D:$D,0))&amp;"","")="Les deux",IFERROR(INDEX('Paramètres'!$I:$I,MATCH($C533,'Paramètres'!$D:$D,0))&amp;"","")=IF($P533=1,"Débit",$L533)),-IF($P533=1,-$K533,$K533),0))))</f>
        <v>-57.38</v>
      </c>
      <c r="U533" s="6">
        <f>IF($K533="","",IF(ISNUMBER(SEARCH("sortie-epargne",IFERROR(INDEX('Paramètres'!$N:$N,MATCH($D533,'Paramètres'!$M:$M,0))&amp;"",""))),$K533,0))</f>
        <v>0</v>
      </c>
      <c r="V533" s="6" t="str">
        <f>IF(AND($A533&lt;&gt;"",$O533=1,$L533="Débit",N($Q533)&gt;0,$A533&gt;=Visualisation!$B$1,$A533&lt;Visualisation!$D$1),MAX($V$1:V532)+1,"")</f>
        <v/>
      </c>
    </row>
    <row r="534" spans="1:22" x14ac:dyDescent="0.25">
      <c r="A534" s="9">
        <v>45921</v>
      </c>
      <c r="B534" s="4" t="s">
        <v>90</v>
      </c>
      <c r="C534" s="4" t="s">
        <v>75</v>
      </c>
      <c r="D534" s="4" t="s">
        <v>91</v>
      </c>
      <c r="E534" s="10">
        <v>79.01</v>
      </c>
      <c r="G534" s="4" t="s">
        <v>104</v>
      </c>
      <c r="H534" s="4"/>
      <c r="I534" s="4" t="s">
        <v>79</v>
      </c>
      <c r="K534" s="11">
        <f>IF($E534="","",ROUND($E534*IF(ISNA(MATCH($C534,'Paramètres'!$D:$D,0)),1,IF(INDEX('Paramètres'!$J:$J,MATCH($C534,'Paramètres'!$D:$D,0))="",1,INDEX('Paramètres'!$J:$J,MATCH($C534,'Paramètres'!$D:$D,0)))),2))</f>
        <v>79.01</v>
      </c>
      <c r="L534" s="6" t="str">
        <f>IF($D534="","",IF($F534&lt;&gt;"",$F534,IF(ISNA(MATCH($D534,'Paramètres'!$M:$M,0)),"⚠ Type inconnu",IFERROR(INDEX('Paramètres'!$P:$P,MATCH($D534,'Paramètres'!$M:$M,0))&amp;"",""))))</f>
        <v>Débit</v>
      </c>
      <c r="M534" s="6" t="str">
        <f>IF($D534="","",IF(ISNA(MATCH($D534,'Paramètres'!$M:$M,0)),"⚠ Type inconnu",IF($L534="Crédit","",IFERROR(INDEX('Paramètres'!$O:$O,MATCH($D534,'Paramètres'!$M:$M,0))&amp;"",""))))</f>
        <v>Dépense Courante</v>
      </c>
      <c r="N534" s="6" t="str">
        <f>IF($D534="","",IFERROR(INDEX('Paramètres'!$Q:$Q,MATCH($D534,'Paramètres'!$M:$M,0))&amp;"",""))</f>
        <v>Transport</v>
      </c>
      <c r="O534" s="6">
        <f>IF($A534="","",IF(OR($J534&lt;&gt;"x",$A534&lt;=FinReleve),1,0))</f>
        <v>1</v>
      </c>
      <c r="P534" s="6">
        <f>IF($D534="","",IF(AND($L534="Crédit",OR(IFERROR(INDEX('Paramètres'!$O:$O,MATCH($D534,'Paramètres'!$M:$M,0))&amp;"","")&lt;&gt;"",ISNUMBER(SEARCH("remboursement",IFERROR(INDEX('Paramètres'!$N:$N,MATCH($D534,'Paramètres'!$M:$M,0))&amp;"",""))))),1,0))</f>
        <v>0</v>
      </c>
      <c r="Q534" s="6">
        <f>IF($K534="","",IF(ISNUMBER(SEARCH("transfert-interne",IFERROR(INDEX('Paramètres'!$N:$N,MATCH($D534,'Paramètres'!$M:$M,0))&amp;"",""))),0,IF($L534="Débit",$K534,IF($P534=1,-$K534,0))))</f>
        <v>79.01</v>
      </c>
      <c r="R534" s="6">
        <f>IF($K534="","",IF($L534="Crédit",$K534,-$K534))</f>
        <v>-79.01</v>
      </c>
      <c r="S534" s="6" t="str">
        <f>IF($C534="","",IFERROR(INDEX('Paramètres'!$H:$H,MATCH($C534,'Paramètres'!$D:$D,0))&amp;"",""))</f>
        <v/>
      </c>
      <c r="T534" s="6">
        <f>IF($K534="","",IF($S534="",0,IF(ISNUMBER(SEARCH("apport-exterieur",IFERROR(INDEX('Paramètres'!$N:$N,MATCH($D534,'Paramètres'!$M:$M,0))&amp;"",""))),0,IF(OR(IFERROR(INDEX('Paramètres'!$I:$I,MATCH($C534,'Paramètres'!$D:$D,0))&amp;"","")="Les deux",IFERROR(INDEX('Paramètres'!$I:$I,MATCH($C534,'Paramètres'!$D:$D,0))&amp;"","")=IF($P534=1,"Débit",$L534)),-IF($P534=1,-$K534,$K534),0))))</f>
        <v>0</v>
      </c>
      <c r="U534" s="6">
        <f>IF($K534="","",IF(ISNUMBER(SEARCH("sortie-epargne",IFERROR(INDEX('Paramètres'!$N:$N,MATCH($D534,'Paramètres'!$M:$M,0))&amp;"",""))),$K534,0))</f>
        <v>0</v>
      </c>
      <c r="V534" s="6" t="str">
        <f>IF(AND($A534&lt;&gt;"",$O534=1,$L534="Débit",N($Q534)&gt;0,$A534&gt;=Visualisation!$B$1,$A534&lt;Visualisation!$D$1),MAX($V$1:V533)+1,"")</f>
        <v/>
      </c>
    </row>
    <row r="535" spans="1:22" x14ac:dyDescent="0.25">
      <c r="A535" s="9">
        <v>45922</v>
      </c>
      <c r="B535" s="4" t="s">
        <v>116</v>
      </c>
      <c r="C535" s="4" t="s">
        <v>126</v>
      </c>
      <c r="D535" s="4" t="s">
        <v>116</v>
      </c>
      <c r="E535" s="10">
        <v>213.98</v>
      </c>
      <c r="G535" s="4" t="s">
        <v>139</v>
      </c>
      <c r="H535" s="4"/>
      <c r="I535" s="4"/>
      <c r="K535" s="11">
        <f>IF($E535="","",ROUND($E535*IF(ISNA(MATCH($C535,'Paramètres'!$D:$D,0)),1,IF(INDEX('Paramètres'!$J:$J,MATCH($C535,'Paramètres'!$D:$D,0))="",1,INDEX('Paramètres'!$J:$J,MATCH($C535,'Paramètres'!$D:$D,0)))),2))</f>
        <v>106.99</v>
      </c>
      <c r="L535" s="6" t="str">
        <f>IF($D535="","",IF($F535&lt;&gt;"",$F535,IF(ISNA(MATCH($D535,'Paramètres'!$M:$M,0)),"⚠ Type inconnu",IFERROR(INDEX('Paramètres'!$P:$P,MATCH($D535,'Paramètres'!$M:$M,0))&amp;"",""))))</f>
        <v>Débit</v>
      </c>
      <c r="M535" s="6" t="str">
        <f>IF($D535="","",IF(ISNA(MATCH($D535,'Paramètres'!$M:$M,0)),"⚠ Type inconnu",IF($L535="Crédit","",IFERROR(INDEX('Paramètres'!$O:$O,MATCH($D535,'Paramètres'!$M:$M,0))&amp;"",""))))</f>
        <v>Dépense Occasionnelle</v>
      </c>
      <c r="N535" s="6" t="str">
        <f>IF($D535="","",IFERROR(INDEX('Paramètres'!$Q:$Q,MATCH($D535,'Paramètres'!$M:$M,0))&amp;"",""))</f>
        <v>Autre</v>
      </c>
      <c r="O535" s="6">
        <f>IF($A535="","",IF(OR($J535&lt;&gt;"x",$A535&lt;=FinReleve),1,0))</f>
        <v>1</v>
      </c>
      <c r="P535" s="6">
        <f>IF($D535="","",IF(AND($L535="Crédit",OR(IFERROR(INDEX('Paramètres'!$O:$O,MATCH($D535,'Paramètres'!$M:$M,0))&amp;"","")&lt;&gt;"",ISNUMBER(SEARCH("remboursement",IFERROR(INDEX('Paramètres'!$N:$N,MATCH($D535,'Paramètres'!$M:$M,0))&amp;"",""))))),1,0))</f>
        <v>0</v>
      </c>
      <c r="Q535" s="6">
        <f>IF($K535="","",IF(ISNUMBER(SEARCH("transfert-interne",IFERROR(INDEX('Paramètres'!$N:$N,MATCH($D535,'Paramètres'!$M:$M,0))&amp;"",""))),0,IF($L535="Débit",$K535,IF($P535=1,-$K535,0))))</f>
        <v>106.99</v>
      </c>
      <c r="R535" s="6">
        <f>IF($K535="","",IF($L535="Crédit",$K535,-$K535))</f>
        <v>-106.99</v>
      </c>
      <c r="S535" s="6" t="str">
        <f>IF($C535="","",IFERROR(INDEX('Paramètres'!$H:$H,MATCH($C535,'Paramètres'!$D:$D,0))&amp;"",""))</f>
        <v>Banque A - Courant</v>
      </c>
      <c r="T535" s="6">
        <f>IF($K535="","",IF($S535="",0,IF(ISNUMBER(SEARCH("apport-exterieur",IFERROR(INDEX('Paramètres'!$N:$N,MATCH($D535,'Paramètres'!$M:$M,0))&amp;"",""))),0,IF(OR(IFERROR(INDEX('Paramètres'!$I:$I,MATCH($C535,'Paramètres'!$D:$D,0))&amp;"","")="Les deux",IFERROR(INDEX('Paramètres'!$I:$I,MATCH($C535,'Paramètres'!$D:$D,0))&amp;"","")=IF($P535=1,"Débit",$L535)),-IF($P535=1,-$K535,$K535),0))))</f>
        <v>-106.99</v>
      </c>
      <c r="U535" s="6">
        <f>IF($K535="","",IF(ISNUMBER(SEARCH("sortie-epargne",IFERROR(INDEX('Paramètres'!$N:$N,MATCH($D535,'Paramètres'!$M:$M,0))&amp;"",""))),$K535,0))</f>
        <v>0</v>
      </c>
      <c r="V535" s="6" t="str">
        <f>IF(AND($A535&lt;&gt;"",$O535=1,$L535="Débit",N($Q535)&gt;0,$A535&gt;=Visualisation!$B$1,$A535&lt;Visualisation!$D$1),MAX($V$1:V534)+1,"")</f>
        <v/>
      </c>
    </row>
    <row r="536" spans="1:22" x14ac:dyDescent="0.25">
      <c r="A536" s="9">
        <v>45924</v>
      </c>
      <c r="B536" s="4" t="s">
        <v>90</v>
      </c>
      <c r="C536" s="4" t="s">
        <v>75</v>
      </c>
      <c r="D536" s="4" t="s">
        <v>91</v>
      </c>
      <c r="E536" s="10">
        <v>80.41</v>
      </c>
      <c r="G536" s="4" t="s">
        <v>92</v>
      </c>
      <c r="H536" s="4"/>
      <c r="I536" s="4" t="s">
        <v>73</v>
      </c>
      <c r="K536" s="11">
        <f>IF($E536="","",ROUND($E536*IF(ISNA(MATCH($C536,'Paramètres'!$D:$D,0)),1,IF(INDEX('Paramètres'!$J:$J,MATCH($C536,'Paramètres'!$D:$D,0))="",1,INDEX('Paramètres'!$J:$J,MATCH($C536,'Paramètres'!$D:$D,0)))),2))</f>
        <v>80.41</v>
      </c>
      <c r="L536" s="6" t="str">
        <f>IF($D536="","",IF($F536&lt;&gt;"",$F536,IF(ISNA(MATCH($D536,'Paramètres'!$M:$M,0)),"⚠ Type inconnu",IFERROR(INDEX('Paramètres'!$P:$P,MATCH($D536,'Paramètres'!$M:$M,0))&amp;"",""))))</f>
        <v>Débit</v>
      </c>
      <c r="M536" s="6" t="str">
        <f>IF($D536="","",IF(ISNA(MATCH($D536,'Paramètres'!$M:$M,0)),"⚠ Type inconnu",IF($L536="Crédit","",IFERROR(INDEX('Paramètres'!$O:$O,MATCH($D536,'Paramètres'!$M:$M,0))&amp;"",""))))</f>
        <v>Dépense Courante</v>
      </c>
      <c r="N536" s="6" t="str">
        <f>IF($D536="","",IFERROR(INDEX('Paramètres'!$Q:$Q,MATCH($D536,'Paramètres'!$M:$M,0))&amp;"",""))</f>
        <v>Transport</v>
      </c>
      <c r="O536" s="6">
        <f>IF($A536="","",IF(OR($J536&lt;&gt;"x",$A536&lt;=FinReleve),1,0))</f>
        <v>1</v>
      </c>
      <c r="P536" s="6">
        <f>IF($D536="","",IF(AND($L536="Crédit",OR(IFERROR(INDEX('Paramètres'!$O:$O,MATCH($D536,'Paramètres'!$M:$M,0))&amp;"","")&lt;&gt;"",ISNUMBER(SEARCH("remboursement",IFERROR(INDEX('Paramètres'!$N:$N,MATCH($D536,'Paramètres'!$M:$M,0))&amp;"",""))))),1,0))</f>
        <v>0</v>
      </c>
      <c r="Q536" s="6">
        <f>IF($K536="","",IF(ISNUMBER(SEARCH("transfert-interne",IFERROR(INDEX('Paramètres'!$N:$N,MATCH($D536,'Paramètres'!$M:$M,0))&amp;"",""))),0,IF($L536="Débit",$K536,IF($P536=1,-$K536,0))))</f>
        <v>80.41</v>
      </c>
      <c r="R536" s="6">
        <f>IF($K536="","",IF($L536="Crédit",$K536,-$K536))</f>
        <v>-80.41</v>
      </c>
      <c r="S536" s="6" t="str">
        <f>IF($C536="","",IFERROR(INDEX('Paramètres'!$H:$H,MATCH($C536,'Paramètres'!$D:$D,0))&amp;"",""))</f>
        <v/>
      </c>
      <c r="T536" s="6">
        <f>IF($K536="","",IF($S536="",0,IF(ISNUMBER(SEARCH("apport-exterieur",IFERROR(INDEX('Paramètres'!$N:$N,MATCH($D536,'Paramètres'!$M:$M,0))&amp;"",""))),0,IF(OR(IFERROR(INDEX('Paramètres'!$I:$I,MATCH($C536,'Paramètres'!$D:$D,0))&amp;"","")="Les deux",IFERROR(INDEX('Paramètres'!$I:$I,MATCH($C536,'Paramètres'!$D:$D,0))&amp;"","")=IF($P536=1,"Débit",$L536)),-IF($P536=1,-$K536,$K536),0))))</f>
        <v>0</v>
      </c>
      <c r="U536" s="6">
        <f>IF($K536="","",IF(ISNUMBER(SEARCH("sortie-epargne",IFERROR(INDEX('Paramètres'!$N:$N,MATCH($D536,'Paramètres'!$M:$M,0))&amp;"",""))),$K536,0))</f>
        <v>0</v>
      </c>
      <c r="V536" s="6" t="str">
        <f>IF(AND($A536&lt;&gt;"",$O536=1,$L536="Débit",N($Q536)&gt;0,$A536&gt;=Visualisation!$B$1,$A536&lt;Visualisation!$D$1),MAX($V$1:V535)+1,"")</f>
        <v/>
      </c>
    </row>
    <row r="537" spans="1:22" x14ac:dyDescent="0.25">
      <c r="A537" s="9">
        <v>45926</v>
      </c>
      <c r="B537" s="4" t="s">
        <v>105</v>
      </c>
      <c r="C537" s="4" t="s">
        <v>75</v>
      </c>
      <c r="D537" s="4" t="s">
        <v>110</v>
      </c>
      <c r="E537" s="10">
        <v>150</v>
      </c>
      <c r="G537" s="4"/>
      <c r="H537" s="4"/>
      <c r="I537" s="4"/>
      <c r="K537" s="11">
        <f>IF($E537="","",ROUND($E537*IF(ISNA(MATCH($C537,'Paramètres'!$D:$D,0)),1,IF(INDEX('Paramètres'!$J:$J,MATCH($C537,'Paramètres'!$D:$D,0))="",1,INDEX('Paramètres'!$J:$J,MATCH($C537,'Paramètres'!$D:$D,0)))),2))</f>
        <v>150</v>
      </c>
      <c r="L537" s="6" t="str">
        <f>IF($D537="","",IF($F537&lt;&gt;"",$F537,IF(ISNA(MATCH($D537,'Paramètres'!$M:$M,0)),"⚠ Type inconnu",IFERROR(INDEX('Paramètres'!$P:$P,MATCH($D537,'Paramètres'!$M:$M,0))&amp;"",""))))</f>
        <v>Débit</v>
      </c>
      <c r="M537" s="6" t="str">
        <f>IF($D537="","",IF(ISNA(MATCH($D537,'Paramètres'!$M:$M,0)),"⚠ Type inconnu",IF($L537="Crédit","",IFERROR(INDEX('Paramètres'!$O:$O,MATCH($D537,'Paramètres'!$M:$M,0))&amp;"",""))))</f>
        <v/>
      </c>
      <c r="N537" s="6" t="str">
        <f>IF($D537="","",IFERROR(INDEX('Paramètres'!$Q:$Q,MATCH($D537,'Paramètres'!$M:$M,0))&amp;"",""))</f>
        <v>Comptes Bancaires</v>
      </c>
      <c r="O537" s="6">
        <f>IF($A537="","",IF(OR($J537&lt;&gt;"x",$A537&lt;=FinReleve),1,0))</f>
        <v>1</v>
      </c>
      <c r="P537" s="6">
        <f>IF($D537="","",IF(AND($L537="Crédit",OR(IFERROR(INDEX('Paramètres'!$O:$O,MATCH($D537,'Paramètres'!$M:$M,0))&amp;"","")&lt;&gt;"",ISNUMBER(SEARCH("remboursement",IFERROR(INDEX('Paramètres'!$N:$N,MATCH($D537,'Paramètres'!$M:$M,0))&amp;"",""))))),1,0))</f>
        <v>0</v>
      </c>
      <c r="Q537" s="6">
        <f>IF($K537="","",IF(ISNUMBER(SEARCH("transfert-interne",IFERROR(INDEX('Paramètres'!$N:$N,MATCH($D537,'Paramètres'!$M:$M,0))&amp;"",""))),0,IF($L537="Débit",$K537,IF($P537=1,-$K537,0))))</f>
        <v>0</v>
      </c>
      <c r="R537" s="6">
        <f>IF($K537="","",IF($L537="Crédit",$K537,-$K537))</f>
        <v>-150</v>
      </c>
      <c r="S537" s="6" t="str">
        <f>IF($C537="","",IFERROR(INDEX('Paramètres'!$H:$H,MATCH($C537,'Paramètres'!$D:$D,0))&amp;"",""))</f>
        <v/>
      </c>
      <c r="T537" s="6">
        <f>IF($K537="","",IF($S537="",0,IF(ISNUMBER(SEARCH("apport-exterieur",IFERROR(INDEX('Paramètres'!$N:$N,MATCH($D537,'Paramètres'!$M:$M,0))&amp;"",""))),0,IF(OR(IFERROR(INDEX('Paramètres'!$I:$I,MATCH($C537,'Paramètres'!$D:$D,0))&amp;"","")="Les deux",IFERROR(INDEX('Paramètres'!$I:$I,MATCH($C537,'Paramètres'!$D:$D,0))&amp;"","")=IF($P537=1,"Débit",$L537)),-IF($P537=1,-$K537,$K537),0))))</f>
        <v>0</v>
      </c>
      <c r="U537" s="6">
        <f>IF($K537="","",IF(ISNUMBER(SEARCH("sortie-epargne",IFERROR(INDEX('Paramètres'!$N:$N,MATCH($D537,'Paramètres'!$M:$M,0))&amp;"",""))),$K537,0))</f>
        <v>0</v>
      </c>
      <c r="V537" s="6" t="str">
        <f>IF(AND($A537&lt;&gt;"",$O537=1,$L537="Débit",N($Q537)&gt;0,$A537&gt;=Visualisation!$B$1,$A537&lt;Visualisation!$D$1),MAX($V$1:V536)+1,"")</f>
        <v/>
      </c>
    </row>
    <row r="538" spans="1:22" x14ac:dyDescent="0.25">
      <c r="A538" s="9">
        <v>45926</v>
      </c>
      <c r="B538" s="4" t="s">
        <v>105</v>
      </c>
      <c r="C538" s="4" t="s">
        <v>75</v>
      </c>
      <c r="D538" s="4" t="s">
        <v>111</v>
      </c>
      <c r="E538" s="10">
        <v>200</v>
      </c>
      <c r="G538" s="4"/>
      <c r="H538" s="4"/>
      <c r="I538" s="4"/>
      <c r="K538" s="11">
        <f>IF($E538="","",ROUND($E538*IF(ISNA(MATCH($C538,'Paramètres'!$D:$D,0)),1,IF(INDEX('Paramètres'!$J:$J,MATCH($C538,'Paramètres'!$D:$D,0))="",1,INDEX('Paramètres'!$J:$J,MATCH($C538,'Paramètres'!$D:$D,0)))),2))</f>
        <v>200</v>
      </c>
      <c r="L538" s="6" t="str">
        <f>IF($D538="","",IF($F538&lt;&gt;"",$F538,IF(ISNA(MATCH($D538,'Paramètres'!$M:$M,0)),"⚠ Type inconnu",IFERROR(INDEX('Paramètres'!$P:$P,MATCH($D538,'Paramètres'!$M:$M,0))&amp;"",""))))</f>
        <v>Débit</v>
      </c>
      <c r="M538" s="6" t="str">
        <f>IF($D538="","",IF(ISNA(MATCH($D538,'Paramètres'!$M:$M,0)),"⚠ Type inconnu",IF($L538="Crédit","",IFERROR(INDEX('Paramètres'!$O:$O,MATCH($D538,'Paramètres'!$M:$M,0))&amp;"",""))))</f>
        <v/>
      </c>
      <c r="N538" s="6" t="str">
        <f>IF($D538="","",IFERROR(INDEX('Paramètres'!$Q:$Q,MATCH($D538,'Paramètres'!$M:$M,0))&amp;"",""))</f>
        <v>Comptes Bancaires</v>
      </c>
      <c r="O538" s="6">
        <f>IF($A538="","",IF(OR($J538&lt;&gt;"x",$A538&lt;=FinReleve),1,0))</f>
        <v>1</v>
      </c>
      <c r="P538" s="6">
        <f>IF($D538="","",IF(AND($L538="Crédit",OR(IFERROR(INDEX('Paramètres'!$O:$O,MATCH($D538,'Paramètres'!$M:$M,0))&amp;"","")&lt;&gt;"",ISNUMBER(SEARCH("remboursement",IFERROR(INDEX('Paramètres'!$N:$N,MATCH($D538,'Paramètres'!$M:$M,0))&amp;"",""))))),1,0))</f>
        <v>0</v>
      </c>
      <c r="Q538" s="6">
        <f>IF($K538="","",IF(ISNUMBER(SEARCH("transfert-interne",IFERROR(INDEX('Paramètres'!$N:$N,MATCH($D538,'Paramètres'!$M:$M,0))&amp;"",""))),0,IF($L538="Débit",$K538,IF($P538=1,-$K538,0))))</f>
        <v>200</v>
      </c>
      <c r="R538" s="6">
        <f>IF($K538="","",IF($L538="Crédit",$K538,-$K538))</f>
        <v>-200</v>
      </c>
      <c r="S538" s="6" t="str">
        <f>IF($C538="","",IFERROR(INDEX('Paramètres'!$H:$H,MATCH($C538,'Paramètres'!$D:$D,0))&amp;"",""))</f>
        <v/>
      </c>
      <c r="T538" s="6">
        <f>IF($K538="","",IF($S538="",0,IF(ISNUMBER(SEARCH("apport-exterieur",IFERROR(INDEX('Paramètres'!$N:$N,MATCH($D538,'Paramètres'!$M:$M,0))&amp;"",""))),0,IF(OR(IFERROR(INDEX('Paramètres'!$I:$I,MATCH($C538,'Paramètres'!$D:$D,0))&amp;"","")="Les deux",IFERROR(INDEX('Paramètres'!$I:$I,MATCH($C538,'Paramètres'!$D:$D,0))&amp;"","")=IF($P538=1,"Débit",$L538)),-IF($P538=1,-$K538,$K538),0))))</f>
        <v>0</v>
      </c>
      <c r="U538" s="6">
        <f>IF($K538="","",IF(ISNUMBER(SEARCH("sortie-epargne",IFERROR(INDEX('Paramètres'!$N:$N,MATCH($D538,'Paramètres'!$M:$M,0))&amp;"",""))),$K538,0))</f>
        <v>0</v>
      </c>
      <c r="V538" s="6" t="str">
        <f>IF(AND($A538&lt;&gt;"",$O538=1,$L538="Débit",N($Q538)&gt;0,$A538&gt;=Visualisation!$B$1,$A538&lt;Visualisation!$D$1),MAX($V$1:V537)+1,"")</f>
        <v/>
      </c>
    </row>
    <row r="539" spans="1:22" x14ac:dyDescent="0.25">
      <c r="A539" s="9">
        <v>45926</v>
      </c>
      <c r="B539" s="4" t="s">
        <v>112</v>
      </c>
      <c r="C539" s="4" t="s">
        <v>75</v>
      </c>
      <c r="D539" s="4" t="s">
        <v>113</v>
      </c>
      <c r="E539" s="10">
        <v>120</v>
      </c>
      <c r="G539" s="4"/>
      <c r="H539" s="4"/>
      <c r="I539" s="4"/>
      <c r="K539" s="11">
        <f>IF($E539="","",ROUND($E539*IF(ISNA(MATCH($C539,'Paramètres'!$D:$D,0)),1,IF(INDEX('Paramètres'!$J:$J,MATCH($C539,'Paramètres'!$D:$D,0))="",1,INDEX('Paramètres'!$J:$J,MATCH($C539,'Paramètres'!$D:$D,0)))),2))</f>
        <v>120</v>
      </c>
      <c r="L539" s="6" t="str">
        <f>IF($D539="","",IF($F539&lt;&gt;"",$F539,IF(ISNA(MATCH($D539,'Paramètres'!$M:$M,0)),"⚠ Type inconnu",IFERROR(INDEX('Paramètres'!$P:$P,MATCH($D539,'Paramètres'!$M:$M,0))&amp;"",""))))</f>
        <v>Débit</v>
      </c>
      <c r="M539" s="6" t="str">
        <f>IF($D539="","",IF(ISNA(MATCH($D539,'Paramètres'!$M:$M,0)),"⚠ Type inconnu",IF($L539="Crédit","",IFERROR(INDEX('Paramètres'!$O:$O,MATCH($D539,'Paramètres'!$M:$M,0))&amp;"",""))))</f>
        <v/>
      </c>
      <c r="N539" s="6" t="str">
        <f>IF($D539="","",IFERROR(INDEX('Paramètres'!$Q:$Q,MATCH($D539,'Paramètres'!$M:$M,0))&amp;"",""))</f>
        <v>Comptes Bancaires</v>
      </c>
      <c r="O539" s="6">
        <f>IF($A539="","",IF(OR($J539&lt;&gt;"x",$A539&lt;=FinReleve),1,0))</f>
        <v>1</v>
      </c>
      <c r="P539" s="6">
        <f>IF($D539="","",IF(AND($L539="Crédit",OR(IFERROR(INDEX('Paramètres'!$O:$O,MATCH($D539,'Paramètres'!$M:$M,0))&amp;"","")&lt;&gt;"",ISNUMBER(SEARCH("remboursement",IFERROR(INDEX('Paramètres'!$N:$N,MATCH($D539,'Paramètres'!$M:$M,0))&amp;"",""))))),1,0))</f>
        <v>0</v>
      </c>
      <c r="Q539" s="6">
        <f>IF($K539="","",IF(ISNUMBER(SEARCH("transfert-interne",IFERROR(INDEX('Paramètres'!$N:$N,MATCH($D539,'Paramètres'!$M:$M,0))&amp;"",""))),0,IF($L539="Débit",$K539,IF($P539=1,-$K539,0))))</f>
        <v>120</v>
      </c>
      <c r="R539" s="6">
        <f>IF($K539="","",IF($L539="Crédit",$K539,-$K539))</f>
        <v>-120</v>
      </c>
      <c r="S539" s="6" t="str">
        <f>IF($C539="","",IFERROR(INDEX('Paramètres'!$H:$H,MATCH($C539,'Paramètres'!$D:$D,0))&amp;"",""))</f>
        <v/>
      </c>
      <c r="T539" s="6">
        <f>IF($K539="","",IF($S539="",0,IF(ISNUMBER(SEARCH("apport-exterieur",IFERROR(INDEX('Paramètres'!$N:$N,MATCH($D539,'Paramètres'!$M:$M,0))&amp;"",""))),0,IF(OR(IFERROR(INDEX('Paramètres'!$I:$I,MATCH($C539,'Paramètres'!$D:$D,0))&amp;"","")="Les deux",IFERROR(INDEX('Paramètres'!$I:$I,MATCH($C539,'Paramètres'!$D:$D,0))&amp;"","")=IF($P539=1,"Débit",$L539)),-IF($P539=1,-$K539,$K539),0))))</f>
        <v>0</v>
      </c>
      <c r="U539" s="6">
        <f>IF($K539="","",IF(ISNUMBER(SEARCH("sortie-epargne",IFERROR(INDEX('Paramètres'!$N:$N,MATCH($D539,'Paramètres'!$M:$M,0))&amp;"",""))),$K539,0))</f>
        <v>0</v>
      </c>
      <c r="V539" s="6" t="str">
        <f>IF(AND($A539&lt;&gt;"",$O539=1,$L539="Débit",N($Q539)&gt;0,$A539&gt;=Visualisation!$B$1,$A539&lt;Visualisation!$D$1),MAX($V$1:V538)+1,"")</f>
        <v/>
      </c>
    </row>
    <row r="540" spans="1:22" x14ac:dyDescent="0.25">
      <c r="A540" s="9">
        <v>45927</v>
      </c>
      <c r="B540" s="4" t="s">
        <v>114</v>
      </c>
      <c r="C540" s="4" t="s">
        <v>75</v>
      </c>
      <c r="D540" s="4" t="s">
        <v>115</v>
      </c>
      <c r="E540" s="10">
        <v>3063.39</v>
      </c>
      <c r="G540" s="4" t="s">
        <v>115</v>
      </c>
      <c r="H540" s="4"/>
      <c r="I540" s="4"/>
      <c r="K540" s="11">
        <f>IF($E540="","",ROUND($E540*IF(ISNA(MATCH($C540,'Paramètres'!$D:$D,0)),1,IF(INDEX('Paramètres'!$J:$J,MATCH($C540,'Paramètres'!$D:$D,0))="",1,INDEX('Paramètres'!$J:$J,MATCH($C540,'Paramètres'!$D:$D,0)))),2))</f>
        <v>3063.39</v>
      </c>
      <c r="L540" s="6" t="str">
        <f>IF($D540="","",IF($F540&lt;&gt;"",$F540,IF(ISNA(MATCH($D540,'Paramètres'!$M:$M,0)),"⚠ Type inconnu",IFERROR(INDEX('Paramètres'!$P:$P,MATCH($D540,'Paramètres'!$M:$M,0))&amp;"",""))))</f>
        <v>Crédit</v>
      </c>
      <c r="M540" s="6" t="str">
        <f>IF($D540="","",IF(ISNA(MATCH($D540,'Paramètres'!$M:$M,0)),"⚠ Type inconnu",IF($L540="Crédit","",IFERROR(INDEX('Paramètres'!$O:$O,MATCH($D540,'Paramètres'!$M:$M,0))&amp;"",""))))</f>
        <v/>
      </c>
      <c r="N540" s="6" t="str">
        <f>IF($D540="","",IFERROR(INDEX('Paramètres'!$Q:$Q,MATCH($D540,'Paramètres'!$M:$M,0))&amp;"",""))</f>
        <v/>
      </c>
      <c r="O540" s="6">
        <f>IF($A540="","",IF(OR($J540&lt;&gt;"x",$A540&lt;=FinReleve),1,0))</f>
        <v>1</v>
      </c>
      <c r="P540" s="6">
        <f>IF($D540="","",IF(AND($L540="Crédit",OR(IFERROR(INDEX('Paramètres'!$O:$O,MATCH($D540,'Paramètres'!$M:$M,0))&amp;"","")&lt;&gt;"",ISNUMBER(SEARCH("remboursement",IFERROR(INDEX('Paramètres'!$N:$N,MATCH($D540,'Paramètres'!$M:$M,0))&amp;"",""))))),1,0))</f>
        <v>0</v>
      </c>
      <c r="Q540" s="6">
        <f>IF($K540="","",IF(ISNUMBER(SEARCH("transfert-interne",IFERROR(INDEX('Paramètres'!$N:$N,MATCH($D540,'Paramètres'!$M:$M,0))&amp;"",""))),0,IF($L540="Débit",$K540,IF($P540=1,-$K540,0))))</f>
        <v>0</v>
      </c>
      <c r="R540" s="6">
        <f>IF($K540="","",IF($L540="Crédit",$K540,-$K540))</f>
        <v>3063.39</v>
      </c>
      <c r="S540" s="6" t="str">
        <f>IF($C540="","",IFERROR(INDEX('Paramètres'!$H:$H,MATCH($C540,'Paramètres'!$D:$D,0))&amp;"",""))</f>
        <v/>
      </c>
      <c r="T540" s="6">
        <f>IF($K540="","",IF($S540="",0,IF(ISNUMBER(SEARCH("apport-exterieur",IFERROR(INDEX('Paramètres'!$N:$N,MATCH($D540,'Paramètres'!$M:$M,0))&amp;"",""))),0,IF(OR(IFERROR(INDEX('Paramètres'!$I:$I,MATCH($C540,'Paramètres'!$D:$D,0))&amp;"","")="Les deux",IFERROR(INDEX('Paramètres'!$I:$I,MATCH($C540,'Paramètres'!$D:$D,0))&amp;"","")=IF($P540=1,"Débit",$L540)),-IF($P540=1,-$K540,$K540),0))))</f>
        <v>0</v>
      </c>
      <c r="U540" s="6">
        <f>IF($K540="","",IF(ISNUMBER(SEARCH("sortie-epargne",IFERROR(INDEX('Paramètres'!$N:$N,MATCH($D540,'Paramètres'!$M:$M,0))&amp;"",""))),$K540,0))</f>
        <v>0</v>
      </c>
      <c r="V540" s="6" t="str">
        <f>IF(AND($A540&lt;&gt;"",$O540=1,$L540="Débit",N($Q540)&gt;0,$A540&gt;=Visualisation!$B$1,$A540&lt;Visualisation!$D$1),MAX($V$1:V539)+1,"")</f>
        <v/>
      </c>
    </row>
    <row r="541" spans="1:22" x14ac:dyDescent="0.25">
      <c r="A541" s="9">
        <v>45927</v>
      </c>
      <c r="B541" s="4" t="s">
        <v>131</v>
      </c>
      <c r="C541" s="4" t="s">
        <v>75</v>
      </c>
      <c r="D541" s="4" t="s">
        <v>132</v>
      </c>
      <c r="E541" s="10">
        <v>46.65</v>
      </c>
      <c r="G541" s="4" t="s">
        <v>149</v>
      </c>
      <c r="H541" s="4"/>
      <c r="I541" s="4" t="s">
        <v>73</v>
      </c>
      <c r="K541" s="11">
        <f>IF($E541="","",ROUND($E541*IF(ISNA(MATCH($C541,'Paramètres'!$D:$D,0)),1,IF(INDEX('Paramètres'!$J:$J,MATCH($C541,'Paramètres'!$D:$D,0))="",1,INDEX('Paramètres'!$J:$J,MATCH($C541,'Paramètres'!$D:$D,0)))),2))</f>
        <v>46.65</v>
      </c>
      <c r="L541" s="6" t="str">
        <f>IF($D541="","",IF($F541&lt;&gt;"",$F541,IF(ISNA(MATCH($D541,'Paramètres'!$M:$M,0)),"⚠ Type inconnu",IFERROR(INDEX('Paramètres'!$P:$P,MATCH($D541,'Paramètres'!$M:$M,0))&amp;"",""))))</f>
        <v>Débit</v>
      </c>
      <c r="M541" s="6" t="str">
        <f>IF($D541="","",IF(ISNA(MATCH($D541,'Paramètres'!$M:$M,0)),"⚠ Type inconnu",IF($L541="Crédit","",IFERROR(INDEX('Paramètres'!$O:$O,MATCH($D541,'Paramètres'!$M:$M,0))&amp;"",""))))</f>
        <v>Dépense Courante</v>
      </c>
      <c r="N541" s="6" t="str">
        <f>IF($D541="","",IFERROR(INDEX('Paramètres'!$Q:$Q,MATCH($D541,'Paramètres'!$M:$M,0))&amp;"",""))</f>
        <v>Santé</v>
      </c>
      <c r="O541" s="6">
        <f>IF($A541="","",IF(OR($J541&lt;&gt;"x",$A541&lt;=FinReleve),1,0))</f>
        <v>1</v>
      </c>
      <c r="P541" s="6">
        <f>IF($D541="","",IF(AND($L541="Crédit",OR(IFERROR(INDEX('Paramètres'!$O:$O,MATCH($D541,'Paramètres'!$M:$M,0))&amp;"","")&lt;&gt;"",ISNUMBER(SEARCH("remboursement",IFERROR(INDEX('Paramètres'!$N:$N,MATCH($D541,'Paramètres'!$M:$M,0))&amp;"",""))))),1,0))</f>
        <v>0</v>
      </c>
      <c r="Q541" s="6">
        <f>IF($K541="","",IF(ISNUMBER(SEARCH("transfert-interne",IFERROR(INDEX('Paramètres'!$N:$N,MATCH($D541,'Paramètres'!$M:$M,0))&amp;"",""))),0,IF($L541="Débit",$K541,IF($P541=1,-$K541,0))))</f>
        <v>46.65</v>
      </c>
      <c r="R541" s="6">
        <f>IF($K541="","",IF($L541="Crédit",$K541,-$K541))</f>
        <v>-46.65</v>
      </c>
      <c r="S541" s="6" t="str">
        <f>IF($C541="","",IFERROR(INDEX('Paramètres'!$H:$H,MATCH($C541,'Paramètres'!$D:$D,0))&amp;"",""))</f>
        <v/>
      </c>
      <c r="T541" s="6">
        <f>IF($K541="","",IF($S541="",0,IF(ISNUMBER(SEARCH("apport-exterieur",IFERROR(INDEX('Paramètres'!$N:$N,MATCH($D541,'Paramètres'!$M:$M,0))&amp;"",""))),0,IF(OR(IFERROR(INDEX('Paramètres'!$I:$I,MATCH($C541,'Paramètres'!$D:$D,0))&amp;"","")="Les deux",IFERROR(INDEX('Paramètres'!$I:$I,MATCH($C541,'Paramètres'!$D:$D,0))&amp;"","")=IF($P541=1,"Débit",$L541)),-IF($P541=1,-$K541,$K541),0))))</f>
        <v>0</v>
      </c>
      <c r="U541" s="6">
        <f>IF($K541="","",IF(ISNUMBER(SEARCH("sortie-epargne",IFERROR(INDEX('Paramètres'!$N:$N,MATCH($D541,'Paramètres'!$M:$M,0))&amp;"",""))),$K541,0))</f>
        <v>0</v>
      </c>
      <c r="V541" s="6" t="str">
        <f>IF(AND($A541&lt;&gt;"",$O541=1,$L541="Débit",N($Q541)&gt;0,$A541&gt;=Visualisation!$B$1,$A541&lt;Visualisation!$D$1),MAX($V$1:V540)+1,"")</f>
        <v/>
      </c>
    </row>
    <row r="542" spans="1:22" x14ac:dyDescent="0.25">
      <c r="A542" s="9">
        <v>45928</v>
      </c>
      <c r="B542" s="4" t="s">
        <v>118</v>
      </c>
      <c r="C542" s="4" t="s">
        <v>75</v>
      </c>
      <c r="D542" s="4" t="s">
        <v>118</v>
      </c>
      <c r="E542" s="10">
        <v>3</v>
      </c>
      <c r="G542" s="4"/>
      <c r="H542" s="4"/>
      <c r="I542" s="4"/>
      <c r="K542" s="11">
        <f>IF($E542="","",ROUND($E542*IF(ISNA(MATCH($C542,'Paramètres'!$D:$D,0)),1,IF(INDEX('Paramètres'!$J:$J,MATCH($C542,'Paramètres'!$D:$D,0))="",1,INDEX('Paramètres'!$J:$J,MATCH($C542,'Paramètres'!$D:$D,0)))),2))</f>
        <v>3</v>
      </c>
      <c r="L542" s="6" t="str">
        <f>IF($D542="","",IF($F542&lt;&gt;"",$F542,IF(ISNA(MATCH($D542,'Paramètres'!$M:$M,0)),"⚠ Type inconnu",IFERROR(INDEX('Paramètres'!$P:$P,MATCH($D542,'Paramètres'!$M:$M,0))&amp;"",""))))</f>
        <v>Débit</v>
      </c>
      <c r="M542" s="6" t="str">
        <f>IF($D542="","",IF(ISNA(MATCH($D542,'Paramètres'!$M:$M,0)),"⚠ Type inconnu",IF($L542="Crédit","",IFERROR(INDEX('Paramètres'!$O:$O,MATCH($D542,'Paramètres'!$M:$M,0))&amp;"",""))))</f>
        <v>Dépense Fixe</v>
      </c>
      <c r="N542" s="6" t="str">
        <f>IF($D542="","",IFERROR(INDEX('Paramètres'!$Q:$Q,MATCH($D542,'Paramètres'!$M:$M,0))&amp;"",""))</f>
        <v>Banque</v>
      </c>
      <c r="O542" s="6">
        <f>IF($A542="","",IF(OR($J542&lt;&gt;"x",$A542&lt;=FinReleve),1,0))</f>
        <v>1</v>
      </c>
      <c r="P542" s="6">
        <f>IF($D542="","",IF(AND($L542="Crédit",OR(IFERROR(INDEX('Paramètres'!$O:$O,MATCH($D542,'Paramètres'!$M:$M,0))&amp;"","")&lt;&gt;"",ISNUMBER(SEARCH("remboursement",IFERROR(INDEX('Paramètres'!$N:$N,MATCH($D542,'Paramètres'!$M:$M,0))&amp;"",""))))),1,0))</f>
        <v>0</v>
      </c>
      <c r="Q542" s="6">
        <f>IF($K542="","",IF(ISNUMBER(SEARCH("transfert-interne",IFERROR(INDEX('Paramètres'!$N:$N,MATCH($D542,'Paramètres'!$M:$M,0))&amp;"",""))),0,IF($L542="Débit",$K542,IF($P542=1,-$K542,0))))</f>
        <v>3</v>
      </c>
      <c r="R542" s="6">
        <f>IF($K542="","",IF($L542="Crédit",$K542,-$K542))</f>
        <v>-3</v>
      </c>
      <c r="S542" s="6" t="str">
        <f>IF($C542="","",IFERROR(INDEX('Paramètres'!$H:$H,MATCH($C542,'Paramètres'!$D:$D,0))&amp;"",""))</f>
        <v/>
      </c>
      <c r="T542" s="6">
        <f>IF($K542="","",IF($S542="",0,IF(ISNUMBER(SEARCH("apport-exterieur",IFERROR(INDEX('Paramètres'!$N:$N,MATCH($D542,'Paramètres'!$M:$M,0))&amp;"",""))),0,IF(OR(IFERROR(INDEX('Paramètres'!$I:$I,MATCH($C542,'Paramètres'!$D:$D,0))&amp;"","")="Les deux",IFERROR(INDEX('Paramètres'!$I:$I,MATCH($C542,'Paramètres'!$D:$D,0))&amp;"","")=IF($P542=1,"Débit",$L542)),-IF($P542=1,-$K542,$K542),0))))</f>
        <v>0</v>
      </c>
      <c r="U542" s="6">
        <f>IF($K542="","",IF(ISNUMBER(SEARCH("sortie-epargne",IFERROR(INDEX('Paramètres'!$N:$N,MATCH($D542,'Paramètres'!$M:$M,0))&amp;"",""))),$K542,0))</f>
        <v>0</v>
      </c>
      <c r="V542" s="6" t="str">
        <f>IF(AND($A542&lt;&gt;"",$O542=1,$L542="Débit",N($Q542)&gt;0,$A542&gt;=Visualisation!$B$1,$A542&lt;Visualisation!$D$1),MAX($V$1:V541)+1,"")</f>
        <v/>
      </c>
    </row>
    <row r="543" spans="1:22" x14ac:dyDescent="0.25">
      <c r="A543" s="9">
        <v>45932</v>
      </c>
      <c r="B543" s="4" t="s">
        <v>64</v>
      </c>
      <c r="C543" s="4" t="s">
        <v>65</v>
      </c>
      <c r="D543" s="4" t="s">
        <v>66</v>
      </c>
      <c r="E543" s="10">
        <v>1160</v>
      </c>
      <c r="G543" s="4"/>
      <c r="H543" s="4"/>
      <c r="I543" s="4"/>
      <c r="K543" s="11">
        <f>IF($E543="","",ROUND($E543*IF(ISNA(MATCH($C543,'Paramètres'!$D:$D,0)),1,IF(INDEX('Paramètres'!$J:$J,MATCH($C543,'Paramètres'!$D:$D,0))="",1,INDEX('Paramètres'!$J:$J,MATCH($C543,'Paramètres'!$D:$D,0)))),2))</f>
        <v>1160</v>
      </c>
      <c r="L543" s="6" t="str">
        <f>IF($D543="","",IF($F543&lt;&gt;"",$F543,IF(ISNA(MATCH($D543,'Paramètres'!$M:$M,0)),"⚠ Type inconnu",IFERROR(INDEX('Paramètres'!$P:$P,MATCH($D543,'Paramètres'!$M:$M,0))&amp;"",""))))</f>
        <v>Crédit</v>
      </c>
      <c r="M543" s="6" t="str">
        <f>IF($D543="","",IF(ISNA(MATCH($D543,'Paramètres'!$M:$M,0)),"⚠ Type inconnu",IF($L543="Crédit","",IFERROR(INDEX('Paramètres'!$O:$O,MATCH($D543,'Paramètres'!$M:$M,0))&amp;"",""))))</f>
        <v/>
      </c>
      <c r="N543" s="6" t="str">
        <f>IF($D543="","",IFERROR(INDEX('Paramètres'!$Q:$Q,MATCH($D543,'Paramètres'!$M:$M,0))&amp;"",""))</f>
        <v>Comptes Bancaires</v>
      </c>
      <c r="O543" s="6">
        <f>IF($A543="","",IF(OR($J543&lt;&gt;"x",$A543&lt;=FinReleve),1,0))</f>
        <v>1</v>
      </c>
      <c r="P543" s="6">
        <f>IF($D543="","",IF(AND($L543="Crédit",OR(IFERROR(INDEX('Paramètres'!$O:$O,MATCH($D543,'Paramètres'!$M:$M,0))&amp;"","")&lt;&gt;"",ISNUMBER(SEARCH("remboursement",IFERROR(INDEX('Paramètres'!$N:$N,MATCH($D543,'Paramètres'!$M:$M,0))&amp;"",""))))),1,0))</f>
        <v>0</v>
      </c>
      <c r="Q543" s="6">
        <f>IF($K543="","",IF(ISNUMBER(SEARCH("transfert-interne",IFERROR(INDEX('Paramètres'!$N:$N,MATCH($D543,'Paramètres'!$M:$M,0))&amp;"",""))),0,IF($L543="Débit",$K543,IF($P543=1,-$K543,0))))</f>
        <v>0</v>
      </c>
      <c r="R543" s="6">
        <f>IF($K543="","",IF($L543="Crédit",$K543,-$K543))</f>
        <v>1160</v>
      </c>
      <c r="S543" s="6" t="str">
        <f>IF($C543="","",IFERROR(INDEX('Paramètres'!$H:$H,MATCH($C543,'Paramètres'!$D:$D,0))&amp;"",""))</f>
        <v>Banque A - Courant</v>
      </c>
      <c r="T543" s="6">
        <f>IF($K543="","",IF($S543="",0,IF(ISNUMBER(SEARCH("apport-exterieur",IFERROR(INDEX('Paramètres'!$N:$N,MATCH($D543,'Paramètres'!$M:$M,0))&amp;"",""))),0,IF(OR(IFERROR(INDEX('Paramètres'!$I:$I,MATCH($C543,'Paramètres'!$D:$D,0))&amp;"","")="Les deux",IFERROR(INDEX('Paramètres'!$I:$I,MATCH($C543,'Paramètres'!$D:$D,0))&amp;"","")=IF($P543=1,"Débit",$L543)),-IF($P543=1,-$K543,$K543),0))))</f>
        <v>-1160</v>
      </c>
      <c r="U543" s="6">
        <f>IF($K543="","",IF(ISNUMBER(SEARCH("sortie-epargne",IFERROR(INDEX('Paramètres'!$N:$N,MATCH($D543,'Paramètres'!$M:$M,0))&amp;"",""))),$K543,0))</f>
        <v>0</v>
      </c>
      <c r="V543" s="6" t="str">
        <f>IF(AND($A543&lt;&gt;"",$O543=1,$L543="Débit",N($Q543)&gt;0,$A543&gt;=Visualisation!$B$1,$A543&lt;Visualisation!$D$1),MAX($V$1:V542)+1,"")</f>
        <v/>
      </c>
    </row>
    <row r="544" spans="1:22" x14ac:dyDescent="0.25">
      <c r="A544" s="9">
        <v>45932</v>
      </c>
      <c r="B544" s="4" t="s">
        <v>64</v>
      </c>
      <c r="C544" s="4" t="s">
        <v>67</v>
      </c>
      <c r="D544" s="4" t="s">
        <v>68</v>
      </c>
      <c r="E544" s="10">
        <v>600</v>
      </c>
      <c r="G544" s="4"/>
      <c r="H544" s="4"/>
      <c r="I544" s="4"/>
      <c r="K544" s="11">
        <f>IF($E544="","",ROUND($E544*IF(ISNA(MATCH($C544,'Paramètres'!$D:$D,0)),1,IF(INDEX('Paramètres'!$J:$J,MATCH($C544,'Paramètres'!$D:$D,0))="",1,INDEX('Paramètres'!$J:$J,MATCH($C544,'Paramètres'!$D:$D,0)))),2))</f>
        <v>300</v>
      </c>
      <c r="L544" s="6" t="str">
        <f>IF($D544="","",IF($F544&lt;&gt;"",$F544,IF(ISNA(MATCH($D544,'Paramètres'!$M:$M,0)),"⚠ Type inconnu",IFERROR(INDEX('Paramètres'!$P:$P,MATCH($D544,'Paramètres'!$M:$M,0))&amp;"",""))))</f>
        <v>Crédit</v>
      </c>
      <c r="M544" s="6" t="str">
        <f>IF($D544="","",IF(ISNA(MATCH($D544,'Paramètres'!$M:$M,0)),"⚠ Type inconnu",IF($L544="Crédit","",IFERROR(INDEX('Paramètres'!$O:$O,MATCH($D544,'Paramètres'!$M:$M,0))&amp;"",""))))</f>
        <v/>
      </c>
      <c r="N544" s="6" t="str">
        <f>IF($D544="","",IFERROR(INDEX('Paramètres'!$Q:$Q,MATCH($D544,'Paramètres'!$M:$M,0))&amp;"",""))</f>
        <v>Comptes Bancaires</v>
      </c>
      <c r="O544" s="6">
        <f>IF($A544="","",IF(OR($J544&lt;&gt;"x",$A544&lt;=FinReleve),1,0))</f>
        <v>1</v>
      </c>
      <c r="P544" s="6">
        <f>IF($D544="","",IF(AND($L544="Crédit",OR(IFERROR(INDEX('Paramètres'!$O:$O,MATCH($D544,'Paramètres'!$M:$M,0))&amp;"","")&lt;&gt;"",ISNUMBER(SEARCH("remboursement",IFERROR(INDEX('Paramètres'!$N:$N,MATCH($D544,'Paramètres'!$M:$M,0))&amp;"",""))))),1,0))</f>
        <v>0</v>
      </c>
      <c r="Q544" s="6">
        <f>IF($K544="","",IF(ISNUMBER(SEARCH("transfert-interne",IFERROR(INDEX('Paramètres'!$N:$N,MATCH($D544,'Paramètres'!$M:$M,0))&amp;"",""))),0,IF($L544="Débit",$K544,IF($P544=1,-$K544,0))))</f>
        <v>0</v>
      </c>
      <c r="R544" s="6">
        <f>IF($K544="","",IF($L544="Crédit",$K544,-$K544))</f>
        <v>300</v>
      </c>
      <c r="S544" s="6" t="str">
        <f>IF($C544="","",IFERROR(INDEX('Paramètres'!$H:$H,MATCH($C544,'Paramètres'!$D:$D,0))&amp;"",""))</f>
        <v>Banque A - Courant</v>
      </c>
      <c r="T544" s="6">
        <f>IF($K544="","",IF($S544="",0,IF(ISNUMBER(SEARCH("apport-exterieur",IFERROR(INDEX('Paramètres'!$N:$N,MATCH($D544,'Paramètres'!$M:$M,0))&amp;"",""))),0,IF(OR(IFERROR(INDEX('Paramètres'!$I:$I,MATCH($C544,'Paramètres'!$D:$D,0))&amp;"","")="Les deux",IFERROR(INDEX('Paramètres'!$I:$I,MATCH($C544,'Paramètres'!$D:$D,0))&amp;"","")=IF($P544=1,"Débit",$L544)),-IF($P544=1,-$K544,$K544),0))))</f>
        <v>-300</v>
      </c>
      <c r="U544" s="6">
        <f>IF($K544="","",IF(ISNUMBER(SEARCH("sortie-epargne",IFERROR(INDEX('Paramètres'!$N:$N,MATCH($D544,'Paramètres'!$M:$M,0))&amp;"",""))),$K544,0))</f>
        <v>0</v>
      </c>
      <c r="V544" s="6" t="str">
        <f>IF(AND($A544&lt;&gt;"",$O544=1,$L544="Débit",N($Q544)&gt;0,$A544&gt;=Visualisation!$B$1,$A544&lt;Visualisation!$D$1),MAX($V$1:V543)+1,"")</f>
        <v/>
      </c>
    </row>
    <row r="545" spans="1:22" x14ac:dyDescent="0.25">
      <c r="A545" s="9">
        <v>45933</v>
      </c>
      <c r="B545" s="4" t="s">
        <v>74</v>
      </c>
      <c r="C545" s="4" t="s">
        <v>75</v>
      </c>
      <c r="D545" s="4" t="s">
        <v>74</v>
      </c>
      <c r="E545" s="10">
        <v>88.8</v>
      </c>
      <c r="G545" s="4"/>
      <c r="H545" s="4"/>
      <c r="I545" s="4"/>
      <c r="K545" s="11">
        <f>IF($E545="","",ROUND($E545*IF(ISNA(MATCH($C545,'Paramètres'!$D:$D,0)),1,IF(INDEX('Paramètres'!$J:$J,MATCH($C545,'Paramètres'!$D:$D,0))="",1,INDEX('Paramètres'!$J:$J,MATCH($C545,'Paramètres'!$D:$D,0)))),2))</f>
        <v>88.8</v>
      </c>
      <c r="L545" s="6" t="str">
        <f>IF($D545="","",IF($F545&lt;&gt;"",$F545,IF(ISNA(MATCH($D545,'Paramètres'!$M:$M,0)),"⚠ Type inconnu",IFERROR(INDEX('Paramètres'!$P:$P,MATCH($D545,'Paramètres'!$M:$M,0))&amp;"",""))))</f>
        <v>Débit</v>
      </c>
      <c r="M545" s="6" t="str">
        <f>IF($D545="","",IF(ISNA(MATCH($D545,'Paramètres'!$M:$M,0)),"⚠ Type inconnu",IF($L545="Crédit","",IFERROR(INDEX('Paramètres'!$O:$O,MATCH($D545,'Paramètres'!$M:$M,0))&amp;"",""))))</f>
        <v>Dépense Fixe</v>
      </c>
      <c r="N545" s="6" t="str">
        <f>IF($D545="","",IFERROR(INDEX('Paramètres'!$Q:$Q,MATCH($D545,'Paramètres'!$M:$M,0))&amp;"",""))</f>
        <v>Transport</v>
      </c>
      <c r="O545" s="6">
        <f>IF($A545="","",IF(OR($J545&lt;&gt;"x",$A545&lt;=FinReleve),1,0))</f>
        <v>1</v>
      </c>
      <c r="P545" s="6">
        <f>IF($D545="","",IF(AND($L545="Crédit",OR(IFERROR(INDEX('Paramètres'!$O:$O,MATCH($D545,'Paramètres'!$M:$M,0))&amp;"","")&lt;&gt;"",ISNUMBER(SEARCH("remboursement",IFERROR(INDEX('Paramètres'!$N:$N,MATCH($D545,'Paramètres'!$M:$M,0))&amp;"",""))))),1,0))</f>
        <v>0</v>
      </c>
      <c r="Q545" s="6">
        <f>IF($K545="","",IF(ISNUMBER(SEARCH("transfert-interne",IFERROR(INDEX('Paramètres'!$N:$N,MATCH($D545,'Paramètres'!$M:$M,0))&amp;"",""))),0,IF($L545="Débit",$K545,IF($P545=1,-$K545,0))))</f>
        <v>88.8</v>
      </c>
      <c r="R545" s="6">
        <f>IF($K545="","",IF($L545="Crédit",$K545,-$K545))</f>
        <v>-88.8</v>
      </c>
      <c r="S545" s="6" t="str">
        <f>IF($C545="","",IFERROR(INDEX('Paramètres'!$H:$H,MATCH($C545,'Paramètres'!$D:$D,0))&amp;"",""))</f>
        <v/>
      </c>
      <c r="T545" s="6">
        <f>IF($K545="","",IF($S545="",0,IF(ISNUMBER(SEARCH("apport-exterieur",IFERROR(INDEX('Paramètres'!$N:$N,MATCH($D545,'Paramètres'!$M:$M,0))&amp;"",""))),0,IF(OR(IFERROR(INDEX('Paramètres'!$I:$I,MATCH($C545,'Paramètres'!$D:$D,0))&amp;"","")="Les deux",IFERROR(INDEX('Paramètres'!$I:$I,MATCH($C545,'Paramètres'!$D:$D,0))&amp;"","")=IF($P545=1,"Débit",$L545)),-IF($P545=1,-$K545,$K545),0))))</f>
        <v>0</v>
      </c>
      <c r="U545" s="6">
        <f>IF($K545="","",IF(ISNUMBER(SEARCH("sortie-epargne",IFERROR(INDEX('Paramètres'!$N:$N,MATCH($D545,'Paramètres'!$M:$M,0))&amp;"",""))),$K545,0))</f>
        <v>0</v>
      </c>
      <c r="V545" s="6" t="str">
        <f>IF(AND($A545&lt;&gt;"",$O545=1,$L545="Débit",N($Q545)&gt;0,$A545&gt;=Visualisation!$B$1,$A545&lt;Visualisation!$D$1),MAX($V$1:V544)+1,"")</f>
        <v/>
      </c>
    </row>
    <row r="546" spans="1:22" x14ac:dyDescent="0.25">
      <c r="A546" s="9">
        <v>45933</v>
      </c>
      <c r="B546" s="4" t="s">
        <v>76</v>
      </c>
      <c r="C546" s="4" t="s">
        <v>60</v>
      </c>
      <c r="D546" s="4" t="s">
        <v>77</v>
      </c>
      <c r="E546" s="10">
        <v>171.26</v>
      </c>
      <c r="G546" s="4" t="s">
        <v>102</v>
      </c>
      <c r="H546" s="4"/>
      <c r="I546" s="4" t="s">
        <v>63</v>
      </c>
      <c r="K546" s="11">
        <f>IF($E546="","",ROUND($E546*IF(ISNA(MATCH($C546,'Paramètres'!$D:$D,0)),1,IF(INDEX('Paramètres'!$J:$J,MATCH($C546,'Paramètres'!$D:$D,0))="",1,INDEX('Paramètres'!$J:$J,MATCH($C546,'Paramètres'!$D:$D,0)))),2))</f>
        <v>85.63</v>
      </c>
      <c r="L546" s="6" t="str">
        <f>IF($D546="","",IF($F546&lt;&gt;"",$F546,IF(ISNA(MATCH($D546,'Paramètres'!$M:$M,0)),"⚠ Type inconnu",IFERROR(INDEX('Paramètres'!$P:$P,MATCH($D546,'Paramètres'!$M:$M,0))&amp;"",""))))</f>
        <v>Débit</v>
      </c>
      <c r="M546" s="6" t="str">
        <f>IF($D546="","",IF(ISNA(MATCH($D546,'Paramètres'!$M:$M,0)),"⚠ Type inconnu",IF($L546="Crédit","",IFERROR(INDEX('Paramètres'!$O:$O,MATCH($D546,'Paramètres'!$M:$M,0))&amp;"",""))))</f>
        <v>Dépense Courante</v>
      </c>
      <c r="N546" s="6" t="str">
        <f>IF($D546="","",IFERROR(INDEX('Paramètres'!$Q:$Q,MATCH($D546,'Paramètres'!$M:$M,0))&amp;"",""))</f>
        <v>Alimentation</v>
      </c>
      <c r="O546" s="6">
        <f>IF($A546="","",IF(OR($J546&lt;&gt;"x",$A546&lt;=FinReleve),1,0))</f>
        <v>1</v>
      </c>
      <c r="P546" s="6">
        <f>IF($D546="","",IF(AND($L546="Crédit",OR(IFERROR(INDEX('Paramètres'!$O:$O,MATCH($D546,'Paramètres'!$M:$M,0))&amp;"","")&lt;&gt;"",ISNUMBER(SEARCH("remboursement",IFERROR(INDEX('Paramètres'!$N:$N,MATCH($D546,'Paramètres'!$M:$M,0))&amp;"",""))))),1,0))</f>
        <v>0</v>
      </c>
      <c r="Q546" s="6">
        <f>IF($K546="","",IF(ISNUMBER(SEARCH("transfert-interne",IFERROR(INDEX('Paramètres'!$N:$N,MATCH($D546,'Paramètres'!$M:$M,0))&amp;"",""))),0,IF($L546="Débit",$K546,IF($P546=1,-$K546,0))))</f>
        <v>85.63</v>
      </c>
      <c r="R546" s="6">
        <f>IF($K546="","",IF($L546="Crédit",$K546,-$K546))</f>
        <v>-85.63</v>
      </c>
      <c r="S546" s="6" t="str">
        <f>IF($C546="","",IFERROR(INDEX('Paramètres'!$H:$H,MATCH($C546,'Paramètres'!$D:$D,0))&amp;"",""))</f>
        <v>Banque A - Courant</v>
      </c>
      <c r="T546" s="6">
        <f>IF($K546="","",IF($S546="",0,IF(ISNUMBER(SEARCH("apport-exterieur",IFERROR(INDEX('Paramètres'!$N:$N,MATCH($D546,'Paramètres'!$M:$M,0))&amp;"",""))),0,IF(OR(IFERROR(INDEX('Paramètres'!$I:$I,MATCH($C546,'Paramètres'!$D:$D,0))&amp;"","")="Les deux",IFERROR(INDEX('Paramètres'!$I:$I,MATCH($C546,'Paramètres'!$D:$D,0))&amp;"","")=IF($P546=1,"Débit",$L546)),-IF($P546=1,-$K546,$K546),0))))</f>
        <v>-85.63</v>
      </c>
      <c r="U546" s="6">
        <f>IF($K546="","",IF(ISNUMBER(SEARCH("sortie-epargne",IFERROR(INDEX('Paramètres'!$N:$N,MATCH($D546,'Paramètres'!$M:$M,0))&amp;"",""))),$K546,0))</f>
        <v>0</v>
      </c>
      <c r="V546" s="6" t="str">
        <f>IF(AND($A546&lt;&gt;"",$O546=1,$L546="Débit",N($Q546)&gt;0,$A546&gt;=Visualisation!$B$1,$A546&lt;Visualisation!$D$1),MAX($V$1:V545)+1,"")</f>
        <v/>
      </c>
    </row>
    <row r="547" spans="1:22" x14ac:dyDescent="0.25">
      <c r="A547" s="9">
        <v>45933</v>
      </c>
      <c r="B547" s="4" t="s">
        <v>69</v>
      </c>
      <c r="C547" s="4" t="s">
        <v>70</v>
      </c>
      <c r="D547" s="4" t="s">
        <v>71</v>
      </c>
      <c r="E547" s="10">
        <v>9.65</v>
      </c>
      <c r="G547" s="4" t="s">
        <v>72</v>
      </c>
      <c r="H547" s="4"/>
      <c r="I547" s="4"/>
      <c r="K547" s="11">
        <f>IF($E547="","",ROUND($E547*IF(ISNA(MATCH($C547,'Paramètres'!$D:$D,0)),1,IF(INDEX('Paramètres'!$J:$J,MATCH($C547,'Paramètres'!$D:$D,0))="",1,INDEX('Paramètres'!$J:$J,MATCH($C547,'Paramètres'!$D:$D,0)))),2))</f>
        <v>9.65</v>
      </c>
      <c r="L547" s="6" t="str">
        <f>IF($D547="","",IF($F547&lt;&gt;"",$F547,IF(ISNA(MATCH($D547,'Paramètres'!$M:$M,0)),"⚠ Type inconnu",IFERROR(INDEX('Paramètres'!$P:$P,MATCH($D547,'Paramètres'!$M:$M,0))&amp;"",""))))</f>
        <v>Débit</v>
      </c>
      <c r="M547" s="6" t="str">
        <f>IF($D547="","",IF(ISNA(MATCH($D547,'Paramètres'!$M:$M,0)),"⚠ Type inconnu",IF($L547="Crédit","",IFERROR(INDEX('Paramètres'!$O:$O,MATCH($D547,'Paramètres'!$M:$M,0))&amp;"",""))))</f>
        <v>Dépense Courante</v>
      </c>
      <c r="N547" s="6" t="str">
        <f>IF($D547="","",IFERROR(INDEX('Paramètres'!$Q:$Q,MATCH($D547,'Paramètres'!$M:$M,0))&amp;"",""))</f>
        <v>Alimentation</v>
      </c>
      <c r="O547" s="6">
        <f>IF($A547="","",IF(OR($J547&lt;&gt;"x",$A547&lt;=FinReleve),1,0))</f>
        <v>1</v>
      </c>
      <c r="P547" s="6">
        <f>IF($D547="","",IF(AND($L547="Crédit",OR(IFERROR(INDEX('Paramètres'!$O:$O,MATCH($D547,'Paramètres'!$M:$M,0))&amp;"","")&lt;&gt;"",ISNUMBER(SEARCH("remboursement",IFERROR(INDEX('Paramètres'!$N:$N,MATCH($D547,'Paramètres'!$M:$M,0))&amp;"",""))))),1,0))</f>
        <v>0</v>
      </c>
      <c r="Q547" s="6">
        <f>IF($K547="","",IF(ISNUMBER(SEARCH("transfert-interne",IFERROR(INDEX('Paramètres'!$N:$N,MATCH($D547,'Paramètres'!$M:$M,0))&amp;"",""))),0,IF($L547="Débit",$K547,IF($P547=1,-$K547,0))))</f>
        <v>9.65</v>
      </c>
      <c r="R547" s="6">
        <f>IF($K547="","",IF($L547="Crédit",$K547,-$K547))</f>
        <v>-9.65</v>
      </c>
      <c r="S547" s="6" t="str">
        <f>IF($C547="","",IFERROR(INDEX('Paramètres'!$H:$H,MATCH($C547,'Paramètres'!$D:$D,0))&amp;"",""))</f>
        <v/>
      </c>
      <c r="T547" s="6">
        <f>IF($K547="","",IF($S547="",0,IF(ISNUMBER(SEARCH("apport-exterieur",IFERROR(INDEX('Paramètres'!$N:$N,MATCH($D547,'Paramètres'!$M:$M,0))&amp;"",""))),0,IF(OR(IFERROR(INDEX('Paramètres'!$I:$I,MATCH($C547,'Paramètres'!$D:$D,0))&amp;"","")="Les deux",IFERROR(INDEX('Paramètres'!$I:$I,MATCH($C547,'Paramètres'!$D:$D,0))&amp;"","")=IF($P547=1,"Débit",$L547)),-IF($P547=1,-$K547,$K547),0))))</f>
        <v>0</v>
      </c>
      <c r="U547" s="6">
        <f>IF($K547="","",IF(ISNUMBER(SEARCH("sortie-epargne",IFERROR(INDEX('Paramètres'!$N:$N,MATCH($D547,'Paramètres'!$M:$M,0))&amp;"",""))),$K547,0))</f>
        <v>0</v>
      </c>
      <c r="V547" s="6" t="str">
        <f>IF(AND($A547&lt;&gt;"",$O547=1,$L547="Débit",N($Q547)&gt;0,$A547&gt;=Visualisation!$B$1,$A547&lt;Visualisation!$D$1),MAX($V$1:V546)+1,"")</f>
        <v/>
      </c>
    </row>
    <row r="548" spans="1:22" x14ac:dyDescent="0.25">
      <c r="A548" s="9">
        <v>45934</v>
      </c>
      <c r="B548" s="4" t="s">
        <v>80</v>
      </c>
      <c r="C548" s="4" t="s">
        <v>70</v>
      </c>
      <c r="D548" s="4" t="s">
        <v>81</v>
      </c>
      <c r="E548" s="10">
        <v>117.96</v>
      </c>
      <c r="G548" s="4"/>
      <c r="H548" s="4"/>
      <c r="I548" s="4"/>
      <c r="K548" s="11">
        <f>IF($E548="","",ROUND($E548*IF(ISNA(MATCH($C548,'Paramètres'!$D:$D,0)),1,IF(INDEX('Paramètres'!$J:$J,MATCH($C548,'Paramètres'!$D:$D,0))="",1,INDEX('Paramètres'!$J:$J,MATCH($C548,'Paramètres'!$D:$D,0)))),2))</f>
        <v>117.96</v>
      </c>
      <c r="L548" s="6" t="str">
        <f>IF($D548="","",IF($F548&lt;&gt;"",$F548,IF(ISNA(MATCH($D548,'Paramètres'!$M:$M,0)),"⚠ Type inconnu",IFERROR(INDEX('Paramètres'!$P:$P,MATCH($D548,'Paramètres'!$M:$M,0))&amp;"",""))))</f>
        <v>Crédit</v>
      </c>
      <c r="M548" s="6" t="str">
        <f>IF($D548="","",IF(ISNA(MATCH($D548,'Paramètres'!$M:$M,0)),"⚠ Type inconnu",IF($L548="Crédit","",IFERROR(INDEX('Paramètres'!$O:$O,MATCH($D548,'Paramètres'!$M:$M,0))&amp;"",""))))</f>
        <v/>
      </c>
      <c r="N548" s="6" t="str">
        <f>IF($D548="","",IFERROR(INDEX('Paramètres'!$Q:$Q,MATCH($D548,'Paramètres'!$M:$M,0))&amp;"",""))</f>
        <v>Comptes Bancaires</v>
      </c>
      <c r="O548" s="6">
        <f>IF($A548="","",IF(OR($J548&lt;&gt;"x",$A548&lt;=FinReleve),1,0))</f>
        <v>1</v>
      </c>
      <c r="P548" s="6">
        <f>IF($D548="","",IF(AND($L548="Crédit",OR(IFERROR(INDEX('Paramètres'!$O:$O,MATCH($D548,'Paramètres'!$M:$M,0))&amp;"","")&lt;&gt;"",ISNUMBER(SEARCH("remboursement",IFERROR(INDEX('Paramètres'!$N:$N,MATCH($D548,'Paramètres'!$M:$M,0))&amp;"",""))))),1,0))</f>
        <v>0</v>
      </c>
      <c r="Q548" s="6">
        <f>IF($K548="","",IF(ISNUMBER(SEARCH("transfert-interne",IFERROR(INDEX('Paramètres'!$N:$N,MATCH($D548,'Paramètres'!$M:$M,0))&amp;"",""))),0,IF($L548="Débit",$K548,IF($P548=1,-$K548,0))))</f>
        <v>0</v>
      </c>
      <c r="R548" s="6">
        <f>IF($K548="","",IF($L548="Crédit",$K548,-$K548))</f>
        <v>117.96</v>
      </c>
      <c r="S548" s="6" t="str">
        <f>IF($C548="","",IFERROR(INDEX('Paramètres'!$H:$H,MATCH($C548,'Paramètres'!$D:$D,0))&amp;"",""))</f>
        <v/>
      </c>
      <c r="T548" s="6">
        <f>IF($K548="","",IF($S548="",0,IF(ISNUMBER(SEARCH("apport-exterieur",IFERROR(INDEX('Paramètres'!$N:$N,MATCH($D548,'Paramètres'!$M:$M,0))&amp;"",""))),0,IF(OR(IFERROR(INDEX('Paramètres'!$I:$I,MATCH($C548,'Paramètres'!$D:$D,0))&amp;"","")="Les deux",IFERROR(INDEX('Paramètres'!$I:$I,MATCH($C548,'Paramètres'!$D:$D,0))&amp;"","")=IF($P548=1,"Débit",$L548)),-IF($P548=1,-$K548,$K548),0))))</f>
        <v>0</v>
      </c>
      <c r="U548" s="6">
        <f>IF($K548="","",IF(ISNUMBER(SEARCH("sortie-epargne",IFERROR(INDEX('Paramètres'!$N:$N,MATCH($D548,'Paramètres'!$M:$M,0))&amp;"",""))),$K548,0))</f>
        <v>0</v>
      </c>
      <c r="V548" s="6" t="str">
        <f>IF(AND($A548&lt;&gt;"",$O548=1,$L548="Débit",N($Q548)&gt;0,$A548&gt;=Visualisation!$B$1,$A548&lt;Visualisation!$D$1),MAX($V$1:V547)+1,"")</f>
        <v/>
      </c>
    </row>
    <row r="549" spans="1:22" x14ac:dyDescent="0.25">
      <c r="A549" s="9">
        <v>45935</v>
      </c>
      <c r="B549" s="4" t="s">
        <v>82</v>
      </c>
      <c r="C549" s="4" t="s">
        <v>65</v>
      </c>
      <c r="D549" s="4" t="s">
        <v>83</v>
      </c>
      <c r="E549" s="10">
        <v>658.22</v>
      </c>
      <c r="G549" s="4" t="s">
        <v>84</v>
      </c>
      <c r="H549" s="4"/>
      <c r="I549" s="4"/>
      <c r="K549" s="11">
        <f>IF($E549="","",ROUND($E549*IF(ISNA(MATCH($C549,'Paramètres'!$D:$D,0)),1,IF(INDEX('Paramètres'!$J:$J,MATCH($C549,'Paramètres'!$D:$D,0))="",1,INDEX('Paramètres'!$J:$J,MATCH($C549,'Paramètres'!$D:$D,0)))),2))</f>
        <v>658.22</v>
      </c>
      <c r="L549" s="6" t="str">
        <f>IF($D549="","",IF($F549&lt;&gt;"",$F549,IF(ISNA(MATCH($D549,'Paramètres'!$M:$M,0)),"⚠ Type inconnu",IFERROR(INDEX('Paramètres'!$P:$P,MATCH($D549,'Paramètres'!$M:$M,0))&amp;"",""))))</f>
        <v>Débit</v>
      </c>
      <c r="M549" s="6" t="str">
        <f>IF($D549="","",IF(ISNA(MATCH($D549,'Paramètres'!$M:$M,0)),"⚠ Type inconnu",IF($L549="Crédit","",IFERROR(INDEX('Paramètres'!$O:$O,MATCH($D549,'Paramètres'!$M:$M,0))&amp;"",""))))</f>
        <v/>
      </c>
      <c r="N549" s="6" t="str">
        <f>IF($D549="","",IFERROR(INDEX('Paramètres'!$Q:$Q,MATCH($D549,'Paramètres'!$M:$M,0))&amp;"",""))</f>
        <v>Immobilier</v>
      </c>
      <c r="O549" s="6">
        <f>IF($A549="","",IF(OR($J549&lt;&gt;"x",$A549&lt;=FinReleve),1,0))</f>
        <v>1</v>
      </c>
      <c r="P549" s="6">
        <f>IF($D549="","",IF(AND($L549="Crédit",OR(IFERROR(INDEX('Paramètres'!$O:$O,MATCH($D549,'Paramètres'!$M:$M,0))&amp;"","")&lt;&gt;"",ISNUMBER(SEARCH("remboursement",IFERROR(INDEX('Paramètres'!$N:$N,MATCH($D549,'Paramètres'!$M:$M,0))&amp;"",""))))),1,0))</f>
        <v>0</v>
      </c>
      <c r="Q549" s="6">
        <f>IF($K549="","",IF(ISNUMBER(SEARCH("transfert-interne",IFERROR(INDEX('Paramètres'!$N:$N,MATCH($D549,'Paramètres'!$M:$M,0))&amp;"",""))),0,IF($L549="Débit",$K549,IF($P549=1,-$K549,0))))</f>
        <v>658.22</v>
      </c>
      <c r="R549" s="6">
        <f>IF($K549="","",IF($L549="Crédit",$K549,-$K549))</f>
        <v>-658.22</v>
      </c>
      <c r="S549" s="6" t="str">
        <f>IF($C549="","",IFERROR(INDEX('Paramètres'!$H:$H,MATCH($C549,'Paramètres'!$D:$D,0))&amp;"",""))</f>
        <v>Banque A - Courant</v>
      </c>
      <c r="T549" s="6">
        <f>IF($K549="","",IF($S549="",0,IF(ISNUMBER(SEARCH("apport-exterieur",IFERROR(INDEX('Paramètres'!$N:$N,MATCH($D549,'Paramètres'!$M:$M,0))&amp;"",""))),0,IF(OR(IFERROR(INDEX('Paramètres'!$I:$I,MATCH($C549,'Paramètres'!$D:$D,0))&amp;"","")="Les deux",IFERROR(INDEX('Paramètres'!$I:$I,MATCH($C549,'Paramètres'!$D:$D,0))&amp;"","")=IF($P549=1,"Débit",$L549)),-IF($P549=1,-$K549,$K549),0))))</f>
        <v>0</v>
      </c>
      <c r="U549" s="6">
        <f>IF($K549="","",IF(ISNUMBER(SEARCH("sortie-epargne",IFERROR(INDEX('Paramètres'!$N:$N,MATCH($D549,'Paramètres'!$M:$M,0))&amp;"",""))),$K549,0))</f>
        <v>0</v>
      </c>
      <c r="V549" s="6" t="str">
        <f>IF(AND($A549&lt;&gt;"",$O549=1,$L549="Débit",N($Q549)&gt;0,$A549&gt;=Visualisation!$B$1,$A549&lt;Visualisation!$D$1),MAX($V$1:V548)+1,"")</f>
        <v/>
      </c>
    </row>
    <row r="550" spans="1:22" x14ac:dyDescent="0.25">
      <c r="A550" s="9">
        <v>45935</v>
      </c>
      <c r="B550" s="4" t="s">
        <v>85</v>
      </c>
      <c r="C550" s="4" t="s">
        <v>65</v>
      </c>
      <c r="D550" s="4" t="s">
        <v>86</v>
      </c>
      <c r="E550" s="10">
        <v>235.42</v>
      </c>
      <c r="G550" s="4" t="s">
        <v>87</v>
      </c>
      <c r="H550" s="4"/>
      <c r="I550" s="4"/>
      <c r="K550" s="11">
        <f>IF($E550="","",ROUND($E550*IF(ISNA(MATCH($C550,'Paramètres'!$D:$D,0)),1,IF(INDEX('Paramètres'!$J:$J,MATCH($C550,'Paramètres'!$D:$D,0))="",1,INDEX('Paramètres'!$J:$J,MATCH($C550,'Paramètres'!$D:$D,0)))),2))</f>
        <v>235.42</v>
      </c>
      <c r="L550" s="6" t="str">
        <f>IF($D550="","",IF($F550&lt;&gt;"",$F550,IF(ISNA(MATCH($D550,'Paramètres'!$M:$M,0)),"⚠ Type inconnu",IFERROR(INDEX('Paramètres'!$P:$P,MATCH($D550,'Paramètres'!$M:$M,0))&amp;"",""))))</f>
        <v>Débit</v>
      </c>
      <c r="M550" s="6" t="str">
        <f>IF($D550="","",IF(ISNA(MATCH($D550,'Paramètres'!$M:$M,0)),"⚠ Type inconnu",IF($L550="Crédit","",IFERROR(INDEX('Paramètres'!$O:$O,MATCH($D550,'Paramètres'!$M:$M,0))&amp;"",""))))</f>
        <v>Dépense Fixe</v>
      </c>
      <c r="N550" s="6" t="str">
        <f>IF($D550="","",IFERROR(INDEX('Paramètres'!$Q:$Q,MATCH($D550,'Paramètres'!$M:$M,0))&amp;"",""))</f>
        <v>Immobilier</v>
      </c>
      <c r="O550" s="6">
        <f>IF($A550="","",IF(OR($J550&lt;&gt;"x",$A550&lt;=FinReleve),1,0))</f>
        <v>1</v>
      </c>
      <c r="P550" s="6">
        <f>IF($D550="","",IF(AND($L550="Crédit",OR(IFERROR(INDEX('Paramètres'!$O:$O,MATCH($D550,'Paramètres'!$M:$M,0))&amp;"","")&lt;&gt;"",ISNUMBER(SEARCH("remboursement",IFERROR(INDEX('Paramètres'!$N:$N,MATCH($D550,'Paramètres'!$M:$M,0))&amp;"",""))))),1,0))</f>
        <v>0</v>
      </c>
      <c r="Q550" s="6">
        <f>IF($K550="","",IF(ISNUMBER(SEARCH("transfert-interne",IFERROR(INDEX('Paramètres'!$N:$N,MATCH($D550,'Paramètres'!$M:$M,0))&amp;"",""))),0,IF($L550="Débit",$K550,IF($P550=1,-$K550,0))))</f>
        <v>235.42</v>
      </c>
      <c r="R550" s="6">
        <f>IF($K550="","",IF($L550="Crédit",$K550,-$K550))</f>
        <v>-235.42</v>
      </c>
      <c r="S550" s="6" t="str">
        <f>IF($C550="","",IFERROR(INDEX('Paramètres'!$H:$H,MATCH($C550,'Paramètres'!$D:$D,0))&amp;"",""))</f>
        <v>Banque A - Courant</v>
      </c>
      <c r="T550" s="6">
        <f>IF($K550="","",IF($S550="",0,IF(ISNUMBER(SEARCH("apport-exterieur",IFERROR(INDEX('Paramètres'!$N:$N,MATCH($D550,'Paramètres'!$M:$M,0))&amp;"",""))),0,IF(OR(IFERROR(INDEX('Paramètres'!$I:$I,MATCH($C550,'Paramètres'!$D:$D,0))&amp;"","")="Les deux",IFERROR(INDEX('Paramètres'!$I:$I,MATCH($C550,'Paramètres'!$D:$D,0))&amp;"","")=IF($P550=1,"Débit",$L550)),-IF($P550=1,-$K550,$K550),0))))</f>
        <v>0</v>
      </c>
      <c r="U550" s="6">
        <f>IF($K550="","",IF(ISNUMBER(SEARCH("sortie-epargne",IFERROR(INDEX('Paramètres'!$N:$N,MATCH($D550,'Paramètres'!$M:$M,0))&amp;"",""))),$K550,0))</f>
        <v>0</v>
      </c>
      <c r="V550" s="6" t="str">
        <f>IF(AND($A550&lt;&gt;"",$O550=1,$L550="Débit",N($Q550)&gt;0,$A550&gt;=Visualisation!$B$1,$A550&lt;Visualisation!$D$1),MAX($V$1:V549)+1,"")</f>
        <v/>
      </c>
    </row>
    <row r="551" spans="1:22" x14ac:dyDescent="0.25">
      <c r="A551" s="9">
        <v>45935</v>
      </c>
      <c r="B551" s="4" t="s">
        <v>88</v>
      </c>
      <c r="C551" s="4" t="s">
        <v>65</v>
      </c>
      <c r="D551" s="4" t="s">
        <v>88</v>
      </c>
      <c r="E551" s="10">
        <v>31.2</v>
      </c>
      <c r="G551" s="4"/>
      <c r="H551" s="4"/>
      <c r="I551" s="4"/>
      <c r="K551" s="11">
        <f>IF($E551="","",ROUND($E551*IF(ISNA(MATCH($C551,'Paramètres'!$D:$D,0)),1,IF(INDEX('Paramètres'!$J:$J,MATCH($C551,'Paramètres'!$D:$D,0))="",1,INDEX('Paramètres'!$J:$J,MATCH($C551,'Paramètres'!$D:$D,0)))),2))</f>
        <v>31.2</v>
      </c>
      <c r="L551" s="6" t="str">
        <f>IF($D551="","",IF($F551&lt;&gt;"",$F551,IF(ISNA(MATCH($D551,'Paramètres'!$M:$M,0)),"⚠ Type inconnu",IFERROR(INDEX('Paramètres'!$P:$P,MATCH($D551,'Paramètres'!$M:$M,0))&amp;"",""))))</f>
        <v>Débit</v>
      </c>
      <c r="M551" s="6" t="str">
        <f>IF($D551="","",IF(ISNA(MATCH($D551,'Paramètres'!$M:$M,0)),"⚠ Type inconnu",IF($L551="Crédit","",IFERROR(INDEX('Paramètres'!$O:$O,MATCH($D551,'Paramètres'!$M:$M,0))&amp;"",""))))</f>
        <v>Dépense Fixe</v>
      </c>
      <c r="N551" s="6" t="str">
        <f>IF($D551="","",IFERROR(INDEX('Paramètres'!$Q:$Q,MATCH($D551,'Paramètres'!$M:$M,0))&amp;"",""))</f>
        <v>Assurances</v>
      </c>
      <c r="O551" s="6">
        <f>IF($A551="","",IF(OR($J551&lt;&gt;"x",$A551&lt;=FinReleve),1,0))</f>
        <v>1</v>
      </c>
      <c r="P551" s="6">
        <f>IF($D551="","",IF(AND($L551="Crédit",OR(IFERROR(INDEX('Paramètres'!$O:$O,MATCH($D551,'Paramètres'!$M:$M,0))&amp;"","")&lt;&gt;"",ISNUMBER(SEARCH("remboursement",IFERROR(INDEX('Paramètres'!$N:$N,MATCH($D551,'Paramètres'!$M:$M,0))&amp;"",""))))),1,0))</f>
        <v>0</v>
      </c>
      <c r="Q551" s="6">
        <f>IF($K551="","",IF(ISNUMBER(SEARCH("transfert-interne",IFERROR(INDEX('Paramètres'!$N:$N,MATCH($D551,'Paramètres'!$M:$M,0))&amp;"",""))),0,IF($L551="Débit",$K551,IF($P551=1,-$K551,0))))</f>
        <v>31.2</v>
      </c>
      <c r="R551" s="6">
        <f>IF($K551="","",IF($L551="Crédit",$K551,-$K551))</f>
        <v>-31.2</v>
      </c>
      <c r="S551" s="6" t="str">
        <f>IF($C551="","",IFERROR(INDEX('Paramètres'!$H:$H,MATCH($C551,'Paramètres'!$D:$D,0))&amp;"",""))</f>
        <v>Banque A - Courant</v>
      </c>
      <c r="T551" s="6">
        <f>IF($K551="","",IF($S551="",0,IF(ISNUMBER(SEARCH("apport-exterieur",IFERROR(INDEX('Paramètres'!$N:$N,MATCH($D551,'Paramètres'!$M:$M,0))&amp;"",""))),0,IF(OR(IFERROR(INDEX('Paramètres'!$I:$I,MATCH($C551,'Paramètres'!$D:$D,0))&amp;"","")="Les deux",IFERROR(INDEX('Paramètres'!$I:$I,MATCH($C551,'Paramètres'!$D:$D,0))&amp;"","")=IF($P551=1,"Débit",$L551)),-IF($P551=1,-$K551,$K551),0))))</f>
        <v>0</v>
      </c>
      <c r="U551" s="6">
        <f>IF($K551="","",IF(ISNUMBER(SEARCH("sortie-epargne",IFERROR(INDEX('Paramètres'!$N:$N,MATCH($D551,'Paramètres'!$M:$M,0))&amp;"",""))),$K551,0))</f>
        <v>0</v>
      </c>
      <c r="V551" s="6" t="str">
        <f>IF(AND($A551&lt;&gt;"",$O551=1,$L551="Débit",N($Q551)&gt;0,$A551&gt;=Visualisation!$B$1,$A551&lt;Visualisation!$D$1),MAX($V$1:V550)+1,"")</f>
        <v/>
      </c>
    </row>
    <row r="552" spans="1:22" x14ac:dyDescent="0.25">
      <c r="A552" s="9">
        <v>45935</v>
      </c>
      <c r="B552" s="4" t="s">
        <v>76</v>
      </c>
      <c r="C552" s="4" t="s">
        <v>67</v>
      </c>
      <c r="D552" s="4" t="s">
        <v>77</v>
      </c>
      <c r="E552" s="10">
        <v>29.7</v>
      </c>
      <c r="G552" s="4" t="s">
        <v>78</v>
      </c>
      <c r="H552" s="4"/>
      <c r="I552" s="4" t="s">
        <v>73</v>
      </c>
      <c r="K552" s="11">
        <f>IF($E552="","",ROUND($E552*IF(ISNA(MATCH($C552,'Paramètres'!$D:$D,0)),1,IF(INDEX('Paramètres'!$J:$J,MATCH($C552,'Paramètres'!$D:$D,0))="",1,INDEX('Paramètres'!$J:$J,MATCH($C552,'Paramètres'!$D:$D,0)))),2))</f>
        <v>14.85</v>
      </c>
      <c r="L552" s="6" t="str">
        <f>IF($D552="","",IF($F552&lt;&gt;"",$F552,IF(ISNA(MATCH($D552,'Paramètres'!$M:$M,0)),"⚠ Type inconnu",IFERROR(INDEX('Paramètres'!$P:$P,MATCH($D552,'Paramètres'!$M:$M,0))&amp;"",""))))</f>
        <v>Débit</v>
      </c>
      <c r="M552" s="6" t="str">
        <f>IF($D552="","",IF(ISNA(MATCH($D552,'Paramètres'!$M:$M,0)),"⚠ Type inconnu",IF($L552="Crédit","",IFERROR(INDEX('Paramètres'!$O:$O,MATCH($D552,'Paramètres'!$M:$M,0))&amp;"",""))))</f>
        <v>Dépense Courante</v>
      </c>
      <c r="N552" s="6" t="str">
        <f>IF($D552="","",IFERROR(INDEX('Paramètres'!$Q:$Q,MATCH($D552,'Paramètres'!$M:$M,0))&amp;"",""))</f>
        <v>Alimentation</v>
      </c>
      <c r="O552" s="6">
        <f>IF($A552="","",IF(OR($J552&lt;&gt;"x",$A552&lt;=FinReleve),1,0))</f>
        <v>1</v>
      </c>
      <c r="P552" s="6">
        <f>IF($D552="","",IF(AND($L552="Crédit",OR(IFERROR(INDEX('Paramètres'!$O:$O,MATCH($D552,'Paramètres'!$M:$M,0))&amp;"","")&lt;&gt;"",ISNUMBER(SEARCH("remboursement",IFERROR(INDEX('Paramètres'!$N:$N,MATCH($D552,'Paramètres'!$M:$M,0))&amp;"",""))))),1,0))</f>
        <v>0</v>
      </c>
      <c r="Q552" s="6">
        <f>IF($K552="","",IF(ISNUMBER(SEARCH("transfert-interne",IFERROR(INDEX('Paramètres'!$N:$N,MATCH($D552,'Paramètres'!$M:$M,0))&amp;"",""))),0,IF($L552="Débit",$K552,IF($P552=1,-$K552,0))))</f>
        <v>14.85</v>
      </c>
      <c r="R552" s="6">
        <f>IF($K552="","",IF($L552="Crédit",$K552,-$K552))</f>
        <v>-14.85</v>
      </c>
      <c r="S552" s="6" t="str">
        <f>IF($C552="","",IFERROR(INDEX('Paramètres'!$H:$H,MATCH($C552,'Paramètres'!$D:$D,0))&amp;"",""))</f>
        <v>Banque A - Courant</v>
      </c>
      <c r="T552" s="6">
        <f>IF($K552="","",IF($S552="",0,IF(ISNUMBER(SEARCH("apport-exterieur",IFERROR(INDEX('Paramètres'!$N:$N,MATCH($D552,'Paramètres'!$M:$M,0))&amp;"",""))),0,IF(OR(IFERROR(INDEX('Paramètres'!$I:$I,MATCH($C552,'Paramètres'!$D:$D,0))&amp;"","")="Les deux",IFERROR(INDEX('Paramètres'!$I:$I,MATCH($C552,'Paramètres'!$D:$D,0))&amp;"","")=IF($P552=1,"Débit",$L552)),-IF($P552=1,-$K552,$K552),0))))</f>
        <v>0</v>
      </c>
      <c r="U552" s="6">
        <f>IF($K552="","",IF(ISNUMBER(SEARCH("sortie-epargne",IFERROR(INDEX('Paramètres'!$N:$N,MATCH($D552,'Paramètres'!$M:$M,0))&amp;"",""))),$K552,0))</f>
        <v>0</v>
      </c>
      <c r="V552" s="6" t="str">
        <f>IF(AND($A552&lt;&gt;"",$O552=1,$L552="Débit",N($Q552)&gt;0,$A552&gt;=Visualisation!$B$1,$A552&lt;Visualisation!$D$1),MAX($V$1:V551)+1,"")</f>
        <v/>
      </c>
    </row>
    <row r="553" spans="1:22" x14ac:dyDescent="0.25">
      <c r="A553" s="9">
        <v>45935</v>
      </c>
      <c r="B553" s="4" t="s">
        <v>69</v>
      </c>
      <c r="C553" s="4" t="s">
        <v>70</v>
      </c>
      <c r="D553" s="4" t="s">
        <v>71</v>
      </c>
      <c r="E553" s="10">
        <v>12.11</v>
      </c>
      <c r="G553" s="4" t="s">
        <v>72</v>
      </c>
      <c r="H553" s="4"/>
      <c r="I553" s="4" t="s">
        <v>63</v>
      </c>
      <c r="K553" s="11">
        <f>IF($E553="","",ROUND($E553*IF(ISNA(MATCH($C553,'Paramètres'!$D:$D,0)),1,IF(INDEX('Paramètres'!$J:$J,MATCH($C553,'Paramètres'!$D:$D,0))="",1,INDEX('Paramètres'!$J:$J,MATCH($C553,'Paramètres'!$D:$D,0)))),2))</f>
        <v>12.11</v>
      </c>
      <c r="L553" s="6" t="str">
        <f>IF($D553="","",IF($F553&lt;&gt;"",$F553,IF(ISNA(MATCH($D553,'Paramètres'!$M:$M,0)),"⚠ Type inconnu",IFERROR(INDEX('Paramètres'!$P:$P,MATCH($D553,'Paramètres'!$M:$M,0))&amp;"",""))))</f>
        <v>Débit</v>
      </c>
      <c r="M553" s="6" t="str">
        <f>IF($D553="","",IF(ISNA(MATCH($D553,'Paramètres'!$M:$M,0)),"⚠ Type inconnu",IF($L553="Crédit","",IFERROR(INDEX('Paramètres'!$O:$O,MATCH($D553,'Paramètres'!$M:$M,0))&amp;"",""))))</f>
        <v>Dépense Courante</v>
      </c>
      <c r="N553" s="6" t="str">
        <f>IF($D553="","",IFERROR(INDEX('Paramètres'!$Q:$Q,MATCH($D553,'Paramètres'!$M:$M,0))&amp;"",""))</f>
        <v>Alimentation</v>
      </c>
      <c r="O553" s="6">
        <f>IF($A553="","",IF(OR($J553&lt;&gt;"x",$A553&lt;=FinReleve),1,0))</f>
        <v>1</v>
      </c>
      <c r="P553" s="6">
        <f>IF($D553="","",IF(AND($L553="Crédit",OR(IFERROR(INDEX('Paramètres'!$O:$O,MATCH($D553,'Paramètres'!$M:$M,0))&amp;"","")&lt;&gt;"",ISNUMBER(SEARCH("remboursement",IFERROR(INDEX('Paramètres'!$N:$N,MATCH($D553,'Paramètres'!$M:$M,0))&amp;"",""))))),1,0))</f>
        <v>0</v>
      </c>
      <c r="Q553" s="6">
        <f>IF($K553="","",IF(ISNUMBER(SEARCH("transfert-interne",IFERROR(INDEX('Paramètres'!$N:$N,MATCH($D553,'Paramètres'!$M:$M,0))&amp;"",""))),0,IF($L553="Débit",$K553,IF($P553=1,-$K553,0))))</f>
        <v>12.11</v>
      </c>
      <c r="R553" s="6">
        <f>IF($K553="","",IF($L553="Crédit",$K553,-$K553))</f>
        <v>-12.11</v>
      </c>
      <c r="S553" s="6" t="str">
        <f>IF($C553="","",IFERROR(INDEX('Paramètres'!$H:$H,MATCH($C553,'Paramètres'!$D:$D,0))&amp;"",""))</f>
        <v/>
      </c>
      <c r="T553" s="6">
        <f>IF($K553="","",IF($S553="",0,IF(ISNUMBER(SEARCH("apport-exterieur",IFERROR(INDEX('Paramètres'!$N:$N,MATCH($D553,'Paramètres'!$M:$M,0))&amp;"",""))),0,IF(OR(IFERROR(INDEX('Paramètres'!$I:$I,MATCH($C553,'Paramètres'!$D:$D,0))&amp;"","")="Les deux",IFERROR(INDEX('Paramètres'!$I:$I,MATCH($C553,'Paramètres'!$D:$D,0))&amp;"","")=IF($P553=1,"Débit",$L553)),-IF($P553=1,-$K553,$K553),0))))</f>
        <v>0</v>
      </c>
      <c r="U553" s="6">
        <f>IF($K553="","",IF(ISNUMBER(SEARCH("sortie-epargne",IFERROR(INDEX('Paramètres'!$N:$N,MATCH($D553,'Paramètres'!$M:$M,0))&amp;"",""))),$K553,0))</f>
        <v>0</v>
      </c>
      <c r="V553" s="6" t="str">
        <f>IF(AND($A553&lt;&gt;"",$O553=1,$L553="Débit",N($Q553)&gt;0,$A553&gt;=Visualisation!$B$1,$A553&lt;Visualisation!$D$1),MAX($V$1:V552)+1,"")</f>
        <v/>
      </c>
    </row>
    <row r="554" spans="1:22" x14ac:dyDescent="0.25">
      <c r="A554" s="9">
        <v>45936</v>
      </c>
      <c r="B554" s="4" t="s">
        <v>89</v>
      </c>
      <c r="C554" s="4" t="s">
        <v>75</v>
      </c>
      <c r="D554" s="4" t="s">
        <v>89</v>
      </c>
      <c r="E554" s="10">
        <v>49.9</v>
      </c>
      <c r="G554" s="4"/>
      <c r="H554" s="4"/>
      <c r="I554" s="4"/>
      <c r="K554" s="11">
        <f>IF($E554="","",ROUND($E554*IF(ISNA(MATCH($C554,'Paramètres'!$D:$D,0)),1,IF(INDEX('Paramètres'!$J:$J,MATCH($C554,'Paramètres'!$D:$D,0))="",1,INDEX('Paramètres'!$J:$J,MATCH($C554,'Paramètres'!$D:$D,0)))),2))</f>
        <v>49.9</v>
      </c>
      <c r="L554" s="6" t="str">
        <f>IF($D554="","",IF($F554&lt;&gt;"",$F554,IF(ISNA(MATCH($D554,'Paramètres'!$M:$M,0)),"⚠ Type inconnu",IFERROR(INDEX('Paramètres'!$P:$P,MATCH($D554,'Paramètres'!$M:$M,0))&amp;"",""))))</f>
        <v>Débit</v>
      </c>
      <c r="M554" s="6" t="str">
        <f>IF($D554="","",IF(ISNA(MATCH($D554,'Paramètres'!$M:$M,0)),"⚠ Type inconnu",IF($L554="Crédit","",IFERROR(INDEX('Paramètres'!$O:$O,MATCH($D554,'Paramètres'!$M:$M,0))&amp;"",""))))</f>
        <v>Dépense Fixe</v>
      </c>
      <c r="N554" s="6" t="str">
        <f>IF($D554="","",IFERROR(INDEX('Paramètres'!$Q:$Q,MATCH($D554,'Paramètres'!$M:$M,0))&amp;"",""))</f>
        <v>Autre</v>
      </c>
      <c r="O554" s="6">
        <f>IF($A554="","",IF(OR($J554&lt;&gt;"x",$A554&lt;=FinReleve),1,0))</f>
        <v>1</v>
      </c>
      <c r="P554" s="6">
        <f>IF($D554="","",IF(AND($L554="Crédit",OR(IFERROR(INDEX('Paramètres'!$O:$O,MATCH($D554,'Paramètres'!$M:$M,0))&amp;"","")&lt;&gt;"",ISNUMBER(SEARCH("remboursement",IFERROR(INDEX('Paramètres'!$N:$N,MATCH($D554,'Paramètres'!$M:$M,0))&amp;"",""))))),1,0))</f>
        <v>0</v>
      </c>
      <c r="Q554" s="6">
        <f>IF($K554="","",IF(ISNUMBER(SEARCH("transfert-interne",IFERROR(INDEX('Paramètres'!$N:$N,MATCH($D554,'Paramètres'!$M:$M,0))&amp;"",""))),0,IF($L554="Débit",$K554,IF($P554=1,-$K554,0))))</f>
        <v>49.9</v>
      </c>
      <c r="R554" s="6">
        <f>IF($K554="","",IF($L554="Crédit",$K554,-$K554))</f>
        <v>-49.9</v>
      </c>
      <c r="S554" s="6" t="str">
        <f>IF($C554="","",IFERROR(INDEX('Paramètres'!$H:$H,MATCH($C554,'Paramètres'!$D:$D,0))&amp;"",""))</f>
        <v/>
      </c>
      <c r="T554" s="6">
        <f>IF($K554="","",IF($S554="",0,IF(ISNUMBER(SEARCH("apport-exterieur",IFERROR(INDEX('Paramètres'!$N:$N,MATCH($D554,'Paramètres'!$M:$M,0))&amp;"",""))),0,IF(OR(IFERROR(INDEX('Paramètres'!$I:$I,MATCH($C554,'Paramètres'!$D:$D,0))&amp;"","")="Les deux",IFERROR(INDEX('Paramètres'!$I:$I,MATCH($C554,'Paramètres'!$D:$D,0))&amp;"","")=IF($P554=1,"Débit",$L554)),-IF($P554=1,-$K554,$K554),0))))</f>
        <v>0</v>
      </c>
      <c r="U554" s="6">
        <f>IF($K554="","",IF(ISNUMBER(SEARCH("sortie-epargne",IFERROR(INDEX('Paramètres'!$N:$N,MATCH($D554,'Paramètres'!$M:$M,0))&amp;"",""))),$K554,0))</f>
        <v>0</v>
      </c>
      <c r="V554" s="6" t="str">
        <f>IF(AND($A554&lt;&gt;"",$O554=1,$L554="Débit",N($Q554)&gt;0,$A554&gt;=Visualisation!$B$1,$A554&lt;Visualisation!$D$1),MAX($V$1:V553)+1,"")</f>
        <v/>
      </c>
    </row>
    <row r="555" spans="1:22" x14ac:dyDescent="0.25">
      <c r="A555" s="9">
        <v>45936</v>
      </c>
      <c r="B555" s="4" t="s">
        <v>76</v>
      </c>
      <c r="C555" s="4" t="s">
        <v>67</v>
      </c>
      <c r="D555" s="4" t="s">
        <v>77</v>
      </c>
      <c r="E555" s="10">
        <v>152.46</v>
      </c>
      <c r="G555" s="4" t="s">
        <v>95</v>
      </c>
      <c r="H555" s="4"/>
      <c r="I555" s="4" t="s">
        <v>79</v>
      </c>
      <c r="K555" s="11">
        <f>IF($E555="","",ROUND($E555*IF(ISNA(MATCH($C555,'Paramètres'!$D:$D,0)),1,IF(INDEX('Paramètres'!$J:$J,MATCH($C555,'Paramètres'!$D:$D,0))="",1,INDEX('Paramètres'!$J:$J,MATCH($C555,'Paramètres'!$D:$D,0)))),2))</f>
        <v>76.23</v>
      </c>
      <c r="L555" s="6" t="str">
        <f>IF($D555="","",IF($F555&lt;&gt;"",$F555,IF(ISNA(MATCH($D555,'Paramètres'!$M:$M,0)),"⚠ Type inconnu",IFERROR(INDEX('Paramètres'!$P:$P,MATCH($D555,'Paramètres'!$M:$M,0))&amp;"",""))))</f>
        <v>Débit</v>
      </c>
      <c r="M555" s="6" t="str">
        <f>IF($D555="","",IF(ISNA(MATCH($D555,'Paramètres'!$M:$M,0)),"⚠ Type inconnu",IF($L555="Crédit","",IFERROR(INDEX('Paramètres'!$O:$O,MATCH($D555,'Paramètres'!$M:$M,0))&amp;"",""))))</f>
        <v>Dépense Courante</v>
      </c>
      <c r="N555" s="6" t="str">
        <f>IF($D555="","",IFERROR(INDEX('Paramètres'!$Q:$Q,MATCH($D555,'Paramètres'!$M:$M,0))&amp;"",""))</f>
        <v>Alimentation</v>
      </c>
      <c r="O555" s="6">
        <f>IF($A555="","",IF(OR($J555&lt;&gt;"x",$A555&lt;=FinReleve),1,0))</f>
        <v>1</v>
      </c>
      <c r="P555" s="6">
        <f>IF($D555="","",IF(AND($L555="Crédit",OR(IFERROR(INDEX('Paramètres'!$O:$O,MATCH($D555,'Paramètres'!$M:$M,0))&amp;"","")&lt;&gt;"",ISNUMBER(SEARCH("remboursement",IFERROR(INDEX('Paramètres'!$N:$N,MATCH($D555,'Paramètres'!$M:$M,0))&amp;"",""))))),1,0))</f>
        <v>0</v>
      </c>
      <c r="Q555" s="6">
        <f>IF($K555="","",IF(ISNUMBER(SEARCH("transfert-interne",IFERROR(INDEX('Paramètres'!$N:$N,MATCH($D555,'Paramètres'!$M:$M,0))&amp;"",""))),0,IF($L555="Débit",$K555,IF($P555=1,-$K555,0))))</f>
        <v>76.23</v>
      </c>
      <c r="R555" s="6">
        <f>IF($K555="","",IF($L555="Crédit",$K555,-$K555))</f>
        <v>-76.23</v>
      </c>
      <c r="S555" s="6" t="str">
        <f>IF($C555="","",IFERROR(INDEX('Paramètres'!$H:$H,MATCH($C555,'Paramètres'!$D:$D,0))&amp;"",""))</f>
        <v>Banque A - Courant</v>
      </c>
      <c r="T555" s="6">
        <f>IF($K555="","",IF($S555="",0,IF(ISNUMBER(SEARCH("apport-exterieur",IFERROR(INDEX('Paramètres'!$N:$N,MATCH($D555,'Paramètres'!$M:$M,0))&amp;"",""))),0,IF(OR(IFERROR(INDEX('Paramètres'!$I:$I,MATCH($C555,'Paramètres'!$D:$D,0))&amp;"","")="Les deux",IFERROR(INDEX('Paramètres'!$I:$I,MATCH($C555,'Paramètres'!$D:$D,0))&amp;"","")=IF($P555=1,"Débit",$L555)),-IF($P555=1,-$K555,$K555),0))))</f>
        <v>0</v>
      </c>
      <c r="U555" s="6">
        <f>IF($K555="","",IF(ISNUMBER(SEARCH("sortie-epargne",IFERROR(INDEX('Paramètres'!$N:$N,MATCH($D555,'Paramètres'!$M:$M,0))&amp;"",""))),$K555,0))</f>
        <v>0</v>
      </c>
      <c r="V555" s="6" t="str">
        <f>IF(AND($A555&lt;&gt;"",$O555=1,$L555="Débit",N($Q555)&gt;0,$A555&gt;=Visualisation!$B$1,$A555&lt;Visualisation!$D$1),MAX($V$1:V554)+1,"")</f>
        <v/>
      </c>
    </row>
    <row r="556" spans="1:22" x14ac:dyDescent="0.25">
      <c r="A556" s="9">
        <v>45937</v>
      </c>
      <c r="B556" s="4" t="s">
        <v>76</v>
      </c>
      <c r="C556" s="4" t="s">
        <v>60</v>
      </c>
      <c r="D556" s="4" t="s">
        <v>77</v>
      </c>
      <c r="E556" s="10">
        <v>76.68</v>
      </c>
      <c r="G556" s="4" t="s">
        <v>98</v>
      </c>
      <c r="H556" s="4"/>
      <c r="I556" s="4" t="s">
        <v>79</v>
      </c>
      <c r="K556" s="11">
        <f>IF($E556="","",ROUND($E556*IF(ISNA(MATCH($C556,'Paramètres'!$D:$D,0)),1,IF(INDEX('Paramètres'!$J:$J,MATCH($C556,'Paramètres'!$D:$D,0))="",1,INDEX('Paramètres'!$J:$J,MATCH($C556,'Paramètres'!$D:$D,0)))),2))</f>
        <v>38.34</v>
      </c>
      <c r="L556" s="6" t="str">
        <f>IF($D556="","",IF($F556&lt;&gt;"",$F556,IF(ISNA(MATCH($D556,'Paramètres'!$M:$M,0)),"⚠ Type inconnu",IFERROR(INDEX('Paramètres'!$P:$P,MATCH($D556,'Paramètres'!$M:$M,0))&amp;"",""))))</f>
        <v>Débit</v>
      </c>
      <c r="M556" s="6" t="str">
        <f>IF($D556="","",IF(ISNA(MATCH($D556,'Paramètres'!$M:$M,0)),"⚠ Type inconnu",IF($L556="Crédit","",IFERROR(INDEX('Paramètres'!$O:$O,MATCH($D556,'Paramètres'!$M:$M,0))&amp;"",""))))</f>
        <v>Dépense Courante</v>
      </c>
      <c r="N556" s="6" t="str">
        <f>IF($D556="","",IFERROR(INDEX('Paramètres'!$Q:$Q,MATCH($D556,'Paramètres'!$M:$M,0))&amp;"",""))</f>
        <v>Alimentation</v>
      </c>
      <c r="O556" s="6">
        <f>IF($A556="","",IF(OR($J556&lt;&gt;"x",$A556&lt;=FinReleve),1,0))</f>
        <v>1</v>
      </c>
      <c r="P556" s="6">
        <f>IF($D556="","",IF(AND($L556="Crédit",OR(IFERROR(INDEX('Paramètres'!$O:$O,MATCH($D556,'Paramètres'!$M:$M,0))&amp;"","")&lt;&gt;"",ISNUMBER(SEARCH("remboursement",IFERROR(INDEX('Paramètres'!$N:$N,MATCH($D556,'Paramètres'!$M:$M,0))&amp;"",""))))),1,0))</f>
        <v>0</v>
      </c>
      <c r="Q556" s="6">
        <f>IF($K556="","",IF(ISNUMBER(SEARCH("transfert-interne",IFERROR(INDEX('Paramètres'!$N:$N,MATCH($D556,'Paramètres'!$M:$M,0))&amp;"",""))),0,IF($L556="Débit",$K556,IF($P556=1,-$K556,0))))</f>
        <v>38.34</v>
      </c>
      <c r="R556" s="6">
        <f>IF($K556="","",IF($L556="Crédit",$K556,-$K556))</f>
        <v>-38.34</v>
      </c>
      <c r="S556" s="6" t="str">
        <f>IF($C556="","",IFERROR(INDEX('Paramètres'!$H:$H,MATCH($C556,'Paramètres'!$D:$D,0))&amp;"",""))</f>
        <v>Banque A - Courant</v>
      </c>
      <c r="T556" s="6">
        <f>IF($K556="","",IF($S556="",0,IF(ISNUMBER(SEARCH("apport-exterieur",IFERROR(INDEX('Paramètres'!$N:$N,MATCH($D556,'Paramètres'!$M:$M,0))&amp;"",""))),0,IF(OR(IFERROR(INDEX('Paramètres'!$I:$I,MATCH($C556,'Paramètres'!$D:$D,0))&amp;"","")="Les deux",IFERROR(INDEX('Paramètres'!$I:$I,MATCH($C556,'Paramètres'!$D:$D,0))&amp;"","")=IF($P556=1,"Débit",$L556)),-IF($P556=1,-$K556,$K556),0))))</f>
        <v>-38.34</v>
      </c>
      <c r="U556" s="6">
        <f>IF($K556="","",IF(ISNUMBER(SEARCH("sortie-epargne",IFERROR(INDEX('Paramètres'!$N:$N,MATCH($D556,'Paramètres'!$M:$M,0))&amp;"",""))),$K556,0))</f>
        <v>0</v>
      </c>
      <c r="V556" s="6" t="str">
        <f>IF(AND($A556&lt;&gt;"",$O556=1,$L556="Débit",N($Q556)&gt;0,$A556&gt;=Visualisation!$B$1,$A556&lt;Visualisation!$D$1),MAX($V$1:V555)+1,"")</f>
        <v/>
      </c>
    </row>
    <row r="557" spans="1:22" x14ac:dyDescent="0.25">
      <c r="A557" s="9">
        <v>45938</v>
      </c>
      <c r="B557" s="4" t="s">
        <v>94</v>
      </c>
      <c r="C557" s="4" t="s">
        <v>65</v>
      </c>
      <c r="D557" s="4" t="s">
        <v>94</v>
      </c>
      <c r="E557" s="10">
        <v>168</v>
      </c>
      <c r="G557" s="4"/>
      <c r="H557" s="4"/>
      <c r="I557" s="4"/>
      <c r="K557" s="11">
        <f>IF($E557="","",ROUND($E557*IF(ISNA(MATCH($C557,'Paramètres'!$D:$D,0)),1,IF(INDEX('Paramètres'!$J:$J,MATCH($C557,'Paramètres'!$D:$D,0))="",1,INDEX('Paramètres'!$J:$J,MATCH($C557,'Paramètres'!$D:$D,0)))),2))</f>
        <v>168</v>
      </c>
      <c r="L557" s="6" t="str">
        <f>IF($D557="","",IF($F557&lt;&gt;"",$F557,IF(ISNA(MATCH($D557,'Paramètres'!$M:$M,0)),"⚠ Type inconnu",IFERROR(INDEX('Paramètres'!$P:$P,MATCH($D557,'Paramètres'!$M:$M,0))&amp;"",""))))</f>
        <v>Débit</v>
      </c>
      <c r="M557" s="6" t="str">
        <f>IF($D557="","",IF(ISNA(MATCH($D557,'Paramètres'!$M:$M,0)),"⚠ Type inconnu",IF($L557="Crédit","",IFERROR(INDEX('Paramètres'!$O:$O,MATCH($D557,'Paramètres'!$M:$M,0))&amp;"",""))))</f>
        <v>Dépense Fixe</v>
      </c>
      <c r="N557" s="6" t="str">
        <f>IF($D557="","",IFERROR(INDEX('Paramètres'!$Q:$Q,MATCH($D557,'Paramètres'!$M:$M,0))&amp;"",""))</f>
        <v>Immobilier</v>
      </c>
      <c r="O557" s="6">
        <f>IF($A557="","",IF(OR($J557&lt;&gt;"x",$A557&lt;=FinReleve),1,0))</f>
        <v>1</v>
      </c>
      <c r="P557" s="6">
        <f>IF($D557="","",IF(AND($L557="Crédit",OR(IFERROR(INDEX('Paramètres'!$O:$O,MATCH($D557,'Paramètres'!$M:$M,0))&amp;"","")&lt;&gt;"",ISNUMBER(SEARCH("remboursement",IFERROR(INDEX('Paramètres'!$N:$N,MATCH($D557,'Paramètres'!$M:$M,0))&amp;"",""))))),1,0))</f>
        <v>0</v>
      </c>
      <c r="Q557" s="6">
        <f>IF($K557="","",IF(ISNUMBER(SEARCH("transfert-interne",IFERROR(INDEX('Paramètres'!$N:$N,MATCH($D557,'Paramètres'!$M:$M,0))&amp;"",""))),0,IF($L557="Débit",$K557,IF($P557=1,-$K557,0))))</f>
        <v>168</v>
      </c>
      <c r="R557" s="6">
        <f>IF($K557="","",IF($L557="Crédit",$K557,-$K557))</f>
        <v>-168</v>
      </c>
      <c r="S557" s="6" t="str">
        <f>IF($C557="","",IFERROR(INDEX('Paramètres'!$H:$H,MATCH($C557,'Paramètres'!$D:$D,0))&amp;"",""))</f>
        <v>Banque A - Courant</v>
      </c>
      <c r="T557" s="6">
        <f>IF($K557="","",IF($S557="",0,IF(ISNUMBER(SEARCH("apport-exterieur",IFERROR(INDEX('Paramètres'!$N:$N,MATCH($D557,'Paramètres'!$M:$M,0))&amp;"",""))),0,IF(OR(IFERROR(INDEX('Paramètres'!$I:$I,MATCH($C557,'Paramètres'!$D:$D,0))&amp;"","")="Les deux",IFERROR(INDEX('Paramètres'!$I:$I,MATCH($C557,'Paramètres'!$D:$D,0))&amp;"","")=IF($P557=1,"Débit",$L557)),-IF($P557=1,-$K557,$K557),0))))</f>
        <v>0</v>
      </c>
      <c r="U557" s="6">
        <f>IF($K557="","",IF(ISNUMBER(SEARCH("sortie-epargne",IFERROR(INDEX('Paramètres'!$N:$N,MATCH($D557,'Paramètres'!$M:$M,0))&amp;"",""))),$K557,0))</f>
        <v>0</v>
      </c>
      <c r="V557" s="6" t="str">
        <f>IF(AND($A557&lt;&gt;"",$O557=1,$L557="Débit",N($Q557)&gt;0,$A557&gt;=Visualisation!$B$1,$A557&lt;Visualisation!$D$1),MAX($V$1:V556)+1,"")</f>
        <v/>
      </c>
    </row>
    <row r="558" spans="1:22" x14ac:dyDescent="0.25">
      <c r="A558" s="9">
        <v>45939</v>
      </c>
      <c r="B558" s="4" t="s">
        <v>76</v>
      </c>
      <c r="C558" s="4" t="s">
        <v>60</v>
      </c>
      <c r="D558" s="4" t="s">
        <v>77</v>
      </c>
      <c r="E558" s="10">
        <v>70.58</v>
      </c>
      <c r="G558" s="4" t="s">
        <v>102</v>
      </c>
      <c r="H558" s="4"/>
      <c r="I558" s="4" t="s">
        <v>79</v>
      </c>
      <c r="K558" s="11">
        <f>IF($E558="","",ROUND($E558*IF(ISNA(MATCH($C558,'Paramètres'!$D:$D,0)),1,IF(INDEX('Paramètres'!$J:$J,MATCH($C558,'Paramètres'!$D:$D,0))="",1,INDEX('Paramètres'!$J:$J,MATCH($C558,'Paramètres'!$D:$D,0)))),2))</f>
        <v>35.29</v>
      </c>
      <c r="L558" s="6" t="str">
        <f>IF($D558="","",IF($F558&lt;&gt;"",$F558,IF(ISNA(MATCH($D558,'Paramètres'!$M:$M,0)),"⚠ Type inconnu",IFERROR(INDEX('Paramètres'!$P:$P,MATCH($D558,'Paramètres'!$M:$M,0))&amp;"",""))))</f>
        <v>Débit</v>
      </c>
      <c r="M558" s="6" t="str">
        <f>IF($D558="","",IF(ISNA(MATCH($D558,'Paramètres'!$M:$M,0)),"⚠ Type inconnu",IF($L558="Crédit","",IFERROR(INDEX('Paramètres'!$O:$O,MATCH($D558,'Paramètres'!$M:$M,0))&amp;"",""))))</f>
        <v>Dépense Courante</v>
      </c>
      <c r="N558" s="6" t="str">
        <f>IF($D558="","",IFERROR(INDEX('Paramètres'!$Q:$Q,MATCH($D558,'Paramètres'!$M:$M,0))&amp;"",""))</f>
        <v>Alimentation</v>
      </c>
      <c r="O558" s="6">
        <f>IF($A558="","",IF(OR($J558&lt;&gt;"x",$A558&lt;=FinReleve),1,0))</f>
        <v>1</v>
      </c>
      <c r="P558" s="6">
        <f>IF($D558="","",IF(AND($L558="Crédit",OR(IFERROR(INDEX('Paramètres'!$O:$O,MATCH($D558,'Paramètres'!$M:$M,0))&amp;"","")&lt;&gt;"",ISNUMBER(SEARCH("remboursement",IFERROR(INDEX('Paramètres'!$N:$N,MATCH($D558,'Paramètres'!$M:$M,0))&amp;"",""))))),1,0))</f>
        <v>0</v>
      </c>
      <c r="Q558" s="6">
        <f>IF($K558="","",IF(ISNUMBER(SEARCH("transfert-interne",IFERROR(INDEX('Paramètres'!$N:$N,MATCH($D558,'Paramètres'!$M:$M,0))&amp;"",""))),0,IF($L558="Débit",$K558,IF($P558=1,-$K558,0))))</f>
        <v>35.29</v>
      </c>
      <c r="R558" s="6">
        <f>IF($K558="","",IF($L558="Crédit",$K558,-$K558))</f>
        <v>-35.29</v>
      </c>
      <c r="S558" s="6" t="str">
        <f>IF($C558="","",IFERROR(INDEX('Paramètres'!$H:$H,MATCH($C558,'Paramètres'!$D:$D,0))&amp;"",""))</f>
        <v>Banque A - Courant</v>
      </c>
      <c r="T558" s="6">
        <f>IF($K558="","",IF($S558="",0,IF(ISNUMBER(SEARCH("apport-exterieur",IFERROR(INDEX('Paramètres'!$N:$N,MATCH($D558,'Paramètres'!$M:$M,0))&amp;"",""))),0,IF(OR(IFERROR(INDEX('Paramètres'!$I:$I,MATCH($C558,'Paramètres'!$D:$D,0))&amp;"","")="Les deux",IFERROR(INDEX('Paramètres'!$I:$I,MATCH($C558,'Paramètres'!$D:$D,0))&amp;"","")=IF($P558=1,"Débit",$L558)),-IF($P558=1,-$K558,$K558),0))))</f>
        <v>-35.29</v>
      </c>
      <c r="U558" s="6">
        <f>IF($K558="","",IF(ISNUMBER(SEARCH("sortie-epargne",IFERROR(INDEX('Paramètres'!$N:$N,MATCH($D558,'Paramètres'!$M:$M,0))&amp;"",""))),$K558,0))</f>
        <v>0</v>
      </c>
      <c r="V558" s="6" t="str">
        <f>IF(AND($A558&lt;&gt;"",$O558=1,$L558="Débit",N($Q558)&gt;0,$A558&gt;=Visualisation!$B$1,$A558&lt;Visualisation!$D$1),MAX($V$1:V557)+1,"")</f>
        <v/>
      </c>
    </row>
    <row r="559" spans="1:22" x14ac:dyDescent="0.25">
      <c r="A559" s="9">
        <v>45940</v>
      </c>
      <c r="B559" s="4" t="s">
        <v>96</v>
      </c>
      <c r="C559" s="4" t="s">
        <v>75</v>
      </c>
      <c r="D559" s="4" t="s">
        <v>96</v>
      </c>
      <c r="E559" s="10">
        <v>22.4</v>
      </c>
      <c r="G559" s="4"/>
      <c r="H559" s="4"/>
      <c r="I559" s="4"/>
      <c r="K559" s="11">
        <f>IF($E559="","",ROUND($E559*IF(ISNA(MATCH($C559,'Paramètres'!$D:$D,0)),1,IF(INDEX('Paramètres'!$J:$J,MATCH($C559,'Paramètres'!$D:$D,0))="",1,INDEX('Paramètres'!$J:$J,MATCH($C559,'Paramètres'!$D:$D,0)))),2))</f>
        <v>22.4</v>
      </c>
      <c r="L559" s="6" t="str">
        <f>IF($D559="","",IF($F559&lt;&gt;"",$F559,IF(ISNA(MATCH($D559,'Paramètres'!$M:$M,0)),"⚠ Type inconnu",IFERROR(INDEX('Paramètres'!$P:$P,MATCH($D559,'Paramètres'!$M:$M,0))&amp;"",""))))</f>
        <v>Débit</v>
      </c>
      <c r="M559" s="6" t="str">
        <f>IF($D559="","",IF(ISNA(MATCH($D559,'Paramètres'!$M:$M,0)),"⚠ Type inconnu",IF($L559="Crédit","",IFERROR(INDEX('Paramètres'!$O:$O,MATCH($D559,'Paramètres'!$M:$M,0))&amp;"",""))))</f>
        <v>Dépense Fixe</v>
      </c>
      <c r="N559" s="6" t="str">
        <f>IF($D559="","",IFERROR(INDEX('Paramètres'!$Q:$Q,MATCH($D559,'Paramètres'!$M:$M,0))&amp;"",""))</f>
        <v>Assurances</v>
      </c>
      <c r="O559" s="6">
        <f>IF($A559="","",IF(OR($J559&lt;&gt;"x",$A559&lt;=FinReleve),1,0))</f>
        <v>1</v>
      </c>
      <c r="P559" s="6">
        <f>IF($D559="","",IF(AND($L559="Crédit",OR(IFERROR(INDEX('Paramètres'!$O:$O,MATCH($D559,'Paramètres'!$M:$M,0))&amp;"","")&lt;&gt;"",ISNUMBER(SEARCH("remboursement",IFERROR(INDEX('Paramètres'!$N:$N,MATCH($D559,'Paramètres'!$M:$M,0))&amp;"",""))))),1,0))</f>
        <v>0</v>
      </c>
      <c r="Q559" s="6">
        <f>IF($K559="","",IF(ISNUMBER(SEARCH("transfert-interne",IFERROR(INDEX('Paramètres'!$N:$N,MATCH($D559,'Paramètres'!$M:$M,0))&amp;"",""))),0,IF($L559="Débit",$K559,IF($P559=1,-$K559,0))))</f>
        <v>22.4</v>
      </c>
      <c r="R559" s="6">
        <f>IF($K559="","",IF($L559="Crédit",$K559,-$K559))</f>
        <v>-22.4</v>
      </c>
      <c r="S559" s="6" t="str">
        <f>IF($C559="","",IFERROR(INDEX('Paramètres'!$H:$H,MATCH($C559,'Paramètres'!$D:$D,0))&amp;"",""))</f>
        <v/>
      </c>
      <c r="T559" s="6">
        <f>IF($K559="","",IF($S559="",0,IF(ISNUMBER(SEARCH("apport-exterieur",IFERROR(INDEX('Paramètres'!$N:$N,MATCH($D559,'Paramètres'!$M:$M,0))&amp;"",""))),0,IF(OR(IFERROR(INDEX('Paramètres'!$I:$I,MATCH($C559,'Paramètres'!$D:$D,0))&amp;"","")="Les deux",IFERROR(INDEX('Paramètres'!$I:$I,MATCH($C559,'Paramètres'!$D:$D,0))&amp;"","")=IF($P559=1,"Débit",$L559)),-IF($P559=1,-$K559,$K559),0))))</f>
        <v>0</v>
      </c>
      <c r="U559" s="6">
        <f>IF($K559="","",IF(ISNUMBER(SEARCH("sortie-epargne",IFERROR(INDEX('Paramètres'!$N:$N,MATCH($D559,'Paramètres'!$M:$M,0))&amp;"",""))),$K559,0))</f>
        <v>0</v>
      </c>
      <c r="V559" s="6" t="str">
        <f>IF(AND($A559&lt;&gt;"",$O559=1,$L559="Débit",N($Q559)&gt;0,$A559&gt;=Visualisation!$B$1,$A559&lt;Visualisation!$D$1),MAX($V$1:V558)+1,"")</f>
        <v/>
      </c>
    </row>
    <row r="560" spans="1:22" x14ac:dyDescent="0.25">
      <c r="A560" s="9">
        <v>45940</v>
      </c>
      <c r="B560" s="4" t="s">
        <v>76</v>
      </c>
      <c r="C560" s="4" t="s">
        <v>67</v>
      </c>
      <c r="D560" s="4" t="s">
        <v>77</v>
      </c>
      <c r="E560" s="10">
        <v>105.2</v>
      </c>
      <c r="G560" s="4" t="s">
        <v>78</v>
      </c>
      <c r="H560" s="4"/>
      <c r="I560" s="4" t="s">
        <v>63</v>
      </c>
      <c r="K560" s="11">
        <f>IF($E560="","",ROUND($E560*IF(ISNA(MATCH($C560,'Paramètres'!$D:$D,0)),1,IF(INDEX('Paramètres'!$J:$J,MATCH($C560,'Paramètres'!$D:$D,0))="",1,INDEX('Paramètres'!$J:$J,MATCH($C560,'Paramètres'!$D:$D,0)))),2))</f>
        <v>52.6</v>
      </c>
      <c r="L560" s="6" t="str">
        <f>IF($D560="","",IF($F560&lt;&gt;"",$F560,IF(ISNA(MATCH($D560,'Paramètres'!$M:$M,0)),"⚠ Type inconnu",IFERROR(INDEX('Paramètres'!$P:$P,MATCH($D560,'Paramètres'!$M:$M,0))&amp;"",""))))</f>
        <v>Débit</v>
      </c>
      <c r="M560" s="6" t="str">
        <f>IF($D560="","",IF(ISNA(MATCH($D560,'Paramètres'!$M:$M,0)),"⚠ Type inconnu",IF($L560="Crédit","",IFERROR(INDEX('Paramètres'!$O:$O,MATCH($D560,'Paramètres'!$M:$M,0))&amp;"",""))))</f>
        <v>Dépense Courante</v>
      </c>
      <c r="N560" s="6" t="str">
        <f>IF($D560="","",IFERROR(INDEX('Paramètres'!$Q:$Q,MATCH($D560,'Paramètres'!$M:$M,0))&amp;"",""))</f>
        <v>Alimentation</v>
      </c>
      <c r="O560" s="6">
        <f>IF($A560="","",IF(OR($J560&lt;&gt;"x",$A560&lt;=FinReleve),1,0))</f>
        <v>1</v>
      </c>
      <c r="P560" s="6">
        <f>IF($D560="","",IF(AND($L560="Crédit",OR(IFERROR(INDEX('Paramètres'!$O:$O,MATCH($D560,'Paramètres'!$M:$M,0))&amp;"","")&lt;&gt;"",ISNUMBER(SEARCH("remboursement",IFERROR(INDEX('Paramètres'!$N:$N,MATCH($D560,'Paramètres'!$M:$M,0))&amp;"",""))))),1,0))</f>
        <v>0</v>
      </c>
      <c r="Q560" s="6">
        <f>IF($K560="","",IF(ISNUMBER(SEARCH("transfert-interne",IFERROR(INDEX('Paramètres'!$N:$N,MATCH($D560,'Paramètres'!$M:$M,0))&amp;"",""))),0,IF($L560="Débit",$K560,IF($P560=1,-$K560,0))))</f>
        <v>52.6</v>
      </c>
      <c r="R560" s="6">
        <f>IF($K560="","",IF($L560="Crédit",$K560,-$K560))</f>
        <v>-52.6</v>
      </c>
      <c r="S560" s="6" t="str">
        <f>IF($C560="","",IFERROR(INDEX('Paramètres'!$H:$H,MATCH($C560,'Paramètres'!$D:$D,0))&amp;"",""))</f>
        <v>Banque A - Courant</v>
      </c>
      <c r="T560" s="6">
        <f>IF($K560="","",IF($S560="",0,IF(ISNUMBER(SEARCH("apport-exterieur",IFERROR(INDEX('Paramètres'!$N:$N,MATCH($D560,'Paramètres'!$M:$M,0))&amp;"",""))),0,IF(OR(IFERROR(INDEX('Paramètres'!$I:$I,MATCH($C560,'Paramètres'!$D:$D,0))&amp;"","")="Les deux",IFERROR(INDEX('Paramètres'!$I:$I,MATCH($C560,'Paramètres'!$D:$D,0))&amp;"","")=IF($P560=1,"Débit",$L560)),-IF($P560=1,-$K560,$K560),0))))</f>
        <v>0</v>
      </c>
      <c r="U560" s="6">
        <f>IF($K560="","",IF(ISNUMBER(SEARCH("sortie-epargne",IFERROR(INDEX('Paramètres'!$N:$N,MATCH($D560,'Paramètres'!$M:$M,0))&amp;"",""))),$K560,0))</f>
        <v>0</v>
      </c>
      <c r="V560" s="6" t="str">
        <f>IF(AND($A560&lt;&gt;"",$O560=1,$L560="Débit",N($Q560)&gt;0,$A560&gt;=Visualisation!$B$1,$A560&lt;Visualisation!$D$1),MAX($V$1:V559)+1,"")</f>
        <v/>
      </c>
    </row>
    <row r="561" spans="1:22" x14ac:dyDescent="0.25">
      <c r="A561" s="9">
        <v>45941</v>
      </c>
      <c r="B561" s="4" t="s">
        <v>76</v>
      </c>
      <c r="C561" s="4" t="s">
        <v>67</v>
      </c>
      <c r="D561" s="4" t="s">
        <v>77</v>
      </c>
      <c r="E561" s="10">
        <v>104.72</v>
      </c>
      <c r="G561" s="4" t="s">
        <v>102</v>
      </c>
      <c r="H561" s="4"/>
      <c r="I561" s="4" t="s">
        <v>79</v>
      </c>
      <c r="K561" s="11">
        <f>IF($E561="","",ROUND($E561*IF(ISNA(MATCH($C561,'Paramètres'!$D:$D,0)),1,IF(INDEX('Paramètres'!$J:$J,MATCH($C561,'Paramètres'!$D:$D,0))="",1,INDEX('Paramètres'!$J:$J,MATCH($C561,'Paramètres'!$D:$D,0)))),2))</f>
        <v>52.36</v>
      </c>
      <c r="L561" s="6" t="str">
        <f>IF($D561="","",IF($F561&lt;&gt;"",$F561,IF(ISNA(MATCH($D561,'Paramètres'!$M:$M,0)),"⚠ Type inconnu",IFERROR(INDEX('Paramètres'!$P:$P,MATCH($D561,'Paramètres'!$M:$M,0))&amp;"",""))))</f>
        <v>Débit</v>
      </c>
      <c r="M561" s="6" t="str">
        <f>IF($D561="","",IF(ISNA(MATCH($D561,'Paramètres'!$M:$M,0)),"⚠ Type inconnu",IF($L561="Crédit","",IFERROR(INDEX('Paramètres'!$O:$O,MATCH($D561,'Paramètres'!$M:$M,0))&amp;"",""))))</f>
        <v>Dépense Courante</v>
      </c>
      <c r="N561" s="6" t="str">
        <f>IF($D561="","",IFERROR(INDEX('Paramètres'!$Q:$Q,MATCH($D561,'Paramètres'!$M:$M,0))&amp;"",""))</f>
        <v>Alimentation</v>
      </c>
      <c r="O561" s="6">
        <f>IF($A561="","",IF(OR($J561&lt;&gt;"x",$A561&lt;=FinReleve),1,0))</f>
        <v>1</v>
      </c>
      <c r="P561" s="6">
        <f>IF($D561="","",IF(AND($L561="Crédit",OR(IFERROR(INDEX('Paramètres'!$O:$O,MATCH($D561,'Paramètres'!$M:$M,0))&amp;"","")&lt;&gt;"",ISNUMBER(SEARCH("remboursement",IFERROR(INDEX('Paramètres'!$N:$N,MATCH($D561,'Paramètres'!$M:$M,0))&amp;"",""))))),1,0))</f>
        <v>0</v>
      </c>
      <c r="Q561" s="6">
        <f>IF($K561="","",IF(ISNUMBER(SEARCH("transfert-interne",IFERROR(INDEX('Paramètres'!$N:$N,MATCH($D561,'Paramètres'!$M:$M,0))&amp;"",""))),0,IF($L561="Débit",$K561,IF($P561=1,-$K561,0))))</f>
        <v>52.36</v>
      </c>
      <c r="R561" s="6">
        <f>IF($K561="","",IF($L561="Crédit",$K561,-$K561))</f>
        <v>-52.36</v>
      </c>
      <c r="S561" s="6" t="str">
        <f>IF($C561="","",IFERROR(INDEX('Paramètres'!$H:$H,MATCH($C561,'Paramètres'!$D:$D,0))&amp;"",""))</f>
        <v>Banque A - Courant</v>
      </c>
      <c r="T561" s="6">
        <f>IF($K561="","",IF($S561="",0,IF(ISNUMBER(SEARCH("apport-exterieur",IFERROR(INDEX('Paramètres'!$N:$N,MATCH($D561,'Paramètres'!$M:$M,0))&amp;"",""))),0,IF(OR(IFERROR(INDEX('Paramètres'!$I:$I,MATCH($C561,'Paramètres'!$D:$D,0))&amp;"","")="Les deux",IFERROR(INDEX('Paramètres'!$I:$I,MATCH($C561,'Paramètres'!$D:$D,0))&amp;"","")=IF($P561=1,"Débit",$L561)),-IF($P561=1,-$K561,$K561),0))))</f>
        <v>0</v>
      </c>
      <c r="U561" s="6">
        <f>IF($K561="","",IF(ISNUMBER(SEARCH("sortie-epargne",IFERROR(INDEX('Paramètres'!$N:$N,MATCH($D561,'Paramètres'!$M:$M,0))&amp;"",""))),$K561,0))</f>
        <v>0</v>
      </c>
      <c r="V561" s="6" t="str">
        <f>IF(AND($A561&lt;&gt;"",$O561=1,$L561="Débit",N($Q561)&gt;0,$A561&gt;=Visualisation!$B$1,$A561&lt;Visualisation!$D$1),MAX($V$1:V560)+1,"")</f>
        <v/>
      </c>
    </row>
    <row r="562" spans="1:22" x14ac:dyDescent="0.25">
      <c r="A562" s="9">
        <v>45941</v>
      </c>
      <c r="B562" s="4" t="s">
        <v>105</v>
      </c>
      <c r="C562" s="4" t="s">
        <v>75</v>
      </c>
      <c r="D562" s="4" t="s">
        <v>106</v>
      </c>
      <c r="E562" s="10">
        <v>292.38</v>
      </c>
      <c r="G562" s="4"/>
      <c r="H562" s="4"/>
      <c r="I562" s="4"/>
      <c r="K562" s="11">
        <f>IF($E562="","",ROUND($E562*IF(ISNA(MATCH($C562,'Paramètres'!$D:$D,0)),1,IF(INDEX('Paramètres'!$J:$J,MATCH($C562,'Paramètres'!$D:$D,0))="",1,INDEX('Paramètres'!$J:$J,MATCH($C562,'Paramètres'!$D:$D,0)))),2))</f>
        <v>292.38</v>
      </c>
      <c r="L562" s="6" t="str">
        <f>IF($D562="","",IF($F562&lt;&gt;"",$F562,IF(ISNA(MATCH($D562,'Paramètres'!$M:$M,0)),"⚠ Type inconnu",IFERROR(INDEX('Paramètres'!$P:$P,MATCH($D562,'Paramètres'!$M:$M,0))&amp;"",""))))</f>
        <v>Débit</v>
      </c>
      <c r="M562" s="6" t="str">
        <f>IF($D562="","",IF(ISNA(MATCH($D562,'Paramètres'!$M:$M,0)),"⚠ Type inconnu",IF($L562="Crédit","",IFERROR(INDEX('Paramètres'!$O:$O,MATCH($D562,'Paramètres'!$M:$M,0))&amp;"",""))))</f>
        <v/>
      </c>
      <c r="N562" s="6" t="str">
        <f>IF($D562="","",IFERROR(INDEX('Paramètres'!$Q:$Q,MATCH($D562,'Paramètres'!$M:$M,0))&amp;"",""))</f>
        <v>Comptes Bancaires</v>
      </c>
      <c r="O562" s="6">
        <f>IF($A562="","",IF(OR($J562&lt;&gt;"x",$A562&lt;=FinReleve),1,0))</f>
        <v>1</v>
      </c>
      <c r="P562" s="6">
        <f>IF($D562="","",IF(AND($L562="Crédit",OR(IFERROR(INDEX('Paramètres'!$O:$O,MATCH($D562,'Paramètres'!$M:$M,0))&amp;"","")&lt;&gt;"",ISNUMBER(SEARCH("remboursement",IFERROR(INDEX('Paramètres'!$N:$N,MATCH($D562,'Paramètres'!$M:$M,0))&amp;"",""))))),1,0))</f>
        <v>0</v>
      </c>
      <c r="Q562" s="6">
        <f>IF($K562="","",IF(ISNUMBER(SEARCH("transfert-interne",IFERROR(INDEX('Paramètres'!$N:$N,MATCH($D562,'Paramètres'!$M:$M,0))&amp;"",""))),0,IF($L562="Débit",$K562,IF($P562=1,-$K562,0))))</f>
        <v>292.38</v>
      </c>
      <c r="R562" s="6">
        <f>IF($K562="","",IF($L562="Crédit",$K562,-$K562))</f>
        <v>-292.38</v>
      </c>
      <c r="S562" s="6" t="str">
        <f>IF($C562="","",IFERROR(INDEX('Paramètres'!$H:$H,MATCH($C562,'Paramètres'!$D:$D,0))&amp;"",""))</f>
        <v/>
      </c>
      <c r="T562" s="6">
        <f>IF($K562="","",IF($S562="",0,IF(ISNUMBER(SEARCH("apport-exterieur",IFERROR(INDEX('Paramètres'!$N:$N,MATCH($D562,'Paramètres'!$M:$M,0))&amp;"",""))),0,IF(OR(IFERROR(INDEX('Paramètres'!$I:$I,MATCH($C562,'Paramètres'!$D:$D,0))&amp;"","")="Les deux",IFERROR(INDEX('Paramètres'!$I:$I,MATCH($C562,'Paramètres'!$D:$D,0))&amp;"","")=IF($P562=1,"Débit",$L562)),-IF($P562=1,-$K562,$K562),0))))</f>
        <v>0</v>
      </c>
      <c r="U562" s="6">
        <f>IF($K562="","",IF(ISNUMBER(SEARCH("sortie-epargne",IFERROR(INDEX('Paramètres'!$N:$N,MATCH($D562,'Paramètres'!$M:$M,0))&amp;"",""))),$K562,0))</f>
        <v>0</v>
      </c>
      <c r="V562" s="6" t="str">
        <f>IF(AND($A562&lt;&gt;"",$O562=1,$L562="Débit",N($Q562)&gt;0,$A562&gt;=Visualisation!$B$1,$A562&lt;Visualisation!$D$1),MAX($V$1:V561)+1,"")</f>
        <v/>
      </c>
    </row>
    <row r="563" spans="1:22" x14ac:dyDescent="0.25">
      <c r="A563" s="9">
        <v>45942</v>
      </c>
      <c r="B563" s="4" t="s">
        <v>97</v>
      </c>
      <c r="C563" s="4" t="s">
        <v>75</v>
      </c>
      <c r="D563" s="4" t="s">
        <v>97</v>
      </c>
      <c r="E563" s="10">
        <v>47.9</v>
      </c>
      <c r="G563" s="4"/>
      <c r="H563" s="4"/>
      <c r="I563" s="4"/>
      <c r="K563" s="11">
        <f>IF($E563="","",ROUND($E563*IF(ISNA(MATCH($C563,'Paramètres'!$D:$D,0)),1,IF(INDEX('Paramètres'!$J:$J,MATCH($C563,'Paramètres'!$D:$D,0))="",1,INDEX('Paramètres'!$J:$J,MATCH($C563,'Paramètres'!$D:$D,0)))),2))</f>
        <v>47.9</v>
      </c>
      <c r="L563" s="6" t="str">
        <f>IF($D563="","",IF($F563&lt;&gt;"",$F563,IF(ISNA(MATCH($D563,'Paramètres'!$M:$M,0)),"⚠ Type inconnu",IFERROR(INDEX('Paramètres'!$P:$P,MATCH($D563,'Paramètres'!$M:$M,0))&amp;"",""))))</f>
        <v>Débit</v>
      </c>
      <c r="M563" s="6" t="str">
        <f>IF($D563="","",IF(ISNA(MATCH($D563,'Paramètres'!$M:$M,0)),"⚠ Type inconnu",IF($L563="Crédit","",IFERROR(INDEX('Paramètres'!$O:$O,MATCH($D563,'Paramètres'!$M:$M,0))&amp;"",""))))</f>
        <v>Dépense Fixe</v>
      </c>
      <c r="N563" s="6" t="str">
        <f>IF($D563="","",IFERROR(INDEX('Paramètres'!$Q:$Q,MATCH($D563,'Paramètres'!$M:$M,0))&amp;"",""))</f>
        <v>Assurances</v>
      </c>
      <c r="O563" s="6">
        <f>IF($A563="","",IF(OR($J563&lt;&gt;"x",$A563&lt;=FinReleve),1,0))</f>
        <v>1</v>
      </c>
      <c r="P563" s="6">
        <f>IF($D563="","",IF(AND($L563="Crédit",OR(IFERROR(INDEX('Paramètres'!$O:$O,MATCH($D563,'Paramètres'!$M:$M,0))&amp;"","")&lt;&gt;"",ISNUMBER(SEARCH("remboursement",IFERROR(INDEX('Paramètres'!$N:$N,MATCH($D563,'Paramètres'!$M:$M,0))&amp;"",""))))),1,0))</f>
        <v>0</v>
      </c>
      <c r="Q563" s="6">
        <f>IF($K563="","",IF(ISNUMBER(SEARCH("transfert-interne",IFERROR(INDEX('Paramètres'!$N:$N,MATCH($D563,'Paramètres'!$M:$M,0))&amp;"",""))),0,IF($L563="Débit",$K563,IF($P563=1,-$K563,0))))</f>
        <v>47.9</v>
      </c>
      <c r="R563" s="6">
        <f>IF($K563="","",IF($L563="Crédit",$K563,-$K563))</f>
        <v>-47.9</v>
      </c>
      <c r="S563" s="6" t="str">
        <f>IF($C563="","",IFERROR(INDEX('Paramètres'!$H:$H,MATCH($C563,'Paramètres'!$D:$D,0))&amp;"",""))</f>
        <v/>
      </c>
      <c r="T563" s="6">
        <f>IF($K563="","",IF($S563="",0,IF(ISNUMBER(SEARCH("apport-exterieur",IFERROR(INDEX('Paramètres'!$N:$N,MATCH($D563,'Paramètres'!$M:$M,0))&amp;"",""))),0,IF(OR(IFERROR(INDEX('Paramètres'!$I:$I,MATCH($C563,'Paramètres'!$D:$D,0))&amp;"","")="Les deux",IFERROR(INDEX('Paramètres'!$I:$I,MATCH($C563,'Paramètres'!$D:$D,0))&amp;"","")=IF($P563=1,"Débit",$L563)),-IF($P563=1,-$K563,$K563),0))))</f>
        <v>0</v>
      </c>
      <c r="U563" s="6">
        <f>IF($K563="","",IF(ISNUMBER(SEARCH("sortie-epargne",IFERROR(INDEX('Paramètres'!$N:$N,MATCH($D563,'Paramètres'!$M:$M,0))&amp;"",""))),$K563,0))</f>
        <v>0</v>
      </c>
      <c r="V563" s="6" t="str">
        <f>IF(AND($A563&lt;&gt;"",$O563=1,$L563="Débit",N($Q563)&gt;0,$A563&gt;=Visualisation!$B$1,$A563&lt;Visualisation!$D$1),MAX($V$1:V562)+1,"")</f>
        <v/>
      </c>
    </row>
    <row r="564" spans="1:22" x14ac:dyDescent="0.25">
      <c r="A564" s="9">
        <v>45942</v>
      </c>
      <c r="B564" s="4" t="s">
        <v>131</v>
      </c>
      <c r="C564" s="4" t="s">
        <v>75</v>
      </c>
      <c r="D564" s="4" t="s">
        <v>132</v>
      </c>
      <c r="E564" s="10">
        <v>72.06</v>
      </c>
      <c r="G564" s="4" t="s">
        <v>143</v>
      </c>
      <c r="H564" s="4"/>
      <c r="I564" s="4" t="s">
        <v>79</v>
      </c>
      <c r="K564" s="11">
        <f>IF($E564="","",ROUND($E564*IF(ISNA(MATCH($C564,'Paramètres'!$D:$D,0)),1,IF(INDEX('Paramètres'!$J:$J,MATCH($C564,'Paramètres'!$D:$D,0))="",1,INDEX('Paramètres'!$J:$J,MATCH($C564,'Paramètres'!$D:$D,0)))),2))</f>
        <v>72.06</v>
      </c>
      <c r="L564" s="6" t="str">
        <f>IF($D564="","",IF($F564&lt;&gt;"",$F564,IF(ISNA(MATCH($D564,'Paramètres'!$M:$M,0)),"⚠ Type inconnu",IFERROR(INDEX('Paramètres'!$P:$P,MATCH($D564,'Paramètres'!$M:$M,0))&amp;"",""))))</f>
        <v>Débit</v>
      </c>
      <c r="M564" s="6" t="str">
        <f>IF($D564="","",IF(ISNA(MATCH($D564,'Paramètres'!$M:$M,0)),"⚠ Type inconnu",IF($L564="Crédit","",IFERROR(INDEX('Paramètres'!$O:$O,MATCH($D564,'Paramètres'!$M:$M,0))&amp;"",""))))</f>
        <v>Dépense Courante</v>
      </c>
      <c r="N564" s="6" t="str">
        <f>IF($D564="","",IFERROR(INDEX('Paramètres'!$Q:$Q,MATCH($D564,'Paramètres'!$M:$M,0))&amp;"",""))</f>
        <v>Santé</v>
      </c>
      <c r="O564" s="6">
        <f>IF($A564="","",IF(OR($J564&lt;&gt;"x",$A564&lt;=FinReleve),1,0))</f>
        <v>1</v>
      </c>
      <c r="P564" s="6">
        <f>IF($D564="","",IF(AND($L564="Crédit",OR(IFERROR(INDEX('Paramètres'!$O:$O,MATCH($D564,'Paramètres'!$M:$M,0))&amp;"","")&lt;&gt;"",ISNUMBER(SEARCH("remboursement",IFERROR(INDEX('Paramètres'!$N:$N,MATCH($D564,'Paramètres'!$M:$M,0))&amp;"",""))))),1,0))</f>
        <v>0</v>
      </c>
      <c r="Q564" s="6">
        <f>IF($K564="","",IF(ISNUMBER(SEARCH("transfert-interne",IFERROR(INDEX('Paramètres'!$N:$N,MATCH($D564,'Paramètres'!$M:$M,0))&amp;"",""))),0,IF($L564="Débit",$K564,IF($P564=1,-$K564,0))))</f>
        <v>72.06</v>
      </c>
      <c r="R564" s="6">
        <f>IF($K564="","",IF($L564="Crédit",$K564,-$K564))</f>
        <v>-72.06</v>
      </c>
      <c r="S564" s="6" t="str">
        <f>IF($C564="","",IFERROR(INDEX('Paramètres'!$H:$H,MATCH($C564,'Paramètres'!$D:$D,0))&amp;"",""))</f>
        <v/>
      </c>
      <c r="T564" s="6">
        <f>IF($K564="","",IF($S564="",0,IF(ISNUMBER(SEARCH("apport-exterieur",IFERROR(INDEX('Paramètres'!$N:$N,MATCH($D564,'Paramètres'!$M:$M,0))&amp;"",""))),0,IF(OR(IFERROR(INDEX('Paramètres'!$I:$I,MATCH($C564,'Paramètres'!$D:$D,0))&amp;"","")="Les deux",IFERROR(INDEX('Paramètres'!$I:$I,MATCH($C564,'Paramètres'!$D:$D,0))&amp;"","")=IF($P564=1,"Débit",$L564)),-IF($P564=1,-$K564,$K564),0))))</f>
        <v>0</v>
      </c>
      <c r="U564" s="6">
        <f>IF($K564="","",IF(ISNUMBER(SEARCH("sortie-epargne",IFERROR(INDEX('Paramètres'!$N:$N,MATCH($D564,'Paramètres'!$M:$M,0))&amp;"",""))),$K564,0))</f>
        <v>0</v>
      </c>
      <c r="V564" s="6" t="str">
        <f>IF(AND($A564&lt;&gt;"",$O564=1,$L564="Débit",N($Q564)&gt;0,$A564&gt;=Visualisation!$B$1,$A564&lt;Visualisation!$D$1),MAX($V$1:V563)+1,"")</f>
        <v/>
      </c>
    </row>
    <row r="565" spans="1:22" x14ac:dyDescent="0.25">
      <c r="A565" s="9">
        <v>45943</v>
      </c>
      <c r="B565" s="4" t="s">
        <v>76</v>
      </c>
      <c r="C565" s="4" t="s">
        <v>67</v>
      </c>
      <c r="D565" s="4" t="s">
        <v>77</v>
      </c>
      <c r="E565" s="10">
        <v>67.38</v>
      </c>
      <c r="G565" s="4" t="s">
        <v>102</v>
      </c>
      <c r="H565" s="4"/>
      <c r="I565" s="4" t="s">
        <v>73</v>
      </c>
      <c r="K565" s="11">
        <f>IF($E565="","",ROUND($E565*IF(ISNA(MATCH($C565,'Paramètres'!$D:$D,0)),1,IF(INDEX('Paramètres'!$J:$J,MATCH($C565,'Paramètres'!$D:$D,0))="",1,INDEX('Paramètres'!$J:$J,MATCH($C565,'Paramètres'!$D:$D,0)))),2))</f>
        <v>33.69</v>
      </c>
      <c r="L565" s="6" t="str">
        <f>IF($D565="","",IF($F565&lt;&gt;"",$F565,IF(ISNA(MATCH($D565,'Paramètres'!$M:$M,0)),"⚠ Type inconnu",IFERROR(INDEX('Paramètres'!$P:$P,MATCH($D565,'Paramètres'!$M:$M,0))&amp;"",""))))</f>
        <v>Débit</v>
      </c>
      <c r="M565" s="6" t="str">
        <f>IF($D565="","",IF(ISNA(MATCH($D565,'Paramètres'!$M:$M,0)),"⚠ Type inconnu",IF($L565="Crédit","",IFERROR(INDEX('Paramètres'!$O:$O,MATCH($D565,'Paramètres'!$M:$M,0))&amp;"",""))))</f>
        <v>Dépense Courante</v>
      </c>
      <c r="N565" s="6" t="str">
        <f>IF($D565="","",IFERROR(INDEX('Paramètres'!$Q:$Q,MATCH($D565,'Paramètres'!$M:$M,0))&amp;"",""))</f>
        <v>Alimentation</v>
      </c>
      <c r="O565" s="6">
        <f>IF($A565="","",IF(OR($J565&lt;&gt;"x",$A565&lt;=FinReleve),1,0))</f>
        <v>1</v>
      </c>
      <c r="P565" s="6">
        <f>IF($D565="","",IF(AND($L565="Crédit",OR(IFERROR(INDEX('Paramètres'!$O:$O,MATCH($D565,'Paramètres'!$M:$M,0))&amp;"","")&lt;&gt;"",ISNUMBER(SEARCH("remboursement",IFERROR(INDEX('Paramètres'!$N:$N,MATCH($D565,'Paramètres'!$M:$M,0))&amp;"",""))))),1,0))</f>
        <v>0</v>
      </c>
      <c r="Q565" s="6">
        <f>IF($K565="","",IF(ISNUMBER(SEARCH("transfert-interne",IFERROR(INDEX('Paramètres'!$N:$N,MATCH($D565,'Paramètres'!$M:$M,0))&amp;"",""))),0,IF($L565="Débit",$K565,IF($P565=1,-$K565,0))))</f>
        <v>33.69</v>
      </c>
      <c r="R565" s="6">
        <f>IF($K565="","",IF($L565="Crédit",$K565,-$K565))</f>
        <v>-33.69</v>
      </c>
      <c r="S565" s="6" t="str">
        <f>IF($C565="","",IFERROR(INDEX('Paramètres'!$H:$H,MATCH($C565,'Paramètres'!$D:$D,0))&amp;"",""))</f>
        <v>Banque A - Courant</v>
      </c>
      <c r="T565" s="6">
        <f>IF($K565="","",IF($S565="",0,IF(ISNUMBER(SEARCH("apport-exterieur",IFERROR(INDEX('Paramètres'!$N:$N,MATCH($D565,'Paramètres'!$M:$M,0))&amp;"",""))),0,IF(OR(IFERROR(INDEX('Paramètres'!$I:$I,MATCH($C565,'Paramètres'!$D:$D,0))&amp;"","")="Les deux",IFERROR(INDEX('Paramètres'!$I:$I,MATCH($C565,'Paramètres'!$D:$D,0))&amp;"","")=IF($P565=1,"Débit",$L565)),-IF($P565=1,-$K565,$K565),0))))</f>
        <v>0</v>
      </c>
      <c r="U565" s="6">
        <f>IF($K565="","",IF(ISNUMBER(SEARCH("sortie-epargne",IFERROR(INDEX('Paramètres'!$N:$N,MATCH($D565,'Paramètres'!$M:$M,0))&amp;"",""))),$K565,0))</f>
        <v>0</v>
      </c>
      <c r="V565" s="6" t="str">
        <f>IF(AND($A565&lt;&gt;"",$O565=1,$L565="Débit",N($Q565)&gt;0,$A565&gt;=Visualisation!$B$1,$A565&lt;Visualisation!$D$1),MAX($V$1:V564)+1,"")</f>
        <v/>
      </c>
    </row>
    <row r="566" spans="1:22" x14ac:dyDescent="0.25">
      <c r="A566" s="9">
        <v>45943</v>
      </c>
      <c r="B566" s="4" t="s">
        <v>69</v>
      </c>
      <c r="C566" s="4" t="s">
        <v>70</v>
      </c>
      <c r="D566" s="4" t="s">
        <v>71</v>
      </c>
      <c r="E566" s="10">
        <v>8.46</v>
      </c>
      <c r="G566" s="4" t="s">
        <v>72</v>
      </c>
      <c r="H566" s="4"/>
      <c r="I566" s="4" t="s">
        <v>93</v>
      </c>
      <c r="K566" s="11">
        <f>IF($E566="","",ROUND($E566*IF(ISNA(MATCH($C566,'Paramètres'!$D:$D,0)),1,IF(INDEX('Paramètres'!$J:$J,MATCH($C566,'Paramètres'!$D:$D,0))="",1,INDEX('Paramètres'!$J:$J,MATCH($C566,'Paramètres'!$D:$D,0)))),2))</f>
        <v>8.46</v>
      </c>
      <c r="L566" s="6" t="str">
        <f>IF($D566="","",IF($F566&lt;&gt;"",$F566,IF(ISNA(MATCH($D566,'Paramètres'!$M:$M,0)),"⚠ Type inconnu",IFERROR(INDEX('Paramètres'!$P:$P,MATCH($D566,'Paramètres'!$M:$M,0))&amp;"",""))))</f>
        <v>Débit</v>
      </c>
      <c r="M566" s="6" t="str">
        <f>IF($D566="","",IF(ISNA(MATCH($D566,'Paramètres'!$M:$M,0)),"⚠ Type inconnu",IF($L566="Crédit","",IFERROR(INDEX('Paramètres'!$O:$O,MATCH($D566,'Paramètres'!$M:$M,0))&amp;"",""))))</f>
        <v>Dépense Courante</v>
      </c>
      <c r="N566" s="6" t="str">
        <f>IF($D566="","",IFERROR(INDEX('Paramètres'!$Q:$Q,MATCH($D566,'Paramètres'!$M:$M,0))&amp;"",""))</f>
        <v>Alimentation</v>
      </c>
      <c r="O566" s="6">
        <f>IF($A566="","",IF(OR($J566&lt;&gt;"x",$A566&lt;=FinReleve),1,0))</f>
        <v>1</v>
      </c>
      <c r="P566" s="6">
        <f>IF($D566="","",IF(AND($L566="Crédit",OR(IFERROR(INDEX('Paramètres'!$O:$O,MATCH($D566,'Paramètres'!$M:$M,0))&amp;"","")&lt;&gt;"",ISNUMBER(SEARCH("remboursement",IFERROR(INDEX('Paramètres'!$N:$N,MATCH($D566,'Paramètres'!$M:$M,0))&amp;"",""))))),1,0))</f>
        <v>0</v>
      </c>
      <c r="Q566" s="6">
        <f>IF($K566="","",IF(ISNUMBER(SEARCH("transfert-interne",IFERROR(INDEX('Paramètres'!$N:$N,MATCH($D566,'Paramètres'!$M:$M,0))&amp;"",""))),0,IF($L566="Débit",$K566,IF($P566=1,-$K566,0))))</f>
        <v>8.46</v>
      </c>
      <c r="R566" s="6">
        <f>IF($K566="","",IF($L566="Crédit",$K566,-$K566))</f>
        <v>-8.46</v>
      </c>
      <c r="S566" s="6" t="str">
        <f>IF($C566="","",IFERROR(INDEX('Paramètres'!$H:$H,MATCH($C566,'Paramètres'!$D:$D,0))&amp;"",""))</f>
        <v/>
      </c>
      <c r="T566" s="6">
        <f>IF($K566="","",IF($S566="",0,IF(ISNUMBER(SEARCH("apport-exterieur",IFERROR(INDEX('Paramètres'!$N:$N,MATCH($D566,'Paramètres'!$M:$M,0))&amp;"",""))),0,IF(OR(IFERROR(INDEX('Paramètres'!$I:$I,MATCH($C566,'Paramètres'!$D:$D,0))&amp;"","")="Les deux",IFERROR(INDEX('Paramètres'!$I:$I,MATCH($C566,'Paramètres'!$D:$D,0))&amp;"","")=IF($P566=1,"Débit",$L566)),-IF($P566=1,-$K566,$K566),0))))</f>
        <v>0</v>
      </c>
      <c r="U566" s="6">
        <f>IF($K566="","",IF(ISNUMBER(SEARCH("sortie-epargne",IFERROR(INDEX('Paramètres'!$N:$N,MATCH($D566,'Paramètres'!$M:$M,0))&amp;"",""))),$K566,0))</f>
        <v>0</v>
      </c>
      <c r="V566" s="6" t="str">
        <f>IF(AND($A566&lt;&gt;"",$O566=1,$L566="Débit",N($Q566)&gt;0,$A566&gt;=Visualisation!$B$1,$A566&lt;Visualisation!$D$1),MAX($V$1:V565)+1,"")</f>
        <v/>
      </c>
    </row>
    <row r="567" spans="1:22" x14ac:dyDescent="0.25">
      <c r="A567" s="9">
        <v>45944</v>
      </c>
      <c r="B567" s="4" t="s">
        <v>76</v>
      </c>
      <c r="C567" s="4" t="s">
        <v>60</v>
      </c>
      <c r="D567" s="4" t="s">
        <v>77</v>
      </c>
      <c r="E567" s="10">
        <v>24.48</v>
      </c>
      <c r="G567" s="4" t="s">
        <v>98</v>
      </c>
      <c r="H567" s="4"/>
      <c r="I567" s="4" t="s">
        <v>73</v>
      </c>
      <c r="K567" s="11">
        <f>IF($E567="","",ROUND($E567*IF(ISNA(MATCH($C567,'Paramètres'!$D:$D,0)),1,IF(INDEX('Paramètres'!$J:$J,MATCH($C567,'Paramètres'!$D:$D,0))="",1,INDEX('Paramètres'!$J:$J,MATCH($C567,'Paramètres'!$D:$D,0)))),2))</f>
        <v>12.24</v>
      </c>
      <c r="L567" s="6" t="str">
        <f>IF($D567="","",IF($F567&lt;&gt;"",$F567,IF(ISNA(MATCH($D567,'Paramètres'!$M:$M,0)),"⚠ Type inconnu",IFERROR(INDEX('Paramètres'!$P:$P,MATCH($D567,'Paramètres'!$M:$M,0))&amp;"",""))))</f>
        <v>Débit</v>
      </c>
      <c r="M567" s="6" t="str">
        <f>IF($D567="","",IF(ISNA(MATCH($D567,'Paramètres'!$M:$M,0)),"⚠ Type inconnu",IF($L567="Crédit","",IFERROR(INDEX('Paramètres'!$O:$O,MATCH($D567,'Paramètres'!$M:$M,0))&amp;"",""))))</f>
        <v>Dépense Courante</v>
      </c>
      <c r="N567" s="6" t="str">
        <f>IF($D567="","",IFERROR(INDEX('Paramètres'!$Q:$Q,MATCH($D567,'Paramètres'!$M:$M,0))&amp;"",""))</f>
        <v>Alimentation</v>
      </c>
      <c r="O567" s="6">
        <f>IF($A567="","",IF(OR($J567&lt;&gt;"x",$A567&lt;=FinReleve),1,0))</f>
        <v>1</v>
      </c>
      <c r="P567" s="6">
        <f>IF($D567="","",IF(AND($L567="Crédit",OR(IFERROR(INDEX('Paramètres'!$O:$O,MATCH($D567,'Paramètres'!$M:$M,0))&amp;"","")&lt;&gt;"",ISNUMBER(SEARCH("remboursement",IFERROR(INDEX('Paramètres'!$N:$N,MATCH($D567,'Paramètres'!$M:$M,0))&amp;"",""))))),1,0))</f>
        <v>0</v>
      </c>
      <c r="Q567" s="6">
        <f>IF($K567="","",IF(ISNUMBER(SEARCH("transfert-interne",IFERROR(INDEX('Paramètres'!$N:$N,MATCH($D567,'Paramètres'!$M:$M,0))&amp;"",""))),0,IF($L567="Débit",$K567,IF($P567=1,-$K567,0))))</f>
        <v>12.24</v>
      </c>
      <c r="R567" s="6">
        <f>IF($K567="","",IF($L567="Crédit",$K567,-$K567))</f>
        <v>-12.24</v>
      </c>
      <c r="S567" s="6" t="str">
        <f>IF($C567="","",IFERROR(INDEX('Paramètres'!$H:$H,MATCH($C567,'Paramètres'!$D:$D,0))&amp;"",""))</f>
        <v>Banque A - Courant</v>
      </c>
      <c r="T567" s="6">
        <f>IF($K567="","",IF($S567="",0,IF(ISNUMBER(SEARCH("apport-exterieur",IFERROR(INDEX('Paramètres'!$N:$N,MATCH($D567,'Paramètres'!$M:$M,0))&amp;"",""))),0,IF(OR(IFERROR(INDEX('Paramètres'!$I:$I,MATCH($C567,'Paramètres'!$D:$D,0))&amp;"","")="Les deux",IFERROR(INDEX('Paramètres'!$I:$I,MATCH($C567,'Paramètres'!$D:$D,0))&amp;"","")=IF($P567=1,"Débit",$L567)),-IF($P567=1,-$K567,$K567),0))))</f>
        <v>-12.24</v>
      </c>
      <c r="U567" s="6">
        <f>IF($K567="","",IF(ISNUMBER(SEARCH("sortie-epargne",IFERROR(INDEX('Paramètres'!$N:$N,MATCH($D567,'Paramètres'!$M:$M,0))&amp;"",""))),$K567,0))</f>
        <v>0</v>
      </c>
      <c r="V567" s="6" t="str">
        <f>IF(AND($A567&lt;&gt;"",$O567=1,$L567="Débit",N($Q567)&gt;0,$A567&gt;=Visualisation!$B$1,$A567&lt;Visualisation!$D$1),MAX($V$1:V566)+1,"")</f>
        <v/>
      </c>
    </row>
    <row r="568" spans="1:22" x14ac:dyDescent="0.25">
      <c r="A568" s="9">
        <v>45944</v>
      </c>
      <c r="B568" s="4" t="s">
        <v>76</v>
      </c>
      <c r="C568" s="4" t="s">
        <v>60</v>
      </c>
      <c r="D568" s="4" t="s">
        <v>77</v>
      </c>
      <c r="E568" s="10">
        <v>159.5</v>
      </c>
      <c r="G568" s="4" t="s">
        <v>98</v>
      </c>
      <c r="H568" s="4"/>
      <c r="I568" s="4" t="s">
        <v>63</v>
      </c>
      <c r="K568" s="11">
        <f>IF($E568="","",ROUND($E568*IF(ISNA(MATCH($C568,'Paramètres'!$D:$D,0)),1,IF(INDEX('Paramètres'!$J:$J,MATCH($C568,'Paramètres'!$D:$D,0))="",1,INDEX('Paramètres'!$J:$J,MATCH($C568,'Paramètres'!$D:$D,0)))),2))</f>
        <v>79.75</v>
      </c>
      <c r="L568" s="6" t="str">
        <f>IF($D568="","",IF($F568&lt;&gt;"",$F568,IF(ISNA(MATCH($D568,'Paramètres'!$M:$M,0)),"⚠ Type inconnu",IFERROR(INDEX('Paramètres'!$P:$P,MATCH($D568,'Paramètres'!$M:$M,0))&amp;"",""))))</f>
        <v>Débit</v>
      </c>
      <c r="M568" s="6" t="str">
        <f>IF($D568="","",IF(ISNA(MATCH($D568,'Paramètres'!$M:$M,0)),"⚠ Type inconnu",IF($L568="Crédit","",IFERROR(INDEX('Paramètres'!$O:$O,MATCH($D568,'Paramètres'!$M:$M,0))&amp;"",""))))</f>
        <v>Dépense Courante</v>
      </c>
      <c r="N568" s="6" t="str">
        <f>IF($D568="","",IFERROR(INDEX('Paramètres'!$Q:$Q,MATCH($D568,'Paramètres'!$M:$M,0))&amp;"",""))</f>
        <v>Alimentation</v>
      </c>
      <c r="O568" s="6">
        <f>IF($A568="","",IF(OR($J568&lt;&gt;"x",$A568&lt;=FinReleve),1,0))</f>
        <v>1</v>
      </c>
      <c r="P568" s="6">
        <f>IF($D568="","",IF(AND($L568="Crédit",OR(IFERROR(INDEX('Paramètres'!$O:$O,MATCH($D568,'Paramètres'!$M:$M,0))&amp;"","")&lt;&gt;"",ISNUMBER(SEARCH("remboursement",IFERROR(INDEX('Paramètres'!$N:$N,MATCH($D568,'Paramètres'!$M:$M,0))&amp;"",""))))),1,0))</f>
        <v>0</v>
      </c>
      <c r="Q568" s="6">
        <f>IF($K568="","",IF(ISNUMBER(SEARCH("transfert-interne",IFERROR(INDEX('Paramètres'!$N:$N,MATCH($D568,'Paramètres'!$M:$M,0))&amp;"",""))),0,IF($L568="Débit",$K568,IF($P568=1,-$K568,0))))</f>
        <v>79.75</v>
      </c>
      <c r="R568" s="6">
        <f>IF($K568="","",IF($L568="Crédit",$K568,-$K568))</f>
        <v>-79.75</v>
      </c>
      <c r="S568" s="6" t="str">
        <f>IF($C568="","",IFERROR(INDEX('Paramètres'!$H:$H,MATCH($C568,'Paramètres'!$D:$D,0))&amp;"",""))</f>
        <v>Banque A - Courant</v>
      </c>
      <c r="T568" s="6">
        <f>IF($K568="","",IF($S568="",0,IF(ISNUMBER(SEARCH("apport-exterieur",IFERROR(INDEX('Paramètres'!$N:$N,MATCH($D568,'Paramètres'!$M:$M,0))&amp;"",""))),0,IF(OR(IFERROR(INDEX('Paramètres'!$I:$I,MATCH($C568,'Paramètres'!$D:$D,0))&amp;"","")="Les deux",IFERROR(INDEX('Paramètres'!$I:$I,MATCH($C568,'Paramètres'!$D:$D,0))&amp;"","")=IF($P568=1,"Débit",$L568)),-IF($P568=1,-$K568,$K568),0))))</f>
        <v>-79.75</v>
      </c>
      <c r="U568" s="6">
        <f>IF($K568="","",IF(ISNUMBER(SEARCH("sortie-epargne",IFERROR(INDEX('Paramètres'!$N:$N,MATCH($D568,'Paramètres'!$M:$M,0))&amp;"",""))),$K568,0))</f>
        <v>0</v>
      </c>
      <c r="V568" s="6" t="str">
        <f>IF(AND($A568&lt;&gt;"",$O568=1,$L568="Débit",N($Q568)&gt;0,$A568&gt;=Visualisation!$B$1,$A568&lt;Visualisation!$D$1),MAX($V$1:V567)+1,"")</f>
        <v/>
      </c>
    </row>
    <row r="569" spans="1:22" x14ac:dyDescent="0.25">
      <c r="A569" s="9">
        <v>45944</v>
      </c>
      <c r="B569" s="4" t="s">
        <v>69</v>
      </c>
      <c r="C569" s="4" t="s">
        <v>70</v>
      </c>
      <c r="D569" s="4" t="s">
        <v>71</v>
      </c>
      <c r="E569" s="10">
        <v>12.86</v>
      </c>
      <c r="G569" s="4" t="s">
        <v>72</v>
      </c>
      <c r="H569" s="4"/>
      <c r="I569" s="4" t="s">
        <v>73</v>
      </c>
      <c r="K569" s="11">
        <f>IF($E569="","",ROUND($E569*IF(ISNA(MATCH($C569,'Paramètres'!$D:$D,0)),1,IF(INDEX('Paramètres'!$J:$J,MATCH($C569,'Paramètres'!$D:$D,0))="",1,INDEX('Paramètres'!$J:$J,MATCH($C569,'Paramètres'!$D:$D,0)))),2))</f>
        <v>12.86</v>
      </c>
      <c r="L569" s="6" t="str">
        <f>IF($D569="","",IF($F569&lt;&gt;"",$F569,IF(ISNA(MATCH($D569,'Paramètres'!$M:$M,0)),"⚠ Type inconnu",IFERROR(INDEX('Paramètres'!$P:$P,MATCH($D569,'Paramètres'!$M:$M,0))&amp;"",""))))</f>
        <v>Débit</v>
      </c>
      <c r="M569" s="6" t="str">
        <f>IF($D569="","",IF(ISNA(MATCH($D569,'Paramètres'!$M:$M,0)),"⚠ Type inconnu",IF($L569="Crédit","",IFERROR(INDEX('Paramètres'!$O:$O,MATCH($D569,'Paramètres'!$M:$M,0))&amp;"",""))))</f>
        <v>Dépense Courante</v>
      </c>
      <c r="N569" s="6" t="str">
        <f>IF($D569="","",IFERROR(INDEX('Paramètres'!$Q:$Q,MATCH($D569,'Paramètres'!$M:$M,0))&amp;"",""))</f>
        <v>Alimentation</v>
      </c>
      <c r="O569" s="6">
        <f>IF($A569="","",IF(OR($J569&lt;&gt;"x",$A569&lt;=FinReleve),1,0))</f>
        <v>1</v>
      </c>
      <c r="P569" s="6">
        <f>IF($D569="","",IF(AND($L569="Crédit",OR(IFERROR(INDEX('Paramètres'!$O:$O,MATCH($D569,'Paramètres'!$M:$M,0))&amp;"","")&lt;&gt;"",ISNUMBER(SEARCH("remboursement",IFERROR(INDEX('Paramètres'!$N:$N,MATCH($D569,'Paramètres'!$M:$M,0))&amp;"",""))))),1,0))</f>
        <v>0</v>
      </c>
      <c r="Q569" s="6">
        <f>IF($K569="","",IF(ISNUMBER(SEARCH("transfert-interne",IFERROR(INDEX('Paramètres'!$N:$N,MATCH($D569,'Paramètres'!$M:$M,0))&amp;"",""))),0,IF($L569="Débit",$K569,IF($P569=1,-$K569,0))))</f>
        <v>12.86</v>
      </c>
      <c r="R569" s="6">
        <f>IF($K569="","",IF($L569="Crédit",$K569,-$K569))</f>
        <v>-12.86</v>
      </c>
      <c r="S569" s="6" t="str">
        <f>IF($C569="","",IFERROR(INDEX('Paramètres'!$H:$H,MATCH($C569,'Paramètres'!$D:$D,0))&amp;"",""))</f>
        <v/>
      </c>
      <c r="T569" s="6">
        <f>IF($K569="","",IF($S569="",0,IF(ISNUMBER(SEARCH("apport-exterieur",IFERROR(INDEX('Paramètres'!$N:$N,MATCH($D569,'Paramètres'!$M:$M,0))&amp;"",""))),0,IF(OR(IFERROR(INDEX('Paramètres'!$I:$I,MATCH($C569,'Paramètres'!$D:$D,0))&amp;"","")="Les deux",IFERROR(INDEX('Paramètres'!$I:$I,MATCH($C569,'Paramètres'!$D:$D,0))&amp;"","")=IF($P569=1,"Débit",$L569)),-IF($P569=1,-$K569,$K569),0))))</f>
        <v>0</v>
      </c>
      <c r="U569" s="6">
        <f>IF($K569="","",IF(ISNUMBER(SEARCH("sortie-epargne",IFERROR(INDEX('Paramètres'!$N:$N,MATCH($D569,'Paramètres'!$M:$M,0))&amp;"",""))),$K569,0))</f>
        <v>0</v>
      </c>
      <c r="V569" s="6" t="str">
        <f>IF(AND($A569&lt;&gt;"",$O569=1,$L569="Débit",N($Q569)&gt;0,$A569&gt;=Visualisation!$B$1,$A569&lt;Visualisation!$D$1),MAX($V$1:V568)+1,"")</f>
        <v/>
      </c>
    </row>
    <row r="570" spans="1:22" x14ac:dyDescent="0.25">
      <c r="A570" s="9">
        <v>45944</v>
      </c>
      <c r="B570" s="4" t="s">
        <v>59</v>
      </c>
      <c r="C570" s="4" t="s">
        <v>126</v>
      </c>
      <c r="D570" s="4" t="s">
        <v>59</v>
      </c>
      <c r="E570" s="10">
        <v>40.66</v>
      </c>
      <c r="G570" s="4" t="s">
        <v>61</v>
      </c>
      <c r="H570" s="4" t="s">
        <v>120</v>
      </c>
      <c r="I570" s="4"/>
      <c r="K570" s="11">
        <f>IF($E570="","",ROUND($E570*IF(ISNA(MATCH($C570,'Paramètres'!$D:$D,0)),1,IF(INDEX('Paramètres'!$J:$J,MATCH($C570,'Paramètres'!$D:$D,0))="",1,INDEX('Paramètres'!$J:$J,MATCH($C570,'Paramètres'!$D:$D,0)))),2))</f>
        <v>20.33</v>
      </c>
      <c r="L570" s="6" t="str">
        <f>IF($D570="","",IF($F570&lt;&gt;"",$F570,IF(ISNA(MATCH($D570,'Paramètres'!$M:$M,0)),"⚠ Type inconnu",IFERROR(INDEX('Paramètres'!$P:$P,MATCH($D570,'Paramètres'!$M:$M,0))&amp;"",""))))</f>
        <v>Débit</v>
      </c>
      <c r="M570" s="6" t="str">
        <f>IF($D570="","",IF(ISNA(MATCH($D570,'Paramètres'!$M:$M,0)),"⚠ Type inconnu",IF($L570="Crédit","",IFERROR(INDEX('Paramètres'!$O:$O,MATCH($D570,'Paramètres'!$M:$M,0))&amp;"",""))))</f>
        <v>Dépense Occasionnelle</v>
      </c>
      <c r="N570" s="6" t="str">
        <f>IF($D570="","",IFERROR(INDEX('Paramètres'!$Q:$Q,MATCH($D570,'Paramètres'!$M:$M,0))&amp;"",""))</f>
        <v>Loisir</v>
      </c>
      <c r="O570" s="6">
        <f>IF($A570="","",IF(OR($J570&lt;&gt;"x",$A570&lt;=FinReleve),1,0))</f>
        <v>1</v>
      </c>
      <c r="P570" s="6">
        <f>IF($D570="","",IF(AND($L570="Crédit",OR(IFERROR(INDEX('Paramètres'!$O:$O,MATCH($D570,'Paramètres'!$M:$M,0))&amp;"","")&lt;&gt;"",ISNUMBER(SEARCH("remboursement",IFERROR(INDEX('Paramètres'!$N:$N,MATCH($D570,'Paramètres'!$M:$M,0))&amp;"",""))))),1,0))</f>
        <v>0</v>
      </c>
      <c r="Q570" s="6">
        <f>IF($K570="","",IF(ISNUMBER(SEARCH("transfert-interne",IFERROR(INDEX('Paramètres'!$N:$N,MATCH($D570,'Paramètres'!$M:$M,0))&amp;"",""))),0,IF($L570="Débit",$K570,IF($P570=1,-$K570,0))))</f>
        <v>20.33</v>
      </c>
      <c r="R570" s="6">
        <f>IF($K570="","",IF($L570="Crédit",$K570,-$K570))</f>
        <v>-20.33</v>
      </c>
      <c r="S570" s="6" t="str">
        <f>IF($C570="","",IFERROR(INDEX('Paramètres'!$H:$H,MATCH($C570,'Paramètres'!$D:$D,0))&amp;"",""))</f>
        <v>Banque A - Courant</v>
      </c>
      <c r="T570" s="6">
        <f>IF($K570="","",IF($S570="",0,IF(ISNUMBER(SEARCH("apport-exterieur",IFERROR(INDEX('Paramètres'!$N:$N,MATCH($D570,'Paramètres'!$M:$M,0))&amp;"",""))),0,IF(OR(IFERROR(INDEX('Paramètres'!$I:$I,MATCH($C570,'Paramètres'!$D:$D,0))&amp;"","")="Les deux",IFERROR(INDEX('Paramètres'!$I:$I,MATCH($C570,'Paramètres'!$D:$D,0))&amp;"","")=IF($P570=1,"Débit",$L570)),-IF($P570=1,-$K570,$K570),0))))</f>
        <v>-20.33</v>
      </c>
      <c r="U570" s="6">
        <f>IF($K570="","",IF(ISNUMBER(SEARCH("sortie-epargne",IFERROR(INDEX('Paramètres'!$N:$N,MATCH($D570,'Paramètres'!$M:$M,0))&amp;"",""))),$K570,0))</f>
        <v>0</v>
      </c>
      <c r="V570" s="6" t="str">
        <f>IF(AND($A570&lt;&gt;"",$O570=1,$L570="Débit",N($Q570)&gt;0,$A570&gt;=Visualisation!$B$1,$A570&lt;Visualisation!$D$1),MAX($V$1:V569)+1,"")</f>
        <v/>
      </c>
    </row>
    <row r="571" spans="1:22" x14ac:dyDescent="0.25">
      <c r="A571" s="9">
        <v>45945</v>
      </c>
      <c r="B571" s="4" t="s">
        <v>100</v>
      </c>
      <c r="C571" s="4" t="s">
        <v>65</v>
      </c>
      <c r="D571" s="4" t="s">
        <v>100</v>
      </c>
      <c r="E571" s="10">
        <v>87.34</v>
      </c>
      <c r="G571" s="4"/>
      <c r="H571" s="4"/>
      <c r="I571" s="4"/>
      <c r="K571" s="11">
        <f>IF($E571="","",ROUND($E571*IF(ISNA(MATCH($C571,'Paramètres'!$D:$D,0)),1,IF(INDEX('Paramètres'!$J:$J,MATCH($C571,'Paramètres'!$D:$D,0))="",1,INDEX('Paramètres'!$J:$J,MATCH($C571,'Paramètres'!$D:$D,0)))),2))</f>
        <v>87.34</v>
      </c>
      <c r="L571" s="6" t="str">
        <f>IF($D571="","",IF($F571&lt;&gt;"",$F571,IF(ISNA(MATCH($D571,'Paramètres'!$M:$M,0)),"⚠ Type inconnu",IFERROR(INDEX('Paramètres'!$P:$P,MATCH($D571,'Paramètres'!$M:$M,0))&amp;"",""))))</f>
        <v>Débit</v>
      </c>
      <c r="M571" s="6" t="str">
        <f>IF($D571="","",IF(ISNA(MATCH($D571,'Paramètres'!$M:$M,0)),"⚠ Type inconnu",IF($L571="Crédit","",IFERROR(INDEX('Paramètres'!$O:$O,MATCH($D571,'Paramètres'!$M:$M,0))&amp;"",""))))</f>
        <v>Dépense Fixe</v>
      </c>
      <c r="N571" s="6" t="str">
        <f>IF($D571="","",IFERROR(INDEX('Paramètres'!$Q:$Q,MATCH($D571,'Paramètres'!$M:$M,0))&amp;"",""))</f>
        <v>Immobilier</v>
      </c>
      <c r="O571" s="6">
        <f>IF($A571="","",IF(OR($J571&lt;&gt;"x",$A571&lt;=FinReleve),1,0))</f>
        <v>1</v>
      </c>
      <c r="P571" s="6">
        <f>IF($D571="","",IF(AND($L571="Crédit",OR(IFERROR(INDEX('Paramètres'!$O:$O,MATCH($D571,'Paramètres'!$M:$M,0))&amp;"","")&lt;&gt;"",ISNUMBER(SEARCH("remboursement",IFERROR(INDEX('Paramètres'!$N:$N,MATCH($D571,'Paramètres'!$M:$M,0))&amp;"",""))))),1,0))</f>
        <v>0</v>
      </c>
      <c r="Q571" s="6">
        <f>IF($K571="","",IF(ISNUMBER(SEARCH("transfert-interne",IFERROR(INDEX('Paramètres'!$N:$N,MATCH($D571,'Paramètres'!$M:$M,0))&amp;"",""))),0,IF($L571="Débit",$K571,IF($P571=1,-$K571,0))))</f>
        <v>87.34</v>
      </c>
      <c r="R571" s="6">
        <f>IF($K571="","",IF($L571="Crédit",$K571,-$K571))</f>
        <v>-87.34</v>
      </c>
      <c r="S571" s="6" t="str">
        <f>IF($C571="","",IFERROR(INDEX('Paramètres'!$H:$H,MATCH($C571,'Paramètres'!$D:$D,0))&amp;"",""))</f>
        <v>Banque A - Courant</v>
      </c>
      <c r="T571" s="6">
        <f>IF($K571="","",IF($S571="",0,IF(ISNUMBER(SEARCH("apport-exterieur",IFERROR(INDEX('Paramètres'!$N:$N,MATCH($D571,'Paramètres'!$M:$M,0))&amp;"",""))),0,IF(OR(IFERROR(INDEX('Paramètres'!$I:$I,MATCH($C571,'Paramètres'!$D:$D,0))&amp;"","")="Les deux",IFERROR(INDEX('Paramètres'!$I:$I,MATCH($C571,'Paramètres'!$D:$D,0))&amp;"","")=IF($P571=1,"Débit",$L571)),-IF($P571=1,-$K571,$K571),0))))</f>
        <v>0</v>
      </c>
      <c r="U571" s="6">
        <f>IF($K571="","",IF(ISNUMBER(SEARCH("sortie-epargne",IFERROR(INDEX('Paramètres'!$N:$N,MATCH($D571,'Paramètres'!$M:$M,0))&amp;"",""))),$K571,0))</f>
        <v>0</v>
      </c>
      <c r="V571" s="6" t="str">
        <f>IF(AND($A571&lt;&gt;"",$O571=1,$L571="Débit",N($Q571)&gt;0,$A571&gt;=Visualisation!$B$1,$A571&lt;Visualisation!$D$1),MAX($V$1:V570)+1,"")</f>
        <v/>
      </c>
    </row>
    <row r="572" spans="1:22" x14ac:dyDescent="0.25">
      <c r="A572" s="9">
        <v>45945</v>
      </c>
      <c r="B572" s="4" t="s">
        <v>76</v>
      </c>
      <c r="C572" s="4" t="s">
        <v>67</v>
      </c>
      <c r="D572" s="4" t="s">
        <v>77</v>
      </c>
      <c r="E572" s="10">
        <v>69.48</v>
      </c>
      <c r="G572" s="4" t="s">
        <v>102</v>
      </c>
      <c r="H572" s="4"/>
      <c r="I572" s="4" t="s">
        <v>79</v>
      </c>
      <c r="K572" s="11">
        <f>IF($E572="","",ROUND($E572*IF(ISNA(MATCH($C572,'Paramètres'!$D:$D,0)),1,IF(INDEX('Paramètres'!$J:$J,MATCH($C572,'Paramètres'!$D:$D,0))="",1,INDEX('Paramètres'!$J:$J,MATCH($C572,'Paramètres'!$D:$D,0)))),2))</f>
        <v>34.74</v>
      </c>
      <c r="L572" s="6" t="str">
        <f>IF($D572="","",IF($F572&lt;&gt;"",$F572,IF(ISNA(MATCH($D572,'Paramètres'!$M:$M,0)),"⚠ Type inconnu",IFERROR(INDEX('Paramètres'!$P:$P,MATCH($D572,'Paramètres'!$M:$M,0))&amp;"",""))))</f>
        <v>Débit</v>
      </c>
      <c r="M572" s="6" t="str">
        <f>IF($D572="","",IF(ISNA(MATCH($D572,'Paramètres'!$M:$M,0)),"⚠ Type inconnu",IF($L572="Crédit","",IFERROR(INDEX('Paramètres'!$O:$O,MATCH($D572,'Paramètres'!$M:$M,0))&amp;"",""))))</f>
        <v>Dépense Courante</v>
      </c>
      <c r="N572" s="6" t="str">
        <f>IF($D572="","",IFERROR(INDEX('Paramètres'!$Q:$Q,MATCH($D572,'Paramètres'!$M:$M,0))&amp;"",""))</f>
        <v>Alimentation</v>
      </c>
      <c r="O572" s="6">
        <f>IF($A572="","",IF(OR($J572&lt;&gt;"x",$A572&lt;=FinReleve),1,0))</f>
        <v>1</v>
      </c>
      <c r="P572" s="6">
        <f>IF($D572="","",IF(AND($L572="Crédit",OR(IFERROR(INDEX('Paramètres'!$O:$O,MATCH($D572,'Paramètres'!$M:$M,0))&amp;"","")&lt;&gt;"",ISNUMBER(SEARCH("remboursement",IFERROR(INDEX('Paramètres'!$N:$N,MATCH($D572,'Paramètres'!$M:$M,0))&amp;"",""))))),1,0))</f>
        <v>0</v>
      </c>
      <c r="Q572" s="6">
        <f>IF($K572="","",IF(ISNUMBER(SEARCH("transfert-interne",IFERROR(INDEX('Paramètres'!$N:$N,MATCH($D572,'Paramètres'!$M:$M,0))&amp;"",""))),0,IF($L572="Débit",$K572,IF($P572=1,-$K572,0))))</f>
        <v>34.74</v>
      </c>
      <c r="R572" s="6">
        <f>IF($K572="","",IF($L572="Crédit",$K572,-$K572))</f>
        <v>-34.74</v>
      </c>
      <c r="S572" s="6" t="str">
        <f>IF($C572="","",IFERROR(INDEX('Paramètres'!$H:$H,MATCH($C572,'Paramètres'!$D:$D,0))&amp;"",""))</f>
        <v>Banque A - Courant</v>
      </c>
      <c r="T572" s="6">
        <f>IF($K572="","",IF($S572="",0,IF(ISNUMBER(SEARCH("apport-exterieur",IFERROR(INDEX('Paramètres'!$N:$N,MATCH($D572,'Paramètres'!$M:$M,0))&amp;"",""))),0,IF(OR(IFERROR(INDEX('Paramètres'!$I:$I,MATCH($C572,'Paramètres'!$D:$D,0))&amp;"","")="Les deux",IFERROR(INDEX('Paramètres'!$I:$I,MATCH($C572,'Paramètres'!$D:$D,0))&amp;"","")=IF($P572=1,"Débit",$L572)),-IF($P572=1,-$K572,$K572),0))))</f>
        <v>0</v>
      </c>
      <c r="U572" s="6">
        <f>IF($K572="","",IF(ISNUMBER(SEARCH("sortie-epargne",IFERROR(INDEX('Paramètres'!$N:$N,MATCH($D572,'Paramètres'!$M:$M,0))&amp;"",""))),$K572,0))</f>
        <v>0</v>
      </c>
      <c r="V572" s="6" t="str">
        <f>IF(AND($A572&lt;&gt;"",$O572=1,$L572="Débit",N($Q572)&gt;0,$A572&gt;=Visualisation!$B$1,$A572&lt;Visualisation!$D$1),MAX($V$1:V571)+1,"")</f>
        <v/>
      </c>
    </row>
    <row r="573" spans="1:22" x14ac:dyDescent="0.25">
      <c r="A573" s="9">
        <v>45945</v>
      </c>
      <c r="B573" s="4" t="s">
        <v>59</v>
      </c>
      <c r="C573" s="4" t="s">
        <v>126</v>
      </c>
      <c r="D573" s="4" t="s">
        <v>59</v>
      </c>
      <c r="E573" s="10">
        <v>109.16</v>
      </c>
      <c r="G573" s="4" t="s">
        <v>138</v>
      </c>
      <c r="H573" s="4" t="s">
        <v>120</v>
      </c>
      <c r="I573" s="4"/>
      <c r="K573" s="11">
        <f>IF($E573="","",ROUND($E573*IF(ISNA(MATCH($C573,'Paramètres'!$D:$D,0)),1,IF(INDEX('Paramètres'!$J:$J,MATCH($C573,'Paramètres'!$D:$D,0))="",1,INDEX('Paramètres'!$J:$J,MATCH($C573,'Paramètres'!$D:$D,0)))),2))</f>
        <v>54.58</v>
      </c>
      <c r="L573" s="6" t="str">
        <f>IF($D573="","",IF($F573&lt;&gt;"",$F573,IF(ISNA(MATCH($D573,'Paramètres'!$M:$M,0)),"⚠ Type inconnu",IFERROR(INDEX('Paramètres'!$P:$P,MATCH($D573,'Paramètres'!$M:$M,0))&amp;"",""))))</f>
        <v>Débit</v>
      </c>
      <c r="M573" s="6" t="str">
        <f>IF($D573="","",IF(ISNA(MATCH($D573,'Paramètres'!$M:$M,0)),"⚠ Type inconnu",IF($L573="Crédit","",IFERROR(INDEX('Paramètres'!$O:$O,MATCH($D573,'Paramètres'!$M:$M,0))&amp;"",""))))</f>
        <v>Dépense Occasionnelle</v>
      </c>
      <c r="N573" s="6" t="str">
        <f>IF($D573="","",IFERROR(INDEX('Paramètres'!$Q:$Q,MATCH($D573,'Paramètres'!$M:$M,0))&amp;"",""))</f>
        <v>Loisir</v>
      </c>
      <c r="O573" s="6">
        <f>IF($A573="","",IF(OR($J573&lt;&gt;"x",$A573&lt;=FinReleve),1,0))</f>
        <v>1</v>
      </c>
      <c r="P573" s="6">
        <f>IF($D573="","",IF(AND($L573="Crédit",OR(IFERROR(INDEX('Paramètres'!$O:$O,MATCH($D573,'Paramètres'!$M:$M,0))&amp;"","")&lt;&gt;"",ISNUMBER(SEARCH("remboursement",IFERROR(INDEX('Paramètres'!$N:$N,MATCH($D573,'Paramètres'!$M:$M,0))&amp;"",""))))),1,0))</f>
        <v>0</v>
      </c>
      <c r="Q573" s="6">
        <f>IF($K573="","",IF(ISNUMBER(SEARCH("transfert-interne",IFERROR(INDEX('Paramètres'!$N:$N,MATCH($D573,'Paramètres'!$M:$M,0))&amp;"",""))),0,IF($L573="Débit",$K573,IF($P573=1,-$K573,0))))</f>
        <v>54.58</v>
      </c>
      <c r="R573" s="6">
        <f>IF($K573="","",IF($L573="Crédit",$K573,-$K573))</f>
        <v>-54.58</v>
      </c>
      <c r="S573" s="6" t="str">
        <f>IF($C573="","",IFERROR(INDEX('Paramètres'!$H:$H,MATCH($C573,'Paramètres'!$D:$D,0))&amp;"",""))</f>
        <v>Banque A - Courant</v>
      </c>
      <c r="T573" s="6">
        <f>IF($K573="","",IF($S573="",0,IF(ISNUMBER(SEARCH("apport-exterieur",IFERROR(INDEX('Paramètres'!$N:$N,MATCH($D573,'Paramètres'!$M:$M,0))&amp;"",""))),0,IF(OR(IFERROR(INDEX('Paramètres'!$I:$I,MATCH($C573,'Paramètres'!$D:$D,0))&amp;"","")="Les deux",IFERROR(INDEX('Paramètres'!$I:$I,MATCH($C573,'Paramètres'!$D:$D,0))&amp;"","")=IF($P573=1,"Débit",$L573)),-IF($P573=1,-$K573,$K573),0))))</f>
        <v>-54.58</v>
      </c>
      <c r="U573" s="6">
        <f>IF($K573="","",IF(ISNUMBER(SEARCH("sortie-epargne",IFERROR(INDEX('Paramètres'!$N:$N,MATCH($D573,'Paramètres'!$M:$M,0))&amp;"",""))),$K573,0))</f>
        <v>0</v>
      </c>
      <c r="V573" s="6" t="str">
        <f>IF(AND($A573&lt;&gt;"",$O573=1,$L573="Débit",N($Q573)&gt;0,$A573&gt;=Visualisation!$B$1,$A573&lt;Visualisation!$D$1),MAX($V$1:V572)+1,"")</f>
        <v/>
      </c>
    </row>
    <row r="574" spans="1:22" x14ac:dyDescent="0.25">
      <c r="A574" s="9">
        <v>45946</v>
      </c>
      <c r="B574" s="4" t="s">
        <v>90</v>
      </c>
      <c r="C574" s="4" t="s">
        <v>75</v>
      </c>
      <c r="D574" s="4" t="s">
        <v>91</v>
      </c>
      <c r="E574" s="10">
        <v>64.77</v>
      </c>
      <c r="G574" s="4" t="s">
        <v>92</v>
      </c>
      <c r="H574" s="4"/>
      <c r="I574" s="4"/>
      <c r="K574" s="11">
        <f>IF($E574="","",ROUND($E574*IF(ISNA(MATCH($C574,'Paramètres'!$D:$D,0)),1,IF(INDEX('Paramètres'!$J:$J,MATCH($C574,'Paramètres'!$D:$D,0))="",1,INDEX('Paramètres'!$J:$J,MATCH($C574,'Paramètres'!$D:$D,0)))),2))</f>
        <v>64.77</v>
      </c>
      <c r="L574" s="6" t="str">
        <f>IF($D574="","",IF($F574&lt;&gt;"",$F574,IF(ISNA(MATCH($D574,'Paramètres'!$M:$M,0)),"⚠ Type inconnu",IFERROR(INDEX('Paramètres'!$P:$P,MATCH($D574,'Paramètres'!$M:$M,0))&amp;"",""))))</f>
        <v>Débit</v>
      </c>
      <c r="M574" s="6" t="str">
        <f>IF($D574="","",IF(ISNA(MATCH($D574,'Paramètres'!$M:$M,0)),"⚠ Type inconnu",IF($L574="Crédit","",IFERROR(INDEX('Paramètres'!$O:$O,MATCH($D574,'Paramètres'!$M:$M,0))&amp;"",""))))</f>
        <v>Dépense Courante</v>
      </c>
      <c r="N574" s="6" t="str">
        <f>IF($D574="","",IFERROR(INDEX('Paramètres'!$Q:$Q,MATCH($D574,'Paramètres'!$M:$M,0))&amp;"",""))</f>
        <v>Transport</v>
      </c>
      <c r="O574" s="6">
        <f>IF($A574="","",IF(OR($J574&lt;&gt;"x",$A574&lt;=FinReleve),1,0))</f>
        <v>1</v>
      </c>
      <c r="P574" s="6">
        <f>IF($D574="","",IF(AND($L574="Crédit",OR(IFERROR(INDEX('Paramètres'!$O:$O,MATCH($D574,'Paramètres'!$M:$M,0))&amp;"","")&lt;&gt;"",ISNUMBER(SEARCH("remboursement",IFERROR(INDEX('Paramètres'!$N:$N,MATCH($D574,'Paramètres'!$M:$M,0))&amp;"",""))))),1,0))</f>
        <v>0</v>
      </c>
      <c r="Q574" s="6">
        <f>IF($K574="","",IF(ISNUMBER(SEARCH("transfert-interne",IFERROR(INDEX('Paramètres'!$N:$N,MATCH($D574,'Paramètres'!$M:$M,0))&amp;"",""))),0,IF($L574="Débit",$K574,IF($P574=1,-$K574,0))))</f>
        <v>64.77</v>
      </c>
      <c r="R574" s="6">
        <f>IF($K574="","",IF($L574="Crédit",$K574,-$K574))</f>
        <v>-64.77</v>
      </c>
      <c r="S574" s="6" t="str">
        <f>IF($C574="","",IFERROR(INDEX('Paramètres'!$H:$H,MATCH($C574,'Paramètres'!$D:$D,0))&amp;"",""))</f>
        <v/>
      </c>
      <c r="T574" s="6">
        <f>IF($K574="","",IF($S574="",0,IF(ISNUMBER(SEARCH("apport-exterieur",IFERROR(INDEX('Paramètres'!$N:$N,MATCH($D574,'Paramètres'!$M:$M,0))&amp;"",""))),0,IF(OR(IFERROR(INDEX('Paramètres'!$I:$I,MATCH($C574,'Paramètres'!$D:$D,0))&amp;"","")="Les deux",IFERROR(INDEX('Paramètres'!$I:$I,MATCH($C574,'Paramètres'!$D:$D,0))&amp;"","")=IF($P574=1,"Débit",$L574)),-IF($P574=1,-$K574,$K574),0))))</f>
        <v>0</v>
      </c>
      <c r="U574" s="6">
        <f>IF($K574="","",IF(ISNUMBER(SEARCH("sortie-epargne",IFERROR(INDEX('Paramètres'!$N:$N,MATCH($D574,'Paramètres'!$M:$M,0))&amp;"",""))),$K574,0))</f>
        <v>0</v>
      </c>
      <c r="V574" s="6" t="str">
        <f>IF(AND($A574&lt;&gt;"",$O574=1,$L574="Débit",N($Q574)&gt;0,$A574&gt;=Visualisation!$B$1,$A574&lt;Visualisation!$D$1),MAX($V$1:V573)+1,"")</f>
        <v/>
      </c>
    </row>
    <row r="575" spans="1:22" x14ac:dyDescent="0.25">
      <c r="A575" s="9">
        <v>45947</v>
      </c>
      <c r="B575" s="4" t="s">
        <v>76</v>
      </c>
      <c r="C575" s="4" t="s">
        <v>107</v>
      </c>
      <c r="D575" s="4" t="s">
        <v>108</v>
      </c>
      <c r="E575" s="10">
        <v>49.63</v>
      </c>
      <c r="G575" s="4" t="s">
        <v>137</v>
      </c>
      <c r="H575" s="4"/>
      <c r="I575" s="4"/>
      <c r="K575" s="11">
        <f>IF($E575="","",ROUND($E575*IF(ISNA(MATCH($C575,'Paramètres'!$D:$D,0)),1,IF(INDEX('Paramètres'!$J:$J,MATCH($C575,'Paramètres'!$D:$D,0))="",1,INDEX('Paramètres'!$J:$J,MATCH($C575,'Paramètres'!$D:$D,0)))),2))</f>
        <v>49.63</v>
      </c>
      <c r="L575" s="6" t="str">
        <f>IF($D575="","",IF($F575&lt;&gt;"",$F575,IF(ISNA(MATCH($D575,'Paramètres'!$M:$M,0)),"⚠ Type inconnu",IFERROR(INDEX('Paramètres'!$P:$P,MATCH($D575,'Paramètres'!$M:$M,0))&amp;"",""))))</f>
        <v>Débit</v>
      </c>
      <c r="M575" s="6" t="str">
        <f>IF($D575="","",IF(ISNA(MATCH($D575,'Paramètres'!$M:$M,0)),"⚠ Type inconnu",IF($L575="Crédit","",IFERROR(INDEX('Paramètres'!$O:$O,MATCH($D575,'Paramètres'!$M:$M,0))&amp;"",""))))</f>
        <v>Dépense Occasionnelle</v>
      </c>
      <c r="N575" s="6" t="str">
        <f>IF($D575="","",IFERROR(INDEX('Paramètres'!$Q:$Q,MATCH($D575,'Paramètres'!$M:$M,0))&amp;"",""))</f>
        <v>Autre</v>
      </c>
      <c r="O575" s="6">
        <f>IF($A575="","",IF(OR($J575&lt;&gt;"x",$A575&lt;=FinReleve),1,0))</f>
        <v>1</v>
      </c>
      <c r="P575" s="6">
        <f>IF($D575="","",IF(AND($L575="Crédit",OR(IFERROR(INDEX('Paramètres'!$O:$O,MATCH($D575,'Paramètres'!$M:$M,0))&amp;"","")&lt;&gt;"",ISNUMBER(SEARCH("remboursement",IFERROR(INDEX('Paramètres'!$N:$N,MATCH($D575,'Paramètres'!$M:$M,0))&amp;"",""))))),1,0))</f>
        <v>0</v>
      </c>
      <c r="Q575" s="6">
        <f>IF($K575="","",IF(ISNUMBER(SEARCH("transfert-interne",IFERROR(INDEX('Paramètres'!$N:$N,MATCH($D575,'Paramètres'!$M:$M,0))&amp;"",""))),0,IF($L575="Débit",$K575,IF($P575=1,-$K575,0))))</f>
        <v>49.63</v>
      </c>
      <c r="R575" s="6">
        <f>IF($K575="","",IF($L575="Crédit",$K575,-$K575))</f>
        <v>-49.63</v>
      </c>
      <c r="S575" s="6" t="str">
        <f>IF($C575="","",IFERROR(INDEX('Paramètres'!$H:$H,MATCH($C575,'Paramètres'!$D:$D,0))&amp;"",""))</f>
        <v/>
      </c>
      <c r="T575" s="6">
        <f>IF($K575="","",IF($S575="",0,IF(ISNUMBER(SEARCH("apport-exterieur",IFERROR(INDEX('Paramètres'!$N:$N,MATCH($D575,'Paramètres'!$M:$M,0))&amp;"",""))),0,IF(OR(IFERROR(INDEX('Paramètres'!$I:$I,MATCH($C575,'Paramètres'!$D:$D,0))&amp;"","")="Les deux",IFERROR(INDEX('Paramètres'!$I:$I,MATCH($C575,'Paramètres'!$D:$D,0))&amp;"","")=IF($P575=1,"Débit",$L575)),-IF($P575=1,-$K575,$K575),0))))</f>
        <v>0</v>
      </c>
      <c r="U575" s="6">
        <f>IF($K575="","",IF(ISNUMBER(SEARCH("sortie-epargne",IFERROR(INDEX('Paramètres'!$N:$N,MATCH($D575,'Paramètres'!$M:$M,0))&amp;"",""))),$K575,0))</f>
        <v>0</v>
      </c>
      <c r="V575" s="6" t="str">
        <f>IF(AND($A575&lt;&gt;"",$O575=1,$L575="Débit",N($Q575)&gt;0,$A575&gt;=Visualisation!$B$1,$A575&lt;Visualisation!$D$1),MAX($V$1:V574)+1,"")</f>
        <v/>
      </c>
    </row>
    <row r="576" spans="1:22" x14ac:dyDescent="0.25">
      <c r="A576" s="9">
        <v>45948</v>
      </c>
      <c r="B576" s="4" t="s">
        <v>103</v>
      </c>
      <c r="C576" s="4" t="s">
        <v>75</v>
      </c>
      <c r="D576" s="4" t="s">
        <v>103</v>
      </c>
      <c r="E576" s="10">
        <v>212</v>
      </c>
      <c r="G576" s="4"/>
      <c r="H576" s="4"/>
      <c r="I576" s="4"/>
      <c r="K576" s="11">
        <f>IF($E576="","",ROUND($E576*IF(ISNA(MATCH($C576,'Paramètres'!$D:$D,0)),1,IF(INDEX('Paramètres'!$J:$J,MATCH($C576,'Paramètres'!$D:$D,0))="",1,INDEX('Paramètres'!$J:$J,MATCH($C576,'Paramètres'!$D:$D,0)))),2))</f>
        <v>212</v>
      </c>
      <c r="L576" s="6" t="str">
        <f>IF($D576="","",IF($F576&lt;&gt;"",$F576,IF(ISNA(MATCH($D576,'Paramètres'!$M:$M,0)),"⚠ Type inconnu",IFERROR(INDEX('Paramètres'!$P:$P,MATCH($D576,'Paramètres'!$M:$M,0))&amp;"",""))))</f>
        <v>Débit</v>
      </c>
      <c r="M576" s="6" t="str">
        <f>IF($D576="","",IF(ISNA(MATCH($D576,'Paramètres'!$M:$M,0)),"⚠ Type inconnu",IF($L576="Crédit","",IFERROR(INDEX('Paramètres'!$O:$O,MATCH($D576,'Paramètres'!$M:$M,0))&amp;"",""))))</f>
        <v>Dépense Fixe</v>
      </c>
      <c r="N576" s="6" t="str">
        <f>IF($D576="","",IFERROR(INDEX('Paramètres'!$Q:$Q,MATCH($D576,'Paramètres'!$M:$M,0))&amp;"",""))</f>
        <v>Impots</v>
      </c>
      <c r="O576" s="6">
        <f>IF($A576="","",IF(OR($J576&lt;&gt;"x",$A576&lt;=FinReleve),1,0))</f>
        <v>1</v>
      </c>
      <c r="P576" s="6">
        <f>IF($D576="","",IF(AND($L576="Crédit",OR(IFERROR(INDEX('Paramètres'!$O:$O,MATCH($D576,'Paramètres'!$M:$M,0))&amp;"","")&lt;&gt;"",ISNUMBER(SEARCH("remboursement",IFERROR(INDEX('Paramètres'!$N:$N,MATCH($D576,'Paramètres'!$M:$M,0))&amp;"",""))))),1,0))</f>
        <v>0</v>
      </c>
      <c r="Q576" s="6">
        <f>IF($K576="","",IF(ISNUMBER(SEARCH("transfert-interne",IFERROR(INDEX('Paramètres'!$N:$N,MATCH($D576,'Paramètres'!$M:$M,0))&amp;"",""))),0,IF($L576="Débit",$K576,IF($P576=1,-$K576,0))))</f>
        <v>212</v>
      </c>
      <c r="R576" s="6">
        <f>IF($K576="","",IF($L576="Crédit",$K576,-$K576))</f>
        <v>-212</v>
      </c>
      <c r="S576" s="6" t="str">
        <f>IF($C576="","",IFERROR(INDEX('Paramètres'!$H:$H,MATCH($C576,'Paramètres'!$D:$D,0))&amp;"",""))</f>
        <v/>
      </c>
      <c r="T576" s="6">
        <f>IF($K576="","",IF($S576="",0,IF(ISNUMBER(SEARCH("apport-exterieur",IFERROR(INDEX('Paramètres'!$N:$N,MATCH($D576,'Paramètres'!$M:$M,0))&amp;"",""))),0,IF(OR(IFERROR(INDEX('Paramètres'!$I:$I,MATCH($C576,'Paramètres'!$D:$D,0))&amp;"","")="Les deux",IFERROR(INDEX('Paramètres'!$I:$I,MATCH($C576,'Paramètres'!$D:$D,0))&amp;"","")=IF($P576=1,"Débit",$L576)),-IF($P576=1,-$K576,$K576),0))))</f>
        <v>0</v>
      </c>
      <c r="U576" s="6">
        <f>IF($K576="","",IF(ISNUMBER(SEARCH("sortie-epargne",IFERROR(INDEX('Paramètres'!$N:$N,MATCH($D576,'Paramètres'!$M:$M,0))&amp;"",""))),$K576,0))</f>
        <v>0</v>
      </c>
      <c r="V576" s="6" t="str">
        <f>IF(AND($A576&lt;&gt;"",$O576=1,$L576="Débit",N($Q576)&gt;0,$A576&gt;=Visualisation!$B$1,$A576&lt;Visualisation!$D$1),MAX($V$1:V575)+1,"")</f>
        <v/>
      </c>
    </row>
    <row r="577" spans="1:22" x14ac:dyDescent="0.25">
      <c r="A577" s="9">
        <v>45952</v>
      </c>
      <c r="B577" s="4" t="s">
        <v>76</v>
      </c>
      <c r="C577" s="4" t="s">
        <v>67</v>
      </c>
      <c r="D577" s="4" t="s">
        <v>77</v>
      </c>
      <c r="E577" s="10">
        <v>156.06</v>
      </c>
      <c r="G577" s="4" t="s">
        <v>78</v>
      </c>
      <c r="H577" s="4"/>
      <c r="I577" s="4" t="s">
        <v>63</v>
      </c>
      <c r="K577" s="11">
        <f>IF($E577="","",ROUND($E577*IF(ISNA(MATCH($C577,'Paramètres'!$D:$D,0)),1,IF(INDEX('Paramètres'!$J:$J,MATCH($C577,'Paramètres'!$D:$D,0))="",1,INDEX('Paramètres'!$J:$J,MATCH($C577,'Paramètres'!$D:$D,0)))),2))</f>
        <v>78.03</v>
      </c>
      <c r="L577" s="6" t="str">
        <f>IF($D577="","",IF($F577&lt;&gt;"",$F577,IF(ISNA(MATCH($D577,'Paramètres'!$M:$M,0)),"⚠ Type inconnu",IFERROR(INDEX('Paramètres'!$P:$P,MATCH($D577,'Paramètres'!$M:$M,0))&amp;"",""))))</f>
        <v>Débit</v>
      </c>
      <c r="M577" s="6" t="str">
        <f>IF($D577="","",IF(ISNA(MATCH($D577,'Paramètres'!$M:$M,0)),"⚠ Type inconnu",IF($L577="Crédit","",IFERROR(INDEX('Paramètres'!$O:$O,MATCH($D577,'Paramètres'!$M:$M,0))&amp;"",""))))</f>
        <v>Dépense Courante</v>
      </c>
      <c r="N577" s="6" t="str">
        <f>IF($D577="","",IFERROR(INDEX('Paramètres'!$Q:$Q,MATCH($D577,'Paramètres'!$M:$M,0))&amp;"",""))</f>
        <v>Alimentation</v>
      </c>
      <c r="O577" s="6">
        <f>IF($A577="","",IF(OR($J577&lt;&gt;"x",$A577&lt;=FinReleve),1,0))</f>
        <v>1</v>
      </c>
      <c r="P577" s="6">
        <f>IF($D577="","",IF(AND($L577="Crédit",OR(IFERROR(INDEX('Paramètres'!$O:$O,MATCH($D577,'Paramètres'!$M:$M,0))&amp;"","")&lt;&gt;"",ISNUMBER(SEARCH("remboursement",IFERROR(INDEX('Paramètres'!$N:$N,MATCH($D577,'Paramètres'!$M:$M,0))&amp;"",""))))),1,0))</f>
        <v>0</v>
      </c>
      <c r="Q577" s="6">
        <f>IF($K577="","",IF(ISNUMBER(SEARCH("transfert-interne",IFERROR(INDEX('Paramètres'!$N:$N,MATCH($D577,'Paramètres'!$M:$M,0))&amp;"",""))),0,IF($L577="Débit",$K577,IF($P577=1,-$K577,0))))</f>
        <v>78.03</v>
      </c>
      <c r="R577" s="6">
        <f>IF($K577="","",IF($L577="Crédit",$K577,-$K577))</f>
        <v>-78.03</v>
      </c>
      <c r="S577" s="6" t="str">
        <f>IF($C577="","",IFERROR(INDEX('Paramètres'!$H:$H,MATCH($C577,'Paramètres'!$D:$D,0))&amp;"",""))</f>
        <v>Banque A - Courant</v>
      </c>
      <c r="T577" s="6">
        <f>IF($K577="","",IF($S577="",0,IF(ISNUMBER(SEARCH("apport-exterieur",IFERROR(INDEX('Paramètres'!$N:$N,MATCH($D577,'Paramètres'!$M:$M,0))&amp;"",""))),0,IF(OR(IFERROR(INDEX('Paramètres'!$I:$I,MATCH($C577,'Paramètres'!$D:$D,0))&amp;"","")="Les deux",IFERROR(INDEX('Paramètres'!$I:$I,MATCH($C577,'Paramètres'!$D:$D,0))&amp;"","")=IF($P577=1,"Débit",$L577)),-IF($P577=1,-$K577,$K577),0))))</f>
        <v>0</v>
      </c>
      <c r="U577" s="6">
        <f>IF($K577="","",IF(ISNUMBER(SEARCH("sortie-epargne",IFERROR(INDEX('Paramètres'!$N:$N,MATCH($D577,'Paramètres'!$M:$M,0))&amp;"",""))),$K577,0))</f>
        <v>0</v>
      </c>
      <c r="V577" s="6" t="str">
        <f>IF(AND($A577&lt;&gt;"",$O577=1,$L577="Débit",N($Q577)&gt;0,$A577&gt;=Visualisation!$B$1,$A577&lt;Visualisation!$D$1),MAX($V$1:V576)+1,"")</f>
        <v/>
      </c>
    </row>
    <row r="578" spans="1:22" x14ac:dyDescent="0.25">
      <c r="A578" s="9">
        <v>45952</v>
      </c>
      <c r="B578" s="4" t="s">
        <v>90</v>
      </c>
      <c r="C578" s="4" t="s">
        <v>75</v>
      </c>
      <c r="D578" s="4" t="s">
        <v>91</v>
      </c>
      <c r="E578" s="10">
        <v>43.08</v>
      </c>
      <c r="G578" s="4" t="s">
        <v>135</v>
      </c>
      <c r="H578" s="4"/>
      <c r="I578" s="4" t="s">
        <v>93</v>
      </c>
      <c r="K578" s="11">
        <f>IF($E578="","",ROUND($E578*IF(ISNA(MATCH($C578,'Paramètres'!$D:$D,0)),1,IF(INDEX('Paramètres'!$J:$J,MATCH($C578,'Paramètres'!$D:$D,0))="",1,INDEX('Paramètres'!$J:$J,MATCH($C578,'Paramètres'!$D:$D,0)))),2))</f>
        <v>43.08</v>
      </c>
      <c r="L578" s="6" t="str">
        <f>IF($D578="","",IF($F578&lt;&gt;"",$F578,IF(ISNA(MATCH($D578,'Paramètres'!$M:$M,0)),"⚠ Type inconnu",IFERROR(INDEX('Paramètres'!$P:$P,MATCH($D578,'Paramètres'!$M:$M,0))&amp;"",""))))</f>
        <v>Débit</v>
      </c>
      <c r="M578" s="6" t="str">
        <f>IF($D578="","",IF(ISNA(MATCH($D578,'Paramètres'!$M:$M,0)),"⚠ Type inconnu",IF($L578="Crédit","",IFERROR(INDEX('Paramètres'!$O:$O,MATCH($D578,'Paramètres'!$M:$M,0))&amp;"",""))))</f>
        <v>Dépense Courante</v>
      </c>
      <c r="N578" s="6" t="str">
        <f>IF($D578="","",IFERROR(INDEX('Paramètres'!$Q:$Q,MATCH($D578,'Paramètres'!$M:$M,0))&amp;"",""))</f>
        <v>Transport</v>
      </c>
      <c r="O578" s="6">
        <f>IF($A578="","",IF(OR($J578&lt;&gt;"x",$A578&lt;=FinReleve),1,0))</f>
        <v>1</v>
      </c>
      <c r="P578" s="6">
        <f>IF($D578="","",IF(AND($L578="Crédit",OR(IFERROR(INDEX('Paramètres'!$O:$O,MATCH($D578,'Paramètres'!$M:$M,0))&amp;"","")&lt;&gt;"",ISNUMBER(SEARCH("remboursement",IFERROR(INDEX('Paramètres'!$N:$N,MATCH($D578,'Paramètres'!$M:$M,0))&amp;"",""))))),1,0))</f>
        <v>0</v>
      </c>
      <c r="Q578" s="6">
        <f>IF($K578="","",IF(ISNUMBER(SEARCH("transfert-interne",IFERROR(INDEX('Paramètres'!$N:$N,MATCH($D578,'Paramètres'!$M:$M,0))&amp;"",""))),0,IF($L578="Débit",$K578,IF($P578=1,-$K578,0))))</f>
        <v>43.08</v>
      </c>
      <c r="R578" s="6">
        <f>IF($K578="","",IF($L578="Crédit",$K578,-$K578))</f>
        <v>-43.08</v>
      </c>
      <c r="S578" s="6" t="str">
        <f>IF($C578="","",IFERROR(INDEX('Paramètres'!$H:$H,MATCH($C578,'Paramètres'!$D:$D,0))&amp;"",""))</f>
        <v/>
      </c>
      <c r="T578" s="6">
        <f>IF($K578="","",IF($S578="",0,IF(ISNUMBER(SEARCH("apport-exterieur",IFERROR(INDEX('Paramètres'!$N:$N,MATCH($D578,'Paramètres'!$M:$M,0))&amp;"",""))),0,IF(OR(IFERROR(INDEX('Paramètres'!$I:$I,MATCH($C578,'Paramètres'!$D:$D,0))&amp;"","")="Les deux",IFERROR(INDEX('Paramètres'!$I:$I,MATCH($C578,'Paramètres'!$D:$D,0))&amp;"","")=IF($P578=1,"Débit",$L578)),-IF($P578=1,-$K578,$K578),0))))</f>
        <v>0</v>
      </c>
      <c r="U578" s="6">
        <f>IF($K578="","",IF(ISNUMBER(SEARCH("sortie-epargne",IFERROR(INDEX('Paramètres'!$N:$N,MATCH($D578,'Paramètres'!$M:$M,0))&amp;"",""))),$K578,0))</f>
        <v>0</v>
      </c>
      <c r="V578" s="6" t="str">
        <f>IF(AND($A578&lt;&gt;"",$O578=1,$L578="Débit",N($Q578)&gt;0,$A578&gt;=Visualisation!$B$1,$A578&lt;Visualisation!$D$1),MAX($V$1:V577)+1,"")</f>
        <v/>
      </c>
    </row>
    <row r="579" spans="1:22" x14ac:dyDescent="0.25">
      <c r="A579" s="9">
        <v>45953</v>
      </c>
      <c r="B579" s="4" t="s">
        <v>69</v>
      </c>
      <c r="C579" s="4" t="s">
        <v>70</v>
      </c>
      <c r="D579" s="4" t="s">
        <v>71</v>
      </c>
      <c r="E579" s="10">
        <v>12.12</v>
      </c>
      <c r="G579" s="4" t="s">
        <v>72</v>
      </c>
      <c r="H579" s="4"/>
      <c r="I579" s="4"/>
      <c r="K579" s="11">
        <f>IF($E579="","",ROUND($E579*IF(ISNA(MATCH($C579,'Paramètres'!$D:$D,0)),1,IF(INDEX('Paramètres'!$J:$J,MATCH($C579,'Paramètres'!$D:$D,0))="",1,INDEX('Paramètres'!$J:$J,MATCH($C579,'Paramètres'!$D:$D,0)))),2))</f>
        <v>12.12</v>
      </c>
      <c r="L579" s="6" t="str">
        <f>IF($D579="","",IF($F579&lt;&gt;"",$F579,IF(ISNA(MATCH($D579,'Paramètres'!$M:$M,0)),"⚠ Type inconnu",IFERROR(INDEX('Paramètres'!$P:$P,MATCH($D579,'Paramètres'!$M:$M,0))&amp;"",""))))</f>
        <v>Débit</v>
      </c>
      <c r="M579" s="6" t="str">
        <f>IF($D579="","",IF(ISNA(MATCH($D579,'Paramètres'!$M:$M,0)),"⚠ Type inconnu",IF($L579="Crédit","",IFERROR(INDEX('Paramètres'!$O:$O,MATCH($D579,'Paramètres'!$M:$M,0))&amp;"",""))))</f>
        <v>Dépense Courante</v>
      </c>
      <c r="N579" s="6" t="str">
        <f>IF($D579="","",IFERROR(INDEX('Paramètres'!$Q:$Q,MATCH($D579,'Paramètres'!$M:$M,0))&amp;"",""))</f>
        <v>Alimentation</v>
      </c>
      <c r="O579" s="6">
        <f>IF($A579="","",IF(OR($J579&lt;&gt;"x",$A579&lt;=FinReleve),1,0))</f>
        <v>1</v>
      </c>
      <c r="P579" s="6">
        <f>IF($D579="","",IF(AND($L579="Crédit",OR(IFERROR(INDEX('Paramètres'!$O:$O,MATCH($D579,'Paramètres'!$M:$M,0))&amp;"","")&lt;&gt;"",ISNUMBER(SEARCH("remboursement",IFERROR(INDEX('Paramètres'!$N:$N,MATCH($D579,'Paramètres'!$M:$M,0))&amp;"",""))))),1,0))</f>
        <v>0</v>
      </c>
      <c r="Q579" s="6">
        <f>IF($K579="","",IF(ISNUMBER(SEARCH("transfert-interne",IFERROR(INDEX('Paramètres'!$N:$N,MATCH($D579,'Paramètres'!$M:$M,0))&amp;"",""))),0,IF($L579="Débit",$K579,IF($P579=1,-$K579,0))))</f>
        <v>12.12</v>
      </c>
      <c r="R579" s="6">
        <f>IF($K579="","",IF($L579="Crédit",$K579,-$K579))</f>
        <v>-12.12</v>
      </c>
      <c r="S579" s="6" t="str">
        <f>IF($C579="","",IFERROR(INDEX('Paramètres'!$H:$H,MATCH($C579,'Paramètres'!$D:$D,0))&amp;"",""))</f>
        <v/>
      </c>
      <c r="T579" s="6">
        <f>IF($K579="","",IF($S579="",0,IF(ISNUMBER(SEARCH("apport-exterieur",IFERROR(INDEX('Paramètres'!$N:$N,MATCH($D579,'Paramètres'!$M:$M,0))&amp;"",""))),0,IF(OR(IFERROR(INDEX('Paramètres'!$I:$I,MATCH($C579,'Paramètres'!$D:$D,0))&amp;"","")="Les deux",IFERROR(INDEX('Paramètres'!$I:$I,MATCH($C579,'Paramètres'!$D:$D,0))&amp;"","")=IF($P579=1,"Débit",$L579)),-IF($P579=1,-$K579,$K579),0))))</f>
        <v>0</v>
      </c>
      <c r="U579" s="6">
        <f>IF($K579="","",IF(ISNUMBER(SEARCH("sortie-epargne",IFERROR(INDEX('Paramètres'!$N:$N,MATCH($D579,'Paramètres'!$M:$M,0))&amp;"",""))),$K579,0))</f>
        <v>0</v>
      </c>
      <c r="V579" s="6" t="str">
        <f>IF(AND($A579&lt;&gt;"",$O579=1,$L579="Débit",N($Q579)&gt;0,$A579&gt;=Visualisation!$B$1,$A579&lt;Visualisation!$D$1),MAX($V$1:V578)+1,"")</f>
        <v/>
      </c>
    </row>
    <row r="580" spans="1:22" x14ac:dyDescent="0.25">
      <c r="A580" s="9">
        <v>45953</v>
      </c>
      <c r="B580" s="4" t="s">
        <v>69</v>
      </c>
      <c r="C580" s="4" t="s">
        <v>70</v>
      </c>
      <c r="D580" s="4" t="s">
        <v>71</v>
      </c>
      <c r="E580" s="10">
        <v>11.64</v>
      </c>
      <c r="G580" s="4" t="s">
        <v>72</v>
      </c>
      <c r="H580" s="4"/>
      <c r="I580" s="4" t="s">
        <v>73</v>
      </c>
      <c r="K580" s="11">
        <f>IF($E580="","",ROUND($E580*IF(ISNA(MATCH($C580,'Paramètres'!$D:$D,0)),1,IF(INDEX('Paramètres'!$J:$J,MATCH($C580,'Paramètres'!$D:$D,0))="",1,INDEX('Paramètres'!$J:$J,MATCH($C580,'Paramètres'!$D:$D,0)))),2))</f>
        <v>11.64</v>
      </c>
      <c r="L580" s="6" t="str">
        <f>IF($D580="","",IF($F580&lt;&gt;"",$F580,IF(ISNA(MATCH($D580,'Paramètres'!$M:$M,0)),"⚠ Type inconnu",IFERROR(INDEX('Paramètres'!$P:$P,MATCH($D580,'Paramètres'!$M:$M,0))&amp;"",""))))</f>
        <v>Débit</v>
      </c>
      <c r="M580" s="6" t="str">
        <f>IF($D580="","",IF(ISNA(MATCH($D580,'Paramètres'!$M:$M,0)),"⚠ Type inconnu",IF($L580="Crédit","",IFERROR(INDEX('Paramètres'!$O:$O,MATCH($D580,'Paramètres'!$M:$M,0))&amp;"",""))))</f>
        <v>Dépense Courante</v>
      </c>
      <c r="N580" s="6" t="str">
        <f>IF($D580="","",IFERROR(INDEX('Paramètres'!$Q:$Q,MATCH($D580,'Paramètres'!$M:$M,0))&amp;"",""))</f>
        <v>Alimentation</v>
      </c>
      <c r="O580" s="6">
        <f>IF($A580="","",IF(OR($J580&lt;&gt;"x",$A580&lt;=FinReleve),1,0))</f>
        <v>1</v>
      </c>
      <c r="P580" s="6">
        <f>IF($D580="","",IF(AND($L580="Crédit",OR(IFERROR(INDEX('Paramètres'!$O:$O,MATCH($D580,'Paramètres'!$M:$M,0))&amp;"","")&lt;&gt;"",ISNUMBER(SEARCH("remboursement",IFERROR(INDEX('Paramètres'!$N:$N,MATCH($D580,'Paramètres'!$M:$M,0))&amp;"",""))))),1,0))</f>
        <v>0</v>
      </c>
      <c r="Q580" s="6">
        <f>IF($K580="","",IF(ISNUMBER(SEARCH("transfert-interne",IFERROR(INDEX('Paramètres'!$N:$N,MATCH($D580,'Paramètres'!$M:$M,0))&amp;"",""))),0,IF($L580="Débit",$K580,IF($P580=1,-$K580,0))))</f>
        <v>11.64</v>
      </c>
      <c r="R580" s="6">
        <f>IF($K580="","",IF($L580="Crédit",$K580,-$K580))</f>
        <v>-11.64</v>
      </c>
      <c r="S580" s="6" t="str">
        <f>IF($C580="","",IFERROR(INDEX('Paramètres'!$H:$H,MATCH($C580,'Paramètres'!$D:$D,0))&amp;"",""))</f>
        <v/>
      </c>
      <c r="T580" s="6">
        <f>IF($K580="","",IF($S580="",0,IF(ISNUMBER(SEARCH("apport-exterieur",IFERROR(INDEX('Paramètres'!$N:$N,MATCH($D580,'Paramètres'!$M:$M,0))&amp;"",""))),0,IF(OR(IFERROR(INDEX('Paramètres'!$I:$I,MATCH($C580,'Paramètres'!$D:$D,0))&amp;"","")="Les deux",IFERROR(INDEX('Paramètres'!$I:$I,MATCH($C580,'Paramètres'!$D:$D,0))&amp;"","")=IF($P580=1,"Débit",$L580)),-IF($P580=1,-$K580,$K580),0))))</f>
        <v>0</v>
      </c>
      <c r="U580" s="6">
        <f>IF($K580="","",IF(ISNUMBER(SEARCH("sortie-epargne",IFERROR(INDEX('Paramètres'!$N:$N,MATCH($D580,'Paramètres'!$M:$M,0))&amp;"",""))),$K580,0))</f>
        <v>0</v>
      </c>
      <c r="V580" s="6" t="str">
        <f>IF(AND($A580&lt;&gt;"",$O580=1,$L580="Débit",N($Q580)&gt;0,$A580&gt;=Visualisation!$B$1,$A580&lt;Visualisation!$D$1),MAX($V$1:V579)+1,"")</f>
        <v/>
      </c>
    </row>
    <row r="581" spans="1:22" x14ac:dyDescent="0.25">
      <c r="A581" s="9">
        <v>45956</v>
      </c>
      <c r="B581" s="4" t="s">
        <v>116</v>
      </c>
      <c r="C581" s="4" t="s">
        <v>60</v>
      </c>
      <c r="D581" s="4" t="s">
        <v>116</v>
      </c>
      <c r="E581" s="10">
        <v>70.76</v>
      </c>
      <c r="G581" s="4" t="s">
        <v>145</v>
      </c>
      <c r="H581" s="4"/>
      <c r="I581" s="4"/>
      <c r="K581" s="11">
        <f>IF($E581="","",ROUND($E581*IF(ISNA(MATCH($C581,'Paramètres'!$D:$D,0)),1,IF(INDEX('Paramètres'!$J:$J,MATCH($C581,'Paramètres'!$D:$D,0))="",1,INDEX('Paramètres'!$J:$J,MATCH($C581,'Paramètres'!$D:$D,0)))),2))</f>
        <v>35.38</v>
      </c>
      <c r="L581" s="6" t="str">
        <f>IF($D581="","",IF($F581&lt;&gt;"",$F581,IF(ISNA(MATCH($D581,'Paramètres'!$M:$M,0)),"⚠ Type inconnu",IFERROR(INDEX('Paramètres'!$P:$P,MATCH($D581,'Paramètres'!$M:$M,0))&amp;"",""))))</f>
        <v>Débit</v>
      </c>
      <c r="M581" s="6" t="str">
        <f>IF($D581="","",IF(ISNA(MATCH($D581,'Paramètres'!$M:$M,0)),"⚠ Type inconnu",IF($L581="Crédit","",IFERROR(INDEX('Paramètres'!$O:$O,MATCH($D581,'Paramètres'!$M:$M,0))&amp;"",""))))</f>
        <v>Dépense Occasionnelle</v>
      </c>
      <c r="N581" s="6" t="str">
        <f>IF($D581="","",IFERROR(INDEX('Paramètres'!$Q:$Q,MATCH($D581,'Paramètres'!$M:$M,0))&amp;"",""))</f>
        <v>Autre</v>
      </c>
      <c r="O581" s="6">
        <f>IF($A581="","",IF(OR($J581&lt;&gt;"x",$A581&lt;=FinReleve),1,0))</f>
        <v>1</v>
      </c>
      <c r="P581" s="6">
        <f>IF($D581="","",IF(AND($L581="Crédit",OR(IFERROR(INDEX('Paramètres'!$O:$O,MATCH($D581,'Paramètres'!$M:$M,0))&amp;"","")&lt;&gt;"",ISNUMBER(SEARCH("remboursement",IFERROR(INDEX('Paramètres'!$N:$N,MATCH($D581,'Paramètres'!$M:$M,0))&amp;"",""))))),1,0))</f>
        <v>0</v>
      </c>
      <c r="Q581" s="6">
        <f>IF($K581="","",IF(ISNUMBER(SEARCH("transfert-interne",IFERROR(INDEX('Paramètres'!$N:$N,MATCH($D581,'Paramètres'!$M:$M,0))&amp;"",""))),0,IF($L581="Débit",$K581,IF($P581=1,-$K581,0))))</f>
        <v>35.38</v>
      </c>
      <c r="R581" s="6">
        <f>IF($K581="","",IF($L581="Crédit",$K581,-$K581))</f>
        <v>-35.38</v>
      </c>
      <c r="S581" s="6" t="str">
        <f>IF($C581="","",IFERROR(INDEX('Paramètres'!$H:$H,MATCH($C581,'Paramètres'!$D:$D,0))&amp;"",""))</f>
        <v>Banque A - Courant</v>
      </c>
      <c r="T581" s="6">
        <f>IF($K581="","",IF($S581="",0,IF(ISNUMBER(SEARCH("apport-exterieur",IFERROR(INDEX('Paramètres'!$N:$N,MATCH($D581,'Paramètres'!$M:$M,0))&amp;"",""))),0,IF(OR(IFERROR(INDEX('Paramètres'!$I:$I,MATCH($C581,'Paramètres'!$D:$D,0))&amp;"","")="Les deux",IFERROR(INDEX('Paramètres'!$I:$I,MATCH($C581,'Paramètres'!$D:$D,0))&amp;"","")=IF($P581=1,"Débit",$L581)),-IF($P581=1,-$K581,$K581),0))))</f>
        <v>-35.38</v>
      </c>
      <c r="U581" s="6">
        <f>IF($K581="","",IF(ISNUMBER(SEARCH("sortie-epargne",IFERROR(INDEX('Paramètres'!$N:$N,MATCH($D581,'Paramètres'!$M:$M,0))&amp;"",""))),$K581,0))</f>
        <v>0</v>
      </c>
      <c r="V581" s="6" t="str">
        <f>IF(AND($A581&lt;&gt;"",$O581=1,$L581="Débit",N($Q581)&gt;0,$A581&gt;=Visualisation!$B$1,$A581&lt;Visualisation!$D$1),MAX($V$1:V580)+1,"")</f>
        <v/>
      </c>
    </row>
    <row r="582" spans="1:22" x14ac:dyDescent="0.25">
      <c r="A582" s="9">
        <v>45956</v>
      </c>
      <c r="B582" s="4" t="s">
        <v>105</v>
      </c>
      <c r="C582" s="4" t="s">
        <v>75</v>
      </c>
      <c r="D582" s="4" t="s">
        <v>110</v>
      </c>
      <c r="E582" s="10">
        <v>150</v>
      </c>
      <c r="G582" s="4"/>
      <c r="H582" s="4"/>
      <c r="I582" s="4"/>
      <c r="K582" s="11">
        <f>IF($E582="","",ROUND($E582*IF(ISNA(MATCH($C582,'Paramètres'!$D:$D,0)),1,IF(INDEX('Paramètres'!$J:$J,MATCH($C582,'Paramètres'!$D:$D,0))="",1,INDEX('Paramètres'!$J:$J,MATCH($C582,'Paramètres'!$D:$D,0)))),2))</f>
        <v>150</v>
      </c>
      <c r="L582" s="6" t="str">
        <f>IF($D582="","",IF($F582&lt;&gt;"",$F582,IF(ISNA(MATCH($D582,'Paramètres'!$M:$M,0)),"⚠ Type inconnu",IFERROR(INDEX('Paramètres'!$P:$P,MATCH($D582,'Paramètres'!$M:$M,0))&amp;"",""))))</f>
        <v>Débit</v>
      </c>
      <c r="M582" s="6" t="str">
        <f>IF($D582="","",IF(ISNA(MATCH($D582,'Paramètres'!$M:$M,0)),"⚠ Type inconnu",IF($L582="Crédit","",IFERROR(INDEX('Paramètres'!$O:$O,MATCH($D582,'Paramètres'!$M:$M,0))&amp;"",""))))</f>
        <v/>
      </c>
      <c r="N582" s="6" t="str">
        <f>IF($D582="","",IFERROR(INDEX('Paramètres'!$Q:$Q,MATCH($D582,'Paramètres'!$M:$M,0))&amp;"",""))</f>
        <v>Comptes Bancaires</v>
      </c>
      <c r="O582" s="6">
        <f>IF($A582="","",IF(OR($J582&lt;&gt;"x",$A582&lt;=FinReleve),1,0))</f>
        <v>1</v>
      </c>
      <c r="P582" s="6">
        <f>IF($D582="","",IF(AND($L582="Crédit",OR(IFERROR(INDEX('Paramètres'!$O:$O,MATCH($D582,'Paramètres'!$M:$M,0))&amp;"","")&lt;&gt;"",ISNUMBER(SEARCH("remboursement",IFERROR(INDEX('Paramètres'!$N:$N,MATCH($D582,'Paramètres'!$M:$M,0))&amp;"",""))))),1,0))</f>
        <v>0</v>
      </c>
      <c r="Q582" s="6">
        <f>IF($K582="","",IF(ISNUMBER(SEARCH("transfert-interne",IFERROR(INDEX('Paramètres'!$N:$N,MATCH($D582,'Paramètres'!$M:$M,0))&amp;"",""))),0,IF($L582="Débit",$K582,IF($P582=1,-$K582,0))))</f>
        <v>0</v>
      </c>
      <c r="R582" s="6">
        <f>IF($K582="","",IF($L582="Crédit",$K582,-$K582))</f>
        <v>-150</v>
      </c>
      <c r="S582" s="6" t="str">
        <f>IF($C582="","",IFERROR(INDEX('Paramètres'!$H:$H,MATCH($C582,'Paramètres'!$D:$D,0))&amp;"",""))</f>
        <v/>
      </c>
      <c r="T582" s="6">
        <f>IF($K582="","",IF($S582="",0,IF(ISNUMBER(SEARCH("apport-exterieur",IFERROR(INDEX('Paramètres'!$N:$N,MATCH($D582,'Paramètres'!$M:$M,0))&amp;"",""))),0,IF(OR(IFERROR(INDEX('Paramètres'!$I:$I,MATCH($C582,'Paramètres'!$D:$D,0))&amp;"","")="Les deux",IFERROR(INDEX('Paramètres'!$I:$I,MATCH($C582,'Paramètres'!$D:$D,0))&amp;"","")=IF($P582=1,"Débit",$L582)),-IF($P582=1,-$K582,$K582),0))))</f>
        <v>0</v>
      </c>
      <c r="U582" s="6">
        <f>IF($K582="","",IF(ISNUMBER(SEARCH("sortie-epargne",IFERROR(INDEX('Paramètres'!$N:$N,MATCH($D582,'Paramètres'!$M:$M,0))&amp;"",""))),$K582,0))</f>
        <v>0</v>
      </c>
      <c r="V582" s="6" t="str">
        <f>IF(AND($A582&lt;&gt;"",$O582=1,$L582="Débit",N($Q582)&gt;0,$A582&gt;=Visualisation!$B$1,$A582&lt;Visualisation!$D$1),MAX($V$1:V581)+1,"")</f>
        <v/>
      </c>
    </row>
    <row r="583" spans="1:22" x14ac:dyDescent="0.25">
      <c r="A583" s="9">
        <v>45956</v>
      </c>
      <c r="B583" s="4" t="s">
        <v>105</v>
      </c>
      <c r="C583" s="4" t="s">
        <v>75</v>
      </c>
      <c r="D583" s="4" t="s">
        <v>111</v>
      </c>
      <c r="E583" s="10">
        <v>200</v>
      </c>
      <c r="G583" s="4"/>
      <c r="H583" s="4"/>
      <c r="I583" s="4"/>
      <c r="K583" s="11">
        <f>IF($E583="","",ROUND($E583*IF(ISNA(MATCH($C583,'Paramètres'!$D:$D,0)),1,IF(INDEX('Paramètres'!$J:$J,MATCH($C583,'Paramètres'!$D:$D,0))="",1,INDEX('Paramètres'!$J:$J,MATCH($C583,'Paramètres'!$D:$D,0)))),2))</f>
        <v>200</v>
      </c>
      <c r="L583" s="6" t="str">
        <f>IF($D583="","",IF($F583&lt;&gt;"",$F583,IF(ISNA(MATCH($D583,'Paramètres'!$M:$M,0)),"⚠ Type inconnu",IFERROR(INDEX('Paramètres'!$P:$P,MATCH($D583,'Paramètres'!$M:$M,0))&amp;"",""))))</f>
        <v>Débit</v>
      </c>
      <c r="M583" s="6" t="str">
        <f>IF($D583="","",IF(ISNA(MATCH($D583,'Paramètres'!$M:$M,0)),"⚠ Type inconnu",IF($L583="Crédit","",IFERROR(INDEX('Paramètres'!$O:$O,MATCH($D583,'Paramètres'!$M:$M,0))&amp;"",""))))</f>
        <v/>
      </c>
      <c r="N583" s="6" t="str">
        <f>IF($D583="","",IFERROR(INDEX('Paramètres'!$Q:$Q,MATCH($D583,'Paramètres'!$M:$M,0))&amp;"",""))</f>
        <v>Comptes Bancaires</v>
      </c>
      <c r="O583" s="6">
        <f>IF($A583="","",IF(OR($J583&lt;&gt;"x",$A583&lt;=FinReleve),1,0))</f>
        <v>1</v>
      </c>
      <c r="P583" s="6">
        <f>IF($D583="","",IF(AND($L583="Crédit",OR(IFERROR(INDEX('Paramètres'!$O:$O,MATCH($D583,'Paramètres'!$M:$M,0))&amp;"","")&lt;&gt;"",ISNUMBER(SEARCH("remboursement",IFERROR(INDEX('Paramètres'!$N:$N,MATCH($D583,'Paramètres'!$M:$M,0))&amp;"",""))))),1,0))</f>
        <v>0</v>
      </c>
      <c r="Q583" s="6">
        <f>IF($K583="","",IF(ISNUMBER(SEARCH("transfert-interne",IFERROR(INDEX('Paramètres'!$N:$N,MATCH($D583,'Paramètres'!$M:$M,0))&amp;"",""))),0,IF($L583="Débit",$K583,IF($P583=1,-$K583,0))))</f>
        <v>200</v>
      </c>
      <c r="R583" s="6">
        <f>IF($K583="","",IF($L583="Crédit",$K583,-$K583))</f>
        <v>-200</v>
      </c>
      <c r="S583" s="6" t="str">
        <f>IF($C583="","",IFERROR(INDEX('Paramètres'!$H:$H,MATCH($C583,'Paramètres'!$D:$D,0))&amp;"",""))</f>
        <v/>
      </c>
      <c r="T583" s="6">
        <f>IF($K583="","",IF($S583="",0,IF(ISNUMBER(SEARCH("apport-exterieur",IFERROR(INDEX('Paramètres'!$N:$N,MATCH($D583,'Paramètres'!$M:$M,0))&amp;"",""))),0,IF(OR(IFERROR(INDEX('Paramètres'!$I:$I,MATCH($C583,'Paramètres'!$D:$D,0))&amp;"","")="Les deux",IFERROR(INDEX('Paramètres'!$I:$I,MATCH($C583,'Paramètres'!$D:$D,0))&amp;"","")=IF($P583=1,"Débit",$L583)),-IF($P583=1,-$K583,$K583),0))))</f>
        <v>0</v>
      </c>
      <c r="U583" s="6">
        <f>IF($K583="","",IF(ISNUMBER(SEARCH("sortie-epargne",IFERROR(INDEX('Paramètres'!$N:$N,MATCH($D583,'Paramètres'!$M:$M,0))&amp;"",""))),$K583,0))</f>
        <v>0</v>
      </c>
      <c r="V583" s="6" t="str">
        <f>IF(AND($A583&lt;&gt;"",$O583=1,$L583="Débit",N($Q583)&gt;0,$A583&gt;=Visualisation!$B$1,$A583&lt;Visualisation!$D$1),MAX($V$1:V582)+1,"")</f>
        <v/>
      </c>
    </row>
    <row r="584" spans="1:22" x14ac:dyDescent="0.25">
      <c r="A584" s="9">
        <v>45956</v>
      </c>
      <c r="B584" s="4" t="s">
        <v>112</v>
      </c>
      <c r="C584" s="4" t="s">
        <v>75</v>
      </c>
      <c r="D584" s="4" t="s">
        <v>113</v>
      </c>
      <c r="E584" s="10">
        <v>120</v>
      </c>
      <c r="G584" s="4"/>
      <c r="H584" s="4"/>
      <c r="I584" s="4"/>
      <c r="K584" s="11">
        <f>IF($E584="","",ROUND($E584*IF(ISNA(MATCH($C584,'Paramètres'!$D:$D,0)),1,IF(INDEX('Paramètres'!$J:$J,MATCH($C584,'Paramètres'!$D:$D,0))="",1,INDEX('Paramètres'!$J:$J,MATCH($C584,'Paramètres'!$D:$D,0)))),2))</f>
        <v>120</v>
      </c>
      <c r="L584" s="6" t="str">
        <f>IF($D584="","",IF($F584&lt;&gt;"",$F584,IF(ISNA(MATCH($D584,'Paramètres'!$M:$M,0)),"⚠ Type inconnu",IFERROR(INDEX('Paramètres'!$P:$P,MATCH($D584,'Paramètres'!$M:$M,0))&amp;"",""))))</f>
        <v>Débit</v>
      </c>
      <c r="M584" s="6" t="str">
        <f>IF($D584="","",IF(ISNA(MATCH($D584,'Paramètres'!$M:$M,0)),"⚠ Type inconnu",IF($L584="Crédit","",IFERROR(INDEX('Paramètres'!$O:$O,MATCH($D584,'Paramètres'!$M:$M,0))&amp;"",""))))</f>
        <v/>
      </c>
      <c r="N584" s="6" t="str">
        <f>IF($D584="","",IFERROR(INDEX('Paramètres'!$Q:$Q,MATCH($D584,'Paramètres'!$M:$M,0))&amp;"",""))</f>
        <v>Comptes Bancaires</v>
      </c>
      <c r="O584" s="6">
        <f>IF($A584="","",IF(OR($J584&lt;&gt;"x",$A584&lt;=FinReleve),1,0))</f>
        <v>1</v>
      </c>
      <c r="P584" s="6">
        <f>IF($D584="","",IF(AND($L584="Crédit",OR(IFERROR(INDEX('Paramètres'!$O:$O,MATCH($D584,'Paramètres'!$M:$M,0))&amp;"","")&lt;&gt;"",ISNUMBER(SEARCH("remboursement",IFERROR(INDEX('Paramètres'!$N:$N,MATCH($D584,'Paramètres'!$M:$M,0))&amp;"",""))))),1,0))</f>
        <v>0</v>
      </c>
      <c r="Q584" s="6">
        <f>IF($K584="","",IF(ISNUMBER(SEARCH("transfert-interne",IFERROR(INDEX('Paramètres'!$N:$N,MATCH($D584,'Paramètres'!$M:$M,0))&amp;"",""))),0,IF($L584="Débit",$K584,IF($P584=1,-$K584,0))))</f>
        <v>120</v>
      </c>
      <c r="R584" s="6">
        <f>IF($K584="","",IF($L584="Crédit",$K584,-$K584))</f>
        <v>-120</v>
      </c>
      <c r="S584" s="6" t="str">
        <f>IF($C584="","",IFERROR(INDEX('Paramètres'!$H:$H,MATCH($C584,'Paramètres'!$D:$D,0))&amp;"",""))</f>
        <v/>
      </c>
      <c r="T584" s="6">
        <f>IF($K584="","",IF($S584="",0,IF(ISNUMBER(SEARCH("apport-exterieur",IFERROR(INDEX('Paramètres'!$N:$N,MATCH($D584,'Paramètres'!$M:$M,0))&amp;"",""))),0,IF(OR(IFERROR(INDEX('Paramètres'!$I:$I,MATCH($C584,'Paramètres'!$D:$D,0))&amp;"","")="Les deux",IFERROR(INDEX('Paramètres'!$I:$I,MATCH($C584,'Paramètres'!$D:$D,0))&amp;"","")=IF($P584=1,"Débit",$L584)),-IF($P584=1,-$K584,$K584),0))))</f>
        <v>0</v>
      </c>
      <c r="U584" s="6">
        <f>IF($K584="","",IF(ISNUMBER(SEARCH("sortie-epargne",IFERROR(INDEX('Paramètres'!$N:$N,MATCH($D584,'Paramètres'!$M:$M,0))&amp;"",""))),$K584,0))</f>
        <v>0</v>
      </c>
      <c r="V584" s="6" t="str">
        <f>IF(AND($A584&lt;&gt;"",$O584=1,$L584="Débit",N($Q584)&gt;0,$A584&gt;=Visualisation!$B$1,$A584&lt;Visualisation!$D$1),MAX($V$1:V583)+1,"")</f>
        <v/>
      </c>
    </row>
    <row r="585" spans="1:22" x14ac:dyDescent="0.25">
      <c r="A585" s="9">
        <v>45957</v>
      </c>
      <c r="B585" s="4" t="s">
        <v>114</v>
      </c>
      <c r="C585" s="4" t="s">
        <v>75</v>
      </c>
      <c r="D585" s="4" t="s">
        <v>115</v>
      </c>
      <c r="E585" s="10">
        <v>2984.73</v>
      </c>
      <c r="G585" s="4" t="s">
        <v>115</v>
      </c>
      <c r="H585" s="4"/>
      <c r="I585" s="4"/>
      <c r="K585" s="11">
        <f>IF($E585="","",ROUND($E585*IF(ISNA(MATCH($C585,'Paramètres'!$D:$D,0)),1,IF(INDEX('Paramètres'!$J:$J,MATCH($C585,'Paramètres'!$D:$D,0))="",1,INDEX('Paramètres'!$J:$J,MATCH($C585,'Paramètres'!$D:$D,0)))),2))</f>
        <v>2984.73</v>
      </c>
      <c r="L585" s="6" t="str">
        <f>IF($D585="","",IF($F585&lt;&gt;"",$F585,IF(ISNA(MATCH($D585,'Paramètres'!$M:$M,0)),"⚠ Type inconnu",IFERROR(INDEX('Paramètres'!$P:$P,MATCH($D585,'Paramètres'!$M:$M,0))&amp;"",""))))</f>
        <v>Crédit</v>
      </c>
      <c r="M585" s="6" t="str">
        <f>IF($D585="","",IF(ISNA(MATCH($D585,'Paramètres'!$M:$M,0)),"⚠ Type inconnu",IF($L585="Crédit","",IFERROR(INDEX('Paramètres'!$O:$O,MATCH($D585,'Paramètres'!$M:$M,0))&amp;"",""))))</f>
        <v/>
      </c>
      <c r="N585" s="6" t="str">
        <f>IF($D585="","",IFERROR(INDEX('Paramètres'!$Q:$Q,MATCH($D585,'Paramètres'!$M:$M,0))&amp;"",""))</f>
        <v/>
      </c>
      <c r="O585" s="6">
        <f>IF($A585="","",IF(OR($J585&lt;&gt;"x",$A585&lt;=FinReleve),1,0))</f>
        <v>1</v>
      </c>
      <c r="P585" s="6">
        <f>IF($D585="","",IF(AND($L585="Crédit",OR(IFERROR(INDEX('Paramètres'!$O:$O,MATCH($D585,'Paramètres'!$M:$M,0))&amp;"","")&lt;&gt;"",ISNUMBER(SEARCH("remboursement",IFERROR(INDEX('Paramètres'!$N:$N,MATCH($D585,'Paramètres'!$M:$M,0))&amp;"",""))))),1,0))</f>
        <v>0</v>
      </c>
      <c r="Q585" s="6">
        <f>IF($K585="","",IF(ISNUMBER(SEARCH("transfert-interne",IFERROR(INDEX('Paramètres'!$N:$N,MATCH($D585,'Paramètres'!$M:$M,0))&amp;"",""))),0,IF($L585="Débit",$K585,IF($P585=1,-$K585,0))))</f>
        <v>0</v>
      </c>
      <c r="R585" s="6">
        <f>IF($K585="","",IF($L585="Crédit",$K585,-$K585))</f>
        <v>2984.73</v>
      </c>
      <c r="S585" s="6" t="str">
        <f>IF($C585="","",IFERROR(INDEX('Paramètres'!$H:$H,MATCH($C585,'Paramètres'!$D:$D,0))&amp;"",""))</f>
        <v/>
      </c>
      <c r="T585" s="6">
        <f>IF($K585="","",IF($S585="",0,IF(ISNUMBER(SEARCH("apport-exterieur",IFERROR(INDEX('Paramètres'!$N:$N,MATCH($D585,'Paramètres'!$M:$M,0))&amp;"",""))),0,IF(OR(IFERROR(INDEX('Paramètres'!$I:$I,MATCH($C585,'Paramètres'!$D:$D,0))&amp;"","")="Les deux",IFERROR(INDEX('Paramètres'!$I:$I,MATCH($C585,'Paramètres'!$D:$D,0))&amp;"","")=IF($P585=1,"Débit",$L585)),-IF($P585=1,-$K585,$K585),0))))</f>
        <v>0</v>
      </c>
      <c r="U585" s="6">
        <f>IF($K585="","",IF(ISNUMBER(SEARCH("sortie-epargne",IFERROR(INDEX('Paramètres'!$N:$N,MATCH($D585,'Paramètres'!$M:$M,0))&amp;"",""))),$K585,0))</f>
        <v>0</v>
      </c>
      <c r="V585" s="6" t="str">
        <f>IF(AND($A585&lt;&gt;"",$O585=1,$L585="Débit",N($Q585)&gt;0,$A585&gt;=Visualisation!$B$1,$A585&lt;Visualisation!$D$1),MAX($V$1:V584)+1,"")</f>
        <v/>
      </c>
    </row>
    <row r="586" spans="1:22" x14ac:dyDescent="0.25">
      <c r="A586" s="9">
        <v>45957</v>
      </c>
      <c r="B586" s="4" t="s">
        <v>76</v>
      </c>
      <c r="C586" s="4" t="s">
        <v>60</v>
      </c>
      <c r="D586" s="4" t="s">
        <v>77</v>
      </c>
      <c r="E586" s="10">
        <v>141.04</v>
      </c>
      <c r="G586" s="4" t="s">
        <v>98</v>
      </c>
      <c r="H586" s="4"/>
      <c r="I586" s="4"/>
      <c r="K586" s="11">
        <f>IF($E586="","",ROUND($E586*IF(ISNA(MATCH($C586,'Paramètres'!$D:$D,0)),1,IF(INDEX('Paramètres'!$J:$J,MATCH($C586,'Paramètres'!$D:$D,0))="",1,INDEX('Paramètres'!$J:$J,MATCH($C586,'Paramètres'!$D:$D,0)))),2))</f>
        <v>70.52</v>
      </c>
      <c r="L586" s="6" t="str">
        <f>IF($D586="","",IF($F586&lt;&gt;"",$F586,IF(ISNA(MATCH($D586,'Paramètres'!$M:$M,0)),"⚠ Type inconnu",IFERROR(INDEX('Paramètres'!$P:$P,MATCH($D586,'Paramètres'!$M:$M,0))&amp;"",""))))</f>
        <v>Débit</v>
      </c>
      <c r="M586" s="6" t="str">
        <f>IF($D586="","",IF(ISNA(MATCH($D586,'Paramètres'!$M:$M,0)),"⚠ Type inconnu",IF($L586="Crédit","",IFERROR(INDEX('Paramètres'!$O:$O,MATCH($D586,'Paramètres'!$M:$M,0))&amp;"",""))))</f>
        <v>Dépense Courante</v>
      </c>
      <c r="N586" s="6" t="str">
        <f>IF($D586="","",IFERROR(INDEX('Paramètres'!$Q:$Q,MATCH($D586,'Paramètres'!$M:$M,0))&amp;"",""))</f>
        <v>Alimentation</v>
      </c>
      <c r="O586" s="6">
        <f>IF($A586="","",IF(OR($J586&lt;&gt;"x",$A586&lt;=FinReleve),1,0))</f>
        <v>1</v>
      </c>
      <c r="P586" s="6">
        <f>IF($D586="","",IF(AND($L586="Crédit",OR(IFERROR(INDEX('Paramètres'!$O:$O,MATCH($D586,'Paramètres'!$M:$M,0))&amp;"","")&lt;&gt;"",ISNUMBER(SEARCH("remboursement",IFERROR(INDEX('Paramètres'!$N:$N,MATCH($D586,'Paramètres'!$M:$M,0))&amp;"",""))))),1,0))</f>
        <v>0</v>
      </c>
      <c r="Q586" s="6">
        <f>IF($K586="","",IF(ISNUMBER(SEARCH("transfert-interne",IFERROR(INDEX('Paramètres'!$N:$N,MATCH($D586,'Paramètres'!$M:$M,0))&amp;"",""))),0,IF($L586="Débit",$K586,IF($P586=1,-$K586,0))))</f>
        <v>70.52</v>
      </c>
      <c r="R586" s="6">
        <f>IF($K586="","",IF($L586="Crédit",$K586,-$K586))</f>
        <v>-70.52</v>
      </c>
      <c r="S586" s="6" t="str">
        <f>IF($C586="","",IFERROR(INDEX('Paramètres'!$H:$H,MATCH($C586,'Paramètres'!$D:$D,0))&amp;"",""))</f>
        <v>Banque A - Courant</v>
      </c>
      <c r="T586" s="6">
        <f>IF($K586="","",IF($S586="",0,IF(ISNUMBER(SEARCH("apport-exterieur",IFERROR(INDEX('Paramètres'!$N:$N,MATCH($D586,'Paramètres'!$M:$M,0))&amp;"",""))),0,IF(OR(IFERROR(INDEX('Paramètres'!$I:$I,MATCH($C586,'Paramètres'!$D:$D,0))&amp;"","")="Les deux",IFERROR(INDEX('Paramètres'!$I:$I,MATCH($C586,'Paramètres'!$D:$D,0))&amp;"","")=IF($P586=1,"Débit",$L586)),-IF($P586=1,-$K586,$K586),0))))</f>
        <v>-70.52</v>
      </c>
      <c r="U586" s="6">
        <f>IF($K586="","",IF(ISNUMBER(SEARCH("sortie-epargne",IFERROR(INDEX('Paramètres'!$N:$N,MATCH($D586,'Paramètres'!$M:$M,0))&amp;"",""))),$K586,0))</f>
        <v>0</v>
      </c>
      <c r="V586" s="6" t="str">
        <f>IF(AND($A586&lt;&gt;"",$O586=1,$L586="Débit",N($Q586)&gt;0,$A586&gt;=Visualisation!$B$1,$A586&lt;Visualisation!$D$1),MAX($V$1:V585)+1,"")</f>
        <v/>
      </c>
    </row>
    <row r="587" spans="1:22" x14ac:dyDescent="0.25">
      <c r="A587" s="9">
        <v>45957</v>
      </c>
      <c r="B587" s="4" t="s">
        <v>76</v>
      </c>
      <c r="C587" s="4" t="s">
        <v>60</v>
      </c>
      <c r="D587" s="4" t="s">
        <v>77</v>
      </c>
      <c r="E587" s="10">
        <v>38.46</v>
      </c>
      <c r="G587" s="4" t="s">
        <v>95</v>
      </c>
      <c r="H587" s="4"/>
      <c r="I587" s="4" t="s">
        <v>79</v>
      </c>
      <c r="K587" s="11">
        <f>IF($E587="","",ROUND($E587*IF(ISNA(MATCH($C587,'Paramètres'!$D:$D,0)),1,IF(INDEX('Paramètres'!$J:$J,MATCH($C587,'Paramètres'!$D:$D,0))="",1,INDEX('Paramètres'!$J:$J,MATCH($C587,'Paramètres'!$D:$D,0)))),2))</f>
        <v>19.23</v>
      </c>
      <c r="L587" s="6" t="str">
        <f>IF($D587="","",IF($F587&lt;&gt;"",$F587,IF(ISNA(MATCH($D587,'Paramètres'!$M:$M,0)),"⚠ Type inconnu",IFERROR(INDEX('Paramètres'!$P:$P,MATCH($D587,'Paramètres'!$M:$M,0))&amp;"",""))))</f>
        <v>Débit</v>
      </c>
      <c r="M587" s="6" t="str">
        <f>IF($D587="","",IF(ISNA(MATCH($D587,'Paramètres'!$M:$M,0)),"⚠ Type inconnu",IF($L587="Crédit","",IFERROR(INDEX('Paramètres'!$O:$O,MATCH($D587,'Paramètres'!$M:$M,0))&amp;"",""))))</f>
        <v>Dépense Courante</v>
      </c>
      <c r="N587" s="6" t="str">
        <f>IF($D587="","",IFERROR(INDEX('Paramètres'!$Q:$Q,MATCH($D587,'Paramètres'!$M:$M,0))&amp;"",""))</f>
        <v>Alimentation</v>
      </c>
      <c r="O587" s="6">
        <f>IF($A587="","",IF(OR($J587&lt;&gt;"x",$A587&lt;=FinReleve),1,0))</f>
        <v>1</v>
      </c>
      <c r="P587" s="6">
        <f>IF($D587="","",IF(AND($L587="Crédit",OR(IFERROR(INDEX('Paramètres'!$O:$O,MATCH($D587,'Paramètres'!$M:$M,0))&amp;"","")&lt;&gt;"",ISNUMBER(SEARCH("remboursement",IFERROR(INDEX('Paramètres'!$N:$N,MATCH($D587,'Paramètres'!$M:$M,0))&amp;"",""))))),1,0))</f>
        <v>0</v>
      </c>
      <c r="Q587" s="6">
        <f>IF($K587="","",IF(ISNUMBER(SEARCH("transfert-interne",IFERROR(INDEX('Paramètres'!$N:$N,MATCH($D587,'Paramètres'!$M:$M,0))&amp;"",""))),0,IF($L587="Débit",$K587,IF($P587=1,-$K587,0))))</f>
        <v>19.23</v>
      </c>
      <c r="R587" s="6">
        <f>IF($K587="","",IF($L587="Crédit",$K587,-$K587))</f>
        <v>-19.23</v>
      </c>
      <c r="S587" s="6" t="str">
        <f>IF($C587="","",IFERROR(INDEX('Paramètres'!$H:$H,MATCH($C587,'Paramètres'!$D:$D,0))&amp;"",""))</f>
        <v>Banque A - Courant</v>
      </c>
      <c r="T587" s="6">
        <f>IF($K587="","",IF($S587="",0,IF(ISNUMBER(SEARCH("apport-exterieur",IFERROR(INDEX('Paramètres'!$N:$N,MATCH($D587,'Paramètres'!$M:$M,0))&amp;"",""))),0,IF(OR(IFERROR(INDEX('Paramètres'!$I:$I,MATCH($C587,'Paramètres'!$D:$D,0))&amp;"","")="Les deux",IFERROR(INDEX('Paramètres'!$I:$I,MATCH($C587,'Paramètres'!$D:$D,0))&amp;"","")=IF($P587=1,"Débit",$L587)),-IF($P587=1,-$K587,$K587),0))))</f>
        <v>-19.23</v>
      </c>
      <c r="U587" s="6">
        <f>IF($K587="","",IF(ISNUMBER(SEARCH("sortie-epargne",IFERROR(INDEX('Paramètres'!$N:$N,MATCH($D587,'Paramètres'!$M:$M,0))&amp;"",""))),$K587,0))</f>
        <v>0</v>
      </c>
      <c r="V587" s="6" t="str">
        <f>IF(AND($A587&lt;&gt;"",$O587=1,$L587="Débit",N($Q587)&gt;0,$A587&gt;=Visualisation!$B$1,$A587&lt;Visualisation!$D$1),MAX($V$1:V586)+1,"")</f>
        <v/>
      </c>
    </row>
    <row r="588" spans="1:22" x14ac:dyDescent="0.25">
      <c r="A588" s="9">
        <v>45958</v>
      </c>
      <c r="B588" s="4" t="s">
        <v>118</v>
      </c>
      <c r="C588" s="4" t="s">
        <v>75</v>
      </c>
      <c r="D588" s="4" t="s">
        <v>118</v>
      </c>
      <c r="E588" s="10">
        <v>3</v>
      </c>
      <c r="G588" s="4"/>
      <c r="H588" s="4"/>
      <c r="I588" s="4"/>
      <c r="K588" s="11">
        <f>IF($E588="","",ROUND($E588*IF(ISNA(MATCH($C588,'Paramètres'!$D:$D,0)),1,IF(INDEX('Paramètres'!$J:$J,MATCH($C588,'Paramètres'!$D:$D,0))="",1,INDEX('Paramètres'!$J:$J,MATCH($C588,'Paramètres'!$D:$D,0)))),2))</f>
        <v>3</v>
      </c>
      <c r="L588" s="6" t="str">
        <f>IF($D588="","",IF($F588&lt;&gt;"",$F588,IF(ISNA(MATCH($D588,'Paramètres'!$M:$M,0)),"⚠ Type inconnu",IFERROR(INDEX('Paramètres'!$P:$P,MATCH($D588,'Paramètres'!$M:$M,0))&amp;"",""))))</f>
        <v>Débit</v>
      </c>
      <c r="M588" s="6" t="str">
        <f>IF($D588="","",IF(ISNA(MATCH($D588,'Paramètres'!$M:$M,0)),"⚠ Type inconnu",IF($L588="Crédit","",IFERROR(INDEX('Paramètres'!$O:$O,MATCH($D588,'Paramètres'!$M:$M,0))&amp;"",""))))</f>
        <v>Dépense Fixe</v>
      </c>
      <c r="N588" s="6" t="str">
        <f>IF($D588="","",IFERROR(INDEX('Paramètres'!$Q:$Q,MATCH($D588,'Paramètres'!$M:$M,0))&amp;"",""))</f>
        <v>Banque</v>
      </c>
      <c r="O588" s="6">
        <f>IF($A588="","",IF(OR($J588&lt;&gt;"x",$A588&lt;=FinReleve),1,0))</f>
        <v>1</v>
      </c>
      <c r="P588" s="6">
        <f>IF($D588="","",IF(AND($L588="Crédit",OR(IFERROR(INDEX('Paramètres'!$O:$O,MATCH($D588,'Paramètres'!$M:$M,0))&amp;"","")&lt;&gt;"",ISNUMBER(SEARCH("remboursement",IFERROR(INDEX('Paramètres'!$N:$N,MATCH($D588,'Paramètres'!$M:$M,0))&amp;"",""))))),1,0))</f>
        <v>0</v>
      </c>
      <c r="Q588" s="6">
        <f>IF($K588="","",IF(ISNUMBER(SEARCH("transfert-interne",IFERROR(INDEX('Paramètres'!$N:$N,MATCH($D588,'Paramètres'!$M:$M,0))&amp;"",""))),0,IF($L588="Débit",$K588,IF($P588=1,-$K588,0))))</f>
        <v>3</v>
      </c>
      <c r="R588" s="6">
        <f>IF($K588="","",IF($L588="Crédit",$K588,-$K588))</f>
        <v>-3</v>
      </c>
      <c r="S588" s="6" t="str">
        <f>IF($C588="","",IFERROR(INDEX('Paramètres'!$H:$H,MATCH($C588,'Paramètres'!$D:$D,0))&amp;"",""))</f>
        <v/>
      </c>
      <c r="T588" s="6">
        <f>IF($K588="","",IF($S588="",0,IF(ISNUMBER(SEARCH("apport-exterieur",IFERROR(INDEX('Paramètres'!$N:$N,MATCH($D588,'Paramètres'!$M:$M,0))&amp;"",""))),0,IF(OR(IFERROR(INDEX('Paramètres'!$I:$I,MATCH($C588,'Paramètres'!$D:$D,0))&amp;"","")="Les deux",IFERROR(INDEX('Paramètres'!$I:$I,MATCH($C588,'Paramètres'!$D:$D,0))&amp;"","")=IF($P588=1,"Débit",$L588)),-IF($P588=1,-$K588,$K588),0))))</f>
        <v>0</v>
      </c>
      <c r="U588" s="6">
        <f>IF($K588="","",IF(ISNUMBER(SEARCH("sortie-epargne",IFERROR(INDEX('Paramètres'!$N:$N,MATCH($D588,'Paramètres'!$M:$M,0))&amp;"",""))),$K588,0))</f>
        <v>0</v>
      </c>
      <c r="V588" s="6" t="str">
        <f>IF(AND($A588&lt;&gt;"",$O588=1,$L588="Débit",N($Q588)&gt;0,$A588&gt;=Visualisation!$B$1,$A588&lt;Visualisation!$D$1),MAX($V$1:V587)+1,"")</f>
        <v/>
      </c>
    </row>
    <row r="589" spans="1:22" x14ac:dyDescent="0.25">
      <c r="A589" s="9">
        <v>45962</v>
      </c>
      <c r="B589" s="4" t="s">
        <v>76</v>
      </c>
      <c r="C589" s="4" t="s">
        <v>67</v>
      </c>
      <c r="D589" s="4" t="s">
        <v>77</v>
      </c>
      <c r="E589" s="10">
        <v>129.3</v>
      </c>
      <c r="G589" s="4" t="s">
        <v>78</v>
      </c>
      <c r="H589" s="4"/>
      <c r="I589" s="4" t="s">
        <v>63</v>
      </c>
      <c r="K589" s="11">
        <f>IF($E589="","",ROUND($E589*IF(ISNA(MATCH($C589,'Paramètres'!$D:$D,0)),1,IF(INDEX('Paramètres'!$J:$J,MATCH($C589,'Paramètres'!$D:$D,0))="",1,INDEX('Paramètres'!$J:$J,MATCH($C589,'Paramètres'!$D:$D,0)))),2))</f>
        <v>64.65</v>
      </c>
      <c r="L589" s="6" t="str">
        <f>IF($D589="","",IF($F589&lt;&gt;"",$F589,IF(ISNA(MATCH($D589,'Paramètres'!$M:$M,0)),"⚠ Type inconnu",IFERROR(INDEX('Paramètres'!$P:$P,MATCH($D589,'Paramètres'!$M:$M,0))&amp;"",""))))</f>
        <v>Débit</v>
      </c>
      <c r="M589" s="6" t="str">
        <f>IF($D589="","",IF(ISNA(MATCH($D589,'Paramètres'!$M:$M,0)),"⚠ Type inconnu",IF($L589="Crédit","",IFERROR(INDEX('Paramètres'!$O:$O,MATCH($D589,'Paramètres'!$M:$M,0))&amp;"",""))))</f>
        <v>Dépense Courante</v>
      </c>
      <c r="N589" s="6" t="str">
        <f>IF($D589="","",IFERROR(INDEX('Paramètres'!$Q:$Q,MATCH($D589,'Paramètres'!$M:$M,0))&amp;"",""))</f>
        <v>Alimentation</v>
      </c>
      <c r="O589" s="6">
        <f>IF($A589="","",IF(OR($J589&lt;&gt;"x",$A589&lt;=FinReleve),1,0))</f>
        <v>1</v>
      </c>
      <c r="P589" s="6">
        <f>IF($D589="","",IF(AND($L589="Crédit",OR(IFERROR(INDEX('Paramètres'!$O:$O,MATCH($D589,'Paramètres'!$M:$M,0))&amp;"","")&lt;&gt;"",ISNUMBER(SEARCH("remboursement",IFERROR(INDEX('Paramètres'!$N:$N,MATCH($D589,'Paramètres'!$M:$M,0))&amp;"",""))))),1,0))</f>
        <v>0</v>
      </c>
      <c r="Q589" s="6">
        <f>IF($K589="","",IF(ISNUMBER(SEARCH("transfert-interne",IFERROR(INDEX('Paramètres'!$N:$N,MATCH($D589,'Paramètres'!$M:$M,0))&amp;"",""))),0,IF($L589="Débit",$K589,IF($P589=1,-$K589,0))))</f>
        <v>64.65</v>
      </c>
      <c r="R589" s="6">
        <f>IF($K589="","",IF($L589="Crédit",$K589,-$K589))</f>
        <v>-64.65</v>
      </c>
      <c r="S589" s="6" t="str">
        <f>IF($C589="","",IFERROR(INDEX('Paramètres'!$H:$H,MATCH($C589,'Paramètres'!$D:$D,0))&amp;"",""))</f>
        <v>Banque A - Courant</v>
      </c>
      <c r="T589" s="6">
        <f>IF($K589="","",IF($S589="",0,IF(ISNUMBER(SEARCH("apport-exterieur",IFERROR(INDEX('Paramètres'!$N:$N,MATCH($D589,'Paramètres'!$M:$M,0))&amp;"",""))),0,IF(OR(IFERROR(INDEX('Paramètres'!$I:$I,MATCH($C589,'Paramètres'!$D:$D,0))&amp;"","")="Les deux",IFERROR(INDEX('Paramètres'!$I:$I,MATCH($C589,'Paramètres'!$D:$D,0))&amp;"","")=IF($P589=1,"Débit",$L589)),-IF($P589=1,-$K589,$K589),0))))</f>
        <v>0</v>
      </c>
      <c r="U589" s="6">
        <f>IF($K589="","",IF(ISNUMBER(SEARCH("sortie-epargne",IFERROR(INDEX('Paramètres'!$N:$N,MATCH($D589,'Paramètres'!$M:$M,0))&amp;"",""))),$K589,0))</f>
        <v>0</v>
      </c>
      <c r="V589" s="6" t="str">
        <f>IF(AND($A589&lt;&gt;"",$O589=1,$L589="Débit",N($Q589)&gt;0,$A589&gt;=Visualisation!$B$1,$A589&lt;Visualisation!$D$1),MAX($V$1:V588)+1,"")</f>
        <v/>
      </c>
    </row>
    <row r="590" spans="1:22" x14ac:dyDescent="0.25">
      <c r="A590" s="9">
        <v>45962</v>
      </c>
      <c r="B590" s="4" t="s">
        <v>69</v>
      </c>
      <c r="C590" s="4" t="s">
        <v>70</v>
      </c>
      <c r="D590" s="4" t="s">
        <v>71</v>
      </c>
      <c r="E590" s="10">
        <v>9.5</v>
      </c>
      <c r="G590" s="4" t="s">
        <v>72</v>
      </c>
      <c r="H590" s="4"/>
      <c r="I590" s="4" t="s">
        <v>79</v>
      </c>
      <c r="K590" s="11">
        <f>IF($E590="","",ROUND($E590*IF(ISNA(MATCH($C590,'Paramètres'!$D:$D,0)),1,IF(INDEX('Paramètres'!$J:$J,MATCH($C590,'Paramètres'!$D:$D,0))="",1,INDEX('Paramètres'!$J:$J,MATCH($C590,'Paramètres'!$D:$D,0)))),2))</f>
        <v>9.5</v>
      </c>
      <c r="L590" s="6" t="str">
        <f>IF($D590="","",IF($F590&lt;&gt;"",$F590,IF(ISNA(MATCH($D590,'Paramètres'!$M:$M,0)),"⚠ Type inconnu",IFERROR(INDEX('Paramètres'!$P:$P,MATCH($D590,'Paramètres'!$M:$M,0))&amp;"",""))))</f>
        <v>Débit</v>
      </c>
      <c r="M590" s="6" t="str">
        <f>IF($D590="","",IF(ISNA(MATCH($D590,'Paramètres'!$M:$M,0)),"⚠ Type inconnu",IF($L590="Crédit","",IFERROR(INDEX('Paramètres'!$O:$O,MATCH($D590,'Paramètres'!$M:$M,0))&amp;"",""))))</f>
        <v>Dépense Courante</v>
      </c>
      <c r="N590" s="6" t="str">
        <f>IF($D590="","",IFERROR(INDEX('Paramètres'!$Q:$Q,MATCH($D590,'Paramètres'!$M:$M,0))&amp;"",""))</f>
        <v>Alimentation</v>
      </c>
      <c r="O590" s="6">
        <f>IF($A590="","",IF(OR($J590&lt;&gt;"x",$A590&lt;=FinReleve),1,0))</f>
        <v>1</v>
      </c>
      <c r="P590" s="6">
        <f>IF($D590="","",IF(AND($L590="Crédit",OR(IFERROR(INDEX('Paramètres'!$O:$O,MATCH($D590,'Paramètres'!$M:$M,0))&amp;"","")&lt;&gt;"",ISNUMBER(SEARCH("remboursement",IFERROR(INDEX('Paramètres'!$N:$N,MATCH($D590,'Paramètres'!$M:$M,0))&amp;"",""))))),1,0))</f>
        <v>0</v>
      </c>
      <c r="Q590" s="6">
        <f>IF($K590="","",IF(ISNUMBER(SEARCH("transfert-interne",IFERROR(INDEX('Paramètres'!$N:$N,MATCH($D590,'Paramètres'!$M:$M,0))&amp;"",""))),0,IF($L590="Débit",$K590,IF($P590=1,-$K590,0))))</f>
        <v>9.5</v>
      </c>
      <c r="R590" s="6">
        <f>IF($K590="","",IF($L590="Crédit",$K590,-$K590))</f>
        <v>-9.5</v>
      </c>
      <c r="S590" s="6" t="str">
        <f>IF($C590="","",IFERROR(INDEX('Paramètres'!$H:$H,MATCH($C590,'Paramètres'!$D:$D,0))&amp;"",""))</f>
        <v/>
      </c>
      <c r="T590" s="6">
        <f>IF($K590="","",IF($S590="",0,IF(ISNUMBER(SEARCH("apport-exterieur",IFERROR(INDEX('Paramètres'!$N:$N,MATCH($D590,'Paramètres'!$M:$M,0))&amp;"",""))),0,IF(OR(IFERROR(INDEX('Paramètres'!$I:$I,MATCH($C590,'Paramètres'!$D:$D,0))&amp;"","")="Les deux",IFERROR(INDEX('Paramètres'!$I:$I,MATCH($C590,'Paramètres'!$D:$D,0))&amp;"","")=IF($P590=1,"Débit",$L590)),-IF($P590=1,-$K590,$K590),0))))</f>
        <v>0</v>
      </c>
      <c r="U590" s="6">
        <f>IF($K590="","",IF(ISNUMBER(SEARCH("sortie-epargne",IFERROR(INDEX('Paramètres'!$N:$N,MATCH($D590,'Paramètres'!$M:$M,0))&amp;"",""))),$K590,0))</f>
        <v>0</v>
      </c>
      <c r="V590" s="6" t="str">
        <f>IF(AND($A590&lt;&gt;"",$O590=1,$L590="Débit",N($Q590)&gt;0,$A590&gt;=Visualisation!$B$1,$A590&lt;Visualisation!$D$1),MAX($V$1:V589)+1,"")</f>
        <v/>
      </c>
    </row>
    <row r="591" spans="1:22" x14ac:dyDescent="0.25">
      <c r="A591" s="9">
        <v>45962</v>
      </c>
      <c r="B591" s="4" t="s">
        <v>76</v>
      </c>
      <c r="C591" s="4" t="s">
        <v>107</v>
      </c>
      <c r="D591" s="4" t="s">
        <v>108</v>
      </c>
      <c r="E591" s="10">
        <v>35.26</v>
      </c>
      <c r="G591" s="4" t="s">
        <v>109</v>
      </c>
      <c r="H591" s="4"/>
      <c r="I591" s="4" t="s">
        <v>73</v>
      </c>
      <c r="K591" s="11">
        <f>IF($E591="","",ROUND($E591*IF(ISNA(MATCH($C591,'Paramètres'!$D:$D,0)),1,IF(INDEX('Paramètres'!$J:$J,MATCH($C591,'Paramètres'!$D:$D,0))="",1,INDEX('Paramètres'!$J:$J,MATCH($C591,'Paramètres'!$D:$D,0)))),2))</f>
        <v>35.26</v>
      </c>
      <c r="L591" s="6" t="str">
        <f>IF($D591="","",IF($F591&lt;&gt;"",$F591,IF(ISNA(MATCH($D591,'Paramètres'!$M:$M,0)),"⚠ Type inconnu",IFERROR(INDEX('Paramètres'!$P:$P,MATCH($D591,'Paramètres'!$M:$M,0))&amp;"",""))))</f>
        <v>Débit</v>
      </c>
      <c r="M591" s="6" t="str">
        <f>IF($D591="","",IF(ISNA(MATCH($D591,'Paramètres'!$M:$M,0)),"⚠ Type inconnu",IF($L591="Crédit","",IFERROR(INDEX('Paramètres'!$O:$O,MATCH($D591,'Paramètres'!$M:$M,0))&amp;"",""))))</f>
        <v>Dépense Occasionnelle</v>
      </c>
      <c r="N591" s="6" t="str">
        <f>IF($D591="","",IFERROR(INDEX('Paramètres'!$Q:$Q,MATCH($D591,'Paramètres'!$M:$M,0))&amp;"",""))</f>
        <v>Autre</v>
      </c>
      <c r="O591" s="6">
        <f>IF($A591="","",IF(OR($J591&lt;&gt;"x",$A591&lt;=FinReleve),1,0))</f>
        <v>1</v>
      </c>
      <c r="P591" s="6">
        <f>IF($D591="","",IF(AND($L591="Crédit",OR(IFERROR(INDEX('Paramètres'!$O:$O,MATCH($D591,'Paramètres'!$M:$M,0))&amp;"","")&lt;&gt;"",ISNUMBER(SEARCH("remboursement",IFERROR(INDEX('Paramètres'!$N:$N,MATCH($D591,'Paramètres'!$M:$M,0))&amp;"",""))))),1,0))</f>
        <v>0</v>
      </c>
      <c r="Q591" s="6">
        <f>IF($K591="","",IF(ISNUMBER(SEARCH("transfert-interne",IFERROR(INDEX('Paramètres'!$N:$N,MATCH($D591,'Paramètres'!$M:$M,0))&amp;"",""))),0,IF($L591="Débit",$K591,IF($P591=1,-$K591,0))))</f>
        <v>35.26</v>
      </c>
      <c r="R591" s="6">
        <f>IF($K591="","",IF($L591="Crédit",$K591,-$K591))</f>
        <v>-35.26</v>
      </c>
      <c r="S591" s="6" t="str">
        <f>IF($C591="","",IFERROR(INDEX('Paramètres'!$H:$H,MATCH($C591,'Paramètres'!$D:$D,0))&amp;"",""))</f>
        <v/>
      </c>
      <c r="T591" s="6">
        <f>IF($K591="","",IF($S591="",0,IF(ISNUMBER(SEARCH("apport-exterieur",IFERROR(INDEX('Paramètres'!$N:$N,MATCH($D591,'Paramètres'!$M:$M,0))&amp;"",""))),0,IF(OR(IFERROR(INDEX('Paramètres'!$I:$I,MATCH($C591,'Paramètres'!$D:$D,0))&amp;"","")="Les deux",IFERROR(INDEX('Paramètres'!$I:$I,MATCH($C591,'Paramètres'!$D:$D,0))&amp;"","")=IF($P591=1,"Débit",$L591)),-IF($P591=1,-$K591,$K591),0))))</f>
        <v>0</v>
      </c>
      <c r="U591" s="6">
        <f>IF($K591="","",IF(ISNUMBER(SEARCH("sortie-epargne",IFERROR(INDEX('Paramètres'!$N:$N,MATCH($D591,'Paramètres'!$M:$M,0))&amp;"",""))),$K591,0))</f>
        <v>0</v>
      </c>
      <c r="V591" s="6" t="str">
        <f>IF(AND($A591&lt;&gt;"",$O591=1,$L591="Débit",N($Q591)&gt;0,$A591&gt;=Visualisation!$B$1,$A591&lt;Visualisation!$D$1),MAX($V$1:V590)+1,"")</f>
        <v/>
      </c>
    </row>
    <row r="592" spans="1:22" x14ac:dyDescent="0.25">
      <c r="A592" s="9">
        <v>45963</v>
      </c>
      <c r="B592" s="4" t="s">
        <v>64</v>
      </c>
      <c r="C592" s="4" t="s">
        <v>65</v>
      </c>
      <c r="D592" s="4" t="s">
        <v>66</v>
      </c>
      <c r="E592" s="10">
        <v>1160</v>
      </c>
      <c r="G592" s="4"/>
      <c r="H592" s="4"/>
      <c r="I592" s="4"/>
      <c r="K592" s="11">
        <f>IF($E592="","",ROUND($E592*IF(ISNA(MATCH($C592,'Paramètres'!$D:$D,0)),1,IF(INDEX('Paramètres'!$J:$J,MATCH($C592,'Paramètres'!$D:$D,0))="",1,INDEX('Paramètres'!$J:$J,MATCH($C592,'Paramètres'!$D:$D,0)))),2))</f>
        <v>1160</v>
      </c>
      <c r="L592" s="6" t="str">
        <f>IF($D592="","",IF($F592&lt;&gt;"",$F592,IF(ISNA(MATCH($D592,'Paramètres'!$M:$M,0)),"⚠ Type inconnu",IFERROR(INDEX('Paramètres'!$P:$P,MATCH($D592,'Paramètres'!$M:$M,0))&amp;"",""))))</f>
        <v>Crédit</v>
      </c>
      <c r="M592" s="6" t="str">
        <f>IF($D592="","",IF(ISNA(MATCH($D592,'Paramètres'!$M:$M,0)),"⚠ Type inconnu",IF($L592="Crédit","",IFERROR(INDEX('Paramètres'!$O:$O,MATCH($D592,'Paramètres'!$M:$M,0))&amp;"",""))))</f>
        <v/>
      </c>
      <c r="N592" s="6" t="str">
        <f>IF($D592="","",IFERROR(INDEX('Paramètres'!$Q:$Q,MATCH($D592,'Paramètres'!$M:$M,0))&amp;"",""))</f>
        <v>Comptes Bancaires</v>
      </c>
      <c r="O592" s="6">
        <f>IF($A592="","",IF(OR($J592&lt;&gt;"x",$A592&lt;=FinReleve),1,0))</f>
        <v>1</v>
      </c>
      <c r="P592" s="6">
        <f>IF($D592="","",IF(AND($L592="Crédit",OR(IFERROR(INDEX('Paramètres'!$O:$O,MATCH($D592,'Paramètres'!$M:$M,0))&amp;"","")&lt;&gt;"",ISNUMBER(SEARCH("remboursement",IFERROR(INDEX('Paramètres'!$N:$N,MATCH($D592,'Paramètres'!$M:$M,0))&amp;"",""))))),1,0))</f>
        <v>0</v>
      </c>
      <c r="Q592" s="6">
        <f>IF($K592="","",IF(ISNUMBER(SEARCH("transfert-interne",IFERROR(INDEX('Paramètres'!$N:$N,MATCH($D592,'Paramètres'!$M:$M,0))&amp;"",""))),0,IF($L592="Débit",$K592,IF($P592=1,-$K592,0))))</f>
        <v>0</v>
      </c>
      <c r="R592" s="6">
        <f>IF($K592="","",IF($L592="Crédit",$K592,-$K592))</f>
        <v>1160</v>
      </c>
      <c r="S592" s="6" t="str">
        <f>IF($C592="","",IFERROR(INDEX('Paramètres'!$H:$H,MATCH($C592,'Paramètres'!$D:$D,0))&amp;"",""))</f>
        <v>Banque A - Courant</v>
      </c>
      <c r="T592" s="6">
        <f>IF($K592="","",IF($S592="",0,IF(ISNUMBER(SEARCH("apport-exterieur",IFERROR(INDEX('Paramètres'!$N:$N,MATCH($D592,'Paramètres'!$M:$M,0))&amp;"",""))),0,IF(OR(IFERROR(INDEX('Paramètres'!$I:$I,MATCH($C592,'Paramètres'!$D:$D,0))&amp;"","")="Les deux",IFERROR(INDEX('Paramètres'!$I:$I,MATCH($C592,'Paramètres'!$D:$D,0))&amp;"","")=IF($P592=1,"Débit",$L592)),-IF($P592=1,-$K592,$K592),0))))</f>
        <v>-1160</v>
      </c>
      <c r="U592" s="6">
        <f>IF($K592="","",IF(ISNUMBER(SEARCH("sortie-epargne",IFERROR(INDEX('Paramètres'!$N:$N,MATCH($D592,'Paramètres'!$M:$M,0))&amp;"",""))),$K592,0))</f>
        <v>0</v>
      </c>
      <c r="V592" s="6" t="str">
        <f>IF(AND($A592&lt;&gt;"",$O592=1,$L592="Débit",N($Q592)&gt;0,$A592&gt;=Visualisation!$B$1,$A592&lt;Visualisation!$D$1),MAX($V$1:V591)+1,"")</f>
        <v/>
      </c>
    </row>
    <row r="593" spans="1:22" x14ac:dyDescent="0.25">
      <c r="A593" s="9">
        <v>45963</v>
      </c>
      <c r="B593" s="4" t="s">
        <v>64</v>
      </c>
      <c r="C593" s="4" t="s">
        <v>67</v>
      </c>
      <c r="D593" s="4" t="s">
        <v>68</v>
      </c>
      <c r="E593" s="10">
        <v>600</v>
      </c>
      <c r="G593" s="4"/>
      <c r="H593" s="4"/>
      <c r="I593" s="4"/>
      <c r="K593" s="11">
        <f>IF($E593="","",ROUND($E593*IF(ISNA(MATCH($C593,'Paramètres'!$D:$D,0)),1,IF(INDEX('Paramètres'!$J:$J,MATCH($C593,'Paramètres'!$D:$D,0))="",1,INDEX('Paramètres'!$J:$J,MATCH($C593,'Paramètres'!$D:$D,0)))),2))</f>
        <v>300</v>
      </c>
      <c r="L593" s="6" t="str">
        <f>IF($D593="","",IF($F593&lt;&gt;"",$F593,IF(ISNA(MATCH($D593,'Paramètres'!$M:$M,0)),"⚠ Type inconnu",IFERROR(INDEX('Paramètres'!$P:$P,MATCH($D593,'Paramètres'!$M:$M,0))&amp;"",""))))</f>
        <v>Crédit</v>
      </c>
      <c r="M593" s="6" t="str">
        <f>IF($D593="","",IF(ISNA(MATCH($D593,'Paramètres'!$M:$M,0)),"⚠ Type inconnu",IF($L593="Crédit","",IFERROR(INDEX('Paramètres'!$O:$O,MATCH($D593,'Paramètres'!$M:$M,0))&amp;"",""))))</f>
        <v/>
      </c>
      <c r="N593" s="6" t="str">
        <f>IF($D593="","",IFERROR(INDEX('Paramètres'!$Q:$Q,MATCH($D593,'Paramètres'!$M:$M,0))&amp;"",""))</f>
        <v>Comptes Bancaires</v>
      </c>
      <c r="O593" s="6">
        <f>IF($A593="","",IF(OR($J593&lt;&gt;"x",$A593&lt;=FinReleve),1,0))</f>
        <v>1</v>
      </c>
      <c r="P593" s="6">
        <f>IF($D593="","",IF(AND($L593="Crédit",OR(IFERROR(INDEX('Paramètres'!$O:$O,MATCH($D593,'Paramètres'!$M:$M,0))&amp;"","")&lt;&gt;"",ISNUMBER(SEARCH("remboursement",IFERROR(INDEX('Paramètres'!$N:$N,MATCH($D593,'Paramètres'!$M:$M,0))&amp;"",""))))),1,0))</f>
        <v>0</v>
      </c>
      <c r="Q593" s="6">
        <f>IF($K593="","",IF(ISNUMBER(SEARCH("transfert-interne",IFERROR(INDEX('Paramètres'!$N:$N,MATCH($D593,'Paramètres'!$M:$M,0))&amp;"",""))),0,IF($L593="Débit",$K593,IF($P593=1,-$K593,0))))</f>
        <v>0</v>
      </c>
      <c r="R593" s="6">
        <f>IF($K593="","",IF($L593="Crédit",$K593,-$K593))</f>
        <v>300</v>
      </c>
      <c r="S593" s="6" t="str">
        <f>IF($C593="","",IFERROR(INDEX('Paramètres'!$H:$H,MATCH($C593,'Paramètres'!$D:$D,0))&amp;"",""))</f>
        <v>Banque A - Courant</v>
      </c>
      <c r="T593" s="6">
        <f>IF($K593="","",IF($S593="",0,IF(ISNUMBER(SEARCH("apport-exterieur",IFERROR(INDEX('Paramètres'!$N:$N,MATCH($D593,'Paramètres'!$M:$M,0))&amp;"",""))),0,IF(OR(IFERROR(INDEX('Paramètres'!$I:$I,MATCH($C593,'Paramètres'!$D:$D,0))&amp;"","")="Les deux",IFERROR(INDEX('Paramètres'!$I:$I,MATCH($C593,'Paramètres'!$D:$D,0))&amp;"","")=IF($P593=1,"Débit",$L593)),-IF($P593=1,-$K593,$K593),0))))</f>
        <v>-300</v>
      </c>
      <c r="U593" s="6">
        <f>IF($K593="","",IF(ISNUMBER(SEARCH("sortie-epargne",IFERROR(INDEX('Paramètres'!$N:$N,MATCH($D593,'Paramètres'!$M:$M,0))&amp;"",""))),$K593,0))</f>
        <v>0</v>
      </c>
      <c r="V593" s="6" t="str">
        <f>IF(AND($A593&lt;&gt;"",$O593=1,$L593="Débit",N($Q593)&gt;0,$A593&gt;=Visualisation!$B$1,$A593&lt;Visualisation!$D$1),MAX($V$1:V592)+1,"")</f>
        <v/>
      </c>
    </row>
    <row r="594" spans="1:22" x14ac:dyDescent="0.25">
      <c r="A594" s="9">
        <v>45963</v>
      </c>
      <c r="B594" s="4" t="s">
        <v>69</v>
      </c>
      <c r="C594" s="4" t="s">
        <v>70</v>
      </c>
      <c r="D594" s="4" t="s">
        <v>71</v>
      </c>
      <c r="E594" s="10">
        <v>9.25</v>
      </c>
      <c r="G594" s="4" t="s">
        <v>72</v>
      </c>
      <c r="H594" s="4"/>
      <c r="I594" s="4" t="s">
        <v>63</v>
      </c>
      <c r="K594" s="11">
        <f>IF($E594="","",ROUND($E594*IF(ISNA(MATCH($C594,'Paramètres'!$D:$D,0)),1,IF(INDEX('Paramètres'!$J:$J,MATCH($C594,'Paramètres'!$D:$D,0))="",1,INDEX('Paramètres'!$J:$J,MATCH($C594,'Paramètres'!$D:$D,0)))),2))</f>
        <v>9.25</v>
      </c>
      <c r="L594" s="6" t="str">
        <f>IF($D594="","",IF($F594&lt;&gt;"",$F594,IF(ISNA(MATCH($D594,'Paramètres'!$M:$M,0)),"⚠ Type inconnu",IFERROR(INDEX('Paramètres'!$P:$P,MATCH($D594,'Paramètres'!$M:$M,0))&amp;"",""))))</f>
        <v>Débit</v>
      </c>
      <c r="M594" s="6" t="str">
        <f>IF($D594="","",IF(ISNA(MATCH($D594,'Paramètres'!$M:$M,0)),"⚠ Type inconnu",IF($L594="Crédit","",IFERROR(INDEX('Paramètres'!$O:$O,MATCH($D594,'Paramètres'!$M:$M,0))&amp;"",""))))</f>
        <v>Dépense Courante</v>
      </c>
      <c r="N594" s="6" t="str">
        <f>IF($D594="","",IFERROR(INDEX('Paramètres'!$Q:$Q,MATCH($D594,'Paramètres'!$M:$M,0))&amp;"",""))</f>
        <v>Alimentation</v>
      </c>
      <c r="O594" s="6">
        <f>IF($A594="","",IF(OR($J594&lt;&gt;"x",$A594&lt;=FinReleve),1,0))</f>
        <v>1</v>
      </c>
      <c r="P594" s="6">
        <f>IF($D594="","",IF(AND($L594="Crédit",OR(IFERROR(INDEX('Paramètres'!$O:$O,MATCH($D594,'Paramètres'!$M:$M,0))&amp;"","")&lt;&gt;"",ISNUMBER(SEARCH("remboursement",IFERROR(INDEX('Paramètres'!$N:$N,MATCH($D594,'Paramètres'!$M:$M,0))&amp;"",""))))),1,0))</f>
        <v>0</v>
      </c>
      <c r="Q594" s="6">
        <f>IF($K594="","",IF(ISNUMBER(SEARCH("transfert-interne",IFERROR(INDEX('Paramètres'!$N:$N,MATCH($D594,'Paramètres'!$M:$M,0))&amp;"",""))),0,IF($L594="Débit",$K594,IF($P594=1,-$K594,0))))</f>
        <v>9.25</v>
      </c>
      <c r="R594" s="6">
        <f>IF($K594="","",IF($L594="Crédit",$K594,-$K594))</f>
        <v>-9.25</v>
      </c>
      <c r="S594" s="6" t="str">
        <f>IF($C594="","",IFERROR(INDEX('Paramètres'!$H:$H,MATCH($C594,'Paramètres'!$D:$D,0))&amp;"",""))</f>
        <v/>
      </c>
      <c r="T594" s="6">
        <f>IF($K594="","",IF($S594="",0,IF(ISNUMBER(SEARCH("apport-exterieur",IFERROR(INDEX('Paramètres'!$N:$N,MATCH($D594,'Paramètres'!$M:$M,0))&amp;"",""))),0,IF(OR(IFERROR(INDEX('Paramètres'!$I:$I,MATCH($C594,'Paramètres'!$D:$D,0))&amp;"","")="Les deux",IFERROR(INDEX('Paramètres'!$I:$I,MATCH($C594,'Paramètres'!$D:$D,0))&amp;"","")=IF($P594=1,"Débit",$L594)),-IF($P594=1,-$K594,$K594),0))))</f>
        <v>0</v>
      </c>
      <c r="U594" s="6">
        <f>IF($K594="","",IF(ISNUMBER(SEARCH("sortie-epargne",IFERROR(INDEX('Paramètres'!$N:$N,MATCH($D594,'Paramètres'!$M:$M,0))&amp;"",""))),$K594,0))</f>
        <v>0</v>
      </c>
      <c r="V594" s="6" t="str">
        <f>IF(AND($A594&lt;&gt;"",$O594=1,$L594="Débit",N($Q594)&gt;0,$A594&gt;=Visualisation!$B$1,$A594&lt;Visualisation!$D$1),MAX($V$1:V593)+1,"")</f>
        <v/>
      </c>
    </row>
    <row r="595" spans="1:22" x14ac:dyDescent="0.25">
      <c r="A595" s="9">
        <v>45964</v>
      </c>
      <c r="B595" s="4" t="s">
        <v>74</v>
      </c>
      <c r="C595" s="4" t="s">
        <v>75</v>
      </c>
      <c r="D595" s="4" t="s">
        <v>74</v>
      </c>
      <c r="E595" s="10">
        <v>88.8</v>
      </c>
      <c r="G595" s="4"/>
      <c r="H595" s="4"/>
      <c r="I595" s="4"/>
      <c r="K595" s="11">
        <f>IF($E595="","",ROUND($E595*IF(ISNA(MATCH($C595,'Paramètres'!$D:$D,0)),1,IF(INDEX('Paramètres'!$J:$J,MATCH($C595,'Paramètres'!$D:$D,0))="",1,INDEX('Paramètres'!$J:$J,MATCH($C595,'Paramètres'!$D:$D,0)))),2))</f>
        <v>88.8</v>
      </c>
      <c r="L595" s="6" t="str">
        <f>IF($D595="","",IF($F595&lt;&gt;"",$F595,IF(ISNA(MATCH($D595,'Paramètres'!$M:$M,0)),"⚠ Type inconnu",IFERROR(INDEX('Paramètres'!$P:$P,MATCH($D595,'Paramètres'!$M:$M,0))&amp;"",""))))</f>
        <v>Débit</v>
      </c>
      <c r="M595" s="6" t="str">
        <f>IF($D595="","",IF(ISNA(MATCH($D595,'Paramètres'!$M:$M,0)),"⚠ Type inconnu",IF($L595="Crédit","",IFERROR(INDEX('Paramètres'!$O:$O,MATCH($D595,'Paramètres'!$M:$M,0))&amp;"",""))))</f>
        <v>Dépense Fixe</v>
      </c>
      <c r="N595" s="6" t="str">
        <f>IF($D595="","",IFERROR(INDEX('Paramètres'!$Q:$Q,MATCH($D595,'Paramètres'!$M:$M,0))&amp;"",""))</f>
        <v>Transport</v>
      </c>
      <c r="O595" s="6">
        <f>IF($A595="","",IF(OR($J595&lt;&gt;"x",$A595&lt;=FinReleve),1,0))</f>
        <v>1</v>
      </c>
      <c r="P595" s="6">
        <f>IF($D595="","",IF(AND($L595="Crédit",OR(IFERROR(INDEX('Paramètres'!$O:$O,MATCH($D595,'Paramètres'!$M:$M,0))&amp;"","")&lt;&gt;"",ISNUMBER(SEARCH("remboursement",IFERROR(INDEX('Paramètres'!$N:$N,MATCH($D595,'Paramètres'!$M:$M,0))&amp;"",""))))),1,0))</f>
        <v>0</v>
      </c>
      <c r="Q595" s="6">
        <f>IF($K595="","",IF(ISNUMBER(SEARCH("transfert-interne",IFERROR(INDEX('Paramètres'!$N:$N,MATCH($D595,'Paramètres'!$M:$M,0))&amp;"",""))),0,IF($L595="Débit",$K595,IF($P595=1,-$K595,0))))</f>
        <v>88.8</v>
      </c>
      <c r="R595" s="6">
        <f>IF($K595="","",IF($L595="Crédit",$K595,-$K595))</f>
        <v>-88.8</v>
      </c>
      <c r="S595" s="6" t="str">
        <f>IF($C595="","",IFERROR(INDEX('Paramètres'!$H:$H,MATCH($C595,'Paramètres'!$D:$D,0))&amp;"",""))</f>
        <v/>
      </c>
      <c r="T595" s="6">
        <f>IF($K595="","",IF($S595="",0,IF(ISNUMBER(SEARCH("apport-exterieur",IFERROR(INDEX('Paramètres'!$N:$N,MATCH($D595,'Paramètres'!$M:$M,0))&amp;"",""))),0,IF(OR(IFERROR(INDEX('Paramètres'!$I:$I,MATCH($C595,'Paramètres'!$D:$D,0))&amp;"","")="Les deux",IFERROR(INDEX('Paramètres'!$I:$I,MATCH($C595,'Paramètres'!$D:$D,0))&amp;"","")=IF($P595=1,"Débit",$L595)),-IF($P595=1,-$K595,$K595),0))))</f>
        <v>0</v>
      </c>
      <c r="U595" s="6">
        <f>IF($K595="","",IF(ISNUMBER(SEARCH("sortie-epargne",IFERROR(INDEX('Paramètres'!$N:$N,MATCH($D595,'Paramètres'!$M:$M,0))&amp;"",""))),$K595,0))</f>
        <v>0</v>
      </c>
      <c r="V595" s="6" t="str">
        <f>IF(AND($A595&lt;&gt;"",$O595=1,$L595="Débit",N($Q595)&gt;0,$A595&gt;=Visualisation!$B$1,$A595&lt;Visualisation!$D$1),MAX($V$1:V594)+1,"")</f>
        <v/>
      </c>
    </row>
    <row r="596" spans="1:22" x14ac:dyDescent="0.25">
      <c r="A596" s="9">
        <v>45964</v>
      </c>
      <c r="B596" s="4" t="s">
        <v>69</v>
      </c>
      <c r="C596" s="4" t="s">
        <v>70</v>
      </c>
      <c r="D596" s="4" t="s">
        <v>71</v>
      </c>
      <c r="E596" s="10">
        <v>12.34</v>
      </c>
      <c r="G596" s="4" t="s">
        <v>72</v>
      </c>
      <c r="H596" s="4"/>
      <c r="I596" s="4" t="s">
        <v>73</v>
      </c>
      <c r="K596" s="11">
        <f>IF($E596="","",ROUND($E596*IF(ISNA(MATCH($C596,'Paramètres'!$D:$D,0)),1,IF(INDEX('Paramètres'!$J:$J,MATCH($C596,'Paramètres'!$D:$D,0))="",1,INDEX('Paramètres'!$J:$J,MATCH($C596,'Paramètres'!$D:$D,0)))),2))</f>
        <v>12.34</v>
      </c>
      <c r="L596" s="6" t="str">
        <f>IF($D596="","",IF($F596&lt;&gt;"",$F596,IF(ISNA(MATCH($D596,'Paramètres'!$M:$M,0)),"⚠ Type inconnu",IFERROR(INDEX('Paramètres'!$P:$P,MATCH($D596,'Paramètres'!$M:$M,0))&amp;"",""))))</f>
        <v>Débit</v>
      </c>
      <c r="M596" s="6" t="str">
        <f>IF($D596="","",IF(ISNA(MATCH($D596,'Paramètres'!$M:$M,0)),"⚠ Type inconnu",IF($L596="Crédit","",IFERROR(INDEX('Paramètres'!$O:$O,MATCH($D596,'Paramètres'!$M:$M,0))&amp;"",""))))</f>
        <v>Dépense Courante</v>
      </c>
      <c r="N596" s="6" t="str">
        <f>IF($D596="","",IFERROR(INDEX('Paramètres'!$Q:$Q,MATCH($D596,'Paramètres'!$M:$M,0))&amp;"",""))</f>
        <v>Alimentation</v>
      </c>
      <c r="O596" s="6">
        <f>IF($A596="","",IF(OR($J596&lt;&gt;"x",$A596&lt;=FinReleve),1,0))</f>
        <v>1</v>
      </c>
      <c r="P596" s="6">
        <f>IF($D596="","",IF(AND($L596="Crédit",OR(IFERROR(INDEX('Paramètres'!$O:$O,MATCH($D596,'Paramètres'!$M:$M,0))&amp;"","")&lt;&gt;"",ISNUMBER(SEARCH("remboursement",IFERROR(INDEX('Paramètres'!$N:$N,MATCH($D596,'Paramètres'!$M:$M,0))&amp;"",""))))),1,0))</f>
        <v>0</v>
      </c>
      <c r="Q596" s="6">
        <f>IF($K596="","",IF(ISNUMBER(SEARCH("transfert-interne",IFERROR(INDEX('Paramètres'!$N:$N,MATCH($D596,'Paramètres'!$M:$M,0))&amp;"",""))),0,IF($L596="Débit",$K596,IF($P596=1,-$K596,0))))</f>
        <v>12.34</v>
      </c>
      <c r="R596" s="6">
        <f>IF($K596="","",IF($L596="Crédit",$K596,-$K596))</f>
        <v>-12.34</v>
      </c>
      <c r="S596" s="6" t="str">
        <f>IF($C596="","",IFERROR(INDEX('Paramètres'!$H:$H,MATCH($C596,'Paramètres'!$D:$D,0))&amp;"",""))</f>
        <v/>
      </c>
      <c r="T596" s="6">
        <f>IF($K596="","",IF($S596="",0,IF(ISNUMBER(SEARCH("apport-exterieur",IFERROR(INDEX('Paramètres'!$N:$N,MATCH($D596,'Paramètres'!$M:$M,0))&amp;"",""))),0,IF(OR(IFERROR(INDEX('Paramètres'!$I:$I,MATCH($C596,'Paramètres'!$D:$D,0))&amp;"","")="Les deux",IFERROR(INDEX('Paramètres'!$I:$I,MATCH($C596,'Paramètres'!$D:$D,0))&amp;"","")=IF($P596=1,"Débit",$L596)),-IF($P596=1,-$K596,$K596),0))))</f>
        <v>0</v>
      </c>
      <c r="U596" s="6">
        <f>IF($K596="","",IF(ISNUMBER(SEARCH("sortie-epargne",IFERROR(INDEX('Paramètres'!$N:$N,MATCH($D596,'Paramètres'!$M:$M,0))&amp;"",""))),$K596,0))</f>
        <v>0</v>
      </c>
      <c r="V596" s="6" t="str">
        <f>IF(AND($A596&lt;&gt;"",$O596=1,$L596="Débit",N($Q596)&gt;0,$A596&gt;=Visualisation!$B$1,$A596&lt;Visualisation!$D$1),MAX($V$1:V595)+1,"")</f>
        <v/>
      </c>
    </row>
    <row r="597" spans="1:22" x14ac:dyDescent="0.25">
      <c r="A597" s="9">
        <v>45964</v>
      </c>
      <c r="B597" s="4" t="s">
        <v>90</v>
      </c>
      <c r="C597" s="4" t="s">
        <v>75</v>
      </c>
      <c r="D597" s="4" t="s">
        <v>91</v>
      </c>
      <c r="E597" s="10">
        <v>75.09</v>
      </c>
      <c r="G597" s="4" t="s">
        <v>92</v>
      </c>
      <c r="H597" s="4"/>
      <c r="I597" s="4" t="s">
        <v>79</v>
      </c>
      <c r="K597" s="11">
        <f>IF($E597="","",ROUND($E597*IF(ISNA(MATCH($C597,'Paramètres'!$D:$D,0)),1,IF(INDEX('Paramètres'!$J:$J,MATCH($C597,'Paramètres'!$D:$D,0))="",1,INDEX('Paramètres'!$J:$J,MATCH($C597,'Paramètres'!$D:$D,0)))),2))</f>
        <v>75.09</v>
      </c>
      <c r="L597" s="6" t="str">
        <f>IF($D597="","",IF($F597&lt;&gt;"",$F597,IF(ISNA(MATCH($D597,'Paramètres'!$M:$M,0)),"⚠ Type inconnu",IFERROR(INDEX('Paramètres'!$P:$P,MATCH($D597,'Paramètres'!$M:$M,0))&amp;"",""))))</f>
        <v>Débit</v>
      </c>
      <c r="M597" s="6" t="str">
        <f>IF($D597="","",IF(ISNA(MATCH($D597,'Paramètres'!$M:$M,0)),"⚠ Type inconnu",IF($L597="Crédit","",IFERROR(INDEX('Paramètres'!$O:$O,MATCH($D597,'Paramètres'!$M:$M,0))&amp;"",""))))</f>
        <v>Dépense Courante</v>
      </c>
      <c r="N597" s="6" t="str">
        <f>IF($D597="","",IFERROR(INDEX('Paramètres'!$Q:$Q,MATCH($D597,'Paramètres'!$M:$M,0))&amp;"",""))</f>
        <v>Transport</v>
      </c>
      <c r="O597" s="6">
        <f>IF($A597="","",IF(OR($J597&lt;&gt;"x",$A597&lt;=FinReleve),1,0))</f>
        <v>1</v>
      </c>
      <c r="P597" s="6">
        <f>IF($D597="","",IF(AND($L597="Crédit",OR(IFERROR(INDEX('Paramètres'!$O:$O,MATCH($D597,'Paramètres'!$M:$M,0))&amp;"","")&lt;&gt;"",ISNUMBER(SEARCH("remboursement",IFERROR(INDEX('Paramètres'!$N:$N,MATCH($D597,'Paramètres'!$M:$M,0))&amp;"",""))))),1,0))</f>
        <v>0</v>
      </c>
      <c r="Q597" s="6">
        <f>IF($K597="","",IF(ISNUMBER(SEARCH("transfert-interne",IFERROR(INDEX('Paramètres'!$N:$N,MATCH($D597,'Paramètres'!$M:$M,0))&amp;"",""))),0,IF($L597="Débit",$K597,IF($P597=1,-$K597,0))))</f>
        <v>75.09</v>
      </c>
      <c r="R597" s="6">
        <f>IF($K597="","",IF($L597="Crédit",$K597,-$K597))</f>
        <v>-75.09</v>
      </c>
      <c r="S597" s="6" t="str">
        <f>IF($C597="","",IFERROR(INDEX('Paramètres'!$H:$H,MATCH($C597,'Paramètres'!$D:$D,0))&amp;"",""))</f>
        <v/>
      </c>
      <c r="T597" s="6">
        <f>IF($K597="","",IF($S597="",0,IF(ISNUMBER(SEARCH("apport-exterieur",IFERROR(INDEX('Paramètres'!$N:$N,MATCH($D597,'Paramètres'!$M:$M,0))&amp;"",""))),0,IF(OR(IFERROR(INDEX('Paramètres'!$I:$I,MATCH($C597,'Paramètres'!$D:$D,0))&amp;"","")="Les deux",IFERROR(INDEX('Paramètres'!$I:$I,MATCH($C597,'Paramètres'!$D:$D,0))&amp;"","")=IF($P597=1,"Débit",$L597)),-IF($P597=1,-$K597,$K597),0))))</f>
        <v>0</v>
      </c>
      <c r="U597" s="6">
        <f>IF($K597="","",IF(ISNUMBER(SEARCH("sortie-epargne",IFERROR(INDEX('Paramètres'!$N:$N,MATCH($D597,'Paramètres'!$M:$M,0))&amp;"",""))),$K597,0))</f>
        <v>0</v>
      </c>
      <c r="V597" s="6" t="str">
        <f>IF(AND($A597&lt;&gt;"",$O597=1,$L597="Débit",N($Q597)&gt;0,$A597&gt;=Visualisation!$B$1,$A597&lt;Visualisation!$D$1),MAX($V$1:V596)+1,"")</f>
        <v/>
      </c>
    </row>
    <row r="598" spans="1:22" x14ac:dyDescent="0.25">
      <c r="A598" s="9">
        <v>45965</v>
      </c>
      <c r="B598" s="4" t="s">
        <v>80</v>
      </c>
      <c r="C598" s="4" t="s">
        <v>70</v>
      </c>
      <c r="D598" s="4" t="s">
        <v>81</v>
      </c>
      <c r="E598" s="10">
        <v>128.69</v>
      </c>
      <c r="G598" s="4"/>
      <c r="H598" s="4"/>
      <c r="I598" s="4"/>
      <c r="K598" s="11">
        <f>IF($E598="","",ROUND($E598*IF(ISNA(MATCH($C598,'Paramètres'!$D:$D,0)),1,IF(INDEX('Paramètres'!$J:$J,MATCH($C598,'Paramètres'!$D:$D,0))="",1,INDEX('Paramètres'!$J:$J,MATCH($C598,'Paramètres'!$D:$D,0)))),2))</f>
        <v>128.69</v>
      </c>
      <c r="L598" s="6" t="str">
        <f>IF($D598="","",IF($F598&lt;&gt;"",$F598,IF(ISNA(MATCH($D598,'Paramètres'!$M:$M,0)),"⚠ Type inconnu",IFERROR(INDEX('Paramètres'!$P:$P,MATCH($D598,'Paramètres'!$M:$M,0))&amp;"",""))))</f>
        <v>Crédit</v>
      </c>
      <c r="M598" s="6" t="str">
        <f>IF($D598="","",IF(ISNA(MATCH($D598,'Paramètres'!$M:$M,0)),"⚠ Type inconnu",IF($L598="Crédit","",IFERROR(INDEX('Paramètres'!$O:$O,MATCH($D598,'Paramètres'!$M:$M,0))&amp;"",""))))</f>
        <v/>
      </c>
      <c r="N598" s="6" t="str">
        <f>IF($D598="","",IFERROR(INDEX('Paramètres'!$Q:$Q,MATCH($D598,'Paramètres'!$M:$M,0))&amp;"",""))</f>
        <v>Comptes Bancaires</v>
      </c>
      <c r="O598" s="6">
        <f>IF($A598="","",IF(OR($J598&lt;&gt;"x",$A598&lt;=FinReleve),1,0))</f>
        <v>1</v>
      </c>
      <c r="P598" s="6">
        <f>IF($D598="","",IF(AND($L598="Crédit",OR(IFERROR(INDEX('Paramètres'!$O:$O,MATCH($D598,'Paramètres'!$M:$M,0))&amp;"","")&lt;&gt;"",ISNUMBER(SEARCH("remboursement",IFERROR(INDEX('Paramètres'!$N:$N,MATCH($D598,'Paramètres'!$M:$M,0))&amp;"",""))))),1,0))</f>
        <v>0</v>
      </c>
      <c r="Q598" s="6">
        <f>IF($K598="","",IF(ISNUMBER(SEARCH("transfert-interne",IFERROR(INDEX('Paramètres'!$N:$N,MATCH($D598,'Paramètres'!$M:$M,0))&amp;"",""))),0,IF($L598="Débit",$K598,IF($P598=1,-$K598,0))))</f>
        <v>0</v>
      </c>
      <c r="R598" s="6">
        <f>IF($K598="","",IF($L598="Crédit",$K598,-$K598))</f>
        <v>128.69</v>
      </c>
      <c r="S598" s="6" t="str">
        <f>IF($C598="","",IFERROR(INDEX('Paramètres'!$H:$H,MATCH($C598,'Paramètres'!$D:$D,0))&amp;"",""))</f>
        <v/>
      </c>
      <c r="T598" s="6">
        <f>IF($K598="","",IF($S598="",0,IF(ISNUMBER(SEARCH("apport-exterieur",IFERROR(INDEX('Paramètres'!$N:$N,MATCH($D598,'Paramètres'!$M:$M,0))&amp;"",""))),0,IF(OR(IFERROR(INDEX('Paramètres'!$I:$I,MATCH($C598,'Paramètres'!$D:$D,0))&amp;"","")="Les deux",IFERROR(INDEX('Paramètres'!$I:$I,MATCH($C598,'Paramètres'!$D:$D,0))&amp;"","")=IF($P598=1,"Débit",$L598)),-IF($P598=1,-$K598,$K598),0))))</f>
        <v>0</v>
      </c>
      <c r="U598" s="6">
        <f>IF($K598="","",IF(ISNUMBER(SEARCH("sortie-epargne",IFERROR(INDEX('Paramètres'!$N:$N,MATCH($D598,'Paramètres'!$M:$M,0))&amp;"",""))),$K598,0))</f>
        <v>0</v>
      </c>
      <c r="V598" s="6" t="str">
        <f>IF(AND($A598&lt;&gt;"",$O598=1,$L598="Débit",N($Q598)&gt;0,$A598&gt;=Visualisation!$B$1,$A598&lt;Visualisation!$D$1),MAX($V$1:V597)+1,"")</f>
        <v/>
      </c>
    </row>
    <row r="599" spans="1:22" x14ac:dyDescent="0.25">
      <c r="A599" s="9">
        <v>45966</v>
      </c>
      <c r="B599" s="4" t="s">
        <v>82</v>
      </c>
      <c r="C599" s="4" t="s">
        <v>65</v>
      </c>
      <c r="D599" s="4" t="s">
        <v>83</v>
      </c>
      <c r="E599" s="10">
        <v>659.2</v>
      </c>
      <c r="G599" s="4" t="s">
        <v>84</v>
      </c>
      <c r="H599" s="4"/>
      <c r="I599" s="4"/>
      <c r="K599" s="11">
        <f>IF($E599="","",ROUND($E599*IF(ISNA(MATCH($C599,'Paramètres'!$D:$D,0)),1,IF(INDEX('Paramètres'!$J:$J,MATCH($C599,'Paramètres'!$D:$D,0))="",1,INDEX('Paramètres'!$J:$J,MATCH($C599,'Paramètres'!$D:$D,0)))),2))</f>
        <v>659.2</v>
      </c>
      <c r="L599" s="6" t="str">
        <f>IF($D599="","",IF($F599&lt;&gt;"",$F599,IF(ISNA(MATCH($D599,'Paramètres'!$M:$M,0)),"⚠ Type inconnu",IFERROR(INDEX('Paramètres'!$P:$P,MATCH($D599,'Paramètres'!$M:$M,0))&amp;"",""))))</f>
        <v>Débit</v>
      </c>
      <c r="M599" s="6" t="str">
        <f>IF($D599="","",IF(ISNA(MATCH($D599,'Paramètres'!$M:$M,0)),"⚠ Type inconnu",IF($L599="Crédit","",IFERROR(INDEX('Paramètres'!$O:$O,MATCH($D599,'Paramètres'!$M:$M,0))&amp;"",""))))</f>
        <v/>
      </c>
      <c r="N599" s="6" t="str">
        <f>IF($D599="","",IFERROR(INDEX('Paramètres'!$Q:$Q,MATCH($D599,'Paramètres'!$M:$M,0))&amp;"",""))</f>
        <v>Immobilier</v>
      </c>
      <c r="O599" s="6">
        <f>IF($A599="","",IF(OR($J599&lt;&gt;"x",$A599&lt;=FinReleve),1,0))</f>
        <v>1</v>
      </c>
      <c r="P599" s="6">
        <f>IF($D599="","",IF(AND($L599="Crédit",OR(IFERROR(INDEX('Paramètres'!$O:$O,MATCH($D599,'Paramètres'!$M:$M,0))&amp;"","")&lt;&gt;"",ISNUMBER(SEARCH("remboursement",IFERROR(INDEX('Paramètres'!$N:$N,MATCH($D599,'Paramètres'!$M:$M,0))&amp;"",""))))),1,0))</f>
        <v>0</v>
      </c>
      <c r="Q599" s="6">
        <f>IF($K599="","",IF(ISNUMBER(SEARCH("transfert-interne",IFERROR(INDEX('Paramètres'!$N:$N,MATCH($D599,'Paramètres'!$M:$M,0))&amp;"",""))),0,IF($L599="Débit",$K599,IF($P599=1,-$K599,0))))</f>
        <v>659.2</v>
      </c>
      <c r="R599" s="6">
        <f>IF($K599="","",IF($L599="Crédit",$K599,-$K599))</f>
        <v>-659.2</v>
      </c>
      <c r="S599" s="6" t="str">
        <f>IF($C599="","",IFERROR(INDEX('Paramètres'!$H:$H,MATCH($C599,'Paramètres'!$D:$D,0))&amp;"",""))</f>
        <v>Banque A - Courant</v>
      </c>
      <c r="T599" s="6">
        <f>IF($K599="","",IF($S599="",0,IF(ISNUMBER(SEARCH("apport-exterieur",IFERROR(INDEX('Paramètres'!$N:$N,MATCH($D599,'Paramètres'!$M:$M,0))&amp;"",""))),0,IF(OR(IFERROR(INDEX('Paramètres'!$I:$I,MATCH($C599,'Paramètres'!$D:$D,0))&amp;"","")="Les deux",IFERROR(INDEX('Paramètres'!$I:$I,MATCH($C599,'Paramètres'!$D:$D,0))&amp;"","")=IF($P599=1,"Débit",$L599)),-IF($P599=1,-$K599,$K599),0))))</f>
        <v>0</v>
      </c>
      <c r="U599" s="6">
        <f>IF($K599="","",IF(ISNUMBER(SEARCH("sortie-epargne",IFERROR(INDEX('Paramètres'!$N:$N,MATCH($D599,'Paramètres'!$M:$M,0))&amp;"",""))),$K599,0))</f>
        <v>0</v>
      </c>
      <c r="V599" s="6" t="str">
        <f>IF(AND($A599&lt;&gt;"",$O599=1,$L599="Débit",N($Q599)&gt;0,$A599&gt;=Visualisation!$B$1,$A599&lt;Visualisation!$D$1),MAX($V$1:V598)+1,"")</f>
        <v/>
      </c>
    </row>
    <row r="600" spans="1:22" x14ac:dyDescent="0.25">
      <c r="A600" s="9">
        <v>45966</v>
      </c>
      <c r="B600" s="4" t="s">
        <v>85</v>
      </c>
      <c r="C600" s="4" t="s">
        <v>65</v>
      </c>
      <c r="D600" s="4" t="s">
        <v>86</v>
      </c>
      <c r="E600" s="10">
        <v>234.44</v>
      </c>
      <c r="G600" s="4" t="s">
        <v>87</v>
      </c>
      <c r="H600" s="4"/>
      <c r="I600" s="4"/>
      <c r="K600" s="11">
        <f>IF($E600="","",ROUND($E600*IF(ISNA(MATCH($C600,'Paramètres'!$D:$D,0)),1,IF(INDEX('Paramètres'!$J:$J,MATCH($C600,'Paramètres'!$D:$D,0))="",1,INDEX('Paramètres'!$J:$J,MATCH($C600,'Paramètres'!$D:$D,0)))),2))</f>
        <v>234.44</v>
      </c>
      <c r="L600" s="6" t="str">
        <f>IF($D600="","",IF($F600&lt;&gt;"",$F600,IF(ISNA(MATCH($D600,'Paramètres'!$M:$M,0)),"⚠ Type inconnu",IFERROR(INDEX('Paramètres'!$P:$P,MATCH($D600,'Paramètres'!$M:$M,0))&amp;"",""))))</f>
        <v>Débit</v>
      </c>
      <c r="M600" s="6" t="str">
        <f>IF($D600="","",IF(ISNA(MATCH($D600,'Paramètres'!$M:$M,0)),"⚠ Type inconnu",IF($L600="Crédit","",IFERROR(INDEX('Paramètres'!$O:$O,MATCH($D600,'Paramètres'!$M:$M,0))&amp;"",""))))</f>
        <v>Dépense Fixe</v>
      </c>
      <c r="N600" s="6" t="str">
        <f>IF($D600="","",IFERROR(INDEX('Paramètres'!$Q:$Q,MATCH($D600,'Paramètres'!$M:$M,0))&amp;"",""))</f>
        <v>Immobilier</v>
      </c>
      <c r="O600" s="6">
        <f>IF($A600="","",IF(OR($J600&lt;&gt;"x",$A600&lt;=FinReleve),1,0))</f>
        <v>1</v>
      </c>
      <c r="P600" s="6">
        <f>IF($D600="","",IF(AND($L600="Crédit",OR(IFERROR(INDEX('Paramètres'!$O:$O,MATCH($D600,'Paramètres'!$M:$M,0))&amp;"","")&lt;&gt;"",ISNUMBER(SEARCH("remboursement",IFERROR(INDEX('Paramètres'!$N:$N,MATCH($D600,'Paramètres'!$M:$M,0))&amp;"",""))))),1,0))</f>
        <v>0</v>
      </c>
      <c r="Q600" s="6">
        <f>IF($K600="","",IF(ISNUMBER(SEARCH("transfert-interne",IFERROR(INDEX('Paramètres'!$N:$N,MATCH($D600,'Paramètres'!$M:$M,0))&amp;"",""))),0,IF($L600="Débit",$K600,IF($P600=1,-$K600,0))))</f>
        <v>234.44</v>
      </c>
      <c r="R600" s="6">
        <f>IF($K600="","",IF($L600="Crédit",$K600,-$K600))</f>
        <v>-234.44</v>
      </c>
      <c r="S600" s="6" t="str">
        <f>IF($C600="","",IFERROR(INDEX('Paramètres'!$H:$H,MATCH($C600,'Paramètres'!$D:$D,0))&amp;"",""))</f>
        <v>Banque A - Courant</v>
      </c>
      <c r="T600" s="6">
        <f>IF($K600="","",IF($S600="",0,IF(ISNUMBER(SEARCH("apport-exterieur",IFERROR(INDEX('Paramètres'!$N:$N,MATCH($D600,'Paramètres'!$M:$M,0))&amp;"",""))),0,IF(OR(IFERROR(INDEX('Paramètres'!$I:$I,MATCH($C600,'Paramètres'!$D:$D,0))&amp;"","")="Les deux",IFERROR(INDEX('Paramètres'!$I:$I,MATCH($C600,'Paramètres'!$D:$D,0))&amp;"","")=IF($P600=1,"Débit",$L600)),-IF($P600=1,-$K600,$K600),0))))</f>
        <v>0</v>
      </c>
      <c r="U600" s="6">
        <f>IF($K600="","",IF(ISNUMBER(SEARCH("sortie-epargne",IFERROR(INDEX('Paramètres'!$N:$N,MATCH($D600,'Paramètres'!$M:$M,0))&amp;"",""))),$K600,0))</f>
        <v>0</v>
      </c>
      <c r="V600" s="6" t="str">
        <f>IF(AND($A600&lt;&gt;"",$O600=1,$L600="Débit",N($Q600)&gt;0,$A600&gt;=Visualisation!$B$1,$A600&lt;Visualisation!$D$1),MAX($V$1:V599)+1,"")</f>
        <v/>
      </c>
    </row>
    <row r="601" spans="1:22" x14ac:dyDescent="0.25">
      <c r="A601" s="9">
        <v>45966</v>
      </c>
      <c r="B601" s="4" t="s">
        <v>88</v>
      </c>
      <c r="C601" s="4" t="s">
        <v>65</v>
      </c>
      <c r="D601" s="4" t="s">
        <v>88</v>
      </c>
      <c r="E601" s="10">
        <v>31.2</v>
      </c>
      <c r="G601" s="4"/>
      <c r="H601" s="4"/>
      <c r="I601" s="4"/>
      <c r="K601" s="11">
        <f>IF($E601="","",ROUND($E601*IF(ISNA(MATCH($C601,'Paramètres'!$D:$D,0)),1,IF(INDEX('Paramètres'!$J:$J,MATCH($C601,'Paramètres'!$D:$D,0))="",1,INDEX('Paramètres'!$J:$J,MATCH($C601,'Paramètres'!$D:$D,0)))),2))</f>
        <v>31.2</v>
      </c>
      <c r="L601" s="6" t="str">
        <f>IF($D601="","",IF($F601&lt;&gt;"",$F601,IF(ISNA(MATCH($D601,'Paramètres'!$M:$M,0)),"⚠ Type inconnu",IFERROR(INDEX('Paramètres'!$P:$P,MATCH($D601,'Paramètres'!$M:$M,0))&amp;"",""))))</f>
        <v>Débit</v>
      </c>
      <c r="M601" s="6" t="str">
        <f>IF($D601="","",IF(ISNA(MATCH($D601,'Paramètres'!$M:$M,0)),"⚠ Type inconnu",IF($L601="Crédit","",IFERROR(INDEX('Paramètres'!$O:$O,MATCH($D601,'Paramètres'!$M:$M,0))&amp;"",""))))</f>
        <v>Dépense Fixe</v>
      </c>
      <c r="N601" s="6" t="str">
        <f>IF($D601="","",IFERROR(INDEX('Paramètres'!$Q:$Q,MATCH($D601,'Paramètres'!$M:$M,0))&amp;"",""))</f>
        <v>Assurances</v>
      </c>
      <c r="O601" s="6">
        <f>IF($A601="","",IF(OR($J601&lt;&gt;"x",$A601&lt;=FinReleve),1,0))</f>
        <v>1</v>
      </c>
      <c r="P601" s="6">
        <f>IF($D601="","",IF(AND($L601="Crédit",OR(IFERROR(INDEX('Paramètres'!$O:$O,MATCH($D601,'Paramètres'!$M:$M,0))&amp;"","")&lt;&gt;"",ISNUMBER(SEARCH("remboursement",IFERROR(INDEX('Paramètres'!$N:$N,MATCH($D601,'Paramètres'!$M:$M,0))&amp;"",""))))),1,0))</f>
        <v>0</v>
      </c>
      <c r="Q601" s="6">
        <f>IF($K601="","",IF(ISNUMBER(SEARCH("transfert-interne",IFERROR(INDEX('Paramètres'!$N:$N,MATCH($D601,'Paramètres'!$M:$M,0))&amp;"",""))),0,IF($L601="Débit",$K601,IF($P601=1,-$K601,0))))</f>
        <v>31.2</v>
      </c>
      <c r="R601" s="6">
        <f>IF($K601="","",IF($L601="Crédit",$K601,-$K601))</f>
        <v>-31.2</v>
      </c>
      <c r="S601" s="6" t="str">
        <f>IF($C601="","",IFERROR(INDEX('Paramètres'!$H:$H,MATCH($C601,'Paramètres'!$D:$D,0))&amp;"",""))</f>
        <v>Banque A - Courant</v>
      </c>
      <c r="T601" s="6">
        <f>IF($K601="","",IF($S601="",0,IF(ISNUMBER(SEARCH("apport-exterieur",IFERROR(INDEX('Paramètres'!$N:$N,MATCH($D601,'Paramètres'!$M:$M,0))&amp;"",""))),0,IF(OR(IFERROR(INDEX('Paramètres'!$I:$I,MATCH($C601,'Paramètres'!$D:$D,0))&amp;"","")="Les deux",IFERROR(INDEX('Paramètres'!$I:$I,MATCH($C601,'Paramètres'!$D:$D,0))&amp;"","")=IF($P601=1,"Débit",$L601)),-IF($P601=1,-$K601,$K601),0))))</f>
        <v>0</v>
      </c>
      <c r="U601" s="6">
        <f>IF($K601="","",IF(ISNUMBER(SEARCH("sortie-epargne",IFERROR(INDEX('Paramètres'!$N:$N,MATCH($D601,'Paramètres'!$M:$M,0))&amp;"",""))),$K601,0))</f>
        <v>0</v>
      </c>
      <c r="V601" s="6" t="str">
        <f>IF(AND($A601&lt;&gt;"",$O601=1,$L601="Débit",N($Q601)&gt;0,$A601&gt;=Visualisation!$B$1,$A601&lt;Visualisation!$D$1),MAX($V$1:V600)+1,"")</f>
        <v/>
      </c>
    </row>
    <row r="602" spans="1:22" x14ac:dyDescent="0.25">
      <c r="A602" s="9">
        <v>45966</v>
      </c>
      <c r="B602" s="4" t="s">
        <v>76</v>
      </c>
      <c r="C602" s="4" t="s">
        <v>67</v>
      </c>
      <c r="D602" s="4" t="s">
        <v>77</v>
      </c>
      <c r="E602" s="10">
        <v>163.9</v>
      </c>
      <c r="G602" s="4" t="s">
        <v>95</v>
      </c>
      <c r="H602" s="4"/>
      <c r="I602" s="4" t="s">
        <v>73</v>
      </c>
      <c r="K602" s="11">
        <f>IF($E602="","",ROUND($E602*IF(ISNA(MATCH($C602,'Paramètres'!$D:$D,0)),1,IF(INDEX('Paramètres'!$J:$J,MATCH($C602,'Paramètres'!$D:$D,0))="",1,INDEX('Paramètres'!$J:$J,MATCH($C602,'Paramètres'!$D:$D,0)))),2))</f>
        <v>81.95</v>
      </c>
      <c r="L602" s="6" t="str">
        <f>IF($D602="","",IF($F602&lt;&gt;"",$F602,IF(ISNA(MATCH($D602,'Paramètres'!$M:$M,0)),"⚠ Type inconnu",IFERROR(INDEX('Paramètres'!$P:$P,MATCH($D602,'Paramètres'!$M:$M,0))&amp;"",""))))</f>
        <v>Débit</v>
      </c>
      <c r="M602" s="6" t="str">
        <f>IF($D602="","",IF(ISNA(MATCH($D602,'Paramètres'!$M:$M,0)),"⚠ Type inconnu",IF($L602="Crédit","",IFERROR(INDEX('Paramètres'!$O:$O,MATCH($D602,'Paramètres'!$M:$M,0))&amp;"",""))))</f>
        <v>Dépense Courante</v>
      </c>
      <c r="N602" s="6" t="str">
        <f>IF($D602="","",IFERROR(INDEX('Paramètres'!$Q:$Q,MATCH($D602,'Paramètres'!$M:$M,0))&amp;"",""))</f>
        <v>Alimentation</v>
      </c>
      <c r="O602" s="6">
        <f>IF($A602="","",IF(OR($J602&lt;&gt;"x",$A602&lt;=FinReleve),1,0))</f>
        <v>1</v>
      </c>
      <c r="P602" s="6">
        <f>IF($D602="","",IF(AND($L602="Crédit",OR(IFERROR(INDEX('Paramètres'!$O:$O,MATCH($D602,'Paramètres'!$M:$M,0))&amp;"","")&lt;&gt;"",ISNUMBER(SEARCH("remboursement",IFERROR(INDEX('Paramètres'!$N:$N,MATCH($D602,'Paramètres'!$M:$M,0))&amp;"",""))))),1,0))</f>
        <v>0</v>
      </c>
      <c r="Q602" s="6">
        <f>IF($K602="","",IF(ISNUMBER(SEARCH("transfert-interne",IFERROR(INDEX('Paramètres'!$N:$N,MATCH($D602,'Paramètres'!$M:$M,0))&amp;"",""))),0,IF($L602="Débit",$K602,IF($P602=1,-$K602,0))))</f>
        <v>81.95</v>
      </c>
      <c r="R602" s="6">
        <f>IF($K602="","",IF($L602="Crédit",$K602,-$K602))</f>
        <v>-81.95</v>
      </c>
      <c r="S602" s="6" t="str">
        <f>IF($C602="","",IFERROR(INDEX('Paramètres'!$H:$H,MATCH($C602,'Paramètres'!$D:$D,0))&amp;"",""))</f>
        <v>Banque A - Courant</v>
      </c>
      <c r="T602" s="6">
        <f>IF($K602="","",IF($S602="",0,IF(ISNUMBER(SEARCH("apport-exterieur",IFERROR(INDEX('Paramètres'!$N:$N,MATCH($D602,'Paramètres'!$M:$M,0))&amp;"",""))),0,IF(OR(IFERROR(INDEX('Paramètres'!$I:$I,MATCH($C602,'Paramètres'!$D:$D,0))&amp;"","")="Les deux",IFERROR(INDEX('Paramètres'!$I:$I,MATCH($C602,'Paramètres'!$D:$D,0))&amp;"","")=IF($P602=1,"Débit",$L602)),-IF($P602=1,-$K602,$K602),0))))</f>
        <v>0</v>
      </c>
      <c r="U602" s="6">
        <f>IF($K602="","",IF(ISNUMBER(SEARCH("sortie-epargne",IFERROR(INDEX('Paramètres'!$N:$N,MATCH($D602,'Paramètres'!$M:$M,0))&amp;"",""))),$K602,0))</f>
        <v>0</v>
      </c>
      <c r="V602" s="6" t="str">
        <f>IF(AND($A602&lt;&gt;"",$O602=1,$L602="Débit",N($Q602)&gt;0,$A602&gt;=Visualisation!$B$1,$A602&lt;Visualisation!$D$1),MAX($V$1:V601)+1,"")</f>
        <v/>
      </c>
    </row>
    <row r="603" spans="1:22" x14ac:dyDescent="0.25">
      <c r="A603" s="9">
        <v>45967</v>
      </c>
      <c r="B603" s="4" t="s">
        <v>89</v>
      </c>
      <c r="C603" s="4" t="s">
        <v>75</v>
      </c>
      <c r="D603" s="4" t="s">
        <v>89</v>
      </c>
      <c r="E603" s="10">
        <v>49.9</v>
      </c>
      <c r="G603" s="4"/>
      <c r="H603" s="4"/>
      <c r="I603" s="4"/>
      <c r="K603" s="11">
        <f>IF($E603="","",ROUND($E603*IF(ISNA(MATCH($C603,'Paramètres'!$D:$D,0)),1,IF(INDEX('Paramètres'!$J:$J,MATCH($C603,'Paramètres'!$D:$D,0))="",1,INDEX('Paramètres'!$J:$J,MATCH($C603,'Paramètres'!$D:$D,0)))),2))</f>
        <v>49.9</v>
      </c>
      <c r="L603" s="6" t="str">
        <f>IF($D603="","",IF($F603&lt;&gt;"",$F603,IF(ISNA(MATCH($D603,'Paramètres'!$M:$M,0)),"⚠ Type inconnu",IFERROR(INDEX('Paramètres'!$P:$P,MATCH($D603,'Paramètres'!$M:$M,0))&amp;"",""))))</f>
        <v>Débit</v>
      </c>
      <c r="M603" s="6" t="str">
        <f>IF($D603="","",IF(ISNA(MATCH($D603,'Paramètres'!$M:$M,0)),"⚠ Type inconnu",IF($L603="Crédit","",IFERROR(INDEX('Paramètres'!$O:$O,MATCH($D603,'Paramètres'!$M:$M,0))&amp;"",""))))</f>
        <v>Dépense Fixe</v>
      </c>
      <c r="N603" s="6" t="str">
        <f>IF($D603="","",IFERROR(INDEX('Paramètres'!$Q:$Q,MATCH($D603,'Paramètres'!$M:$M,0))&amp;"",""))</f>
        <v>Autre</v>
      </c>
      <c r="O603" s="6">
        <f>IF($A603="","",IF(OR($J603&lt;&gt;"x",$A603&lt;=FinReleve),1,0))</f>
        <v>1</v>
      </c>
      <c r="P603" s="6">
        <f>IF($D603="","",IF(AND($L603="Crédit",OR(IFERROR(INDEX('Paramètres'!$O:$O,MATCH($D603,'Paramètres'!$M:$M,0))&amp;"","")&lt;&gt;"",ISNUMBER(SEARCH("remboursement",IFERROR(INDEX('Paramètres'!$N:$N,MATCH($D603,'Paramètres'!$M:$M,0))&amp;"",""))))),1,0))</f>
        <v>0</v>
      </c>
      <c r="Q603" s="6">
        <f>IF($K603="","",IF(ISNUMBER(SEARCH("transfert-interne",IFERROR(INDEX('Paramètres'!$N:$N,MATCH($D603,'Paramètres'!$M:$M,0))&amp;"",""))),0,IF($L603="Débit",$K603,IF($P603=1,-$K603,0))))</f>
        <v>49.9</v>
      </c>
      <c r="R603" s="6">
        <f>IF($K603="","",IF($L603="Crédit",$K603,-$K603))</f>
        <v>-49.9</v>
      </c>
      <c r="S603" s="6" t="str">
        <f>IF($C603="","",IFERROR(INDEX('Paramètres'!$H:$H,MATCH($C603,'Paramètres'!$D:$D,0))&amp;"",""))</f>
        <v/>
      </c>
      <c r="T603" s="6">
        <f>IF($K603="","",IF($S603="",0,IF(ISNUMBER(SEARCH("apport-exterieur",IFERROR(INDEX('Paramètres'!$N:$N,MATCH($D603,'Paramètres'!$M:$M,0))&amp;"",""))),0,IF(OR(IFERROR(INDEX('Paramètres'!$I:$I,MATCH($C603,'Paramètres'!$D:$D,0))&amp;"","")="Les deux",IFERROR(INDEX('Paramètres'!$I:$I,MATCH($C603,'Paramètres'!$D:$D,0))&amp;"","")=IF($P603=1,"Débit",$L603)),-IF($P603=1,-$K603,$K603),0))))</f>
        <v>0</v>
      </c>
      <c r="U603" s="6">
        <f>IF($K603="","",IF(ISNUMBER(SEARCH("sortie-epargne",IFERROR(INDEX('Paramètres'!$N:$N,MATCH($D603,'Paramètres'!$M:$M,0))&amp;"",""))),$K603,0))</f>
        <v>0</v>
      </c>
      <c r="V603" s="6" t="str">
        <f>IF(AND($A603&lt;&gt;"",$O603=1,$L603="Débit",N($Q603)&gt;0,$A603&gt;=Visualisation!$B$1,$A603&lt;Visualisation!$D$1),MAX($V$1:V602)+1,"")</f>
        <v/>
      </c>
    </row>
    <row r="604" spans="1:22" x14ac:dyDescent="0.25">
      <c r="A604" s="9">
        <v>45967</v>
      </c>
      <c r="B604" s="4" t="s">
        <v>69</v>
      </c>
      <c r="C604" s="4" t="s">
        <v>70</v>
      </c>
      <c r="D604" s="4" t="s">
        <v>71</v>
      </c>
      <c r="E604" s="10">
        <v>11.9</v>
      </c>
      <c r="G604" s="4" t="s">
        <v>72</v>
      </c>
      <c r="H604" s="4"/>
      <c r="I604" s="4"/>
      <c r="K604" s="11">
        <f>IF($E604="","",ROUND($E604*IF(ISNA(MATCH($C604,'Paramètres'!$D:$D,0)),1,IF(INDEX('Paramètres'!$J:$J,MATCH($C604,'Paramètres'!$D:$D,0))="",1,INDEX('Paramètres'!$J:$J,MATCH($C604,'Paramètres'!$D:$D,0)))),2))</f>
        <v>11.9</v>
      </c>
      <c r="L604" s="6" t="str">
        <f>IF($D604="","",IF($F604&lt;&gt;"",$F604,IF(ISNA(MATCH($D604,'Paramètres'!$M:$M,0)),"⚠ Type inconnu",IFERROR(INDEX('Paramètres'!$P:$P,MATCH($D604,'Paramètres'!$M:$M,0))&amp;"",""))))</f>
        <v>Débit</v>
      </c>
      <c r="M604" s="6" t="str">
        <f>IF($D604="","",IF(ISNA(MATCH($D604,'Paramètres'!$M:$M,0)),"⚠ Type inconnu",IF($L604="Crédit","",IFERROR(INDEX('Paramètres'!$O:$O,MATCH($D604,'Paramètres'!$M:$M,0))&amp;"",""))))</f>
        <v>Dépense Courante</v>
      </c>
      <c r="N604" s="6" t="str">
        <f>IF($D604="","",IFERROR(INDEX('Paramètres'!$Q:$Q,MATCH($D604,'Paramètres'!$M:$M,0))&amp;"",""))</f>
        <v>Alimentation</v>
      </c>
      <c r="O604" s="6">
        <f>IF($A604="","",IF(OR($J604&lt;&gt;"x",$A604&lt;=FinReleve),1,0))</f>
        <v>1</v>
      </c>
      <c r="P604" s="6">
        <f>IF($D604="","",IF(AND($L604="Crédit",OR(IFERROR(INDEX('Paramètres'!$O:$O,MATCH($D604,'Paramètres'!$M:$M,0))&amp;"","")&lt;&gt;"",ISNUMBER(SEARCH("remboursement",IFERROR(INDEX('Paramètres'!$N:$N,MATCH($D604,'Paramètres'!$M:$M,0))&amp;"",""))))),1,0))</f>
        <v>0</v>
      </c>
      <c r="Q604" s="6">
        <f>IF($K604="","",IF(ISNUMBER(SEARCH("transfert-interne",IFERROR(INDEX('Paramètres'!$N:$N,MATCH($D604,'Paramètres'!$M:$M,0))&amp;"",""))),0,IF($L604="Débit",$K604,IF($P604=1,-$K604,0))))</f>
        <v>11.9</v>
      </c>
      <c r="R604" s="6">
        <f>IF($K604="","",IF($L604="Crédit",$K604,-$K604))</f>
        <v>-11.9</v>
      </c>
      <c r="S604" s="6" t="str">
        <f>IF($C604="","",IFERROR(INDEX('Paramètres'!$H:$H,MATCH($C604,'Paramètres'!$D:$D,0))&amp;"",""))</f>
        <v/>
      </c>
      <c r="T604" s="6">
        <f>IF($K604="","",IF($S604="",0,IF(ISNUMBER(SEARCH("apport-exterieur",IFERROR(INDEX('Paramètres'!$N:$N,MATCH($D604,'Paramètres'!$M:$M,0))&amp;"",""))),0,IF(OR(IFERROR(INDEX('Paramètres'!$I:$I,MATCH($C604,'Paramètres'!$D:$D,0))&amp;"","")="Les deux",IFERROR(INDEX('Paramètres'!$I:$I,MATCH($C604,'Paramètres'!$D:$D,0))&amp;"","")=IF($P604=1,"Débit",$L604)),-IF($P604=1,-$K604,$K604),0))))</f>
        <v>0</v>
      </c>
      <c r="U604" s="6">
        <f>IF($K604="","",IF(ISNUMBER(SEARCH("sortie-epargne",IFERROR(INDEX('Paramètres'!$N:$N,MATCH($D604,'Paramètres'!$M:$M,0))&amp;"",""))),$K604,0))</f>
        <v>0</v>
      </c>
      <c r="V604" s="6" t="str">
        <f>IF(AND($A604&lt;&gt;"",$O604=1,$L604="Débit",N($Q604)&gt;0,$A604&gt;=Visualisation!$B$1,$A604&lt;Visualisation!$D$1),MAX($V$1:V603)+1,"")</f>
        <v/>
      </c>
    </row>
    <row r="605" spans="1:22" x14ac:dyDescent="0.25">
      <c r="A605" s="9">
        <v>45967</v>
      </c>
      <c r="B605" s="4" t="s">
        <v>129</v>
      </c>
      <c r="C605" s="4" t="s">
        <v>126</v>
      </c>
      <c r="D605" s="4" t="s">
        <v>130</v>
      </c>
      <c r="E605" s="10">
        <v>117.84</v>
      </c>
      <c r="G605" s="4"/>
      <c r="H605" s="4"/>
      <c r="I605" s="4"/>
      <c r="K605" s="11">
        <f>IF($E605="","",ROUND($E605*IF(ISNA(MATCH($C605,'Paramètres'!$D:$D,0)),1,IF(INDEX('Paramètres'!$J:$J,MATCH($C605,'Paramètres'!$D:$D,0))="",1,INDEX('Paramètres'!$J:$J,MATCH($C605,'Paramètres'!$D:$D,0)))),2))</f>
        <v>58.92</v>
      </c>
      <c r="L605" s="6" t="str">
        <f>IF($D605="","",IF($F605&lt;&gt;"",$F605,IF(ISNA(MATCH($D605,'Paramètres'!$M:$M,0)),"⚠ Type inconnu",IFERROR(INDEX('Paramètres'!$P:$P,MATCH($D605,'Paramètres'!$M:$M,0))&amp;"",""))))</f>
        <v>Débit</v>
      </c>
      <c r="M605" s="6" t="str">
        <f>IF($D605="","",IF(ISNA(MATCH($D605,'Paramètres'!$M:$M,0)),"⚠ Type inconnu",IF($L605="Crédit","",IFERROR(INDEX('Paramètres'!$O:$O,MATCH($D605,'Paramètres'!$M:$M,0))&amp;"",""))))</f>
        <v/>
      </c>
      <c r="N605" s="6" t="str">
        <f>IF($D605="","",IFERROR(INDEX('Paramètres'!$Q:$Q,MATCH($D605,'Paramètres'!$M:$M,0))&amp;"",""))</f>
        <v>Comptes Bancaires</v>
      </c>
      <c r="O605" s="6">
        <f>IF($A605="","",IF(OR($J605&lt;&gt;"x",$A605&lt;=FinReleve),1,0))</f>
        <v>1</v>
      </c>
      <c r="P605" s="6">
        <f>IF($D605="","",IF(AND($L605="Crédit",OR(IFERROR(INDEX('Paramètres'!$O:$O,MATCH($D605,'Paramètres'!$M:$M,0))&amp;"","")&lt;&gt;"",ISNUMBER(SEARCH("remboursement",IFERROR(INDEX('Paramètres'!$N:$N,MATCH($D605,'Paramètres'!$M:$M,0))&amp;"",""))))),1,0))</f>
        <v>0</v>
      </c>
      <c r="Q605" s="6">
        <f>IF($K605="","",IF(ISNUMBER(SEARCH("transfert-interne",IFERROR(INDEX('Paramètres'!$N:$N,MATCH($D605,'Paramètres'!$M:$M,0))&amp;"",""))),0,IF($L605="Débit",$K605,IF($P605=1,-$K605,0))))</f>
        <v>58.92</v>
      </c>
      <c r="R605" s="6">
        <f>IF($K605="","",IF($L605="Crédit",$K605,-$K605))</f>
        <v>-58.92</v>
      </c>
      <c r="S605" s="6" t="str">
        <f>IF($C605="","",IFERROR(INDEX('Paramètres'!$H:$H,MATCH($C605,'Paramètres'!$D:$D,0))&amp;"",""))</f>
        <v>Banque A - Courant</v>
      </c>
      <c r="T605" s="6">
        <f>IF($K605="","",IF($S605="",0,IF(ISNUMBER(SEARCH("apport-exterieur",IFERROR(INDEX('Paramètres'!$N:$N,MATCH($D605,'Paramètres'!$M:$M,0))&amp;"",""))),0,IF(OR(IFERROR(INDEX('Paramètres'!$I:$I,MATCH($C605,'Paramètres'!$D:$D,0))&amp;"","")="Les deux",IFERROR(INDEX('Paramètres'!$I:$I,MATCH($C605,'Paramètres'!$D:$D,0))&amp;"","")=IF($P605=1,"Débit",$L605)),-IF($P605=1,-$K605,$K605),0))))</f>
        <v>-58.92</v>
      </c>
      <c r="U605" s="6">
        <f>IF($K605="","",IF(ISNUMBER(SEARCH("sortie-epargne",IFERROR(INDEX('Paramètres'!$N:$N,MATCH($D605,'Paramètres'!$M:$M,0))&amp;"",""))),$K605,0))</f>
        <v>0</v>
      </c>
      <c r="V605" s="6" t="str">
        <f>IF(AND($A605&lt;&gt;"",$O605=1,$L605="Débit",N($Q605)&gt;0,$A605&gt;=Visualisation!$B$1,$A605&lt;Visualisation!$D$1),MAX($V$1:V604)+1,"")</f>
        <v/>
      </c>
    </row>
    <row r="606" spans="1:22" x14ac:dyDescent="0.25">
      <c r="A606" s="9">
        <v>45969</v>
      </c>
      <c r="B606" s="4" t="s">
        <v>94</v>
      </c>
      <c r="C606" s="4" t="s">
        <v>65</v>
      </c>
      <c r="D606" s="4" t="s">
        <v>94</v>
      </c>
      <c r="E606" s="10">
        <v>168</v>
      </c>
      <c r="G606" s="4"/>
      <c r="H606" s="4"/>
      <c r="I606" s="4"/>
      <c r="K606" s="11">
        <f>IF($E606="","",ROUND($E606*IF(ISNA(MATCH($C606,'Paramètres'!$D:$D,0)),1,IF(INDEX('Paramètres'!$J:$J,MATCH($C606,'Paramètres'!$D:$D,0))="",1,INDEX('Paramètres'!$J:$J,MATCH($C606,'Paramètres'!$D:$D,0)))),2))</f>
        <v>168</v>
      </c>
      <c r="L606" s="6" t="str">
        <f>IF($D606="","",IF($F606&lt;&gt;"",$F606,IF(ISNA(MATCH($D606,'Paramètres'!$M:$M,0)),"⚠ Type inconnu",IFERROR(INDEX('Paramètres'!$P:$P,MATCH($D606,'Paramètres'!$M:$M,0))&amp;"",""))))</f>
        <v>Débit</v>
      </c>
      <c r="M606" s="6" t="str">
        <f>IF($D606="","",IF(ISNA(MATCH($D606,'Paramètres'!$M:$M,0)),"⚠ Type inconnu",IF($L606="Crédit","",IFERROR(INDEX('Paramètres'!$O:$O,MATCH($D606,'Paramètres'!$M:$M,0))&amp;"",""))))</f>
        <v>Dépense Fixe</v>
      </c>
      <c r="N606" s="6" t="str">
        <f>IF($D606="","",IFERROR(INDEX('Paramètres'!$Q:$Q,MATCH($D606,'Paramètres'!$M:$M,0))&amp;"",""))</f>
        <v>Immobilier</v>
      </c>
      <c r="O606" s="6">
        <f>IF($A606="","",IF(OR($J606&lt;&gt;"x",$A606&lt;=FinReleve),1,0))</f>
        <v>1</v>
      </c>
      <c r="P606" s="6">
        <f>IF($D606="","",IF(AND($L606="Crédit",OR(IFERROR(INDEX('Paramètres'!$O:$O,MATCH($D606,'Paramètres'!$M:$M,0))&amp;"","")&lt;&gt;"",ISNUMBER(SEARCH("remboursement",IFERROR(INDEX('Paramètres'!$N:$N,MATCH($D606,'Paramètres'!$M:$M,0))&amp;"",""))))),1,0))</f>
        <v>0</v>
      </c>
      <c r="Q606" s="6">
        <f>IF($K606="","",IF(ISNUMBER(SEARCH("transfert-interne",IFERROR(INDEX('Paramètres'!$N:$N,MATCH($D606,'Paramètres'!$M:$M,0))&amp;"",""))),0,IF($L606="Débit",$K606,IF($P606=1,-$K606,0))))</f>
        <v>168</v>
      </c>
      <c r="R606" s="6">
        <f>IF($K606="","",IF($L606="Crédit",$K606,-$K606))</f>
        <v>-168</v>
      </c>
      <c r="S606" s="6" t="str">
        <f>IF($C606="","",IFERROR(INDEX('Paramètres'!$H:$H,MATCH($C606,'Paramètres'!$D:$D,0))&amp;"",""))</f>
        <v>Banque A - Courant</v>
      </c>
      <c r="T606" s="6">
        <f>IF($K606="","",IF($S606="",0,IF(ISNUMBER(SEARCH("apport-exterieur",IFERROR(INDEX('Paramètres'!$N:$N,MATCH($D606,'Paramètres'!$M:$M,0))&amp;"",""))),0,IF(OR(IFERROR(INDEX('Paramètres'!$I:$I,MATCH($C606,'Paramètres'!$D:$D,0))&amp;"","")="Les deux",IFERROR(INDEX('Paramètres'!$I:$I,MATCH($C606,'Paramètres'!$D:$D,0))&amp;"","")=IF($P606=1,"Débit",$L606)),-IF($P606=1,-$K606,$K606),0))))</f>
        <v>0</v>
      </c>
      <c r="U606" s="6">
        <f>IF($K606="","",IF(ISNUMBER(SEARCH("sortie-epargne",IFERROR(INDEX('Paramètres'!$N:$N,MATCH($D606,'Paramètres'!$M:$M,0))&amp;"",""))),$K606,0))</f>
        <v>0</v>
      </c>
      <c r="V606" s="6" t="str">
        <f>IF(AND($A606&lt;&gt;"",$O606=1,$L606="Débit",N($Q606)&gt;0,$A606&gt;=Visualisation!$B$1,$A606&lt;Visualisation!$D$1),MAX($V$1:V605)+1,"")</f>
        <v/>
      </c>
    </row>
    <row r="607" spans="1:22" x14ac:dyDescent="0.25">
      <c r="A607" s="9">
        <v>45970</v>
      </c>
      <c r="B607" s="4" t="s">
        <v>76</v>
      </c>
      <c r="C607" s="4" t="s">
        <v>60</v>
      </c>
      <c r="D607" s="4" t="s">
        <v>77</v>
      </c>
      <c r="E607" s="10">
        <v>24.7</v>
      </c>
      <c r="G607" s="4" t="s">
        <v>98</v>
      </c>
      <c r="H607" s="4"/>
      <c r="I607" s="4" t="s">
        <v>63</v>
      </c>
      <c r="K607" s="11">
        <f>IF($E607="","",ROUND($E607*IF(ISNA(MATCH($C607,'Paramètres'!$D:$D,0)),1,IF(INDEX('Paramètres'!$J:$J,MATCH($C607,'Paramètres'!$D:$D,0))="",1,INDEX('Paramètres'!$J:$J,MATCH($C607,'Paramètres'!$D:$D,0)))),2))</f>
        <v>12.35</v>
      </c>
      <c r="L607" s="6" t="str">
        <f>IF($D607="","",IF($F607&lt;&gt;"",$F607,IF(ISNA(MATCH($D607,'Paramètres'!$M:$M,0)),"⚠ Type inconnu",IFERROR(INDEX('Paramètres'!$P:$P,MATCH($D607,'Paramètres'!$M:$M,0))&amp;"",""))))</f>
        <v>Débit</v>
      </c>
      <c r="M607" s="6" t="str">
        <f>IF($D607="","",IF(ISNA(MATCH($D607,'Paramètres'!$M:$M,0)),"⚠ Type inconnu",IF($L607="Crédit","",IFERROR(INDEX('Paramètres'!$O:$O,MATCH($D607,'Paramètres'!$M:$M,0))&amp;"",""))))</f>
        <v>Dépense Courante</v>
      </c>
      <c r="N607" s="6" t="str">
        <f>IF($D607="","",IFERROR(INDEX('Paramètres'!$Q:$Q,MATCH($D607,'Paramètres'!$M:$M,0))&amp;"",""))</f>
        <v>Alimentation</v>
      </c>
      <c r="O607" s="6">
        <f>IF($A607="","",IF(OR($J607&lt;&gt;"x",$A607&lt;=FinReleve),1,0))</f>
        <v>1</v>
      </c>
      <c r="P607" s="6">
        <f>IF($D607="","",IF(AND($L607="Crédit",OR(IFERROR(INDEX('Paramètres'!$O:$O,MATCH($D607,'Paramètres'!$M:$M,0))&amp;"","")&lt;&gt;"",ISNUMBER(SEARCH("remboursement",IFERROR(INDEX('Paramètres'!$N:$N,MATCH($D607,'Paramètres'!$M:$M,0))&amp;"",""))))),1,0))</f>
        <v>0</v>
      </c>
      <c r="Q607" s="6">
        <f>IF($K607="","",IF(ISNUMBER(SEARCH("transfert-interne",IFERROR(INDEX('Paramètres'!$N:$N,MATCH($D607,'Paramètres'!$M:$M,0))&amp;"",""))),0,IF($L607="Débit",$K607,IF($P607=1,-$K607,0))))</f>
        <v>12.35</v>
      </c>
      <c r="R607" s="6">
        <f>IF($K607="","",IF($L607="Crédit",$K607,-$K607))</f>
        <v>-12.35</v>
      </c>
      <c r="S607" s="6" t="str">
        <f>IF($C607="","",IFERROR(INDEX('Paramètres'!$H:$H,MATCH($C607,'Paramètres'!$D:$D,0))&amp;"",""))</f>
        <v>Banque A - Courant</v>
      </c>
      <c r="T607" s="6">
        <f>IF($K607="","",IF($S607="",0,IF(ISNUMBER(SEARCH("apport-exterieur",IFERROR(INDEX('Paramètres'!$N:$N,MATCH($D607,'Paramètres'!$M:$M,0))&amp;"",""))),0,IF(OR(IFERROR(INDEX('Paramètres'!$I:$I,MATCH($C607,'Paramètres'!$D:$D,0))&amp;"","")="Les deux",IFERROR(INDEX('Paramètres'!$I:$I,MATCH($C607,'Paramètres'!$D:$D,0))&amp;"","")=IF($P607=1,"Débit",$L607)),-IF($P607=1,-$K607,$K607),0))))</f>
        <v>-12.35</v>
      </c>
      <c r="U607" s="6">
        <f>IF($K607="","",IF(ISNUMBER(SEARCH("sortie-epargne",IFERROR(INDEX('Paramètres'!$N:$N,MATCH($D607,'Paramètres'!$M:$M,0))&amp;"",""))),$K607,0))</f>
        <v>0</v>
      </c>
      <c r="V607" s="6" t="str">
        <f>IF(AND($A607&lt;&gt;"",$O607=1,$L607="Débit",N($Q607)&gt;0,$A607&gt;=Visualisation!$B$1,$A607&lt;Visualisation!$D$1),MAX($V$1:V606)+1,"")</f>
        <v/>
      </c>
    </row>
    <row r="608" spans="1:22" x14ac:dyDescent="0.25">
      <c r="A608" s="9">
        <v>45970</v>
      </c>
      <c r="B608" s="4" t="s">
        <v>69</v>
      </c>
      <c r="C608" s="4" t="s">
        <v>70</v>
      </c>
      <c r="D608" s="4" t="s">
        <v>71</v>
      </c>
      <c r="E608" s="10">
        <v>8.24</v>
      </c>
      <c r="G608" s="4" t="s">
        <v>72</v>
      </c>
      <c r="H608" s="4"/>
      <c r="I608" s="4" t="s">
        <v>63</v>
      </c>
      <c r="K608" s="11">
        <f>IF($E608="","",ROUND($E608*IF(ISNA(MATCH($C608,'Paramètres'!$D:$D,0)),1,IF(INDEX('Paramètres'!$J:$J,MATCH($C608,'Paramètres'!$D:$D,0))="",1,INDEX('Paramètres'!$J:$J,MATCH($C608,'Paramètres'!$D:$D,0)))),2))</f>
        <v>8.24</v>
      </c>
      <c r="L608" s="6" t="str">
        <f>IF($D608="","",IF($F608&lt;&gt;"",$F608,IF(ISNA(MATCH($D608,'Paramètres'!$M:$M,0)),"⚠ Type inconnu",IFERROR(INDEX('Paramètres'!$P:$P,MATCH($D608,'Paramètres'!$M:$M,0))&amp;"",""))))</f>
        <v>Débit</v>
      </c>
      <c r="M608" s="6" t="str">
        <f>IF($D608="","",IF(ISNA(MATCH($D608,'Paramètres'!$M:$M,0)),"⚠ Type inconnu",IF($L608="Crédit","",IFERROR(INDEX('Paramètres'!$O:$O,MATCH($D608,'Paramètres'!$M:$M,0))&amp;"",""))))</f>
        <v>Dépense Courante</v>
      </c>
      <c r="N608" s="6" t="str">
        <f>IF($D608="","",IFERROR(INDEX('Paramètres'!$Q:$Q,MATCH($D608,'Paramètres'!$M:$M,0))&amp;"",""))</f>
        <v>Alimentation</v>
      </c>
      <c r="O608" s="6">
        <f>IF($A608="","",IF(OR($J608&lt;&gt;"x",$A608&lt;=FinReleve),1,0))</f>
        <v>1</v>
      </c>
      <c r="P608" s="6">
        <f>IF($D608="","",IF(AND($L608="Crédit",OR(IFERROR(INDEX('Paramètres'!$O:$O,MATCH($D608,'Paramètres'!$M:$M,0))&amp;"","")&lt;&gt;"",ISNUMBER(SEARCH("remboursement",IFERROR(INDEX('Paramètres'!$N:$N,MATCH($D608,'Paramètres'!$M:$M,0))&amp;"",""))))),1,0))</f>
        <v>0</v>
      </c>
      <c r="Q608" s="6">
        <f>IF($K608="","",IF(ISNUMBER(SEARCH("transfert-interne",IFERROR(INDEX('Paramètres'!$N:$N,MATCH($D608,'Paramètres'!$M:$M,0))&amp;"",""))),0,IF($L608="Débit",$K608,IF($P608=1,-$K608,0))))</f>
        <v>8.24</v>
      </c>
      <c r="R608" s="6">
        <f>IF($K608="","",IF($L608="Crédit",$K608,-$K608))</f>
        <v>-8.24</v>
      </c>
      <c r="S608" s="6" t="str">
        <f>IF($C608="","",IFERROR(INDEX('Paramètres'!$H:$H,MATCH($C608,'Paramètres'!$D:$D,0))&amp;"",""))</f>
        <v/>
      </c>
      <c r="T608" s="6">
        <f>IF($K608="","",IF($S608="",0,IF(ISNUMBER(SEARCH("apport-exterieur",IFERROR(INDEX('Paramètres'!$N:$N,MATCH($D608,'Paramètres'!$M:$M,0))&amp;"",""))),0,IF(OR(IFERROR(INDEX('Paramètres'!$I:$I,MATCH($C608,'Paramètres'!$D:$D,0))&amp;"","")="Les deux",IFERROR(INDEX('Paramètres'!$I:$I,MATCH($C608,'Paramètres'!$D:$D,0))&amp;"","")=IF($P608=1,"Débit",$L608)),-IF($P608=1,-$K608,$K608),0))))</f>
        <v>0</v>
      </c>
      <c r="U608" s="6">
        <f>IF($K608="","",IF(ISNUMBER(SEARCH("sortie-epargne",IFERROR(INDEX('Paramètres'!$N:$N,MATCH($D608,'Paramètres'!$M:$M,0))&amp;"",""))),$K608,0))</f>
        <v>0</v>
      </c>
      <c r="V608" s="6" t="str">
        <f>IF(AND($A608&lt;&gt;"",$O608=1,$L608="Débit",N($Q608)&gt;0,$A608&gt;=Visualisation!$B$1,$A608&lt;Visualisation!$D$1),MAX($V$1:V607)+1,"")</f>
        <v/>
      </c>
    </row>
    <row r="609" spans="1:22" x14ac:dyDescent="0.25">
      <c r="A609" s="9">
        <v>45970</v>
      </c>
      <c r="B609" s="4" t="s">
        <v>69</v>
      </c>
      <c r="C609" s="4" t="s">
        <v>70</v>
      </c>
      <c r="D609" s="4" t="s">
        <v>71</v>
      </c>
      <c r="E609" s="10">
        <v>13.65</v>
      </c>
      <c r="G609" s="4" t="s">
        <v>72</v>
      </c>
      <c r="H609" s="4"/>
      <c r="I609" s="4"/>
      <c r="K609" s="11">
        <f>IF($E609="","",ROUND($E609*IF(ISNA(MATCH($C609,'Paramètres'!$D:$D,0)),1,IF(INDEX('Paramètres'!$J:$J,MATCH($C609,'Paramètres'!$D:$D,0))="",1,INDEX('Paramètres'!$J:$J,MATCH($C609,'Paramètres'!$D:$D,0)))),2))</f>
        <v>13.65</v>
      </c>
      <c r="L609" s="6" t="str">
        <f>IF($D609="","",IF($F609&lt;&gt;"",$F609,IF(ISNA(MATCH($D609,'Paramètres'!$M:$M,0)),"⚠ Type inconnu",IFERROR(INDEX('Paramètres'!$P:$P,MATCH($D609,'Paramètres'!$M:$M,0))&amp;"",""))))</f>
        <v>Débit</v>
      </c>
      <c r="M609" s="6" t="str">
        <f>IF($D609="","",IF(ISNA(MATCH($D609,'Paramètres'!$M:$M,0)),"⚠ Type inconnu",IF($L609="Crédit","",IFERROR(INDEX('Paramètres'!$O:$O,MATCH($D609,'Paramètres'!$M:$M,0))&amp;"",""))))</f>
        <v>Dépense Courante</v>
      </c>
      <c r="N609" s="6" t="str">
        <f>IF($D609="","",IFERROR(INDEX('Paramètres'!$Q:$Q,MATCH($D609,'Paramètres'!$M:$M,0))&amp;"",""))</f>
        <v>Alimentation</v>
      </c>
      <c r="O609" s="6">
        <f>IF($A609="","",IF(OR($J609&lt;&gt;"x",$A609&lt;=FinReleve),1,0))</f>
        <v>1</v>
      </c>
      <c r="P609" s="6">
        <f>IF($D609="","",IF(AND($L609="Crédit",OR(IFERROR(INDEX('Paramètres'!$O:$O,MATCH($D609,'Paramètres'!$M:$M,0))&amp;"","")&lt;&gt;"",ISNUMBER(SEARCH("remboursement",IFERROR(INDEX('Paramètres'!$N:$N,MATCH($D609,'Paramètres'!$M:$M,0))&amp;"",""))))),1,0))</f>
        <v>0</v>
      </c>
      <c r="Q609" s="6">
        <f>IF($K609="","",IF(ISNUMBER(SEARCH("transfert-interne",IFERROR(INDEX('Paramètres'!$N:$N,MATCH($D609,'Paramètres'!$M:$M,0))&amp;"",""))),0,IF($L609="Débit",$K609,IF($P609=1,-$K609,0))))</f>
        <v>13.65</v>
      </c>
      <c r="R609" s="6">
        <f>IF($K609="","",IF($L609="Crédit",$K609,-$K609))</f>
        <v>-13.65</v>
      </c>
      <c r="S609" s="6" t="str">
        <f>IF($C609="","",IFERROR(INDEX('Paramètres'!$H:$H,MATCH($C609,'Paramètres'!$D:$D,0))&amp;"",""))</f>
        <v/>
      </c>
      <c r="T609" s="6">
        <f>IF($K609="","",IF($S609="",0,IF(ISNUMBER(SEARCH("apport-exterieur",IFERROR(INDEX('Paramètres'!$N:$N,MATCH($D609,'Paramètres'!$M:$M,0))&amp;"",""))),0,IF(OR(IFERROR(INDEX('Paramètres'!$I:$I,MATCH($C609,'Paramètres'!$D:$D,0))&amp;"","")="Les deux",IFERROR(INDEX('Paramètres'!$I:$I,MATCH($C609,'Paramètres'!$D:$D,0))&amp;"","")=IF($P609=1,"Débit",$L609)),-IF($P609=1,-$K609,$K609),0))))</f>
        <v>0</v>
      </c>
      <c r="U609" s="6">
        <f>IF($K609="","",IF(ISNUMBER(SEARCH("sortie-epargne",IFERROR(INDEX('Paramètres'!$N:$N,MATCH($D609,'Paramètres'!$M:$M,0))&amp;"",""))),$K609,0))</f>
        <v>0</v>
      </c>
      <c r="V609" s="6" t="str">
        <f>IF(AND($A609&lt;&gt;"",$O609=1,$L609="Débit",N($Q609)&gt;0,$A609&gt;=Visualisation!$B$1,$A609&lt;Visualisation!$D$1),MAX($V$1:V608)+1,"")</f>
        <v/>
      </c>
    </row>
    <row r="610" spans="1:22" x14ac:dyDescent="0.25">
      <c r="A610" s="9">
        <v>45970</v>
      </c>
      <c r="B610" s="4" t="s">
        <v>123</v>
      </c>
      <c r="C610" s="4" t="s">
        <v>75</v>
      </c>
      <c r="D610" s="4" t="s">
        <v>124</v>
      </c>
      <c r="E610" s="10">
        <v>72.8</v>
      </c>
      <c r="G610" s="4" t="s">
        <v>125</v>
      </c>
      <c r="H610" s="4"/>
      <c r="I610" s="4" t="s">
        <v>73</v>
      </c>
      <c r="K610" s="11">
        <f>IF($E610="","",ROUND($E610*IF(ISNA(MATCH($C610,'Paramètres'!$D:$D,0)),1,IF(INDEX('Paramètres'!$J:$J,MATCH($C610,'Paramètres'!$D:$D,0))="",1,INDEX('Paramètres'!$J:$J,MATCH($C610,'Paramètres'!$D:$D,0)))),2))</f>
        <v>72.8</v>
      </c>
      <c r="L610" s="6" t="str">
        <f>IF($D610="","",IF($F610&lt;&gt;"",$F610,IF(ISNA(MATCH($D610,'Paramètres'!$M:$M,0)),"⚠ Type inconnu",IFERROR(INDEX('Paramètres'!$P:$P,MATCH($D610,'Paramètres'!$M:$M,0))&amp;"",""))))</f>
        <v>Débit</v>
      </c>
      <c r="M610" s="6" t="str">
        <f>IF($D610="","",IF(ISNA(MATCH($D610,'Paramètres'!$M:$M,0)),"⚠ Type inconnu",IF($L610="Crédit","",IFERROR(INDEX('Paramètres'!$O:$O,MATCH($D610,'Paramètres'!$M:$M,0))&amp;"",""))))</f>
        <v>Dépense Courante</v>
      </c>
      <c r="N610" s="6" t="str">
        <f>IF($D610="","",IFERROR(INDEX('Paramètres'!$Q:$Q,MATCH($D610,'Paramètres'!$M:$M,0))&amp;"",""))</f>
        <v>Habillement</v>
      </c>
      <c r="O610" s="6">
        <f>IF($A610="","",IF(OR($J610&lt;&gt;"x",$A610&lt;=FinReleve),1,0))</f>
        <v>1</v>
      </c>
      <c r="P610" s="6">
        <f>IF($D610="","",IF(AND($L610="Crédit",OR(IFERROR(INDEX('Paramètres'!$O:$O,MATCH($D610,'Paramètres'!$M:$M,0))&amp;"","")&lt;&gt;"",ISNUMBER(SEARCH("remboursement",IFERROR(INDEX('Paramètres'!$N:$N,MATCH($D610,'Paramètres'!$M:$M,0))&amp;"",""))))),1,0))</f>
        <v>0</v>
      </c>
      <c r="Q610" s="6">
        <f>IF($K610="","",IF(ISNUMBER(SEARCH("transfert-interne",IFERROR(INDEX('Paramètres'!$N:$N,MATCH($D610,'Paramètres'!$M:$M,0))&amp;"",""))),0,IF($L610="Débit",$K610,IF($P610=1,-$K610,0))))</f>
        <v>72.8</v>
      </c>
      <c r="R610" s="6">
        <f>IF($K610="","",IF($L610="Crédit",$K610,-$K610))</f>
        <v>-72.8</v>
      </c>
      <c r="S610" s="6" t="str">
        <f>IF($C610="","",IFERROR(INDEX('Paramètres'!$H:$H,MATCH($C610,'Paramètres'!$D:$D,0))&amp;"",""))</f>
        <v/>
      </c>
      <c r="T610" s="6">
        <f>IF($K610="","",IF($S610="",0,IF(ISNUMBER(SEARCH("apport-exterieur",IFERROR(INDEX('Paramètres'!$N:$N,MATCH($D610,'Paramètres'!$M:$M,0))&amp;"",""))),0,IF(OR(IFERROR(INDEX('Paramètres'!$I:$I,MATCH($C610,'Paramètres'!$D:$D,0))&amp;"","")="Les deux",IFERROR(INDEX('Paramètres'!$I:$I,MATCH($C610,'Paramètres'!$D:$D,0))&amp;"","")=IF($P610=1,"Débit",$L610)),-IF($P610=1,-$K610,$K610),0))))</f>
        <v>0</v>
      </c>
      <c r="U610" s="6">
        <f>IF($K610="","",IF(ISNUMBER(SEARCH("sortie-epargne",IFERROR(INDEX('Paramètres'!$N:$N,MATCH($D610,'Paramètres'!$M:$M,0))&amp;"",""))),$K610,0))</f>
        <v>0</v>
      </c>
      <c r="V610" s="6" t="str">
        <f>IF(AND($A610&lt;&gt;"",$O610=1,$L610="Débit",N($Q610)&gt;0,$A610&gt;=Visualisation!$B$1,$A610&lt;Visualisation!$D$1),MAX($V$1:V609)+1,"")</f>
        <v/>
      </c>
    </row>
    <row r="611" spans="1:22" x14ac:dyDescent="0.25">
      <c r="A611" s="9">
        <v>45970</v>
      </c>
      <c r="B611" s="4" t="s">
        <v>121</v>
      </c>
      <c r="C611" s="4" t="s">
        <v>126</v>
      </c>
      <c r="D611" s="4" t="s">
        <v>121</v>
      </c>
      <c r="E611" s="10">
        <v>187.5</v>
      </c>
      <c r="G611" s="4" t="s">
        <v>109</v>
      </c>
      <c r="H611" s="4"/>
      <c r="I611" s="4"/>
      <c r="K611" s="11">
        <f>IF($E611="","",ROUND($E611*IF(ISNA(MATCH($C611,'Paramètres'!$D:$D,0)),1,IF(INDEX('Paramètres'!$J:$J,MATCH($C611,'Paramètres'!$D:$D,0))="",1,INDEX('Paramètres'!$J:$J,MATCH($C611,'Paramètres'!$D:$D,0)))),2))</f>
        <v>93.75</v>
      </c>
      <c r="L611" s="6" t="str">
        <f>IF($D611="","",IF($F611&lt;&gt;"",$F611,IF(ISNA(MATCH($D611,'Paramètres'!$M:$M,0)),"⚠ Type inconnu",IFERROR(INDEX('Paramètres'!$P:$P,MATCH($D611,'Paramètres'!$M:$M,0))&amp;"",""))))</f>
        <v>Débit</v>
      </c>
      <c r="M611" s="6" t="str">
        <f>IF($D611="","",IF(ISNA(MATCH($D611,'Paramètres'!$M:$M,0)),"⚠ Type inconnu",IF($L611="Crédit","",IFERROR(INDEX('Paramètres'!$O:$O,MATCH($D611,'Paramètres'!$M:$M,0))&amp;"",""))))</f>
        <v>Dépense Occasionnelle</v>
      </c>
      <c r="N611" s="6" t="str">
        <f>IF($D611="","",IFERROR(INDEX('Paramètres'!$Q:$Q,MATCH($D611,'Paramètres'!$M:$M,0))&amp;"",""))</f>
        <v>Autre</v>
      </c>
      <c r="O611" s="6">
        <f>IF($A611="","",IF(OR($J611&lt;&gt;"x",$A611&lt;=FinReleve),1,0))</f>
        <v>1</v>
      </c>
      <c r="P611" s="6">
        <f>IF($D611="","",IF(AND($L611="Crédit",OR(IFERROR(INDEX('Paramètres'!$O:$O,MATCH($D611,'Paramètres'!$M:$M,0))&amp;"","")&lt;&gt;"",ISNUMBER(SEARCH("remboursement",IFERROR(INDEX('Paramètres'!$N:$N,MATCH($D611,'Paramètres'!$M:$M,0))&amp;"",""))))),1,0))</f>
        <v>0</v>
      </c>
      <c r="Q611" s="6">
        <f>IF($K611="","",IF(ISNUMBER(SEARCH("transfert-interne",IFERROR(INDEX('Paramètres'!$N:$N,MATCH($D611,'Paramètres'!$M:$M,0))&amp;"",""))),0,IF($L611="Débit",$K611,IF($P611=1,-$K611,0))))</f>
        <v>93.75</v>
      </c>
      <c r="R611" s="6">
        <f>IF($K611="","",IF($L611="Crédit",$K611,-$K611))</f>
        <v>-93.75</v>
      </c>
      <c r="S611" s="6" t="str">
        <f>IF($C611="","",IFERROR(INDEX('Paramètres'!$H:$H,MATCH($C611,'Paramètres'!$D:$D,0))&amp;"",""))</f>
        <v>Banque A - Courant</v>
      </c>
      <c r="T611" s="6">
        <f>IF($K611="","",IF($S611="",0,IF(ISNUMBER(SEARCH("apport-exterieur",IFERROR(INDEX('Paramètres'!$N:$N,MATCH($D611,'Paramètres'!$M:$M,0))&amp;"",""))),0,IF(OR(IFERROR(INDEX('Paramètres'!$I:$I,MATCH($C611,'Paramètres'!$D:$D,0))&amp;"","")="Les deux",IFERROR(INDEX('Paramètres'!$I:$I,MATCH($C611,'Paramètres'!$D:$D,0))&amp;"","")=IF($P611=1,"Débit",$L611)),-IF($P611=1,-$K611,$K611),0))))</f>
        <v>-93.75</v>
      </c>
      <c r="U611" s="6">
        <f>IF($K611="","",IF(ISNUMBER(SEARCH("sortie-epargne",IFERROR(INDEX('Paramètres'!$N:$N,MATCH($D611,'Paramètres'!$M:$M,0))&amp;"",""))),$K611,0))</f>
        <v>0</v>
      </c>
      <c r="V611" s="6" t="str">
        <f>IF(AND($A611&lt;&gt;"",$O611=1,$L611="Débit",N($Q611)&gt;0,$A611&gt;=Visualisation!$B$1,$A611&lt;Visualisation!$D$1),MAX($V$1:V610)+1,"")</f>
        <v/>
      </c>
    </row>
    <row r="612" spans="1:22" x14ac:dyDescent="0.25">
      <c r="A612" s="9">
        <v>45971</v>
      </c>
      <c r="B612" s="4" t="s">
        <v>96</v>
      </c>
      <c r="C612" s="4" t="s">
        <v>75</v>
      </c>
      <c r="D612" s="4" t="s">
        <v>96</v>
      </c>
      <c r="E612" s="10">
        <v>22.4</v>
      </c>
      <c r="G612" s="4"/>
      <c r="H612" s="4"/>
      <c r="I612" s="4"/>
      <c r="K612" s="11">
        <f>IF($E612="","",ROUND($E612*IF(ISNA(MATCH($C612,'Paramètres'!$D:$D,0)),1,IF(INDEX('Paramètres'!$J:$J,MATCH($C612,'Paramètres'!$D:$D,0))="",1,INDEX('Paramètres'!$J:$J,MATCH($C612,'Paramètres'!$D:$D,0)))),2))</f>
        <v>22.4</v>
      </c>
      <c r="L612" s="6" t="str">
        <f>IF($D612="","",IF($F612&lt;&gt;"",$F612,IF(ISNA(MATCH($D612,'Paramètres'!$M:$M,0)),"⚠ Type inconnu",IFERROR(INDEX('Paramètres'!$P:$P,MATCH($D612,'Paramètres'!$M:$M,0))&amp;"",""))))</f>
        <v>Débit</v>
      </c>
      <c r="M612" s="6" t="str">
        <f>IF($D612="","",IF(ISNA(MATCH($D612,'Paramètres'!$M:$M,0)),"⚠ Type inconnu",IF($L612="Crédit","",IFERROR(INDEX('Paramètres'!$O:$O,MATCH($D612,'Paramètres'!$M:$M,0))&amp;"",""))))</f>
        <v>Dépense Fixe</v>
      </c>
      <c r="N612" s="6" t="str">
        <f>IF($D612="","",IFERROR(INDEX('Paramètres'!$Q:$Q,MATCH($D612,'Paramètres'!$M:$M,0))&amp;"",""))</f>
        <v>Assurances</v>
      </c>
      <c r="O612" s="6">
        <f>IF($A612="","",IF(OR($J612&lt;&gt;"x",$A612&lt;=FinReleve),1,0))</f>
        <v>1</v>
      </c>
      <c r="P612" s="6">
        <f>IF($D612="","",IF(AND($L612="Crédit",OR(IFERROR(INDEX('Paramètres'!$O:$O,MATCH($D612,'Paramètres'!$M:$M,0))&amp;"","")&lt;&gt;"",ISNUMBER(SEARCH("remboursement",IFERROR(INDEX('Paramètres'!$N:$N,MATCH($D612,'Paramètres'!$M:$M,0))&amp;"",""))))),1,0))</f>
        <v>0</v>
      </c>
      <c r="Q612" s="6">
        <f>IF($K612="","",IF(ISNUMBER(SEARCH("transfert-interne",IFERROR(INDEX('Paramètres'!$N:$N,MATCH($D612,'Paramètres'!$M:$M,0))&amp;"",""))),0,IF($L612="Débit",$K612,IF($P612=1,-$K612,0))))</f>
        <v>22.4</v>
      </c>
      <c r="R612" s="6">
        <f>IF($K612="","",IF($L612="Crédit",$K612,-$K612))</f>
        <v>-22.4</v>
      </c>
      <c r="S612" s="6" t="str">
        <f>IF($C612="","",IFERROR(INDEX('Paramètres'!$H:$H,MATCH($C612,'Paramètres'!$D:$D,0))&amp;"",""))</f>
        <v/>
      </c>
      <c r="T612" s="6">
        <f>IF($K612="","",IF($S612="",0,IF(ISNUMBER(SEARCH("apport-exterieur",IFERROR(INDEX('Paramètres'!$N:$N,MATCH($D612,'Paramètres'!$M:$M,0))&amp;"",""))),0,IF(OR(IFERROR(INDEX('Paramètres'!$I:$I,MATCH($C612,'Paramètres'!$D:$D,0))&amp;"","")="Les deux",IFERROR(INDEX('Paramètres'!$I:$I,MATCH($C612,'Paramètres'!$D:$D,0))&amp;"","")=IF($P612=1,"Débit",$L612)),-IF($P612=1,-$K612,$K612),0))))</f>
        <v>0</v>
      </c>
      <c r="U612" s="6">
        <f>IF($K612="","",IF(ISNUMBER(SEARCH("sortie-epargne",IFERROR(INDEX('Paramètres'!$N:$N,MATCH($D612,'Paramètres'!$M:$M,0))&amp;"",""))),$K612,0))</f>
        <v>0</v>
      </c>
      <c r="V612" s="6" t="str">
        <f>IF(AND($A612&lt;&gt;"",$O612=1,$L612="Débit",N($Q612)&gt;0,$A612&gt;=Visualisation!$B$1,$A612&lt;Visualisation!$D$1),MAX($V$1:V611)+1,"")</f>
        <v/>
      </c>
    </row>
    <row r="613" spans="1:22" x14ac:dyDescent="0.25">
      <c r="A613" s="9">
        <v>45971</v>
      </c>
      <c r="B613" s="4" t="s">
        <v>59</v>
      </c>
      <c r="C613" s="4" t="s">
        <v>126</v>
      </c>
      <c r="D613" s="4" t="s">
        <v>59</v>
      </c>
      <c r="E613" s="10">
        <v>70.46</v>
      </c>
      <c r="G613" s="4" t="s">
        <v>134</v>
      </c>
      <c r="H613" s="4"/>
      <c r="I613" s="4" t="s">
        <v>73</v>
      </c>
      <c r="K613" s="11">
        <f>IF($E613="","",ROUND($E613*IF(ISNA(MATCH($C613,'Paramètres'!$D:$D,0)),1,IF(INDEX('Paramètres'!$J:$J,MATCH($C613,'Paramètres'!$D:$D,0))="",1,INDEX('Paramètres'!$J:$J,MATCH($C613,'Paramètres'!$D:$D,0)))),2))</f>
        <v>35.23</v>
      </c>
      <c r="L613" s="6" t="str">
        <f>IF($D613="","",IF($F613&lt;&gt;"",$F613,IF(ISNA(MATCH($D613,'Paramètres'!$M:$M,0)),"⚠ Type inconnu",IFERROR(INDEX('Paramètres'!$P:$P,MATCH($D613,'Paramètres'!$M:$M,0))&amp;"",""))))</f>
        <v>Débit</v>
      </c>
      <c r="M613" s="6" t="str">
        <f>IF($D613="","",IF(ISNA(MATCH($D613,'Paramètres'!$M:$M,0)),"⚠ Type inconnu",IF($L613="Crédit","",IFERROR(INDEX('Paramètres'!$O:$O,MATCH($D613,'Paramètres'!$M:$M,0))&amp;"",""))))</f>
        <v>Dépense Occasionnelle</v>
      </c>
      <c r="N613" s="6" t="str">
        <f>IF($D613="","",IFERROR(INDEX('Paramètres'!$Q:$Q,MATCH($D613,'Paramètres'!$M:$M,0))&amp;"",""))</f>
        <v>Loisir</v>
      </c>
      <c r="O613" s="6">
        <f>IF($A613="","",IF(OR($J613&lt;&gt;"x",$A613&lt;=FinReleve),1,0))</f>
        <v>1</v>
      </c>
      <c r="P613" s="6">
        <f>IF($D613="","",IF(AND($L613="Crédit",OR(IFERROR(INDEX('Paramètres'!$O:$O,MATCH($D613,'Paramètres'!$M:$M,0))&amp;"","")&lt;&gt;"",ISNUMBER(SEARCH("remboursement",IFERROR(INDEX('Paramètres'!$N:$N,MATCH($D613,'Paramètres'!$M:$M,0))&amp;"",""))))),1,0))</f>
        <v>0</v>
      </c>
      <c r="Q613" s="6">
        <f>IF($K613="","",IF(ISNUMBER(SEARCH("transfert-interne",IFERROR(INDEX('Paramètres'!$N:$N,MATCH($D613,'Paramètres'!$M:$M,0))&amp;"",""))),0,IF($L613="Débit",$K613,IF($P613=1,-$K613,0))))</f>
        <v>35.23</v>
      </c>
      <c r="R613" s="6">
        <f>IF($K613="","",IF($L613="Crédit",$K613,-$K613))</f>
        <v>-35.23</v>
      </c>
      <c r="S613" s="6" t="str">
        <f>IF($C613="","",IFERROR(INDEX('Paramètres'!$H:$H,MATCH($C613,'Paramètres'!$D:$D,0))&amp;"",""))</f>
        <v>Banque A - Courant</v>
      </c>
      <c r="T613" s="6">
        <f>IF($K613="","",IF($S613="",0,IF(ISNUMBER(SEARCH("apport-exterieur",IFERROR(INDEX('Paramètres'!$N:$N,MATCH($D613,'Paramètres'!$M:$M,0))&amp;"",""))),0,IF(OR(IFERROR(INDEX('Paramètres'!$I:$I,MATCH($C613,'Paramètres'!$D:$D,0))&amp;"","")="Les deux",IFERROR(INDEX('Paramètres'!$I:$I,MATCH($C613,'Paramètres'!$D:$D,0))&amp;"","")=IF($P613=1,"Débit",$L613)),-IF($P613=1,-$K613,$K613),0))))</f>
        <v>-35.23</v>
      </c>
      <c r="U613" s="6">
        <f>IF($K613="","",IF(ISNUMBER(SEARCH("sortie-epargne",IFERROR(INDEX('Paramètres'!$N:$N,MATCH($D613,'Paramètres'!$M:$M,0))&amp;"",""))),$K613,0))</f>
        <v>0</v>
      </c>
      <c r="V613" s="6" t="str">
        <f>IF(AND($A613&lt;&gt;"",$O613=1,$L613="Débit",N($Q613)&gt;0,$A613&gt;=Visualisation!$B$1,$A613&lt;Visualisation!$D$1),MAX($V$1:V612)+1,"")</f>
        <v/>
      </c>
    </row>
    <row r="614" spans="1:22" x14ac:dyDescent="0.25">
      <c r="A614" s="9">
        <v>45972</v>
      </c>
      <c r="B614" s="4" t="s">
        <v>76</v>
      </c>
      <c r="C614" s="4" t="s">
        <v>67</v>
      </c>
      <c r="D614" s="4" t="s">
        <v>77</v>
      </c>
      <c r="E614" s="10">
        <v>169.76</v>
      </c>
      <c r="G614" s="4" t="s">
        <v>102</v>
      </c>
      <c r="H614" s="4"/>
      <c r="I614" s="4" t="s">
        <v>93</v>
      </c>
      <c r="K614" s="11">
        <f>IF($E614="","",ROUND($E614*IF(ISNA(MATCH($C614,'Paramètres'!$D:$D,0)),1,IF(INDEX('Paramètres'!$J:$J,MATCH($C614,'Paramètres'!$D:$D,0))="",1,INDEX('Paramètres'!$J:$J,MATCH($C614,'Paramètres'!$D:$D,0)))),2))</f>
        <v>84.88</v>
      </c>
      <c r="L614" s="6" t="str">
        <f>IF($D614="","",IF($F614&lt;&gt;"",$F614,IF(ISNA(MATCH($D614,'Paramètres'!$M:$M,0)),"⚠ Type inconnu",IFERROR(INDEX('Paramètres'!$P:$P,MATCH($D614,'Paramètres'!$M:$M,0))&amp;"",""))))</f>
        <v>Débit</v>
      </c>
      <c r="M614" s="6" t="str">
        <f>IF($D614="","",IF(ISNA(MATCH($D614,'Paramètres'!$M:$M,0)),"⚠ Type inconnu",IF($L614="Crédit","",IFERROR(INDEX('Paramètres'!$O:$O,MATCH($D614,'Paramètres'!$M:$M,0))&amp;"",""))))</f>
        <v>Dépense Courante</v>
      </c>
      <c r="N614" s="6" t="str">
        <f>IF($D614="","",IFERROR(INDEX('Paramètres'!$Q:$Q,MATCH($D614,'Paramètres'!$M:$M,0))&amp;"",""))</f>
        <v>Alimentation</v>
      </c>
      <c r="O614" s="6">
        <f>IF($A614="","",IF(OR($J614&lt;&gt;"x",$A614&lt;=FinReleve),1,0))</f>
        <v>1</v>
      </c>
      <c r="P614" s="6">
        <f>IF($D614="","",IF(AND($L614="Crédit",OR(IFERROR(INDEX('Paramètres'!$O:$O,MATCH($D614,'Paramètres'!$M:$M,0))&amp;"","")&lt;&gt;"",ISNUMBER(SEARCH("remboursement",IFERROR(INDEX('Paramètres'!$N:$N,MATCH($D614,'Paramètres'!$M:$M,0))&amp;"",""))))),1,0))</f>
        <v>0</v>
      </c>
      <c r="Q614" s="6">
        <f>IF($K614="","",IF(ISNUMBER(SEARCH("transfert-interne",IFERROR(INDEX('Paramètres'!$N:$N,MATCH($D614,'Paramètres'!$M:$M,0))&amp;"",""))),0,IF($L614="Débit",$K614,IF($P614=1,-$K614,0))))</f>
        <v>84.88</v>
      </c>
      <c r="R614" s="6">
        <f>IF($K614="","",IF($L614="Crédit",$K614,-$K614))</f>
        <v>-84.88</v>
      </c>
      <c r="S614" s="6" t="str">
        <f>IF($C614="","",IFERROR(INDEX('Paramètres'!$H:$H,MATCH($C614,'Paramètres'!$D:$D,0))&amp;"",""))</f>
        <v>Banque A - Courant</v>
      </c>
      <c r="T614" s="6">
        <f>IF($K614="","",IF($S614="",0,IF(ISNUMBER(SEARCH("apport-exterieur",IFERROR(INDEX('Paramètres'!$N:$N,MATCH($D614,'Paramètres'!$M:$M,0))&amp;"",""))),0,IF(OR(IFERROR(INDEX('Paramètres'!$I:$I,MATCH($C614,'Paramètres'!$D:$D,0))&amp;"","")="Les deux",IFERROR(INDEX('Paramètres'!$I:$I,MATCH($C614,'Paramètres'!$D:$D,0))&amp;"","")=IF($P614=1,"Débit",$L614)),-IF($P614=1,-$K614,$K614),0))))</f>
        <v>0</v>
      </c>
      <c r="U614" s="6">
        <f>IF($K614="","",IF(ISNUMBER(SEARCH("sortie-epargne",IFERROR(INDEX('Paramètres'!$N:$N,MATCH($D614,'Paramètres'!$M:$M,0))&amp;"",""))),$K614,0))</f>
        <v>0</v>
      </c>
      <c r="V614" s="6" t="str">
        <f>IF(AND($A614&lt;&gt;"",$O614=1,$L614="Débit",N($Q614)&gt;0,$A614&gt;=Visualisation!$B$1,$A614&lt;Visualisation!$D$1),MAX($V$1:V613)+1,"")</f>
        <v/>
      </c>
    </row>
    <row r="615" spans="1:22" x14ac:dyDescent="0.25">
      <c r="A615" s="9">
        <v>45973</v>
      </c>
      <c r="B615" s="4" t="s">
        <v>97</v>
      </c>
      <c r="C615" s="4" t="s">
        <v>75</v>
      </c>
      <c r="D615" s="4" t="s">
        <v>97</v>
      </c>
      <c r="E615" s="10">
        <v>47.9</v>
      </c>
      <c r="G615" s="4"/>
      <c r="H615" s="4"/>
      <c r="I615" s="4"/>
      <c r="K615" s="11">
        <f>IF($E615="","",ROUND($E615*IF(ISNA(MATCH($C615,'Paramètres'!$D:$D,0)),1,IF(INDEX('Paramètres'!$J:$J,MATCH($C615,'Paramètres'!$D:$D,0))="",1,INDEX('Paramètres'!$J:$J,MATCH($C615,'Paramètres'!$D:$D,0)))),2))</f>
        <v>47.9</v>
      </c>
      <c r="L615" s="6" t="str">
        <f>IF($D615="","",IF($F615&lt;&gt;"",$F615,IF(ISNA(MATCH($D615,'Paramètres'!$M:$M,0)),"⚠ Type inconnu",IFERROR(INDEX('Paramètres'!$P:$P,MATCH($D615,'Paramètres'!$M:$M,0))&amp;"",""))))</f>
        <v>Débit</v>
      </c>
      <c r="M615" s="6" t="str">
        <f>IF($D615="","",IF(ISNA(MATCH($D615,'Paramètres'!$M:$M,0)),"⚠ Type inconnu",IF($L615="Crédit","",IFERROR(INDEX('Paramètres'!$O:$O,MATCH($D615,'Paramètres'!$M:$M,0))&amp;"",""))))</f>
        <v>Dépense Fixe</v>
      </c>
      <c r="N615" s="6" t="str">
        <f>IF($D615="","",IFERROR(INDEX('Paramètres'!$Q:$Q,MATCH($D615,'Paramètres'!$M:$M,0))&amp;"",""))</f>
        <v>Assurances</v>
      </c>
      <c r="O615" s="6">
        <f>IF($A615="","",IF(OR($J615&lt;&gt;"x",$A615&lt;=FinReleve),1,0))</f>
        <v>1</v>
      </c>
      <c r="P615" s="6">
        <f>IF($D615="","",IF(AND($L615="Crédit",OR(IFERROR(INDEX('Paramètres'!$O:$O,MATCH($D615,'Paramètres'!$M:$M,0))&amp;"","")&lt;&gt;"",ISNUMBER(SEARCH("remboursement",IFERROR(INDEX('Paramètres'!$N:$N,MATCH($D615,'Paramètres'!$M:$M,0))&amp;"",""))))),1,0))</f>
        <v>0</v>
      </c>
      <c r="Q615" s="6">
        <f>IF($K615="","",IF(ISNUMBER(SEARCH("transfert-interne",IFERROR(INDEX('Paramètres'!$N:$N,MATCH($D615,'Paramètres'!$M:$M,0))&amp;"",""))),0,IF($L615="Débit",$K615,IF($P615=1,-$K615,0))))</f>
        <v>47.9</v>
      </c>
      <c r="R615" s="6">
        <f>IF($K615="","",IF($L615="Crédit",$K615,-$K615))</f>
        <v>-47.9</v>
      </c>
      <c r="S615" s="6" t="str">
        <f>IF($C615="","",IFERROR(INDEX('Paramètres'!$H:$H,MATCH($C615,'Paramètres'!$D:$D,0))&amp;"",""))</f>
        <v/>
      </c>
      <c r="T615" s="6">
        <f>IF($K615="","",IF($S615="",0,IF(ISNUMBER(SEARCH("apport-exterieur",IFERROR(INDEX('Paramètres'!$N:$N,MATCH($D615,'Paramètres'!$M:$M,0))&amp;"",""))),0,IF(OR(IFERROR(INDEX('Paramètres'!$I:$I,MATCH($C615,'Paramètres'!$D:$D,0))&amp;"","")="Les deux",IFERROR(INDEX('Paramètres'!$I:$I,MATCH($C615,'Paramètres'!$D:$D,0))&amp;"","")=IF($P615=1,"Débit",$L615)),-IF($P615=1,-$K615,$K615),0))))</f>
        <v>0</v>
      </c>
      <c r="U615" s="6">
        <f>IF($K615="","",IF(ISNUMBER(SEARCH("sortie-epargne",IFERROR(INDEX('Paramètres'!$N:$N,MATCH($D615,'Paramètres'!$M:$M,0))&amp;"",""))),$K615,0))</f>
        <v>0</v>
      </c>
      <c r="V615" s="6" t="str">
        <f>IF(AND($A615&lt;&gt;"",$O615=1,$L615="Débit",N($Q615)&gt;0,$A615&gt;=Visualisation!$B$1,$A615&lt;Visualisation!$D$1),MAX($V$1:V614)+1,"")</f>
        <v/>
      </c>
    </row>
    <row r="616" spans="1:22" x14ac:dyDescent="0.25">
      <c r="A616" s="9">
        <v>45973</v>
      </c>
      <c r="B616" s="4" t="s">
        <v>76</v>
      </c>
      <c r="C616" s="4" t="s">
        <v>67</v>
      </c>
      <c r="D616" s="4" t="s">
        <v>77</v>
      </c>
      <c r="E616" s="10">
        <v>107.86</v>
      </c>
      <c r="G616" s="4" t="s">
        <v>95</v>
      </c>
      <c r="H616" s="4"/>
      <c r="I616" s="4" t="s">
        <v>73</v>
      </c>
      <c r="K616" s="11">
        <f>IF($E616="","",ROUND($E616*IF(ISNA(MATCH($C616,'Paramètres'!$D:$D,0)),1,IF(INDEX('Paramètres'!$J:$J,MATCH($C616,'Paramètres'!$D:$D,0))="",1,INDEX('Paramètres'!$J:$J,MATCH($C616,'Paramètres'!$D:$D,0)))),2))</f>
        <v>53.93</v>
      </c>
      <c r="L616" s="6" t="str">
        <f>IF($D616="","",IF($F616&lt;&gt;"",$F616,IF(ISNA(MATCH($D616,'Paramètres'!$M:$M,0)),"⚠ Type inconnu",IFERROR(INDEX('Paramètres'!$P:$P,MATCH($D616,'Paramètres'!$M:$M,0))&amp;"",""))))</f>
        <v>Débit</v>
      </c>
      <c r="M616" s="6" t="str">
        <f>IF($D616="","",IF(ISNA(MATCH($D616,'Paramètres'!$M:$M,0)),"⚠ Type inconnu",IF($L616="Crédit","",IFERROR(INDEX('Paramètres'!$O:$O,MATCH($D616,'Paramètres'!$M:$M,0))&amp;"",""))))</f>
        <v>Dépense Courante</v>
      </c>
      <c r="N616" s="6" t="str">
        <f>IF($D616="","",IFERROR(INDEX('Paramètres'!$Q:$Q,MATCH($D616,'Paramètres'!$M:$M,0))&amp;"",""))</f>
        <v>Alimentation</v>
      </c>
      <c r="O616" s="6">
        <f>IF($A616="","",IF(OR($J616&lt;&gt;"x",$A616&lt;=FinReleve),1,0))</f>
        <v>1</v>
      </c>
      <c r="P616" s="6">
        <f>IF($D616="","",IF(AND($L616="Crédit",OR(IFERROR(INDEX('Paramètres'!$O:$O,MATCH($D616,'Paramètres'!$M:$M,0))&amp;"","")&lt;&gt;"",ISNUMBER(SEARCH("remboursement",IFERROR(INDEX('Paramètres'!$N:$N,MATCH($D616,'Paramètres'!$M:$M,0))&amp;"",""))))),1,0))</f>
        <v>0</v>
      </c>
      <c r="Q616" s="6">
        <f>IF($K616="","",IF(ISNUMBER(SEARCH("transfert-interne",IFERROR(INDEX('Paramètres'!$N:$N,MATCH($D616,'Paramètres'!$M:$M,0))&amp;"",""))),0,IF($L616="Débit",$K616,IF($P616=1,-$K616,0))))</f>
        <v>53.93</v>
      </c>
      <c r="R616" s="6">
        <f>IF($K616="","",IF($L616="Crédit",$K616,-$K616))</f>
        <v>-53.93</v>
      </c>
      <c r="S616" s="6" t="str">
        <f>IF($C616="","",IFERROR(INDEX('Paramètres'!$H:$H,MATCH($C616,'Paramètres'!$D:$D,0))&amp;"",""))</f>
        <v>Banque A - Courant</v>
      </c>
      <c r="T616" s="6">
        <f>IF($K616="","",IF($S616="",0,IF(ISNUMBER(SEARCH("apport-exterieur",IFERROR(INDEX('Paramètres'!$N:$N,MATCH($D616,'Paramètres'!$M:$M,0))&amp;"",""))),0,IF(OR(IFERROR(INDEX('Paramètres'!$I:$I,MATCH($C616,'Paramètres'!$D:$D,0))&amp;"","")="Les deux",IFERROR(INDEX('Paramètres'!$I:$I,MATCH($C616,'Paramètres'!$D:$D,0))&amp;"","")=IF($P616=1,"Débit",$L616)),-IF($P616=1,-$K616,$K616),0))))</f>
        <v>0</v>
      </c>
      <c r="U616" s="6">
        <f>IF($K616="","",IF(ISNUMBER(SEARCH("sortie-epargne",IFERROR(INDEX('Paramètres'!$N:$N,MATCH($D616,'Paramètres'!$M:$M,0))&amp;"",""))),$K616,0))</f>
        <v>0</v>
      </c>
      <c r="V616" s="6" t="str">
        <f>IF(AND($A616&lt;&gt;"",$O616=1,$L616="Débit",N($Q616)&gt;0,$A616&gt;=Visualisation!$B$1,$A616&lt;Visualisation!$D$1),MAX($V$1:V615)+1,"")</f>
        <v/>
      </c>
    </row>
    <row r="617" spans="1:22" x14ac:dyDescent="0.25">
      <c r="A617" s="9">
        <v>45974</v>
      </c>
      <c r="B617" s="4" t="s">
        <v>105</v>
      </c>
      <c r="C617" s="4" t="s">
        <v>75</v>
      </c>
      <c r="D617" s="4" t="s">
        <v>106</v>
      </c>
      <c r="E617" s="10">
        <v>270.37</v>
      </c>
      <c r="G617" s="4"/>
      <c r="H617" s="4"/>
      <c r="I617" s="4"/>
      <c r="K617" s="11">
        <f>IF($E617="","",ROUND($E617*IF(ISNA(MATCH($C617,'Paramètres'!$D:$D,0)),1,IF(INDEX('Paramètres'!$J:$J,MATCH($C617,'Paramètres'!$D:$D,0))="",1,INDEX('Paramètres'!$J:$J,MATCH($C617,'Paramètres'!$D:$D,0)))),2))</f>
        <v>270.37</v>
      </c>
      <c r="L617" s="6" t="str">
        <f>IF($D617="","",IF($F617&lt;&gt;"",$F617,IF(ISNA(MATCH($D617,'Paramètres'!$M:$M,0)),"⚠ Type inconnu",IFERROR(INDEX('Paramètres'!$P:$P,MATCH($D617,'Paramètres'!$M:$M,0))&amp;"",""))))</f>
        <v>Débit</v>
      </c>
      <c r="M617" s="6" t="str">
        <f>IF($D617="","",IF(ISNA(MATCH($D617,'Paramètres'!$M:$M,0)),"⚠ Type inconnu",IF($L617="Crédit","",IFERROR(INDEX('Paramètres'!$O:$O,MATCH($D617,'Paramètres'!$M:$M,0))&amp;"",""))))</f>
        <v/>
      </c>
      <c r="N617" s="6" t="str">
        <f>IF($D617="","",IFERROR(INDEX('Paramètres'!$Q:$Q,MATCH($D617,'Paramètres'!$M:$M,0))&amp;"",""))</f>
        <v>Comptes Bancaires</v>
      </c>
      <c r="O617" s="6">
        <f>IF($A617="","",IF(OR($J617&lt;&gt;"x",$A617&lt;=FinReleve),1,0))</f>
        <v>1</v>
      </c>
      <c r="P617" s="6">
        <f>IF($D617="","",IF(AND($L617="Crédit",OR(IFERROR(INDEX('Paramètres'!$O:$O,MATCH($D617,'Paramètres'!$M:$M,0))&amp;"","")&lt;&gt;"",ISNUMBER(SEARCH("remboursement",IFERROR(INDEX('Paramètres'!$N:$N,MATCH($D617,'Paramètres'!$M:$M,0))&amp;"",""))))),1,0))</f>
        <v>0</v>
      </c>
      <c r="Q617" s="6">
        <f>IF($K617="","",IF(ISNUMBER(SEARCH("transfert-interne",IFERROR(INDEX('Paramètres'!$N:$N,MATCH($D617,'Paramètres'!$M:$M,0))&amp;"",""))),0,IF($L617="Débit",$K617,IF($P617=1,-$K617,0))))</f>
        <v>270.37</v>
      </c>
      <c r="R617" s="6">
        <f>IF($K617="","",IF($L617="Crédit",$K617,-$K617))</f>
        <v>-270.37</v>
      </c>
      <c r="S617" s="6" t="str">
        <f>IF($C617="","",IFERROR(INDEX('Paramètres'!$H:$H,MATCH($C617,'Paramètres'!$D:$D,0))&amp;"",""))</f>
        <v/>
      </c>
      <c r="T617" s="6">
        <f>IF($K617="","",IF($S617="",0,IF(ISNUMBER(SEARCH("apport-exterieur",IFERROR(INDEX('Paramètres'!$N:$N,MATCH($D617,'Paramètres'!$M:$M,0))&amp;"",""))),0,IF(OR(IFERROR(INDEX('Paramètres'!$I:$I,MATCH($C617,'Paramètres'!$D:$D,0))&amp;"","")="Les deux",IFERROR(INDEX('Paramètres'!$I:$I,MATCH($C617,'Paramètres'!$D:$D,0))&amp;"","")=IF($P617=1,"Débit",$L617)),-IF($P617=1,-$K617,$K617),0))))</f>
        <v>0</v>
      </c>
      <c r="U617" s="6">
        <f>IF($K617="","",IF(ISNUMBER(SEARCH("sortie-epargne",IFERROR(INDEX('Paramètres'!$N:$N,MATCH($D617,'Paramètres'!$M:$M,0))&amp;"",""))),$K617,0))</f>
        <v>0</v>
      </c>
      <c r="V617" s="6" t="str">
        <f>IF(AND($A617&lt;&gt;"",$O617=1,$L617="Débit",N($Q617)&gt;0,$A617&gt;=Visualisation!$B$1,$A617&lt;Visualisation!$D$1),MAX($V$1:V616)+1,"")</f>
        <v/>
      </c>
    </row>
    <row r="618" spans="1:22" x14ac:dyDescent="0.25">
      <c r="A618" s="9">
        <v>45974</v>
      </c>
      <c r="B618" s="4" t="s">
        <v>49</v>
      </c>
      <c r="C618" s="4" t="s">
        <v>67</v>
      </c>
      <c r="D618" s="4" t="s">
        <v>101</v>
      </c>
      <c r="E618" s="10">
        <v>271.8</v>
      </c>
      <c r="G618" s="4"/>
      <c r="H618" s="4"/>
      <c r="I618" s="4"/>
      <c r="K618" s="11">
        <f>IF($E618="","",ROUND($E618*IF(ISNA(MATCH($C618,'Paramètres'!$D:$D,0)),1,IF(INDEX('Paramètres'!$J:$J,MATCH($C618,'Paramètres'!$D:$D,0))="",1,INDEX('Paramètres'!$J:$J,MATCH($C618,'Paramètres'!$D:$D,0)))),2))</f>
        <v>135.9</v>
      </c>
      <c r="L618" s="6" t="str">
        <f>IF($D618="","",IF($F618&lt;&gt;"",$F618,IF(ISNA(MATCH($D618,'Paramètres'!$M:$M,0)),"⚠ Type inconnu",IFERROR(INDEX('Paramètres'!$P:$P,MATCH($D618,'Paramètres'!$M:$M,0))&amp;"",""))))</f>
        <v>Crédit</v>
      </c>
      <c r="M618" s="6" t="str">
        <f>IF($D618="","",IF(ISNA(MATCH($D618,'Paramètres'!$M:$M,0)),"⚠ Type inconnu",IF($L618="Crédit","",IFERROR(INDEX('Paramètres'!$O:$O,MATCH($D618,'Paramètres'!$M:$M,0))&amp;"",""))))</f>
        <v/>
      </c>
      <c r="N618" s="6" t="str">
        <f>IF($D618="","",IFERROR(INDEX('Paramètres'!$Q:$Q,MATCH($D618,'Paramètres'!$M:$M,0))&amp;"",""))</f>
        <v>Comptes Bancaires</v>
      </c>
      <c r="O618" s="6">
        <f>IF($A618="","",IF(OR($J618&lt;&gt;"x",$A618&lt;=FinReleve),1,0))</f>
        <v>1</v>
      </c>
      <c r="P618" s="6">
        <f>IF($D618="","",IF(AND($L618="Crédit",OR(IFERROR(INDEX('Paramètres'!$O:$O,MATCH($D618,'Paramètres'!$M:$M,0))&amp;"","")&lt;&gt;"",ISNUMBER(SEARCH("remboursement",IFERROR(INDEX('Paramètres'!$N:$N,MATCH($D618,'Paramètres'!$M:$M,0))&amp;"",""))))),1,0))</f>
        <v>0</v>
      </c>
      <c r="Q618" s="6">
        <f>IF($K618="","",IF(ISNUMBER(SEARCH("transfert-interne",IFERROR(INDEX('Paramètres'!$N:$N,MATCH($D618,'Paramètres'!$M:$M,0))&amp;"",""))),0,IF($L618="Débit",$K618,IF($P618=1,-$K618,0))))</f>
        <v>0</v>
      </c>
      <c r="R618" s="6">
        <f>IF($K618="","",IF($L618="Crédit",$K618,-$K618))</f>
        <v>135.9</v>
      </c>
      <c r="S618" s="6" t="str">
        <f>IF($C618="","",IFERROR(INDEX('Paramètres'!$H:$H,MATCH($C618,'Paramètres'!$D:$D,0))&amp;"",""))</f>
        <v>Banque A - Courant</v>
      </c>
      <c r="T618" s="6">
        <f>IF($K618="","",IF($S618="",0,IF(ISNUMBER(SEARCH("apport-exterieur",IFERROR(INDEX('Paramètres'!$N:$N,MATCH($D618,'Paramètres'!$M:$M,0))&amp;"",""))),0,IF(OR(IFERROR(INDEX('Paramètres'!$I:$I,MATCH($C618,'Paramètres'!$D:$D,0))&amp;"","")="Les deux",IFERROR(INDEX('Paramètres'!$I:$I,MATCH($C618,'Paramètres'!$D:$D,0))&amp;"","")=IF($P618=1,"Débit",$L618)),-IF($P618=1,-$K618,$K618),0))))</f>
        <v>0</v>
      </c>
      <c r="U618" s="6">
        <f>IF($K618="","",IF(ISNUMBER(SEARCH("sortie-epargne",IFERROR(INDEX('Paramètres'!$N:$N,MATCH($D618,'Paramètres'!$M:$M,0))&amp;"",""))),$K618,0))</f>
        <v>0</v>
      </c>
      <c r="V618" s="6" t="str">
        <f>IF(AND($A618&lt;&gt;"",$O618=1,$L618="Débit",N($Q618)&gt;0,$A618&gt;=Visualisation!$B$1,$A618&lt;Visualisation!$D$1),MAX($V$1:V617)+1,"")</f>
        <v/>
      </c>
    </row>
    <row r="619" spans="1:22" x14ac:dyDescent="0.25">
      <c r="A619" s="9">
        <v>45976</v>
      </c>
      <c r="B619" s="4" t="s">
        <v>100</v>
      </c>
      <c r="C619" s="4" t="s">
        <v>65</v>
      </c>
      <c r="D619" s="4" t="s">
        <v>100</v>
      </c>
      <c r="E619" s="10">
        <v>66.11</v>
      </c>
      <c r="G619" s="4"/>
      <c r="H619" s="4"/>
      <c r="I619" s="4"/>
      <c r="K619" s="11">
        <f>IF($E619="","",ROUND($E619*IF(ISNA(MATCH($C619,'Paramètres'!$D:$D,0)),1,IF(INDEX('Paramètres'!$J:$J,MATCH($C619,'Paramètres'!$D:$D,0))="",1,INDEX('Paramètres'!$J:$J,MATCH($C619,'Paramètres'!$D:$D,0)))),2))</f>
        <v>66.11</v>
      </c>
      <c r="L619" s="6" t="str">
        <f>IF($D619="","",IF($F619&lt;&gt;"",$F619,IF(ISNA(MATCH($D619,'Paramètres'!$M:$M,0)),"⚠ Type inconnu",IFERROR(INDEX('Paramètres'!$P:$P,MATCH($D619,'Paramètres'!$M:$M,0))&amp;"",""))))</f>
        <v>Débit</v>
      </c>
      <c r="M619" s="6" t="str">
        <f>IF($D619="","",IF(ISNA(MATCH($D619,'Paramètres'!$M:$M,0)),"⚠ Type inconnu",IF($L619="Crédit","",IFERROR(INDEX('Paramètres'!$O:$O,MATCH($D619,'Paramètres'!$M:$M,0))&amp;"",""))))</f>
        <v>Dépense Fixe</v>
      </c>
      <c r="N619" s="6" t="str">
        <f>IF($D619="","",IFERROR(INDEX('Paramètres'!$Q:$Q,MATCH($D619,'Paramètres'!$M:$M,0))&amp;"",""))</f>
        <v>Immobilier</v>
      </c>
      <c r="O619" s="6">
        <f>IF($A619="","",IF(OR($J619&lt;&gt;"x",$A619&lt;=FinReleve),1,0))</f>
        <v>1</v>
      </c>
      <c r="P619" s="6">
        <f>IF($D619="","",IF(AND($L619="Crédit",OR(IFERROR(INDEX('Paramètres'!$O:$O,MATCH($D619,'Paramètres'!$M:$M,0))&amp;"","")&lt;&gt;"",ISNUMBER(SEARCH("remboursement",IFERROR(INDEX('Paramètres'!$N:$N,MATCH($D619,'Paramètres'!$M:$M,0))&amp;"",""))))),1,0))</f>
        <v>0</v>
      </c>
      <c r="Q619" s="6">
        <f>IF($K619="","",IF(ISNUMBER(SEARCH("transfert-interne",IFERROR(INDEX('Paramètres'!$N:$N,MATCH($D619,'Paramètres'!$M:$M,0))&amp;"",""))),0,IF($L619="Débit",$K619,IF($P619=1,-$K619,0))))</f>
        <v>66.11</v>
      </c>
      <c r="R619" s="6">
        <f>IF($K619="","",IF($L619="Crédit",$K619,-$K619))</f>
        <v>-66.11</v>
      </c>
      <c r="S619" s="6" t="str">
        <f>IF($C619="","",IFERROR(INDEX('Paramètres'!$H:$H,MATCH($C619,'Paramètres'!$D:$D,0))&amp;"",""))</f>
        <v>Banque A - Courant</v>
      </c>
      <c r="T619" s="6">
        <f>IF($K619="","",IF($S619="",0,IF(ISNUMBER(SEARCH("apport-exterieur",IFERROR(INDEX('Paramètres'!$N:$N,MATCH($D619,'Paramètres'!$M:$M,0))&amp;"",""))),0,IF(OR(IFERROR(INDEX('Paramètres'!$I:$I,MATCH($C619,'Paramètres'!$D:$D,0))&amp;"","")="Les deux",IFERROR(INDEX('Paramètres'!$I:$I,MATCH($C619,'Paramètres'!$D:$D,0))&amp;"","")=IF($P619=1,"Débit",$L619)),-IF($P619=1,-$K619,$K619),0))))</f>
        <v>0</v>
      </c>
      <c r="U619" s="6">
        <f>IF($K619="","",IF(ISNUMBER(SEARCH("sortie-epargne",IFERROR(INDEX('Paramètres'!$N:$N,MATCH($D619,'Paramètres'!$M:$M,0))&amp;"",""))),$K619,0))</f>
        <v>0</v>
      </c>
      <c r="V619" s="6" t="str">
        <f>IF(AND($A619&lt;&gt;"",$O619=1,$L619="Débit",N($Q619)&gt;0,$A619&gt;=Visualisation!$B$1,$A619&lt;Visualisation!$D$1),MAX($V$1:V618)+1,"")</f>
        <v/>
      </c>
    </row>
    <row r="620" spans="1:22" x14ac:dyDescent="0.25">
      <c r="A620" s="9">
        <v>45976</v>
      </c>
      <c r="B620" s="4" t="s">
        <v>76</v>
      </c>
      <c r="C620" s="4" t="s">
        <v>67</v>
      </c>
      <c r="D620" s="4" t="s">
        <v>77</v>
      </c>
      <c r="E620" s="10">
        <v>28.06</v>
      </c>
      <c r="G620" s="4" t="s">
        <v>78</v>
      </c>
      <c r="H620" s="4"/>
      <c r="I620" s="4" t="s">
        <v>63</v>
      </c>
      <c r="K620" s="11">
        <f>IF($E620="","",ROUND($E620*IF(ISNA(MATCH($C620,'Paramètres'!$D:$D,0)),1,IF(INDEX('Paramètres'!$J:$J,MATCH($C620,'Paramètres'!$D:$D,0))="",1,INDEX('Paramètres'!$J:$J,MATCH($C620,'Paramètres'!$D:$D,0)))),2))</f>
        <v>14.03</v>
      </c>
      <c r="L620" s="6" t="str">
        <f>IF($D620="","",IF($F620&lt;&gt;"",$F620,IF(ISNA(MATCH($D620,'Paramètres'!$M:$M,0)),"⚠ Type inconnu",IFERROR(INDEX('Paramètres'!$P:$P,MATCH($D620,'Paramètres'!$M:$M,0))&amp;"",""))))</f>
        <v>Débit</v>
      </c>
      <c r="M620" s="6" t="str">
        <f>IF($D620="","",IF(ISNA(MATCH($D620,'Paramètres'!$M:$M,0)),"⚠ Type inconnu",IF($L620="Crédit","",IFERROR(INDEX('Paramètres'!$O:$O,MATCH($D620,'Paramètres'!$M:$M,0))&amp;"",""))))</f>
        <v>Dépense Courante</v>
      </c>
      <c r="N620" s="6" t="str">
        <f>IF($D620="","",IFERROR(INDEX('Paramètres'!$Q:$Q,MATCH($D620,'Paramètres'!$M:$M,0))&amp;"",""))</f>
        <v>Alimentation</v>
      </c>
      <c r="O620" s="6">
        <f>IF($A620="","",IF(OR($J620&lt;&gt;"x",$A620&lt;=FinReleve),1,0))</f>
        <v>1</v>
      </c>
      <c r="P620" s="6">
        <f>IF($D620="","",IF(AND($L620="Crédit",OR(IFERROR(INDEX('Paramètres'!$O:$O,MATCH($D620,'Paramètres'!$M:$M,0))&amp;"","")&lt;&gt;"",ISNUMBER(SEARCH("remboursement",IFERROR(INDEX('Paramètres'!$N:$N,MATCH($D620,'Paramètres'!$M:$M,0))&amp;"",""))))),1,0))</f>
        <v>0</v>
      </c>
      <c r="Q620" s="6">
        <f>IF($K620="","",IF(ISNUMBER(SEARCH("transfert-interne",IFERROR(INDEX('Paramètres'!$N:$N,MATCH($D620,'Paramètres'!$M:$M,0))&amp;"",""))),0,IF($L620="Débit",$K620,IF($P620=1,-$K620,0))))</f>
        <v>14.03</v>
      </c>
      <c r="R620" s="6">
        <f>IF($K620="","",IF($L620="Crédit",$K620,-$K620))</f>
        <v>-14.03</v>
      </c>
      <c r="S620" s="6" t="str">
        <f>IF($C620="","",IFERROR(INDEX('Paramètres'!$H:$H,MATCH($C620,'Paramètres'!$D:$D,0))&amp;"",""))</f>
        <v>Banque A - Courant</v>
      </c>
      <c r="T620" s="6">
        <f>IF($K620="","",IF($S620="",0,IF(ISNUMBER(SEARCH("apport-exterieur",IFERROR(INDEX('Paramètres'!$N:$N,MATCH($D620,'Paramètres'!$M:$M,0))&amp;"",""))),0,IF(OR(IFERROR(INDEX('Paramètres'!$I:$I,MATCH($C620,'Paramètres'!$D:$D,0))&amp;"","")="Les deux",IFERROR(INDEX('Paramètres'!$I:$I,MATCH($C620,'Paramètres'!$D:$D,0))&amp;"","")=IF($P620=1,"Débit",$L620)),-IF($P620=1,-$K620,$K620),0))))</f>
        <v>0</v>
      </c>
      <c r="U620" s="6">
        <f>IF($K620="","",IF(ISNUMBER(SEARCH("sortie-epargne",IFERROR(INDEX('Paramètres'!$N:$N,MATCH($D620,'Paramètres'!$M:$M,0))&amp;"",""))),$K620,0))</f>
        <v>0</v>
      </c>
      <c r="V620" s="6" t="str">
        <f>IF(AND($A620&lt;&gt;"",$O620=1,$L620="Débit",N($Q620)&gt;0,$A620&gt;=Visualisation!$B$1,$A620&lt;Visualisation!$D$1),MAX($V$1:V619)+1,"")</f>
        <v/>
      </c>
    </row>
    <row r="621" spans="1:22" x14ac:dyDescent="0.25">
      <c r="A621" s="9">
        <v>45977</v>
      </c>
      <c r="B621" s="4" t="s">
        <v>76</v>
      </c>
      <c r="C621" s="4" t="s">
        <v>60</v>
      </c>
      <c r="D621" s="4" t="s">
        <v>77</v>
      </c>
      <c r="E621" s="10">
        <v>178.46</v>
      </c>
      <c r="G621" s="4" t="s">
        <v>95</v>
      </c>
      <c r="H621" s="4"/>
      <c r="I621" s="4" t="s">
        <v>79</v>
      </c>
      <c r="K621" s="11">
        <f>IF($E621="","",ROUND($E621*IF(ISNA(MATCH($C621,'Paramètres'!$D:$D,0)),1,IF(INDEX('Paramètres'!$J:$J,MATCH($C621,'Paramètres'!$D:$D,0))="",1,INDEX('Paramètres'!$J:$J,MATCH($C621,'Paramètres'!$D:$D,0)))),2))</f>
        <v>89.23</v>
      </c>
      <c r="L621" s="6" t="str">
        <f>IF($D621="","",IF($F621&lt;&gt;"",$F621,IF(ISNA(MATCH($D621,'Paramètres'!$M:$M,0)),"⚠ Type inconnu",IFERROR(INDEX('Paramètres'!$P:$P,MATCH($D621,'Paramètres'!$M:$M,0))&amp;"",""))))</f>
        <v>Débit</v>
      </c>
      <c r="M621" s="6" t="str">
        <f>IF($D621="","",IF(ISNA(MATCH($D621,'Paramètres'!$M:$M,0)),"⚠ Type inconnu",IF($L621="Crédit","",IFERROR(INDEX('Paramètres'!$O:$O,MATCH($D621,'Paramètres'!$M:$M,0))&amp;"",""))))</f>
        <v>Dépense Courante</v>
      </c>
      <c r="N621" s="6" t="str">
        <f>IF($D621="","",IFERROR(INDEX('Paramètres'!$Q:$Q,MATCH($D621,'Paramètres'!$M:$M,0))&amp;"",""))</f>
        <v>Alimentation</v>
      </c>
      <c r="O621" s="6">
        <f>IF($A621="","",IF(OR($J621&lt;&gt;"x",$A621&lt;=FinReleve),1,0))</f>
        <v>1</v>
      </c>
      <c r="P621" s="6">
        <f>IF($D621="","",IF(AND($L621="Crédit",OR(IFERROR(INDEX('Paramètres'!$O:$O,MATCH($D621,'Paramètres'!$M:$M,0))&amp;"","")&lt;&gt;"",ISNUMBER(SEARCH("remboursement",IFERROR(INDEX('Paramètres'!$N:$N,MATCH($D621,'Paramètres'!$M:$M,0))&amp;"",""))))),1,0))</f>
        <v>0</v>
      </c>
      <c r="Q621" s="6">
        <f>IF($K621="","",IF(ISNUMBER(SEARCH("transfert-interne",IFERROR(INDEX('Paramètres'!$N:$N,MATCH($D621,'Paramètres'!$M:$M,0))&amp;"",""))),0,IF($L621="Débit",$K621,IF($P621=1,-$K621,0))))</f>
        <v>89.23</v>
      </c>
      <c r="R621" s="6">
        <f>IF($K621="","",IF($L621="Crédit",$K621,-$K621))</f>
        <v>-89.23</v>
      </c>
      <c r="S621" s="6" t="str">
        <f>IF($C621="","",IFERROR(INDEX('Paramètres'!$H:$H,MATCH($C621,'Paramètres'!$D:$D,0))&amp;"",""))</f>
        <v>Banque A - Courant</v>
      </c>
      <c r="T621" s="6">
        <f>IF($K621="","",IF($S621="",0,IF(ISNUMBER(SEARCH("apport-exterieur",IFERROR(INDEX('Paramètres'!$N:$N,MATCH($D621,'Paramètres'!$M:$M,0))&amp;"",""))),0,IF(OR(IFERROR(INDEX('Paramètres'!$I:$I,MATCH($C621,'Paramètres'!$D:$D,0))&amp;"","")="Les deux",IFERROR(INDEX('Paramètres'!$I:$I,MATCH($C621,'Paramètres'!$D:$D,0))&amp;"","")=IF($P621=1,"Débit",$L621)),-IF($P621=1,-$K621,$K621),0))))</f>
        <v>-89.23</v>
      </c>
      <c r="U621" s="6">
        <f>IF($K621="","",IF(ISNUMBER(SEARCH("sortie-epargne",IFERROR(INDEX('Paramètres'!$N:$N,MATCH($D621,'Paramètres'!$M:$M,0))&amp;"",""))),$K621,0))</f>
        <v>0</v>
      </c>
      <c r="V621" s="6" t="str">
        <f>IF(AND($A621&lt;&gt;"",$O621=1,$L621="Débit",N($Q621)&gt;0,$A621&gt;=Visualisation!$B$1,$A621&lt;Visualisation!$D$1),MAX($V$1:V620)+1,"")</f>
        <v/>
      </c>
    </row>
    <row r="622" spans="1:22" x14ac:dyDescent="0.25">
      <c r="A622" s="9">
        <v>45977</v>
      </c>
      <c r="B622" s="4" t="s">
        <v>69</v>
      </c>
      <c r="C622" s="4" t="s">
        <v>70</v>
      </c>
      <c r="D622" s="4" t="s">
        <v>71</v>
      </c>
      <c r="E622" s="10">
        <v>10.63</v>
      </c>
      <c r="G622" s="4" t="s">
        <v>72</v>
      </c>
      <c r="H622" s="4"/>
      <c r="I622" s="4"/>
      <c r="K622" s="11">
        <f>IF($E622="","",ROUND($E622*IF(ISNA(MATCH($C622,'Paramètres'!$D:$D,0)),1,IF(INDEX('Paramètres'!$J:$J,MATCH($C622,'Paramètres'!$D:$D,0))="",1,INDEX('Paramètres'!$J:$J,MATCH($C622,'Paramètres'!$D:$D,0)))),2))</f>
        <v>10.63</v>
      </c>
      <c r="L622" s="6" t="str">
        <f>IF($D622="","",IF($F622&lt;&gt;"",$F622,IF(ISNA(MATCH($D622,'Paramètres'!$M:$M,0)),"⚠ Type inconnu",IFERROR(INDEX('Paramètres'!$P:$P,MATCH($D622,'Paramètres'!$M:$M,0))&amp;"",""))))</f>
        <v>Débit</v>
      </c>
      <c r="M622" s="6" t="str">
        <f>IF($D622="","",IF(ISNA(MATCH($D622,'Paramètres'!$M:$M,0)),"⚠ Type inconnu",IF($L622="Crédit","",IFERROR(INDEX('Paramètres'!$O:$O,MATCH($D622,'Paramètres'!$M:$M,0))&amp;"",""))))</f>
        <v>Dépense Courante</v>
      </c>
      <c r="N622" s="6" t="str">
        <f>IF($D622="","",IFERROR(INDEX('Paramètres'!$Q:$Q,MATCH($D622,'Paramètres'!$M:$M,0))&amp;"",""))</f>
        <v>Alimentation</v>
      </c>
      <c r="O622" s="6">
        <f>IF($A622="","",IF(OR($J622&lt;&gt;"x",$A622&lt;=FinReleve),1,0))</f>
        <v>1</v>
      </c>
      <c r="P622" s="6">
        <f>IF($D622="","",IF(AND($L622="Crédit",OR(IFERROR(INDEX('Paramètres'!$O:$O,MATCH($D622,'Paramètres'!$M:$M,0))&amp;"","")&lt;&gt;"",ISNUMBER(SEARCH("remboursement",IFERROR(INDEX('Paramètres'!$N:$N,MATCH($D622,'Paramètres'!$M:$M,0))&amp;"",""))))),1,0))</f>
        <v>0</v>
      </c>
      <c r="Q622" s="6">
        <f>IF($K622="","",IF(ISNUMBER(SEARCH("transfert-interne",IFERROR(INDEX('Paramètres'!$N:$N,MATCH($D622,'Paramètres'!$M:$M,0))&amp;"",""))),0,IF($L622="Débit",$K622,IF($P622=1,-$K622,0))))</f>
        <v>10.63</v>
      </c>
      <c r="R622" s="6">
        <f>IF($K622="","",IF($L622="Crédit",$K622,-$K622))</f>
        <v>-10.63</v>
      </c>
      <c r="S622" s="6" t="str">
        <f>IF($C622="","",IFERROR(INDEX('Paramètres'!$H:$H,MATCH($C622,'Paramètres'!$D:$D,0))&amp;"",""))</f>
        <v/>
      </c>
      <c r="T622" s="6">
        <f>IF($K622="","",IF($S622="",0,IF(ISNUMBER(SEARCH("apport-exterieur",IFERROR(INDEX('Paramètres'!$N:$N,MATCH($D622,'Paramètres'!$M:$M,0))&amp;"",""))),0,IF(OR(IFERROR(INDEX('Paramètres'!$I:$I,MATCH($C622,'Paramètres'!$D:$D,0))&amp;"","")="Les deux",IFERROR(INDEX('Paramètres'!$I:$I,MATCH($C622,'Paramètres'!$D:$D,0))&amp;"","")=IF($P622=1,"Débit",$L622)),-IF($P622=1,-$K622,$K622),0))))</f>
        <v>0</v>
      </c>
      <c r="U622" s="6">
        <f>IF($K622="","",IF(ISNUMBER(SEARCH("sortie-epargne",IFERROR(INDEX('Paramètres'!$N:$N,MATCH($D622,'Paramètres'!$M:$M,0))&amp;"",""))),$K622,0))</f>
        <v>0</v>
      </c>
      <c r="V622" s="6" t="str">
        <f>IF(AND($A622&lt;&gt;"",$O622=1,$L622="Débit",N($Q622)&gt;0,$A622&gt;=Visualisation!$B$1,$A622&lt;Visualisation!$D$1),MAX($V$1:V621)+1,"")</f>
        <v/>
      </c>
    </row>
    <row r="623" spans="1:22" x14ac:dyDescent="0.25">
      <c r="A623" s="9">
        <v>45978</v>
      </c>
      <c r="B623" s="4" t="s">
        <v>69</v>
      </c>
      <c r="C623" s="4" t="s">
        <v>70</v>
      </c>
      <c r="D623" s="4" t="s">
        <v>71</v>
      </c>
      <c r="E623" s="10">
        <v>9.09</v>
      </c>
      <c r="G623" s="4" t="s">
        <v>72</v>
      </c>
      <c r="H623" s="4"/>
      <c r="I623" s="4" t="s">
        <v>63</v>
      </c>
      <c r="K623" s="11">
        <f>IF($E623="","",ROUND($E623*IF(ISNA(MATCH($C623,'Paramètres'!$D:$D,0)),1,IF(INDEX('Paramètres'!$J:$J,MATCH($C623,'Paramètres'!$D:$D,0))="",1,INDEX('Paramètres'!$J:$J,MATCH($C623,'Paramètres'!$D:$D,0)))),2))</f>
        <v>9.09</v>
      </c>
      <c r="L623" s="6" t="str">
        <f>IF($D623="","",IF($F623&lt;&gt;"",$F623,IF(ISNA(MATCH($D623,'Paramètres'!$M:$M,0)),"⚠ Type inconnu",IFERROR(INDEX('Paramètres'!$P:$P,MATCH($D623,'Paramètres'!$M:$M,0))&amp;"",""))))</f>
        <v>Débit</v>
      </c>
      <c r="M623" s="6" t="str">
        <f>IF($D623="","",IF(ISNA(MATCH($D623,'Paramètres'!$M:$M,0)),"⚠ Type inconnu",IF($L623="Crédit","",IFERROR(INDEX('Paramètres'!$O:$O,MATCH($D623,'Paramètres'!$M:$M,0))&amp;"",""))))</f>
        <v>Dépense Courante</v>
      </c>
      <c r="N623" s="6" t="str">
        <f>IF($D623="","",IFERROR(INDEX('Paramètres'!$Q:$Q,MATCH($D623,'Paramètres'!$M:$M,0))&amp;"",""))</f>
        <v>Alimentation</v>
      </c>
      <c r="O623" s="6">
        <f>IF($A623="","",IF(OR($J623&lt;&gt;"x",$A623&lt;=FinReleve),1,0))</f>
        <v>1</v>
      </c>
      <c r="P623" s="6">
        <f>IF($D623="","",IF(AND($L623="Crédit",OR(IFERROR(INDEX('Paramètres'!$O:$O,MATCH($D623,'Paramètres'!$M:$M,0))&amp;"","")&lt;&gt;"",ISNUMBER(SEARCH("remboursement",IFERROR(INDEX('Paramètres'!$N:$N,MATCH($D623,'Paramètres'!$M:$M,0))&amp;"",""))))),1,0))</f>
        <v>0</v>
      </c>
      <c r="Q623" s="6">
        <f>IF($K623="","",IF(ISNUMBER(SEARCH("transfert-interne",IFERROR(INDEX('Paramètres'!$N:$N,MATCH($D623,'Paramètres'!$M:$M,0))&amp;"",""))),0,IF($L623="Débit",$K623,IF($P623=1,-$K623,0))))</f>
        <v>9.09</v>
      </c>
      <c r="R623" s="6">
        <f>IF($K623="","",IF($L623="Crédit",$K623,-$K623))</f>
        <v>-9.09</v>
      </c>
      <c r="S623" s="6" t="str">
        <f>IF($C623="","",IFERROR(INDEX('Paramètres'!$H:$H,MATCH($C623,'Paramètres'!$D:$D,0))&amp;"",""))</f>
        <v/>
      </c>
      <c r="T623" s="6">
        <f>IF($K623="","",IF($S623="",0,IF(ISNUMBER(SEARCH("apport-exterieur",IFERROR(INDEX('Paramètres'!$N:$N,MATCH($D623,'Paramètres'!$M:$M,0))&amp;"",""))),0,IF(OR(IFERROR(INDEX('Paramètres'!$I:$I,MATCH($C623,'Paramètres'!$D:$D,0))&amp;"","")="Les deux",IFERROR(INDEX('Paramètres'!$I:$I,MATCH($C623,'Paramètres'!$D:$D,0))&amp;"","")=IF($P623=1,"Débit",$L623)),-IF($P623=1,-$K623,$K623),0))))</f>
        <v>0</v>
      </c>
      <c r="U623" s="6">
        <f>IF($K623="","",IF(ISNUMBER(SEARCH("sortie-epargne",IFERROR(INDEX('Paramètres'!$N:$N,MATCH($D623,'Paramètres'!$M:$M,0))&amp;"",""))),$K623,0))</f>
        <v>0</v>
      </c>
      <c r="V623" s="6" t="str">
        <f>IF(AND($A623&lt;&gt;"",$O623=1,$L623="Débit",N($Q623)&gt;0,$A623&gt;=Visualisation!$B$1,$A623&lt;Visualisation!$D$1),MAX($V$1:V622)+1,"")</f>
        <v/>
      </c>
    </row>
    <row r="624" spans="1:22" x14ac:dyDescent="0.25">
      <c r="A624" s="9">
        <v>45979</v>
      </c>
      <c r="B624" s="4" t="s">
        <v>103</v>
      </c>
      <c r="C624" s="4" t="s">
        <v>75</v>
      </c>
      <c r="D624" s="4" t="s">
        <v>103</v>
      </c>
      <c r="E624" s="10">
        <v>212</v>
      </c>
      <c r="G624" s="4"/>
      <c r="H624" s="4"/>
      <c r="I624" s="4"/>
      <c r="K624" s="11">
        <f>IF($E624="","",ROUND($E624*IF(ISNA(MATCH($C624,'Paramètres'!$D:$D,0)),1,IF(INDEX('Paramètres'!$J:$J,MATCH($C624,'Paramètres'!$D:$D,0))="",1,INDEX('Paramètres'!$J:$J,MATCH($C624,'Paramètres'!$D:$D,0)))),2))</f>
        <v>212</v>
      </c>
      <c r="L624" s="6" t="str">
        <f>IF($D624="","",IF($F624&lt;&gt;"",$F624,IF(ISNA(MATCH($D624,'Paramètres'!$M:$M,0)),"⚠ Type inconnu",IFERROR(INDEX('Paramètres'!$P:$P,MATCH($D624,'Paramètres'!$M:$M,0))&amp;"",""))))</f>
        <v>Débit</v>
      </c>
      <c r="M624" s="6" t="str">
        <f>IF($D624="","",IF(ISNA(MATCH($D624,'Paramètres'!$M:$M,0)),"⚠ Type inconnu",IF($L624="Crédit","",IFERROR(INDEX('Paramètres'!$O:$O,MATCH($D624,'Paramètres'!$M:$M,0))&amp;"",""))))</f>
        <v>Dépense Fixe</v>
      </c>
      <c r="N624" s="6" t="str">
        <f>IF($D624="","",IFERROR(INDEX('Paramètres'!$Q:$Q,MATCH($D624,'Paramètres'!$M:$M,0))&amp;"",""))</f>
        <v>Impots</v>
      </c>
      <c r="O624" s="6">
        <f>IF($A624="","",IF(OR($J624&lt;&gt;"x",$A624&lt;=FinReleve),1,0))</f>
        <v>1</v>
      </c>
      <c r="P624" s="6">
        <f>IF($D624="","",IF(AND($L624="Crédit",OR(IFERROR(INDEX('Paramètres'!$O:$O,MATCH($D624,'Paramètres'!$M:$M,0))&amp;"","")&lt;&gt;"",ISNUMBER(SEARCH("remboursement",IFERROR(INDEX('Paramètres'!$N:$N,MATCH($D624,'Paramètres'!$M:$M,0))&amp;"",""))))),1,0))</f>
        <v>0</v>
      </c>
      <c r="Q624" s="6">
        <f>IF($K624="","",IF(ISNUMBER(SEARCH("transfert-interne",IFERROR(INDEX('Paramètres'!$N:$N,MATCH($D624,'Paramètres'!$M:$M,0))&amp;"",""))),0,IF($L624="Débit",$K624,IF($P624=1,-$K624,0))))</f>
        <v>212</v>
      </c>
      <c r="R624" s="6">
        <f>IF($K624="","",IF($L624="Crédit",$K624,-$K624))</f>
        <v>-212</v>
      </c>
      <c r="S624" s="6" t="str">
        <f>IF($C624="","",IFERROR(INDEX('Paramètres'!$H:$H,MATCH($C624,'Paramètres'!$D:$D,0))&amp;"",""))</f>
        <v/>
      </c>
      <c r="T624" s="6">
        <f>IF($K624="","",IF($S624="",0,IF(ISNUMBER(SEARCH("apport-exterieur",IFERROR(INDEX('Paramètres'!$N:$N,MATCH($D624,'Paramètres'!$M:$M,0))&amp;"",""))),0,IF(OR(IFERROR(INDEX('Paramètres'!$I:$I,MATCH($C624,'Paramètres'!$D:$D,0))&amp;"","")="Les deux",IFERROR(INDEX('Paramètres'!$I:$I,MATCH($C624,'Paramètres'!$D:$D,0))&amp;"","")=IF($P624=1,"Débit",$L624)),-IF($P624=1,-$K624,$K624),0))))</f>
        <v>0</v>
      </c>
      <c r="U624" s="6">
        <f>IF($K624="","",IF(ISNUMBER(SEARCH("sortie-epargne",IFERROR(INDEX('Paramètres'!$N:$N,MATCH($D624,'Paramètres'!$M:$M,0))&amp;"",""))),$K624,0))</f>
        <v>0</v>
      </c>
      <c r="V624" s="6" t="str">
        <f>IF(AND($A624&lt;&gt;"",$O624=1,$L624="Débit",N($Q624)&gt;0,$A624&gt;=Visualisation!$B$1,$A624&lt;Visualisation!$D$1),MAX($V$1:V623)+1,"")</f>
        <v/>
      </c>
    </row>
    <row r="625" spans="1:22" x14ac:dyDescent="0.25">
      <c r="A625" s="9">
        <v>45982</v>
      </c>
      <c r="B625" s="4" t="s">
        <v>150</v>
      </c>
      <c r="C625" s="4" t="s">
        <v>151</v>
      </c>
      <c r="D625" s="4" t="s">
        <v>152</v>
      </c>
      <c r="E625" s="10">
        <v>386.61</v>
      </c>
      <c r="G625" s="4"/>
      <c r="H625" s="4"/>
      <c r="I625" s="4"/>
      <c r="K625" s="11">
        <f>IF($E625="","",ROUND($E625*IF(ISNA(MATCH($C625,'Paramètres'!$D:$D,0)),1,IF(INDEX('Paramètres'!$J:$J,MATCH($C625,'Paramètres'!$D:$D,0))="",1,INDEX('Paramètres'!$J:$J,MATCH($C625,'Paramètres'!$D:$D,0)))),2))</f>
        <v>386.61</v>
      </c>
      <c r="L625" s="6" t="str">
        <f>IF($D625="","",IF($F625&lt;&gt;"",$F625,IF(ISNA(MATCH($D625,'Paramètres'!$M:$M,0)),"⚠ Type inconnu",IFERROR(INDEX('Paramètres'!$P:$P,MATCH($D625,'Paramètres'!$M:$M,0))&amp;"",""))))</f>
        <v>Crédit</v>
      </c>
      <c r="M625" s="6" t="str">
        <f>IF($D625="","",IF(ISNA(MATCH($D625,'Paramètres'!$M:$M,0)),"⚠ Type inconnu",IF($L625="Crédit","",IFERROR(INDEX('Paramètres'!$O:$O,MATCH($D625,'Paramètres'!$M:$M,0))&amp;"",""))))</f>
        <v/>
      </c>
      <c r="N625" s="6" t="str">
        <f>IF($D625="","",IFERROR(INDEX('Paramètres'!$Q:$Q,MATCH($D625,'Paramètres'!$M:$M,0))&amp;"",""))</f>
        <v>Comptes Bancaires</v>
      </c>
      <c r="O625" s="6">
        <f>IF($A625="","",IF(OR($J625&lt;&gt;"x",$A625&lt;=FinReleve),1,0))</f>
        <v>1</v>
      </c>
      <c r="P625" s="6">
        <f>IF($D625="","",IF(AND($L625="Crédit",OR(IFERROR(INDEX('Paramètres'!$O:$O,MATCH($D625,'Paramètres'!$M:$M,0))&amp;"","")&lt;&gt;"",ISNUMBER(SEARCH("remboursement",IFERROR(INDEX('Paramètres'!$N:$N,MATCH($D625,'Paramètres'!$M:$M,0))&amp;"",""))))),1,0))</f>
        <v>0</v>
      </c>
      <c r="Q625" s="6">
        <f>IF($K625="","",IF(ISNUMBER(SEARCH("transfert-interne",IFERROR(INDEX('Paramètres'!$N:$N,MATCH($D625,'Paramètres'!$M:$M,0))&amp;"",""))),0,IF($L625="Débit",$K625,IF($P625=1,-$K625,0))))</f>
        <v>0</v>
      </c>
      <c r="R625" s="6">
        <f>IF($K625="","",IF($L625="Crédit",$K625,-$K625))</f>
        <v>386.61</v>
      </c>
      <c r="S625" s="6" t="str">
        <f>IF($C625="","",IFERROR(INDEX('Paramètres'!$H:$H,MATCH($C625,'Paramètres'!$D:$D,0))&amp;"",""))</f>
        <v/>
      </c>
      <c r="T625" s="6">
        <f>IF($K625="","",IF($S625="",0,IF(ISNUMBER(SEARCH("apport-exterieur",IFERROR(INDEX('Paramètres'!$N:$N,MATCH($D625,'Paramètres'!$M:$M,0))&amp;"",""))),0,IF(OR(IFERROR(INDEX('Paramètres'!$I:$I,MATCH($C625,'Paramètres'!$D:$D,0))&amp;"","")="Les deux",IFERROR(INDEX('Paramètres'!$I:$I,MATCH($C625,'Paramètres'!$D:$D,0))&amp;"","")=IF($P625=1,"Débit",$L625)),-IF($P625=1,-$K625,$K625),0))))</f>
        <v>0</v>
      </c>
      <c r="U625" s="6">
        <f>IF($K625="","",IF(ISNUMBER(SEARCH("sortie-epargne",IFERROR(INDEX('Paramètres'!$N:$N,MATCH($D625,'Paramètres'!$M:$M,0))&amp;"",""))),$K625,0))</f>
        <v>386.61</v>
      </c>
      <c r="V625" s="6" t="str">
        <f>IF(AND($A625&lt;&gt;"",$O625=1,$L625="Débit",N($Q625)&gt;0,$A625&gt;=Visualisation!$B$1,$A625&lt;Visualisation!$D$1),MAX($V$1:V624)+1,"")</f>
        <v/>
      </c>
    </row>
    <row r="626" spans="1:22" x14ac:dyDescent="0.25">
      <c r="A626" s="9">
        <v>45983</v>
      </c>
      <c r="B626" s="4" t="s">
        <v>119</v>
      </c>
      <c r="C626" s="4" t="s">
        <v>126</v>
      </c>
      <c r="D626" s="4" t="s">
        <v>119</v>
      </c>
      <c r="E626" s="10">
        <v>125.16</v>
      </c>
      <c r="G626" s="4" t="s">
        <v>137</v>
      </c>
      <c r="H626" s="4"/>
      <c r="I626" s="4" t="s">
        <v>73</v>
      </c>
      <c r="K626" s="11">
        <f>IF($E626="","",ROUND($E626*IF(ISNA(MATCH($C626,'Paramètres'!$D:$D,0)),1,IF(INDEX('Paramètres'!$J:$J,MATCH($C626,'Paramètres'!$D:$D,0))="",1,INDEX('Paramètres'!$J:$J,MATCH($C626,'Paramètres'!$D:$D,0)))),2))</f>
        <v>62.58</v>
      </c>
      <c r="L626" s="6" t="str">
        <f>IF($D626="","",IF($F626&lt;&gt;"",$F626,IF(ISNA(MATCH($D626,'Paramètres'!$M:$M,0)),"⚠ Type inconnu",IFERROR(INDEX('Paramètres'!$P:$P,MATCH($D626,'Paramètres'!$M:$M,0))&amp;"",""))))</f>
        <v>Débit</v>
      </c>
      <c r="M626" s="6" t="str">
        <f>IF($D626="","",IF(ISNA(MATCH($D626,'Paramètres'!$M:$M,0)),"⚠ Type inconnu",IF($L626="Crédit","",IFERROR(INDEX('Paramètres'!$O:$O,MATCH($D626,'Paramètres'!$M:$M,0))&amp;"",""))))</f>
        <v>Dépense Occasionnelle</v>
      </c>
      <c r="N626" s="6" t="str">
        <f>IF($D626="","",IFERROR(INDEX('Paramètres'!$Q:$Q,MATCH($D626,'Paramètres'!$M:$M,0))&amp;"",""))</f>
        <v>Alimentation</v>
      </c>
      <c r="O626" s="6">
        <f>IF($A626="","",IF(OR($J626&lt;&gt;"x",$A626&lt;=FinReleve),1,0))</f>
        <v>1</v>
      </c>
      <c r="P626" s="6">
        <f>IF($D626="","",IF(AND($L626="Crédit",OR(IFERROR(INDEX('Paramètres'!$O:$O,MATCH($D626,'Paramètres'!$M:$M,0))&amp;"","")&lt;&gt;"",ISNUMBER(SEARCH("remboursement",IFERROR(INDEX('Paramètres'!$N:$N,MATCH($D626,'Paramètres'!$M:$M,0))&amp;"",""))))),1,0))</f>
        <v>0</v>
      </c>
      <c r="Q626" s="6">
        <f>IF($K626="","",IF(ISNUMBER(SEARCH("transfert-interne",IFERROR(INDEX('Paramètres'!$N:$N,MATCH($D626,'Paramètres'!$M:$M,0))&amp;"",""))),0,IF($L626="Débit",$K626,IF($P626=1,-$K626,0))))</f>
        <v>62.58</v>
      </c>
      <c r="R626" s="6">
        <f>IF($K626="","",IF($L626="Crédit",$K626,-$K626))</f>
        <v>-62.58</v>
      </c>
      <c r="S626" s="6" t="str">
        <f>IF($C626="","",IFERROR(INDEX('Paramètres'!$H:$H,MATCH($C626,'Paramètres'!$D:$D,0))&amp;"",""))</f>
        <v>Banque A - Courant</v>
      </c>
      <c r="T626" s="6">
        <f>IF($K626="","",IF($S626="",0,IF(ISNUMBER(SEARCH("apport-exterieur",IFERROR(INDEX('Paramètres'!$N:$N,MATCH($D626,'Paramètres'!$M:$M,0))&amp;"",""))),0,IF(OR(IFERROR(INDEX('Paramètres'!$I:$I,MATCH($C626,'Paramètres'!$D:$D,0))&amp;"","")="Les deux",IFERROR(INDEX('Paramètres'!$I:$I,MATCH($C626,'Paramètres'!$D:$D,0))&amp;"","")=IF($P626=1,"Débit",$L626)),-IF($P626=1,-$K626,$K626),0))))</f>
        <v>-62.58</v>
      </c>
      <c r="U626" s="6">
        <f>IF($K626="","",IF(ISNUMBER(SEARCH("sortie-epargne",IFERROR(INDEX('Paramètres'!$N:$N,MATCH($D626,'Paramètres'!$M:$M,0))&amp;"",""))),$K626,0))</f>
        <v>0</v>
      </c>
      <c r="V626" s="6" t="str">
        <f>IF(AND($A626&lt;&gt;"",$O626=1,$L626="Débit",N($Q626)&gt;0,$A626&gt;=Visualisation!$B$1,$A626&lt;Visualisation!$D$1),MAX($V$1:V625)+1,"")</f>
        <v/>
      </c>
    </row>
    <row r="627" spans="1:22" x14ac:dyDescent="0.25">
      <c r="A627" s="9">
        <v>45986</v>
      </c>
      <c r="B627" s="4" t="s">
        <v>76</v>
      </c>
      <c r="C627" s="4" t="s">
        <v>67</v>
      </c>
      <c r="D627" s="4" t="s">
        <v>77</v>
      </c>
      <c r="E627" s="10">
        <v>158.16</v>
      </c>
      <c r="G627" s="4" t="s">
        <v>98</v>
      </c>
      <c r="H627" s="4"/>
      <c r="I627" s="4" t="s">
        <v>63</v>
      </c>
      <c r="K627" s="11">
        <f>IF($E627="","",ROUND($E627*IF(ISNA(MATCH($C627,'Paramètres'!$D:$D,0)),1,IF(INDEX('Paramètres'!$J:$J,MATCH($C627,'Paramètres'!$D:$D,0))="",1,INDEX('Paramètres'!$J:$J,MATCH($C627,'Paramètres'!$D:$D,0)))),2))</f>
        <v>79.08</v>
      </c>
      <c r="L627" s="6" t="str">
        <f>IF($D627="","",IF($F627&lt;&gt;"",$F627,IF(ISNA(MATCH($D627,'Paramètres'!$M:$M,0)),"⚠ Type inconnu",IFERROR(INDEX('Paramètres'!$P:$P,MATCH($D627,'Paramètres'!$M:$M,0))&amp;"",""))))</f>
        <v>Débit</v>
      </c>
      <c r="M627" s="6" t="str">
        <f>IF($D627="","",IF(ISNA(MATCH($D627,'Paramètres'!$M:$M,0)),"⚠ Type inconnu",IF($L627="Crédit","",IFERROR(INDEX('Paramètres'!$O:$O,MATCH($D627,'Paramètres'!$M:$M,0))&amp;"",""))))</f>
        <v>Dépense Courante</v>
      </c>
      <c r="N627" s="6" t="str">
        <f>IF($D627="","",IFERROR(INDEX('Paramètres'!$Q:$Q,MATCH($D627,'Paramètres'!$M:$M,0))&amp;"",""))</f>
        <v>Alimentation</v>
      </c>
      <c r="O627" s="6">
        <f>IF($A627="","",IF(OR($J627&lt;&gt;"x",$A627&lt;=FinReleve),1,0))</f>
        <v>1</v>
      </c>
      <c r="P627" s="6">
        <f>IF($D627="","",IF(AND($L627="Crédit",OR(IFERROR(INDEX('Paramètres'!$O:$O,MATCH($D627,'Paramètres'!$M:$M,0))&amp;"","")&lt;&gt;"",ISNUMBER(SEARCH("remboursement",IFERROR(INDEX('Paramètres'!$N:$N,MATCH($D627,'Paramètres'!$M:$M,0))&amp;"",""))))),1,0))</f>
        <v>0</v>
      </c>
      <c r="Q627" s="6">
        <f>IF($K627="","",IF(ISNUMBER(SEARCH("transfert-interne",IFERROR(INDEX('Paramètres'!$N:$N,MATCH($D627,'Paramètres'!$M:$M,0))&amp;"",""))),0,IF($L627="Débit",$K627,IF($P627=1,-$K627,0))))</f>
        <v>79.08</v>
      </c>
      <c r="R627" s="6">
        <f>IF($K627="","",IF($L627="Crédit",$K627,-$K627))</f>
        <v>-79.08</v>
      </c>
      <c r="S627" s="6" t="str">
        <f>IF($C627="","",IFERROR(INDEX('Paramètres'!$H:$H,MATCH($C627,'Paramètres'!$D:$D,0))&amp;"",""))</f>
        <v>Banque A - Courant</v>
      </c>
      <c r="T627" s="6">
        <f>IF($K627="","",IF($S627="",0,IF(ISNUMBER(SEARCH("apport-exterieur",IFERROR(INDEX('Paramètres'!$N:$N,MATCH($D627,'Paramètres'!$M:$M,0))&amp;"",""))),0,IF(OR(IFERROR(INDEX('Paramètres'!$I:$I,MATCH($C627,'Paramètres'!$D:$D,0))&amp;"","")="Les deux",IFERROR(INDEX('Paramètres'!$I:$I,MATCH($C627,'Paramètres'!$D:$D,0))&amp;"","")=IF($P627=1,"Débit",$L627)),-IF($P627=1,-$K627,$K627),0))))</f>
        <v>0</v>
      </c>
      <c r="U627" s="6">
        <f>IF($K627="","",IF(ISNUMBER(SEARCH("sortie-epargne",IFERROR(INDEX('Paramètres'!$N:$N,MATCH($D627,'Paramètres'!$M:$M,0))&amp;"",""))),$K627,0))</f>
        <v>0</v>
      </c>
      <c r="V627" s="6" t="str">
        <f>IF(AND($A627&lt;&gt;"",$O627=1,$L627="Débit",N($Q627)&gt;0,$A627&gt;=Visualisation!$B$1,$A627&lt;Visualisation!$D$1),MAX($V$1:V626)+1,"")</f>
        <v/>
      </c>
    </row>
    <row r="628" spans="1:22" x14ac:dyDescent="0.25">
      <c r="A628" s="9">
        <v>45987</v>
      </c>
      <c r="B628" s="4" t="s">
        <v>76</v>
      </c>
      <c r="C628" s="4" t="s">
        <v>67</v>
      </c>
      <c r="D628" s="4" t="s">
        <v>77</v>
      </c>
      <c r="E628" s="10">
        <v>108.7</v>
      </c>
      <c r="G628" s="4" t="s">
        <v>102</v>
      </c>
      <c r="H628" s="4"/>
      <c r="I628" s="4" t="s">
        <v>73</v>
      </c>
      <c r="K628" s="11">
        <f>IF($E628="","",ROUND($E628*IF(ISNA(MATCH($C628,'Paramètres'!$D:$D,0)),1,IF(INDEX('Paramètres'!$J:$J,MATCH($C628,'Paramètres'!$D:$D,0))="",1,INDEX('Paramètres'!$J:$J,MATCH($C628,'Paramètres'!$D:$D,0)))),2))</f>
        <v>54.35</v>
      </c>
      <c r="L628" s="6" t="str">
        <f>IF($D628="","",IF($F628&lt;&gt;"",$F628,IF(ISNA(MATCH($D628,'Paramètres'!$M:$M,0)),"⚠ Type inconnu",IFERROR(INDEX('Paramètres'!$P:$P,MATCH($D628,'Paramètres'!$M:$M,0))&amp;"",""))))</f>
        <v>Débit</v>
      </c>
      <c r="M628" s="6" t="str">
        <f>IF($D628="","",IF(ISNA(MATCH($D628,'Paramètres'!$M:$M,0)),"⚠ Type inconnu",IF($L628="Crédit","",IFERROR(INDEX('Paramètres'!$O:$O,MATCH($D628,'Paramètres'!$M:$M,0))&amp;"",""))))</f>
        <v>Dépense Courante</v>
      </c>
      <c r="N628" s="6" t="str">
        <f>IF($D628="","",IFERROR(INDEX('Paramètres'!$Q:$Q,MATCH($D628,'Paramètres'!$M:$M,0))&amp;"",""))</f>
        <v>Alimentation</v>
      </c>
      <c r="O628" s="6">
        <f>IF($A628="","",IF(OR($J628&lt;&gt;"x",$A628&lt;=FinReleve),1,0))</f>
        <v>1</v>
      </c>
      <c r="P628" s="6">
        <f>IF($D628="","",IF(AND($L628="Crédit",OR(IFERROR(INDEX('Paramètres'!$O:$O,MATCH($D628,'Paramètres'!$M:$M,0))&amp;"","")&lt;&gt;"",ISNUMBER(SEARCH("remboursement",IFERROR(INDEX('Paramètres'!$N:$N,MATCH($D628,'Paramètres'!$M:$M,0))&amp;"",""))))),1,0))</f>
        <v>0</v>
      </c>
      <c r="Q628" s="6">
        <f>IF($K628="","",IF(ISNUMBER(SEARCH("transfert-interne",IFERROR(INDEX('Paramètres'!$N:$N,MATCH($D628,'Paramètres'!$M:$M,0))&amp;"",""))),0,IF($L628="Débit",$K628,IF($P628=1,-$K628,0))))</f>
        <v>54.35</v>
      </c>
      <c r="R628" s="6">
        <f>IF($K628="","",IF($L628="Crédit",$K628,-$K628))</f>
        <v>-54.35</v>
      </c>
      <c r="S628" s="6" t="str">
        <f>IF($C628="","",IFERROR(INDEX('Paramètres'!$H:$H,MATCH($C628,'Paramètres'!$D:$D,0))&amp;"",""))</f>
        <v>Banque A - Courant</v>
      </c>
      <c r="T628" s="6">
        <f>IF($K628="","",IF($S628="",0,IF(ISNUMBER(SEARCH("apport-exterieur",IFERROR(INDEX('Paramètres'!$N:$N,MATCH($D628,'Paramètres'!$M:$M,0))&amp;"",""))),0,IF(OR(IFERROR(INDEX('Paramètres'!$I:$I,MATCH($C628,'Paramètres'!$D:$D,0))&amp;"","")="Les deux",IFERROR(INDEX('Paramètres'!$I:$I,MATCH($C628,'Paramètres'!$D:$D,0))&amp;"","")=IF($P628=1,"Débit",$L628)),-IF($P628=1,-$K628,$K628),0))))</f>
        <v>0</v>
      </c>
      <c r="U628" s="6">
        <f>IF($K628="","",IF(ISNUMBER(SEARCH("sortie-epargne",IFERROR(INDEX('Paramètres'!$N:$N,MATCH($D628,'Paramètres'!$M:$M,0))&amp;"",""))),$K628,0))</f>
        <v>0</v>
      </c>
      <c r="V628" s="6" t="str">
        <f>IF(AND($A628&lt;&gt;"",$O628=1,$L628="Débit",N($Q628)&gt;0,$A628&gt;=Visualisation!$B$1,$A628&lt;Visualisation!$D$1),MAX($V$1:V627)+1,"")</f>
        <v/>
      </c>
    </row>
    <row r="629" spans="1:22" x14ac:dyDescent="0.25">
      <c r="A629" s="9">
        <v>45987</v>
      </c>
      <c r="B629" s="4" t="s">
        <v>105</v>
      </c>
      <c r="C629" s="4" t="s">
        <v>75</v>
      </c>
      <c r="D629" s="4" t="s">
        <v>110</v>
      </c>
      <c r="E629" s="10">
        <v>150</v>
      </c>
      <c r="G629" s="4"/>
      <c r="H629" s="4"/>
      <c r="I629" s="4"/>
      <c r="K629" s="11">
        <f>IF($E629="","",ROUND($E629*IF(ISNA(MATCH($C629,'Paramètres'!$D:$D,0)),1,IF(INDEX('Paramètres'!$J:$J,MATCH($C629,'Paramètres'!$D:$D,0))="",1,INDEX('Paramètres'!$J:$J,MATCH($C629,'Paramètres'!$D:$D,0)))),2))</f>
        <v>150</v>
      </c>
      <c r="L629" s="6" t="str">
        <f>IF($D629="","",IF($F629&lt;&gt;"",$F629,IF(ISNA(MATCH($D629,'Paramètres'!$M:$M,0)),"⚠ Type inconnu",IFERROR(INDEX('Paramètres'!$P:$P,MATCH($D629,'Paramètres'!$M:$M,0))&amp;"",""))))</f>
        <v>Débit</v>
      </c>
      <c r="M629" s="6" t="str">
        <f>IF($D629="","",IF(ISNA(MATCH($D629,'Paramètres'!$M:$M,0)),"⚠ Type inconnu",IF($L629="Crédit","",IFERROR(INDEX('Paramètres'!$O:$O,MATCH($D629,'Paramètres'!$M:$M,0))&amp;"",""))))</f>
        <v/>
      </c>
      <c r="N629" s="6" t="str">
        <f>IF($D629="","",IFERROR(INDEX('Paramètres'!$Q:$Q,MATCH($D629,'Paramètres'!$M:$M,0))&amp;"",""))</f>
        <v>Comptes Bancaires</v>
      </c>
      <c r="O629" s="6">
        <f>IF($A629="","",IF(OR($J629&lt;&gt;"x",$A629&lt;=FinReleve),1,0))</f>
        <v>1</v>
      </c>
      <c r="P629" s="6">
        <f>IF($D629="","",IF(AND($L629="Crédit",OR(IFERROR(INDEX('Paramètres'!$O:$O,MATCH($D629,'Paramètres'!$M:$M,0))&amp;"","")&lt;&gt;"",ISNUMBER(SEARCH("remboursement",IFERROR(INDEX('Paramètres'!$N:$N,MATCH($D629,'Paramètres'!$M:$M,0))&amp;"",""))))),1,0))</f>
        <v>0</v>
      </c>
      <c r="Q629" s="6">
        <f>IF($K629="","",IF(ISNUMBER(SEARCH("transfert-interne",IFERROR(INDEX('Paramètres'!$N:$N,MATCH($D629,'Paramètres'!$M:$M,0))&amp;"",""))),0,IF($L629="Débit",$K629,IF($P629=1,-$K629,0))))</f>
        <v>0</v>
      </c>
      <c r="R629" s="6">
        <f>IF($K629="","",IF($L629="Crédit",$K629,-$K629))</f>
        <v>-150</v>
      </c>
      <c r="S629" s="6" t="str">
        <f>IF($C629="","",IFERROR(INDEX('Paramètres'!$H:$H,MATCH($C629,'Paramètres'!$D:$D,0))&amp;"",""))</f>
        <v/>
      </c>
      <c r="T629" s="6">
        <f>IF($K629="","",IF($S629="",0,IF(ISNUMBER(SEARCH("apport-exterieur",IFERROR(INDEX('Paramètres'!$N:$N,MATCH($D629,'Paramètres'!$M:$M,0))&amp;"",""))),0,IF(OR(IFERROR(INDEX('Paramètres'!$I:$I,MATCH($C629,'Paramètres'!$D:$D,0))&amp;"","")="Les deux",IFERROR(INDEX('Paramètres'!$I:$I,MATCH($C629,'Paramètres'!$D:$D,0))&amp;"","")=IF($P629=1,"Débit",$L629)),-IF($P629=1,-$K629,$K629),0))))</f>
        <v>0</v>
      </c>
      <c r="U629" s="6">
        <f>IF($K629="","",IF(ISNUMBER(SEARCH("sortie-epargne",IFERROR(INDEX('Paramètres'!$N:$N,MATCH($D629,'Paramètres'!$M:$M,0))&amp;"",""))),$K629,0))</f>
        <v>0</v>
      </c>
      <c r="V629" s="6" t="str">
        <f>IF(AND($A629&lt;&gt;"",$O629=1,$L629="Débit",N($Q629)&gt;0,$A629&gt;=Visualisation!$B$1,$A629&lt;Visualisation!$D$1),MAX($V$1:V628)+1,"")</f>
        <v/>
      </c>
    </row>
    <row r="630" spans="1:22" x14ac:dyDescent="0.25">
      <c r="A630" s="9">
        <v>45987</v>
      </c>
      <c r="B630" s="4" t="s">
        <v>105</v>
      </c>
      <c r="C630" s="4" t="s">
        <v>75</v>
      </c>
      <c r="D630" s="4" t="s">
        <v>111</v>
      </c>
      <c r="E630" s="10">
        <v>200</v>
      </c>
      <c r="G630" s="4"/>
      <c r="H630" s="4"/>
      <c r="I630" s="4"/>
      <c r="K630" s="11">
        <f>IF($E630="","",ROUND($E630*IF(ISNA(MATCH($C630,'Paramètres'!$D:$D,0)),1,IF(INDEX('Paramètres'!$J:$J,MATCH($C630,'Paramètres'!$D:$D,0))="",1,INDEX('Paramètres'!$J:$J,MATCH($C630,'Paramètres'!$D:$D,0)))),2))</f>
        <v>200</v>
      </c>
      <c r="L630" s="6" t="str">
        <f>IF($D630="","",IF($F630&lt;&gt;"",$F630,IF(ISNA(MATCH($D630,'Paramètres'!$M:$M,0)),"⚠ Type inconnu",IFERROR(INDEX('Paramètres'!$P:$P,MATCH($D630,'Paramètres'!$M:$M,0))&amp;"",""))))</f>
        <v>Débit</v>
      </c>
      <c r="M630" s="6" t="str">
        <f>IF($D630="","",IF(ISNA(MATCH($D630,'Paramètres'!$M:$M,0)),"⚠ Type inconnu",IF($L630="Crédit","",IFERROR(INDEX('Paramètres'!$O:$O,MATCH($D630,'Paramètres'!$M:$M,0))&amp;"",""))))</f>
        <v/>
      </c>
      <c r="N630" s="6" t="str">
        <f>IF($D630="","",IFERROR(INDEX('Paramètres'!$Q:$Q,MATCH($D630,'Paramètres'!$M:$M,0))&amp;"",""))</f>
        <v>Comptes Bancaires</v>
      </c>
      <c r="O630" s="6">
        <f>IF($A630="","",IF(OR($J630&lt;&gt;"x",$A630&lt;=FinReleve),1,0))</f>
        <v>1</v>
      </c>
      <c r="P630" s="6">
        <f>IF($D630="","",IF(AND($L630="Crédit",OR(IFERROR(INDEX('Paramètres'!$O:$O,MATCH($D630,'Paramètres'!$M:$M,0))&amp;"","")&lt;&gt;"",ISNUMBER(SEARCH("remboursement",IFERROR(INDEX('Paramètres'!$N:$N,MATCH($D630,'Paramètres'!$M:$M,0))&amp;"",""))))),1,0))</f>
        <v>0</v>
      </c>
      <c r="Q630" s="6">
        <f>IF($K630="","",IF(ISNUMBER(SEARCH("transfert-interne",IFERROR(INDEX('Paramètres'!$N:$N,MATCH($D630,'Paramètres'!$M:$M,0))&amp;"",""))),0,IF($L630="Débit",$K630,IF($P630=1,-$K630,0))))</f>
        <v>200</v>
      </c>
      <c r="R630" s="6">
        <f>IF($K630="","",IF($L630="Crédit",$K630,-$K630))</f>
        <v>-200</v>
      </c>
      <c r="S630" s="6" t="str">
        <f>IF($C630="","",IFERROR(INDEX('Paramètres'!$H:$H,MATCH($C630,'Paramètres'!$D:$D,0))&amp;"",""))</f>
        <v/>
      </c>
      <c r="T630" s="6">
        <f>IF($K630="","",IF($S630="",0,IF(ISNUMBER(SEARCH("apport-exterieur",IFERROR(INDEX('Paramètres'!$N:$N,MATCH($D630,'Paramètres'!$M:$M,0))&amp;"",""))),0,IF(OR(IFERROR(INDEX('Paramètres'!$I:$I,MATCH($C630,'Paramètres'!$D:$D,0))&amp;"","")="Les deux",IFERROR(INDEX('Paramètres'!$I:$I,MATCH($C630,'Paramètres'!$D:$D,0))&amp;"","")=IF($P630=1,"Débit",$L630)),-IF($P630=1,-$K630,$K630),0))))</f>
        <v>0</v>
      </c>
      <c r="U630" s="6">
        <f>IF($K630="","",IF(ISNUMBER(SEARCH("sortie-epargne",IFERROR(INDEX('Paramètres'!$N:$N,MATCH($D630,'Paramètres'!$M:$M,0))&amp;"",""))),$K630,0))</f>
        <v>0</v>
      </c>
      <c r="V630" s="6" t="str">
        <f>IF(AND($A630&lt;&gt;"",$O630=1,$L630="Débit",N($Q630)&gt;0,$A630&gt;=Visualisation!$B$1,$A630&lt;Visualisation!$D$1),MAX($V$1:V629)+1,"")</f>
        <v/>
      </c>
    </row>
    <row r="631" spans="1:22" x14ac:dyDescent="0.25">
      <c r="A631" s="9">
        <v>45987</v>
      </c>
      <c r="B631" s="4" t="s">
        <v>112</v>
      </c>
      <c r="C631" s="4" t="s">
        <v>75</v>
      </c>
      <c r="D631" s="4" t="s">
        <v>113</v>
      </c>
      <c r="E631" s="10">
        <v>120</v>
      </c>
      <c r="G631" s="4"/>
      <c r="H631" s="4"/>
      <c r="I631" s="4"/>
      <c r="K631" s="11">
        <f>IF($E631="","",ROUND($E631*IF(ISNA(MATCH($C631,'Paramètres'!$D:$D,0)),1,IF(INDEX('Paramètres'!$J:$J,MATCH($C631,'Paramètres'!$D:$D,0))="",1,INDEX('Paramètres'!$J:$J,MATCH($C631,'Paramètres'!$D:$D,0)))),2))</f>
        <v>120</v>
      </c>
      <c r="L631" s="6" t="str">
        <f>IF($D631="","",IF($F631&lt;&gt;"",$F631,IF(ISNA(MATCH($D631,'Paramètres'!$M:$M,0)),"⚠ Type inconnu",IFERROR(INDEX('Paramètres'!$P:$P,MATCH($D631,'Paramètres'!$M:$M,0))&amp;"",""))))</f>
        <v>Débit</v>
      </c>
      <c r="M631" s="6" t="str">
        <f>IF($D631="","",IF(ISNA(MATCH($D631,'Paramètres'!$M:$M,0)),"⚠ Type inconnu",IF($L631="Crédit","",IFERROR(INDEX('Paramètres'!$O:$O,MATCH($D631,'Paramètres'!$M:$M,0))&amp;"",""))))</f>
        <v/>
      </c>
      <c r="N631" s="6" t="str">
        <f>IF($D631="","",IFERROR(INDEX('Paramètres'!$Q:$Q,MATCH($D631,'Paramètres'!$M:$M,0))&amp;"",""))</f>
        <v>Comptes Bancaires</v>
      </c>
      <c r="O631" s="6">
        <f>IF($A631="","",IF(OR($J631&lt;&gt;"x",$A631&lt;=FinReleve),1,0))</f>
        <v>1</v>
      </c>
      <c r="P631" s="6">
        <f>IF($D631="","",IF(AND($L631="Crédit",OR(IFERROR(INDEX('Paramètres'!$O:$O,MATCH($D631,'Paramètres'!$M:$M,0))&amp;"","")&lt;&gt;"",ISNUMBER(SEARCH("remboursement",IFERROR(INDEX('Paramètres'!$N:$N,MATCH($D631,'Paramètres'!$M:$M,0))&amp;"",""))))),1,0))</f>
        <v>0</v>
      </c>
      <c r="Q631" s="6">
        <f>IF($K631="","",IF(ISNUMBER(SEARCH("transfert-interne",IFERROR(INDEX('Paramètres'!$N:$N,MATCH($D631,'Paramètres'!$M:$M,0))&amp;"",""))),0,IF($L631="Débit",$K631,IF($P631=1,-$K631,0))))</f>
        <v>120</v>
      </c>
      <c r="R631" s="6">
        <f>IF($K631="","",IF($L631="Crédit",$K631,-$K631))</f>
        <v>-120</v>
      </c>
      <c r="S631" s="6" t="str">
        <f>IF($C631="","",IFERROR(INDEX('Paramètres'!$H:$H,MATCH($C631,'Paramètres'!$D:$D,0))&amp;"",""))</f>
        <v/>
      </c>
      <c r="T631" s="6">
        <f>IF($K631="","",IF($S631="",0,IF(ISNUMBER(SEARCH("apport-exterieur",IFERROR(INDEX('Paramètres'!$N:$N,MATCH($D631,'Paramètres'!$M:$M,0))&amp;"",""))),0,IF(OR(IFERROR(INDEX('Paramètres'!$I:$I,MATCH($C631,'Paramètres'!$D:$D,0))&amp;"","")="Les deux",IFERROR(INDEX('Paramètres'!$I:$I,MATCH($C631,'Paramètres'!$D:$D,0))&amp;"","")=IF($P631=1,"Débit",$L631)),-IF($P631=1,-$K631,$K631),0))))</f>
        <v>0</v>
      </c>
      <c r="U631" s="6">
        <f>IF($K631="","",IF(ISNUMBER(SEARCH("sortie-epargne",IFERROR(INDEX('Paramètres'!$N:$N,MATCH($D631,'Paramètres'!$M:$M,0))&amp;"",""))),$K631,0))</f>
        <v>0</v>
      </c>
      <c r="V631" s="6" t="str">
        <f>IF(AND($A631&lt;&gt;"",$O631=1,$L631="Débit",N($Q631)&gt;0,$A631&gt;=Visualisation!$B$1,$A631&lt;Visualisation!$D$1),MAX($V$1:V630)+1,"")</f>
        <v/>
      </c>
    </row>
    <row r="632" spans="1:22" x14ac:dyDescent="0.25">
      <c r="A632" s="9">
        <v>45988</v>
      </c>
      <c r="B632" s="4" t="s">
        <v>114</v>
      </c>
      <c r="C632" s="4" t="s">
        <v>75</v>
      </c>
      <c r="D632" s="4" t="s">
        <v>115</v>
      </c>
      <c r="E632" s="10">
        <v>3012.8</v>
      </c>
      <c r="G632" s="4" t="s">
        <v>115</v>
      </c>
      <c r="H632" s="4"/>
      <c r="I632" s="4"/>
      <c r="K632" s="11">
        <f>IF($E632="","",ROUND($E632*IF(ISNA(MATCH($C632,'Paramètres'!$D:$D,0)),1,IF(INDEX('Paramètres'!$J:$J,MATCH($C632,'Paramètres'!$D:$D,0))="",1,INDEX('Paramètres'!$J:$J,MATCH($C632,'Paramètres'!$D:$D,0)))),2))</f>
        <v>3012.8</v>
      </c>
      <c r="L632" s="6" t="str">
        <f>IF($D632="","",IF($F632&lt;&gt;"",$F632,IF(ISNA(MATCH($D632,'Paramètres'!$M:$M,0)),"⚠ Type inconnu",IFERROR(INDEX('Paramètres'!$P:$P,MATCH($D632,'Paramètres'!$M:$M,0))&amp;"",""))))</f>
        <v>Crédit</v>
      </c>
      <c r="M632" s="6" t="str">
        <f>IF($D632="","",IF(ISNA(MATCH($D632,'Paramètres'!$M:$M,0)),"⚠ Type inconnu",IF($L632="Crédit","",IFERROR(INDEX('Paramètres'!$O:$O,MATCH($D632,'Paramètres'!$M:$M,0))&amp;"",""))))</f>
        <v/>
      </c>
      <c r="N632" s="6" t="str">
        <f>IF($D632="","",IFERROR(INDEX('Paramètres'!$Q:$Q,MATCH($D632,'Paramètres'!$M:$M,0))&amp;"",""))</f>
        <v/>
      </c>
      <c r="O632" s="6">
        <f>IF($A632="","",IF(OR($J632&lt;&gt;"x",$A632&lt;=FinReleve),1,0))</f>
        <v>1</v>
      </c>
      <c r="P632" s="6">
        <f>IF($D632="","",IF(AND($L632="Crédit",OR(IFERROR(INDEX('Paramètres'!$O:$O,MATCH($D632,'Paramètres'!$M:$M,0))&amp;"","")&lt;&gt;"",ISNUMBER(SEARCH("remboursement",IFERROR(INDEX('Paramètres'!$N:$N,MATCH($D632,'Paramètres'!$M:$M,0))&amp;"",""))))),1,0))</f>
        <v>0</v>
      </c>
      <c r="Q632" s="6">
        <f>IF($K632="","",IF(ISNUMBER(SEARCH("transfert-interne",IFERROR(INDEX('Paramètres'!$N:$N,MATCH($D632,'Paramètres'!$M:$M,0))&amp;"",""))),0,IF($L632="Débit",$K632,IF($P632=1,-$K632,0))))</f>
        <v>0</v>
      </c>
      <c r="R632" s="6">
        <f>IF($K632="","",IF($L632="Crédit",$K632,-$K632))</f>
        <v>3012.8</v>
      </c>
      <c r="S632" s="6" t="str">
        <f>IF($C632="","",IFERROR(INDEX('Paramètres'!$H:$H,MATCH($C632,'Paramètres'!$D:$D,0))&amp;"",""))</f>
        <v/>
      </c>
      <c r="T632" s="6">
        <f>IF($K632="","",IF($S632="",0,IF(ISNUMBER(SEARCH("apport-exterieur",IFERROR(INDEX('Paramètres'!$N:$N,MATCH($D632,'Paramètres'!$M:$M,0))&amp;"",""))),0,IF(OR(IFERROR(INDEX('Paramètres'!$I:$I,MATCH($C632,'Paramètres'!$D:$D,0))&amp;"","")="Les deux",IFERROR(INDEX('Paramètres'!$I:$I,MATCH($C632,'Paramètres'!$D:$D,0))&amp;"","")=IF($P632=1,"Débit",$L632)),-IF($P632=1,-$K632,$K632),0))))</f>
        <v>0</v>
      </c>
      <c r="U632" s="6">
        <f>IF($K632="","",IF(ISNUMBER(SEARCH("sortie-epargne",IFERROR(INDEX('Paramètres'!$N:$N,MATCH($D632,'Paramètres'!$M:$M,0))&amp;"",""))),$K632,0))</f>
        <v>0</v>
      </c>
      <c r="V632" s="6" t="str">
        <f>IF(AND($A632&lt;&gt;"",$O632=1,$L632="Débit",N($Q632)&gt;0,$A632&gt;=Visualisation!$B$1,$A632&lt;Visualisation!$D$1),MAX($V$1:V631)+1,"")</f>
        <v/>
      </c>
    </row>
    <row r="633" spans="1:22" x14ac:dyDescent="0.25">
      <c r="A633" s="9">
        <v>45989</v>
      </c>
      <c r="B633" s="4" t="s">
        <v>118</v>
      </c>
      <c r="C633" s="4" t="s">
        <v>75</v>
      </c>
      <c r="D633" s="4" t="s">
        <v>118</v>
      </c>
      <c r="E633" s="10">
        <v>3</v>
      </c>
      <c r="G633" s="4"/>
      <c r="H633" s="4"/>
      <c r="I633" s="4"/>
      <c r="K633" s="11">
        <f>IF($E633="","",ROUND($E633*IF(ISNA(MATCH($C633,'Paramètres'!$D:$D,0)),1,IF(INDEX('Paramètres'!$J:$J,MATCH($C633,'Paramètres'!$D:$D,0))="",1,INDEX('Paramètres'!$J:$J,MATCH($C633,'Paramètres'!$D:$D,0)))),2))</f>
        <v>3</v>
      </c>
      <c r="L633" s="6" t="str">
        <f>IF($D633="","",IF($F633&lt;&gt;"",$F633,IF(ISNA(MATCH($D633,'Paramètres'!$M:$M,0)),"⚠ Type inconnu",IFERROR(INDEX('Paramètres'!$P:$P,MATCH($D633,'Paramètres'!$M:$M,0))&amp;"",""))))</f>
        <v>Débit</v>
      </c>
      <c r="M633" s="6" t="str">
        <f>IF($D633="","",IF(ISNA(MATCH($D633,'Paramètres'!$M:$M,0)),"⚠ Type inconnu",IF($L633="Crédit","",IFERROR(INDEX('Paramètres'!$O:$O,MATCH($D633,'Paramètres'!$M:$M,0))&amp;"",""))))</f>
        <v>Dépense Fixe</v>
      </c>
      <c r="N633" s="6" t="str">
        <f>IF($D633="","",IFERROR(INDEX('Paramètres'!$Q:$Q,MATCH($D633,'Paramètres'!$M:$M,0))&amp;"",""))</f>
        <v>Banque</v>
      </c>
      <c r="O633" s="6">
        <f>IF($A633="","",IF(OR($J633&lt;&gt;"x",$A633&lt;=FinReleve),1,0))</f>
        <v>1</v>
      </c>
      <c r="P633" s="6">
        <f>IF($D633="","",IF(AND($L633="Crédit",OR(IFERROR(INDEX('Paramètres'!$O:$O,MATCH($D633,'Paramètres'!$M:$M,0))&amp;"","")&lt;&gt;"",ISNUMBER(SEARCH("remboursement",IFERROR(INDEX('Paramètres'!$N:$N,MATCH($D633,'Paramètres'!$M:$M,0))&amp;"",""))))),1,0))</f>
        <v>0</v>
      </c>
      <c r="Q633" s="6">
        <f>IF($K633="","",IF(ISNUMBER(SEARCH("transfert-interne",IFERROR(INDEX('Paramètres'!$N:$N,MATCH($D633,'Paramètres'!$M:$M,0))&amp;"",""))),0,IF($L633="Débit",$K633,IF($P633=1,-$K633,0))))</f>
        <v>3</v>
      </c>
      <c r="R633" s="6">
        <f>IF($K633="","",IF($L633="Crédit",$K633,-$K633))</f>
        <v>-3</v>
      </c>
      <c r="S633" s="6" t="str">
        <f>IF($C633="","",IFERROR(INDEX('Paramètres'!$H:$H,MATCH($C633,'Paramètres'!$D:$D,0))&amp;"",""))</f>
        <v/>
      </c>
      <c r="T633" s="6">
        <f>IF($K633="","",IF($S633="",0,IF(ISNUMBER(SEARCH("apport-exterieur",IFERROR(INDEX('Paramètres'!$N:$N,MATCH($D633,'Paramètres'!$M:$M,0))&amp;"",""))),0,IF(OR(IFERROR(INDEX('Paramètres'!$I:$I,MATCH($C633,'Paramètres'!$D:$D,0))&amp;"","")="Les deux",IFERROR(INDEX('Paramètres'!$I:$I,MATCH($C633,'Paramètres'!$D:$D,0))&amp;"","")=IF($P633=1,"Débit",$L633)),-IF($P633=1,-$K633,$K633),0))))</f>
        <v>0</v>
      </c>
      <c r="U633" s="6">
        <f>IF($K633="","",IF(ISNUMBER(SEARCH("sortie-epargne",IFERROR(INDEX('Paramètres'!$N:$N,MATCH($D633,'Paramètres'!$M:$M,0))&amp;"",""))),$K633,0))</f>
        <v>0</v>
      </c>
      <c r="V633" s="6" t="str">
        <f>IF(AND($A633&lt;&gt;"",$O633=1,$L633="Débit",N($Q633)&gt;0,$A633&gt;=Visualisation!$B$1,$A633&lt;Visualisation!$D$1),MAX($V$1:V632)+1,"")</f>
        <v/>
      </c>
    </row>
    <row r="634" spans="1:22" x14ac:dyDescent="0.25">
      <c r="A634" s="9">
        <v>45989</v>
      </c>
      <c r="B634" s="4" t="s">
        <v>76</v>
      </c>
      <c r="C634" s="4" t="s">
        <v>67</v>
      </c>
      <c r="D634" s="4" t="s">
        <v>77</v>
      </c>
      <c r="E634" s="10">
        <v>40.18</v>
      </c>
      <c r="G634" s="4" t="s">
        <v>78</v>
      </c>
      <c r="H634" s="4"/>
      <c r="I634" s="4" t="s">
        <v>93</v>
      </c>
      <c r="K634" s="11">
        <f>IF($E634="","",ROUND($E634*IF(ISNA(MATCH($C634,'Paramètres'!$D:$D,0)),1,IF(INDEX('Paramètres'!$J:$J,MATCH($C634,'Paramètres'!$D:$D,0))="",1,INDEX('Paramètres'!$J:$J,MATCH($C634,'Paramètres'!$D:$D,0)))),2))</f>
        <v>20.09</v>
      </c>
      <c r="L634" s="6" t="str">
        <f>IF($D634="","",IF($F634&lt;&gt;"",$F634,IF(ISNA(MATCH($D634,'Paramètres'!$M:$M,0)),"⚠ Type inconnu",IFERROR(INDEX('Paramètres'!$P:$P,MATCH($D634,'Paramètres'!$M:$M,0))&amp;"",""))))</f>
        <v>Débit</v>
      </c>
      <c r="M634" s="6" t="str">
        <f>IF($D634="","",IF(ISNA(MATCH($D634,'Paramètres'!$M:$M,0)),"⚠ Type inconnu",IF($L634="Crédit","",IFERROR(INDEX('Paramètres'!$O:$O,MATCH($D634,'Paramètres'!$M:$M,0))&amp;"",""))))</f>
        <v>Dépense Courante</v>
      </c>
      <c r="N634" s="6" t="str">
        <f>IF($D634="","",IFERROR(INDEX('Paramètres'!$Q:$Q,MATCH($D634,'Paramètres'!$M:$M,0))&amp;"",""))</f>
        <v>Alimentation</v>
      </c>
      <c r="O634" s="6">
        <f>IF($A634="","",IF(OR($J634&lt;&gt;"x",$A634&lt;=FinReleve),1,0))</f>
        <v>1</v>
      </c>
      <c r="P634" s="6">
        <f>IF($D634="","",IF(AND($L634="Crédit",OR(IFERROR(INDEX('Paramètres'!$O:$O,MATCH($D634,'Paramètres'!$M:$M,0))&amp;"","")&lt;&gt;"",ISNUMBER(SEARCH("remboursement",IFERROR(INDEX('Paramètres'!$N:$N,MATCH($D634,'Paramètres'!$M:$M,0))&amp;"",""))))),1,0))</f>
        <v>0</v>
      </c>
      <c r="Q634" s="6">
        <f>IF($K634="","",IF(ISNUMBER(SEARCH("transfert-interne",IFERROR(INDEX('Paramètres'!$N:$N,MATCH($D634,'Paramètres'!$M:$M,0))&amp;"",""))),0,IF($L634="Débit",$K634,IF($P634=1,-$K634,0))))</f>
        <v>20.09</v>
      </c>
      <c r="R634" s="6">
        <f>IF($K634="","",IF($L634="Crédit",$K634,-$K634))</f>
        <v>-20.09</v>
      </c>
      <c r="S634" s="6" t="str">
        <f>IF($C634="","",IFERROR(INDEX('Paramètres'!$H:$H,MATCH($C634,'Paramètres'!$D:$D,0))&amp;"",""))</f>
        <v>Banque A - Courant</v>
      </c>
      <c r="T634" s="6">
        <f>IF($K634="","",IF($S634="",0,IF(ISNUMBER(SEARCH("apport-exterieur",IFERROR(INDEX('Paramètres'!$N:$N,MATCH($D634,'Paramètres'!$M:$M,0))&amp;"",""))),0,IF(OR(IFERROR(INDEX('Paramètres'!$I:$I,MATCH($C634,'Paramètres'!$D:$D,0))&amp;"","")="Les deux",IFERROR(INDEX('Paramètres'!$I:$I,MATCH($C634,'Paramètres'!$D:$D,0))&amp;"","")=IF($P634=1,"Débit",$L634)),-IF($P634=1,-$K634,$K634),0))))</f>
        <v>0</v>
      </c>
      <c r="U634" s="6">
        <f>IF($K634="","",IF(ISNUMBER(SEARCH("sortie-epargne",IFERROR(INDEX('Paramètres'!$N:$N,MATCH($D634,'Paramètres'!$M:$M,0))&amp;"",""))),$K634,0))</f>
        <v>0</v>
      </c>
      <c r="V634" s="6" t="str">
        <f>IF(AND($A634&lt;&gt;"",$O634=1,$L634="Débit",N($Q634)&gt;0,$A634&gt;=Visualisation!$B$1,$A634&lt;Visualisation!$D$1),MAX($V$1:V633)+1,"")</f>
        <v/>
      </c>
    </row>
    <row r="635" spans="1:22" x14ac:dyDescent="0.25">
      <c r="A635" s="9">
        <v>45989</v>
      </c>
      <c r="B635" s="4" t="s">
        <v>59</v>
      </c>
      <c r="C635" s="4" t="s">
        <v>126</v>
      </c>
      <c r="D635" s="4" t="s">
        <v>59</v>
      </c>
      <c r="E635" s="10">
        <v>23.42</v>
      </c>
      <c r="G635" s="4" t="s">
        <v>134</v>
      </c>
      <c r="H635" s="4"/>
      <c r="I635" s="4" t="s">
        <v>79</v>
      </c>
      <c r="K635" s="11">
        <f>IF($E635="","",ROUND($E635*IF(ISNA(MATCH($C635,'Paramètres'!$D:$D,0)),1,IF(INDEX('Paramètres'!$J:$J,MATCH($C635,'Paramètres'!$D:$D,0))="",1,INDEX('Paramètres'!$J:$J,MATCH($C635,'Paramètres'!$D:$D,0)))),2))</f>
        <v>11.71</v>
      </c>
      <c r="L635" s="6" t="str">
        <f>IF($D635="","",IF($F635&lt;&gt;"",$F635,IF(ISNA(MATCH($D635,'Paramètres'!$M:$M,0)),"⚠ Type inconnu",IFERROR(INDEX('Paramètres'!$P:$P,MATCH($D635,'Paramètres'!$M:$M,0))&amp;"",""))))</f>
        <v>Débit</v>
      </c>
      <c r="M635" s="6" t="str">
        <f>IF($D635="","",IF(ISNA(MATCH($D635,'Paramètres'!$M:$M,0)),"⚠ Type inconnu",IF($L635="Crédit","",IFERROR(INDEX('Paramètres'!$O:$O,MATCH($D635,'Paramètres'!$M:$M,0))&amp;"",""))))</f>
        <v>Dépense Occasionnelle</v>
      </c>
      <c r="N635" s="6" t="str">
        <f>IF($D635="","",IFERROR(INDEX('Paramètres'!$Q:$Q,MATCH($D635,'Paramètres'!$M:$M,0))&amp;"",""))</f>
        <v>Loisir</v>
      </c>
      <c r="O635" s="6">
        <f>IF($A635="","",IF(OR($J635&lt;&gt;"x",$A635&lt;=FinReleve),1,0))</f>
        <v>1</v>
      </c>
      <c r="P635" s="6">
        <f>IF($D635="","",IF(AND($L635="Crédit",OR(IFERROR(INDEX('Paramètres'!$O:$O,MATCH($D635,'Paramètres'!$M:$M,0))&amp;"","")&lt;&gt;"",ISNUMBER(SEARCH("remboursement",IFERROR(INDEX('Paramètres'!$N:$N,MATCH($D635,'Paramètres'!$M:$M,0))&amp;"",""))))),1,0))</f>
        <v>0</v>
      </c>
      <c r="Q635" s="6">
        <f>IF($K635="","",IF(ISNUMBER(SEARCH("transfert-interne",IFERROR(INDEX('Paramètres'!$N:$N,MATCH($D635,'Paramètres'!$M:$M,0))&amp;"",""))),0,IF($L635="Débit",$K635,IF($P635=1,-$K635,0))))</f>
        <v>11.71</v>
      </c>
      <c r="R635" s="6">
        <f>IF($K635="","",IF($L635="Crédit",$K635,-$K635))</f>
        <v>-11.71</v>
      </c>
      <c r="S635" s="6" t="str">
        <f>IF($C635="","",IFERROR(INDEX('Paramètres'!$H:$H,MATCH($C635,'Paramètres'!$D:$D,0))&amp;"",""))</f>
        <v>Banque A - Courant</v>
      </c>
      <c r="T635" s="6">
        <f>IF($K635="","",IF($S635="",0,IF(ISNUMBER(SEARCH("apport-exterieur",IFERROR(INDEX('Paramètres'!$N:$N,MATCH($D635,'Paramètres'!$M:$M,0))&amp;"",""))),0,IF(OR(IFERROR(INDEX('Paramètres'!$I:$I,MATCH($C635,'Paramètres'!$D:$D,0))&amp;"","")="Les deux",IFERROR(INDEX('Paramètres'!$I:$I,MATCH($C635,'Paramètres'!$D:$D,0))&amp;"","")=IF($P635=1,"Débit",$L635)),-IF($P635=1,-$K635,$K635),0))))</f>
        <v>-11.71</v>
      </c>
      <c r="U635" s="6">
        <f>IF($K635="","",IF(ISNUMBER(SEARCH("sortie-epargne",IFERROR(INDEX('Paramètres'!$N:$N,MATCH($D635,'Paramètres'!$M:$M,0))&amp;"",""))),$K635,0))</f>
        <v>0</v>
      </c>
      <c r="V635" s="6" t="str">
        <f>IF(AND($A635&lt;&gt;"",$O635=1,$L635="Débit",N($Q635)&gt;0,$A635&gt;=Visualisation!$B$1,$A635&lt;Visualisation!$D$1),MAX($V$1:V634)+1,"")</f>
        <v/>
      </c>
    </row>
    <row r="636" spans="1:22" x14ac:dyDescent="0.25">
      <c r="A636" s="9">
        <v>45993</v>
      </c>
      <c r="B636" s="4" t="s">
        <v>64</v>
      </c>
      <c r="C636" s="4" t="s">
        <v>65</v>
      </c>
      <c r="D636" s="4" t="s">
        <v>66</v>
      </c>
      <c r="E636" s="10">
        <v>1160</v>
      </c>
      <c r="G636" s="4"/>
      <c r="H636" s="4"/>
      <c r="I636" s="4"/>
      <c r="K636" s="11">
        <f>IF($E636="","",ROUND($E636*IF(ISNA(MATCH($C636,'Paramètres'!$D:$D,0)),1,IF(INDEX('Paramètres'!$J:$J,MATCH($C636,'Paramètres'!$D:$D,0))="",1,INDEX('Paramètres'!$J:$J,MATCH($C636,'Paramètres'!$D:$D,0)))),2))</f>
        <v>1160</v>
      </c>
      <c r="L636" s="6" t="str">
        <f>IF($D636="","",IF($F636&lt;&gt;"",$F636,IF(ISNA(MATCH($D636,'Paramètres'!$M:$M,0)),"⚠ Type inconnu",IFERROR(INDEX('Paramètres'!$P:$P,MATCH($D636,'Paramètres'!$M:$M,0))&amp;"",""))))</f>
        <v>Crédit</v>
      </c>
      <c r="M636" s="6" t="str">
        <f>IF($D636="","",IF(ISNA(MATCH($D636,'Paramètres'!$M:$M,0)),"⚠ Type inconnu",IF($L636="Crédit","",IFERROR(INDEX('Paramètres'!$O:$O,MATCH($D636,'Paramètres'!$M:$M,0))&amp;"",""))))</f>
        <v/>
      </c>
      <c r="N636" s="6" t="str">
        <f>IF($D636="","",IFERROR(INDEX('Paramètres'!$Q:$Q,MATCH($D636,'Paramètres'!$M:$M,0))&amp;"",""))</f>
        <v>Comptes Bancaires</v>
      </c>
      <c r="O636" s="6">
        <f>IF($A636="","",IF(OR($J636&lt;&gt;"x",$A636&lt;=FinReleve),1,0))</f>
        <v>1</v>
      </c>
      <c r="P636" s="6">
        <f>IF($D636="","",IF(AND($L636="Crédit",OR(IFERROR(INDEX('Paramètres'!$O:$O,MATCH($D636,'Paramètres'!$M:$M,0))&amp;"","")&lt;&gt;"",ISNUMBER(SEARCH("remboursement",IFERROR(INDEX('Paramètres'!$N:$N,MATCH($D636,'Paramètres'!$M:$M,0))&amp;"",""))))),1,0))</f>
        <v>0</v>
      </c>
      <c r="Q636" s="6">
        <f>IF($K636="","",IF(ISNUMBER(SEARCH("transfert-interne",IFERROR(INDEX('Paramètres'!$N:$N,MATCH($D636,'Paramètres'!$M:$M,0))&amp;"",""))),0,IF($L636="Débit",$K636,IF($P636=1,-$K636,0))))</f>
        <v>0</v>
      </c>
      <c r="R636" s="6">
        <f>IF($K636="","",IF($L636="Crédit",$K636,-$K636))</f>
        <v>1160</v>
      </c>
      <c r="S636" s="6" t="str">
        <f>IF($C636="","",IFERROR(INDEX('Paramètres'!$H:$H,MATCH($C636,'Paramètres'!$D:$D,0))&amp;"",""))</f>
        <v>Banque A - Courant</v>
      </c>
      <c r="T636" s="6">
        <f>IF($K636="","",IF($S636="",0,IF(ISNUMBER(SEARCH("apport-exterieur",IFERROR(INDEX('Paramètres'!$N:$N,MATCH($D636,'Paramètres'!$M:$M,0))&amp;"",""))),0,IF(OR(IFERROR(INDEX('Paramètres'!$I:$I,MATCH($C636,'Paramètres'!$D:$D,0))&amp;"","")="Les deux",IFERROR(INDEX('Paramètres'!$I:$I,MATCH($C636,'Paramètres'!$D:$D,0))&amp;"","")=IF($P636=1,"Débit",$L636)),-IF($P636=1,-$K636,$K636),0))))</f>
        <v>-1160</v>
      </c>
      <c r="U636" s="6">
        <f>IF($K636="","",IF(ISNUMBER(SEARCH("sortie-epargne",IFERROR(INDEX('Paramètres'!$N:$N,MATCH($D636,'Paramètres'!$M:$M,0))&amp;"",""))),$K636,0))</f>
        <v>0</v>
      </c>
      <c r="V636" s="6" t="str">
        <f>IF(AND($A636&lt;&gt;"",$O636=1,$L636="Débit",N($Q636)&gt;0,$A636&gt;=Visualisation!$B$1,$A636&lt;Visualisation!$D$1),MAX($V$1:V635)+1,"")</f>
        <v/>
      </c>
    </row>
    <row r="637" spans="1:22" x14ac:dyDescent="0.25">
      <c r="A637" s="9">
        <v>45993</v>
      </c>
      <c r="B637" s="4" t="s">
        <v>64</v>
      </c>
      <c r="C637" s="4" t="s">
        <v>67</v>
      </c>
      <c r="D637" s="4" t="s">
        <v>68</v>
      </c>
      <c r="E637" s="10">
        <v>600</v>
      </c>
      <c r="G637" s="4"/>
      <c r="H637" s="4"/>
      <c r="I637" s="4"/>
      <c r="K637" s="11">
        <f>IF($E637="","",ROUND($E637*IF(ISNA(MATCH($C637,'Paramètres'!$D:$D,0)),1,IF(INDEX('Paramètres'!$J:$J,MATCH($C637,'Paramètres'!$D:$D,0))="",1,INDEX('Paramètres'!$J:$J,MATCH($C637,'Paramètres'!$D:$D,0)))),2))</f>
        <v>300</v>
      </c>
      <c r="L637" s="6" t="str">
        <f>IF($D637="","",IF($F637&lt;&gt;"",$F637,IF(ISNA(MATCH($D637,'Paramètres'!$M:$M,0)),"⚠ Type inconnu",IFERROR(INDEX('Paramètres'!$P:$P,MATCH($D637,'Paramètres'!$M:$M,0))&amp;"",""))))</f>
        <v>Crédit</v>
      </c>
      <c r="M637" s="6" t="str">
        <f>IF($D637="","",IF(ISNA(MATCH($D637,'Paramètres'!$M:$M,0)),"⚠ Type inconnu",IF($L637="Crédit","",IFERROR(INDEX('Paramètres'!$O:$O,MATCH($D637,'Paramètres'!$M:$M,0))&amp;"",""))))</f>
        <v/>
      </c>
      <c r="N637" s="6" t="str">
        <f>IF($D637="","",IFERROR(INDEX('Paramètres'!$Q:$Q,MATCH($D637,'Paramètres'!$M:$M,0))&amp;"",""))</f>
        <v>Comptes Bancaires</v>
      </c>
      <c r="O637" s="6">
        <f>IF($A637="","",IF(OR($J637&lt;&gt;"x",$A637&lt;=FinReleve),1,0))</f>
        <v>1</v>
      </c>
      <c r="P637" s="6">
        <f>IF($D637="","",IF(AND($L637="Crédit",OR(IFERROR(INDEX('Paramètres'!$O:$O,MATCH($D637,'Paramètres'!$M:$M,0))&amp;"","")&lt;&gt;"",ISNUMBER(SEARCH("remboursement",IFERROR(INDEX('Paramètres'!$N:$N,MATCH($D637,'Paramètres'!$M:$M,0))&amp;"",""))))),1,0))</f>
        <v>0</v>
      </c>
      <c r="Q637" s="6">
        <f>IF($K637="","",IF(ISNUMBER(SEARCH("transfert-interne",IFERROR(INDEX('Paramètres'!$N:$N,MATCH($D637,'Paramètres'!$M:$M,0))&amp;"",""))),0,IF($L637="Débit",$K637,IF($P637=1,-$K637,0))))</f>
        <v>0</v>
      </c>
      <c r="R637" s="6">
        <f>IF($K637="","",IF($L637="Crédit",$K637,-$K637))</f>
        <v>300</v>
      </c>
      <c r="S637" s="6" t="str">
        <f>IF($C637="","",IFERROR(INDEX('Paramètres'!$H:$H,MATCH($C637,'Paramètres'!$D:$D,0))&amp;"",""))</f>
        <v>Banque A - Courant</v>
      </c>
      <c r="T637" s="6">
        <f>IF($K637="","",IF($S637="",0,IF(ISNUMBER(SEARCH("apport-exterieur",IFERROR(INDEX('Paramètres'!$N:$N,MATCH($D637,'Paramètres'!$M:$M,0))&amp;"",""))),0,IF(OR(IFERROR(INDEX('Paramètres'!$I:$I,MATCH($C637,'Paramètres'!$D:$D,0))&amp;"","")="Les deux",IFERROR(INDEX('Paramètres'!$I:$I,MATCH($C637,'Paramètres'!$D:$D,0))&amp;"","")=IF($P637=1,"Débit",$L637)),-IF($P637=1,-$K637,$K637),0))))</f>
        <v>-300</v>
      </c>
      <c r="U637" s="6">
        <f>IF($K637="","",IF(ISNUMBER(SEARCH("sortie-epargne",IFERROR(INDEX('Paramètres'!$N:$N,MATCH($D637,'Paramètres'!$M:$M,0))&amp;"",""))),$K637,0))</f>
        <v>0</v>
      </c>
      <c r="V637" s="6" t="str">
        <f>IF(AND($A637&lt;&gt;"",$O637=1,$L637="Débit",N($Q637)&gt;0,$A637&gt;=Visualisation!$B$1,$A637&lt;Visualisation!$D$1),MAX($V$1:V636)+1,"")</f>
        <v/>
      </c>
    </row>
    <row r="638" spans="1:22" x14ac:dyDescent="0.25">
      <c r="A638" s="9">
        <v>45993</v>
      </c>
      <c r="B638" s="4" t="s">
        <v>76</v>
      </c>
      <c r="C638" s="4" t="s">
        <v>67</v>
      </c>
      <c r="D638" s="4" t="s">
        <v>77</v>
      </c>
      <c r="E638" s="10">
        <v>82.12</v>
      </c>
      <c r="G638" s="4" t="s">
        <v>95</v>
      </c>
      <c r="H638" s="4"/>
      <c r="I638" s="4"/>
      <c r="K638" s="11">
        <f>IF($E638="","",ROUND($E638*IF(ISNA(MATCH($C638,'Paramètres'!$D:$D,0)),1,IF(INDEX('Paramètres'!$J:$J,MATCH($C638,'Paramètres'!$D:$D,0))="",1,INDEX('Paramètres'!$J:$J,MATCH($C638,'Paramètres'!$D:$D,0)))),2))</f>
        <v>41.06</v>
      </c>
      <c r="L638" s="6" t="str">
        <f>IF($D638="","",IF($F638&lt;&gt;"",$F638,IF(ISNA(MATCH($D638,'Paramètres'!$M:$M,0)),"⚠ Type inconnu",IFERROR(INDEX('Paramètres'!$P:$P,MATCH($D638,'Paramètres'!$M:$M,0))&amp;"",""))))</f>
        <v>Débit</v>
      </c>
      <c r="M638" s="6" t="str">
        <f>IF($D638="","",IF(ISNA(MATCH($D638,'Paramètres'!$M:$M,0)),"⚠ Type inconnu",IF($L638="Crédit","",IFERROR(INDEX('Paramètres'!$O:$O,MATCH($D638,'Paramètres'!$M:$M,0))&amp;"",""))))</f>
        <v>Dépense Courante</v>
      </c>
      <c r="N638" s="6" t="str">
        <f>IF($D638="","",IFERROR(INDEX('Paramètres'!$Q:$Q,MATCH($D638,'Paramètres'!$M:$M,0))&amp;"",""))</f>
        <v>Alimentation</v>
      </c>
      <c r="O638" s="6">
        <f>IF($A638="","",IF(OR($J638&lt;&gt;"x",$A638&lt;=FinReleve),1,0))</f>
        <v>1</v>
      </c>
      <c r="P638" s="6">
        <f>IF($D638="","",IF(AND($L638="Crédit",OR(IFERROR(INDEX('Paramètres'!$O:$O,MATCH($D638,'Paramètres'!$M:$M,0))&amp;"","")&lt;&gt;"",ISNUMBER(SEARCH("remboursement",IFERROR(INDEX('Paramètres'!$N:$N,MATCH($D638,'Paramètres'!$M:$M,0))&amp;"",""))))),1,0))</f>
        <v>0</v>
      </c>
      <c r="Q638" s="6">
        <f>IF($K638="","",IF(ISNUMBER(SEARCH("transfert-interne",IFERROR(INDEX('Paramètres'!$N:$N,MATCH($D638,'Paramètres'!$M:$M,0))&amp;"",""))),0,IF($L638="Débit",$K638,IF($P638=1,-$K638,0))))</f>
        <v>41.06</v>
      </c>
      <c r="R638" s="6">
        <f>IF($K638="","",IF($L638="Crédit",$K638,-$K638))</f>
        <v>-41.06</v>
      </c>
      <c r="S638" s="6" t="str">
        <f>IF($C638="","",IFERROR(INDEX('Paramètres'!$H:$H,MATCH($C638,'Paramètres'!$D:$D,0))&amp;"",""))</f>
        <v>Banque A - Courant</v>
      </c>
      <c r="T638" s="6">
        <f>IF($K638="","",IF($S638="",0,IF(ISNUMBER(SEARCH("apport-exterieur",IFERROR(INDEX('Paramètres'!$N:$N,MATCH($D638,'Paramètres'!$M:$M,0))&amp;"",""))),0,IF(OR(IFERROR(INDEX('Paramètres'!$I:$I,MATCH($C638,'Paramètres'!$D:$D,0))&amp;"","")="Les deux",IFERROR(INDEX('Paramètres'!$I:$I,MATCH($C638,'Paramètres'!$D:$D,0))&amp;"","")=IF($P638=1,"Débit",$L638)),-IF($P638=1,-$K638,$K638),0))))</f>
        <v>0</v>
      </c>
      <c r="U638" s="6">
        <f>IF($K638="","",IF(ISNUMBER(SEARCH("sortie-epargne",IFERROR(INDEX('Paramètres'!$N:$N,MATCH($D638,'Paramètres'!$M:$M,0))&amp;"",""))),$K638,0))</f>
        <v>0</v>
      </c>
      <c r="V638" s="6" t="str">
        <f>IF(AND($A638&lt;&gt;"",$O638=1,$L638="Débit",N($Q638)&gt;0,$A638&gt;=Visualisation!$B$1,$A638&lt;Visualisation!$D$1),MAX($V$1:V637)+1,"")</f>
        <v/>
      </c>
    </row>
    <row r="639" spans="1:22" x14ac:dyDescent="0.25">
      <c r="A639" s="9">
        <v>45994</v>
      </c>
      <c r="B639" s="4" t="s">
        <v>74</v>
      </c>
      <c r="C639" s="4" t="s">
        <v>75</v>
      </c>
      <c r="D639" s="4" t="s">
        <v>74</v>
      </c>
      <c r="E639" s="10">
        <v>88.8</v>
      </c>
      <c r="G639" s="4"/>
      <c r="H639" s="4"/>
      <c r="I639" s="4"/>
      <c r="K639" s="11">
        <f>IF($E639="","",ROUND($E639*IF(ISNA(MATCH($C639,'Paramètres'!$D:$D,0)),1,IF(INDEX('Paramètres'!$J:$J,MATCH($C639,'Paramètres'!$D:$D,0))="",1,INDEX('Paramètres'!$J:$J,MATCH($C639,'Paramètres'!$D:$D,0)))),2))</f>
        <v>88.8</v>
      </c>
      <c r="L639" s="6" t="str">
        <f>IF($D639="","",IF($F639&lt;&gt;"",$F639,IF(ISNA(MATCH($D639,'Paramètres'!$M:$M,0)),"⚠ Type inconnu",IFERROR(INDEX('Paramètres'!$P:$P,MATCH($D639,'Paramètres'!$M:$M,0))&amp;"",""))))</f>
        <v>Débit</v>
      </c>
      <c r="M639" s="6" t="str">
        <f>IF($D639="","",IF(ISNA(MATCH($D639,'Paramètres'!$M:$M,0)),"⚠ Type inconnu",IF($L639="Crédit","",IFERROR(INDEX('Paramètres'!$O:$O,MATCH($D639,'Paramètres'!$M:$M,0))&amp;"",""))))</f>
        <v>Dépense Fixe</v>
      </c>
      <c r="N639" s="6" t="str">
        <f>IF($D639="","",IFERROR(INDEX('Paramètres'!$Q:$Q,MATCH($D639,'Paramètres'!$M:$M,0))&amp;"",""))</f>
        <v>Transport</v>
      </c>
      <c r="O639" s="6">
        <f>IF($A639="","",IF(OR($J639&lt;&gt;"x",$A639&lt;=FinReleve),1,0))</f>
        <v>1</v>
      </c>
      <c r="P639" s="6">
        <f>IF($D639="","",IF(AND($L639="Crédit",OR(IFERROR(INDEX('Paramètres'!$O:$O,MATCH($D639,'Paramètres'!$M:$M,0))&amp;"","")&lt;&gt;"",ISNUMBER(SEARCH("remboursement",IFERROR(INDEX('Paramètres'!$N:$N,MATCH($D639,'Paramètres'!$M:$M,0))&amp;"",""))))),1,0))</f>
        <v>0</v>
      </c>
      <c r="Q639" s="6">
        <f>IF($K639="","",IF(ISNUMBER(SEARCH("transfert-interne",IFERROR(INDEX('Paramètres'!$N:$N,MATCH($D639,'Paramètres'!$M:$M,0))&amp;"",""))),0,IF($L639="Débit",$K639,IF($P639=1,-$K639,0))))</f>
        <v>88.8</v>
      </c>
      <c r="R639" s="6">
        <f>IF($K639="","",IF($L639="Crédit",$K639,-$K639))</f>
        <v>-88.8</v>
      </c>
      <c r="S639" s="6" t="str">
        <f>IF($C639="","",IFERROR(INDEX('Paramètres'!$H:$H,MATCH($C639,'Paramètres'!$D:$D,0))&amp;"",""))</f>
        <v/>
      </c>
      <c r="T639" s="6">
        <f>IF($K639="","",IF($S639="",0,IF(ISNUMBER(SEARCH("apport-exterieur",IFERROR(INDEX('Paramètres'!$N:$N,MATCH($D639,'Paramètres'!$M:$M,0))&amp;"",""))),0,IF(OR(IFERROR(INDEX('Paramètres'!$I:$I,MATCH($C639,'Paramètres'!$D:$D,0))&amp;"","")="Les deux",IFERROR(INDEX('Paramètres'!$I:$I,MATCH($C639,'Paramètres'!$D:$D,0))&amp;"","")=IF($P639=1,"Débit",$L639)),-IF($P639=1,-$K639,$K639),0))))</f>
        <v>0</v>
      </c>
      <c r="U639" s="6">
        <f>IF($K639="","",IF(ISNUMBER(SEARCH("sortie-epargne",IFERROR(INDEX('Paramètres'!$N:$N,MATCH($D639,'Paramètres'!$M:$M,0))&amp;"",""))),$K639,0))</f>
        <v>0</v>
      </c>
      <c r="V639" s="6" t="str">
        <f>IF(AND($A639&lt;&gt;"",$O639=1,$L639="Débit",N($Q639)&gt;0,$A639&gt;=Visualisation!$B$1,$A639&lt;Visualisation!$D$1),MAX($V$1:V638)+1,"")</f>
        <v/>
      </c>
    </row>
    <row r="640" spans="1:22" x14ac:dyDescent="0.25">
      <c r="A640" s="9">
        <v>45994</v>
      </c>
      <c r="B640" s="4" t="s">
        <v>76</v>
      </c>
      <c r="C640" s="4" t="s">
        <v>67</v>
      </c>
      <c r="D640" s="4" t="s">
        <v>77</v>
      </c>
      <c r="E640" s="10">
        <v>179.74</v>
      </c>
      <c r="G640" s="4" t="s">
        <v>78</v>
      </c>
      <c r="H640" s="4"/>
      <c r="I640" s="4" t="s">
        <v>73</v>
      </c>
      <c r="K640" s="11">
        <f>IF($E640="","",ROUND($E640*IF(ISNA(MATCH($C640,'Paramètres'!$D:$D,0)),1,IF(INDEX('Paramètres'!$J:$J,MATCH($C640,'Paramètres'!$D:$D,0))="",1,INDEX('Paramètres'!$J:$J,MATCH($C640,'Paramètres'!$D:$D,0)))),2))</f>
        <v>89.87</v>
      </c>
      <c r="L640" s="6" t="str">
        <f>IF($D640="","",IF($F640&lt;&gt;"",$F640,IF(ISNA(MATCH($D640,'Paramètres'!$M:$M,0)),"⚠ Type inconnu",IFERROR(INDEX('Paramètres'!$P:$P,MATCH($D640,'Paramètres'!$M:$M,0))&amp;"",""))))</f>
        <v>Débit</v>
      </c>
      <c r="M640" s="6" t="str">
        <f>IF($D640="","",IF(ISNA(MATCH($D640,'Paramètres'!$M:$M,0)),"⚠ Type inconnu",IF($L640="Crédit","",IFERROR(INDEX('Paramètres'!$O:$O,MATCH($D640,'Paramètres'!$M:$M,0))&amp;"",""))))</f>
        <v>Dépense Courante</v>
      </c>
      <c r="N640" s="6" t="str">
        <f>IF($D640="","",IFERROR(INDEX('Paramètres'!$Q:$Q,MATCH($D640,'Paramètres'!$M:$M,0))&amp;"",""))</f>
        <v>Alimentation</v>
      </c>
      <c r="O640" s="6">
        <f>IF($A640="","",IF(OR($J640&lt;&gt;"x",$A640&lt;=FinReleve),1,0))</f>
        <v>1</v>
      </c>
      <c r="P640" s="6">
        <f>IF($D640="","",IF(AND($L640="Crédit",OR(IFERROR(INDEX('Paramètres'!$O:$O,MATCH($D640,'Paramètres'!$M:$M,0))&amp;"","")&lt;&gt;"",ISNUMBER(SEARCH("remboursement",IFERROR(INDEX('Paramètres'!$N:$N,MATCH($D640,'Paramètres'!$M:$M,0))&amp;"",""))))),1,0))</f>
        <v>0</v>
      </c>
      <c r="Q640" s="6">
        <f>IF($K640="","",IF(ISNUMBER(SEARCH("transfert-interne",IFERROR(INDEX('Paramètres'!$N:$N,MATCH($D640,'Paramètres'!$M:$M,0))&amp;"",""))),0,IF($L640="Débit",$K640,IF($P640=1,-$K640,0))))</f>
        <v>89.87</v>
      </c>
      <c r="R640" s="6">
        <f>IF($K640="","",IF($L640="Crédit",$K640,-$K640))</f>
        <v>-89.87</v>
      </c>
      <c r="S640" s="6" t="str">
        <f>IF($C640="","",IFERROR(INDEX('Paramètres'!$H:$H,MATCH($C640,'Paramètres'!$D:$D,0))&amp;"",""))</f>
        <v>Banque A - Courant</v>
      </c>
      <c r="T640" s="6">
        <f>IF($K640="","",IF($S640="",0,IF(ISNUMBER(SEARCH("apport-exterieur",IFERROR(INDEX('Paramètres'!$N:$N,MATCH($D640,'Paramètres'!$M:$M,0))&amp;"",""))),0,IF(OR(IFERROR(INDEX('Paramètres'!$I:$I,MATCH($C640,'Paramètres'!$D:$D,0))&amp;"","")="Les deux",IFERROR(INDEX('Paramètres'!$I:$I,MATCH($C640,'Paramètres'!$D:$D,0))&amp;"","")=IF($P640=1,"Débit",$L640)),-IF($P640=1,-$K640,$K640),0))))</f>
        <v>0</v>
      </c>
      <c r="U640" s="6">
        <f>IF($K640="","",IF(ISNUMBER(SEARCH("sortie-epargne",IFERROR(INDEX('Paramètres'!$N:$N,MATCH($D640,'Paramètres'!$M:$M,0))&amp;"",""))),$K640,0))</f>
        <v>0</v>
      </c>
      <c r="V640" s="6" t="str">
        <f>IF(AND($A640&lt;&gt;"",$O640=1,$L640="Débit",N($Q640)&gt;0,$A640&gt;=Visualisation!$B$1,$A640&lt;Visualisation!$D$1),MAX($V$1:V639)+1,"")</f>
        <v/>
      </c>
    </row>
    <row r="641" spans="1:22" x14ac:dyDescent="0.25">
      <c r="A641" s="9">
        <v>45994</v>
      </c>
      <c r="B641" s="4" t="s">
        <v>76</v>
      </c>
      <c r="C641" s="4" t="s">
        <v>60</v>
      </c>
      <c r="D641" s="4" t="s">
        <v>77</v>
      </c>
      <c r="E641" s="10">
        <v>169.86</v>
      </c>
      <c r="G641" s="4" t="s">
        <v>78</v>
      </c>
      <c r="H641" s="4"/>
      <c r="I641" s="4" t="s">
        <v>79</v>
      </c>
      <c r="K641" s="11">
        <f>IF($E641="","",ROUND($E641*IF(ISNA(MATCH($C641,'Paramètres'!$D:$D,0)),1,IF(INDEX('Paramètres'!$J:$J,MATCH($C641,'Paramètres'!$D:$D,0))="",1,INDEX('Paramètres'!$J:$J,MATCH($C641,'Paramètres'!$D:$D,0)))),2))</f>
        <v>84.93</v>
      </c>
      <c r="L641" s="6" t="str">
        <f>IF($D641="","",IF($F641&lt;&gt;"",$F641,IF(ISNA(MATCH($D641,'Paramètres'!$M:$M,0)),"⚠ Type inconnu",IFERROR(INDEX('Paramètres'!$P:$P,MATCH($D641,'Paramètres'!$M:$M,0))&amp;"",""))))</f>
        <v>Débit</v>
      </c>
      <c r="M641" s="6" t="str">
        <f>IF($D641="","",IF(ISNA(MATCH($D641,'Paramètres'!$M:$M,0)),"⚠ Type inconnu",IF($L641="Crédit","",IFERROR(INDEX('Paramètres'!$O:$O,MATCH($D641,'Paramètres'!$M:$M,0))&amp;"",""))))</f>
        <v>Dépense Courante</v>
      </c>
      <c r="N641" s="6" t="str">
        <f>IF($D641="","",IFERROR(INDEX('Paramètres'!$Q:$Q,MATCH($D641,'Paramètres'!$M:$M,0))&amp;"",""))</f>
        <v>Alimentation</v>
      </c>
      <c r="O641" s="6">
        <f>IF($A641="","",IF(OR($J641&lt;&gt;"x",$A641&lt;=FinReleve),1,0))</f>
        <v>1</v>
      </c>
      <c r="P641" s="6">
        <f>IF($D641="","",IF(AND($L641="Crédit",OR(IFERROR(INDEX('Paramètres'!$O:$O,MATCH($D641,'Paramètres'!$M:$M,0))&amp;"","")&lt;&gt;"",ISNUMBER(SEARCH("remboursement",IFERROR(INDEX('Paramètres'!$N:$N,MATCH($D641,'Paramètres'!$M:$M,0))&amp;"",""))))),1,0))</f>
        <v>0</v>
      </c>
      <c r="Q641" s="6">
        <f>IF($K641="","",IF(ISNUMBER(SEARCH("transfert-interne",IFERROR(INDEX('Paramètres'!$N:$N,MATCH($D641,'Paramètres'!$M:$M,0))&amp;"",""))),0,IF($L641="Débit",$K641,IF($P641=1,-$K641,0))))</f>
        <v>84.93</v>
      </c>
      <c r="R641" s="6">
        <f>IF($K641="","",IF($L641="Crédit",$K641,-$K641))</f>
        <v>-84.93</v>
      </c>
      <c r="S641" s="6" t="str">
        <f>IF($C641="","",IFERROR(INDEX('Paramètres'!$H:$H,MATCH($C641,'Paramètres'!$D:$D,0))&amp;"",""))</f>
        <v>Banque A - Courant</v>
      </c>
      <c r="T641" s="6">
        <f>IF($K641="","",IF($S641="",0,IF(ISNUMBER(SEARCH("apport-exterieur",IFERROR(INDEX('Paramètres'!$N:$N,MATCH($D641,'Paramètres'!$M:$M,0))&amp;"",""))),0,IF(OR(IFERROR(INDEX('Paramètres'!$I:$I,MATCH($C641,'Paramètres'!$D:$D,0))&amp;"","")="Les deux",IFERROR(INDEX('Paramètres'!$I:$I,MATCH($C641,'Paramètres'!$D:$D,0))&amp;"","")=IF($P641=1,"Débit",$L641)),-IF($P641=1,-$K641,$K641),0))))</f>
        <v>-84.93</v>
      </c>
      <c r="U641" s="6">
        <f>IF($K641="","",IF(ISNUMBER(SEARCH("sortie-epargne",IFERROR(INDEX('Paramètres'!$N:$N,MATCH($D641,'Paramètres'!$M:$M,0))&amp;"",""))),$K641,0))</f>
        <v>0</v>
      </c>
      <c r="V641" s="6" t="str">
        <f>IF(AND($A641&lt;&gt;"",$O641=1,$L641="Débit",N($Q641)&gt;0,$A641&gt;=Visualisation!$B$1,$A641&lt;Visualisation!$D$1),MAX($V$1:V640)+1,"")</f>
        <v/>
      </c>
    </row>
    <row r="642" spans="1:22" x14ac:dyDescent="0.25">
      <c r="A642" s="9">
        <v>45995</v>
      </c>
      <c r="B642" s="4" t="s">
        <v>69</v>
      </c>
      <c r="C642" s="4" t="s">
        <v>70</v>
      </c>
      <c r="D642" s="4" t="s">
        <v>71</v>
      </c>
      <c r="E642" s="10">
        <v>10.7</v>
      </c>
      <c r="G642" s="4" t="s">
        <v>72</v>
      </c>
      <c r="H642" s="4"/>
      <c r="I642" s="4" t="s">
        <v>73</v>
      </c>
      <c r="K642" s="11">
        <f>IF($E642="","",ROUND($E642*IF(ISNA(MATCH($C642,'Paramètres'!$D:$D,0)),1,IF(INDEX('Paramètres'!$J:$J,MATCH($C642,'Paramètres'!$D:$D,0))="",1,INDEX('Paramètres'!$J:$J,MATCH($C642,'Paramètres'!$D:$D,0)))),2))</f>
        <v>10.7</v>
      </c>
      <c r="L642" s="6" t="str">
        <f>IF($D642="","",IF($F642&lt;&gt;"",$F642,IF(ISNA(MATCH($D642,'Paramètres'!$M:$M,0)),"⚠ Type inconnu",IFERROR(INDEX('Paramètres'!$P:$P,MATCH($D642,'Paramètres'!$M:$M,0))&amp;"",""))))</f>
        <v>Débit</v>
      </c>
      <c r="M642" s="6" t="str">
        <f>IF($D642="","",IF(ISNA(MATCH($D642,'Paramètres'!$M:$M,0)),"⚠ Type inconnu",IF($L642="Crédit","",IFERROR(INDEX('Paramètres'!$O:$O,MATCH($D642,'Paramètres'!$M:$M,0))&amp;"",""))))</f>
        <v>Dépense Courante</v>
      </c>
      <c r="N642" s="6" t="str">
        <f>IF($D642="","",IFERROR(INDEX('Paramètres'!$Q:$Q,MATCH($D642,'Paramètres'!$M:$M,0))&amp;"",""))</f>
        <v>Alimentation</v>
      </c>
      <c r="O642" s="6">
        <f>IF($A642="","",IF(OR($J642&lt;&gt;"x",$A642&lt;=FinReleve),1,0))</f>
        <v>1</v>
      </c>
      <c r="P642" s="6">
        <f>IF($D642="","",IF(AND($L642="Crédit",OR(IFERROR(INDEX('Paramètres'!$O:$O,MATCH($D642,'Paramètres'!$M:$M,0))&amp;"","")&lt;&gt;"",ISNUMBER(SEARCH("remboursement",IFERROR(INDEX('Paramètres'!$N:$N,MATCH($D642,'Paramètres'!$M:$M,0))&amp;"",""))))),1,0))</f>
        <v>0</v>
      </c>
      <c r="Q642" s="6">
        <f>IF($K642="","",IF(ISNUMBER(SEARCH("transfert-interne",IFERROR(INDEX('Paramètres'!$N:$N,MATCH($D642,'Paramètres'!$M:$M,0))&amp;"",""))),0,IF($L642="Débit",$K642,IF($P642=1,-$K642,0))))</f>
        <v>10.7</v>
      </c>
      <c r="R642" s="6">
        <f>IF($K642="","",IF($L642="Crédit",$K642,-$K642))</f>
        <v>-10.7</v>
      </c>
      <c r="S642" s="6" t="str">
        <f>IF($C642="","",IFERROR(INDEX('Paramètres'!$H:$H,MATCH($C642,'Paramètres'!$D:$D,0))&amp;"",""))</f>
        <v/>
      </c>
      <c r="T642" s="6">
        <f>IF($K642="","",IF($S642="",0,IF(ISNUMBER(SEARCH("apport-exterieur",IFERROR(INDEX('Paramètres'!$N:$N,MATCH($D642,'Paramètres'!$M:$M,0))&amp;"",""))),0,IF(OR(IFERROR(INDEX('Paramètres'!$I:$I,MATCH($C642,'Paramètres'!$D:$D,0))&amp;"","")="Les deux",IFERROR(INDEX('Paramètres'!$I:$I,MATCH($C642,'Paramètres'!$D:$D,0))&amp;"","")=IF($P642=1,"Débit",$L642)),-IF($P642=1,-$K642,$K642),0))))</f>
        <v>0</v>
      </c>
      <c r="U642" s="6">
        <f>IF($K642="","",IF(ISNUMBER(SEARCH("sortie-epargne",IFERROR(INDEX('Paramètres'!$N:$N,MATCH($D642,'Paramètres'!$M:$M,0))&amp;"",""))),$K642,0))</f>
        <v>0</v>
      </c>
      <c r="V642" s="6" t="str">
        <f>IF(AND($A642&lt;&gt;"",$O642=1,$L642="Débit",N($Q642)&gt;0,$A642&gt;=Visualisation!$B$1,$A642&lt;Visualisation!$D$1),MAX($V$1:V641)+1,"")</f>
        <v/>
      </c>
    </row>
    <row r="643" spans="1:22" x14ac:dyDescent="0.25">
      <c r="A643" s="9">
        <v>45995</v>
      </c>
      <c r="B643" s="4" t="s">
        <v>80</v>
      </c>
      <c r="C643" s="4" t="s">
        <v>70</v>
      </c>
      <c r="D643" s="4" t="s">
        <v>81</v>
      </c>
      <c r="E643" s="10">
        <v>116.93</v>
      </c>
      <c r="G643" s="4"/>
      <c r="H643" s="4"/>
      <c r="I643" s="4"/>
      <c r="K643" s="11">
        <f>IF($E643="","",ROUND($E643*IF(ISNA(MATCH($C643,'Paramètres'!$D:$D,0)),1,IF(INDEX('Paramètres'!$J:$J,MATCH($C643,'Paramètres'!$D:$D,0))="",1,INDEX('Paramètres'!$J:$J,MATCH($C643,'Paramètres'!$D:$D,0)))),2))</f>
        <v>116.93</v>
      </c>
      <c r="L643" s="6" t="str">
        <f>IF($D643="","",IF($F643&lt;&gt;"",$F643,IF(ISNA(MATCH($D643,'Paramètres'!$M:$M,0)),"⚠ Type inconnu",IFERROR(INDEX('Paramètres'!$P:$P,MATCH($D643,'Paramètres'!$M:$M,0))&amp;"",""))))</f>
        <v>Crédit</v>
      </c>
      <c r="M643" s="6" t="str">
        <f>IF($D643="","",IF(ISNA(MATCH($D643,'Paramètres'!$M:$M,0)),"⚠ Type inconnu",IF($L643="Crédit","",IFERROR(INDEX('Paramètres'!$O:$O,MATCH($D643,'Paramètres'!$M:$M,0))&amp;"",""))))</f>
        <v/>
      </c>
      <c r="N643" s="6" t="str">
        <f>IF($D643="","",IFERROR(INDEX('Paramètres'!$Q:$Q,MATCH($D643,'Paramètres'!$M:$M,0))&amp;"",""))</f>
        <v>Comptes Bancaires</v>
      </c>
      <c r="O643" s="6">
        <f>IF($A643="","",IF(OR($J643&lt;&gt;"x",$A643&lt;=FinReleve),1,0))</f>
        <v>1</v>
      </c>
      <c r="P643" s="6">
        <f>IF($D643="","",IF(AND($L643="Crédit",OR(IFERROR(INDEX('Paramètres'!$O:$O,MATCH($D643,'Paramètres'!$M:$M,0))&amp;"","")&lt;&gt;"",ISNUMBER(SEARCH("remboursement",IFERROR(INDEX('Paramètres'!$N:$N,MATCH($D643,'Paramètres'!$M:$M,0))&amp;"",""))))),1,0))</f>
        <v>0</v>
      </c>
      <c r="Q643" s="6">
        <f>IF($K643="","",IF(ISNUMBER(SEARCH("transfert-interne",IFERROR(INDEX('Paramètres'!$N:$N,MATCH($D643,'Paramètres'!$M:$M,0))&amp;"",""))),0,IF($L643="Débit",$K643,IF($P643=1,-$K643,0))))</f>
        <v>0</v>
      </c>
      <c r="R643" s="6">
        <f>IF($K643="","",IF($L643="Crédit",$K643,-$K643))</f>
        <v>116.93</v>
      </c>
      <c r="S643" s="6" t="str">
        <f>IF($C643="","",IFERROR(INDEX('Paramètres'!$H:$H,MATCH($C643,'Paramètres'!$D:$D,0))&amp;"",""))</f>
        <v/>
      </c>
      <c r="T643" s="6">
        <f>IF($K643="","",IF($S643="",0,IF(ISNUMBER(SEARCH("apport-exterieur",IFERROR(INDEX('Paramètres'!$N:$N,MATCH($D643,'Paramètres'!$M:$M,0))&amp;"",""))),0,IF(OR(IFERROR(INDEX('Paramètres'!$I:$I,MATCH($C643,'Paramètres'!$D:$D,0))&amp;"","")="Les deux",IFERROR(INDEX('Paramètres'!$I:$I,MATCH($C643,'Paramètres'!$D:$D,0))&amp;"","")=IF($P643=1,"Débit",$L643)),-IF($P643=1,-$K643,$K643),0))))</f>
        <v>0</v>
      </c>
      <c r="U643" s="6">
        <f>IF($K643="","",IF(ISNUMBER(SEARCH("sortie-epargne",IFERROR(INDEX('Paramètres'!$N:$N,MATCH($D643,'Paramètres'!$M:$M,0))&amp;"",""))),$K643,0))</f>
        <v>0</v>
      </c>
      <c r="V643" s="6" t="str">
        <f>IF(AND($A643&lt;&gt;"",$O643=1,$L643="Débit",N($Q643)&gt;0,$A643&gt;=Visualisation!$B$1,$A643&lt;Visualisation!$D$1),MAX($V$1:V642)+1,"")</f>
        <v/>
      </c>
    </row>
    <row r="644" spans="1:22" x14ac:dyDescent="0.25">
      <c r="A644" s="9">
        <v>45996</v>
      </c>
      <c r="B644" s="4" t="s">
        <v>82</v>
      </c>
      <c r="C644" s="4" t="s">
        <v>65</v>
      </c>
      <c r="D644" s="4" t="s">
        <v>83</v>
      </c>
      <c r="E644" s="10">
        <v>660.19</v>
      </c>
      <c r="G644" s="4" t="s">
        <v>84</v>
      </c>
      <c r="H644" s="4"/>
      <c r="I644" s="4"/>
      <c r="K644" s="11">
        <f>IF($E644="","",ROUND($E644*IF(ISNA(MATCH($C644,'Paramètres'!$D:$D,0)),1,IF(INDEX('Paramètres'!$J:$J,MATCH($C644,'Paramètres'!$D:$D,0))="",1,INDEX('Paramètres'!$J:$J,MATCH($C644,'Paramètres'!$D:$D,0)))),2))</f>
        <v>660.19</v>
      </c>
      <c r="L644" s="6" t="str">
        <f>IF($D644="","",IF($F644&lt;&gt;"",$F644,IF(ISNA(MATCH($D644,'Paramètres'!$M:$M,0)),"⚠ Type inconnu",IFERROR(INDEX('Paramètres'!$P:$P,MATCH($D644,'Paramètres'!$M:$M,0))&amp;"",""))))</f>
        <v>Débit</v>
      </c>
      <c r="M644" s="6" t="str">
        <f>IF($D644="","",IF(ISNA(MATCH($D644,'Paramètres'!$M:$M,0)),"⚠ Type inconnu",IF($L644="Crédit","",IFERROR(INDEX('Paramètres'!$O:$O,MATCH($D644,'Paramètres'!$M:$M,0))&amp;"",""))))</f>
        <v/>
      </c>
      <c r="N644" s="6" t="str">
        <f>IF($D644="","",IFERROR(INDEX('Paramètres'!$Q:$Q,MATCH($D644,'Paramètres'!$M:$M,0))&amp;"",""))</f>
        <v>Immobilier</v>
      </c>
      <c r="O644" s="6">
        <f>IF($A644="","",IF(OR($J644&lt;&gt;"x",$A644&lt;=FinReleve),1,0))</f>
        <v>1</v>
      </c>
      <c r="P644" s="6">
        <f>IF($D644="","",IF(AND($L644="Crédit",OR(IFERROR(INDEX('Paramètres'!$O:$O,MATCH($D644,'Paramètres'!$M:$M,0))&amp;"","")&lt;&gt;"",ISNUMBER(SEARCH("remboursement",IFERROR(INDEX('Paramètres'!$N:$N,MATCH($D644,'Paramètres'!$M:$M,0))&amp;"",""))))),1,0))</f>
        <v>0</v>
      </c>
      <c r="Q644" s="6">
        <f>IF($K644="","",IF(ISNUMBER(SEARCH("transfert-interne",IFERROR(INDEX('Paramètres'!$N:$N,MATCH($D644,'Paramètres'!$M:$M,0))&amp;"",""))),0,IF($L644="Débit",$K644,IF($P644=1,-$K644,0))))</f>
        <v>660.19</v>
      </c>
      <c r="R644" s="6">
        <f>IF($K644="","",IF($L644="Crédit",$K644,-$K644))</f>
        <v>-660.19</v>
      </c>
      <c r="S644" s="6" t="str">
        <f>IF($C644="","",IFERROR(INDEX('Paramètres'!$H:$H,MATCH($C644,'Paramètres'!$D:$D,0))&amp;"",""))</f>
        <v>Banque A - Courant</v>
      </c>
      <c r="T644" s="6">
        <f>IF($K644="","",IF($S644="",0,IF(ISNUMBER(SEARCH("apport-exterieur",IFERROR(INDEX('Paramètres'!$N:$N,MATCH($D644,'Paramètres'!$M:$M,0))&amp;"",""))),0,IF(OR(IFERROR(INDEX('Paramètres'!$I:$I,MATCH($C644,'Paramètres'!$D:$D,0))&amp;"","")="Les deux",IFERROR(INDEX('Paramètres'!$I:$I,MATCH($C644,'Paramètres'!$D:$D,0))&amp;"","")=IF($P644=1,"Débit",$L644)),-IF($P644=1,-$K644,$K644),0))))</f>
        <v>0</v>
      </c>
      <c r="U644" s="6">
        <f>IF($K644="","",IF(ISNUMBER(SEARCH("sortie-epargne",IFERROR(INDEX('Paramètres'!$N:$N,MATCH($D644,'Paramètres'!$M:$M,0))&amp;"",""))),$K644,0))</f>
        <v>0</v>
      </c>
      <c r="V644" s="6" t="str">
        <f>IF(AND($A644&lt;&gt;"",$O644=1,$L644="Débit",N($Q644)&gt;0,$A644&gt;=Visualisation!$B$1,$A644&lt;Visualisation!$D$1),MAX($V$1:V643)+1,"")</f>
        <v/>
      </c>
    </row>
    <row r="645" spans="1:22" x14ac:dyDescent="0.25">
      <c r="A645" s="9">
        <v>45996</v>
      </c>
      <c r="B645" s="4" t="s">
        <v>85</v>
      </c>
      <c r="C645" s="4" t="s">
        <v>65</v>
      </c>
      <c r="D645" s="4" t="s">
        <v>86</v>
      </c>
      <c r="E645" s="10">
        <v>233.45</v>
      </c>
      <c r="G645" s="4" t="s">
        <v>87</v>
      </c>
      <c r="H645" s="4"/>
      <c r="I645" s="4"/>
      <c r="K645" s="11">
        <f>IF($E645="","",ROUND($E645*IF(ISNA(MATCH($C645,'Paramètres'!$D:$D,0)),1,IF(INDEX('Paramètres'!$J:$J,MATCH($C645,'Paramètres'!$D:$D,0))="",1,INDEX('Paramètres'!$J:$J,MATCH($C645,'Paramètres'!$D:$D,0)))),2))</f>
        <v>233.45</v>
      </c>
      <c r="L645" s="6" t="str">
        <f>IF($D645="","",IF($F645&lt;&gt;"",$F645,IF(ISNA(MATCH($D645,'Paramètres'!$M:$M,0)),"⚠ Type inconnu",IFERROR(INDEX('Paramètres'!$P:$P,MATCH($D645,'Paramètres'!$M:$M,0))&amp;"",""))))</f>
        <v>Débit</v>
      </c>
      <c r="M645" s="6" t="str">
        <f>IF($D645="","",IF(ISNA(MATCH($D645,'Paramètres'!$M:$M,0)),"⚠ Type inconnu",IF($L645="Crédit","",IFERROR(INDEX('Paramètres'!$O:$O,MATCH($D645,'Paramètres'!$M:$M,0))&amp;"",""))))</f>
        <v>Dépense Fixe</v>
      </c>
      <c r="N645" s="6" t="str">
        <f>IF($D645="","",IFERROR(INDEX('Paramètres'!$Q:$Q,MATCH($D645,'Paramètres'!$M:$M,0))&amp;"",""))</f>
        <v>Immobilier</v>
      </c>
      <c r="O645" s="6">
        <f>IF($A645="","",IF(OR($J645&lt;&gt;"x",$A645&lt;=FinReleve),1,0))</f>
        <v>1</v>
      </c>
      <c r="P645" s="6">
        <f>IF($D645="","",IF(AND($L645="Crédit",OR(IFERROR(INDEX('Paramètres'!$O:$O,MATCH($D645,'Paramètres'!$M:$M,0))&amp;"","")&lt;&gt;"",ISNUMBER(SEARCH("remboursement",IFERROR(INDEX('Paramètres'!$N:$N,MATCH($D645,'Paramètres'!$M:$M,0))&amp;"",""))))),1,0))</f>
        <v>0</v>
      </c>
      <c r="Q645" s="6">
        <f>IF($K645="","",IF(ISNUMBER(SEARCH("transfert-interne",IFERROR(INDEX('Paramètres'!$N:$N,MATCH($D645,'Paramètres'!$M:$M,0))&amp;"",""))),0,IF($L645="Débit",$K645,IF($P645=1,-$K645,0))))</f>
        <v>233.45</v>
      </c>
      <c r="R645" s="6">
        <f>IF($K645="","",IF($L645="Crédit",$K645,-$K645))</f>
        <v>-233.45</v>
      </c>
      <c r="S645" s="6" t="str">
        <f>IF($C645="","",IFERROR(INDEX('Paramètres'!$H:$H,MATCH($C645,'Paramètres'!$D:$D,0))&amp;"",""))</f>
        <v>Banque A - Courant</v>
      </c>
      <c r="T645" s="6">
        <f>IF($K645="","",IF($S645="",0,IF(ISNUMBER(SEARCH("apport-exterieur",IFERROR(INDEX('Paramètres'!$N:$N,MATCH($D645,'Paramètres'!$M:$M,0))&amp;"",""))),0,IF(OR(IFERROR(INDEX('Paramètres'!$I:$I,MATCH($C645,'Paramètres'!$D:$D,0))&amp;"","")="Les deux",IFERROR(INDEX('Paramètres'!$I:$I,MATCH($C645,'Paramètres'!$D:$D,0))&amp;"","")=IF($P645=1,"Débit",$L645)),-IF($P645=1,-$K645,$K645),0))))</f>
        <v>0</v>
      </c>
      <c r="U645" s="6">
        <f>IF($K645="","",IF(ISNUMBER(SEARCH("sortie-epargne",IFERROR(INDEX('Paramètres'!$N:$N,MATCH($D645,'Paramètres'!$M:$M,0))&amp;"",""))),$K645,0))</f>
        <v>0</v>
      </c>
      <c r="V645" s="6" t="str">
        <f>IF(AND($A645&lt;&gt;"",$O645=1,$L645="Débit",N($Q645)&gt;0,$A645&gt;=Visualisation!$B$1,$A645&lt;Visualisation!$D$1),MAX($V$1:V644)+1,"")</f>
        <v/>
      </c>
    </row>
    <row r="646" spans="1:22" x14ac:dyDescent="0.25">
      <c r="A646" s="9">
        <v>45996</v>
      </c>
      <c r="B646" s="4" t="s">
        <v>88</v>
      </c>
      <c r="C646" s="4" t="s">
        <v>65</v>
      </c>
      <c r="D646" s="4" t="s">
        <v>88</v>
      </c>
      <c r="E646" s="10">
        <v>31.2</v>
      </c>
      <c r="G646" s="4"/>
      <c r="H646" s="4"/>
      <c r="I646" s="4"/>
      <c r="K646" s="11">
        <f>IF($E646="","",ROUND($E646*IF(ISNA(MATCH($C646,'Paramètres'!$D:$D,0)),1,IF(INDEX('Paramètres'!$J:$J,MATCH($C646,'Paramètres'!$D:$D,0))="",1,INDEX('Paramètres'!$J:$J,MATCH($C646,'Paramètres'!$D:$D,0)))),2))</f>
        <v>31.2</v>
      </c>
      <c r="L646" s="6" t="str">
        <f>IF($D646="","",IF($F646&lt;&gt;"",$F646,IF(ISNA(MATCH($D646,'Paramètres'!$M:$M,0)),"⚠ Type inconnu",IFERROR(INDEX('Paramètres'!$P:$P,MATCH($D646,'Paramètres'!$M:$M,0))&amp;"",""))))</f>
        <v>Débit</v>
      </c>
      <c r="M646" s="6" t="str">
        <f>IF($D646="","",IF(ISNA(MATCH($D646,'Paramètres'!$M:$M,0)),"⚠ Type inconnu",IF($L646="Crédit","",IFERROR(INDEX('Paramètres'!$O:$O,MATCH($D646,'Paramètres'!$M:$M,0))&amp;"",""))))</f>
        <v>Dépense Fixe</v>
      </c>
      <c r="N646" s="6" t="str">
        <f>IF($D646="","",IFERROR(INDEX('Paramètres'!$Q:$Q,MATCH($D646,'Paramètres'!$M:$M,0))&amp;"",""))</f>
        <v>Assurances</v>
      </c>
      <c r="O646" s="6">
        <f>IF($A646="","",IF(OR($J646&lt;&gt;"x",$A646&lt;=FinReleve),1,0))</f>
        <v>1</v>
      </c>
      <c r="P646" s="6">
        <f>IF($D646="","",IF(AND($L646="Crédit",OR(IFERROR(INDEX('Paramètres'!$O:$O,MATCH($D646,'Paramètres'!$M:$M,0))&amp;"","")&lt;&gt;"",ISNUMBER(SEARCH("remboursement",IFERROR(INDEX('Paramètres'!$N:$N,MATCH($D646,'Paramètres'!$M:$M,0))&amp;"",""))))),1,0))</f>
        <v>0</v>
      </c>
      <c r="Q646" s="6">
        <f>IF($K646="","",IF(ISNUMBER(SEARCH("transfert-interne",IFERROR(INDEX('Paramètres'!$N:$N,MATCH($D646,'Paramètres'!$M:$M,0))&amp;"",""))),0,IF($L646="Débit",$K646,IF($P646=1,-$K646,0))))</f>
        <v>31.2</v>
      </c>
      <c r="R646" s="6">
        <f>IF($K646="","",IF($L646="Crédit",$K646,-$K646))</f>
        <v>-31.2</v>
      </c>
      <c r="S646" s="6" t="str">
        <f>IF($C646="","",IFERROR(INDEX('Paramètres'!$H:$H,MATCH($C646,'Paramètres'!$D:$D,0))&amp;"",""))</f>
        <v>Banque A - Courant</v>
      </c>
      <c r="T646" s="6">
        <f>IF($K646="","",IF($S646="",0,IF(ISNUMBER(SEARCH("apport-exterieur",IFERROR(INDEX('Paramètres'!$N:$N,MATCH($D646,'Paramètres'!$M:$M,0))&amp;"",""))),0,IF(OR(IFERROR(INDEX('Paramètres'!$I:$I,MATCH($C646,'Paramètres'!$D:$D,0))&amp;"","")="Les deux",IFERROR(INDEX('Paramètres'!$I:$I,MATCH($C646,'Paramètres'!$D:$D,0))&amp;"","")=IF($P646=1,"Débit",$L646)),-IF($P646=1,-$K646,$K646),0))))</f>
        <v>0</v>
      </c>
      <c r="U646" s="6">
        <f>IF($K646="","",IF(ISNUMBER(SEARCH("sortie-epargne",IFERROR(INDEX('Paramètres'!$N:$N,MATCH($D646,'Paramètres'!$M:$M,0))&amp;"",""))),$K646,0))</f>
        <v>0</v>
      </c>
      <c r="V646" s="6" t="str">
        <f>IF(AND($A646&lt;&gt;"",$O646=1,$L646="Débit",N($Q646)&gt;0,$A646&gt;=Visualisation!$B$1,$A646&lt;Visualisation!$D$1),MAX($V$1:V645)+1,"")</f>
        <v/>
      </c>
    </row>
    <row r="647" spans="1:22" x14ac:dyDescent="0.25">
      <c r="A647" s="9">
        <v>45996</v>
      </c>
      <c r="B647" s="4" t="s">
        <v>76</v>
      </c>
      <c r="C647" s="4" t="s">
        <v>60</v>
      </c>
      <c r="D647" s="4" t="s">
        <v>77</v>
      </c>
      <c r="E647" s="10">
        <v>23.28</v>
      </c>
      <c r="G647" s="4" t="s">
        <v>95</v>
      </c>
      <c r="H647" s="4"/>
      <c r="I647" s="4" t="s">
        <v>73</v>
      </c>
      <c r="K647" s="11">
        <f>IF($E647="","",ROUND($E647*IF(ISNA(MATCH($C647,'Paramètres'!$D:$D,0)),1,IF(INDEX('Paramètres'!$J:$J,MATCH($C647,'Paramètres'!$D:$D,0))="",1,INDEX('Paramètres'!$J:$J,MATCH($C647,'Paramètres'!$D:$D,0)))),2))</f>
        <v>11.64</v>
      </c>
      <c r="L647" s="6" t="str">
        <f>IF($D647="","",IF($F647&lt;&gt;"",$F647,IF(ISNA(MATCH($D647,'Paramètres'!$M:$M,0)),"⚠ Type inconnu",IFERROR(INDEX('Paramètres'!$P:$P,MATCH($D647,'Paramètres'!$M:$M,0))&amp;"",""))))</f>
        <v>Débit</v>
      </c>
      <c r="M647" s="6" t="str">
        <f>IF($D647="","",IF(ISNA(MATCH($D647,'Paramètres'!$M:$M,0)),"⚠ Type inconnu",IF($L647="Crédit","",IFERROR(INDEX('Paramètres'!$O:$O,MATCH($D647,'Paramètres'!$M:$M,0))&amp;"",""))))</f>
        <v>Dépense Courante</v>
      </c>
      <c r="N647" s="6" t="str">
        <f>IF($D647="","",IFERROR(INDEX('Paramètres'!$Q:$Q,MATCH($D647,'Paramètres'!$M:$M,0))&amp;"",""))</f>
        <v>Alimentation</v>
      </c>
      <c r="O647" s="6">
        <f>IF($A647="","",IF(OR($J647&lt;&gt;"x",$A647&lt;=FinReleve),1,0))</f>
        <v>1</v>
      </c>
      <c r="P647" s="6">
        <f>IF($D647="","",IF(AND($L647="Crédit",OR(IFERROR(INDEX('Paramètres'!$O:$O,MATCH($D647,'Paramètres'!$M:$M,0))&amp;"","")&lt;&gt;"",ISNUMBER(SEARCH("remboursement",IFERROR(INDEX('Paramètres'!$N:$N,MATCH($D647,'Paramètres'!$M:$M,0))&amp;"",""))))),1,0))</f>
        <v>0</v>
      </c>
      <c r="Q647" s="6">
        <f>IF($K647="","",IF(ISNUMBER(SEARCH("transfert-interne",IFERROR(INDEX('Paramètres'!$N:$N,MATCH($D647,'Paramètres'!$M:$M,0))&amp;"",""))),0,IF($L647="Débit",$K647,IF($P647=1,-$K647,0))))</f>
        <v>11.64</v>
      </c>
      <c r="R647" s="6">
        <f>IF($K647="","",IF($L647="Crédit",$K647,-$K647))</f>
        <v>-11.64</v>
      </c>
      <c r="S647" s="6" t="str">
        <f>IF($C647="","",IFERROR(INDEX('Paramètres'!$H:$H,MATCH($C647,'Paramètres'!$D:$D,0))&amp;"",""))</f>
        <v>Banque A - Courant</v>
      </c>
      <c r="T647" s="6">
        <f>IF($K647="","",IF($S647="",0,IF(ISNUMBER(SEARCH("apport-exterieur",IFERROR(INDEX('Paramètres'!$N:$N,MATCH($D647,'Paramètres'!$M:$M,0))&amp;"",""))),0,IF(OR(IFERROR(INDEX('Paramètres'!$I:$I,MATCH($C647,'Paramètres'!$D:$D,0))&amp;"","")="Les deux",IFERROR(INDEX('Paramètres'!$I:$I,MATCH($C647,'Paramètres'!$D:$D,0))&amp;"","")=IF($P647=1,"Débit",$L647)),-IF($P647=1,-$K647,$K647),0))))</f>
        <v>-11.64</v>
      </c>
      <c r="U647" s="6">
        <f>IF($K647="","",IF(ISNUMBER(SEARCH("sortie-epargne",IFERROR(INDEX('Paramètres'!$N:$N,MATCH($D647,'Paramètres'!$M:$M,0))&amp;"",""))),$K647,0))</f>
        <v>0</v>
      </c>
      <c r="V647" s="6" t="str">
        <f>IF(AND($A647&lt;&gt;"",$O647=1,$L647="Débit",N($Q647)&gt;0,$A647&gt;=Visualisation!$B$1,$A647&lt;Visualisation!$D$1),MAX($V$1:V646)+1,"")</f>
        <v/>
      </c>
    </row>
    <row r="648" spans="1:22" x14ac:dyDescent="0.25">
      <c r="A648" s="9">
        <v>45996</v>
      </c>
      <c r="B648" s="4" t="s">
        <v>69</v>
      </c>
      <c r="C648" s="4" t="s">
        <v>70</v>
      </c>
      <c r="D648" s="4" t="s">
        <v>71</v>
      </c>
      <c r="E648" s="10">
        <v>10.58</v>
      </c>
      <c r="G648" s="4" t="s">
        <v>72</v>
      </c>
      <c r="H648" s="4"/>
      <c r="I648" s="4"/>
      <c r="K648" s="11">
        <f>IF($E648="","",ROUND($E648*IF(ISNA(MATCH($C648,'Paramètres'!$D:$D,0)),1,IF(INDEX('Paramètres'!$J:$J,MATCH($C648,'Paramètres'!$D:$D,0))="",1,INDEX('Paramètres'!$J:$J,MATCH($C648,'Paramètres'!$D:$D,0)))),2))</f>
        <v>10.58</v>
      </c>
      <c r="L648" s="6" t="str">
        <f>IF($D648="","",IF($F648&lt;&gt;"",$F648,IF(ISNA(MATCH($D648,'Paramètres'!$M:$M,0)),"⚠ Type inconnu",IFERROR(INDEX('Paramètres'!$P:$P,MATCH($D648,'Paramètres'!$M:$M,0))&amp;"",""))))</f>
        <v>Débit</v>
      </c>
      <c r="M648" s="6" t="str">
        <f>IF($D648="","",IF(ISNA(MATCH($D648,'Paramètres'!$M:$M,0)),"⚠ Type inconnu",IF($L648="Crédit","",IFERROR(INDEX('Paramètres'!$O:$O,MATCH($D648,'Paramètres'!$M:$M,0))&amp;"",""))))</f>
        <v>Dépense Courante</v>
      </c>
      <c r="N648" s="6" t="str">
        <f>IF($D648="","",IFERROR(INDEX('Paramètres'!$Q:$Q,MATCH($D648,'Paramètres'!$M:$M,0))&amp;"",""))</f>
        <v>Alimentation</v>
      </c>
      <c r="O648" s="6">
        <f>IF($A648="","",IF(OR($J648&lt;&gt;"x",$A648&lt;=FinReleve),1,0))</f>
        <v>1</v>
      </c>
      <c r="P648" s="6">
        <f>IF($D648="","",IF(AND($L648="Crédit",OR(IFERROR(INDEX('Paramètres'!$O:$O,MATCH($D648,'Paramètres'!$M:$M,0))&amp;"","")&lt;&gt;"",ISNUMBER(SEARCH("remboursement",IFERROR(INDEX('Paramètres'!$N:$N,MATCH($D648,'Paramètres'!$M:$M,0))&amp;"",""))))),1,0))</f>
        <v>0</v>
      </c>
      <c r="Q648" s="6">
        <f>IF($K648="","",IF(ISNUMBER(SEARCH("transfert-interne",IFERROR(INDEX('Paramètres'!$N:$N,MATCH($D648,'Paramètres'!$M:$M,0))&amp;"",""))),0,IF($L648="Débit",$K648,IF($P648=1,-$K648,0))))</f>
        <v>10.58</v>
      </c>
      <c r="R648" s="6">
        <f>IF($K648="","",IF($L648="Crédit",$K648,-$K648))</f>
        <v>-10.58</v>
      </c>
      <c r="S648" s="6" t="str">
        <f>IF($C648="","",IFERROR(INDEX('Paramètres'!$H:$H,MATCH($C648,'Paramètres'!$D:$D,0))&amp;"",""))</f>
        <v/>
      </c>
      <c r="T648" s="6">
        <f>IF($K648="","",IF($S648="",0,IF(ISNUMBER(SEARCH("apport-exterieur",IFERROR(INDEX('Paramètres'!$N:$N,MATCH($D648,'Paramètres'!$M:$M,0))&amp;"",""))),0,IF(OR(IFERROR(INDEX('Paramètres'!$I:$I,MATCH($C648,'Paramètres'!$D:$D,0))&amp;"","")="Les deux",IFERROR(INDEX('Paramètres'!$I:$I,MATCH($C648,'Paramètres'!$D:$D,0))&amp;"","")=IF($P648=1,"Débit",$L648)),-IF($P648=1,-$K648,$K648),0))))</f>
        <v>0</v>
      </c>
      <c r="U648" s="6">
        <f>IF($K648="","",IF(ISNUMBER(SEARCH("sortie-epargne",IFERROR(INDEX('Paramètres'!$N:$N,MATCH($D648,'Paramètres'!$M:$M,0))&amp;"",""))),$K648,0))</f>
        <v>0</v>
      </c>
      <c r="V648" s="6" t="str">
        <f>IF(AND($A648&lt;&gt;"",$O648=1,$L648="Débit",N($Q648)&gt;0,$A648&gt;=Visualisation!$B$1,$A648&lt;Visualisation!$D$1),MAX($V$1:V647)+1,"")</f>
        <v/>
      </c>
    </row>
    <row r="649" spans="1:22" x14ac:dyDescent="0.25">
      <c r="A649" s="9">
        <v>45996</v>
      </c>
      <c r="B649" s="4" t="s">
        <v>90</v>
      </c>
      <c r="C649" s="4" t="s">
        <v>75</v>
      </c>
      <c r="D649" s="4" t="s">
        <v>91</v>
      </c>
      <c r="E649" s="10">
        <v>64.86</v>
      </c>
      <c r="G649" s="4" t="s">
        <v>104</v>
      </c>
      <c r="H649" s="4"/>
      <c r="I649" s="4" t="s">
        <v>79</v>
      </c>
      <c r="K649" s="11">
        <f>IF($E649="","",ROUND($E649*IF(ISNA(MATCH($C649,'Paramètres'!$D:$D,0)),1,IF(INDEX('Paramètres'!$J:$J,MATCH($C649,'Paramètres'!$D:$D,0))="",1,INDEX('Paramètres'!$J:$J,MATCH($C649,'Paramètres'!$D:$D,0)))),2))</f>
        <v>64.86</v>
      </c>
      <c r="L649" s="6" t="str">
        <f>IF($D649="","",IF($F649&lt;&gt;"",$F649,IF(ISNA(MATCH($D649,'Paramètres'!$M:$M,0)),"⚠ Type inconnu",IFERROR(INDEX('Paramètres'!$P:$P,MATCH($D649,'Paramètres'!$M:$M,0))&amp;"",""))))</f>
        <v>Débit</v>
      </c>
      <c r="M649" s="6" t="str">
        <f>IF($D649="","",IF(ISNA(MATCH($D649,'Paramètres'!$M:$M,0)),"⚠ Type inconnu",IF($L649="Crédit","",IFERROR(INDEX('Paramètres'!$O:$O,MATCH($D649,'Paramètres'!$M:$M,0))&amp;"",""))))</f>
        <v>Dépense Courante</v>
      </c>
      <c r="N649" s="6" t="str">
        <f>IF($D649="","",IFERROR(INDEX('Paramètres'!$Q:$Q,MATCH($D649,'Paramètres'!$M:$M,0))&amp;"",""))</f>
        <v>Transport</v>
      </c>
      <c r="O649" s="6">
        <f>IF($A649="","",IF(OR($J649&lt;&gt;"x",$A649&lt;=FinReleve),1,0))</f>
        <v>1</v>
      </c>
      <c r="P649" s="6">
        <f>IF($D649="","",IF(AND($L649="Crédit",OR(IFERROR(INDEX('Paramètres'!$O:$O,MATCH($D649,'Paramètres'!$M:$M,0))&amp;"","")&lt;&gt;"",ISNUMBER(SEARCH("remboursement",IFERROR(INDEX('Paramètres'!$N:$N,MATCH($D649,'Paramètres'!$M:$M,0))&amp;"",""))))),1,0))</f>
        <v>0</v>
      </c>
      <c r="Q649" s="6">
        <f>IF($K649="","",IF(ISNUMBER(SEARCH("transfert-interne",IFERROR(INDEX('Paramètres'!$N:$N,MATCH($D649,'Paramètres'!$M:$M,0))&amp;"",""))),0,IF($L649="Débit",$K649,IF($P649=1,-$K649,0))))</f>
        <v>64.86</v>
      </c>
      <c r="R649" s="6">
        <f>IF($K649="","",IF($L649="Crédit",$K649,-$K649))</f>
        <v>-64.86</v>
      </c>
      <c r="S649" s="6" t="str">
        <f>IF($C649="","",IFERROR(INDEX('Paramètres'!$H:$H,MATCH($C649,'Paramètres'!$D:$D,0))&amp;"",""))</f>
        <v/>
      </c>
      <c r="T649" s="6">
        <f>IF($K649="","",IF($S649="",0,IF(ISNUMBER(SEARCH("apport-exterieur",IFERROR(INDEX('Paramètres'!$N:$N,MATCH($D649,'Paramètres'!$M:$M,0))&amp;"",""))),0,IF(OR(IFERROR(INDEX('Paramètres'!$I:$I,MATCH($C649,'Paramètres'!$D:$D,0))&amp;"","")="Les deux",IFERROR(INDEX('Paramètres'!$I:$I,MATCH($C649,'Paramètres'!$D:$D,0))&amp;"","")=IF($P649=1,"Débit",$L649)),-IF($P649=1,-$K649,$K649),0))))</f>
        <v>0</v>
      </c>
      <c r="U649" s="6">
        <f>IF($K649="","",IF(ISNUMBER(SEARCH("sortie-epargne",IFERROR(INDEX('Paramètres'!$N:$N,MATCH($D649,'Paramètres'!$M:$M,0))&amp;"",""))),$K649,0))</f>
        <v>0</v>
      </c>
      <c r="V649" s="6" t="str">
        <f>IF(AND($A649&lt;&gt;"",$O649=1,$L649="Débit",N($Q649)&gt;0,$A649&gt;=Visualisation!$B$1,$A649&lt;Visualisation!$D$1),MAX($V$1:V648)+1,"")</f>
        <v/>
      </c>
    </row>
    <row r="650" spans="1:22" x14ac:dyDescent="0.25">
      <c r="A650" s="9">
        <v>45997</v>
      </c>
      <c r="B650" s="4" t="s">
        <v>89</v>
      </c>
      <c r="C650" s="4" t="s">
        <v>75</v>
      </c>
      <c r="D650" s="4" t="s">
        <v>89</v>
      </c>
      <c r="E650" s="10">
        <v>49.9</v>
      </c>
      <c r="G650" s="4"/>
      <c r="H650" s="4"/>
      <c r="I650" s="4"/>
      <c r="K650" s="11">
        <f>IF($E650="","",ROUND($E650*IF(ISNA(MATCH($C650,'Paramètres'!$D:$D,0)),1,IF(INDEX('Paramètres'!$J:$J,MATCH($C650,'Paramètres'!$D:$D,0))="",1,INDEX('Paramètres'!$J:$J,MATCH($C650,'Paramètres'!$D:$D,0)))),2))</f>
        <v>49.9</v>
      </c>
      <c r="L650" s="6" t="str">
        <f>IF($D650="","",IF($F650&lt;&gt;"",$F650,IF(ISNA(MATCH($D650,'Paramètres'!$M:$M,0)),"⚠ Type inconnu",IFERROR(INDEX('Paramètres'!$P:$P,MATCH($D650,'Paramètres'!$M:$M,0))&amp;"",""))))</f>
        <v>Débit</v>
      </c>
      <c r="M650" s="6" t="str">
        <f>IF($D650="","",IF(ISNA(MATCH($D650,'Paramètres'!$M:$M,0)),"⚠ Type inconnu",IF($L650="Crédit","",IFERROR(INDEX('Paramètres'!$O:$O,MATCH($D650,'Paramètres'!$M:$M,0))&amp;"",""))))</f>
        <v>Dépense Fixe</v>
      </c>
      <c r="N650" s="6" t="str">
        <f>IF($D650="","",IFERROR(INDEX('Paramètres'!$Q:$Q,MATCH($D650,'Paramètres'!$M:$M,0))&amp;"",""))</f>
        <v>Autre</v>
      </c>
      <c r="O650" s="6">
        <f>IF($A650="","",IF(OR($J650&lt;&gt;"x",$A650&lt;=FinReleve),1,0))</f>
        <v>1</v>
      </c>
      <c r="P650" s="6">
        <f>IF($D650="","",IF(AND($L650="Crédit",OR(IFERROR(INDEX('Paramètres'!$O:$O,MATCH($D650,'Paramètres'!$M:$M,0))&amp;"","")&lt;&gt;"",ISNUMBER(SEARCH("remboursement",IFERROR(INDEX('Paramètres'!$N:$N,MATCH($D650,'Paramètres'!$M:$M,0))&amp;"",""))))),1,0))</f>
        <v>0</v>
      </c>
      <c r="Q650" s="6">
        <f>IF($K650="","",IF(ISNUMBER(SEARCH("transfert-interne",IFERROR(INDEX('Paramètres'!$N:$N,MATCH($D650,'Paramètres'!$M:$M,0))&amp;"",""))),0,IF($L650="Débit",$K650,IF($P650=1,-$K650,0))))</f>
        <v>49.9</v>
      </c>
      <c r="R650" s="6">
        <f>IF($K650="","",IF($L650="Crédit",$K650,-$K650))</f>
        <v>-49.9</v>
      </c>
      <c r="S650" s="6" t="str">
        <f>IF($C650="","",IFERROR(INDEX('Paramètres'!$H:$H,MATCH($C650,'Paramètres'!$D:$D,0))&amp;"",""))</f>
        <v/>
      </c>
      <c r="T650" s="6">
        <f>IF($K650="","",IF($S650="",0,IF(ISNUMBER(SEARCH("apport-exterieur",IFERROR(INDEX('Paramètres'!$N:$N,MATCH($D650,'Paramètres'!$M:$M,0))&amp;"",""))),0,IF(OR(IFERROR(INDEX('Paramètres'!$I:$I,MATCH($C650,'Paramètres'!$D:$D,0))&amp;"","")="Les deux",IFERROR(INDEX('Paramètres'!$I:$I,MATCH($C650,'Paramètres'!$D:$D,0))&amp;"","")=IF($P650=1,"Débit",$L650)),-IF($P650=1,-$K650,$K650),0))))</f>
        <v>0</v>
      </c>
      <c r="U650" s="6">
        <f>IF($K650="","",IF(ISNUMBER(SEARCH("sortie-epargne",IFERROR(INDEX('Paramètres'!$N:$N,MATCH($D650,'Paramètres'!$M:$M,0))&amp;"",""))),$K650,0))</f>
        <v>0</v>
      </c>
      <c r="V650" s="6" t="str">
        <f>IF(AND($A650&lt;&gt;"",$O650=1,$L650="Débit",N($Q650)&gt;0,$A650&gt;=Visualisation!$B$1,$A650&lt;Visualisation!$D$1),MAX($V$1:V649)+1,"")</f>
        <v/>
      </c>
    </row>
    <row r="651" spans="1:22" x14ac:dyDescent="0.25">
      <c r="A651" s="9">
        <v>45997</v>
      </c>
      <c r="B651" s="4" t="s">
        <v>76</v>
      </c>
      <c r="C651" s="4" t="s">
        <v>107</v>
      </c>
      <c r="D651" s="4" t="s">
        <v>108</v>
      </c>
      <c r="E651" s="10">
        <v>16.45</v>
      </c>
      <c r="G651" s="4" t="s">
        <v>146</v>
      </c>
      <c r="H651" s="4"/>
      <c r="I651" s="4"/>
      <c r="K651" s="11">
        <f>IF($E651="","",ROUND($E651*IF(ISNA(MATCH($C651,'Paramètres'!$D:$D,0)),1,IF(INDEX('Paramètres'!$J:$J,MATCH($C651,'Paramètres'!$D:$D,0))="",1,INDEX('Paramètres'!$J:$J,MATCH($C651,'Paramètres'!$D:$D,0)))),2))</f>
        <v>16.45</v>
      </c>
      <c r="L651" s="6" t="str">
        <f>IF($D651="","",IF($F651&lt;&gt;"",$F651,IF(ISNA(MATCH($D651,'Paramètres'!$M:$M,0)),"⚠ Type inconnu",IFERROR(INDEX('Paramètres'!$P:$P,MATCH($D651,'Paramètres'!$M:$M,0))&amp;"",""))))</f>
        <v>Débit</v>
      </c>
      <c r="M651" s="6" t="str">
        <f>IF($D651="","",IF(ISNA(MATCH($D651,'Paramètres'!$M:$M,0)),"⚠ Type inconnu",IF($L651="Crédit","",IFERROR(INDEX('Paramètres'!$O:$O,MATCH($D651,'Paramètres'!$M:$M,0))&amp;"",""))))</f>
        <v>Dépense Occasionnelle</v>
      </c>
      <c r="N651" s="6" t="str">
        <f>IF($D651="","",IFERROR(INDEX('Paramètres'!$Q:$Q,MATCH($D651,'Paramètres'!$M:$M,0))&amp;"",""))</f>
        <v>Autre</v>
      </c>
      <c r="O651" s="6">
        <f>IF($A651="","",IF(OR($J651&lt;&gt;"x",$A651&lt;=FinReleve),1,0))</f>
        <v>1</v>
      </c>
      <c r="P651" s="6">
        <f>IF($D651="","",IF(AND($L651="Crédit",OR(IFERROR(INDEX('Paramètres'!$O:$O,MATCH($D651,'Paramètres'!$M:$M,0))&amp;"","")&lt;&gt;"",ISNUMBER(SEARCH("remboursement",IFERROR(INDEX('Paramètres'!$N:$N,MATCH($D651,'Paramètres'!$M:$M,0))&amp;"",""))))),1,0))</f>
        <v>0</v>
      </c>
      <c r="Q651" s="6">
        <f>IF($K651="","",IF(ISNUMBER(SEARCH("transfert-interne",IFERROR(INDEX('Paramètres'!$N:$N,MATCH($D651,'Paramètres'!$M:$M,0))&amp;"",""))),0,IF($L651="Débit",$K651,IF($P651=1,-$K651,0))))</f>
        <v>16.45</v>
      </c>
      <c r="R651" s="6">
        <f>IF($K651="","",IF($L651="Crédit",$K651,-$K651))</f>
        <v>-16.45</v>
      </c>
      <c r="S651" s="6" t="str">
        <f>IF($C651="","",IFERROR(INDEX('Paramètres'!$H:$H,MATCH($C651,'Paramètres'!$D:$D,0))&amp;"",""))</f>
        <v/>
      </c>
      <c r="T651" s="6">
        <f>IF($K651="","",IF($S651="",0,IF(ISNUMBER(SEARCH("apport-exterieur",IFERROR(INDEX('Paramètres'!$N:$N,MATCH($D651,'Paramètres'!$M:$M,0))&amp;"",""))),0,IF(OR(IFERROR(INDEX('Paramètres'!$I:$I,MATCH($C651,'Paramètres'!$D:$D,0))&amp;"","")="Les deux",IFERROR(INDEX('Paramètres'!$I:$I,MATCH($C651,'Paramètres'!$D:$D,0))&amp;"","")=IF($P651=1,"Débit",$L651)),-IF($P651=1,-$K651,$K651),0))))</f>
        <v>0</v>
      </c>
      <c r="U651" s="6">
        <f>IF($K651="","",IF(ISNUMBER(SEARCH("sortie-epargne",IFERROR(INDEX('Paramètres'!$N:$N,MATCH($D651,'Paramètres'!$M:$M,0))&amp;"",""))),$K651,0))</f>
        <v>0</v>
      </c>
      <c r="V651" s="6" t="str">
        <f>IF(AND($A651&lt;&gt;"",$O651=1,$L651="Débit",N($Q651)&gt;0,$A651&gt;=Visualisation!$B$1,$A651&lt;Visualisation!$D$1),MAX($V$1:V650)+1,"")</f>
        <v/>
      </c>
    </row>
    <row r="652" spans="1:22" x14ac:dyDescent="0.25">
      <c r="A652" s="9">
        <v>45998</v>
      </c>
      <c r="B652" s="4" t="s">
        <v>76</v>
      </c>
      <c r="C652" s="4" t="s">
        <v>60</v>
      </c>
      <c r="D652" s="4" t="s">
        <v>77</v>
      </c>
      <c r="E652" s="10">
        <v>135.22</v>
      </c>
      <c r="G652" s="4" t="s">
        <v>102</v>
      </c>
      <c r="H652" s="4"/>
      <c r="I652" s="4" t="s">
        <v>73</v>
      </c>
      <c r="K652" s="11">
        <f>IF($E652="","",ROUND($E652*IF(ISNA(MATCH($C652,'Paramètres'!$D:$D,0)),1,IF(INDEX('Paramètres'!$J:$J,MATCH($C652,'Paramètres'!$D:$D,0))="",1,INDEX('Paramètres'!$J:$J,MATCH($C652,'Paramètres'!$D:$D,0)))),2))</f>
        <v>67.61</v>
      </c>
      <c r="L652" s="6" t="str">
        <f>IF($D652="","",IF($F652&lt;&gt;"",$F652,IF(ISNA(MATCH($D652,'Paramètres'!$M:$M,0)),"⚠ Type inconnu",IFERROR(INDEX('Paramètres'!$P:$P,MATCH($D652,'Paramètres'!$M:$M,0))&amp;"",""))))</f>
        <v>Débit</v>
      </c>
      <c r="M652" s="6" t="str">
        <f>IF($D652="","",IF(ISNA(MATCH($D652,'Paramètres'!$M:$M,0)),"⚠ Type inconnu",IF($L652="Crédit","",IFERROR(INDEX('Paramètres'!$O:$O,MATCH($D652,'Paramètres'!$M:$M,0))&amp;"",""))))</f>
        <v>Dépense Courante</v>
      </c>
      <c r="N652" s="6" t="str">
        <f>IF($D652="","",IFERROR(INDEX('Paramètres'!$Q:$Q,MATCH($D652,'Paramètres'!$M:$M,0))&amp;"",""))</f>
        <v>Alimentation</v>
      </c>
      <c r="O652" s="6">
        <f>IF($A652="","",IF(OR($J652&lt;&gt;"x",$A652&lt;=FinReleve),1,0))</f>
        <v>1</v>
      </c>
      <c r="P652" s="6">
        <f>IF($D652="","",IF(AND($L652="Crédit",OR(IFERROR(INDEX('Paramètres'!$O:$O,MATCH($D652,'Paramètres'!$M:$M,0))&amp;"","")&lt;&gt;"",ISNUMBER(SEARCH("remboursement",IFERROR(INDEX('Paramètres'!$N:$N,MATCH($D652,'Paramètres'!$M:$M,0))&amp;"",""))))),1,0))</f>
        <v>0</v>
      </c>
      <c r="Q652" s="6">
        <f>IF($K652="","",IF(ISNUMBER(SEARCH("transfert-interne",IFERROR(INDEX('Paramètres'!$N:$N,MATCH($D652,'Paramètres'!$M:$M,0))&amp;"",""))),0,IF($L652="Débit",$K652,IF($P652=1,-$K652,0))))</f>
        <v>67.61</v>
      </c>
      <c r="R652" s="6">
        <f>IF($K652="","",IF($L652="Crédit",$K652,-$K652))</f>
        <v>-67.61</v>
      </c>
      <c r="S652" s="6" t="str">
        <f>IF($C652="","",IFERROR(INDEX('Paramètres'!$H:$H,MATCH($C652,'Paramètres'!$D:$D,0))&amp;"",""))</f>
        <v>Banque A - Courant</v>
      </c>
      <c r="T652" s="6">
        <f>IF($K652="","",IF($S652="",0,IF(ISNUMBER(SEARCH("apport-exterieur",IFERROR(INDEX('Paramètres'!$N:$N,MATCH($D652,'Paramètres'!$M:$M,0))&amp;"",""))),0,IF(OR(IFERROR(INDEX('Paramètres'!$I:$I,MATCH($C652,'Paramètres'!$D:$D,0))&amp;"","")="Les deux",IFERROR(INDEX('Paramètres'!$I:$I,MATCH($C652,'Paramètres'!$D:$D,0))&amp;"","")=IF($P652=1,"Débit",$L652)),-IF($P652=1,-$K652,$K652),0))))</f>
        <v>-67.61</v>
      </c>
      <c r="U652" s="6">
        <f>IF($K652="","",IF(ISNUMBER(SEARCH("sortie-epargne",IFERROR(INDEX('Paramètres'!$N:$N,MATCH($D652,'Paramètres'!$M:$M,0))&amp;"",""))),$K652,0))</f>
        <v>0</v>
      </c>
      <c r="V652" s="6" t="str">
        <f>IF(AND($A652&lt;&gt;"",$O652=1,$L652="Débit",N($Q652)&gt;0,$A652&gt;=Visualisation!$B$1,$A652&lt;Visualisation!$D$1),MAX($V$1:V651)+1,"")</f>
        <v/>
      </c>
    </row>
    <row r="653" spans="1:22" x14ac:dyDescent="0.25">
      <c r="A653" s="9">
        <v>45999</v>
      </c>
      <c r="B653" s="4" t="s">
        <v>94</v>
      </c>
      <c r="C653" s="4" t="s">
        <v>65</v>
      </c>
      <c r="D653" s="4" t="s">
        <v>94</v>
      </c>
      <c r="E653" s="10">
        <v>168</v>
      </c>
      <c r="G653" s="4"/>
      <c r="H653" s="4"/>
      <c r="I653" s="4"/>
      <c r="K653" s="11">
        <f>IF($E653="","",ROUND($E653*IF(ISNA(MATCH($C653,'Paramètres'!$D:$D,0)),1,IF(INDEX('Paramètres'!$J:$J,MATCH($C653,'Paramètres'!$D:$D,0))="",1,INDEX('Paramètres'!$J:$J,MATCH($C653,'Paramètres'!$D:$D,0)))),2))</f>
        <v>168</v>
      </c>
      <c r="L653" s="6" t="str">
        <f>IF($D653="","",IF($F653&lt;&gt;"",$F653,IF(ISNA(MATCH($D653,'Paramètres'!$M:$M,0)),"⚠ Type inconnu",IFERROR(INDEX('Paramètres'!$P:$P,MATCH($D653,'Paramètres'!$M:$M,0))&amp;"",""))))</f>
        <v>Débit</v>
      </c>
      <c r="M653" s="6" t="str">
        <f>IF($D653="","",IF(ISNA(MATCH($D653,'Paramètres'!$M:$M,0)),"⚠ Type inconnu",IF($L653="Crédit","",IFERROR(INDEX('Paramètres'!$O:$O,MATCH($D653,'Paramètres'!$M:$M,0))&amp;"",""))))</f>
        <v>Dépense Fixe</v>
      </c>
      <c r="N653" s="6" t="str">
        <f>IF($D653="","",IFERROR(INDEX('Paramètres'!$Q:$Q,MATCH($D653,'Paramètres'!$M:$M,0))&amp;"",""))</f>
        <v>Immobilier</v>
      </c>
      <c r="O653" s="6">
        <f>IF($A653="","",IF(OR($J653&lt;&gt;"x",$A653&lt;=FinReleve),1,0))</f>
        <v>1</v>
      </c>
      <c r="P653" s="6">
        <f>IF($D653="","",IF(AND($L653="Crédit",OR(IFERROR(INDEX('Paramètres'!$O:$O,MATCH($D653,'Paramètres'!$M:$M,0))&amp;"","")&lt;&gt;"",ISNUMBER(SEARCH("remboursement",IFERROR(INDEX('Paramètres'!$N:$N,MATCH($D653,'Paramètres'!$M:$M,0))&amp;"",""))))),1,0))</f>
        <v>0</v>
      </c>
      <c r="Q653" s="6">
        <f>IF($K653="","",IF(ISNUMBER(SEARCH("transfert-interne",IFERROR(INDEX('Paramètres'!$N:$N,MATCH($D653,'Paramètres'!$M:$M,0))&amp;"",""))),0,IF($L653="Débit",$K653,IF($P653=1,-$K653,0))))</f>
        <v>168</v>
      </c>
      <c r="R653" s="6">
        <f>IF($K653="","",IF($L653="Crédit",$K653,-$K653))</f>
        <v>-168</v>
      </c>
      <c r="S653" s="6" t="str">
        <f>IF($C653="","",IFERROR(INDEX('Paramètres'!$H:$H,MATCH($C653,'Paramètres'!$D:$D,0))&amp;"",""))</f>
        <v>Banque A - Courant</v>
      </c>
      <c r="T653" s="6">
        <f>IF($K653="","",IF($S653="",0,IF(ISNUMBER(SEARCH("apport-exterieur",IFERROR(INDEX('Paramètres'!$N:$N,MATCH($D653,'Paramètres'!$M:$M,0))&amp;"",""))),0,IF(OR(IFERROR(INDEX('Paramètres'!$I:$I,MATCH($C653,'Paramètres'!$D:$D,0))&amp;"","")="Les deux",IFERROR(INDEX('Paramètres'!$I:$I,MATCH($C653,'Paramètres'!$D:$D,0))&amp;"","")=IF($P653=1,"Débit",$L653)),-IF($P653=1,-$K653,$K653),0))))</f>
        <v>0</v>
      </c>
      <c r="U653" s="6">
        <f>IF($K653="","",IF(ISNUMBER(SEARCH("sortie-epargne",IFERROR(INDEX('Paramètres'!$N:$N,MATCH($D653,'Paramètres'!$M:$M,0))&amp;"",""))),$K653,0))</f>
        <v>0</v>
      </c>
      <c r="V653" s="6" t="str">
        <f>IF(AND($A653&lt;&gt;"",$O653=1,$L653="Débit",N($Q653)&gt;0,$A653&gt;=Visualisation!$B$1,$A653&lt;Visualisation!$D$1),MAX($V$1:V652)+1,"")</f>
        <v/>
      </c>
    </row>
    <row r="654" spans="1:22" x14ac:dyDescent="0.25">
      <c r="A654" s="9">
        <v>45999</v>
      </c>
      <c r="B654" s="4" t="s">
        <v>76</v>
      </c>
      <c r="C654" s="4" t="s">
        <v>60</v>
      </c>
      <c r="D654" s="4" t="s">
        <v>77</v>
      </c>
      <c r="E654" s="10">
        <v>36.48</v>
      </c>
      <c r="G654" s="4" t="s">
        <v>78</v>
      </c>
      <c r="H654" s="4"/>
      <c r="I654" s="4" t="s">
        <v>63</v>
      </c>
      <c r="K654" s="11">
        <f>IF($E654="","",ROUND($E654*IF(ISNA(MATCH($C654,'Paramètres'!$D:$D,0)),1,IF(INDEX('Paramètres'!$J:$J,MATCH($C654,'Paramètres'!$D:$D,0))="",1,INDEX('Paramètres'!$J:$J,MATCH($C654,'Paramètres'!$D:$D,0)))),2))</f>
        <v>18.24</v>
      </c>
      <c r="L654" s="6" t="str">
        <f>IF($D654="","",IF($F654&lt;&gt;"",$F654,IF(ISNA(MATCH($D654,'Paramètres'!$M:$M,0)),"⚠ Type inconnu",IFERROR(INDEX('Paramètres'!$P:$P,MATCH($D654,'Paramètres'!$M:$M,0))&amp;"",""))))</f>
        <v>Débit</v>
      </c>
      <c r="M654" s="6" t="str">
        <f>IF($D654="","",IF(ISNA(MATCH($D654,'Paramètres'!$M:$M,0)),"⚠ Type inconnu",IF($L654="Crédit","",IFERROR(INDEX('Paramètres'!$O:$O,MATCH($D654,'Paramètres'!$M:$M,0))&amp;"",""))))</f>
        <v>Dépense Courante</v>
      </c>
      <c r="N654" s="6" t="str">
        <f>IF($D654="","",IFERROR(INDEX('Paramètres'!$Q:$Q,MATCH($D654,'Paramètres'!$M:$M,0))&amp;"",""))</f>
        <v>Alimentation</v>
      </c>
      <c r="O654" s="6">
        <f>IF($A654="","",IF(OR($J654&lt;&gt;"x",$A654&lt;=FinReleve),1,0))</f>
        <v>1</v>
      </c>
      <c r="P654" s="6">
        <f>IF($D654="","",IF(AND($L654="Crédit",OR(IFERROR(INDEX('Paramètres'!$O:$O,MATCH($D654,'Paramètres'!$M:$M,0))&amp;"","")&lt;&gt;"",ISNUMBER(SEARCH("remboursement",IFERROR(INDEX('Paramètres'!$N:$N,MATCH($D654,'Paramètres'!$M:$M,0))&amp;"",""))))),1,0))</f>
        <v>0</v>
      </c>
      <c r="Q654" s="6">
        <f>IF($K654="","",IF(ISNUMBER(SEARCH("transfert-interne",IFERROR(INDEX('Paramètres'!$N:$N,MATCH($D654,'Paramètres'!$M:$M,0))&amp;"",""))),0,IF($L654="Débit",$K654,IF($P654=1,-$K654,0))))</f>
        <v>18.24</v>
      </c>
      <c r="R654" s="6">
        <f>IF($K654="","",IF($L654="Crédit",$K654,-$K654))</f>
        <v>-18.24</v>
      </c>
      <c r="S654" s="6" t="str">
        <f>IF($C654="","",IFERROR(INDEX('Paramètres'!$H:$H,MATCH($C654,'Paramètres'!$D:$D,0))&amp;"",""))</f>
        <v>Banque A - Courant</v>
      </c>
      <c r="T654" s="6">
        <f>IF($K654="","",IF($S654="",0,IF(ISNUMBER(SEARCH("apport-exterieur",IFERROR(INDEX('Paramètres'!$N:$N,MATCH($D654,'Paramètres'!$M:$M,0))&amp;"",""))),0,IF(OR(IFERROR(INDEX('Paramètres'!$I:$I,MATCH($C654,'Paramètres'!$D:$D,0))&amp;"","")="Les deux",IFERROR(INDEX('Paramètres'!$I:$I,MATCH($C654,'Paramètres'!$D:$D,0))&amp;"","")=IF($P654=1,"Débit",$L654)),-IF($P654=1,-$K654,$K654),0))))</f>
        <v>-18.24</v>
      </c>
      <c r="U654" s="6">
        <f>IF($K654="","",IF(ISNUMBER(SEARCH("sortie-epargne",IFERROR(INDEX('Paramètres'!$N:$N,MATCH($D654,'Paramètres'!$M:$M,0))&amp;"",""))),$K654,0))</f>
        <v>0</v>
      </c>
      <c r="V654" s="6" t="str">
        <f>IF(AND($A654&lt;&gt;"",$O654=1,$L654="Débit",N($Q654)&gt;0,$A654&gt;=Visualisation!$B$1,$A654&lt;Visualisation!$D$1),MAX($V$1:V653)+1,"")</f>
        <v/>
      </c>
    </row>
    <row r="655" spans="1:22" x14ac:dyDescent="0.25">
      <c r="A655" s="9">
        <v>45999</v>
      </c>
      <c r="B655" s="4" t="s">
        <v>76</v>
      </c>
      <c r="C655" s="4" t="s">
        <v>60</v>
      </c>
      <c r="D655" s="4" t="s">
        <v>77</v>
      </c>
      <c r="E655" s="10">
        <v>49.36</v>
      </c>
      <c r="G655" s="4" t="s">
        <v>95</v>
      </c>
      <c r="H655" s="4"/>
      <c r="I655" s="4"/>
      <c r="K655" s="11">
        <f>IF($E655="","",ROUND($E655*IF(ISNA(MATCH($C655,'Paramètres'!$D:$D,0)),1,IF(INDEX('Paramètres'!$J:$J,MATCH($C655,'Paramètres'!$D:$D,0))="",1,INDEX('Paramètres'!$J:$J,MATCH($C655,'Paramètres'!$D:$D,0)))),2))</f>
        <v>24.68</v>
      </c>
      <c r="L655" s="6" t="str">
        <f>IF($D655="","",IF($F655&lt;&gt;"",$F655,IF(ISNA(MATCH($D655,'Paramètres'!$M:$M,0)),"⚠ Type inconnu",IFERROR(INDEX('Paramètres'!$P:$P,MATCH($D655,'Paramètres'!$M:$M,0))&amp;"",""))))</f>
        <v>Débit</v>
      </c>
      <c r="M655" s="6" t="str">
        <f>IF($D655="","",IF(ISNA(MATCH($D655,'Paramètres'!$M:$M,0)),"⚠ Type inconnu",IF($L655="Crédit","",IFERROR(INDEX('Paramètres'!$O:$O,MATCH($D655,'Paramètres'!$M:$M,0))&amp;"",""))))</f>
        <v>Dépense Courante</v>
      </c>
      <c r="N655" s="6" t="str">
        <f>IF($D655="","",IFERROR(INDEX('Paramètres'!$Q:$Q,MATCH($D655,'Paramètres'!$M:$M,0))&amp;"",""))</f>
        <v>Alimentation</v>
      </c>
      <c r="O655" s="6">
        <f>IF($A655="","",IF(OR($J655&lt;&gt;"x",$A655&lt;=FinReleve),1,0))</f>
        <v>1</v>
      </c>
      <c r="P655" s="6">
        <f>IF($D655="","",IF(AND($L655="Crédit",OR(IFERROR(INDEX('Paramètres'!$O:$O,MATCH($D655,'Paramètres'!$M:$M,0))&amp;"","")&lt;&gt;"",ISNUMBER(SEARCH("remboursement",IFERROR(INDEX('Paramètres'!$N:$N,MATCH($D655,'Paramètres'!$M:$M,0))&amp;"",""))))),1,0))</f>
        <v>0</v>
      </c>
      <c r="Q655" s="6">
        <f>IF($K655="","",IF(ISNUMBER(SEARCH("transfert-interne",IFERROR(INDEX('Paramètres'!$N:$N,MATCH($D655,'Paramètres'!$M:$M,0))&amp;"",""))),0,IF($L655="Débit",$K655,IF($P655=1,-$K655,0))))</f>
        <v>24.68</v>
      </c>
      <c r="R655" s="6">
        <f>IF($K655="","",IF($L655="Crédit",$K655,-$K655))</f>
        <v>-24.68</v>
      </c>
      <c r="S655" s="6" t="str">
        <f>IF($C655="","",IFERROR(INDEX('Paramètres'!$H:$H,MATCH($C655,'Paramètres'!$D:$D,0))&amp;"",""))</f>
        <v>Banque A - Courant</v>
      </c>
      <c r="T655" s="6">
        <f>IF($K655="","",IF($S655="",0,IF(ISNUMBER(SEARCH("apport-exterieur",IFERROR(INDEX('Paramètres'!$N:$N,MATCH($D655,'Paramètres'!$M:$M,0))&amp;"",""))),0,IF(OR(IFERROR(INDEX('Paramètres'!$I:$I,MATCH($C655,'Paramètres'!$D:$D,0))&amp;"","")="Les deux",IFERROR(INDEX('Paramètres'!$I:$I,MATCH($C655,'Paramètres'!$D:$D,0))&amp;"","")=IF($P655=1,"Débit",$L655)),-IF($P655=1,-$K655,$K655),0))))</f>
        <v>-24.68</v>
      </c>
      <c r="U655" s="6">
        <f>IF($K655="","",IF(ISNUMBER(SEARCH("sortie-epargne",IFERROR(INDEX('Paramètres'!$N:$N,MATCH($D655,'Paramètres'!$M:$M,0))&amp;"",""))),$K655,0))</f>
        <v>0</v>
      </c>
      <c r="V655" s="6" t="str">
        <f>IF(AND($A655&lt;&gt;"",$O655=1,$L655="Débit",N($Q655)&gt;0,$A655&gt;=Visualisation!$B$1,$A655&lt;Visualisation!$D$1),MAX($V$1:V654)+1,"")</f>
        <v/>
      </c>
    </row>
    <row r="656" spans="1:22" x14ac:dyDescent="0.25">
      <c r="A656" s="9">
        <v>46000</v>
      </c>
      <c r="B656" s="4" t="s">
        <v>69</v>
      </c>
      <c r="C656" s="4" t="s">
        <v>70</v>
      </c>
      <c r="D656" s="4" t="s">
        <v>71</v>
      </c>
      <c r="E656" s="10">
        <v>10.34</v>
      </c>
      <c r="G656" s="4" t="s">
        <v>72</v>
      </c>
      <c r="H656" s="4"/>
      <c r="I656" s="4" t="s">
        <v>79</v>
      </c>
      <c r="K656" s="11">
        <f>IF($E656="","",ROUND($E656*IF(ISNA(MATCH($C656,'Paramètres'!$D:$D,0)),1,IF(INDEX('Paramètres'!$J:$J,MATCH($C656,'Paramètres'!$D:$D,0))="",1,INDEX('Paramètres'!$J:$J,MATCH($C656,'Paramètres'!$D:$D,0)))),2))</f>
        <v>10.34</v>
      </c>
      <c r="L656" s="6" t="str">
        <f>IF($D656="","",IF($F656&lt;&gt;"",$F656,IF(ISNA(MATCH($D656,'Paramètres'!$M:$M,0)),"⚠ Type inconnu",IFERROR(INDEX('Paramètres'!$P:$P,MATCH($D656,'Paramètres'!$M:$M,0))&amp;"",""))))</f>
        <v>Débit</v>
      </c>
      <c r="M656" s="6" t="str">
        <f>IF($D656="","",IF(ISNA(MATCH($D656,'Paramètres'!$M:$M,0)),"⚠ Type inconnu",IF($L656="Crédit","",IFERROR(INDEX('Paramètres'!$O:$O,MATCH($D656,'Paramètres'!$M:$M,0))&amp;"",""))))</f>
        <v>Dépense Courante</v>
      </c>
      <c r="N656" s="6" t="str">
        <f>IF($D656="","",IFERROR(INDEX('Paramètres'!$Q:$Q,MATCH($D656,'Paramètres'!$M:$M,0))&amp;"",""))</f>
        <v>Alimentation</v>
      </c>
      <c r="O656" s="6">
        <f>IF($A656="","",IF(OR($J656&lt;&gt;"x",$A656&lt;=FinReleve),1,0))</f>
        <v>1</v>
      </c>
      <c r="P656" s="6">
        <f>IF($D656="","",IF(AND($L656="Crédit",OR(IFERROR(INDEX('Paramètres'!$O:$O,MATCH($D656,'Paramètres'!$M:$M,0))&amp;"","")&lt;&gt;"",ISNUMBER(SEARCH("remboursement",IFERROR(INDEX('Paramètres'!$N:$N,MATCH($D656,'Paramètres'!$M:$M,0))&amp;"",""))))),1,0))</f>
        <v>0</v>
      </c>
      <c r="Q656" s="6">
        <f>IF($K656="","",IF(ISNUMBER(SEARCH("transfert-interne",IFERROR(INDEX('Paramètres'!$N:$N,MATCH($D656,'Paramètres'!$M:$M,0))&amp;"",""))),0,IF($L656="Débit",$K656,IF($P656=1,-$K656,0))))</f>
        <v>10.34</v>
      </c>
      <c r="R656" s="6">
        <f>IF($K656="","",IF($L656="Crédit",$K656,-$K656))</f>
        <v>-10.34</v>
      </c>
      <c r="S656" s="6" t="str">
        <f>IF($C656="","",IFERROR(INDEX('Paramètres'!$H:$H,MATCH($C656,'Paramètres'!$D:$D,0))&amp;"",""))</f>
        <v/>
      </c>
      <c r="T656" s="6">
        <f>IF($K656="","",IF($S656="",0,IF(ISNUMBER(SEARCH("apport-exterieur",IFERROR(INDEX('Paramètres'!$N:$N,MATCH($D656,'Paramètres'!$M:$M,0))&amp;"",""))),0,IF(OR(IFERROR(INDEX('Paramètres'!$I:$I,MATCH($C656,'Paramètres'!$D:$D,0))&amp;"","")="Les deux",IFERROR(INDEX('Paramètres'!$I:$I,MATCH($C656,'Paramètres'!$D:$D,0))&amp;"","")=IF($P656=1,"Débit",$L656)),-IF($P656=1,-$K656,$K656),0))))</f>
        <v>0</v>
      </c>
      <c r="U656" s="6">
        <f>IF($K656="","",IF(ISNUMBER(SEARCH("sortie-epargne",IFERROR(INDEX('Paramètres'!$N:$N,MATCH($D656,'Paramètres'!$M:$M,0))&amp;"",""))),$K656,0))</f>
        <v>0</v>
      </c>
      <c r="V656" s="6" t="str">
        <f>IF(AND($A656&lt;&gt;"",$O656=1,$L656="Débit",N($Q656)&gt;0,$A656&gt;=Visualisation!$B$1,$A656&lt;Visualisation!$D$1),MAX($V$1:V655)+1,"")</f>
        <v/>
      </c>
    </row>
    <row r="657" spans="1:22" x14ac:dyDescent="0.25">
      <c r="A657" s="9">
        <v>46001</v>
      </c>
      <c r="B657" s="4" t="s">
        <v>96</v>
      </c>
      <c r="C657" s="4" t="s">
        <v>75</v>
      </c>
      <c r="D657" s="4" t="s">
        <v>96</v>
      </c>
      <c r="E657" s="10">
        <v>22.4</v>
      </c>
      <c r="G657" s="4"/>
      <c r="H657" s="4"/>
      <c r="I657" s="4"/>
      <c r="K657" s="11">
        <f>IF($E657="","",ROUND($E657*IF(ISNA(MATCH($C657,'Paramètres'!$D:$D,0)),1,IF(INDEX('Paramètres'!$J:$J,MATCH($C657,'Paramètres'!$D:$D,0))="",1,INDEX('Paramètres'!$J:$J,MATCH($C657,'Paramètres'!$D:$D,0)))),2))</f>
        <v>22.4</v>
      </c>
      <c r="L657" s="6" t="str">
        <f>IF($D657="","",IF($F657&lt;&gt;"",$F657,IF(ISNA(MATCH($D657,'Paramètres'!$M:$M,0)),"⚠ Type inconnu",IFERROR(INDEX('Paramètres'!$P:$P,MATCH($D657,'Paramètres'!$M:$M,0))&amp;"",""))))</f>
        <v>Débit</v>
      </c>
      <c r="M657" s="6" t="str">
        <f>IF($D657="","",IF(ISNA(MATCH($D657,'Paramètres'!$M:$M,0)),"⚠ Type inconnu",IF($L657="Crédit","",IFERROR(INDEX('Paramètres'!$O:$O,MATCH($D657,'Paramètres'!$M:$M,0))&amp;"",""))))</f>
        <v>Dépense Fixe</v>
      </c>
      <c r="N657" s="6" t="str">
        <f>IF($D657="","",IFERROR(INDEX('Paramètres'!$Q:$Q,MATCH($D657,'Paramètres'!$M:$M,0))&amp;"",""))</f>
        <v>Assurances</v>
      </c>
      <c r="O657" s="6">
        <f>IF($A657="","",IF(OR($J657&lt;&gt;"x",$A657&lt;=FinReleve),1,0))</f>
        <v>1</v>
      </c>
      <c r="P657" s="6">
        <f>IF($D657="","",IF(AND($L657="Crédit",OR(IFERROR(INDEX('Paramètres'!$O:$O,MATCH($D657,'Paramètres'!$M:$M,0))&amp;"","")&lt;&gt;"",ISNUMBER(SEARCH("remboursement",IFERROR(INDEX('Paramètres'!$N:$N,MATCH($D657,'Paramètres'!$M:$M,0))&amp;"",""))))),1,0))</f>
        <v>0</v>
      </c>
      <c r="Q657" s="6">
        <f>IF($K657="","",IF(ISNUMBER(SEARCH("transfert-interne",IFERROR(INDEX('Paramètres'!$N:$N,MATCH($D657,'Paramètres'!$M:$M,0))&amp;"",""))),0,IF($L657="Débit",$K657,IF($P657=1,-$K657,0))))</f>
        <v>22.4</v>
      </c>
      <c r="R657" s="6">
        <f>IF($K657="","",IF($L657="Crédit",$K657,-$K657))</f>
        <v>-22.4</v>
      </c>
      <c r="S657" s="6" t="str">
        <f>IF($C657="","",IFERROR(INDEX('Paramètres'!$H:$H,MATCH($C657,'Paramètres'!$D:$D,0))&amp;"",""))</f>
        <v/>
      </c>
      <c r="T657" s="6">
        <f>IF($K657="","",IF($S657="",0,IF(ISNUMBER(SEARCH("apport-exterieur",IFERROR(INDEX('Paramètres'!$N:$N,MATCH($D657,'Paramètres'!$M:$M,0))&amp;"",""))),0,IF(OR(IFERROR(INDEX('Paramètres'!$I:$I,MATCH($C657,'Paramètres'!$D:$D,0))&amp;"","")="Les deux",IFERROR(INDEX('Paramètres'!$I:$I,MATCH($C657,'Paramètres'!$D:$D,0))&amp;"","")=IF($P657=1,"Débit",$L657)),-IF($P657=1,-$K657,$K657),0))))</f>
        <v>0</v>
      </c>
      <c r="U657" s="6">
        <f>IF($K657="","",IF(ISNUMBER(SEARCH("sortie-epargne",IFERROR(INDEX('Paramètres'!$N:$N,MATCH($D657,'Paramètres'!$M:$M,0))&amp;"",""))),$K657,0))</f>
        <v>0</v>
      </c>
      <c r="V657" s="6" t="str">
        <f>IF(AND($A657&lt;&gt;"",$O657=1,$L657="Débit",N($Q657)&gt;0,$A657&gt;=Visualisation!$B$1,$A657&lt;Visualisation!$D$1),MAX($V$1:V656)+1,"")</f>
        <v/>
      </c>
    </row>
    <row r="658" spans="1:22" x14ac:dyDescent="0.25">
      <c r="A658" s="9">
        <v>46001</v>
      </c>
      <c r="B658" s="4" t="s">
        <v>69</v>
      </c>
      <c r="C658" s="4" t="s">
        <v>70</v>
      </c>
      <c r="D658" s="4" t="s">
        <v>71</v>
      </c>
      <c r="E658" s="10">
        <v>8.58</v>
      </c>
      <c r="G658" s="4" t="s">
        <v>72</v>
      </c>
      <c r="H658" s="4"/>
      <c r="I658" s="4"/>
      <c r="K658" s="11">
        <f>IF($E658="","",ROUND($E658*IF(ISNA(MATCH($C658,'Paramètres'!$D:$D,0)),1,IF(INDEX('Paramètres'!$J:$J,MATCH($C658,'Paramètres'!$D:$D,0))="",1,INDEX('Paramètres'!$J:$J,MATCH($C658,'Paramètres'!$D:$D,0)))),2))</f>
        <v>8.58</v>
      </c>
      <c r="L658" s="6" t="str">
        <f>IF($D658="","",IF($F658&lt;&gt;"",$F658,IF(ISNA(MATCH($D658,'Paramètres'!$M:$M,0)),"⚠ Type inconnu",IFERROR(INDEX('Paramètres'!$P:$P,MATCH($D658,'Paramètres'!$M:$M,0))&amp;"",""))))</f>
        <v>Débit</v>
      </c>
      <c r="M658" s="6" t="str">
        <f>IF($D658="","",IF(ISNA(MATCH($D658,'Paramètres'!$M:$M,0)),"⚠ Type inconnu",IF($L658="Crédit","",IFERROR(INDEX('Paramètres'!$O:$O,MATCH($D658,'Paramètres'!$M:$M,0))&amp;"",""))))</f>
        <v>Dépense Courante</v>
      </c>
      <c r="N658" s="6" t="str">
        <f>IF($D658="","",IFERROR(INDEX('Paramètres'!$Q:$Q,MATCH($D658,'Paramètres'!$M:$M,0))&amp;"",""))</f>
        <v>Alimentation</v>
      </c>
      <c r="O658" s="6">
        <f>IF($A658="","",IF(OR($J658&lt;&gt;"x",$A658&lt;=FinReleve),1,0))</f>
        <v>1</v>
      </c>
      <c r="P658" s="6">
        <f>IF($D658="","",IF(AND($L658="Crédit",OR(IFERROR(INDEX('Paramètres'!$O:$O,MATCH($D658,'Paramètres'!$M:$M,0))&amp;"","")&lt;&gt;"",ISNUMBER(SEARCH("remboursement",IFERROR(INDEX('Paramètres'!$N:$N,MATCH($D658,'Paramètres'!$M:$M,0))&amp;"",""))))),1,0))</f>
        <v>0</v>
      </c>
      <c r="Q658" s="6">
        <f>IF($K658="","",IF(ISNUMBER(SEARCH("transfert-interne",IFERROR(INDEX('Paramètres'!$N:$N,MATCH($D658,'Paramètres'!$M:$M,0))&amp;"",""))),0,IF($L658="Débit",$K658,IF($P658=1,-$K658,0))))</f>
        <v>8.58</v>
      </c>
      <c r="R658" s="6">
        <f>IF($K658="","",IF($L658="Crédit",$K658,-$K658))</f>
        <v>-8.58</v>
      </c>
      <c r="S658" s="6" t="str">
        <f>IF($C658="","",IFERROR(INDEX('Paramètres'!$H:$H,MATCH($C658,'Paramètres'!$D:$D,0))&amp;"",""))</f>
        <v/>
      </c>
      <c r="T658" s="6">
        <f>IF($K658="","",IF($S658="",0,IF(ISNUMBER(SEARCH("apport-exterieur",IFERROR(INDEX('Paramètres'!$N:$N,MATCH($D658,'Paramètres'!$M:$M,0))&amp;"",""))),0,IF(OR(IFERROR(INDEX('Paramètres'!$I:$I,MATCH($C658,'Paramètres'!$D:$D,0))&amp;"","")="Les deux",IFERROR(INDEX('Paramètres'!$I:$I,MATCH($C658,'Paramètres'!$D:$D,0))&amp;"","")=IF($P658=1,"Débit",$L658)),-IF($P658=1,-$K658,$K658),0))))</f>
        <v>0</v>
      </c>
      <c r="U658" s="6">
        <f>IF($K658="","",IF(ISNUMBER(SEARCH("sortie-epargne",IFERROR(INDEX('Paramètres'!$N:$N,MATCH($D658,'Paramètres'!$M:$M,0))&amp;"",""))),$K658,0))</f>
        <v>0</v>
      </c>
      <c r="V658" s="6" t="str">
        <f>IF(AND($A658&lt;&gt;"",$O658=1,$L658="Débit",N($Q658)&gt;0,$A658&gt;=Visualisation!$B$1,$A658&lt;Visualisation!$D$1),MAX($V$1:V657)+1,"")</f>
        <v/>
      </c>
    </row>
    <row r="659" spans="1:22" x14ac:dyDescent="0.25">
      <c r="A659" s="9">
        <v>46003</v>
      </c>
      <c r="B659" s="4" t="s">
        <v>97</v>
      </c>
      <c r="C659" s="4" t="s">
        <v>75</v>
      </c>
      <c r="D659" s="4" t="s">
        <v>97</v>
      </c>
      <c r="E659" s="10">
        <v>47.9</v>
      </c>
      <c r="G659" s="4"/>
      <c r="H659" s="4"/>
      <c r="I659" s="4"/>
      <c r="K659" s="11">
        <f>IF($E659="","",ROUND($E659*IF(ISNA(MATCH($C659,'Paramètres'!$D:$D,0)),1,IF(INDEX('Paramètres'!$J:$J,MATCH($C659,'Paramètres'!$D:$D,0))="",1,INDEX('Paramètres'!$J:$J,MATCH($C659,'Paramètres'!$D:$D,0)))),2))</f>
        <v>47.9</v>
      </c>
      <c r="L659" s="6" t="str">
        <f>IF($D659="","",IF($F659&lt;&gt;"",$F659,IF(ISNA(MATCH($D659,'Paramètres'!$M:$M,0)),"⚠ Type inconnu",IFERROR(INDEX('Paramètres'!$P:$P,MATCH($D659,'Paramètres'!$M:$M,0))&amp;"",""))))</f>
        <v>Débit</v>
      </c>
      <c r="M659" s="6" t="str">
        <f>IF($D659="","",IF(ISNA(MATCH($D659,'Paramètres'!$M:$M,0)),"⚠ Type inconnu",IF($L659="Crédit","",IFERROR(INDEX('Paramètres'!$O:$O,MATCH($D659,'Paramètres'!$M:$M,0))&amp;"",""))))</f>
        <v>Dépense Fixe</v>
      </c>
      <c r="N659" s="6" t="str">
        <f>IF($D659="","",IFERROR(INDEX('Paramètres'!$Q:$Q,MATCH($D659,'Paramètres'!$M:$M,0))&amp;"",""))</f>
        <v>Assurances</v>
      </c>
      <c r="O659" s="6">
        <f>IF($A659="","",IF(OR($J659&lt;&gt;"x",$A659&lt;=FinReleve),1,0))</f>
        <v>1</v>
      </c>
      <c r="P659" s="6">
        <f>IF($D659="","",IF(AND($L659="Crédit",OR(IFERROR(INDEX('Paramètres'!$O:$O,MATCH($D659,'Paramètres'!$M:$M,0))&amp;"","")&lt;&gt;"",ISNUMBER(SEARCH("remboursement",IFERROR(INDEX('Paramètres'!$N:$N,MATCH($D659,'Paramètres'!$M:$M,0))&amp;"",""))))),1,0))</f>
        <v>0</v>
      </c>
      <c r="Q659" s="6">
        <f>IF($K659="","",IF(ISNUMBER(SEARCH("transfert-interne",IFERROR(INDEX('Paramètres'!$N:$N,MATCH($D659,'Paramètres'!$M:$M,0))&amp;"",""))),0,IF($L659="Débit",$K659,IF($P659=1,-$K659,0))))</f>
        <v>47.9</v>
      </c>
      <c r="R659" s="6">
        <f>IF($K659="","",IF($L659="Crédit",$K659,-$K659))</f>
        <v>-47.9</v>
      </c>
      <c r="S659" s="6" t="str">
        <f>IF($C659="","",IFERROR(INDEX('Paramètres'!$H:$H,MATCH($C659,'Paramètres'!$D:$D,0))&amp;"",""))</f>
        <v/>
      </c>
      <c r="T659" s="6">
        <f>IF($K659="","",IF($S659="",0,IF(ISNUMBER(SEARCH("apport-exterieur",IFERROR(INDEX('Paramètres'!$N:$N,MATCH($D659,'Paramètres'!$M:$M,0))&amp;"",""))),0,IF(OR(IFERROR(INDEX('Paramètres'!$I:$I,MATCH($C659,'Paramètres'!$D:$D,0))&amp;"","")="Les deux",IFERROR(INDEX('Paramètres'!$I:$I,MATCH($C659,'Paramètres'!$D:$D,0))&amp;"","")=IF($P659=1,"Débit",$L659)),-IF($P659=1,-$K659,$K659),0))))</f>
        <v>0</v>
      </c>
      <c r="U659" s="6">
        <f>IF($K659="","",IF(ISNUMBER(SEARCH("sortie-epargne",IFERROR(INDEX('Paramètres'!$N:$N,MATCH($D659,'Paramètres'!$M:$M,0))&amp;"",""))),$K659,0))</f>
        <v>0</v>
      </c>
      <c r="V659" s="6" t="str">
        <f>IF(AND($A659&lt;&gt;"",$O659=1,$L659="Débit",N($Q659)&gt;0,$A659&gt;=Visualisation!$B$1,$A659&lt;Visualisation!$D$1),MAX($V$1:V658)+1,"")</f>
        <v/>
      </c>
    </row>
    <row r="660" spans="1:22" x14ac:dyDescent="0.25">
      <c r="A660" s="9">
        <v>46003</v>
      </c>
      <c r="B660" s="4" t="s">
        <v>123</v>
      </c>
      <c r="C660" s="4" t="s">
        <v>75</v>
      </c>
      <c r="D660" s="4" t="s">
        <v>124</v>
      </c>
      <c r="E660" s="10">
        <v>127.93</v>
      </c>
      <c r="G660" s="4" t="s">
        <v>125</v>
      </c>
      <c r="H660" s="4"/>
      <c r="I660" s="4" t="s">
        <v>73</v>
      </c>
      <c r="K660" s="11">
        <f>IF($E660="","",ROUND($E660*IF(ISNA(MATCH($C660,'Paramètres'!$D:$D,0)),1,IF(INDEX('Paramètres'!$J:$J,MATCH($C660,'Paramètres'!$D:$D,0))="",1,INDEX('Paramètres'!$J:$J,MATCH($C660,'Paramètres'!$D:$D,0)))),2))</f>
        <v>127.93</v>
      </c>
      <c r="L660" s="6" t="str">
        <f>IF($D660="","",IF($F660&lt;&gt;"",$F660,IF(ISNA(MATCH($D660,'Paramètres'!$M:$M,0)),"⚠ Type inconnu",IFERROR(INDEX('Paramètres'!$P:$P,MATCH($D660,'Paramètres'!$M:$M,0))&amp;"",""))))</f>
        <v>Débit</v>
      </c>
      <c r="M660" s="6" t="str">
        <f>IF($D660="","",IF(ISNA(MATCH($D660,'Paramètres'!$M:$M,0)),"⚠ Type inconnu",IF($L660="Crédit","",IFERROR(INDEX('Paramètres'!$O:$O,MATCH($D660,'Paramètres'!$M:$M,0))&amp;"",""))))</f>
        <v>Dépense Courante</v>
      </c>
      <c r="N660" s="6" t="str">
        <f>IF($D660="","",IFERROR(INDEX('Paramètres'!$Q:$Q,MATCH($D660,'Paramètres'!$M:$M,0))&amp;"",""))</f>
        <v>Habillement</v>
      </c>
      <c r="O660" s="6">
        <f>IF($A660="","",IF(OR($J660&lt;&gt;"x",$A660&lt;=FinReleve),1,0))</f>
        <v>1</v>
      </c>
      <c r="P660" s="6">
        <f>IF($D660="","",IF(AND($L660="Crédit",OR(IFERROR(INDEX('Paramètres'!$O:$O,MATCH($D660,'Paramètres'!$M:$M,0))&amp;"","")&lt;&gt;"",ISNUMBER(SEARCH("remboursement",IFERROR(INDEX('Paramètres'!$N:$N,MATCH($D660,'Paramètres'!$M:$M,0))&amp;"",""))))),1,0))</f>
        <v>0</v>
      </c>
      <c r="Q660" s="6">
        <f>IF($K660="","",IF(ISNUMBER(SEARCH("transfert-interne",IFERROR(INDEX('Paramètres'!$N:$N,MATCH($D660,'Paramètres'!$M:$M,0))&amp;"",""))),0,IF($L660="Débit",$K660,IF($P660=1,-$K660,0))))</f>
        <v>127.93</v>
      </c>
      <c r="R660" s="6">
        <f>IF($K660="","",IF($L660="Crédit",$K660,-$K660))</f>
        <v>-127.93</v>
      </c>
      <c r="S660" s="6" t="str">
        <f>IF($C660="","",IFERROR(INDEX('Paramètres'!$H:$H,MATCH($C660,'Paramètres'!$D:$D,0))&amp;"",""))</f>
        <v/>
      </c>
      <c r="T660" s="6">
        <f>IF($K660="","",IF($S660="",0,IF(ISNUMBER(SEARCH("apport-exterieur",IFERROR(INDEX('Paramètres'!$N:$N,MATCH($D660,'Paramètres'!$M:$M,0))&amp;"",""))),0,IF(OR(IFERROR(INDEX('Paramètres'!$I:$I,MATCH($C660,'Paramètres'!$D:$D,0))&amp;"","")="Les deux",IFERROR(INDEX('Paramètres'!$I:$I,MATCH($C660,'Paramètres'!$D:$D,0))&amp;"","")=IF($P660=1,"Débit",$L660)),-IF($P660=1,-$K660,$K660),0))))</f>
        <v>0</v>
      </c>
      <c r="U660" s="6">
        <f>IF($K660="","",IF(ISNUMBER(SEARCH("sortie-epargne",IFERROR(INDEX('Paramètres'!$N:$N,MATCH($D660,'Paramètres'!$M:$M,0))&amp;"",""))),$K660,0))</f>
        <v>0</v>
      </c>
      <c r="V660" s="6" t="str">
        <f>IF(AND($A660&lt;&gt;"",$O660=1,$L660="Débit",N($Q660)&gt;0,$A660&gt;=Visualisation!$B$1,$A660&lt;Visualisation!$D$1),MAX($V$1:V659)+1,"")</f>
        <v/>
      </c>
    </row>
    <row r="661" spans="1:22" x14ac:dyDescent="0.25">
      <c r="A661" s="9">
        <v>46004</v>
      </c>
      <c r="B661" s="4" t="s">
        <v>69</v>
      </c>
      <c r="C661" s="4" t="s">
        <v>70</v>
      </c>
      <c r="D661" s="4" t="s">
        <v>71</v>
      </c>
      <c r="E661" s="10">
        <v>10.85</v>
      </c>
      <c r="G661" s="4" t="s">
        <v>72</v>
      </c>
      <c r="H661" s="4"/>
      <c r="I661" s="4" t="s">
        <v>73</v>
      </c>
      <c r="K661" s="11">
        <f>IF($E661="","",ROUND($E661*IF(ISNA(MATCH($C661,'Paramètres'!$D:$D,0)),1,IF(INDEX('Paramètres'!$J:$J,MATCH($C661,'Paramètres'!$D:$D,0))="",1,INDEX('Paramètres'!$J:$J,MATCH($C661,'Paramètres'!$D:$D,0)))),2))</f>
        <v>10.85</v>
      </c>
      <c r="L661" s="6" t="str">
        <f>IF($D661="","",IF($F661&lt;&gt;"",$F661,IF(ISNA(MATCH($D661,'Paramètres'!$M:$M,0)),"⚠ Type inconnu",IFERROR(INDEX('Paramètres'!$P:$P,MATCH($D661,'Paramètres'!$M:$M,0))&amp;"",""))))</f>
        <v>Débit</v>
      </c>
      <c r="M661" s="6" t="str">
        <f>IF($D661="","",IF(ISNA(MATCH($D661,'Paramètres'!$M:$M,0)),"⚠ Type inconnu",IF($L661="Crédit","",IFERROR(INDEX('Paramètres'!$O:$O,MATCH($D661,'Paramètres'!$M:$M,0))&amp;"",""))))</f>
        <v>Dépense Courante</v>
      </c>
      <c r="N661" s="6" t="str">
        <f>IF($D661="","",IFERROR(INDEX('Paramètres'!$Q:$Q,MATCH($D661,'Paramètres'!$M:$M,0))&amp;"",""))</f>
        <v>Alimentation</v>
      </c>
      <c r="O661" s="6">
        <f>IF($A661="","",IF(OR($J661&lt;&gt;"x",$A661&lt;=FinReleve),1,0))</f>
        <v>1</v>
      </c>
      <c r="P661" s="6">
        <f>IF($D661="","",IF(AND($L661="Crédit",OR(IFERROR(INDEX('Paramètres'!$O:$O,MATCH($D661,'Paramètres'!$M:$M,0))&amp;"","")&lt;&gt;"",ISNUMBER(SEARCH("remboursement",IFERROR(INDEX('Paramètres'!$N:$N,MATCH($D661,'Paramètres'!$M:$M,0))&amp;"",""))))),1,0))</f>
        <v>0</v>
      </c>
      <c r="Q661" s="6">
        <f>IF($K661="","",IF(ISNUMBER(SEARCH("transfert-interne",IFERROR(INDEX('Paramètres'!$N:$N,MATCH($D661,'Paramètres'!$M:$M,0))&amp;"",""))),0,IF($L661="Débit",$K661,IF($P661=1,-$K661,0))))</f>
        <v>10.85</v>
      </c>
      <c r="R661" s="6">
        <f>IF($K661="","",IF($L661="Crédit",$K661,-$K661))</f>
        <v>-10.85</v>
      </c>
      <c r="S661" s="6" t="str">
        <f>IF($C661="","",IFERROR(INDEX('Paramètres'!$H:$H,MATCH($C661,'Paramètres'!$D:$D,0))&amp;"",""))</f>
        <v/>
      </c>
      <c r="T661" s="6">
        <f>IF($K661="","",IF($S661="",0,IF(ISNUMBER(SEARCH("apport-exterieur",IFERROR(INDEX('Paramètres'!$N:$N,MATCH($D661,'Paramètres'!$M:$M,0))&amp;"",""))),0,IF(OR(IFERROR(INDEX('Paramètres'!$I:$I,MATCH($C661,'Paramètres'!$D:$D,0))&amp;"","")="Les deux",IFERROR(INDEX('Paramètres'!$I:$I,MATCH($C661,'Paramètres'!$D:$D,0))&amp;"","")=IF($P661=1,"Débit",$L661)),-IF($P661=1,-$K661,$K661),0))))</f>
        <v>0</v>
      </c>
      <c r="U661" s="6">
        <f>IF($K661="","",IF(ISNUMBER(SEARCH("sortie-epargne",IFERROR(INDEX('Paramètres'!$N:$N,MATCH($D661,'Paramètres'!$M:$M,0))&amp;"",""))),$K661,0))</f>
        <v>0</v>
      </c>
      <c r="V661" s="6" t="str">
        <f>IF(AND($A661&lt;&gt;"",$O661=1,$L661="Débit",N($Q661)&gt;0,$A661&gt;=Visualisation!$B$1,$A661&lt;Visualisation!$D$1),MAX($V$1:V660)+1,"")</f>
        <v/>
      </c>
    </row>
    <row r="662" spans="1:22" x14ac:dyDescent="0.25">
      <c r="A662" s="9">
        <v>46006</v>
      </c>
      <c r="B662" s="4" t="s">
        <v>100</v>
      </c>
      <c r="C662" s="4" t="s">
        <v>65</v>
      </c>
      <c r="D662" s="4" t="s">
        <v>100</v>
      </c>
      <c r="E662" s="10">
        <v>98.35</v>
      </c>
      <c r="G662" s="4"/>
      <c r="H662" s="4"/>
      <c r="I662" s="4"/>
      <c r="K662" s="11">
        <f>IF($E662="","",ROUND($E662*IF(ISNA(MATCH($C662,'Paramètres'!$D:$D,0)),1,IF(INDEX('Paramètres'!$J:$J,MATCH($C662,'Paramètres'!$D:$D,0))="",1,INDEX('Paramètres'!$J:$J,MATCH($C662,'Paramètres'!$D:$D,0)))),2))</f>
        <v>98.35</v>
      </c>
      <c r="L662" s="6" t="str">
        <f>IF($D662="","",IF($F662&lt;&gt;"",$F662,IF(ISNA(MATCH($D662,'Paramètres'!$M:$M,0)),"⚠ Type inconnu",IFERROR(INDEX('Paramètres'!$P:$P,MATCH($D662,'Paramètres'!$M:$M,0))&amp;"",""))))</f>
        <v>Débit</v>
      </c>
      <c r="M662" s="6" t="str">
        <f>IF($D662="","",IF(ISNA(MATCH($D662,'Paramètres'!$M:$M,0)),"⚠ Type inconnu",IF($L662="Crédit","",IFERROR(INDEX('Paramètres'!$O:$O,MATCH($D662,'Paramètres'!$M:$M,0))&amp;"",""))))</f>
        <v>Dépense Fixe</v>
      </c>
      <c r="N662" s="6" t="str">
        <f>IF($D662="","",IFERROR(INDEX('Paramètres'!$Q:$Q,MATCH($D662,'Paramètres'!$M:$M,0))&amp;"",""))</f>
        <v>Immobilier</v>
      </c>
      <c r="O662" s="6">
        <f>IF($A662="","",IF(OR($J662&lt;&gt;"x",$A662&lt;=FinReleve),1,0))</f>
        <v>1</v>
      </c>
      <c r="P662" s="6">
        <f>IF($D662="","",IF(AND($L662="Crédit",OR(IFERROR(INDEX('Paramètres'!$O:$O,MATCH($D662,'Paramètres'!$M:$M,0))&amp;"","")&lt;&gt;"",ISNUMBER(SEARCH("remboursement",IFERROR(INDEX('Paramètres'!$N:$N,MATCH($D662,'Paramètres'!$M:$M,0))&amp;"",""))))),1,0))</f>
        <v>0</v>
      </c>
      <c r="Q662" s="6">
        <f>IF($K662="","",IF(ISNUMBER(SEARCH("transfert-interne",IFERROR(INDEX('Paramètres'!$N:$N,MATCH($D662,'Paramètres'!$M:$M,0))&amp;"",""))),0,IF($L662="Débit",$K662,IF($P662=1,-$K662,0))))</f>
        <v>98.35</v>
      </c>
      <c r="R662" s="6">
        <f>IF($K662="","",IF($L662="Crédit",$K662,-$K662))</f>
        <v>-98.35</v>
      </c>
      <c r="S662" s="6" t="str">
        <f>IF($C662="","",IFERROR(INDEX('Paramètres'!$H:$H,MATCH($C662,'Paramètres'!$D:$D,0))&amp;"",""))</f>
        <v>Banque A - Courant</v>
      </c>
      <c r="T662" s="6">
        <f>IF($K662="","",IF($S662="",0,IF(ISNUMBER(SEARCH("apport-exterieur",IFERROR(INDEX('Paramètres'!$N:$N,MATCH($D662,'Paramètres'!$M:$M,0))&amp;"",""))),0,IF(OR(IFERROR(INDEX('Paramètres'!$I:$I,MATCH($C662,'Paramètres'!$D:$D,0))&amp;"","")="Les deux",IFERROR(INDEX('Paramètres'!$I:$I,MATCH($C662,'Paramètres'!$D:$D,0))&amp;"","")=IF($P662=1,"Débit",$L662)),-IF($P662=1,-$K662,$K662),0))))</f>
        <v>0</v>
      </c>
      <c r="U662" s="6">
        <f>IF($K662="","",IF(ISNUMBER(SEARCH("sortie-epargne",IFERROR(INDEX('Paramètres'!$N:$N,MATCH($D662,'Paramètres'!$M:$M,0))&amp;"",""))),$K662,0))</f>
        <v>0</v>
      </c>
      <c r="V662" s="6" t="str">
        <f>IF(AND($A662&lt;&gt;"",$O662=1,$L662="Débit",N($Q662)&gt;0,$A662&gt;=Visualisation!$B$1,$A662&lt;Visualisation!$D$1),MAX($V$1:V661)+1,"")</f>
        <v/>
      </c>
    </row>
    <row r="663" spans="1:22" x14ac:dyDescent="0.25">
      <c r="A663" s="9">
        <v>46009</v>
      </c>
      <c r="B663" s="4" t="s">
        <v>103</v>
      </c>
      <c r="C663" s="4" t="s">
        <v>75</v>
      </c>
      <c r="D663" s="4" t="s">
        <v>103</v>
      </c>
      <c r="E663" s="10">
        <v>212</v>
      </c>
      <c r="G663" s="4"/>
      <c r="H663" s="4"/>
      <c r="I663" s="4"/>
      <c r="K663" s="11">
        <f>IF($E663="","",ROUND($E663*IF(ISNA(MATCH($C663,'Paramètres'!$D:$D,0)),1,IF(INDEX('Paramètres'!$J:$J,MATCH($C663,'Paramètres'!$D:$D,0))="",1,INDEX('Paramètres'!$J:$J,MATCH($C663,'Paramètres'!$D:$D,0)))),2))</f>
        <v>212</v>
      </c>
      <c r="L663" s="6" t="str">
        <f>IF($D663="","",IF($F663&lt;&gt;"",$F663,IF(ISNA(MATCH($D663,'Paramètres'!$M:$M,0)),"⚠ Type inconnu",IFERROR(INDEX('Paramètres'!$P:$P,MATCH($D663,'Paramètres'!$M:$M,0))&amp;"",""))))</f>
        <v>Débit</v>
      </c>
      <c r="M663" s="6" t="str">
        <f>IF($D663="","",IF(ISNA(MATCH($D663,'Paramètres'!$M:$M,0)),"⚠ Type inconnu",IF($L663="Crédit","",IFERROR(INDEX('Paramètres'!$O:$O,MATCH($D663,'Paramètres'!$M:$M,0))&amp;"",""))))</f>
        <v>Dépense Fixe</v>
      </c>
      <c r="N663" s="6" t="str">
        <f>IF($D663="","",IFERROR(INDEX('Paramètres'!$Q:$Q,MATCH($D663,'Paramètres'!$M:$M,0))&amp;"",""))</f>
        <v>Impots</v>
      </c>
      <c r="O663" s="6">
        <f>IF($A663="","",IF(OR($J663&lt;&gt;"x",$A663&lt;=FinReleve),1,0))</f>
        <v>1</v>
      </c>
      <c r="P663" s="6">
        <f>IF($D663="","",IF(AND($L663="Crédit",OR(IFERROR(INDEX('Paramètres'!$O:$O,MATCH($D663,'Paramètres'!$M:$M,0))&amp;"","")&lt;&gt;"",ISNUMBER(SEARCH("remboursement",IFERROR(INDEX('Paramètres'!$N:$N,MATCH($D663,'Paramètres'!$M:$M,0))&amp;"",""))))),1,0))</f>
        <v>0</v>
      </c>
      <c r="Q663" s="6">
        <f>IF($K663="","",IF(ISNUMBER(SEARCH("transfert-interne",IFERROR(INDEX('Paramètres'!$N:$N,MATCH($D663,'Paramètres'!$M:$M,0))&amp;"",""))),0,IF($L663="Débit",$K663,IF($P663=1,-$K663,0))))</f>
        <v>212</v>
      </c>
      <c r="R663" s="6">
        <f>IF($K663="","",IF($L663="Crédit",$K663,-$K663))</f>
        <v>-212</v>
      </c>
      <c r="S663" s="6" t="str">
        <f>IF($C663="","",IFERROR(INDEX('Paramètres'!$H:$H,MATCH($C663,'Paramètres'!$D:$D,0))&amp;"",""))</f>
        <v/>
      </c>
      <c r="T663" s="6">
        <f>IF($K663="","",IF($S663="",0,IF(ISNUMBER(SEARCH("apport-exterieur",IFERROR(INDEX('Paramètres'!$N:$N,MATCH($D663,'Paramètres'!$M:$M,0))&amp;"",""))),0,IF(OR(IFERROR(INDEX('Paramètres'!$I:$I,MATCH($C663,'Paramètres'!$D:$D,0))&amp;"","")="Les deux",IFERROR(INDEX('Paramètres'!$I:$I,MATCH($C663,'Paramètres'!$D:$D,0))&amp;"","")=IF($P663=1,"Débit",$L663)),-IF($P663=1,-$K663,$K663),0))))</f>
        <v>0</v>
      </c>
      <c r="U663" s="6">
        <f>IF($K663="","",IF(ISNUMBER(SEARCH("sortie-epargne",IFERROR(INDEX('Paramètres'!$N:$N,MATCH($D663,'Paramètres'!$M:$M,0))&amp;"",""))),$K663,0))</f>
        <v>0</v>
      </c>
      <c r="V663" s="6" t="str">
        <f>IF(AND($A663&lt;&gt;"",$O663=1,$L663="Débit",N($Q663)&gt;0,$A663&gt;=Visualisation!$B$1,$A663&lt;Visualisation!$D$1),MAX($V$1:V662)+1,"")</f>
        <v/>
      </c>
    </row>
    <row r="664" spans="1:22" x14ac:dyDescent="0.25">
      <c r="A664" s="9">
        <v>46010</v>
      </c>
      <c r="B664" s="4" t="s">
        <v>76</v>
      </c>
      <c r="C664" s="4" t="s">
        <v>67</v>
      </c>
      <c r="D664" s="4" t="s">
        <v>77</v>
      </c>
      <c r="E664" s="10">
        <v>113.54</v>
      </c>
      <c r="G664" s="4" t="s">
        <v>102</v>
      </c>
      <c r="H664" s="4" t="s">
        <v>140</v>
      </c>
      <c r="I664" s="4" t="s">
        <v>93</v>
      </c>
      <c r="K664" s="11">
        <f>IF($E664="","",ROUND($E664*IF(ISNA(MATCH($C664,'Paramètres'!$D:$D,0)),1,IF(INDEX('Paramètres'!$J:$J,MATCH($C664,'Paramètres'!$D:$D,0))="",1,INDEX('Paramètres'!$J:$J,MATCH($C664,'Paramètres'!$D:$D,0)))),2))</f>
        <v>56.77</v>
      </c>
      <c r="L664" s="6" t="str">
        <f>IF($D664="","",IF($F664&lt;&gt;"",$F664,IF(ISNA(MATCH($D664,'Paramètres'!$M:$M,0)),"⚠ Type inconnu",IFERROR(INDEX('Paramètres'!$P:$P,MATCH($D664,'Paramètres'!$M:$M,0))&amp;"",""))))</f>
        <v>Débit</v>
      </c>
      <c r="M664" s="6" t="str">
        <f>IF($D664="","",IF(ISNA(MATCH($D664,'Paramètres'!$M:$M,0)),"⚠ Type inconnu",IF($L664="Crédit","",IFERROR(INDEX('Paramètres'!$O:$O,MATCH($D664,'Paramètres'!$M:$M,0))&amp;"",""))))</f>
        <v>Dépense Courante</v>
      </c>
      <c r="N664" s="6" t="str">
        <f>IF($D664="","",IFERROR(INDEX('Paramètres'!$Q:$Q,MATCH($D664,'Paramètres'!$M:$M,0))&amp;"",""))</f>
        <v>Alimentation</v>
      </c>
      <c r="O664" s="6">
        <f>IF($A664="","",IF(OR($J664&lt;&gt;"x",$A664&lt;=FinReleve),1,0))</f>
        <v>1</v>
      </c>
      <c r="P664" s="6">
        <f>IF($D664="","",IF(AND($L664="Crédit",OR(IFERROR(INDEX('Paramètres'!$O:$O,MATCH($D664,'Paramètres'!$M:$M,0))&amp;"","")&lt;&gt;"",ISNUMBER(SEARCH("remboursement",IFERROR(INDEX('Paramètres'!$N:$N,MATCH($D664,'Paramètres'!$M:$M,0))&amp;"",""))))),1,0))</f>
        <v>0</v>
      </c>
      <c r="Q664" s="6">
        <f>IF($K664="","",IF(ISNUMBER(SEARCH("transfert-interne",IFERROR(INDEX('Paramètres'!$N:$N,MATCH($D664,'Paramètres'!$M:$M,0))&amp;"",""))),0,IF($L664="Débit",$K664,IF($P664=1,-$K664,0))))</f>
        <v>56.77</v>
      </c>
      <c r="R664" s="6">
        <f>IF($K664="","",IF($L664="Crédit",$K664,-$K664))</f>
        <v>-56.77</v>
      </c>
      <c r="S664" s="6" t="str">
        <f>IF($C664="","",IFERROR(INDEX('Paramètres'!$H:$H,MATCH($C664,'Paramètres'!$D:$D,0))&amp;"",""))</f>
        <v>Banque A - Courant</v>
      </c>
      <c r="T664" s="6">
        <f>IF($K664="","",IF($S664="",0,IF(ISNUMBER(SEARCH("apport-exterieur",IFERROR(INDEX('Paramètres'!$N:$N,MATCH($D664,'Paramètres'!$M:$M,0))&amp;"",""))),0,IF(OR(IFERROR(INDEX('Paramètres'!$I:$I,MATCH($C664,'Paramètres'!$D:$D,0))&amp;"","")="Les deux",IFERROR(INDEX('Paramètres'!$I:$I,MATCH($C664,'Paramètres'!$D:$D,0))&amp;"","")=IF($P664=1,"Débit",$L664)),-IF($P664=1,-$K664,$K664),0))))</f>
        <v>0</v>
      </c>
      <c r="U664" s="6">
        <f>IF($K664="","",IF(ISNUMBER(SEARCH("sortie-epargne",IFERROR(INDEX('Paramètres'!$N:$N,MATCH($D664,'Paramètres'!$M:$M,0))&amp;"",""))),$K664,0))</f>
        <v>0</v>
      </c>
      <c r="V664" s="6" t="str">
        <f>IF(AND($A664&lt;&gt;"",$O664=1,$L664="Débit",N($Q664)&gt;0,$A664&gt;=Visualisation!$B$1,$A664&lt;Visualisation!$D$1),MAX($V$1:V663)+1,"")</f>
        <v/>
      </c>
    </row>
    <row r="665" spans="1:22" x14ac:dyDescent="0.25">
      <c r="A665" s="9">
        <v>46011</v>
      </c>
      <c r="B665" s="4" t="s">
        <v>59</v>
      </c>
      <c r="C665" s="4" t="s">
        <v>60</v>
      </c>
      <c r="D665" s="4" t="s">
        <v>59</v>
      </c>
      <c r="E665" s="10">
        <v>68.14</v>
      </c>
      <c r="G665" s="4" t="s">
        <v>134</v>
      </c>
      <c r="H665" s="4" t="s">
        <v>140</v>
      </c>
      <c r="I665" s="4" t="s">
        <v>73</v>
      </c>
      <c r="K665" s="11">
        <f>IF($E665="","",ROUND($E665*IF(ISNA(MATCH($C665,'Paramètres'!$D:$D,0)),1,IF(INDEX('Paramètres'!$J:$J,MATCH($C665,'Paramètres'!$D:$D,0))="",1,INDEX('Paramètres'!$J:$J,MATCH($C665,'Paramètres'!$D:$D,0)))),2))</f>
        <v>34.07</v>
      </c>
      <c r="L665" s="6" t="str">
        <f>IF($D665="","",IF($F665&lt;&gt;"",$F665,IF(ISNA(MATCH($D665,'Paramètres'!$M:$M,0)),"⚠ Type inconnu",IFERROR(INDEX('Paramètres'!$P:$P,MATCH($D665,'Paramètres'!$M:$M,0))&amp;"",""))))</f>
        <v>Débit</v>
      </c>
      <c r="M665" s="6" t="str">
        <f>IF($D665="","",IF(ISNA(MATCH($D665,'Paramètres'!$M:$M,0)),"⚠ Type inconnu",IF($L665="Crédit","",IFERROR(INDEX('Paramètres'!$O:$O,MATCH($D665,'Paramètres'!$M:$M,0))&amp;"",""))))</f>
        <v>Dépense Occasionnelle</v>
      </c>
      <c r="N665" s="6" t="str">
        <f>IF($D665="","",IFERROR(INDEX('Paramètres'!$Q:$Q,MATCH($D665,'Paramètres'!$M:$M,0))&amp;"",""))</f>
        <v>Loisir</v>
      </c>
      <c r="O665" s="6">
        <f>IF($A665="","",IF(OR($J665&lt;&gt;"x",$A665&lt;=FinReleve),1,0))</f>
        <v>1</v>
      </c>
      <c r="P665" s="6">
        <f>IF($D665="","",IF(AND($L665="Crédit",OR(IFERROR(INDEX('Paramètres'!$O:$O,MATCH($D665,'Paramètres'!$M:$M,0))&amp;"","")&lt;&gt;"",ISNUMBER(SEARCH("remboursement",IFERROR(INDEX('Paramètres'!$N:$N,MATCH($D665,'Paramètres'!$M:$M,0))&amp;"",""))))),1,0))</f>
        <v>0</v>
      </c>
      <c r="Q665" s="6">
        <f>IF($K665="","",IF(ISNUMBER(SEARCH("transfert-interne",IFERROR(INDEX('Paramètres'!$N:$N,MATCH($D665,'Paramètres'!$M:$M,0))&amp;"",""))),0,IF($L665="Débit",$K665,IF($P665=1,-$K665,0))))</f>
        <v>34.07</v>
      </c>
      <c r="R665" s="6">
        <f>IF($K665="","",IF($L665="Crédit",$K665,-$K665))</f>
        <v>-34.07</v>
      </c>
      <c r="S665" s="6" t="str">
        <f>IF($C665="","",IFERROR(INDEX('Paramètres'!$H:$H,MATCH($C665,'Paramètres'!$D:$D,0))&amp;"",""))</f>
        <v>Banque A - Courant</v>
      </c>
      <c r="T665" s="6">
        <f>IF($K665="","",IF($S665="",0,IF(ISNUMBER(SEARCH("apport-exterieur",IFERROR(INDEX('Paramètres'!$N:$N,MATCH($D665,'Paramètres'!$M:$M,0))&amp;"",""))),0,IF(OR(IFERROR(INDEX('Paramètres'!$I:$I,MATCH($C665,'Paramètres'!$D:$D,0))&amp;"","")="Les deux",IFERROR(INDEX('Paramètres'!$I:$I,MATCH($C665,'Paramètres'!$D:$D,0))&amp;"","")=IF($P665=1,"Débit",$L665)),-IF($P665=1,-$K665,$K665),0))))</f>
        <v>-34.07</v>
      </c>
      <c r="U665" s="6">
        <f>IF($K665="","",IF(ISNUMBER(SEARCH("sortie-epargne",IFERROR(INDEX('Paramètres'!$N:$N,MATCH($D665,'Paramètres'!$M:$M,0))&amp;"",""))),$K665,0))</f>
        <v>0</v>
      </c>
      <c r="V665" s="6" t="str">
        <f>IF(AND($A665&lt;&gt;"",$O665=1,$L665="Débit",N($Q665)&gt;0,$A665&gt;=Visualisation!$B$1,$A665&lt;Visualisation!$D$1),MAX($V$1:V664)+1,"")</f>
        <v/>
      </c>
    </row>
    <row r="666" spans="1:22" x14ac:dyDescent="0.25">
      <c r="A666" s="9">
        <v>46012</v>
      </c>
      <c r="B666" s="4" t="s">
        <v>59</v>
      </c>
      <c r="C666" s="4" t="s">
        <v>60</v>
      </c>
      <c r="D666" s="4" t="s">
        <v>59</v>
      </c>
      <c r="E666" s="10">
        <v>74.54</v>
      </c>
      <c r="G666" s="4" t="s">
        <v>128</v>
      </c>
      <c r="H666" s="4" t="s">
        <v>140</v>
      </c>
      <c r="I666" s="4" t="s">
        <v>63</v>
      </c>
      <c r="K666" s="11">
        <f>IF($E666="","",ROUND($E666*IF(ISNA(MATCH($C666,'Paramètres'!$D:$D,0)),1,IF(INDEX('Paramètres'!$J:$J,MATCH($C666,'Paramètres'!$D:$D,0))="",1,INDEX('Paramètres'!$J:$J,MATCH($C666,'Paramètres'!$D:$D,0)))),2))</f>
        <v>37.27</v>
      </c>
      <c r="L666" s="6" t="str">
        <f>IF($D666="","",IF($F666&lt;&gt;"",$F666,IF(ISNA(MATCH($D666,'Paramètres'!$M:$M,0)),"⚠ Type inconnu",IFERROR(INDEX('Paramètres'!$P:$P,MATCH($D666,'Paramètres'!$M:$M,0))&amp;"",""))))</f>
        <v>Débit</v>
      </c>
      <c r="M666" s="6" t="str">
        <f>IF($D666="","",IF(ISNA(MATCH($D666,'Paramètres'!$M:$M,0)),"⚠ Type inconnu",IF($L666="Crédit","",IFERROR(INDEX('Paramètres'!$O:$O,MATCH($D666,'Paramètres'!$M:$M,0))&amp;"",""))))</f>
        <v>Dépense Occasionnelle</v>
      </c>
      <c r="N666" s="6" t="str">
        <f>IF($D666="","",IFERROR(INDEX('Paramètres'!$Q:$Q,MATCH($D666,'Paramètres'!$M:$M,0))&amp;"",""))</f>
        <v>Loisir</v>
      </c>
      <c r="O666" s="6">
        <f>IF($A666="","",IF(OR($J666&lt;&gt;"x",$A666&lt;=FinReleve),1,0))</f>
        <v>1</v>
      </c>
      <c r="P666" s="6">
        <f>IF($D666="","",IF(AND($L666="Crédit",OR(IFERROR(INDEX('Paramètres'!$O:$O,MATCH($D666,'Paramètres'!$M:$M,0))&amp;"","")&lt;&gt;"",ISNUMBER(SEARCH("remboursement",IFERROR(INDEX('Paramètres'!$N:$N,MATCH($D666,'Paramètres'!$M:$M,0))&amp;"",""))))),1,0))</f>
        <v>0</v>
      </c>
      <c r="Q666" s="6">
        <f>IF($K666="","",IF(ISNUMBER(SEARCH("transfert-interne",IFERROR(INDEX('Paramètres'!$N:$N,MATCH($D666,'Paramètres'!$M:$M,0))&amp;"",""))),0,IF($L666="Débit",$K666,IF($P666=1,-$K666,0))))</f>
        <v>37.27</v>
      </c>
      <c r="R666" s="6">
        <f>IF($K666="","",IF($L666="Crédit",$K666,-$K666))</f>
        <v>-37.27</v>
      </c>
      <c r="S666" s="6" t="str">
        <f>IF($C666="","",IFERROR(INDEX('Paramètres'!$H:$H,MATCH($C666,'Paramètres'!$D:$D,0))&amp;"",""))</f>
        <v>Banque A - Courant</v>
      </c>
      <c r="T666" s="6">
        <f>IF($K666="","",IF($S666="",0,IF(ISNUMBER(SEARCH("apport-exterieur",IFERROR(INDEX('Paramètres'!$N:$N,MATCH($D666,'Paramètres'!$M:$M,0))&amp;"",""))),0,IF(OR(IFERROR(INDEX('Paramètres'!$I:$I,MATCH($C666,'Paramètres'!$D:$D,0))&amp;"","")="Les deux",IFERROR(INDEX('Paramètres'!$I:$I,MATCH($C666,'Paramètres'!$D:$D,0))&amp;"","")=IF($P666=1,"Débit",$L666)),-IF($P666=1,-$K666,$K666),0))))</f>
        <v>-37.27</v>
      </c>
      <c r="U666" s="6">
        <f>IF($K666="","",IF(ISNUMBER(SEARCH("sortie-epargne",IFERROR(INDEX('Paramètres'!$N:$N,MATCH($D666,'Paramètres'!$M:$M,0))&amp;"",""))),$K666,0))</f>
        <v>0</v>
      </c>
      <c r="V666" s="6" t="str">
        <f>IF(AND($A666&lt;&gt;"",$O666=1,$L666="Débit",N($Q666)&gt;0,$A666&gt;=Visualisation!$B$1,$A666&lt;Visualisation!$D$1),MAX($V$1:V665)+1,"")</f>
        <v/>
      </c>
    </row>
    <row r="667" spans="1:22" x14ac:dyDescent="0.25">
      <c r="A667" s="9">
        <v>46013</v>
      </c>
      <c r="B667" s="4" t="s">
        <v>69</v>
      </c>
      <c r="C667" s="4" t="s">
        <v>70</v>
      </c>
      <c r="D667" s="4" t="s">
        <v>71</v>
      </c>
      <c r="E667" s="10">
        <v>9.94</v>
      </c>
      <c r="G667" s="4" t="s">
        <v>72</v>
      </c>
      <c r="H667" s="4"/>
      <c r="I667" s="4" t="s">
        <v>79</v>
      </c>
      <c r="K667" s="11">
        <f>IF($E667="","",ROUND($E667*IF(ISNA(MATCH($C667,'Paramètres'!$D:$D,0)),1,IF(INDEX('Paramètres'!$J:$J,MATCH($C667,'Paramètres'!$D:$D,0))="",1,INDEX('Paramètres'!$J:$J,MATCH($C667,'Paramètres'!$D:$D,0)))),2))</f>
        <v>9.94</v>
      </c>
      <c r="L667" s="6" t="str">
        <f>IF($D667="","",IF($F667&lt;&gt;"",$F667,IF(ISNA(MATCH($D667,'Paramètres'!$M:$M,0)),"⚠ Type inconnu",IFERROR(INDEX('Paramètres'!$P:$P,MATCH($D667,'Paramètres'!$M:$M,0))&amp;"",""))))</f>
        <v>Débit</v>
      </c>
      <c r="M667" s="6" t="str">
        <f>IF($D667="","",IF(ISNA(MATCH($D667,'Paramètres'!$M:$M,0)),"⚠ Type inconnu",IF($L667="Crédit","",IFERROR(INDEX('Paramètres'!$O:$O,MATCH($D667,'Paramètres'!$M:$M,0))&amp;"",""))))</f>
        <v>Dépense Courante</v>
      </c>
      <c r="N667" s="6" t="str">
        <f>IF($D667="","",IFERROR(INDEX('Paramètres'!$Q:$Q,MATCH($D667,'Paramètres'!$M:$M,0))&amp;"",""))</f>
        <v>Alimentation</v>
      </c>
      <c r="O667" s="6">
        <f>IF($A667="","",IF(OR($J667&lt;&gt;"x",$A667&lt;=FinReleve),1,0))</f>
        <v>1</v>
      </c>
      <c r="P667" s="6">
        <f>IF($D667="","",IF(AND($L667="Crédit",OR(IFERROR(INDEX('Paramètres'!$O:$O,MATCH($D667,'Paramètres'!$M:$M,0))&amp;"","")&lt;&gt;"",ISNUMBER(SEARCH("remboursement",IFERROR(INDEX('Paramètres'!$N:$N,MATCH($D667,'Paramètres'!$M:$M,0))&amp;"",""))))),1,0))</f>
        <v>0</v>
      </c>
      <c r="Q667" s="6">
        <f>IF($K667="","",IF(ISNUMBER(SEARCH("transfert-interne",IFERROR(INDEX('Paramètres'!$N:$N,MATCH($D667,'Paramètres'!$M:$M,0))&amp;"",""))),0,IF($L667="Débit",$K667,IF($P667=1,-$K667,0))))</f>
        <v>9.94</v>
      </c>
      <c r="R667" s="6">
        <f>IF($K667="","",IF($L667="Crédit",$K667,-$K667))</f>
        <v>-9.94</v>
      </c>
      <c r="S667" s="6" t="str">
        <f>IF($C667="","",IFERROR(INDEX('Paramètres'!$H:$H,MATCH($C667,'Paramètres'!$D:$D,0))&amp;"",""))</f>
        <v/>
      </c>
      <c r="T667" s="6">
        <f>IF($K667="","",IF($S667="",0,IF(ISNUMBER(SEARCH("apport-exterieur",IFERROR(INDEX('Paramètres'!$N:$N,MATCH($D667,'Paramètres'!$M:$M,0))&amp;"",""))),0,IF(OR(IFERROR(INDEX('Paramètres'!$I:$I,MATCH($C667,'Paramètres'!$D:$D,0))&amp;"","")="Les deux",IFERROR(INDEX('Paramètres'!$I:$I,MATCH($C667,'Paramètres'!$D:$D,0))&amp;"","")=IF($P667=1,"Débit",$L667)),-IF($P667=1,-$K667,$K667),0))))</f>
        <v>0</v>
      </c>
      <c r="U667" s="6">
        <f>IF($K667="","",IF(ISNUMBER(SEARCH("sortie-epargne",IFERROR(INDEX('Paramètres'!$N:$N,MATCH($D667,'Paramètres'!$M:$M,0))&amp;"",""))),$K667,0))</f>
        <v>0</v>
      </c>
      <c r="V667" s="6" t="str">
        <f>IF(AND($A667&lt;&gt;"",$O667=1,$L667="Débit",N($Q667)&gt;0,$A667&gt;=Visualisation!$B$1,$A667&lt;Visualisation!$D$1),MAX($V$1:V666)+1,"")</f>
        <v/>
      </c>
    </row>
    <row r="668" spans="1:22" x14ac:dyDescent="0.25">
      <c r="A668" s="9">
        <v>46014</v>
      </c>
      <c r="B668" s="4" t="s">
        <v>69</v>
      </c>
      <c r="C668" s="4" t="s">
        <v>70</v>
      </c>
      <c r="D668" s="4" t="s">
        <v>71</v>
      </c>
      <c r="E668" s="10">
        <v>11.41</v>
      </c>
      <c r="G668" s="4" t="s">
        <v>72</v>
      </c>
      <c r="H668" s="4"/>
      <c r="I668" s="4" t="s">
        <v>63</v>
      </c>
      <c r="K668" s="11">
        <f>IF($E668="","",ROUND($E668*IF(ISNA(MATCH($C668,'Paramètres'!$D:$D,0)),1,IF(INDEX('Paramètres'!$J:$J,MATCH($C668,'Paramètres'!$D:$D,0))="",1,INDEX('Paramètres'!$J:$J,MATCH($C668,'Paramètres'!$D:$D,0)))),2))</f>
        <v>11.41</v>
      </c>
      <c r="L668" s="6" t="str">
        <f>IF($D668="","",IF($F668&lt;&gt;"",$F668,IF(ISNA(MATCH($D668,'Paramètres'!$M:$M,0)),"⚠ Type inconnu",IFERROR(INDEX('Paramètres'!$P:$P,MATCH($D668,'Paramètres'!$M:$M,0))&amp;"",""))))</f>
        <v>Débit</v>
      </c>
      <c r="M668" s="6" t="str">
        <f>IF($D668="","",IF(ISNA(MATCH($D668,'Paramètres'!$M:$M,0)),"⚠ Type inconnu",IF($L668="Crédit","",IFERROR(INDEX('Paramètres'!$O:$O,MATCH($D668,'Paramètres'!$M:$M,0))&amp;"",""))))</f>
        <v>Dépense Courante</v>
      </c>
      <c r="N668" s="6" t="str">
        <f>IF($D668="","",IFERROR(INDEX('Paramètres'!$Q:$Q,MATCH($D668,'Paramètres'!$M:$M,0))&amp;"",""))</f>
        <v>Alimentation</v>
      </c>
      <c r="O668" s="6">
        <f>IF($A668="","",IF(OR($J668&lt;&gt;"x",$A668&lt;=FinReleve),1,0))</f>
        <v>1</v>
      </c>
      <c r="P668" s="6">
        <f>IF($D668="","",IF(AND($L668="Crédit",OR(IFERROR(INDEX('Paramètres'!$O:$O,MATCH($D668,'Paramètres'!$M:$M,0))&amp;"","")&lt;&gt;"",ISNUMBER(SEARCH("remboursement",IFERROR(INDEX('Paramètres'!$N:$N,MATCH($D668,'Paramètres'!$M:$M,0))&amp;"",""))))),1,0))</f>
        <v>0</v>
      </c>
      <c r="Q668" s="6">
        <f>IF($K668="","",IF(ISNUMBER(SEARCH("transfert-interne",IFERROR(INDEX('Paramètres'!$N:$N,MATCH($D668,'Paramètres'!$M:$M,0))&amp;"",""))),0,IF($L668="Débit",$K668,IF($P668=1,-$K668,0))))</f>
        <v>11.41</v>
      </c>
      <c r="R668" s="6">
        <f>IF($K668="","",IF($L668="Crédit",$K668,-$K668))</f>
        <v>-11.41</v>
      </c>
      <c r="S668" s="6" t="str">
        <f>IF($C668="","",IFERROR(INDEX('Paramètres'!$H:$H,MATCH($C668,'Paramètres'!$D:$D,0))&amp;"",""))</f>
        <v/>
      </c>
      <c r="T668" s="6">
        <f>IF($K668="","",IF($S668="",0,IF(ISNUMBER(SEARCH("apport-exterieur",IFERROR(INDEX('Paramètres'!$N:$N,MATCH($D668,'Paramètres'!$M:$M,0))&amp;"",""))),0,IF(OR(IFERROR(INDEX('Paramètres'!$I:$I,MATCH($C668,'Paramètres'!$D:$D,0))&amp;"","")="Les deux",IFERROR(INDEX('Paramètres'!$I:$I,MATCH($C668,'Paramètres'!$D:$D,0))&amp;"","")=IF($P668=1,"Débit",$L668)),-IF($P668=1,-$K668,$K668),0))))</f>
        <v>0</v>
      </c>
      <c r="U668" s="6">
        <f>IF($K668="","",IF(ISNUMBER(SEARCH("sortie-epargne",IFERROR(INDEX('Paramètres'!$N:$N,MATCH($D668,'Paramètres'!$M:$M,0))&amp;"",""))),$K668,0))</f>
        <v>0</v>
      </c>
      <c r="V668" s="6" t="str">
        <f>IF(AND($A668&lt;&gt;"",$O668=1,$L668="Débit",N($Q668)&gt;0,$A668&gt;=Visualisation!$B$1,$A668&lt;Visualisation!$D$1),MAX($V$1:V667)+1,"")</f>
        <v/>
      </c>
    </row>
    <row r="669" spans="1:22" x14ac:dyDescent="0.25">
      <c r="A669" s="9">
        <v>46014</v>
      </c>
      <c r="B669" s="4" t="s">
        <v>76</v>
      </c>
      <c r="C669" s="4" t="s">
        <v>107</v>
      </c>
      <c r="D669" s="4" t="s">
        <v>108</v>
      </c>
      <c r="E669" s="10">
        <v>40.46</v>
      </c>
      <c r="G669" s="4" t="s">
        <v>146</v>
      </c>
      <c r="H669" s="4" t="s">
        <v>140</v>
      </c>
      <c r="I669" s="4" t="s">
        <v>93</v>
      </c>
      <c r="K669" s="11">
        <f>IF($E669="","",ROUND($E669*IF(ISNA(MATCH($C669,'Paramètres'!$D:$D,0)),1,IF(INDEX('Paramètres'!$J:$J,MATCH($C669,'Paramètres'!$D:$D,0))="",1,INDEX('Paramètres'!$J:$J,MATCH($C669,'Paramètres'!$D:$D,0)))),2))</f>
        <v>40.46</v>
      </c>
      <c r="L669" s="6" t="str">
        <f>IF($D669="","",IF($F669&lt;&gt;"",$F669,IF(ISNA(MATCH($D669,'Paramètres'!$M:$M,0)),"⚠ Type inconnu",IFERROR(INDEX('Paramètres'!$P:$P,MATCH($D669,'Paramètres'!$M:$M,0))&amp;"",""))))</f>
        <v>Débit</v>
      </c>
      <c r="M669" s="6" t="str">
        <f>IF($D669="","",IF(ISNA(MATCH($D669,'Paramètres'!$M:$M,0)),"⚠ Type inconnu",IF($L669="Crédit","",IFERROR(INDEX('Paramètres'!$O:$O,MATCH($D669,'Paramètres'!$M:$M,0))&amp;"",""))))</f>
        <v>Dépense Occasionnelle</v>
      </c>
      <c r="N669" s="6" t="str">
        <f>IF($D669="","",IFERROR(INDEX('Paramètres'!$Q:$Q,MATCH($D669,'Paramètres'!$M:$M,0))&amp;"",""))</f>
        <v>Autre</v>
      </c>
      <c r="O669" s="6">
        <f>IF($A669="","",IF(OR($J669&lt;&gt;"x",$A669&lt;=FinReleve),1,0))</f>
        <v>1</v>
      </c>
      <c r="P669" s="6">
        <f>IF($D669="","",IF(AND($L669="Crédit",OR(IFERROR(INDEX('Paramètres'!$O:$O,MATCH($D669,'Paramètres'!$M:$M,0))&amp;"","")&lt;&gt;"",ISNUMBER(SEARCH("remboursement",IFERROR(INDEX('Paramètres'!$N:$N,MATCH($D669,'Paramètres'!$M:$M,0))&amp;"",""))))),1,0))</f>
        <v>0</v>
      </c>
      <c r="Q669" s="6">
        <f>IF($K669="","",IF(ISNUMBER(SEARCH("transfert-interne",IFERROR(INDEX('Paramètres'!$N:$N,MATCH($D669,'Paramètres'!$M:$M,0))&amp;"",""))),0,IF($L669="Débit",$K669,IF($P669=1,-$K669,0))))</f>
        <v>40.46</v>
      </c>
      <c r="R669" s="6">
        <f>IF($K669="","",IF($L669="Crédit",$K669,-$K669))</f>
        <v>-40.46</v>
      </c>
      <c r="S669" s="6" t="str">
        <f>IF($C669="","",IFERROR(INDEX('Paramètres'!$H:$H,MATCH($C669,'Paramètres'!$D:$D,0))&amp;"",""))</f>
        <v/>
      </c>
      <c r="T669" s="6">
        <f>IF($K669="","",IF($S669="",0,IF(ISNUMBER(SEARCH("apport-exterieur",IFERROR(INDEX('Paramètres'!$N:$N,MATCH($D669,'Paramètres'!$M:$M,0))&amp;"",""))),0,IF(OR(IFERROR(INDEX('Paramètres'!$I:$I,MATCH($C669,'Paramètres'!$D:$D,0))&amp;"","")="Les deux",IFERROR(INDEX('Paramètres'!$I:$I,MATCH($C669,'Paramètres'!$D:$D,0))&amp;"","")=IF($P669=1,"Débit",$L669)),-IF($P669=1,-$K669,$K669),0))))</f>
        <v>0</v>
      </c>
      <c r="U669" s="6">
        <f>IF($K669="","",IF(ISNUMBER(SEARCH("sortie-epargne",IFERROR(INDEX('Paramètres'!$N:$N,MATCH($D669,'Paramètres'!$M:$M,0))&amp;"",""))),$K669,0))</f>
        <v>0</v>
      </c>
      <c r="V669" s="6" t="str">
        <f>IF(AND($A669&lt;&gt;"",$O669=1,$L669="Débit",N($Q669)&gt;0,$A669&gt;=Visualisation!$B$1,$A669&lt;Visualisation!$D$1),MAX($V$1:V668)+1,"")</f>
        <v/>
      </c>
    </row>
    <row r="670" spans="1:22" x14ac:dyDescent="0.25">
      <c r="A670" s="9">
        <v>46017</v>
      </c>
      <c r="B670" s="4" t="s">
        <v>59</v>
      </c>
      <c r="C670" s="4" t="s">
        <v>60</v>
      </c>
      <c r="D670" s="4" t="s">
        <v>59</v>
      </c>
      <c r="E670" s="10">
        <v>72.68</v>
      </c>
      <c r="G670" s="4" t="s">
        <v>134</v>
      </c>
      <c r="H670" s="4" t="s">
        <v>140</v>
      </c>
      <c r="I670" s="4" t="s">
        <v>93</v>
      </c>
      <c r="K670" s="11">
        <f>IF($E670="","",ROUND($E670*IF(ISNA(MATCH($C670,'Paramètres'!$D:$D,0)),1,IF(INDEX('Paramètres'!$J:$J,MATCH($C670,'Paramètres'!$D:$D,0))="",1,INDEX('Paramètres'!$J:$J,MATCH($C670,'Paramètres'!$D:$D,0)))),2))</f>
        <v>36.34</v>
      </c>
      <c r="L670" s="6" t="str">
        <f>IF($D670="","",IF($F670&lt;&gt;"",$F670,IF(ISNA(MATCH($D670,'Paramètres'!$M:$M,0)),"⚠ Type inconnu",IFERROR(INDEX('Paramètres'!$P:$P,MATCH($D670,'Paramètres'!$M:$M,0))&amp;"",""))))</f>
        <v>Débit</v>
      </c>
      <c r="M670" s="6" t="str">
        <f>IF($D670="","",IF(ISNA(MATCH($D670,'Paramètres'!$M:$M,0)),"⚠ Type inconnu",IF($L670="Crédit","",IFERROR(INDEX('Paramètres'!$O:$O,MATCH($D670,'Paramètres'!$M:$M,0))&amp;"",""))))</f>
        <v>Dépense Occasionnelle</v>
      </c>
      <c r="N670" s="6" t="str">
        <f>IF($D670="","",IFERROR(INDEX('Paramètres'!$Q:$Q,MATCH($D670,'Paramètres'!$M:$M,0))&amp;"",""))</f>
        <v>Loisir</v>
      </c>
      <c r="O670" s="6">
        <f>IF($A670="","",IF(OR($J670&lt;&gt;"x",$A670&lt;=FinReleve),1,0))</f>
        <v>1</v>
      </c>
      <c r="P670" s="6">
        <f>IF($D670="","",IF(AND($L670="Crédit",OR(IFERROR(INDEX('Paramètres'!$O:$O,MATCH($D670,'Paramètres'!$M:$M,0))&amp;"","")&lt;&gt;"",ISNUMBER(SEARCH("remboursement",IFERROR(INDEX('Paramètres'!$N:$N,MATCH($D670,'Paramètres'!$M:$M,0))&amp;"",""))))),1,0))</f>
        <v>0</v>
      </c>
      <c r="Q670" s="6">
        <f>IF($K670="","",IF(ISNUMBER(SEARCH("transfert-interne",IFERROR(INDEX('Paramètres'!$N:$N,MATCH($D670,'Paramètres'!$M:$M,0))&amp;"",""))),0,IF($L670="Débit",$K670,IF($P670=1,-$K670,0))))</f>
        <v>36.34</v>
      </c>
      <c r="R670" s="6">
        <f>IF($K670="","",IF($L670="Crédit",$K670,-$K670))</f>
        <v>-36.34</v>
      </c>
      <c r="S670" s="6" t="str">
        <f>IF($C670="","",IFERROR(INDEX('Paramètres'!$H:$H,MATCH($C670,'Paramètres'!$D:$D,0))&amp;"",""))</f>
        <v>Banque A - Courant</v>
      </c>
      <c r="T670" s="6">
        <f>IF($K670="","",IF($S670="",0,IF(ISNUMBER(SEARCH("apport-exterieur",IFERROR(INDEX('Paramètres'!$N:$N,MATCH($D670,'Paramètres'!$M:$M,0))&amp;"",""))),0,IF(OR(IFERROR(INDEX('Paramètres'!$I:$I,MATCH($C670,'Paramètres'!$D:$D,0))&amp;"","")="Les deux",IFERROR(INDEX('Paramètres'!$I:$I,MATCH($C670,'Paramètres'!$D:$D,0))&amp;"","")=IF($P670=1,"Débit",$L670)),-IF($P670=1,-$K670,$K670),0))))</f>
        <v>-36.34</v>
      </c>
      <c r="U670" s="6">
        <f>IF($K670="","",IF(ISNUMBER(SEARCH("sortie-epargne",IFERROR(INDEX('Paramètres'!$N:$N,MATCH($D670,'Paramètres'!$M:$M,0))&amp;"",""))),$K670,0))</f>
        <v>0</v>
      </c>
      <c r="V670" s="6" t="str">
        <f>IF(AND($A670&lt;&gt;"",$O670=1,$L670="Débit",N($Q670)&gt;0,$A670&gt;=Visualisation!$B$1,$A670&lt;Visualisation!$D$1),MAX($V$1:V669)+1,"")</f>
        <v/>
      </c>
    </row>
    <row r="671" spans="1:22" x14ac:dyDescent="0.25">
      <c r="A671" s="9">
        <v>46017</v>
      </c>
      <c r="B671" s="4" t="s">
        <v>105</v>
      </c>
      <c r="C671" s="4" t="s">
        <v>75</v>
      </c>
      <c r="D671" s="4" t="s">
        <v>110</v>
      </c>
      <c r="E671" s="10">
        <v>150</v>
      </c>
      <c r="G671" s="4"/>
      <c r="H671" s="4"/>
      <c r="I671" s="4"/>
      <c r="K671" s="11">
        <f>IF($E671="","",ROUND($E671*IF(ISNA(MATCH($C671,'Paramètres'!$D:$D,0)),1,IF(INDEX('Paramètres'!$J:$J,MATCH($C671,'Paramètres'!$D:$D,0))="",1,INDEX('Paramètres'!$J:$J,MATCH($C671,'Paramètres'!$D:$D,0)))),2))</f>
        <v>150</v>
      </c>
      <c r="L671" s="6" t="str">
        <f>IF($D671="","",IF($F671&lt;&gt;"",$F671,IF(ISNA(MATCH($D671,'Paramètres'!$M:$M,0)),"⚠ Type inconnu",IFERROR(INDEX('Paramètres'!$P:$P,MATCH($D671,'Paramètres'!$M:$M,0))&amp;"",""))))</f>
        <v>Débit</v>
      </c>
      <c r="M671" s="6" t="str">
        <f>IF($D671="","",IF(ISNA(MATCH($D671,'Paramètres'!$M:$M,0)),"⚠ Type inconnu",IF($L671="Crédit","",IFERROR(INDEX('Paramètres'!$O:$O,MATCH($D671,'Paramètres'!$M:$M,0))&amp;"",""))))</f>
        <v/>
      </c>
      <c r="N671" s="6" t="str">
        <f>IF($D671="","",IFERROR(INDEX('Paramètres'!$Q:$Q,MATCH($D671,'Paramètres'!$M:$M,0))&amp;"",""))</f>
        <v>Comptes Bancaires</v>
      </c>
      <c r="O671" s="6">
        <f>IF($A671="","",IF(OR($J671&lt;&gt;"x",$A671&lt;=FinReleve),1,0))</f>
        <v>1</v>
      </c>
      <c r="P671" s="6">
        <f>IF($D671="","",IF(AND($L671="Crédit",OR(IFERROR(INDEX('Paramètres'!$O:$O,MATCH($D671,'Paramètres'!$M:$M,0))&amp;"","")&lt;&gt;"",ISNUMBER(SEARCH("remboursement",IFERROR(INDEX('Paramètres'!$N:$N,MATCH($D671,'Paramètres'!$M:$M,0))&amp;"",""))))),1,0))</f>
        <v>0</v>
      </c>
      <c r="Q671" s="6">
        <f>IF($K671="","",IF(ISNUMBER(SEARCH("transfert-interne",IFERROR(INDEX('Paramètres'!$N:$N,MATCH($D671,'Paramètres'!$M:$M,0))&amp;"",""))),0,IF($L671="Débit",$K671,IF($P671=1,-$K671,0))))</f>
        <v>0</v>
      </c>
      <c r="R671" s="6">
        <f>IF($K671="","",IF($L671="Crédit",$K671,-$K671))</f>
        <v>-150</v>
      </c>
      <c r="S671" s="6" t="str">
        <f>IF($C671="","",IFERROR(INDEX('Paramètres'!$H:$H,MATCH($C671,'Paramètres'!$D:$D,0))&amp;"",""))</f>
        <v/>
      </c>
      <c r="T671" s="6">
        <f>IF($K671="","",IF($S671="",0,IF(ISNUMBER(SEARCH("apport-exterieur",IFERROR(INDEX('Paramètres'!$N:$N,MATCH($D671,'Paramètres'!$M:$M,0))&amp;"",""))),0,IF(OR(IFERROR(INDEX('Paramètres'!$I:$I,MATCH($C671,'Paramètres'!$D:$D,0))&amp;"","")="Les deux",IFERROR(INDEX('Paramètres'!$I:$I,MATCH($C671,'Paramètres'!$D:$D,0))&amp;"","")=IF($P671=1,"Débit",$L671)),-IF($P671=1,-$K671,$K671),0))))</f>
        <v>0</v>
      </c>
      <c r="U671" s="6">
        <f>IF($K671="","",IF(ISNUMBER(SEARCH("sortie-epargne",IFERROR(INDEX('Paramètres'!$N:$N,MATCH($D671,'Paramètres'!$M:$M,0))&amp;"",""))),$K671,0))</f>
        <v>0</v>
      </c>
      <c r="V671" s="6" t="str">
        <f>IF(AND($A671&lt;&gt;"",$O671=1,$L671="Débit",N($Q671)&gt;0,$A671&gt;=Visualisation!$B$1,$A671&lt;Visualisation!$D$1),MAX($V$1:V670)+1,"")</f>
        <v/>
      </c>
    </row>
    <row r="672" spans="1:22" x14ac:dyDescent="0.25">
      <c r="A672" s="9">
        <v>46017</v>
      </c>
      <c r="B672" s="4" t="s">
        <v>105</v>
      </c>
      <c r="C672" s="4" t="s">
        <v>75</v>
      </c>
      <c r="D672" s="4" t="s">
        <v>111</v>
      </c>
      <c r="E672" s="10">
        <v>200</v>
      </c>
      <c r="G672" s="4"/>
      <c r="H672" s="4"/>
      <c r="I672" s="4"/>
      <c r="K672" s="11">
        <f>IF($E672="","",ROUND($E672*IF(ISNA(MATCH($C672,'Paramètres'!$D:$D,0)),1,IF(INDEX('Paramètres'!$J:$J,MATCH($C672,'Paramètres'!$D:$D,0))="",1,INDEX('Paramètres'!$J:$J,MATCH($C672,'Paramètres'!$D:$D,0)))),2))</f>
        <v>200</v>
      </c>
      <c r="L672" s="6" t="str">
        <f>IF($D672="","",IF($F672&lt;&gt;"",$F672,IF(ISNA(MATCH($D672,'Paramètres'!$M:$M,0)),"⚠ Type inconnu",IFERROR(INDEX('Paramètres'!$P:$P,MATCH($D672,'Paramètres'!$M:$M,0))&amp;"",""))))</f>
        <v>Débit</v>
      </c>
      <c r="M672" s="6" t="str">
        <f>IF($D672="","",IF(ISNA(MATCH($D672,'Paramètres'!$M:$M,0)),"⚠ Type inconnu",IF($L672="Crédit","",IFERROR(INDEX('Paramètres'!$O:$O,MATCH($D672,'Paramètres'!$M:$M,0))&amp;"",""))))</f>
        <v/>
      </c>
      <c r="N672" s="6" t="str">
        <f>IF($D672="","",IFERROR(INDEX('Paramètres'!$Q:$Q,MATCH($D672,'Paramètres'!$M:$M,0))&amp;"",""))</f>
        <v>Comptes Bancaires</v>
      </c>
      <c r="O672" s="6">
        <f>IF($A672="","",IF(OR($J672&lt;&gt;"x",$A672&lt;=FinReleve),1,0))</f>
        <v>1</v>
      </c>
      <c r="P672" s="6">
        <f>IF($D672="","",IF(AND($L672="Crédit",OR(IFERROR(INDEX('Paramètres'!$O:$O,MATCH($D672,'Paramètres'!$M:$M,0))&amp;"","")&lt;&gt;"",ISNUMBER(SEARCH("remboursement",IFERROR(INDEX('Paramètres'!$N:$N,MATCH($D672,'Paramètres'!$M:$M,0))&amp;"",""))))),1,0))</f>
        <v>0</v>
      </c>
      <c r="Q672" s="6">
        <f>IF($K672="","",IF(ISNUMBER(SEARCH("transfert-interne",IFERROR(INDEX('Paramètres'!$N:$N,MATCH($D672,'Paramètres'!$M:$M,0))&amp;"",""))),0,IF($L672="Débit",$K672,IF($P672=1,-$K672,0))))</f>
        <v>200</v>
      </c>
      <c r="R672" s="6">
        <f>IF($K672="","",IF($L672="Crédit",$K672,-$K672))</f>
        <v>-200</v>
      </c>
      <c r="S672" s="6" t="str">
        <f>IF($C672="","",IFERROR(INDEX('Paramètres'!$H:$H,MATCH($C672,'Paramètres'!$D:$D,0))&amp;"",""))</f>
        <v/>
      </c>
      <c r="T672" s="6">
        <f>IF($K672="","",IF($S672="",0,IF(ISNUMBER(SEARCH("apport-exterieur",IFERROR(INDEX('Paramètres'!$N:$N,MATCH($D672,'Paramètres'!$M:$M,0))&amp;"",""))),0,IF(OR(IFERROR(INDEX('Paramètres'!$I:$I,MATCH($C672,'Paramètres'!$D:$D,0))&amp;"","")="Les deux",IFERROR(INDEX('Paramètres'!$I:$I,MATCH($C672,'Paramètres'!$D:$D,0))&amp;"","")=IF($P672=1,"Débit",$L672)),-IF($P672=1,-$K672,$K672),0))))</f>
        <v>0</v>
      </c>
      <c r="U672" s="6">
        <f>IF($K672="","",IF(ISNUMBER(SEARCH("sortie-epargne",IFERROR(INDEX('Paramètres'!$N:$N,MATCH($D672,'Paramètres'!$M:$M,0))&amp;"",""))),$K672,0))</f>
        <v>0</v>
      </c>
      <c r="V672" s="6" t="str">
        <f>IF(AND($A672&lt;&gt;"",$O672=1,$L672="Débit",N($Q672)&gt;0,$A672&gt;=Visualisation!$B$1,$A672&lt;Visualisation!$D$1),MAX($V$1:V671)+1,"")</f>
        <v/>
      </c>
    </row>
    <row r="673" spans="1:22" x14ac:dyDescent="0.25">
      <c r="A673" s="9">
        <v>46017</v>
      </c>
      <c r="B673" s="4" t="s">
        <v>112</v>
      </c>
      <c r="C673" s="4" t="s">
        <v>75</v>
      </c>
      <c r="D673" s="4" t="s">
        <v>113</v>
      </c>
      <c r="E673" s="10">
        <v>120</v>
      </c>
      <c r="G673" s="4"/>
      <c r="H673" s="4"/>
      <c r="I673" s="4"/>
      <c r="K673" s="11">
        <f>IF($E673="","",ROUND($E673*IF(ISNA(MATCH($C673,'Paramètres'!$D:$D,0)),1,IF(INDEX('Paramètres'!$J:$J,MATCH($C673,'Paramètres'!$D:$D,0))="",1,INDEX('Paramètres'!$J:$J,MATCH($C673,'Paramètres'!$D:$D,0)))),2))</f>
        <v>120</v>
      </c>
      <c r="L673" s="6" t="str">
        <f>IF($D673="","",IF($F673&lt;&gt;"",$F673,IF(ISNA(MATCH($D673,'Paramètres'!$M:$M,0)),"⚠ Type inconnu",IFERROR(INDEX('Paramètres'!$P:$P,MATCH($D673,'Paramètres'!$M:$M,0))&amp;"",""))))</f>
        <v>Débit</v>
      </c>
      <c r="M673" s="6" t="str">
        <f>IF($D673="","",IF(ISNA(MATCH($D673,'Paramètres'!$M:$M,0)),"⚠ Type inconnu",IF($L673="Crédit","",IFERROR(INDEX('Paramètres'!$O:$O,MATCH($D673,'Paramètres'!$M:$M,0))&amp;"",""))))</f>
        <v/>
      </c>
      <c r="N673" s="6" t="str">
        <f>IF($D673="","",IFERROR(INDEX('Paramètres'!$Q:$Q,MATCH($D673,'Paramètres'!$M:$M,0))&amp;"",""))</f>
        <v>Comptes Bancaires</v>
      </c>
      <c r="O673" s="6">
        <f>IF($A673="","",IF(OR($J673&lt;&gt;"x",$A673&lt;=FinReleve),1,0))</f>
        <v>1</v>
      </c>
      <c r="P673" s="6">
        <f>IF($D673="","",IF(AND($L673="Crédit",OR(IFERROR(INDEX('Paramètres'!$O:$O,MATCH($D673,'Paramètres'!$M:$M,0))&amp;"","")&lt;&gt;"",ISNUMBER(SEARCH("remboursement",IFERROR(INDEX('Paramètres'!$N:$N,MATCH($D673,'Paramètres'!$M:$M,0))&amp;"",""))))),1,0))</f>
        <v>0</v>
      </c>
      <c r="Q673" s="6">
        <f>IF($K673="","",IF(ISNUMBER(SEARCH("transfert-interne",IFERROR(INDEX('Paramètres'!$N:$N,MATCH($D673,'Paramètres'!$M:$M,0))&amp;"",""))),0,IF($L673="Débit",$K673,IF($P673=1,-$K673,0))))</f>
        <v>120</v>
      </c>
      <c r="R673" s="6">
        <f>IF($K673="","",IF($L673="Crédit",$K673,-$K673))</f>
        <v>-120</v>
      </c>
      <c r="S673" s="6" t="str">
        <f>IF($C673="","",IFERROR(INDEX('Paramètres'!$H:$H,MATCH($C673,'Paramètres'!$D:$D,0))&amp;"",""))</f>
        <v/>
      </c>
      <c r="T673" s="6">
        <f>IF($K673="","",IF($S673="",0,IF(ISNUMBER(SEARCH("apport-exterieur",IFERROR(INDEX('Paramètres'!$N:$N,MATCH($D673,'Paramètres'!$M:$M,0))&amp;"",""))),0,IF(OR(IFERROR(INDEX('Paramètres'!$I:$I,MATCH($C673,'Paramètres'!$D:$D,0))&amp;"","")="Les deux",IFERROR(INDEX('Paramètres'!$I:$I,MATCH($C673,'Paramètres'!$D:$D,0))&amp;"","")=IF($P673=1,"Débit",$L673)),-IF($P673=1,-$K673,$K673),0))))</f>
        <v>0</v>
      </c>
      <c r="U673" s="6">
        <f>IF($K673="","",IF(ISNUMBER(SEARCH("sortie-epargne",IFERROR(INDEX('Paramètres'!$N:$N,MATCH($D673,'Paramètres'!$M:$M,0))&amp;"",""))),$K673,0))</f>
        <v>0</v>
      </c>
      <c r="V673" s="6" t="str">
        <f>IF(AND($A673&lt;&gt;"",$O673=1,$L673="Débit",N($Q673)&gt;0,$A673&gt;=Visualisation!$B$1,$A673&lt;Visualisation!$D$1),MAX($V$1:V672)+1,"")</f>
        <v/>
      </c>
    </row>
    <row r="674" spans="1:22" x14ac:dyDescent="0.25">
      <c r="A674" s="9">
        <v>46018</v>
      </c>
      <c r="B674" s="4" t="s">
        <v>114</v>
      </c>
      <c r="C674" s="4" t="s">
        <v>75</v>
      </c>
      <c r="D674" s="4" t="s">
        <v>115</v>
      </c>
      <c r="E674" s="10">
        <v>2961.57</v>
      </c>
      <c r="G674" s="4" t="s">
        <v>115</v>
      </c>
      <c r="H674" s="4"/>
      <c r="I674" s="4"/>
      <c r="K674" s="11">
        <f>IF($E674="","",ROUND($E674*IF(ISNA(MATCH($C674,'Paramètres'!$D:$D,0)),1,IF(INDEX('Paramètres'!$J:$J,MATCH($C674,'Paramètres'!$D:$D,0))="",1,INDEX('Paramètres'!$J:$J,MATCH($C674,'Paramètres'!$D:$D,0)))),2))</f>
        <v>2961.57</v>
      </c>
      <c r="L674" s="6" t="str">
        <f>IF($D674="","",IF($F674&lt;&gt;"",$F674,IF(ISNA(MATCH($D674,'Paramètres'!$M:$M,0)),"⚠ Type inconnu",IFERROR(INDEX('Paramètres'!$P:$P,MATCH($D674,'Paramètres'!$M:$M,0))&amp;"",""))))</f>
        <v>Crédit</v>
      </c>
      <c r="M674" s="6" t="str">
        <f>IF($D674="","",IF(ISNA(MATCH($D674,'Paramètres'!$M:$M,0)),"⚠ Type inconnu",IF($L674="Crédit","",IFERROR(INDEX('Paramètres'!$O:$O,MATCH($D674,'Paramètres'!$M:$M,0))&amp;"",""))))</f>
        <v/>
      </c>
      <c r="N674" s="6" t="str">
        <f>IF($D674="","",IFERROR(INDEX('Paramètres'!$Q:$Q,MATCH($D674,'Paramètres'!$M:$M,0))&amp;"",""))</f>
        <v/>
      </c>
      <c r="O674" s="6">
        <f>IF($A674="","",IF(OR($J674&lt;&gt;"x",$A674&lt;=FinReleve),1,0))</f>
        <v>1</v>
      </c>
      <c r="P674" s="6">
        <f>IF($D674="","",IF(AND($L674="Crédit",OR(IFERROR(INDEX('Paramètres'!$O:$O,MATCH($D674,'Paramètres'!$M:$M,0))&amp;"","")&lt;&gt;"",ISNUMBER(SEARCH("remboursement",IFERROR(INDEX('Paramètres'!$N:$N,MATCH($D674,'Paramètres'!$M:$M,0))&amp;"",""))))),1,0))</f>
        <v>0</v>
      </c>
      <c r="Q674" s="6">
        <f>IF($K674="","",IF(ISNUMBER(SEARCH("transfert-interne",IFERROR(INDEX('Paramètres'!$N:$N,MATCH($D674,'Paramètres'!$M:$M,0))&amp;"",""))),0,IF($L674="Débit",$K674,IF($P674=1,-$K674,0))))</f>
        <v>0</v>
      </c>
      <c r="R674" s="6">
        <f>IF($K674="","",IF($L674="Crédit",$K674,-$K674))</f>
        <v>2961.57</v>
      </c>
      <c r="S674" s="6" t="str">
        <f>IF($C674="","",IFERROR(INDEX('Paramètres'!$H:$H,MATCH($C674,'Paramètres'!$D:$D,0))&amp;"",""))</f>
        <v/>
      </c>
      <c r="T674" s="6">
        <f>IF($K674="","",IF($S674="",0,IF(ISNUMBER(SEARCH("apport-exterieur",IFERROR(INDEX('Paramètres'!$N:$N,MATCH($D674,'Paramètres'!$M:$M,0))&amp;"",""))),0,IF(OR(IFERROR(INDEX('Paramètres'!$I:$I,MATCH($C674,'Paramètres'!$D:$D,0))&amp;"","")="Les deux",IFERROR(INDEX('Paramètres'!$I:$I,MATCH($C674,'Paramètres'!$D:$D,0))&amp;"","")=IF($P674=1,"Débit",$L674)),-IF($P674=1,-$K674,$K674),0))))</f>
        <v>0</v>
      </c>
      <c r="U674" s="6">
        <f>IF($K674="","",IF(ISNUMBER(SEARCH("sortie-epargne",IFERROR(INDEX('Paramètres'!$N:$N,MATCH($D674,'Paramètres'!$M:$M,0))&amp;"",""))),$K674,0))</f>
        <v>0</v>
      </c>
      <c r="V674" s="6" t="str">
        <f>IF(AND($A674&lt;&gt;"",$O674=1,$L674="Débit",N($Q674)&gt;0,$A674&gt;=Visualisation!$B$1,$A674&lt;Visualisation!$D$1),MAX($V$1:V673)+1,"")</f>
        <v/>
      </c>
    </row>
    <row r="675" spans="1:22" x14ac:dyDescent="0.25">
      <c r="A675" s="9">
        <v>46019</v>
      </c>
      <c r="B675" s="4" t="s">
        <v>118</v>
      </c>
      <c r="C675" s="4" t="s">
        <v>75</v>
      </c>
      <c r="D675" s="4" t="s">
        <v>118</v>
      </c>
      <c r="E675" s="10">
        <v>3</v>
      </c>
      <c r="G675" s="4"/>
      <c r="H675" s="4"/>
      <c r="I675" s="4"/>
      <c r="K675" s="11">
        <f>IF($E675="","",ROUND($E675*IF(ISNA(MATCH($C675,'Paramètres'!$D:$D,0)),1,IF(INDEX('Paramètres'!$J:$J,MATCH($C675,'Paramètres'!$D:$D,0))="",1,INDEX('Paramètres'!$J:$J,MATCH($C675,'Paramètres'!$D:$D,0)))),2))</f>
        <v>3</v>
      </c>
      <c r="L675" s="6" t="str">
        <f>IF($D675="","",IF($F675&lt;&gt;"",$F675,IF(ISNA(MATCH($D675,'Paramètres'!$M:$M,0)),"⚠ Type inconnu",IFERROR(INDEX('Paramètres'!$P:$P,MATCH($D675,'Paramètres'!$M:$M,0))&amp;"",""))))</f>
        <v>Débit</v>
      </c>
      <c r="M675" s="6" t="str">
        <f>IF($D675="","",IF(ISNA(MATCH($D675,'Paramètres'!$M:$M,0)),"⚠ Type inconnu",IF($L675="Crédit","",IFERROR(INDEX('Paramètres'!$O:$O,MATCH($D675,'Paramètres'!$M:$M,0))&amp;"",""))))</f>
        <v>Dépense Fixe</v>
      </c>
      <c r="N675" s="6" t="str">
        <f>IF($D675="","",IFERROR(INDEX('Paramètres'!$Q:$Q,MATCH($D675,'Paramètres'!$M:$M,0))&amp;"",""))</f>
        <v>Banque</v>
      </c>
      <c r="O675" s="6">
        <f>IF($A675="","",IF(OR($J675&lt;&gt;"x",$A675&lt;=FinReleve),1,0))</f>
        <v>1</v>
      </c>
      <c r="P675" s="6">
        <f>IF($D675="","",IF(AND($L675="Crédit",OR(IFERROR(INDEX('Paramètres'!$O:$O,MATCH($D675,'Paramètres'!$M:$M,0))&amp;"","")&lt;&gt;"",ISNUMBER(SEARCH("remboursement",IFERROR(INDEX('Paramètres'!$N:$N,MATCH($D675,'Paramètres'!$M:$M,0))&amp;"",""))))),1,0))</f>
        <v>0</v>
      </c>
      <c r="Q675" s="6">
        <f>IF($K675="","",IF(ISNUMBER(SEARCH("transfert-interne",IFERROR(INDEX('Paramètres'!$N:$N,MATCH($D675,'Paramètres'!$M:$M,0))&amp;"",""))),0,IF($L675="Débit",$K675,IF($P675=1,-$K675,0))))</f>
        <v>3</v>
      </c>
      <c r="R675" s="6">
        <f>IF($K675="","",IF($L675="Crédit",$K675,-$K675))</f>
        <v>-3</v>
      </c>
      <c r="S675" s="6" t="str">
        <f>IF($C675="","",IFERROR(INDEX('Paramètres'!$H:$H,MATCH($C675,'Paramètres'!$D:$D,0))&amp;"",""))</f>
        <v/>
      </c>
      <c r="T675" s="6">
        <f>IF($K675="","",IF($S675="",0,IF(ISNUMBER(SEARCH("apport-exterieur",IFERROR(INDEX('Paramètres'!$N:$N,MATCH($D675,'Paramètres'!$M:$M,0))&amp;"",""))),0,IF(OR(IFERROR(INDEX('Paramètres'!$I:$I,MATCH($C675,'Paramètres'!$D:$D,0))&amp;"","")="Les deux",IFERROR(INDEX('Paramètres'!$I:$I,MATCH($C675,'Paramètres'!$D:$D,0))&amp;"","")=IF($P675=1,"Débit",$L675)),-IF($P675=1,-$K675,$K675),0))))</f>
        <v>0</v>
      </c>
      <c r="U675" s="6">
        <f>IF($K675="","",IF(ISNUMBER(SEARCH("sortie-epargne",IFERROR(INDEX('Paramètres'!$N:$N,MATCH($D675,'Paramètres'!$M:$M,0))&amp;"",""))),$K675,0))</f>
        <v>0</v>
      </c>
      <c r="V675" s="6" t="str">
        <f>IF(AND($A675&lt;&gt;"",$O675=1,$L675="Débit",N($Q675)&gt;0,$A675&gt;=Visualisation!$B$1,$A675&lt;Visualisation!$D$1),MAX($V$1:V674)+1,"")</f>
        <v/>
      </c>
    </row>
    <row r="676" spans="1:22" x14ac:dyDescent="0.25">
      <c r="A676" s="9">
        <v>46019</v>
      </c>
      <c r="B676" s="4" t="s">
        <v>76</v>
      </c>
      <c r="C676" s="4" t="s">
        <v>60</v>
      </c>
      <c r="D676" s="4" t="s">
        <v>77</v>
      </c>
      <c r="E676" s="10">
        <v>148.7</v>
      </c>
      <c r="G676" s="4" t="s">
        <v>78</v>
      </c>
      <c r="H676" s="4" t="s">
        <v>140</v>
      </c>
      <c r="I676" s="4" t="s">
        <v>63</v>
      </c>
      <c r="K676" s="11">
        <f>IF($E676="","",ROUND($E676*IF(ISNA(MATCH($C676,'Paramètres'!$D:$D,0)),1,IF(INDEX('Paramètres'!$J:$J,MATCH($C676,'Paramètres'!$D:$D,0))="",1,INDEX('Paramètres'!$J:$J,MATCH($C676,'Paramètres'!$D:$D,0)))),2))</f>
        <v>74.35</v>
      </c>
      <c r="L676" s="6" t="str">
        <f>IF($D676="","",IF($F676&lt;&gt;"",$F676,IF(ISNA(MATCH($D676,'Paramètres'!$M:$M,0)),"⚠ Type inconnu",IFERROR(INDEX('Paramètres'!$P:$P,MATCH($D676,'Paramètres'!$M:$M,0))&amp;"",""))))</f>
        <v>Débit</v>
      </c>
      <c r="M676" s="6" t="str">
        <f>IF($D676="","",IF(ISNA(MATCH($D676,'Paramètres'!$M:$M,0)),"⚠ Type inconnu",IF($L676="Crédit","",IFERROR(INDEX('Paramètres'!$O:$O,MATCH($D676,'Paramètres'!$M:$M,0))&amp;"",""))))</f>
        <v>Dépense Courante</v>
      </c>
      <c r="N676" s="6" t="str">
        <f>IF($D676="","",IFERROR(INDEX('Paramètres'!$Q:$Q,MATCH($D676,'Paramètres'!$M:$M,0))&amp;"",""))</f>
        <v>Alimentation</v>
      </c>
      <c r="O676" s="6">
        <f>IF($A676="","",IF(OR($J676&lt;&gt;"x",$A676&lt;=FinReleve),1,0))</f>
        <v>1</v>
      </c>
      <c r="P676" s="6">
        <f>IF($D676="","",IF(AND($L676="Crédit",OR(IFERROR(INDEX('Paramètres'!$O:$O,MATCH($D676,'Paramètres'!$M:$M,0))&amp;"","")&lt;&gt;"",ISNUMBER(SEARCH("remboursement",IFERROR(INDEX('Paramètres'!$N:$N,MATCH($D676,'Paramètres'!$M:$M,0))&amp;"",""))))),1,0))</f>
        <v>0</v>
      </c>
      <c r="Q676" s="6">
        <f>IF($K676="","",IF(ISNUMBER(SEARCH("transfert-interne",IFERROR(INDEX('Paramètres'!$N:$N,MATCH($D676,'Paramètres'!$M:$M,0))&amp;"",""))),0,IF($L676="Débit",$K676,IF($P676=1,-$K676,0))))</f>
        <v>74.35</v>
      </c>
      <c r="R676" s="6">
        <f>IF($K676="","",IF($L676="Crédit",$K676,-$K676))</f>
        <v>-74.35</v>
      </c>
      <c r="S676" s="6" t="str">
        <f>IF($C676="","",IFERROR(INDEX('Paramètres'!$H:$H,MATCH($C676,'Paramètres'!$D:$D,0))&amp;"",""))</f>
        <v>Banque A - Courant</v>
      </c>
      <c r="T676" s="6">
        <f>IF($K676="","",IF($S676="",0,IF(ISNUMBER(SEARCH("apport-exterieur",IFERROR(INDEX('Paramètres'!$N:$N,MATCH($D676,'Paramètres'!$M:$M,0))&amp;"",""))),0,IF(OR(IFERROR(INDEX('Paramètres'!$I:$I,MATCH($C676,'Paramètres'!$D:$D,0))&amp;"","")="Les deux",IFERROR(INDEX('Paramètres'!$I:$I,MATCH($C676,'Paramètres'!$D:$D,0))&amp;"","")=IF($P676=1,"Débit",$L676)),-IF($P676=1,-$K676,$K676),0))))</f>
        <v>-74.35</v>
      </c>
      <c r="U676" s="6">
        <f>IF($K676="","",IF(ISNUMBER(SEARCH("sortie-epargne",IFERROR(INDEX('Paramètres'!$N:$N,MATCH($D676,'Paramètres'!$M:$M,0))&amp;"",""))),$K676,0))</f>
        <v>0</v>
      </c>
      <c r="V676" s="6" t="str">
        <f>IF(AND($A676&lt;&gt;"",$O676=1,$L676="Débit",N($Q676)&gt;0,$A676&gt;=Visualisation!$B$1,$A676&lt;Visualisation!$D$1),MAX($V$1:V675)+1,"")</f>
        <v/>
      </c>
    </row>
    <row r="677" spans="1:22" x14ac:dyDescent="0.25">
      <c r="A677" s="9">
        <v>46019</v>
      </c>
      <c r="B677" s="4" t="s">
        <v>76</v>
      </c>
      <c r="C677" s="4" t="s">
        <v>60</v>
      </c>
      <c r="D677" s="4" t="s">
        <v>77</v>
      </c>
      <c r="E677" s="10">
        <v>169.32</v>
      </c>
      <c r="G677" s="4" t="s">
        <v>78</v>
      </c>
      <c r="H677" s="4" t="s">
        <v>140</v>
      </c>
      <c r="I677" s="4" t="s">
        <v>79</v>
      </c>
      <c r="K677" s="11">
        <f>IF($E677="","",ROUND($E677*IF(ISNA(MATCH($C677,'Paramètres'!$D:$D,0)),1,IF(INDEX('Paramètres'!$J:$J,MATCH($C677,'Paramètres'!$D:$D,0))="",1,INDEX('Paramètres'!$J:$J,MATCH($C677,'Paramètres'!$D:$D,0)))),2))</f>
        <v>84.66</v>
      </c>
      <c r="L677" s="6" t="str">
        <f>IF($D677="","",IF($F677&lt;&gt;"",$F677,IF(ISNA(MATCH($D677,'Paramètres'!$M:$M,0)),"⚠ Type inconnu",IFERROR(INDEX('Paramètres'!$P:$P,MATCH($D677,'Paramètres'!$M:$M,0))&amp;"",""))))</f>
        <v>Débit</v>
      </c>
      <c r="M677" s="6" t="str">
        <f>IF($D677="","",IF(ISNA(MATCH($D677,'Paramètres'!$M:$M,0)),"⚠ Type inconnu",IF($L677="Crédit","",IFERROR(INDEX('Paramètres'!$O:$O,MATCH($D677,'Paramètres'!$M:$M,0))&amp;"",""))))</f>
        <v>Dépense Courante</v>
      </c>
      <c r="N677" s="6" t="str">
        <f>IF($D677="","",IFERROR(INDEX('Paramètres'!$Q:$Q,MATCH($D677,'Paramètres'!$M:$M,0))&amp;"",""))</f>
        <v>Alimentation</v>
      </c>
      <c r="O677" s="6">
        <f>IF($A677="","",IF(OR($J677&lt;&gt;"x",$A677&lt;=FinReleve),1,0))</f>
        <v>1</v>
      </c>
      <c r="P677" s="6">
        <f>IF($D677="","",IF(AND($L677="Crédit",OR(IFERROR(INDEX('Paramètres'!$O:$O,MATCH($D677,'Paramètres'!$M:$M,0))&amp;"","")&lt;&gt;"",ISNUMBER(SEARCH("remboursement",IFERROR(INDEX('Paramètres'!$N:$N,MATCH($D677,'Paramètres'!$M:$M,0))&amp;"",""))))),1,0))</f>
        <v>0</v>
      </c>
      <c r="Q677" s="6">
        <f>IF($K677="","",IF(ISNUMBER(SEARCH("transfert-interne",IFERROR(INDEX('Paramètres'!$N:$N,MATCH($D677,'Paramètres'!$M:$M,0))&amp;"",""))),0,IF($L677="Débit",$K677,IF($P677=1,-$K677,0))))</f>
        <v>84.66</v>
      </c>
      <c r="R677" s="6">
        <f>IF($K677="","",IF($L677="Crédit",$K677,-$K677))</f>
        <v>-84.66</v>
      </c>
      <c r="S677" s="6" t="str">
        <f>IF($C677="","",IFERROR(INDEX('Paramètres'!$H:$H,MATCH($C677,'Paramètres'!$D:$D,0))&amp;"",""))</f>
        <v>Banque A - Courant</v>
      </c>
      <c r="T677" s="6">
        <f>IF($K677="","",IF($S677="",0,IF(ISNUMBER(SEARCH("apport-exterieur",IFERROR(INDEX('Paramètres'!$N:$N,MATCH($D677,'Paramètres'!$M:$M,0))&amp;"",""))),0,IF(OR(IFERROR(INDEX('Paramètres'!$I:$I,MATCH($C677,'Paramètres'!$D:$D,0))&amp;"","")="Les deux",IFERROR(INDEX('Paramètres'!$I:$I,MATCH($C677,'Paramètres'!$D:$D,0))&amp;"","")=IF($P677=1,"Débit",$L677)),-IF($P677=1,-$K677,$K677),0))))</f>
        <v>-84.66</v>
      </c>
      <c r="U677" s="6">
        <f>IF($K677="","",IF(ISNUMBER(SEARCH("sortie-epargne",IFERROR(INDEX('Paramètres'!$N:$N,MATCH($D677,'Paramètres'!$M:$M,0))&amp;"",""))),$K677,0))</f>
        <v>0</v>
      </c>
      <c r="V677" s="6" t="str">
        <f>IF(AND($A677&lt;&gt;"",$O677=1,$L677="Débit",N($Q677)&gt;0,$A677&gt;=Visualisation!$B$1,$A677&lt;Visualisation!$D$1),MAX($V$1:V676)+1,"")</f>
        <v/>
      </c>
    </row>
    <row r="678" spans="1:22" x14ac:dyDescent="0.25">
      <c r="A678" s="9">
        <v>46023</v>
      </c>
      <c r="B678" s="4" t="s">
        <v>76</v>
      </c>
      <c r="C678" s="4" t="s">
        <v>67</v>
      </c>
      <c r="D678" s="4" t="s">
        <v>77</v>
      </c>
      <c r="E678" s="10">
        <v>153.3</v>
      </c>
      <c r="G678" s="4" t="s">
        <v>78</v>
      </c>
      <c r="H678" s="4"/>
      <c r="I678" s="4" t="s">
        <v>73</v>
      </c>
      <c r="K678" s="11">
        <f>IF($E678="","",ROUND($E678*IF(ISNA(MATCH($C678,'Paramètres'!$D:$D,0)),1,IF(INDEX('Paramètres'!$J:$J,MATCH($C678,'Paramètres'!$D:$D,0))="",1,INDEX('Paramètres'!$J:$J,MATCH($C678,'Paramètres'!$D:$D,0)))),2))</f>
        <v>76.65</v>
      </c>
      <c r="L678" s="6" t="str">
        <f>IF($D678="","",IF($F678&lt;&gt;"",$F678,IF(ISNA(MATCH($D678,'Paramètres'!$M:$M,0)),"⚠ Type inconnu",IFERROR(INDEX('Paramètres'!$P:$P,MATCH($D678,'Paramètres'!$M:$M,0))&amp;"",""))))</f>
        <v>Débit</v>
      </c>
      <c r="M678" s="6" t="str">
        <f>IF($D678="","",IF(ISNA(MATCH($D678,'Paramètres'!$M:$M,0)),"⚠ Type inconnu",IF($L678="Crédit","",IFERROR(INDEX('Paramètres'!$O:$O,MATCH($D678,'Paramètres'!$M:$M,0))&amp;"",""))))</f>
        <v>Dépense Courante</v>
      </c>
      <c r="N678" s="6" t="str">
        <f>IF($D678="","",IFERROR(INDEX('Paramètres'!$Q:$Q,MATCH($D678,'Paramètres'!$M:$M,0))&amp;"",""))</f>
        <v>Alimentation</v>
      </c>
      <c r="O678" s="6">
        <f>IF($A678="","",IF(OR($J678&lt;&gt;"x",$A678&lt;=FinReleve),1,0))</f>
        <v>1</v>
      </c>
      <c r="P678" s="6">
        <f>IF($D678="","",IF(AND($L678="Crédit",OR(IFERROR(INDEX('Paramètres'!$O:$O,MATCH($D678,'Paramètres'!$M:$M,0))&amp;"","")&lt;&gt;"",ISNUMBER(SEARCH("remboursement",IFERROR(INDEX('Paramètres'!$N:$N,MATCH($D678,'Paramètres'!$M:$M,0))&amp;"",""))))),1,0))</f>
        <v>0</v>
      </c>
      <c r="Q678" s="6">
        <f>IF($K678="","",IF(ISNUMBER(SEARCH("transfert-interne",IFERROR(INDEX('Paramètres'!$N:$N,MATCH($D678,'Paramètres'!$M:$M,0))&amp;"",""))),0,IF($L678="Débit",$K678,IF($P678=1,-$K678,0))))</f>
        <v>76.65</v>
      </c>
      <c r="R678" s="6">
        <f>IF($K678="","",IF($L678="Crédit",$K678,-$K678))</f>
        <v>-76.65</v>
      </c>
      <c r="S678" s="6" t="str">
        <f>IF($C678="","",IFERROR(INDEX('Paramètres'!$H:$H,MATCH($C678,'Paramètres'!$D:$D,0))&amp;"",""))</f>
        <v>Banque A - Courant</v>
      </c>
      <c r="T678" s="6">
        <f>IF($K678="","",IF($S678="",0,IF(ISNUMBER(SEARCH("apport-exterieur",IFERROR(INDEX('Paramètres'!$N:$N,MATCH($D678,'Paramètres'!$M:$M,0))&amp;"",""))),0,IF(OR(IFERROR(INDEX('Paramètres'!$I:$I,MATCH($C678,'Paramètres'!$D:$D,0))&amp;"","")="Les deux",IFERROR(INDEX('Paramètres'!$I:$I,MATCH($C678,'Paramètres'!$D:$D,0))&amp;"","")=IF($P678=1,"Débit",$L678)),-IF($P678=1,-$K678,$K678),0))))</f>
        <v>0</v>
      </c>
      <c r="U678" s="6">
        <f>IF($K678="","",IF(ISNUMBER(SEARCH("sortie-epargne",IFERROR(INDEX('Paramètres'!$N:$N,MATCH($D678,'Paramètres'!$M:$M,0))&amp;"",""))),$K678,0))</f>
        <v>0</v>
      </c>
      <c r="V678" s="6" t="str">
        <f>IF(AND($A678&lt;&gt;"",$O678=1,$L678="Débit",N($Q678)&gt;0,$A678&gt;=Visualisation!$B$1,$A678&lt;Visualisation!$D$1),MAX($V$1:V677)+1,"")</f>
        <v/>
      </c>
    </row>
    <row r="679" spans="1:22" x14ac:dyDescent="0.25">
      <c r="A679" s="9">
        <v>46024</v>
      </c>
      <c r="B679" s="4" t="s">
        <v>64</v>
      </c>
      <c r="C679" s="4" t="s">
        <v>65</v>
      </c>
      <c r="D679" s="4" t="s">
        <v>66</v>
      </c>
      <c r="E679" s="10">
        <v>1160</v>
      </c>
      <c r="G679" s="4"/>
      <c r="H679" s="4"/>
      <c r="I679" s="4"/>
      <c r="K679" s="11">
        <f>IF($E679="","",ROUND($E679*IF(ISNA(MATCH($C679,'Paramètres'!$D:$D,0)),1,IF(INDEX('Paramètres'!$J:$J,MATCH($C679,'Paramètres'!$D:$D,0))="",1,INDEX('Paramètres'!$J:$J,MATCH($C679,'Paramètres'!$D:$D,0)))),2))</f>
        <v>1160</v>
      </c>
      <c r="L679" s="6" t="str">
        <f>IF($D679="","",IF($F679&lt;&gt;"",$F679,IF(ISNA(MATCH($D679,'Paramètres'!$M:$M,0)),"⚠ Type inconnu",IFERROR(INDEX('Paramètres'!$P:$P,MATCH($D679,'Paramètres'!$M:$M,0))&amp;"",""))))</f>
        <v>Crédit</v>
      </c>
      <c r="M679" s="6" t="str">
        <f>IF($D679="","",IF(ISNA(MATCH($D679,'Paramètres'!$M:$M,0)),"⚠ Type inconnu",IF($L679="Crédit","",IFERROR(INDEX('Paramètres'!$O:$O,MATCH($D679,'Paramètres'!$M:$M,0))&amp;"",""))))</f>
        <v/>
      </c>
      <c r="N679" s="6" t="str">
        <f>IF($D679="","",IFERROR(INDEX('Paramètres'!$Q:$Q,MATCH($D679,'Paramètres'!$M:$M,0))&amp;"",""))</f>
        <v>Comptes Bancaires</v>
      </c>
      <c r="O679" s="6">
        <f>IF($A679="","",IF(OR($J679&lt;&gt;"x",$A679&lt;=FinReleve),1,0))</f>
        <v>1</v>
      </c>
      <c r="P679" s="6">
        <f>IF($D679="","",IF(AND($L679="Crédit",OR(IFERROR(INDEX('Paramètres'!$O:$O,MATCH($D679,'Paramètres'!$M:$M,0))&amp;"","")&lt;&gt;"",ISNUMBER(SEARCH("remboursement",IFERROR(INDEX('Paramètres'!$N:$N,MATCH($D679,'Paramètres'!$M:$M,0))&amp;"",""))))),1,0))</f>
        <v>0</v>
      </c>
      <c r="Q679" s="6">
        <f>IF($K679="","",IF(ISNUMBER(SEARCH("transfert-interne",IFERROR(INDEX('Paramètres'!$N:$N,MATCH($D679,'Paramètres'!$M:$M,0))&amp;"",""))),0,IF($L679="Débit",$K679,IF($P679=1,-$K679,0))))</f>
        <v>0</v>
      </c>
      <c r="R679" s="6">
        <f>IF($K679="","",IF($L679="Crédit",$K679,-$K679))</f>
        <v>1160</v>
      </c>
      <c r="S679" s="6" t="str">
        <f>IF($C679="","",IFERROR(INDEX('Paramètres'!$H:$H,MATCH($C679,'Paramètres'!$D:$D,0))&amp;"",""))</f>
        <v>Banque A - Courant</v>
      </c>
      <c r="T679" s="6">
        <f>IF($K679="","",IF($S679="",0,IF(ISNUMBER(SEARCH("apport-exterieur",IFERROR(INDEX('Paramètres'!$N:$N,MATCH($D679,'Paramètres'!$M:$M,0))&amp;"",""))),0,IF(OR(IFERROR(INDEX('Paramètres'!$I:$I,MATCH($C679,'Paramètres'!$D:$D,0))&amp;"","")="Les deux",IFERROR(INDEX('Paramètres'!$I:$I,MATCH($C679,'Paramètres'!$D:$D,0))&amp;"","")=IF($P679=1,"Débit",$L679)),-IF($P679=1,-$K679,$K679),0))))</f>
        <v>-1160</v>
      </c>
      <c r="U679" s="6">
        <f>IF($K679="","",IF(ISNUMBER(SEARCH("sortie-epargne",IFERROR(INDEX('Paramètres'!$N:$N,MATCH($D679,'Paramètres'!$M:$M,0))&amp;"",""))),$K679,0))</f>
        <v>0</v>
      </c>
      <c r="V679" s="6" t="str">
        <f>IF(AND($A679&lt;&gt;"",$O679=1,$L679="Débit",N($Q679)&gt;0,$A679&gt;=Visualisation!$B$1,$A679&lt;Visualisation!$D$1),MAX($V$1:V678)+1,"")</f>
        <v/>
      </c>
    </row>
    <row r="680" spans="1:22" x14ac:dyDescent="0.25">
      <c r="A680" s="9">
        <v>46024</v>
      </c>
      <c r="B680" s="4" t="s">
        <v>64</v>
      </c>
      <c r="C680" s="4" t="s">
        <v>67</v>
      </c>
      <c r="D680" s="4" t="s">
        <v>68</v>
      </c>
      <c r="E680" s="10">
        <v>600</v>
      </c>
      <c r="G680" s="4"/>
      <c r="H680" s="4"/>
      <c r="I680" s="4"/>
      <c r="K680" s="11">
        <f>IF($E680="","",ROUND($E680*IF(ISNA(MATCH($C680,'Paramètres'!$D:$D,0)),1,IF(INDEX('Paramètres'!$J:$J,MATCH($C680,'Paramètres'!$D:$D,0))="",1,INDEX('Paramètres'!$J:$J,MATCH($C680,'Paramètres'!$D:$D,0)))),2))</f>
        <v>300</v>
      </c>
      <c r="L680" s="6" t="str">
        <f>IF($D680="","",IF($F680&lt;&gt;"",$F680,IF(ISNA(MATCH($D680,'Paramètres'!$M:$M,0)),"⚠ Type inconnu",IFERROR(INDEX('Paramètres'!$P:$P,MATCH($D680,'Paramètres'!$M:$M,0))&amp;"",""))))</f>
        <v>Crédit</v>
      </c>
      <c r="M680" s="6" t="str">
        <f>IF($D680="","",IF(ISNA(MATCH($D680,'Paramètres'!$M:$M,0)),"⚠ Type inconnu",IF($L680="Crédit","",IFERROR(INDEX('Paramètres'!$O:$O,MATCH($D680,'Paramètres'!$M:$M,0))&amp;"",""))))</f>
        <v/>
      </c>
      <c r="N680" s="6" t="str">
        <f>IF($D680="","",IFERROR(INDEX('Paramètres'!$Q:$Q,MATCH($D680,'Paramètres'!$M:$M,0))&amp;"",""))</f>
        <v>Comptes Bancaires</v>
      </c>
      <c r="O680" s="6">
        <f>IF($A680="","",IF(OR($J680&lt;&gt;"x",$A680&lt;=FinReleve),1,0))</f>
        <v>1</v>
      </c>
      <c r="P680" s="6">
        <f>IF($D680="","",IF(AND($L680="Crédit",OR(IFERROR(INDEX('Paramètres'!$O:$O,MATCH($D680,'Paramètres'!$M:$M,0))&amp;"","")&lt;&gt;"",ISNUMBER(SEARCH("remboursement",IFERROR(INDEX('Paramètres'!$N:$N,MATCH($D680,'Paramètres'!$M:$M,0))&amp;"",""))))),1,0))</f>
        <v>0</v>
      </c>
      <c r="Q680" s="6">
        <f>IF($K680="","",IF(ISNUMBER(SEARCH("transfert-interne",IFERROR(INDEX('Paramètres'!$N:$N,MATCH($D680,'Paramètres'!$M:$M,0))&amp;"",""))),0,IF($L680="Débit",$K680,IF($P680=1,-$K680,0))))</f>
        <v>0</v>
      </c>
      <c r="R680" s="6">
        <f>IF($K680="","",IF($L680="Crédit",$K680,-$K680))</f>
        <v>300</v>
      </c>
      <c r="S680" s="6" t="str">
        <f>IF($C680="","",IFERROR(INDEX('Paramètres'!$H:$H,MATCH($C680,'Paramètres'!$D:$D,0))&amp;"",""))</f>
        <v>Banque A - Courant</v>
      </c>
      <c r="T680" s="6">
        <f>IF($K680="","",IF($S680="",0,IF(ISNUMBER(SEARCH("apport-exterieur",IFERROR(INDEX('Paramètres'!$N:$N,MATCH($D680,'Paramètres'!$M:$M,0))&amp;"",""))),0,IF(OR(IFERROR(INDEX('Paramètres'!$I:$I,MATCH($C680,'Paramètres'!$D:$D,0))&amp;"","")="Les deux",IFERROR(INDEX('Paramètres'!$I:$I,MATCH($C680,'Paramètres'!$D:$D,0))&amp;"","")=IF($P680=1,"Débit",$L680)),-IF($P680=1,-$K680,$K680),0))))</f>
        <v>-300</v>
      </c>
      <c r="U680" s="6">
        <f>IF($K680="","",IF(ISNUMBER(SEARCH("sortie-epargne",IFERROR(INDEX('Paramètres'!$N:$N,MATCH($D680,'Paramètres'!$M:$M,0))&amp;"",""))),$K680,0))</f>
        <v>0</v>
      </c>
      <c r="V680" s="6" t="str">
        <f>IF(AND($A680&lt;&gt;"",$O680=1,$L680="Débit",N($Q680)&gt;0,$A680&gt;=Visualisation!$B$1,$A680&lt;Visualisation!$D$1),MAX($V$1:V679)+1,"")</f>
        <v/>
      </c>
    </row>
    <row r="681" spans="1:22" x14ac:dyDescent="0.25">
      <c r="A681" s="9">
        <v>46025</v>
      </c>
      <c r="B681" s="4" t="s">
        <v>74</v>
      </c>
      <c r="C681" s="4" t="s">
        <v>75</v>
      </c>
      <c r="D681" s="4" t="s">
        <v>74</v>
      </c>
      <c r="E681" s="10">
        <v>88.8</v>
      </c>
      <c r="G681" s="4"/>
      <c r="H681" s="4"/>
      <c r="I681" s="4"/>
      <c r="K681" s="11">
        <f>IF($E681="","",ROUND($E681*IF(ISNA(MATCH($C681,'Paramètres'!$D:$D,0)),1,IF(INDEX('Paramètres'!$J:$J,MATCH($C681,'Paramètres'!$D:$D,0))="",1,INDEX('Paramètres'!$J:$J,MATCH($C681,'Paramètres'!$D:$D,0)))),2))</f>
        <v>88.8</v>
      </c>
      <c r="L681" s="6" t="str">
        <f>IF($D681="","",IF($F681&lt;&gt;"",$F681,IF(ISNA(MATCH($D681,'Paramètres'!$M:$M,0)),"⚠ Type inconnu",IFERROR(INDEX('Paramètres'!$P:$P,MATCH($D681,'Paramètres'!$M:$M,0))&amp;"",""))))</f>
        <v>Débit</v>
      </c>
      <c r="M681" s="6" t="str">
        <f>IF($D681="","",IF(ISNA(MATCH($D681,'Paramètres'!$M:$M,0)),"⚠ Type inconnu",IF($L681="Crédit","",IFERROR(INDEX('Paramètres'!$O:$O,MATCH($D681,'Paramètres'!$M:$M,0))&amp;"",""))))</f>
        <v>Dépense Fixe</v>
      </c>
      <c r="N681" s="6" t="str">
        <f>IF($D681="","",IFERROR(INDEX('Paramètres'!$Q:$Q,MATCH($D681,'Paramètres'!$M:$M,0))&amp;"",""))</f>
        <v>Transport</v>
      </c>
      <c r="O681" s="6">
        <f>IF($A681="","",IF(OR($J681&lt;&gt;"x",$A681&lt;=FinReleve),1,0))</f>
        <v>1</v>
      </c>
      <c r="P681" s="6">
        <f>IF($D681="","",IF(AND($L681="Crédit",OR(IFERROR(INDEX('Paramètres'!$O:$O,MATCH($D681,'Paramètres'!$M:$M,0))&amp;"","")&lt;&gt;"",ISNUMBER(SEARCH("remboursement",IFERROR(INDEX('Paramètres'!$N:$N,MATCH($D681,'Paramètres'!$M:$M,0))&amp;"",""))))),1,0))</f>
        <v>0</v>
      </c>
      <c r="Q681" s="6">
        <f>IF($K681="","",IF(ISNUMBER(SEARCH("transfert-interne",IFERROR(INDEX('Paramètres'!$N:$N,MATCH($D681,'Paramètres'!$M:$M,0))&amp;"",""))),0,IF($L681="Débit",$K681,IF($P681=1,-$K681,0))))</f>
        <v>88.8</v>
      </c>
      <c r="R681" s="6">
        <f>IF($K681="","",IF($L681="Crédit",$K681,-$K681))</f>
        <v>-88.8</v>
      </c>
      <c r="S681" s="6" t="str">
        <f>IF($C681="","",IFERROR(INDEX('Paramètres'!$H:$H,MATCH($C681,'Paramètres'!$D:$D,0))&amp;"",""))</f>
        <v/>
      </c>
      <c r="T681" s="6">
        <f>IF($K681="","",IF($S681="",0,IF(ISNUMBER(SEARCH("apport-exterieur",IFERROR(INDEX('Paramètres'!$N:$N,MATCH($D681,'Paramètres'!$M:$M,0))&amp;"",""))),0,IF(OR(IFERROR(INDEX('Paramètres'!$I:$I,MATCH($C681,'Paramètres'!$D:$D,0))&amp;"","")="Les deux",IFERROR(INDEX('Paramètres'!$I:$I,MATCH($C681,'Paramètres'!$D:$D,0))&amp;"","")=IF($P681=1,"Débit",$L681)),-IF($P681=1,-$K681,$K681),0))))</f>
        <v>0</v>
      </c>
      <c r="U681" s="6">
        <f>IF($K681="","",IF(ISNUMBER(SEARCH("sortie-epargne",IFERROR(INDEX('Paramètres'!$N:$N,MATCH($D681,'Paramètres'!$M:$M,0))&amp;"",""))),$K681,0))</f>
        <v>0</v>
      </c>
      <c r="V681" s="6" t="str">
        <f>IF(AND($A681&lt;&gt;"",$O681=1,$L681="Débit",N($Q681)&gt;0,$A681&gt;=Visualisation!$B$1,$A681&lt;Visualisation!$D$1),MAX($V$1:V680)+1,"")</f>
        <v/>
      </c>
    </row>
    <row r="682" spans="1:22" x14ac:dyDescent="0.25">
      <c r="A682" s="9">
        <v>46026</v>
      </c>
      <c r="B682" s="4" t="s">
        <v>76</v>
      </c>
      <c r="C682" s="4" t="s">
        <v>60</v>
      </c>
      <c r="D682" s="4" t="s">
        <v>77</v>
      </c>
      <c r="E682" s="10">
        <v>28.06</v>
      </c>
      <c r="G682" s="4" t="s">
        <v>98</v>
      </c>
      <c r="H682" s="4"/>
      <c r="I682" s="4" t="s">
        <v>73</v>
      </c>
      <c r="K682" s="11">
        <f>IF($E682="","",ROUND($E682*IF(ISNA(MATCH($C682,'Paramètres'!$D:$D,0)),1,IF(INDEX('Paramètres'!$J:$J,MATCH($C682,'Paramètres'!$D:$D,0))="",1,INDEX('Paramètres'!$J:$J,MATCH($C682,'Paramètres'!$D:$D,0)))),2))</f>
        <v>14.03</v>
      </c>
      <c r="L682" s="6" t="str">
        <f>IF($D682="","",IF($F682&lt;&gt;"",$F682,IF(ISNA(MATCH($D682,'Paramètres'!$M:$M,0)),"⚠ Type inconnu",IFERROR(INDEX('Paramètres'!$P:$P,MATCH($D682,'Paramètres'!$M:$M,0))&amp;"",""))))</f>
        <v>Débit</v>
      </c>
      <c r="M682" s="6" t="str">
        <f>IF($D682="","",IF(ISNA(MATCH($D682,'Paramètres'!$M:$M,0)),"⚠ Type inconnu",IF($L682="Crédit","",IFERROR(INDEX('Paramètres'!$O:$O,MATCH($D682,'Paramètres'!$M:$M,0))&amp;"",""))))</f>
        <v>Dépense Courante</v>
      </c>
      <c r="N682" s="6" t="str">
        <f>IF($D682="","",IFERROR(INDEX('Paramètres'!$Q:$Q,MATCH($D682,'Paramètres'!$M:$M,0))&amp;"",""))</f>
        <v>Alimentation</v>
      </c>
      <c r="O682" s="6">
        <f>IF($A682="","",IF(OR($J682&lt;&gt;"x",$A682&lt;=FinReleve),1,0))</f>
        <v>1</v>
      </c>
      <c r="P682" s="6">
        <f>IF($D682="","",IF(AND($L682="Crédit",OR(IFERROR(INDEX('Paramètres'!$O:$O,MATCH($D682,'Paramètres'!$M:$M,0))&amp;"","")&lt;&gt;"",ISNUMBER(SEARCH("remboursement",IFERROR(INDEX('Paramètres'!$N:$N,MATCH($D682,'Paramètres'!$M:$M,0))&amp;"",""))))),1,0))</f>
        <v>0</v>
      </c>
      <c r="Q682" s="6">
        <f>IF($K682="","",IF(ISNUMBER(SEARCH("transfert-interne",IFERROR(INDEX('Paramètres'!$N:$N,MATCH($D682,'Paramètres'!$M:$M,0))&amp;"",""))),0,IF($L682="Débit",$K682,IF($P682=1,-$K682,0))))</f>
        <v>14.03</v>
      </c>
      <c r="R682" s="6">
        <f>IF($K682="","",IF($L682="Crédit",$K682,-$K682))</f>
        <v>-14.03</v>
      </c>
      <c r="S682" s="6" t="str">
        <f>IF($C682="","",IFERROR(INDEX('Paramètres'!$H:$H,MATCH($C682,'Paramètres'!$D:$D,0))&amp;"",""))</f>
        <v>Banque A - Courant</v>
      </c>
      <c r="T682" s="6">
        <f>IF($K682="","",IF($S682="",0,IF(ISNUMBER(SEARCH("apport-exterieur",IFERROR(INDEX('Paramètres'!$N:$N,MATCH($D682,'Paramètres'!$M:$M,0))&amp;"",""))),0,IF(OR(IFERROR(INDEX('Paramètres'!$I:$I,MATCH($C682,'Paramètres'!$D:$D,0))&amp;"","")="Les deux",IFERROR(INDEX('Paramètres'!$I:$I,MATCH($C682,'Paramètres'!$D:$D,0))&amp;"","")=IF($P682=1,"Débit",$L682)),-IF($P682=1,-$K682,$K682),0))))</f>
        <v>-14.03</v>
      </c>
      <c r="U682" s="6">
        <f>IF($K682="","",IF(ISNUMBER(SEARCH("sortie-epargne",IFERROR(INDEX('Paramètres'!$N:$N,MATCH($D682,'Paramètres'!$M:$M,0))&amp;"",""))),$K682,0))</f>
        <v>0</v>
      </c>
      <c r="V682" s="6" t="str">
        <f>IF(AND($A682&lt;&gt;"",$O682=1,$L682="Débit",N($Q682)&gt;0,$A682&gt;=Visualisation!$B$1,$A682&lt;Visualisation!$D$1),MAX($V$1:V681)+1,"")</f>
        <v/>
      </c>
    </row>
    <row r="683" spans="1:22" x14ac:dyDescent="0.25">
      <c r="A683" s="9">
        <v>46026</v>
      </c>
      <c r="B683" s="4" t="s">
        <v>69</v>
      </c>
      <c r="C683" s="4" t="s">
        <v>70</v>
      </c>
      <c r="D683" s="4" t="s">
        <v>71</v>
      </c>
      <c r="E683" s="10">
        <v>12.34</v>
      </c>
      <c r="G683" s="4" t="s">
        <v>72</v>
      </c>
      <c r="H683" s="4"/>
      <c r="I683" s="4" t="s">
        <v>93</v>
      </c>
      <c r="K683" s="11">
        <f>IF($E683="","",ROUND($E683*IF(ISNA(MATCH($C683,'Paramètres'!$D:$D,0)),1,IF(INDEX('Paramètres'!$J:$J,MATCH($C683,'Paramètres'!$D:$D,0))="",1,INDEX('Paramètres'!$J:$J,MATCH($C683,'Paramètres'!$D:$D,0)))),2))</f>
        <v>12.34</v>
      </c>
      <c r="L683" s="6" t="str">
        <f>IF($D683="","",IF($F683&lt;&gt;"",$F683,IF(ISNA(MATCH($D683,'Paramètres'!$M:$M,0)),"⚠ Type inconnu",IFERROR(INDEX('Paramètres'!$P:$P,MATCH($D683,'Paramètres'!$M:$M,0))&amp;"",""))))</f>
        <v>Débit</v>
      </c>
      <c r="M683" s="6" t="str">
        <f>IF($D683="","",IF(ISNA(MATCH($D683,'Paramètres'!$M:$M,0)),"⚠ Type inconnu",IF($L683="Crédit","",IFERROR(INDEX('Paramètres'!$O:$O,MATCH($D683,'Paramètres'!$M:$M,0))&amp;"",""))))</f>
        <v>Dépense Courante</v>
      </c>
      <c r="N683" s="6" t="str">
        <f>IF($D683="","",IFERROR(INDEX('Paramètres'!$Q:$Q,MATCH($D683,'Paramètres'!$M:$M,0))&amp;"",""))</f>
        <v>Alimentation</v>
      </c>
      <c r="O683" s="6">
        <f>IF($A683="","",IF(OR($J683&lt;&gt;"x",$A683&lt;=FinReleve),1,0))</f>
        <v>1</v>
      </c>
      <c r="P683" s="6">
        <f>IF($D683="","",IF(AND($L683="Crédit",OR(IFERROR(INDEX('Paramètres'!$O:$O,MATCH($D683,'Paramètres'!$M:$M,0))&amp;"","")&lt;&gt;"",ISNUMBER(SEARCH("remboursement",IFERROR(INDEX('Paramètres'!$N:$N,MATCH($D683,'Paramètres'!$M:$M,0))&amp;"",""))))),1,0))</f>
        <v>0</v>
      </c>
      <c r="Q683" s="6">
        <f>IF($K683="","",IF(ISNUMBER(SEARCH("transfert-interne",IFERROR(INDEX('Paramètres'!$N:$N,MATCH($D683,'Paramètres'!$M:$M,0))&amp;"",""))),0,IF($L683="Débit",$K683,IF($P683=1,-$K683,0))))</f>
        <v>12.34</v>
      </c>
      <c r="R683" s="6">
        <f>IF($K683="","",IF($L683="Crédit",$K683,-$K683))</f>
        <v>-12.34</v>
      </c>
      <c r="S683" s="6" t="str">
        <f>IF($C683="","",IFERROR(INDEX('Paramètres'!$H:$H,MATCH($C683,'Paramètres'!$D:$D,0))&amp;"",""))</f>
        <v/>
      </c>
      <c r="T683" s="6">
        <f>IF($K683="","",IF($S683="",0,IF(ISNUMBER(SEARCH("apport-exterieur",IFERROR(INDEX('Paramètres'!$N:$N,MATCH($D683,'Paramètres'!$M:$M,0))&amp;"",""))),0,IF(OR(IFERROR(INDEX('Paramètres'!$I:$I,MATCH($C683,'Paramètres'!$D:$D,0))&amp;"","")="Les deux",IFERROR(INDEX('Paramètres'!$I:$I,MATCH($C683,'Paramètres'!$D:$D,0))&amp;"","")=IF($P683=1,"Débit",$L683)),-IF($P683=1,-$K683,$K683),0))))</f>
        <v>0</v>
      </c>
      <c r="U683" s="6">
        <f>IF($K683="","",IF(ISNUMBER(SEARCH("sortie-epargne",IFERROR(INDEX('Paramètres'!$N:$N,MATCH($D683,'Paramètres'!$M:$M,0))&amp;"",""))),$K683,0))</f>
        <v>0</v>
      </c>
      <c r="V683" s="6" t="str">
        <f>IF(AND($A683&lt;&gt;"",$O683=1,$L683="Débit",N($Q683)&gt;0,$A683&gt;=Visualisation!$B$1,$A683&lt;Visualisation!$D$1),MAX($V$1:V682)+1,"")</f>
        <v/>
      </c>
    </row>
    <row r="684" spans="1:22" x14ac:dyDescent="0.25">
      <c r="A684" s="9">
        <v>46026</v>
      </c>
      <c r="B684" s="4" t="s">
        <v>80</v>
      </c>
      <c r="C684" s="4" t="s">
        <v>70</v>
      </c>
      <c r="D684" s="4" t="s">
        <v>81</v>
      </c>
      <c r="E684" s="10">
        <v>127.62</v>
      </c>
      <c r="G684" s="4"/>
      <c r="H684" s="4"/>
      <c r="I684" s="4"/>
      <c r="K684" s="11">
        <f>IF($E684="","",ROUND($E684*IF(ISNA(MATCH($C684,'Paramètres'!$D:$D,0)),1,IF(INDEX('Paramètres'!$J:$J,MATCH($C684,'Paramètres'!$D:$D,0))="",1,INDEX('Paramètres'!$J:$J,MATCH($C684,'Paramètres'!$D:$D,0)))),2))</f>
        <v>127.62</v>
      </c>
      <c r="L684" s="6" t="str">
        <f>IF($D684="","",IF($F684&lt;&gt;"",$F684,IF(ISNA(MATCH($D684,'Paramètres'!$M:$M,0)),"⚠ Type inconnu",IFERROR(INDEX('Paramètres'!$P:$P,MATCH($D684,'Paramètres'!$M:$M,0))&amp;"",""))))</f>
        <v>Crédit</v>
      </c>
      <c r="M684" s="6" t="str">
        <f>IF($D684="","",IF(ISNA(MATCH($D684,'Paramètres'!$M:$M,0)),"⚠ Type inconnu",IF($L684="Crédit","",IFERROR(INDEX('Paramètres'!$O:$O,MATCH($D684,'Paramètres'!$M:$M,0))&amp;"",""))))</f>
        <v/>
      </c>
      <c r="N684" s="6" t="str">
        <f>IF($D684="","",IFERROR(INDEX('Paramètres'!$Q:$Q,MATCH($D684,'Paramètres'!$M:$M,0))&amp;"",""))</f>
        <v>Comptes Bancaires</v>
      </c>
      <c r="O684" s="6">
        <f>IF($A684="","",IF(OR($J684&lt;&gt;"x",$A684&lt;=FinReleve),1,0))</f>
        <v>1</v>
      </c>
      <c r="P684" s="6">
        <f>IF($D684="","",IF(AND($L684="Crédit",OR(IFERROR(INDEX('Paramètres'!$O:$O,MATCH($D684,'Paramètres'!$M:$M,0))&amp;"","")&lt;&gt;"",ISNUMBER(SEARCH("remboursement",IFERROR(INDEX('Paramètres'!$N:$N,MATCH($D684,'Paramètres'!$M:$M,0))&amp;"",""))))),1,0))</f>
        <v>0</v>
      </c>
      <c r="Q684" s="6">
        <f>IF($K684="","",IF(ISNUMBER(SEARCH("transfert-interne",IFERROR(INDEX('Paramètres'!$N:$N,MATCH($D684,'Paramètres'!$M:$M,0))&amp;"",""))),0,IF($L684="Débit",$K684,IF($P684=1,-$K684,0))))</f>
        <v>0</v>
      </c>
      <c r="R684" s="6">
        <f>IF($K684="","",IF($L684="Crédit",$K684,-$K684))</f>
        <v>127.62</v>
      </c>
      <c r="S684" s="6" t="str">
        <f>IF($C684="","",IFERROR(INDEX('Paramètres'!$H:$H,MATCH($C684,'Paramètres'!$D:$D,0))&amp;"",""))</f>
        <v/>
      </c>
      <c r="T684" s="6">
        <f>IF($K684="","",IF($S684="",0,IF(ISNUMBER(SEARCH("apport-exterieur",IFERROR(INDEX('Paramètres'!$N:$N,MATCH($D684,'Paramètres'!$M:$M,0))&amp;"",""))),0,IF(OR(IFERROR(INDEX('Paramètres'!$I:$I,MATCH($C684,'Paramètres'!$D:$D,0))&amp;"","")="Les deux",IFERROR(INDEX('Paramètres'!$I:$I,MATCH($C684,'Paramètres'!$D:$D,0))&amp;"","")=IF($P684=1,"Débit",$L684)),-IF($P684=1,-$K684,$K684),0))))</f>
        <v>0</v>
      </c>
      <c r="U684" s="6">
        <f>IF($K684="","",IF(ISNUMBER(SEARCH("sortie-epargne",IFERROR(INDEX('Paramètres'!$N:$N,MATCH($D684,'Paramètres'!$M:$M,0))&amp;"",""))),$K684,0))</f>
        <v>0</v>
      </c>
      <c r="V684" s="6" t="str">
        <f>IF(AND($A684&lt;&gt;"",$O684=1,$L684="Débit",N($Q684)&gt;0,$A684&gt;=Visualisation!$B$1,$A684&lt;Visualisation!$D$1),MAX($V$1:V683)+1,"")</f>
        <v/>
      </c>
    </row>
    <row r="685" spans="1:22" x14ac:dyDescent="0.25">
      <c r="A685" s="9">
        <v>46027</v>
      </c>
      <c r="B685" s="4" t="s">
        <v>82</v>
      </c>
      <c r="C685" s="4" t="s">
        <v>65</v>
      </c>
      <c r="D685" s="4" t="s">
        <v>83</v>
      </c>
      <c r="E685" s="10">
        <v>661.18</v>
      </c>
      <c r="G685" s="4" t="s">
        <v>84</v>
      </c>
      <c r="H685" s="4"/>
      <c r="I685" s="4"/>
      <c r="K685" s="11">
        <f>IF($E685="","",ROUND($E685*IF(ISNA(MATCH($C685,'Paramètres'!$D:$D,0)),1,IF(INDEX('Paramètres'!$J:$J,MATCH($C685,'Paramètres'!$D:$D,0))="",1,INDEX('Paramètres'!$J:$J,MATCH($C685,'Paramètres'!$D:$D,0)))),2))</f>
        <v>661.18</v>
      </c>
      <c r="L685" s="6" t="str">
        <f>IF($D685="","",IF($F685&lt;&gt;"",$F685,IF(ISNA(MATCH($D685,'Paramètres'!$M:$M,0)),"⚠ Type inconnu",IFERROR(INDEX('Paramètres'!$P:$P,MATCH($D685,'Paramètres'!$M:$M,0))&amp;"",""))))</f>
        <v>Débit</v>
      </c>
      <c r="M685" s="6" t="str">
        <f>IF($D685="","",IF(ISNA(MATCH($D685,'Paramètres'!$M:$M,0)),"⚠ Type inconnu",IF($L685="Crédit","",IFERROR(INDEX('Paramètres'!$O:$O,MATCH($D685,'Paramètres'!$M:$M,0))&amp;"",""))))</f>
        <v/>
      </c>
      <c r="N685" s="6" t="str">
        <f>IF($D685="","",IFERROR(INDEX('Paramètres'!$Q:$Q,MATCH($D685,'Paramètres'!$M:$M,0))&amp;"",""))</f>
        <v>Immobilier</v>
      </c>
      <c r="O685" s="6">
        <f>IF($A685="","",IF(OR($J685&lt;&gt;"x",$A685&lt;=FinReleve),1,0))</f>
        <v>1</v>
      </c>
      <c r="P685" s="6">
        <f>IF($D685="","",IF(AND($L685="Crédit",OR(IFERROR(INDEX('Paramètres'!$O:$O,MATCH($D685,'Paramètres'!$M:$M,0))&amp;"","")&lt;&gt;"",ISNUMBER(SEARCH("remboursement",IFERROR(INDEX('Paramètres'!$N:$N,MATCH($D685,'Paramètres'!$M:$M,0))&amp;"",""))))),1,0))</f>
        <v>0</v>
      </c>
      <c r="Q685" s="6">
        <f>IF($K685="","",IF(ISNUMBER(SEARCH("transfert-interne",IFERROR(INDEX('Paramètres'!$N:$N,MATCH($D685,'Paramètres'!$M:$M,0))&amp;"",""))),0,IF($L685="Débit",$K685,IF($P685=1,-$K685,0))))</f>
        <v>661.18</v>
      </c>
      <c r="R685" s="6">
        <f>IF($K685="","",IF($L685="Crédit",$K685,-$K685))</f>
        <v>-661.18</v>
      </c>
      <c r="S685" s="6" t="str">
        <f>IF($C685="","",IFERROR(INDEX('Paramètres'!$H:$H,MATCH($C685,'Paramètres'!$D:$D,0))&amp;"",""))</f>
        <v>Banque A - Courant</v>
      </c>
      <c r="T685" s="6">
        <f>IF($K685="","",IF($S685="",0,IF(ISNUMBER(SEARCH("apport-exterieur",IFERROR(INDEX('Paramètres'!$N:$N,MATCH($D685,'Paramètres'!$M:$M,0))&amp;"",""))),0,IF(OR(IFERROR(INDEX('Paramètres'!$I:$I,MATCH($C685,'Paramètres'!$D:$D,0))&amp;"","")="Les deux",IFERROR(INDEX('Paramètres'!$I:$I,MATCH($C685,'Paramètres'!$D:$D,0))&amp;"","")=IF($P685=1,"Débit",$L685)),-IF($P685=1,-$K685,$K685),0))))</f>
        <v>0</v>
      </c>
      <c r="U685" s="6">
        <f>IF($K685="","",IF(ISNUMBER(SEARCH("sortie-epargne",IFERROR(INDEX('Paramètres'!$N:$N,MATCH($D685,'Paramètres'!$M:$M,0))&amp;"",""))),$K685,0))</f>
        <v>0</v>
      </c>
      <c r="V685" s="6" t="str">
        <f>IF(AND($A685&lt;&gt;"",$O685=1,$L685="Débit",N($Q685)&gt;0,$A685&gt;=Visualisation!$B$1,$A685&lt;Visualisation!$D$1),MAX($V$1:V684)+1,"")</f>
        <v/>
      </c>
    </row>
    <row r="686" spans="1:22" x14ac:dyDescent="0.25">
      <c r="A686" s="9">
        <v>46027</v>
      </c>
      <c r="B686" s="4" t="s">
        <v>85</v>
      </c>
      <c r="C686" s="4" t="s">
        <v>65</v>
      </c>
      <c r="D686" s="4" t="s">
        <v>86</v>
      </c>
      <c r="E686" s="10">
        <v>232.46</v>
      </c>
      <c r="G686" s="4" t="s">
        <v>87</v>
      </c>
      <c r="H686" s="4"/>
      <c r="I686" s="4"/>
      <c r="K686" s="11">
        <f>IF($E686="","",ROUND($E686*IF(ISNA(MATCH($C686,'Paramètres'!$D:$D,0)),1,IF(INDEX('Paramètres'!$J:$J,MATCH($C686,'Paramètres'!$D:$D,0))="",1,INDEX('Paramètres'!$J:$J,MATCH($C686,'Paramètres'!$D:$D,0)))),2))</f>
        <v>232.46</v>
      </c>
      <c r="L686" s="6" t="str">
        <f>IF($D686="","",IF($F686&lt;&gt;"",$F686,IF(ISNA(MATCH($D686,'Paramètres'!$M:$M,0)),"⚠ Type inconnu",IFERROR(INDEX('Paramètres'!$P:$P,MATCH($D686,'Paramètres'!$M:$M,0))&amp;"",""))))</f>
        <v>Débit</v>
      </c>
      <c r="M686" s="6" t="str">
        <f>IF($D686="","",IF(ISNA(MATCH($D686,'Paramètres'!$M:$M,0)),"⚠ Type inconnu",IF($L686="Crédit","",IFERROR(INDEX('Paramètres'!$O:$O,MATCH($D686,'Paramètres'!$M:$M,0))&amp;"",""))))</f>
        <v>Dépense Fixe</v>
      </c>
      <c r="N686" s="6" t="str">
        <f>IF($D686="","",IFERROR(INDEX('Paramètres'!$Q:$Q,MATCH($D686,'Paramètres'!$M:$M,0))&amp;"",""))</f>
        <v>Immobilier</v>
      </c>
      <c r="O686" s="6">
        <f>IF($A686="","",IF(OR($J686&lt;&gt;"x",$A686&lt;=FinReleve),1,0))</f>
        <v>1</v>
      </c>
      <c r="P686" s="6">
        <f>IF($D686="","",IF(AND($L686="Crédit",OR(IFERROR(INDEX('Paramètres'!$O:$O,MATCH($D686,'Paramètres'!$M:$M,0))&amp;"","")&lt;&gt;"",ISNUMBER(SEARCH("remboursement",IFERROR(INDEX('Paramètres'!$N:$N,MATCH($D686,'Paramètres'!$M:$M,0))&amp;"",""))))),1,0))</f>
        <v>0</v>
      </c>
      <c r="Q686" s="6">
        <f>IF($K686="","",IF(ISNUMBER(SEARCH("transfert-interne",IFERROR(INDEX('Paramètres'!$N:$N,MATCH($D686,'Paramètres'!$M:$M,0))&amp;"",""))),0,IF($L686="Débit",$K686,IF($P686=1,-$K686,0))))</f>
        <v>232.46</v>
      </c>
      <c r="R686" s="6">
        <f>IF($K686="","",IF($L686="Crédit",$K686,-$K686))</f>
        <v>-232.46</v>
      </c>
      <c r="S686" s="6" t="str">
        <f>IF($C686="","",IFERROR(INDEX('Paramètres'!$H:$H,MATCH($C686,'Paramètres'!$D:$D,0))&amp;"",""))</f>
        <v>Banque A - Courant</v>
      </c>
      <c r="T686" s="6">
        <f>IF($K686="","",IF($S686="",0,IF(ISNUMBER(SEARCH("apport-exterieur",IFERROR(INDEX('Paramètres'!$N:$N,MATCH($D686,'Paramètres'!$M:$M,0))&amp;"",""))),0,IF(OR(IFERROR(INDEX('Paramètres'!$I:$I,MATCH($C686,'Paramètres'!$D:$D,0))&amp;"","")="Les deux",IFERROR(INDEX('Paramètres'!$I:$I,MATCH($C686,'Paramètres'!$D:$D,0))&amp;"","")=IF($P686=1,"Débit",$L686)),-IF($P686=1,-$K686,$K686),0))))</f>
        <v>0</v>
      </c>
      <c r="U686" s="6">
        <f>IF($K686="","",IF(ISNUMBER(SEARCH("sortie-epargne",IFERROR(INDEX('Paramètres'!$N:$N,MATCH($D686,'Paramètres'!$M:$M,0))&amp;"",""))),$K686,0))</f>
        <v>0</v>
      </c>
      <c r="V686" s="6" t="str">
        <f>IF(AND($A686&lt;&gt;"",$O686=1,$L686="Débit",N($Q686)&gt;0,$A686&gt;=Visualisation!$B$1,$A686&lt;Visualisation!$D$1),MAX($V$1:V685)+1,"")</f>
        <v/>
      </c>
    </row>
    <row r="687" spans="1:22" x14ac:dyDescent="0.25">
      <c r="A687" s="9">
        <v>46027</v>
      </c>
      <c r="B687" s="4" t="s">
        <v>88</v>
      </c>
      <c r="C687" s="4" t="s">
        <v>65</v>
      </c>
      <c r="D687" s="4" t="s">
        <v>88</v>
      </c>
      <c r="E687" s="10">
        <v>31.2</v>
      </c>
      <c r="G687" s="4"/>
      <c r="H687" s="4"/>
      <c r="I687" s="4"/>
      <c r="K687" s="11">
        <f>IF($E687="","",ROUND($E687*IF(ISNA(MATCH($C687,'Paramètres'!$D:$D,0)),1,IF(INDEX('Paramètres'!$J:$J,MATCH($C687,'Paramètres'!$D:$D,0))="",1,INDEX('Paramètres'!$J:$J,MATCH($C687,'Paramètres'!$D:$D,0)))),2))</f>
        <v>31.2</v>
      </c>
      <c r="L687" s="6" t="str">
        <f>IF($D687="","",IF($F687&lt;&gt;"",$F687,IF(ISNA(MATCH($D687,'Paramètres'!$M:$M,0)),"⚠ Type inconnu",IFERROR(INDEX('Paramètres'!$P:$P,MATCH($D687,'Paramètres'!$M:$M,0))&amp;"",""))))</f>
        <v>Débit</v>
      </c>
      <c r="M687" s="6" t="str">
        <f>IF($D687="","",IF(ISNA(MATCH($D687,'Paramètres'!$M:$M,0)),"⚠ Type inconnu",IF($L687="Crédit","",IFERROR(INDEX('Paramètres'!$O:$O,MATCH($D687,'Paramètres'!$M:$M,0))&amp;"",""))))</f>
        <v>Dépense Fixe</v>
      </c>
      <c r="N687" s="6" t="str">
        <f>IF($D687="","",IFERROR(INDEX('Paramètres'!$Q:$Q,MATCH($D687,'Paramètres'!$M:$M,0))&amp;"",""))</f>
        <v>Assurances</v>
      </c>
      <c r="O687" s="6">
        <f>IF($A687="","",IF(OR($J687&lt;&gt;"x",$A687&lt;=FinReleve),1,0))</f>
        <v>1</v>
      </c>
      <c r="P687" s="6">
        <f>IF($D687="","",IF(AND($L687="Crédit",OR(IFERROR(INDEX('Paramètres'!$O:$O,MATCH($D687,'Paramètres'!$M:$M,0))&amp;"","")&lt;&gt;"",ISNUMBER(SEARCH("remboursement",IFERROR(INDEX('Paramètres'!$N:$N,MATCH($D687,'Paramètres'!$M:$M,0))&amp;"",""))))),1,0))</f>
        <v>0</v>
      </c>
      <c r="Q687" s="6">
        <f>IF($K687="","",IF(ISNUMBER(SEARCH("transfert-interne",IFERROR(INDEX('Paramètres'!$N:$N,MATCH($D687,'Paramètres'!$M:$M,0))&amp;"",""))),0,IF($L687="Débit",$K687,IF($P687=1,-$K687,0))))</f>
        <v>31.2</v>
      </c>
      <c r="R687" s="6">
        <f>IF($K687="","",IF($L687="Crédit",$K687,-$K687))</f>
        <v>-31.2</v>
      </c>
      <c r="S687" s="6" t="str">
        <f>IF($C687="","",IFERROR(INDEX('Paramètres'!$H:$H,MATCH($C687,'Paramètres'!$D:$D,0))&amp;"",""))</f>
        <v>Banque A - Courant</v>
      </c>
      <c r="T687" s="6">
        <f>IF($K687="","",IF($S687="",0,IF(ISNUMBER(SEARCH("apport-exterieur",IFERROR(INDEX('Paramètres'!$N:$N,MATCH($D687,'Paramètres'!$M:$M,0))&amp;"",""))),0,IF(OR(IFERROR(INDEX('Paramètres'!$I:$I,MATCH($C687,'Paramètres'!$D:$D,0))&amp;"","")="Les deux",IFERROR(INDEX('Paramètres'!$I:$I,MATCH($C687,'Paramètres'!$D:$D,0))&amp;"","")=IF($P687=1,"Débit",$L687)),-IF($P687=1,-$K687,$K687),0))))</f>
        <v>0</v>
      </c>
      <c r="U687" s="6">
        <f>IF($K687="","",IF(ISNUMBER(SEARCH("sortie-epargne",IFERROR(INDEX('Paramètres'!$N:$N,MATCH($D687,'Paramètres'!$M:$M,0))&amp;"",""))),$K687,0))</f>
        <v>0</v>
      </c>
      <c r="V687" s="6" t="str">
        <f>IF(AND($A687&lt;&gt;"",$O687=1,$L687="Débit",N($Q687)&gt;0,$A687&gt;=Visualisation!$B$1,$A687&lt;Visualisation!$D$1),MAX($V$1:V686)+1,"")</f>
        <v/>
      </c>
    </row>
    <row r="688" spans="1:22" x14ac:dyDescent="0.25">
      <c r="A688" s="9">
        <v>46028</v>
      </c>
      <c r="B688" s="4" t="s">
        <v>89</v>
      </c>
      <c r="C688" s="4" t="s">
        <v>75</v>
      </c>
      <c r="D688" s="4" t="s">
        <v>89</v>
      </c>
      <c r="E688" s="10">
        <v>49.9</v>
      </c>
      <c r="G688" s="4"/>
      <c r="H688" s="4"/>
      <c r="I688" s="4"/>
      <c r="K688" s="11">
        <f>IF($E688="","",ROUND($E688*IF(ISNA(MATCH($C688,'Paramètres'!$D:$D,0)),1,IF(INDEX('Paramètres'!$J:$J,MATCH($C688,'Paramètres'!$D:$D,0))="",1,INDEX('Paramètres'!$J:$J,MATCH($C688,'Paramètres'!$D:$D,0)))),2))</f>
        <v>49.9</v>
      </c>
      <c r="L688" s="6" t="str">
        <f>IF($D688="","",IF($F688&lt;&gt;"",$F688,IF(ISNA(MATCH($D688,'Paramètres'!$M:$M,0)),"⚠ Type inconnu",IFERROR(INDEX('Paramètres'!$P:$P,MATCH($D688,'Paramètres'!$M:$M,0))&amp;"",""))))</f>
        <v>Débit</v>
      </c>
      <c r="M688" s="6" t="str">
        <f>IF($D688="","",IF(ISNA(MATCH($D688,'Paramètres'!$M:$M,0)),"⚠ Type inconnu",IF($L688="Crédit","",IFERROR(INDEX('Paramètres'!$O:$O,MATCH($D688,'Paramètres'!$M:$M,0))&amp;"",""))))</f>
        <v>Dépense Fixe</v>
      </c>
      <c r="N688" s="6" t="str">
        <f>IF($D688="","",IFERROR(INDEX('Paramètres'!$Q:$Q,MATCH($D688,'Paramètres'!$M:$M,0))&amp;"",""))</f>
        <v>Autre</v>
      </c>
      <c r="O688" s="6">
        <f>IF($A688="","",IF(OR($J688&lt;&gt;"x",$A688&lt;=FinReleve),1,0))</f>
        <v>1</v>
      </c>
      <c r="P688" s="6">
        <f>IF($D688="","",IF(AND($L688="Crédit",OR(IFERROR(INDEX('Paramètres'!$O:$O,MATCH($D688,'Paramètres'!$M:$M,0))&amp;"","")&lt;&gt;"",ISNUMBER(SEARCH("remboursement",IFERROR(INDEX('Paramètres'!$N:$N,MATCH($D688,'Paramètres'!$M:$M,0))&amp;"",""))))),1,0))</f>
        <v>0</v>
      </c>
      <c r="Q688" s="6">
        <f>IF($K688="","",IF(ISNUMBER(SEARCH("transfert-interne",IFERROR(INDEX('Paramètres'!$N:$N,MATCH($D688,'Paramètres'!$M:$M,0))&amp;"",""))),0,IF($L688="Débit",$K688,IF($P688=1,-$K688,0))))</f>
        <v>49.9</v>
      </c>
      <c r="R688" s="6">
        <f>IF($K688="","",IF($L688="Crédit",$K688,-$K688))</f>
        <v>-49.9</v>
      </c>
      <c r="S688" s="6" t="str">
        <f>IF($C688="","",IFERROR(INDEX('Paramètres'!$H:$H,MATCH($C688,'Paramètres'!$D:$D,0))&amp;"",""))</f>
        <v/>
      </c>
      <c r="T688" s="6">
        <f>IF($K688="","",IF($S688="",0,IF(ISNUMBER(SEARCH("apport-exterieur",IFERROR(INDEX('Paramètres'!$N:$N,MATCH($D688,'Paramètres'!$M:$M,0))&amp;"",""))),0,IF(OR(IFERROR(INDEX('Paramètres'!$I:$I,MATCH($C688,'Paramètres'!$D:$D,0))&amp;"","")="Les deux",IFERROR(INDEX('Paramètres'!$I:$I,MATCH($C688,'Paramètres'!$D:$D,0))&amp;"","")=IF($P688=1,"Débit",$L688)),-IF($P688=1,-$K688,$K688),0))))</f>
        <v>0</v>
      </c>
      <c r="U688" s="6">
        <f>IF($K688="","",IF(ISNUMBER(SEARCH("sortie-epargne",IFERROR(INDEX('Paramètres'!$N:$N,MATCH($D688,'Paramètres'!$M:$M,0))&amp;"",""))),$K688,0))</f>
        <v>0</v>
      </c>
      <c r="V688" s="6" t="str">
        <f>IF(AND($A688&lt;&gt;"",$O688=1,$L688="Débit",N($Q688)&gt;0,$A688&gt;=Visualisation!$B$1,$A688&lt;Visualisation!$D$1),MAX($V$1:V687)+1,"")</f>
        <v/>
      </c>
    </row>
    <row r="689" spans="1:22" x14ac:dyDescent="0.25">
      <c r="A689" s="9">
        <v>46028</v>
      </c>
      <c r="B689" s="4" t="s">
        <v>69</v>
      </c>
      <c r="C689" s="4" t="s">
        <v>70</v>
      </c>
      <c r="D689" s="4" t="s">
        <v>71</v>
      </c>
      <c r="E689" s="10">
        <v>12.65</v>
      </c>
      <c r="G689" s="4" t="s">
        <v>72</v>
      </c>
      <c r="H689" s="4"/>
      <c r="I689" s="4" t="s">
        <v>93</v>
      </c>
      <c r="K689" s="11">
        <f>IF($E689="","",ROUND($E689*IF(ISNA(MATCH($C689,'Paramètres'!$D:$D,0)),1,IF(INDEX('Paramètres'!$J:$J,MATCH($C689,'Paramètres'!$D:$D,0))="",1,INDEX('Paramètres'!$J:$J,MATCH($C689,'Paramètres'!$D:$D,0)))),2))</f>
        <v>12.65</v>
      </c>
      <c r="L689" s="6" t="str">
        <f>IF($D689="","",IF($F689&lt;&gt;"",$F689,IF(ISNA(MATCH($D689,'Paramètres'!$M:$M,0)),"⚠ Type inconnu",IFERROR(INDEX('Paramètres'!$P:$P,MATCH($D689,'Paramètres'!$M:$M,0))&amp;"",""))))</f>
        <v>Débit</v>
      </c>
      <c r="M689" s="6" t="str">
        <f>IF($D689="","",IF(ISNA(MATCH($D689,'Paramètres'!$M:$M,0)),"⚠ Type inconnu",IF($L689="Crédit","",IFERROR(INDEX('Paramètres'!$O:$O,MATCH($D689,'Paramètres'!$M:$M,0))&amp;"",""))))</f>
        <v>Dépense Courante</v>
      </c>
      <c r="N689" s="6" t="str">
        <f>IF($D689="","",IFERROR(INDEX('Paramètres'!$Q:$Q,MATCH($D689,'Paramètres'!$M:$M,0))&amp;"",""))</f>
        <v>Alimentation</v>
      </c>
      <c r="O689" s="6">
        <f>IF($A689="","",IF(OR($J689&lt;&gt;"x",$A689&lt;=FinReleve),1,0))</f>
        <v>1</v>
      </c>
      <c r="P689" s="6">
        <f>IF($D689="","",IF(AND($L689="Crédit",OR(IFERROR(INDEX('Paramètres'!$O:$O,MATCH($D689,'Paramètres'!$M:$M,0))&amp;"","")&lt;&gt;"",ISNUMBER(SEARCH("remboursement",IFERROR(INDEX('Paramètres'!$N:$N,MATCH($D689,'Paramètres'!$M:$M,0))&amp;"",""))))),1,0))</f>
        <v>0</v>
      </c>
      <c r="Q689" s="6">
        <f>IF($K689="","",IF(ISNUMBER(SEARCH("transfert-interne",IFERROR(INDEX('Paramètres'!$N:$N,MATCH($D689,'Paramètres'!$M:$M,0))&amp;"",""))),0,IF($L689="Débit",$K689,IF($P689=1,-$K689,0))))</f>
        <v>12.65</v>
      </c>
      <c r="R689" s="6">
        <f>IF($K689="","",IF($L689="Crédit",$K689,-$K689))</f>
        <v>-12.65</v>
      </c>
      <c r="S689" s="6" t="str">
        <f>IF($C689="","",IFERROR(INDEX('Paramètres'!$H:$H,MATCH($C689,'Paramètres'!$D:$D,0))&amp;"",""))</f>
        <v/>
      </c>
      <c r="T689" s="6">
        <f>IF($K689="","",IF($S689="",0,IF(ISNUMBER(SEARCH("apport-exterieur",IFERROR(INDEX('Paramètres'!$N:$N,MATCH($D689,'Paramètres'!$M:$M,0))&amp;"",""))),0,IF(OR(IFERROR(INDEX('Paramètres'!$I:$I,MATCH($C689,'Paramètres'!$D:$D,0))&amp;"","")="Les deux",IFERROR(INDEX('Paramètres'!$I:$I,MATCH($C689,'Paramètres'!$D:$D,0))&amp;"","")=IF($P689=1,"Débit",$L689)),-IF($P689=1,-$K689,$K689),0))))</f>
        <v>0</v>
      </c>
      <c r="U689" s="6">
        <f>IF($K689="","",IF(ISNUMBER(SEARCH("sortie-epargne",IFERROR(INDEX('Paramètres'!$N:$N,MATCH($D689,'Paramètres'!$M:$M,0))&amp;"",""))),$K689,0))</f>
        <v>0</v>
      </c>
      <c r="V689" s="6" t="str">
        <f>IF(AND($A689&lt;&gt;"",$O689=1,$L689="Débit",N($Q689)&gt;0,$A689&gt;=Visualisation!$B$1,$A689&lt;Visualisation!$D$1),MAX($V$1:V688)+1,"")</f>
        <v/>
      </c>
    </row>
    <row r="690" spans="1:22" x14ac:dyDescent="0.25">
      <c r="A690" s="9">
        <v>46029</v>
      </c>
      <c r="B690" s="4" t="s">
        <v>76</v>
      </c>
      <c r="C690" s="4" t="s">
        <v>60</v>
      </c>
      <c r="D690" s="4" t="s">
        <v>77</v>
      </c>
      <c r="E690" s="10">
        <v>43.6</v>
      </c>
      <c r="G690" s="4" t="s">
        <v>102</v>
      </c>
      <c r="H690" s="4"/>
      <c r="I690" s="4" t="s">
        <v>79</v>
      </c>
      <c r="K690" s="11">
        <f>IF($E690="","",ROUND($E690*IF(ISNA(MATCH($C690,'Paramètres'!$D:$D,0)),1,IF(INDEX('Paramètres'!$J:$J,MATCH($C690,'Paramètres'!$D:$D,0))="",1,INDEX('Paramètres'!$J:$J,MATCH($C690,'Paramètres'!$D:$D,0)))),2))</f>
        <v>21.8</v>
      </c>
      <c r="L690" s="6" t="str">
        <f>IF($D690="","",IF($F690&lt;&gt;"",$F690,IF(ISNA(MATCH($D690,'Paramètres'!$M:$M,0)),"⚠ Type inconnu",IFERROR(INDEX('Paramètres'!$P:$P,MATCH($D690,'Paramètres'!$M:$M,0))&amp;"",""))))</f>
        <v>Débit</v>
      </c>
      <c r="M690" s="6" t="str">
        <f>IF($D690="","",IF(ISNA(MATCH($D690,'Paramètres'!$M:$M,0)),"⚠ Type inconnu",IF($L690="Crédit","",IFERROR(INDEX('Paramètres'!$O:$O,MATCH($D690,'Paramètres'!$M:$M,0))&amp;"",""))))</f>
        <v>Dépense Courante</v>
      </c>
      <c r="N690" s="6" t="str">
        <f>IF($D690="","",IFERROR(INDEX('Paramètres'!$Q:$Q,MATCH($D690,'Paramètres'!$M:$M,0))&amp;"",""))</f>
        <v>Alimentation</v>
      </c>
      <c r="O690" s="6">
        <f>IF($A690="","",IF(OR($J690&lt;&gt;"x",$A690&lt;=FinReleve),1,0))</f>
        <v>1</v>
      </c>
      <c r="P690" s="6">
        <f>IF($D690="","",IF(AND($L690="Crédit",OR(IFERROR(INDEX('Paramètres'!$O:$O,MATCH($D690,'Paramètres'!$M:$M,0))&amp;"","")&lt;&gt;"",ISNUMBER(SEARCH("remboursement",IFERROR(INDEX('Paramètres'!$N:$N,MATCH($D690,'Paramètres'!$M:$M,0))&amp;"",""))))),1,0))</f>
        <v>0</v>
      </c>
      <c r="Q690" s="6">
        <f>IF($K690="","",IF(ISNUMBER(SEARCH("transfert-interne",IFERROR(INDEX('Paramètres'!$N:$N,MATCH($D690,'Paramètres'!$M:$M,0))&amp;"",""))),0,IF($L690="Débit",$K690,IF($P690=1,-$K690,0))))</f>
        <v>21.8</v>
      </c>
      <c r="R690" s="6">
        <f>IF($K690="","",IF($L690="Crédit",$K690,-$K690))</f>
        <v>-21.8</v>
      </c>
      <c r="S690" s="6" t="str">
        <f>IF($C690="","",IFERROR(INDEX('Paramètres'!$H:$H,MATCH($C690,'Paramètres'!$D:$D,0))&amp;"",""))</f>
        <v>Banque A - Courant</v>
      </c>
      <c r="T690" s="6">
        <f>IF($K690="","",IF($S690="",0,IF(ISNUMBER(SEARCH("apport-exterieur",IFERROR(INDEX('Paramètres'!$N:$N,MATCH($D690,'Paramètres'!$M:$M,0))&amp;"",""))),0,IF(OR(IFERROR(INDEX('Paramètres'!$I:$I,MATCH($C690,'Paramètres'!$D:$D,0))&amp;"","")="Les deux",IFERROR(INDEX('Paramètres'!$I:$I,MATCH($C690,'Paramètres'!$D:$D,0))&amp;"","")=IF($P690=1,"Débit",$L690)),-IF($P690=1,-$K690,$K690),0))))</f>
        <v>-21.8</v>
      </c>
      <c r="U690" s="6">
        <f>IF($K690="","",IF(ISNUMBER(SEARCH("sortie-epargne",IFERROR(INDEX('Paramètres'!$N:$N,MATCH($D690,'Paramètres'!$M:$M,0))&amp;"",""))),$K690,0))</f>
        <v>0</v>
      </c>
      <c r="V690" s="6" t="str">
        <f>IF(AND($A690&lt;&gt;"",$O690=1,$L690="Débit",N($Q690)&gt;0,$A690&gt;=Visualisation!$B$1,$A690&lt;Visualisation!$D$1),MAX($V$1:V689)+1,"")</f>
        <v/>
      </c>
    </row>
    <row r="691" spans="1:22" x14ac:dyDescent="0.25">
      <c r="A691" s="9">
        <v>46029</v>
      </c>
      <c r="B691" s="4" t="s">
        <v>76</v>
      </c>
      <c r="C691" s="4" t="s">
        <v>107</v>
      </c>
      <c r="D691" s="4" t="s">
        <v>108</v>
      </c>
      <c r="E691" s="10">
        <v>46.75</v>
      </c>
      <c r="G691" s="4" t="s">
        <v>119</v>
      </c>
      <c r="H691" s="4"/>
      <c r="I691" s="4" t="s">
        <v>93</v>
      </c>
      <c r="K691" s="11">
        <f>IF($E691="","",ROUND($E691*IF(ISNA(MATCH($C691,'Paramètres'!$D:$D,0)),1,IF(INDEX('Paramètres'!$J:$J,MATCH($C691,'Paramètres'!$D:$D,0))="",1,INDEX('Paramètres'!$J:$J,MATCH($C691,'Paramètres'!$D:$D,0)))),2))</f>
        <v>46.75</v>
      </c>
      <c r="L691" s="6" t="str">
        <f>IF($D691="","",IF($F691&lt;&gt;"",$F691,IF(ISNA(MATCH($D691,'Paramètres'!$M:$M,0)),"⚠ Type inconnu",IFERROR(INDEX('Paramètres'!$P:$P,MATCH($D691,'Paramètres'!$M:$M,0))&amp;"",""))))</f>
        <v>Débit</v>
      </c>
      <c r="M691" s="6" t="str">
        <f>IF($D691="","",IF(ISNA(MATCH($D691,'Paramètres'!$M:$M,0)),"⚠ Type inconnu",IF($L691="Crédit","",IFERROR(INDEX('Paramètres'!$O:$O,MATCH($D691,'Paramètres'!$M:$M,0))&amp;"",""))))</f>
        <v>Dépense Occasionnelle</v>
      </c>
      <c r="N691" s="6" t="str">
        <f>IF($D691="","",IFERROR(INDEX('Paramètres'!$Q:$Q,MATCH($D691,'Paramètres'!$M:$M,0))&amp;"",""))</f>
        <v>Autre</v>
      </c>
      <c r="O691" s="6">
        <f>IF($A691="","",IF(OR($J691&lt;&gt;"x",$A691&lt;=FinReleve),1,0))</f>
        <v>1</v>
      </c>
      <c r="P691" s="6">
        <f>IF($D691="","",IF(AND($L691="Crédit",OR(IFERROR(INDEX('Paramètres'!$O:$O,MATCH($D691,'Paramètres'!$M:$M,0))&amp;"","")&lt;&gt;"",ISNUMBER(SEARCH("remboursement",IFERROR(INDEX('Paramètres'!$N:$N,MATCH($D691,'Paramètres'!$M:$M,0))&amp;"",""))))),1,0))</f>
        <v>0</v>
      </c>
      <c r="Q691" s="6">
        <f>IF($K691="","",IF(ISNUMBER(SEARCH("transfert-interne",IFERROR(INDEX('Paramètres'!$N:$N,MATCH($D691,'Paramètres'!$M:$M,0))&amp;"",""))),0,IF($L691="Débit",$K691,IF($P691=1,-$K691,0))))</f>
        <v>46.75</v>
      </c>
      <c r="R691" s="6">
        <f>IF($K691="","",IF($L691="Crédit",$K691,-$K691))</f>
        <v>-46.75</v>
      </c>
      <c r="S691" s="6" t="str">
        <f>IF($C691="","",IFERROR(INDEX('Paramètres'!$H:$H,MATCH($C691,'Paramètres'!$D:$D,0))&amp;"",""))</f>
        <v/>
      </c>
      <c r="T691" s="6">
        <f>IF($K691="","",IF($S691="",0,IF(ISNUMBER(SEARCH("apport-exterieur",IFERROR(INDEX('Paramètres'!$N:$N,MATCH($D691,'Paramètres'!$M:$M,0))&amp;"",""))),0,IF(OR(IFERROR(INDEX('Paramètres'!$I:$I,MATCH($C691,'Paramètres'!$D:$D,0))&amp;"","")="Les deux",IFERROR(INDEX('Paramètres'!$I:$I,MATCH($C691,'Paramètres'!$D:$D,0))&amp;"","")=IF($P691=1,"Débit",$L691)),-IF($P691=1,-$K691,$K691),0))))</f>
        <v>0</v>
      </c>
      <c r="U691" s="6">
        <f>IF($K691="","",IF(ISNUMBER(SEARCH("sortie-epargne",IFERROR(INDEX('Paramètres'!$N:$N,MATCH($D691,'Paramètres'!$M:$M,0))&amp;"",""))),$K691,0))</f>
        <v>0</v>
      </c>
      <c r="V691" s="6" t="str">
        <f>IF(AND($A691&lt;&gt;"",$O691=1,$L691="Débit",N($Q691)&gt;0,$A691&gt;=Visualisation!$B$1,$A691&lt;Visualisation!$D$1),MAX($V$1:V690)+1,"")</f>
        <v/>
      </c>
    </row>
    <row r="692" spans="1:22" x14ac:dyDescent="0.25">
      <c r="A692" s="9">
        <v>46030</v>
      </c>
      <c r="B692" s="4" t="s">
        <v>94</v>
      </c>
      <c r="C692" s="4" t="s">
        <v>65</v>
      </c>
      <c r="D692" s="4" t="s">
        <v>94</v>
      </c>
      <c r="E692" s="10">
        <v>168</v>
      </c>
      <c r="G692" s="4"/>
      <c r="H692" s="4"/>
      <c r="I692" s="4"/>
      <c r="K692" s="11">
        <f>IF($E692="","",ROUND($E692*IF(ISNA(MATCH($C692,'Paramètres'!$D:$D,0)),1,IF(INDEX('Paramètres'!$J:$J,MATCH($C692,'Paramètres'!$D:$D,0))="",1,INDEX('Paramètres'!$J:$J,MATCH($C692,'Paramètres'!$D:$D,0)))),2))</f>
        <v>168</v>
      </c>
      <c r="L692" s="6" t="str">
        <f>IF($D692="","",IF($F692&lt;&gt;"",$F692,IF(ISNA(MATCH($D692,'Paramètres'!$M:$M,0)),"⚠ Type inconnu",IFERROR(INDEX('Paramètres'!$P:$P,MATCH($D692,'Paramètres'!$M:$M,0))&amp;"",""))))</f>
        <v>Débit</v>
      </c>
      <c r="M692" s="6" t="str">
        <f>IF($D692="","",IF(ISNA(MATCH($D692,'Paramètres'!$M:$M,0)),"⚠ Type inconnu",IF($L692="Crédit","",IFERROR(INDEX('Paramètres'!$O:$O,MATCH($D692,'Paramètres'!$M:$M,0))&amp;"",""))))</f>
        <v>Dépense Fixe</v>
      </c>
      <c r="N692" s="6" t="str">
        <f>IF($D692="","",IFERROR(INDEX('Paramètres'!$Q:$Q,MATCH($D692,'Paramètres'!$M:$M,0))&amp;"",""))</f>
        <v>Immobilier</v>
      </c>
      <c r="O692" s="6">
        <f>IF($A692="","",IF(OR($J692&lt;&gt;"x",$A692&lt;=FinReleve),1,0))</f>
        <v>1</v>
      </c>
      <c r="P692" s="6">
        <f>IF($D692="","",IF(AND($L692="Crédit",OR(IFERROR(INDEX('Paramètres'!$O:$O,MATCH($D692,'Paramètres'!$M:$M,0))&amp;"","")&lt;&gt;"",ISNUMBER(SEARCH("remboursement",IFERROR(INDEX('Paramètres'!$N:$N,MATCH($D692,'Paramètres'!$M:$M,0))&amp;"",""))))),1,0))</f>
        <v>0</v>
      </c>
      <c r="Q692" s="6">
        <f>IF($K692="","",IF(ISNUMBER(SEARCH("transfert-interne",IFERROR(INDEX('Paramètres'!$N:$N,MATCH($D692,'Paramètres'!$M:$M,0))&amp;"",""))),0,IF($L692="Débit",$K692,IF($P692=1,-$K692,0))))</f>
        <v>168</v>
      </c>
      <c r="R692" s="6">
        <f>IF($K692="","",IF($L692="Crédit",$K692,-$K692))</f>
        <v>-168</v>
      </c>
      <c r="S692" s="6" t="str">
        <f>IF($C692="","",IFERROR(INDEX('Paramètres'!$H:$H,MATCH($C692,'Paramètres'!$D:$D,0))&amp;"",""))</f>
        <v>Banque A - Courant</v>
      </c>
      <c r="T692" s="6">
        <f>IF($K692="","",IF($S692="",0,IF(ISNUMBER(SEARCH("apport-exterieur",IFERROR(INDEX('Paramètres'!$N:$N,MATCH($D692,'Paramètres'!$M:$M,0))&amp;"",""))),0,IF(OR(IFERROR(INDEX('Paramètres'!$I:$I,MATCH($C692,'Paramètres'!$D:$D,0))&amp;"","")="Les deux",IFERROR(INDEX('Paramètres'!$I:$I,MATCH($C692,'Paramètres'!$D:$D,0))&amp;"","")=IF($P692=1,"Débit",$L692)),-IF($P692=1,-$K692,$K692),0))))</f>
        <v>0</v>
      </c>
      <c r="U692" s="6">
        <f>IF($K692="","",IF(ISNUMBER(SEARCH("sortie-epargne",IFERROR(INDEX('Paramètres'!$N:$N,MATCH($D692,'Paramètres'!$M:$M,0))&amp;"",""))),$K692,0))</f>
        <v>0</v>
      </c>
      <c r="V692" s="6" t="str">
        <f>IF(AND($A692&lt;&gt;"",$O692=1,$L692="Débit",N($Q692)&gt;0,$A692&gt;=Visualisation!$B$1,$A692&lt;Visualisation!$D$1),MAX($V$1:V691)+1,"")</f>
        <v/>
      </c>
    </row>
    <row r="693" spans="1:22" x14ac:dyDescent="0.25">
      <c r="A693" s="9">
        <v>46031</v>
      </c>
      <c r="B693" s="4" t="s">
        <v>76</v>
      </c>
      <c r="C693" s="4" t="s">
        <v>67</v>
      </c>
      <c r="D693" s="4" t="s">
        <v>77</v>
      </c>
      <c r="E693" s="10">
        <v>179.38</v>
      </c>
      <c r="G693" s="4" t="s">
        <v>95</v>
      </c>
      <c r="H693" s="4"/>
      <c r="I693" s="4" t="s">
        <v>93</v>
      </c>
      <c r="K693" s="11">
        <f>IF($E693="","",ROUND($E693*IF(ISNA(MATCH($C693,'Paramètres'!$D:$D,0)),1,IF(INDEX('Paramètres'!$J:$J,MATCH($C693,'Paramètres'!$D:$D,0))="",1,INDEX('Paramètres'!$J:$J,MATCH($C693,'Paramètres'!$D:$D,0)))),2))</f>
        <v>89.69</v>
      </c>
      <c r="L693" s="6" t="str">
        <f>IF($D693="","",IF($F693&lt;&gt;"",$F693,IF(ISNA(MATCH($D693,'Paramètres'!$M:$M,0)),"⚠ Type inconnu",IFERROR(INDEX('Paramètres'!$P:$P,MATCH($D693,'Paramètres'!$M:$M,0))&amp;"",""))))</f>
        <v>Débit</v>
      </c>
      <c r="M693" s="6" t="str">
        <f>IF($D693="","",IF(ISNA(MATCH($D693,'Paramètres'!$M:$M,0)),"⚠ Type inconnu",IF($L693="Crédit","",IFERROR(INDEX('Paramètres'!$O:$O,MATCH($D693,'Paramètres'!$M:$M,0))&amp;"",""))))</f>
        <v>Dépense Courante</v>
      </c>
      <c r="N693" s="6" t="str">
        <f>IF($D693="","",IFERROR(INDEX('Paramètres'!$Q:$Q,MATCH($D693,'Paramètres'!$M:$M,0))&amp;"",""))</f>
        <v>Alimentation</v>
      </c>
      <c r="O693" s="6">
        <f>IF($A693="","",IF(OR($J693&lt;&gt;"x",$A693&lt;=FinReleve),1,0))</f>
        <v>1</v>
      </c>
      <c r="P693" s="6">
        <f>IF($D693="","",IF(AND($L693="Crédit",OR(IFERROR(INDEX('Paramètres'!$O:$O,MATCH($D693,'Paramètres'!$M:$M,0))&amp;"","")&lt;&gt;"",ISNUMBER(SEARCH("remboursement",IFERROR(INDEX('Paramètres'!$N:$N,MATCH($D693,'Paramètres'!$M:$M,0))&amp;"",""))))),1,0))</f>
        <v>0</v>
      </c>
      <c r="Q693" s="6">
        <f>IF($K693="","",IF(ISNUMBER(SEARCH("transfert-interne",IFERROR(INDEX('Paramètres'!$N:$N,MATCH($D693,'Paramètres'!$M:$M,0))&amp;"",""))),0,IF($L693="Débit",$K693,IF($P693=1,-$K693,0))))</f>
        <v>89.69</v>
      </c>
      <c r="R693" s="6">
        <f>IF($K693="","",IF($L693="Crédit",$K693,-$K693))</f>
        <v>-89.69</v>
      </c>
      <c r="S693" s="6" t="str">
        <f>IF($C693="","",IFERROR(INDEX('Paramètres'!$H:$H,MATCH($C693,'Paramètres'!$D:$D,0))&amp;"",""))</f>
        <v>Banque A - Courant</v>
      </c>
      <c r="T693" s="6">
        <f>IF($K693="","",IF($S693="",0,IF(ISNUMBER(SEARCH("apport-exterieur",IFERROR(INDEX('Paramètres'!$N:$N,MATCH($D693,'Paramètres'!$M:$M,0))&amp;"",""))),0,IF(OR(IFERROR(INDEX('Paramètres'!$I:$I,MATCH($C693,'Paramètres'!$D:$D,0))&amp;"","")="Les deux",IFERROR(INDEX('Paramètres'!$I:$I,MATCH($C693,'Paramètres'!$D:$D,0))&amp;"","")=IF($P693=1,"Débit",$L693)),-IF($P693=1,-$K693,$K693),0))))</f>
        <v>0</v>
      </c>
      <c r="U693" s="6">
        <f>IF($K693="","",IF(ISNUMBER(SEARCH("sortie-epargne",IFERROR(INDEX('Paramètres'!$N:$N,MATCH($D693,'Paramètres'!$M:$M,0))&amp;"",""))),$K693,0))</f>
        <v>0</v>
      </c>
      <c r="V693" s="6" t="str">
        <f>IF(AND($A693&lt;&gt;"",$O693=1,$L693="Débit",N($Q693)&gt;0,$A693&gt;=Visualisation!$B$1,$A693&lt;Visualisation!$D$1),MAX($V$1:V692)+1,"")</f>
        <v/>
      </c>
    </row>
    <row r="694" spans="1:22" x14ac:dyDescent="0.25">
      <c r="A694" s="9">
        <v>46032</v>
      </c>
      <c r="B694" s="4" t="s">
        <v>96</v>
      </c>
      <c r="C694" s="4" t="s">
        <v>75</v>
      </c>
      <c r="D694" s="4" t="s">
        <v>96</v>
      </c>
      <c r="E694" s="10">
        <v>22.4</v>
      </c>
      <c r="G694" s="4"/>
      <c r="H694" s="4"/>
      <c r="I694" s="4"/>
      <c r="K694" s="11">
        <f>IF($E694="","",ROUND($E694*IF(ISNA(MATCH($C694,'Paramètres'!$D:$D,0)),1,IF(INDEX('Paramètres'!$J:$J,MATCH($C694,'Paramètres'!$D:$D,0))="",1,INDEX('Paramètres'!$J:$J,MATCH($C694,'Paramètres'!$D:$D,0)))),2))</f>
        <v>22.4</v>
      </c>
      <c r="L694" s="6" t="str">
        <f>IF($D694="","",IF($F694&lt;&gt;"",$F694,IF(ISNA(MATCH($D694,'Paramètres'!$M:$M,0)),"⚠ Type inconnu",IFERROR(INDEX('Paramètres'!$P:$P,MATCH($D694,'Paramètres'!$M:$M,0))&amp;"",""))))</f>
        <v>Débit</v>
      </c>
      <c r="M694" s="6" t="str">
        <f>IF($D694="","",IF(ISNA(MATCH($D694,'Paramètres'!$M:$M,0)),"⚠ Type inconnu",IF($L694="Crédit","",IFERROR(INDEX('Paramètres'!$O:$O,MATCH($D694,'Paramètres'!$M:$M,0))&amp;"",""))))</f>
        <v>Dépense Fixe</v>
      </c>
      <c r="N694" s="6" t="str">
        <f>IF($D694="","",IFERROR(INDEX('Paramètres'!$Q:$Q,MATCH($D694,'Paramètres'!$M:$M,0))&amp;"",""))</f>
        <v>Assurances</v>
      </c>
      <c r="O694" s="6">
        <f>IF($A694="","",IF(OR($J694&lt;&gt;"x",$A694&lt;=FinReleve),1,0))</f>
        <v>1</v>
      </c>
      <c r="P694" s="6">
        <f>IF($D694="","",IF(AND($L694="Crédit",OR(IFERROR(INDEX('Paramètres'!$O:$O,MATCH($D694,'Paramètres'!$M:$M,0))&amp;"","")&lt;&gt;"",ISNUMBER(SEARCH("remboursement",IFERROR(INDEX('Paramètres'!$N:$N,MATCH($D694,'Paramètres'!$M:$M,0))&amp;"",""))))),1,0))</f>
        <v>0</v>
      </c>
      <c r="Q694" s="6">
        <f>IF($K694="","",IF(ISNUMBER(SEARCH("transfert-interne",IFERROR(INDEX('Paramètres'!$N:$N,MATCH($D694,'Paramètres'!$M:$M,0))&amp;"",""))),0,IF($L694="Débit",$K694,IF($P694=1,-$K694,0))))</f>
        <v>22.4</v>
      </c>
      <c r="R694" s="6">
        <f>IF($K694="","",IF($L694="Crédit",$K694,-$K694))</f>
        <v>-22.4</v>
      </c>
      <c r="S694" s="6" t="str">
        <f>IF($C694="","",IFERROR(INDEX('Paramètres'!$H:$H,MATCH($C694,'Paramètres'!$D:$D,0))&amp;"",""))</f>
        <v/>
      </c>
      <c r="T694" s="6">
        <f>IF($K694="","",IF($S694="",0,IF(ISNUMBER(SEARCH("apport-exterieur",IFERROR(INDEX('Paramètres'!$N:$N,MATCH($D694,'Paramètres'!$M:$M,0))&amp;"",""))),0,IF(OR(IFERROR(INDEX('Paramètres'!$I:$I,MATCH($C694,'Paramètres'!$D:$D,0))&amp;"","")="Les deux",IFERROR(INDEX('Paramètres'!$I:$I,MATCH($C694,'Paramètres'!$D:$D,0))&amp;"","")=IF($P694=1,"Débit",$L694)),-IF($P694=1,-$K694,$K694),0))))</f>
        <v>0</v>
      </c>
      <c r="U694" s="6">
        <f>IF($K694="","",IF(ISNUMBER(SEARCH("sortie-epargne",IFERROR(INDEX('Paramètres'!$N:$N,MATCH($D694,'Paramètres'!$M:$M,0))&amp;"",""))),$K694,0))</f>
        <v>0</v>
      </c>
      <c r="V694" s="6" t="str">
        <f>IF(AND($A694&lt;&gt;"",$O694=1,$L694="Débit",N($Q694)&gt;0,$A694&gt;=Visualisation!$B$1,$A694&lt;Visualisation!$D$1),MAX($V$1:V693)+1,"")</f>
        <v/>
      </c>
    </row>
    <row r="695" spans="1:22" x14ac:dyDescent="0.25">
      <c r="A695" s="9">
        <v>46034</v>
      </c>
      <c r="B695" s="4" t="s">
        <v>97</v>
      </c>
      <c r="C695" s="4" t="s">
        <v>75</v>
      </c>
      <c r="D695" s="4" t="s">
        <v>97</v>
      </c>
      <c r="E695" s="10">
        <v>47.9</v>
      </c>
      <c r="G695" s="4"/>
      <c r="H695" s="4"/>
      <c r="I695" s="4"/>
      <c r="K695" s="11">
        <f>IF($E695="","",ROUND($E695*IF(ISNA(MATCH($C695,'Paramètres'!$D:$D,0)),1,IF(INDEX('Paramètres'!$J:$J,MATCH($C695,'Paramètres'!$D:$D,0))="",1,INDEX('Paramètres'!$J:$J,MATCH($C695,'Paramètres'!$D:$D,0)))),2))</f>
        <v>47.9</v>
      </c>
      <c r="L695" s="6" t="str">
        <f>IF($D695="","",IF($F695&lt;&gt;"",$F695,IF(ISNA(MATCH($D695,'Paramètres'!$M:$M,0)),"⚠ Type inconnu",IFERROR(INDEX('Paramètres'!$P:$P,MATCH($D695,'Paramètres'!$M:$M,0))&amp;"",""))))</f>
        <v>Débit</v>
      </c>
      <c r="M695" s="6" t="str">
        <f>IF($D695="","",IF(ISNA(MATCH($D695,'Paramètres'!$M:$M,0)),"⚠ Type inconnu",IF($L695="Crédit","",IFERROR(INDEX('Paramètres'!$O:$O,MATCH($D695,'Paramètres'!$M:$M,0))&amp;"",""))))</f>
        <v>Dépense Fixe</v>
      </c>
      <c r="N695" s="6" t="str">
        <f>IF($D695="","",IFERROR(INDEX('Paramètres'!$Q:$Q,MATCH($D695,'Paramètres'!$M:$M,0))&amp;"",""))</f>
        <v>Assurances</v>
      </c>
      <c r="O695" s="6">
        <f>IF($A695="","",IF(OR($J695&lt;&gt;"x",$A695&lt;=FinReleve),1,0))</f>
        <v>1</v>
      </c>
      <c r="P695" s="6">
        <f>IF($D695="","",IF(AND($L695="Crédit",OR(IFERROR(INDEX('Paramètres'!$O:$O,MATCH($D695,'Paramètres'!$M:$M,0))&amp;"","")&lt;&gt;"",ISNUMBER(SEARCH("remboursement",IFERROR(INDEX('Paramètres'!$N:$N,MATCH($D695,'Paramètres'!$M:$M,0))&amp;"",""))))),1,0))</f>
        <v>0</v>
      </c>
      <c r="Q695" s="6">
        <f>IF($K695="","",IF(ISNUMBER(SEARCH("transfert-interne",IFERROR(INDEX('Paramètres'!$N:$N,MATCH($D695,'Paramètres'!$M:$M,0))&amp;"",""))),0,IF($L695="Débit",$K695,IF($P695=1,-$K695,0))))</f>
        <v>47.9</v>
      </c>
      <c r="R695" s="6">
        <f>IF($K695="","",IF($L695="Crédit",$K695,-$K695))</f>
        <v>-47.9</v>
      </c>
      <c r="S695" s="6" t="str">
        <f>IF($C695="","",IFERROR(INDEX('Paramètres'!$H:$H,MATCH($C695,'Paramètres'!$D:$D,0))&amp;"",""))</f>
        <v/>
      </c>
      <c r="T695" s="6">
        <f>IF($K695="","",IF($S695="",0,IF(ISNUMBER(SEARCH("apport-exterieur",IFERROR(INDEX('Paramètres'!$N:$N,MATCH($D695,'Paramètres'!$M:$M,0))&amp;"",""))),0,IF(OR(IFERROR(INDEX('Paramètres'!$I:$I,MATCH($C695,'Paramètres'!$D:$D,0))&amp;"","")="Les deux",IFERROR(INDEX('Paramètres'!$I:$I,MATCH($C695,'Paramètres'!$D:$D,0))&amp;"","")=IF($P695=1,"Débit",$L695)),-IF($P695=1,-$K695,$K695),0))))</f>
        <v>0</v>
      </c>
      <c r="U695" s="6">
        <f>IF($K695="","",IF(ISNUMBER(SEARCH("sortie-epargne",IFERROR(INDEX('Paramètres'!$N:$N,MATCH($D695,'Paramètres'!$M:$M,0))&amp;"",""))),$K695,0))</f>
        <v>0</v>
      </c>
      <c r="V695" s="6" t="str">
        <f>IF(AND($A695&lt;&gt;"",$O695=1,$L695="Débit",N($Q695)&gt;0,$A695&gt;=Visualisation!$B$1,$A695&lt;Visualisation!$D$1),MAX($V$1:V694)+1,"")</f>
        <v/>
      </c>
    </row>
    <row r="696" spans="1:22" x14ac:dyDescent="0.25">
      <c r="A696" s="9">
        <v>46034</v>
      </c>
      <c r="B696" s="4" t="s">
        <v>76</v>
      </c>
      <c r="C696" s="4" t="s">
        <v>67</v>
      </c>
      <c r="D696" s="4" t="s">
        <v>77</v>
      </c>
      <c r="E696" s="10">
        <v>91.04</v>
      </c>
      <c r="G696" s="4" t="s">
        <v>98</v>
      </c>
      <c r="H696" s="4"/>
      <c r="I696" s="4" t="s">
        <v>63</v>
      </c>
      <c r="K696" s="11">
        <f>IF($E696="","",ROUND($E696*IF(ISNA(MATCH($C696,'Paramètres'!$D:$D,0)),1,IF(INDEX('Paramètres'!$J:$J,MATCH($C696,'Paramètres'!$D:$D,0))="",1,INDEX('Paramètres'!$J:$J,MATCH($C696,'Paramètres'!$D:$D,0)))),2))</f>
        <v>45.52</v>
      </c>
      <c r="L696" s="6" t="str">
        <f>IF($D696="","",IF($F696&lt;&gt;"",$F696,IF(ISNA(MATCH($D696,'Paramètres'!$M:$M,0)),"⚠ Type inconnu",IFERROR(INDEX('Paramètres'!$P:$P,MATCH($D696,'Paramètres'!$M:$M,0))&amp;"",""))))</f>
        <v>Débit</v>
      </c>
      <c r="M696" s="6" t="str">
        <f>IF($D696="","",IF(ISNA(MATCH($D696,'Paramètres'!$M:$M,0)),"⚠ Type inconnu",IF($L696="Crédit","",IFERROR(INDEX('Paramètres'!$O:$O,MATCH($D696,'Paramètres'!$M:$M,0))&amp;"",""))))</f>
        <v>Dépense Courante</v>
      </c>
      <c r="N696" s="6" t="str">
        <f>IF($D696="","",IFERROR(INDEX('Paramètres'!$Q:$Q,MATCH($D696,'Paramètres'!$M:$M,0))&amp;"",""))</f>
        <v>Alimentation</v>
      </c>
      <c r="O696" s="6">
        <f>IF($A696="","",IF(OR($J696&lt;&gt;"x",$A696&lt;=FinReleve),1,0))</f>
        <v>1</v>
      </c>
      <c r="P696" s="6">
        <f>IF($D696="","",IF(AND($L696="Crédit",OR(IFERROR(INDEX('Paramètres'!$O:$O,MATCH($D696,'Paramètres'!$M:$M,0))&amp;"","")&lt;&gt;"",ISNUMBER(SEARCH("remboursement",IFERROR(INDEX('Paramètres'!$N:$N,MATCH($D696,'Paramètres'!$M:$M,0))&amp;"",""))))),1,0))</f>
        <v>0</v>
      </c>
      <c r="Q696" s="6">
        <f>IF($K696="","",IF(ISNUMBER(SEARCH("transfert-interne",IFERROR(INDEX('Paramètres'!$N:$N,MATCH($D696,'Paramètres'!$M:$M,0))&amp;"",""))),0,IF($L696="Débit",$K696,IF($P696=1,-$K696,0))))</f>
        <v>45.52</v>
      </c>
      <c r="R696" s="6">
        <f>IF($K696="","",IF($L696="Crédit",$K696,-$K696))</f>
        <v>-45.52</v>
      </c>
      <c r="S696" s="6" t="str">
        <f>IF($C696="","",IFERROR(INDEX('Paramètres'!$H:$H,MATCH($C696,'Paramètres'!$D:$D,0))&amp;"",""))</f>
        <v>Banque A - Courant</v>
      </c>
      <c r="T696" s="6">
        <f>IF($K696="","",IF($S696="",0,IF(ISNUMBER(SEARCH("apport-exterieur",IFERROR(INDEX('Paramètres'!$N:$N,MATCH($D696,'Paramètres'!$M:$M,0))&amp;"",""))),0,IF(OR(IFERROR(INDEX('Paramètres'!$I:$I,MATCH($C696,'Paramètres'!$D:$D,0))&amp;"","")="Les deux",IFERROR(INDEX('Paramètres'!$I:$I,MATCH($C696,'Paramètres'!$D:$D,0))&amp;"","")=IF($P696=1,"Débit",$L696)),-IF($P696=1,-$K696,$K696),0))))</f>
        <v>0</v>
      </c>
      <c r="U696" s="6">
        <f>IF($K696="","",IF(ISNUMBER(SEARCH("sortie-epargne",IFERROR(INDEX('Paramètres'!$N:$N,MATCH($D696,'Paramètres'!$M:$M,0))&amp;"",""))),$K696,0))</f>
        <v>0</v>
      </c>
      <c r="V696" s="6" t="str">
        <f>IF(AND($A696&lt;&gt;"",$O696=1,$L696="Débit",N($Q696)&gt;0,$A696&gt;=Visualisation!$B$1,$A696&lt;Visualisation!$D$1),MAX($V$1:V695)+1,"")</f>
        <v/>
      </c>
    </row>
    <row r="697" spans="1:22" x14ac:dyDescent="0.25">
      <c r="A697" s="9">
        <v>46034</v>
      </c>
      <c r="B697" s="4" t="s">
        <v>76</v>
      </c>
      <c r="C697" s="4" t="s">
        <v>60</v>
      </c>
      <c r="D697" s="4" t="s">
        <v>77</v>
      </c>
      <c r="E697" s="10">
        <v>56.72</v>
      </c>
      <c r="G697" s="4" t="s">
        <v>95</v>
      </c>
      <c r="H697" s="4"/>
      <c r="I697" s="4" t="s">
        <v>93</v>
      </c>
      <c r="K697" s="11">
        <f>IF($E697="","",ROUND($E697*IF(ISNA(MATCH($C697,'Paramètres'!$D:$D,0)),1,IF(INDEX('Paramètres'!$J:$J,MATCH($C697,'Paramètres'!$D:$D,0))="",1,INDEX('Paramètres'!$J:$J,MATCH($C697,'Paramètres'!$D:$D,0)))),2))</f>
        <v>28.36</v>
      </c>
      <c r="L697" s="6" t="str">
        <f>IF($D697="","",IF($F697&lt;&gt;"",$F697,IF(ISNA(MATCH($D697,'Paramètres'!$M:$M,0)),"⚠ Type inconnu",IFERROR(INDEX('Paramètres'!$P:$P,MATCH($D697,'Paramètres'!$M:$M,0))&amp;"",""))))</f>
        <v>Débit</v>
      </c>
      <c r="M697" s="6" t="str">
        <f>IF($D697="","",IF(ISNA(MATCH($D697,'Paramètres'!$M:$M,0)),"⚠ Type inconnu",IF($L697="Crédit","",IFERROR(INDEX('Paramètres'!$O:$O,MATCH($D697,'Paramètres'!$M:$M,0))&amp;"",""))))</f>
        <v>Dépense Courante</v>
      </c>
      <c r="N697" s="6" t="str">
        <f>IF($D697="","",IFERROR(INDEX('Paramètres'!$Q:$Q,MATCH($D697,'Paramètres'!$M:$M,0))&amp;"",""))</f>
        <v>Alimentation</v>
      </c>
      <c r="O697" s="6">
        <f>IF($A697="","",IF(OR($J697&lt;&gt;"x",$A697&lt;=FinReleve),1,0))</f>
        <v>1</v>
      </c>
      <c r="P697" s="6">
        <f>IF($D697="","",IF(AND($L697="Crédit",OR(IFERROR(INDEX('Paramètres'!$O:$O,MATCH($D697,'Paramètres'!$M:$M,0))&amp;"","")&lt;&gt;"",ISNUMBER(SEARCH("remboursement",IFERROR(INDEX('Paramètres'!$N:$N,MATCH($D697,'Paramètres'!$M:$M,0))&amp;"",""))))),1,0))</f>
        <v>0</v>
      </c>
      <c r="Q697" s="6">
        <f>IF($K697="","",IF(ISNUMBER(SEARCH("transfert-interne",IFERROR(INDEX('Paramètres'!$N:$N,MATCH($D697,'Paramètres'!$M:$M,0))&amp;"",""))),0,IF($L697="Débit",$K697,IF($P697=1,-$K697,0))))</f>
        <v>28.36</v>
      </c>
      <c r="R697" s="6">
        <f>IF($K697="","",IF($L697="Crédit",$K697,-$K697))</f>
        <v>-28.36</v>
      </c>
      <c r="S697" s="6" t="str">
        <f>IF($C697="","",IFERROR(INDEX('Paramètres'!$H:$H,MATCH($C697,'Paramètres'!$D:$D,0))&amp;"",""))</f>
        <v>Banque A - Courant</v>
      </c>
      <c r="T697" s="6">
        <f>IF($K697="","",IF($S697="",0,IF(ISNUMBER(SEARCH("apport-exterieur",IFERROR(INDEX('Paramètres'!$N:$N,MATCH($D697,'Paramètres'!$M:$M,0))&amp;"",""))),0,IF(OR(IFERROR(INDEX('Paramètres'!$I:$I,MATCH($C697,'Paramètres'!$D:$D,0))&amp;"","")="Les deux",IFERROR(INDEX('Paramètres'!$I:$I,MATCH($C697,'Paramètres'!$D:$D,0))&amp;"","")=IF($P697=1,"Débit",$L697)),-IF($P697=1,-$K697,$K697),0))))</f>
        <v>-28.36</v>
      </c>
      <c r="U697" s="6">
        <f>IF($K697="","",IF(ISNUMBER(SEARCH("sortie-epargne",IFERROR(INDEX('Paramètres'!$N:$N,MATCH($D697,'Paramètres'!$M:$M,0))&amp;"",""))),$K697,0))</f>
        <v>0</v>
      </c>
      <c r="V697" s="6" t="str">
        <f>IF(AND($A697&lt;&gt;"",$O697=1,$L697="Débit",N($Q697)&gt;0,$A697&gt;=Visualisation!$B$1,$A697&lt;Visualisation!$D$1),MAX($V$1:V696)+1,"")</f>
        <v/>
      </c>
    </row>
    <row r="698" spans="1:22" x14ac:dyDescent="0.25">
      <c r="A698" s="9">
        <v>46035</v>
      </c>
      <c r="B698" s="4" t="s">
        <v>76</v>
      </c>
      <c r="C698" s="4" t="s">
        <v>67</v>
      </c>
      <c r="D698" s="4" t="s">
        <v>77</v>
      </c>
      <c r="E698" s="10">
        <v>188.84</v>
      </c>
      <c r="G698" s="4" t="s">
        <v>78</v>
      </c>
      <c r="H698" s="4"/>
      <c r="I698" s="4" t="s">
        <v>63</v>
      </c>
      <c r="K698" s="11">
        <f>IF($E698="","",ROUND($E698*IF(ISNA(MATCH($C698,'Paramètres'!$D:$D,0)),1,IF(INDEX('Paramètres'!$J:$J,MATCH($C698,'Paramètres'!$D:$D,0))="",1,INDEX('Paramètres'!$J:$J,MATCH($C698,'Paramètres'!$D:$D,0)))),2))</f>
        <v>94.42</v>
      </c>
      <c r="L698" s="6" t="str">
        <f>IF($D698="","",IF($F698&lt;&gt;"",$F698,IF(ISNA(MATCH($D698,'Paramètres'!$M:$M,0)),"⚠ Type inconnu",IFERROR(INDEX('Paramètres'!$P:$P,MATCH($D698,'Paramètres'!$M:$M,0))&amp;"",""))))</f>
        <v>Débit</v>
      </c>
      <c r="M698" s="6" t="str">
        <f>IF($D698="","",IF(ISNA(MATCH($D698,'Paramètres'!$M:$M,0)),"⚠ Type inconnu",IF($L698="Crédit","",IFERROR(INDEX('Paramètres'!$O:$O,MATCH($D698,'Paramètres'!$M:$M,0))&amp;"",""))))</f>
        <v>Dépense Courante</v>
      </c>
      <c r="N698" s="6" t="str">
        <f>IF($D698="","",IFERROR(INDEX('Paramètres'!$Q:$Q,MATCH($D698,'Paramètres'!$M:$M,0))&amp;"",""))</f>
        <v>Alimentation</v>
      </c>
      <c r="O698" s="6">
        <f>IF($A698="","",IF(OR($J698&lt;&gt;"x",$A698&lt;=FinReleve),1,0))</f>
        <v>1</v>
      </c>
      <c r="P698" s="6">
        <f>IF($D698="","",IF(AND($L698="Crédit",OR(IFERROR(INDEX('Paramètres'!$O:$O,MATCH($D698,'Paramètres'!$M:$M,0))&amp;"","")&lt;&gt;"",ISNUMBER(SEARCH("remboursement",IFERROR(INDEX('Paramètres'!$N:$N,MATCH($D698,'Paramètres'!$M:$M,0))&amp;"",""))))),1,0))</f>
        <v>0</v>
      </c>
      <c r="Q698" s="6">
        <f>IF($K698="","",IF(ISNUMBER(SEARCH("transfert-interne",IFERROR(INDEX('Paramètres'!$N:$N,MATCH($D698,'Paramètres'!$M:$M,0))&amp;"",""))),0,IF($L698="Débit",$K698,IF($P698=1,-$K698,0))))</f>
        <v>94.42</v>
      </c>
      <c r="R698" s="6">
        <f>IF($K698="","",IF($L698="Crédit",$K698,-$K698))</f>
        <v>-94.42</v>
      </c>
      <c r="S698" s="6" t="str">
        <f>IF($C698="","",IFERROR(INDEX('Paramètres'!$H:$H,MATCH($C698,'Paramètres'!$D:$D,0))&amp;"",""))</f>
        <v>Banque A - Courant</v>
      </c>
      <c r="T698" s="6">
        <f>IF($K698="","",IF($S698="",0,IF(ISNUMBER(SEARCH("apport-exterieur",IFERROR(INDEX('Paramètres'!$N:$N,MATCH($D698,'Paramètres'!$M:$M,0))&amp;"",""))),0,IF(OR(IFERROR(INDEX('Paramètres'!$I:$I,MATCH($C698,'Paramètres'!$D:$D,0))&amp;"","")="Les deux",IFERROR(INDEX('Paramètres'!$I:$I,MATCH($C698,'Paramètres'!$D:$D,0))&amp;"","")=IF($P698=1,"Débit",$L698)),-IF($P698=1,-$K698,$K698),0))))</f>
        <v>0</v>
      </c>
      <c r="U698" s="6">
        <f>IF($K698="","",IF(ISNUMBER(SEARCH("sortie-epargne",IFERROR(INDEX('Paramètres'!$N:$N,MATCH($D698,'Paramètres'!$M:$M,0))&amp;"",""))),$K698,0))</f>
        <v>0</v>
      </c>
      <c r="V698" s="6" t="str">
        <f>IF(AND($A698&lt;&gt;"",$O698=1,$L698="Débit",N($Q698)&gt;0,$A698&gt;=Visualisation!$B$1,$A698&lt;Visualisation!$D$1),MAX($V$1:V697)+1,"")</f>
        <v/>
      </c>
    </row>
    <row r="699" spans="1:22" x14ac:dyDescent="0.25">
      <c r="A699" s="9">
        <v>46036</v>
      </c>
      <c r="B699" s="4" t="s">
        <v>76</v>
      </c>
      <c r="C699" s="4" t="s">
        <v>60</v>
      </c>
      <c r="D699" s="4" t="s">
        <v>77</v>
      </c>
      <c r="E699" s="10">
        <v>84.84</v>
      </c>
      <c r="G699" s="4" t="s">
        <v>102</v>
      </c>
      <c r="H699" s="4"/>
      <c r="I699" s="4" t="s">
        <v>93</v>
      </c>
      <c r="K699" s="11">
        <f>IF($E699="","",ROUND($E699*IF(ISNA(MATCH($C699,'Paramètres'!$D:$D,0)),1,IF(INDEX('Paramètres'!$J:$J,MATCH($C699,'Paramètres'!$D:$D,0))="",1,INDEX('Paramètres'!$J:$J,MATCH($C699,'Paramètres'!$D:$D,0)))),2))</f>
        <v>42.42</v>
      </c>
      <c r="L699" s="6" t="str">
        <f>IF($D699="","",IF($F699&lt;&gt;"",$F699,IF(ISNA(MATCH($D699,'Paramètres'!$M:$M,0)),"⚠ Type inconnu",IFERROR(INDEX('Paramètres'!$P:$P,MATCH($D699,'Paramètres'!$M:$M,0))&amp;"",""))))</f>
        <v>Débit</v>
      </c>
      <c r="M699" s="6" t="str">
        <f>IF($D699="","",IF(ISNA(MATCH($D699,'Paramètres'!$M:$M,0)),"⚠ Type inconnu",IF($L699="Crédit","",IFERROR(INDEX('Paramètres'!$O:$O,MATCH($D699,'Paramètres'!$M:$M,0))&amp;"",""))))</f>
        <v>Dépense Courante</v>
      </c>
      <c r="N699" s="6" t="str">
        <f>IF($D699="","",IFERROR(INDEX('Paramètres'!$Q:$Q,MATCH($D699,'Paramètres'!$M:$M,0))&amp;"",""))</f>
        <v>Alimentation</v>
      </c>
      <c r="O699" s="6">
        <f>IF($A699="","",IF(OR($J699&lt;&gt;"x",$A699&lt;=FinReleve),1,0))</f>
        <v>1</v>
      </c>
      <c r="P699" s="6">
        <f>IF($D699="","",IF(AND($L699="Crédit",OR(IFERROR(INDEX('Paramètres'!$O:$O,MATCH($D699,'Paramètres'!$M:$M,0))&amp;"","")&lt;&gt;"",ISNUMBER(SEARCH("remboursement",IFERROR(INDEX('Paramètres'!$N:$N,MATCH($D699,'Paramètres'!$M:$M,0))&amp;"",""))))),1,0))</f>
        <v>0</v>
      </c>
      <c r="Q699" s="6">
        <f>IF($K699="","",IF(ISNUMBER(SEARCH("transfert-interne",IFERROR(INDEX('Paramètres'!$N:$N,MATCH($D699,'Paramètres'!$M:$M,0))&amp;"",""))),0,IF($L699="Débit",$K699,IF($P699=1,-$K699,0))))</f>
        <v>42.42</v>
      </c>
      <c r="R699" s="6">
        <f>IF($K699="","",IF($L699="Crédit",$K699,-$K699))</f>
        <v>-42.42</v>
      </c>
      <c r="S699" s="6" t="str">
        <f>IF($C699="","",IFERROR(INDEX('Paramètres'!$H:$H,MATCH($C699,'Paramètres'!$D:$D,0))&amp;"",""))</f>
        <v>Banque A - Courant</v>
      </c>
      <c r="T699" s="6">
        <f>IF($K699="","",IF($S699="",0,IF(ISNUMBER(SEARCH("apport-exterieur",IFERROR(INDEX('Paramètres'!$N:$N,MATCH($D699,'Paramètres'!$M:$M,0))&amp;"",""))),0,IF(OR(IFERROR(INDEX('Paramètres'!$I:$I,MATCH($C699,'Paramètres'!$D:$D,0))&amp;"","")="Les deux",IFERROR(INDEX('Paramètres'!$I:$I,MATCH($C699,'Paramètres'!$D:$D,0))&amp;"","")=IF($P699=1,"Débit",$L699)),-IF($P699=1,-$K699,$K699),0))))</f>
        <v>-42.42</v>
      </c>
      <c r="U699" s="6">
        <f>IF($K699="","",IF(ISNUMBER(SEARCH("sortie-epargne",IFERROR(INDEX('Paramètres'!$N:$N,MATCH($D699,'Paramètres'!$M:$M,0))&amp;"",""))),$K699,0))</f>
        <v>0</v>
      </c>
      <c r="V699" s="6" t="str">
        <f>IF(AND($A699&lt;&gt;"",$O699=1,$L699="Débit",N($Q699)&gt;0,$A699&gt;=Visualisation!$B$1,$A699&lt;Visualisation!$D$1),MAX($V$1:V698)+1,"")</f>
        <v/>
      </c>
    </row>
    <row r="700" spans="1:22" x14ac:dyDescent="0.25">
      <c r="A700" s="9">
        <v>46036</v>
      </c>
      <c r="B700" s="4" t="s">
        <v>69</v>
      </c>
      <c r="C700" s="4" t="s">
        <v>70</v>
      </c>
      <c r="D700" s="4" t="s">
        <v>71</v>
      </c>
      <c r="E700" s="10">
        <v>12.42</v>
      </c>
      <c r="G700" s="4" t="s">
        <v>72</v>
      </c>
      <c r="H700" s="4"/>
      <c r="I700" s="4" t="s">
        <v>63</v>
      </c>
      <c r="K700" s="11">
        <f>IF($E700="","",ROUND($E700*IF(ISNA(MATCH($C700,'Paramètres'!$D:$D,0)),1,IF(INDEX('Paramètres'!$J:$J,MATCH($C700,'Paramètres'!$D:$D,0))="",1,INDEX('Paramètres'!$J:$J,MATCH($C700,'Paramètres'!$D:$D,0)))),2))</f>
        <v>12.42</v>
      </c>
      <c r="L700" s="6" t="str">
        <f>IF($D700="","",IF($F700&lt;&gt;"",$F700,IF(ISNA(MATCH($D700,'Paramètres'!$M:$M,0)),"⚠ Type inconnu",IFERROR(INDEX('Paramètres'!$P:$P,MATCH($D700,'Paramètres'!$M:$M,0))&amp;"",""))))</f>
        <v>Débit</v>
      </c>
      <c r="M700" s="6" t="str">
        <f>IF($D700="","",IF(ISNA(MATCH($D700,'Paramètres'!$M:$M,0)),"⚠ Type inconnu",IF($L700="Crédit","",IFERROR(INDEX('Paramètres'!$O:$O,MATCH($D700,'Paramètres'!$M:$M,0))&amp;"",""))))</f>
        <v>Dépense Courante</v>
      </c>
      <c r="N700" s="6" t="str">
        <f>IF($D700="","",IFERROR(INDEX('Paramètres'!$Q:$Q,MATCH($D700,'Paramètres'!$M:$M,0))&amp;"",""))</f>
        <v>Alimentation</v>
      </c>
      <c r="O700" s="6">
        <f>IF($A700="","",IF(OR($J700&lt;&gt;"x",$A700&lt;=FinReleve),1,0))</f>
        <v>1</v>
      </c>
      <c r="P700" s="6">
        <f>IF($D700="","",IF(AND($L700="Crédit",OR(IFERROR(INDEX('Paramètres'!$O:$O,MATCH($D700,'Paramètres'!$M:$M,0))&amp;"","")&lt;&gt;"",ISNUMBER(SEARCH("remboursement",IFERROR(INDEX('Paramètres'!$N:$N,MATCH($D700,'Paramètres'!$M:$M,0))&amp;"",""))))),1,0))</f>
        <v>0</v>
      </c>
      <c r="Q700" s="6">
        <f>IF($K700="","",IF(ISNUMBER(SEARCH("transfert-interne",IFERROR(INDEX('Paramètres'!$N:$N,MATCH($D700,'Paramètres'!$M:$M,0))&amp;"",""))),0,IF($L700="Débit",$K700,IF($P700=1,-$K700,0))))</f>
        <v>12.42</v>
      </c>
      <c r="R700" s="6">
        <f>IF($K700="","",IF($L700="Crédit",$K700,-$K700))</f>
        <v>-12.42</v>
      </c>
      <c r="S700" s="6" t="str">
        <f>IF($C700="","",IFERROR(INDEX('Paramètres'!$H:$H,MATCH($C700,'Paramètres'!$D:$D,0))&amp;"",""))</f>
        <v/>
      </c>
      <c r="T700" s="6">
        <f>IF($K700="","",IF($S700="",0,IF(ISNUMBER(SEARCH("apport-exterieur",IFERROR(INDEX('Paramètres'!$N:$N,MATCH($D700,'Paramètres'!$M:$M,0))&amp;"",""))),0,IF(OR(IFERROR(INDEX('Paramètres'!$I:$I,MATCH($C700,'Paramètres'!$D:$D,0))&amp;"","")="Les deux",IFERROR(INDEX('Paramètres'!$I:$I,MATCH($C700,'Paramètres'!$D:$D,0))&amp;"","")=IF($P700=1,"Débit",$L700)),-IF($P700=1,-$K700,$K700),0))))</f>
        <v>0</v>
      </c>
      <c r="U700" s="6">
        <f>IF($K700="","",IF(ISNUMBER(SEARCH("sortie-epargne",IFERROR(INDEX('Paramètres'!$N:$N,MATCH($D700,'Paramètres'!$M:$M,0))&amp;"",""))),$K700,0))</f>
        <v>0</v>
      </c>
      <c r="V700" s="6" t="str">
        <f>IF(AND($A700&lt;&gt;"",$O700=1,$L700="Débit",N($Q700)&gt;0,$A700&gt;=Visualisation!$B$1,$A700&lt;Visualisation!$D$1),MAX($V$1:V699)+1,"")</f>
        <v/>
      </c>
    </row>
    <row r="701" spans="1:22" x14ac:dyDescent="0.25">
      <c r="A701" s="9">
        <v>46036</v>
      </c>
      <c r="B701" s="4" t="s">
        <v>90</v>
      </c>
      <c r="C701" s="4" t="s">
        <v>75</v>
      </c>
      <c r="D701" s="4" t="s">
        <v>91</v>
      </c>
      <c r="E701" s="10">
        <v>63.6</v>
      </c>
      <c r="G701" s="4" t="s">
        <v>135</v>
      </c>
      <c r="H701" s="4"/>
      <c r="I701" s="4" t="s">
        <v>79</v>
      </c>
      <c r="K701" s="11">
        <f>IF($E701="","",ROUND($E701*IF(ISNA(MATCH($C701,'Paramètres'!$D:$D,0)),1,IF(INDEX('Paramètres'!$J:$J,MATCH($C701,'Paramètres'!$D:$D,0))="",1,INDEX('Paramètres'!$J:$J,MATCH($C701,'Paramètres'!$D:$D,0)))),2))</f>
        <v>63.6</v>
      </c>
      <c r="L701" s="6" t="str">
        <f>IF($D701="","",IF($F701&lt;&gt;"",$F701,IF(ISNA(MATCH($D701,'Paramètres'!$M:$M,0)),"⚠ Type inconnu",IFERROR(INDEX('Paramètres'!$P:$P,MATCH($D701,'Paramètres'!$M:$M,0))&amp;"",""))))</f>
        <v>Débit</v>
      </c>
      <c r="M701" s="6" t="str">
        <f>IF($D701="","",IF(ISNA(MATCH($D701,'Paramètres'!$M:$M,0)),"⚠ Type inconnu",IF($L701="Crédit","",IFERROR(INDEX('Paramètres'!$O:$O,MATCH($D701,'Paramètres'!$M:$M,0))&amp;"",""))))</f>
        <v>Dépense Courante</v>
      </c>
      <c r="N701" s="6" t="str">
        <f>IF($D701="","",IFERROR(INDEX('Paramètres'!$Q:$Q,MATCH($D701,'Paramètres'!$M:$M,0))&amp;"",""))</f>
        <v>Transport</v>
      </c>
      <c r="O701" s="6">
        <f>IF($A701="","",IF(OR($J701&lt;&gt;"x",$A701&lt;=FinReleve),1,0))</f>
        <v>1</v>
      </c>
      <c r="P701" s="6">
        <f>IF($D701="","",IF(AND($L701="Crédit",OR(IFERROR(INDEX('Paramètres'!$O:$O,MATCH($D701,'Paramètres'!$M:$M,0))&amp;"","")&lt;&gt;"",ISNUMBER(SEARCH("remboursement",IFERROR(INDEX('Paramètres'!$N:$N,MATCH($D701,'Paramètres'!$M:$M,0))&amp;"",""))))),1,0))</f>
        <v>0</v>
      </c>
      <c r="Q701" s="6">
        <f>IF($K701="","",IF(ISNUMBER(SEARCH("transfert-interne",IFERROR(INDEX('Paramètres'!$N:$N,MATCH($D701,'Paramètres'!$M:$M,0))&amp;"",""))),0,IF($L701="Débit",$K701,IF($P701=1,-$K701,0))))</f>
        <v>63.6</v>
      </c>
      <c r="R701" s="6">
        <f>IF($K701="","",IF($L701="Crédit",$K701,-$K701))</f>
        <v>-63.6</v>
      </c>
      <c r="S701" s="6" t="str">
        <f>IF($C701="","",IFERROR(INDEX('Paramètres'!$H:$H,MATCH($C701,'Paramètres'!$D:$D,0))&amp;"",""))</f>
        <v/>
      </c>
      <c r="T701" s="6">
        <f>IF($K701="","",IF($S701="",0,IF(ISNUMBER(SEARCH("apport-exterieur",IFERROR(INDEX('Paramètres'!$N:$N,MATCH($D701,'Paramètres'!$M:$M,0))&amp;"",""))),0,IF(OR(IFERROR(INDEX('Paramètres'!$I:$I,MATCH($C701,'Paramètres'!$D:$D,0))&amp;"","")="Les deux",IFERROR(INDEX('Paramètres'!$I:$I,MATCH($C701,'Paramètres'!$D:$D,0))&amp;"","")=IF($P701=1,"Débit",$L701)),-IF($P701=1,-$K701,$K701),0))))</f>
        <v>0</v>
      </c>
      <c r="U701" s="6">
        <f>IF($K701="","",IF(ISNUMBER(SEARCH("sortie-epargne",IFERROR(INDEX('Paramètres'!$N:$N,MATCH($D701,'Paramètres'!$M:$M,0))&amp;"",""))),$K701,0))</f>
        <v>0</v>
      </c>
      <c r="V701" s="6" t="str">
        <f>IF(AND($A701&lt;&gt;"",$O701=1,$L701="Débit",N($Q701)&gt;0,$A701&gt;=Visualisation!$B$1,$A701&lt;Visualisation!$D$1),MAX($V$1:V700)+1,"")</f>
        <v/>
      </c>
    </row>
    <row r="702" spans="1:22" x14ac:dyDescent="0.25">
      <c r="A702" s="9">
        <v>46036</v>
      </c>
      <c r="B702" s="4" t="s">
        <v>116</v>
      </c>
      <c r="C702" s="4" t="s">
        <v>60</v>
      </c>
      <c r="D702" s="4" t="s">
        <v>116</v>
      </c>
      <c r="E702" s="10">
        <v>237.46</v>
      </c>
      <c r="G702" s="4" t="s">
        <v>139</v>
      </c>
      <c r="H702" s="4"/>
      <c r="I702" s="4" t="s">
        <v>93</v>
      </c>
      <c r="K702" s="11">
        <f>IF($E702="","",ROUND($E702*IF(ISNA(MATCH($C702,'Paramètres'!$D:$D,0)),1,IF(INDEX('Paramètres'!$J:$J,MATCH($C702,'Paramètres'!$D:$D,0))="",1,INDEX('Paramètres'!$J:$J,MATCH($C702,'Paramètres'!$D:$D,0)))),2))</f>
        <v>118.73</v>
      </c>
      <c r="L702" s="6" t="str">
        <f>IF($D702="","",IF($F702&lt;&gt;"",$F702,IF(ISNA(MATCH($D702,'Paramètres'!$M:$M,0)),"⚠ Type inconnu",IFERROR(INDEX('Paramètres'!$P:$P,MATCH($D702,'Paramètres'!$M:$M,0))&amp;"",""))))</f>
        <v>Débit</v>
      </c>
      <c r="M702" s="6" t="str">
        <f>IF($D702="","",IF(ISNA(MATCH($D702,'Paramètres'!$M:$M,0)),"⚠ Type inconnu",IF($L702="Crédit","",IFERROR(INDEX('Paramètres'!$O:$O,MATCH($D702,'Paramètres'!$M:$M,0))&amp;"",""))))</f>
        <v>Dépense Occasionnelle</v>
      </c>
      <c r="N702" s="6" t="str">
        <f>IF($D702="","",IFERROR(INDEX('Paramètres'!$Q:$Q,MATCH($D702,'Paramètres'!$M:$M,0))&amp;"",""))</f>
        <v>Autre</v>
      </c>
      <c r="O702" s="6">
        <f>IF($A702="","",IF(OR($J702&lt;&gt;"x",$A702&lt;=FinReleve),1,0))</f>
        <v>1</v>
      </c>
      <c r="P702" s="6">
        <f>IF($D702="","",IF(AND($L702="Crédit",OR(IFERROR(INDEX('Paramètres'!$O:$O,MATCH($D702,'Paramètres'!$M:$M,0))&amp;"","")&lt;&gt;"",ISNUMBER(SEARCH("remboursement",IFERROR(INDEX('Paramètres'!$N:$N,MATCH($D702,'Paramètres'!$M:$M,0))&amp;"",""))))),1,0))</f>
        <v>0</v>
      </c>
      <c r="Q702" s="6">
        <f>IF($K702="","",IF(ISNUMBER(SEARCH("transfert-interne",IFERROR(INDEX('Paramètres'!$N:$N,MATCH($D702,'Paramètres'!$M:$M,0))&amp;"",""))),0,IF($L702="Débit",$K702,IF($P702=1,-$K702,0))))</f>
        <v>118.73</v>
      </c>
      <c r="R702" s="6">
        <f>IF($K702="","",IF($L702="Crédit",$K702,-$K702))</f>
        <v>-118.73</v>
      </c>
      <c r="S702" s="6" t="str">
        <f>IF($C702="","",IFERROR(INDEX('Paramètres'!$H:$H,MATCH($C702,'Paramètres'!$D:$D,0))&amp;"",""))</f>
        <v>Banque A - Courant</v>
      </c>
      <c r="T702" s="6">
        <f>IF($K702="","",IF($S702="",0,IF(ISNUMBER(SEARCH("apport-exterieur",IFERROR(INDEX('Paramètres'!$N:$N,MATCH($D702,'Paramètres'!$M:$M,0))&amp;"",""))),0,IF(OR(IFERROR(INDEX('Paramètres'!$I:$I,MATCH($C702,'Paramètres'!$D:$D,0))&amp;"","")="Les deux",IFERROR(INDEX('Paramètres'!$I:$I,MATCH($C702,'Paramètres'!$D:$D,0))&amp;"","")=IF($P702=1,"Débit",$L702)),-IF($P702=1,-$K702,$K702),0))))</f>
        <v>-118.73</v>
      </c>
      <c r="U702" s="6">
        <f>IF($K702="","",IF(ISNUMBER(SEARCH("sortie-epargne",IFERROR(INDEX('Paramètres'!$N:$N,MATCH($D702,'Paramètres'!$M:$M,0))&amp;"",""))),$K702,0))</f>
        <v>0</v>
      </c>
      <c r="V702" s="6" t="str">
        <f>IF(AND($A702&lt;&gt;"",$O702=1,$L702="Débit",N($Q702)&gt;0,$A702&gt;=Visualisation!$B$1,$A702&lt;Visualisation!$D$1),MAX($V$1:V701)+1,"")</f>
        <v/>
      </c>
    </row>
    <row r="703" spans="1:22" x14ac:dyDescent="0.25">
      <c r="A703" s="9">
        <v>46036</v>
      </c>
      <c r="B703" s="4" t="s">
        <v>119</v>
      </c>
      <c r="C703" s="4" t="s">
        <v>126</v>
      </c>
      <c r="D703" s="4" t="s">
        <v>119</v>
      </c>
      <c r="E703" s="10">
        <v>165.2</v>
      </c>
      <c r="G703" s="4" t="s">
        <v>127</v>
      </c>
      <c r="H703" s="4"/>
      <c r="I703" s="4" t="s">
        <v>79</v>
      </c>
      <c r="K703" s="11">
        <f>IF($E703="","",ROUND($E703*IF(ISNA(MATCH($C703,'Paramètres'!$D:$D,0)),1,IF(INDEX('Paramètres'!$J:$J,MATCH($C703,'Paramètres'!$D:$D,0))="",1,INDEX('Paramètres'!$J:$J,MATCH($C703,'Paramètres'!$D:$D,0)))),2))</f>
        <v>82.6</v>
      </c>
      <c r="L703" s="6" t="str">
        <f>IF($D703="","",IF($F703&lt;&gt;"",$F703,IF(ISNA(MATCH($D703,'Paramètres'!$M:$M,0)),"⚠ Type inconnu",IFERROR(INDEX('Paramètres'!$P:$P,MATCH($D703,'Paramètres'!$M:$M,0))&amp;"",""))))</f>
        <v>Débit</v>
      </c>
      <c r="M703" s="6" t="str">
        <f>IF($D703="","",IF(ISNA(MATCH($D703,'Paramètres'!$M:$M,0)),"⚠ Type inconnu",IF($L703="Crédit","",IFERROR(INDEX('Paramètres'!$O:$O,MATCH($D703,'Paramètres'!$M:$M,0))&amp;"",""))))</f>
        <v>Dépense Occasionnelle</v>
      </c>
      <c r="N703" s="6" t="str">
        <f>IF($D703="","",IFERROR(INDEX('Paramètres'!$Q:$Q,MATCH($D703,'Paramètres'!$M:$M,0))&amp;"",""))</f>
        <v>Alimentation</v>
      </c>
      <c r="O703" s="6">
        <f>IF($A703="","",IF(OR($J703&lt;&gt;"x",$A703&lt;=FinReleve),1,0))</f>
        <v>1</v>
      </c>
      <c r="P703" s="6">
        <f>IF($D703="","",IF(AND($L703="Crédit",OR(IFERROR(INDEX('Paramètres'!$O:$O,MATCH($D703,'Paramètres'!$M:$M,0))&amp;"","")&lt;&gt;"",ISNUMBER(SEARCH("remboursement",IFERROR(INDEX('Paramètres'!$N:$N,MATCH($D703,'Paramètres'!$M:$M,0))&amp;"",""))))),1,0))</f>
        <v>0</v>
      </c>
      <c r="Q703" s="6">
        <f>IF($K703="","",IF(ISNUMBER(SEARCH("transfert-interne",IFERROR(INDEX('Paramètres'!$N:$N,MATCH($D703,'Paramètres'!$M:$M,0))&amp;"",""))),0,IF($L703="Débit",$K703,IF($P703=1,-$K703,0))))</f>
        <v>82.6</v>
      </c>
      <c r="R703" s="6">
        <f>IF($K703="","",IF($L703="Crédit",$K703,-$K703))</f>
        <v>-82.6</v>
      </c>
      <c r="S703" s="6" t="str">
        <f>IF($C703="","",IFERROR(INDEX('Paramètres'!$H:$H,MATCH($C703,'Paramètres'!$D:$D,0))&amp;"",""))</f>
        <v>Banque A - Courant</v>
      </c>
      <c r="T703" s="6">
        <f>IF($K703="","",IF($S703="",0,IF(ISNUMBER(SEARCH("apport-exterieur",IFERROR(INDEX('Paramètres'!$N:$N,MATCH($D703,'Paramètres'!$M:$M,0))&amp;"",""))),0,IF(OR(IFERROR(INDEX('Paramètres'!$I:$I,MATCH($C703,'Paramètres'!$D:$D,0))&amp;"","")="Les deux",IFERROR(INDEX('Paramètres'!$I:$I,MATCH($C703,'Paramètres'!$D:$D,0))&amp;"","")=IF($P703=1,"Débit",$L703)),-IF($P703=1,-$K703,$K703),0))))</f>
        <v>-82.6</v>
      </c>
      <c r="U703" s="6">
        <f>IF($K703="","",IF(ISNUMBER(SEARCH("sortie-epargne",IFERROR(INDEX('Paramètres'!$N:$N,MATCH($D703,'Paramètres'!$M:$M,0))&amp;"",""))),$K703,0))</f>
        <v>0</v>
      </c>
      <c r="V703" s="6" t="str">
        <f>IF(AND($A703&lt;&gt;"",$O703=1,$L703="Débit",N($Q703)&gt;0,$A703&gt;=Visualisation!$B$1,$A703&lt;Visualisation!$D$1),MAX($V$1:V702)+1,"")</f>
        <v/>
      </c>
    </row>
    <row r="704" spans="1:22" x14ac:dyDescent="0.25">
      <c r="A704" s="9">
        <v>46036</v>
      </c>
      <c r="B704" s="4" t="s">
        <v>105</v>
      </c>
      <c r="C704" s="4" t="s">
        <v>75</v>
      </c>
      <c r="D704" s="4" t="s">
        <v>106</v>
      </c>
      <c r="E704" s="10">
        <v>267.76</v>
      </c>
      <c r="G704" s="4"/>
      <c r="H704" s="4"/>
      <c r="I704" s="4"/>
      <c r="K704" s="11">
        <f>IF($E704="","",ROUND($E704*IF(ISNA(MATCH($C704,'Paramètres'!$D:$D,0)),1,IF(INDEX('Paramètres'!$J:$J,MATCH($C704,'Paramètres'!$D:$D,0))="",1,INDEX('Paramètres'!$J:$J,MATCH($C704,'Paramètres'!$D:$D,0)))),2))</f>
        <v>267.76</v>
      </c>
      <c r="L704" s="6" t="str">
        <f>IF($D704="","",IF($F704&lt;&gt;"",$F704,IF(ISNA(MATCH($D704,'Paramètres'!$M:$M,0)),"⚠ Type inconnu",IFERROR(INDEX('Paramètres'!$P:$P,MATCH($D704,'Paramètres'!$M:$M,0))&amp;"",""))))</f>
        <v>Débit</v>
      </c>
      <c r="M704" s="6" t="str">
        <f>IF($D704="","",IF(ISNA(MATCH($D704,'Paramètres'!$M:$M,0)),"⚠ Type inconnu",IF($L704="Crédit","",IFERROR(INDEX('Paramètres'!$O:$O,MATCH($D704,'Paramètres'!$M:$M,0))&amp;"",""))))</f>
        <v/>
      </c>
      <c r="N704" s="6" t="str">
        <f>IF($D704="","",IFERROR(INDEX('Paramètres'!$Q:$Q,MATCH($D704,'Paramètres'!$M:$M,0))&amp;"",""))</f>
        <v>Comptes Bancaires</v>
      </c>
      <c r="O704" s="6">
        <f>IF($A704="","",IF(OR($J704&lt;&gt;"x",$A704&lt;=FinReleve),1,0))</f>
        <v>1</v>
      </c>
      <c r="P704" s="6">
        <f>IF($D704="","",IF(AND($L704="Crédit",OR(IFERROR(INDEX('Paramètres'!$O:$O,MATCH($D704,'Paramètres'!$M:$M,0))&amp;"","")&lt;&gt;"",ISNUMBER(SEARCH("remboursement",IFERROR(INDEX('Paramètres'!$N:$N,MATCH($D704,'Paramètres'!$M:$M,0))&amp;"",""))))),1,0))</f>
        <v>0</v>
      </c>
      <c r="Q704" s="6">
        <f>IF($K704="","",IF(ISNUMBER(SEARCH("transfert-interne",IFERROR(INDEX('Paramètres'!$N:$N,MATCH($D704,'Paramètres'!$M:$M,0))&amp;"",""))),0,IF($L704="Débit",$K704,IF($P704=1,-$K704,0))))</f>
        <v>267.76</v>
      </c>
      <c r="R704" s="6">
        <f>IF($K704="","",IF($L704="Crédit",$K704,-$K704))</f>
        <v>-267.76</v>
      </c>
      <c r="S704" s="6" t="str">
        <f>IF($C704="","",IFERROR(INDEX('Paramètres'!$H:$H,MATCH($C704,'Paramètres'!$D:$D,0))&amp;"",""))</f>
        <v/>
      </c>
      <c r="T704" s="6">
        <f>IF($K704="","",IF($S704="",0,IF(ISNUMBER(SEARCH("apport-exterieur",IFERROR(INDEX('Paramètres'!$N:$N,MATCH($D704,'Paramètres'!$M:$M,0))&amp;"",""))),0,IF(OR(IFERROR(INDEX('Paramètres'!$I:$I,MATCH($C704,'Paramètres'!$D:$D,0))&amp;"","")="Les deux",IFERROR(INDEX('Paramètres'!$I:$I,MATCH($C704,'Paramètres'!$D:$D,0))&amp;"","")=IF($P704=1,"Débit",$L704)),-IF($P704=1,-$K704,$K704),0))))</f>
        <v>0</v>
      </c>
      <c r="U704" s="6">
        <f>IF($K704="","",IF(ISNUMBER(SEARCH("sortie-epargne",IFERROR(INDEX('Paramètres'!$N:$N,MATCH($D704,'Paramètres'!$M:$M,0))&amp;"",""))),$K704,0))</f>
        <v>0</v>
      </c>
      <c r="V704" s="6" t="str">
        <f>IF(AND($A704&lt;&gt;"",$O704=1,$L704="Débit",N($Q704)&gt;0,$A704&gt;=Visualisation!$B$1,$A704&lt;Visualisation!$D$1),MAX($V$1:V703)+1,"")</f>
        <v/>
      </c>
    </row>
    <row r="705" spans="1:22" x14ac:dyDescent="0.25">
      <c r="A705" s="9">
        <v>46037</v>
      </c>
      <c r="B705" s="4" t="s">
        <v>100</v>
      </c>
      <c r="C705" s="4" t="s">
        <v>65</v>
      </c>
      <c r="D705" s="4" t="s">
        <v>100</v>
      </c>
      <c r="E705" s="10">
        <v>110.09</v>
      </c>
      <c r="G705" s="4"/>
      <c r="H705" s="4"/>
      <c r="I705" s="4"/>
      <c r="K705" s="11">
        <f>IF($E705="","",ROUND($E705*IF(ISNA(MATCH($C705,'Paramètres'!$D:$D,0)),1,IF(INDEX('Paramètres'!$J:$J,MATCH($C705,'Paramètres'!$D:$D,0))="",1,INDEX('Paramètres'!$J:$J,MATCH($C705,'Paramètres'!$D:$D,0)))),2))</f>
        <v>110.09</v>
      </c>
      <c r="L705" s="6" t="str">
        <f>IF($D705="","",IF($F705&lt;&gt;"",$F705,IF(ISNA(MATCH($D705,'Paramètres'!$M:$M,0)),"⚠ Type inconnu",IFERROR(INDEX('Paramètres'!$P:$P,MATCH($D705,'Paramètres'!$M:$M,0))&amp;"",""))))</f>
        <v>Débit</v>
      </c>
      <c r="M705" s="6" t="str">
        <f>IF($D705="","",IF(ISNA(MATCH($D705,'Paramètres'!$M:$M,0)),"⚠ Type inconnu",IF($L705="Crédit","",IFERROR(INDEX('Paramètres'!$O:$O,MATCH($D705,'Paramètres'!$M:$M,0))&amp;"",""))))</f>
        <v>Dépense Fixe</v>
      </c>
      <c r="N705" s="6" t="str">
        <f>IF($D705="","",IFERROR(INDEX('Paramètres'!$Q:$Q,MATCH($D705,'Paramètres'!$M:$M,0))&amp;"",""))</f>
        <v>Immobilier</v>
      </c>
      <c r="O705" s="6">
        <f>IF($A705="","",IF(OR($J705&lt;&gt;"x",$A705&lt;=FinReleve),1,0))</f>
        <v>1</v>
      </c>
      <c r="P705" s="6">
        <f>IF($D705="","",IF(AND($L705="Crédit",OR(IFERROR(INDEX('Paramètres'!$O:$O,MATCH($D705,'Paramètres'!$M:$M,0))&amp;"","")&lt;&gt;"",ISNUMBER(SEARCH("remboursement",IFERROR(INDEX('Paramètres'!$N:$N,MATCH($D705,'Paramètres'!$M:$M,0))&amp;"",""))))),1,0))</f>
        <v>0</v>
      </c>
      <c r="Q705" s="6">
        <f>IF($K705="","",IF(ISNUMBER(SEARCH("transfert-interne",IFERROR(INDEX('Paramètres'!$N:$N,MATCH($D705,'Paramètres'!$M:$M,0))&amp;"",""))),0,IF($L705="Débit",$K705,IF($P705=1,-$K705,0))))</f>
        <v>110.09</v>
      </c>
      <c r="R705" s="6">
        <f>IF($K705="","",IF($L705="Crédit",$K705,-$K705))</f>
        <v>-110.09</v>
      </c>
      <c r="S705" s="6" t="str">
        <f>IF($C705="","",IFERROR(INDEX('Paramètres'!$H:$H,MATCH($C705,'Paramètres'!$D:$D,0))&amp;"",""))</f>
        <v>Banque A - Courant</v>
      </c>
      <c r="T705" s="6">
        <f>IF($K705="","",IF($S705="",0,IF(ISNUMBER(SEARCH("apport-exterieur",IFERROR(INDEX('Paramètres'!$N:$N,MATCH($D705,'Paramètres'!$M:$M,0))&amp;"",""))),0,IF(OR(IFERROR(INDEX('Paramètres'!$I:$I,MATCH($C705,'Paramètres'!$D:$D,0))&amp;"","")="Les deux",IFERROR(INDEX('Paramètres'!$I:$I,MATCH($C705,'Paramètres'!$D:$D,0))&amp;"","")=IF($P705=1,"Débit",$L705)),-IF($P705=1,-$K705,$K705),0))))</f>
        <v>0</v>
      </c>
      <c r="U705" s="6">
        <f>IF($K705="","",IF(ISNUMBER(SEARCH("sortie-epargne",IFERROR(INDEX('Paramètres'!$N:$N,MATCH($D705,'Paramètres'!$M:$M,0))&amp;"",""))),$K705,0))</f>
        <v>0</v>
      </c>
      <c r="V705" s="6" t="str">
        <f>IF(AND($A705&lt;&gt;"",$O705=1,$L705="Débit",N($Q705)&gt;0,$A705&gt;=Visualisation!$B$1,$A705&lt;Visualisation!$D$1),MAX($V$1:V704)+1,"")</f>
        <v/>
      </c>
    </row>
    <row r="706" spans="1:22" x14ac:dyDescent="0.25">
      <c r="A706" s="9">
        <v>46037</v>
      </c>
      <c r="B706" s="4" t="s">
        <v>69</v>
      </c>
      <c r="C706" s="4" t="s">
        <v>70</v>
      </c>
      <c r="D706" s="4" t="s">
        <v>71</v>
      </c>
      <c r="E706" s="10">
        <v>9.26</v>
      </c>
      <c r="G706" s="4" t="s">
        <v>72</v>
      </c>
      <c r="H706" s="4"/>
      <c r="I706" s="4" t="s">
        <v>73</v>
      </c>
      <c r="K706" s="11">
        <f>IF($E706="","",ROUND($E706*IF(ISNA(MATCH($C706,'Paramètres'!$D:$D,0)),1,IF(INDEX('Paramètres'!$J:$J,MATCH($C706,'Paramètres'!$D:$D,0))="",1,INDEX('Paramètres'!$J:$J,MATCH($C706,'Paramètres'!$D:$D,0)))),2))</f>
        <v>9.26</v>
      </c>
      <c r="L706" s="6" t="str">
        <f>IF($D706="","",IF($F706&lt;&gt;"",$F706,IF(ISNA(MATCH($D706,'Paramètres'!$M:$M,0)),"⚠ Type inconnu",IFERROR(INDEX('Paramètres'!$P:$P,MATCH($D706,'Paramètres'!$M:$M,0))&amp;"",""))))</f>
        <v>Débit</v>
      </c>
      <c r="M706" s="6" t="str">
        <f>IF($D706="","",IF(ISNA(MATCH($D706,'Paramètres'!$M:$M,0)),"⚠ Type inconnu",IF($L706="Crédit","",IFERROR(INDEX('Paramètres'!$O:$O,MATCH($D706,'Paramètres'!$M:$M,0))&amp;"",""))))</f>
        <v>Dépense Courante</v>
      </c>
      <c r="N706" s="6" t="str">
        <f>IF($D706="","",IFERROR(INDEX('Paramètres'!$Q:$Q,MATCH($D706,'Paramètres'!$M:$M,0))&amp;"",""))</f>
        <v>Alimentation</v>
      </c>
      <c r="O706" s="6">
        <f>IF($A706="","",IF(OR($J706&lt;&gt;"x",$A706&lt;=FinReleve),1,0))</f>
        <v>1</v>
      </c>
      <c r="P706" s="6">
        <f>IF($D706="","",IF(AND($L706="Crédit",OR(IFERROR(INDEX('Paramètres'!$O:$O,MATCH($D706,'Paramètres'!$M:$M,0))&amp;"","")&lt;&gt;"",ISNUMBER(SEARCH("remboursement",IFERROR(INDEX('Paramètres'!$N:$N,MATCH($D706,'Paramètres'!$M:$M,0))&amp;"",""))))),1,0))</f>
        <v>0</v>
      </c>
      <c r="Q706" s="6">
        <f>IF($K706="","",IF(ISNUMBER(SEARCH("transfert-interne",IFERROR(INDEX('Paramètres'!$N:$N,MATCH($D706,'Paramètres'!$M:$M,0))&amp;"",""))),0,IF($L706="Débit",$K706,IF($P706=1,-$K706,0))))</f>
        <v>9.26</v>
      </c>
      <c r="R706" s="6">
        <f>IF($K706="","",IF($L706="Crédit",$K706,-$K706))</f>
        <v>-9.26</v>
      </c>
      <c r="S706" s="6" t="str">
        <f>IF($C706="","",IFERROR(INDEX('Paramètres'!$H:$H,MATCH($C706,'Paramètres'!$D:$D,0))&amp;"",""))</f>
        <v/>
      </c>
      <c r="T706" s="6">
        <f>IF($K706="","",IF($S706="",0,IF(ISNUMBER(SEARCH("apport-exterieur",IFERROR(INDEX('Paramètres'!$N:$N,MATCH($D706,'Paramètres'!$M:$M,0))&amp;"",""))),0,IF(OR(IFERROR(INDEX('Paramètres'!$I:$I,MATCH($C706,'Paramètres'!$D:$D,0))&amp;"","")="Les deux",IFERROR(INDEX('Paramètres'!$I:$I,MATCH($C706,'Paramètres'!$D:$D,0))&amp;"","")=IF($P706=1,"Débit",$L706)),-IF($P706=1,-$K706,$K706),0))))</f>
        <v>0</v>
      </c>
      <c r="U706" s="6">
        <f>IF($K706="","",IF(ISNUMBER(SEARCH("sortie-epargne",IFERROR(INDEX('Paramètres'!$N:$N,MATCH($D706,'Paramètres'!$M:$M,0))&amp;"",""))),$K706,0))</f>
        <v>0</v>
      </c>
      <c r="V706" s="6" t="str">
        <f>IF(AND($A706&lt;&gt;"",$O706=1,$L706="Débit",N($Q706)&gt;0,$A706&gt;=Visualisation!$B$1,$A706&lt;Visualisation!$D$1),MAX($V$1:V705)+1,"")</f>
        <v/>
      </c>
    </row>
    <row r="707" spans="1:22" x14ac:dyDescent="0.25">
      <c r="A707" s="9">
        <v>46037</v>
      </c>
      <c r="B707" s="4" t="s">
        <v>90</v>
      </c>
      <c r="C707" s="4" t="s">
        <v>75</v>
      </c>
      <c r="D707" s="4" t="s">
        <v>91</v>
      </c>
      <c r="E707" s="10">
        <v>65.89</v>
      </c>
      <c r="G707" s="4" t="s">
        <v>92</v>
      </c>
      <c r="H707" s="4"/>
      <c r="I707" s="4" t="s">
        <v>73</v>
      </c>
      <c r="K707" s="11">
        <f>IF($E707="","",ROUND($E707*IF(ISNA(MATCH($C707,'Paramètres'!$D:$D,0)),1,IF(INDEX('Paramètres'!$J:$J,MATCH($C707,'Paramètres'!$D:$D,0))="",1,INDEX('Paramètres'!$J:$J,MATCH($C707,'Paramètres'!$D:$D,0)))),2))</f>
        <v>65.89</v>
      </c>
      <c r="L707" s="6" t="str">
        <f>IF($D707="","",IF($F707&lt;&gt;"",$F707,IF(ISNA(MATCH($D707,'Paramètres'!$M:$M,0)),"⚠ Type inconnu",IFERROR(INDEX('Paramètres'!$P:$P,MATCH($D707,'Paramètres'!$M:$M,0))&amp;"",""))))</f>
        <v>Débit</v>
      </c>
      <c r="M707" s="6" t="str">
        <f>IF($D707="","",IF(ISNA(MATCH($D707,'Paramètres'!$M:$M,0)),"⚠ Type inconnu",IF($L707="Crédit","",IFERROR(INDEX('Paramètres'!$O:$O,MATCH($D707,'Paramètres'!$M:$M,0))&amp;"",""))))</f>
        <v>Dépense Courante</v>
      </c>
      <c r="N707" s="6" t="str">
        <f>IF($D707="","",IFERROR(INDEX('Paramètres'!$Q:$Q,MATCH($D707,'Paramètres'!$M:$M,0))&amp;"",""))</f>
        <v>Transport</v>
      </c>
      <c r="O707" s="6">
        <f>IF($A707="","",IF(OR($J707&lt;&gt;"x",$A707&lt;=FinReleve),1,0))</f>
        <v>1</v>
      </c>
      <c r="P707" s="6">
        <f>IF($D707="","",IF(AND($L707="Crédit",OR(IFERROR(INDEX('Paramètres'!$O:$O,MATCH($D707,'Paramètres'!$M:$M,0))&amp;"","")&lt;&gt;"",ISNUMBER(SEARCH("remboursement",IFERROR(INDEX('Paramètres'!$N:$N,MATCH($D707,'Paramètres'!$M:$M,0))&amp;"",""))))),1,0))</f>
        <v>0</v>
      </c>
      <c r="Q707" s="6">
        <f>IF($K707="","",IF(ISNUMBER(SEARCH("transfert-interne",IFERROR(INDEX('Paramètres'!$N:$N,MATCH($D707,'Paramètres'!$M:$M,0))&amp;"",""))),0,IF($L707="Débit",$K707,IF($P707=1,-$K707,0))))</f>
        <v>65.89</v>
      </c>
      <c r="R707" s="6">
        <f>IF($K707="","",IF($L707="Crédit",$K707,-$K707))</f>
        <v>-65.89</v>
      </c>
      <c r="S707" s="6" t="str">
        <f>IF($C707="","",IFERROR(INDEX('Paramètres'!$H:$H,MATCH($C707,'Paramètres'!$D:$D,0))&amp;"",""))</f>
        <v/>
      </c>
      <c r="T707" s="6">
        <f>IF($K707="","",IF($S707="",0,IF(ISNUMBER(SEARCH("apport-exterieur",IFERROR(INDEX('Paramètres'!$N:$N,MATCH($D707,'Paramètres'!$M:$M,0))&amp;"",""))),0,IF(OR(IFERROR(INDEX('Paramètres'!$I:$I,MATCH($C707,'Paramètres'!$D:$D,0))&amp;"","")="Les deux",IFERROR(INDEX('Paramètres'!$I:$I,MATCH($C707,'Paramètres'!$D:$D,0))&amp;"","")=IF($P707=1,"Débit",$L707)),-IF($P707=1,-$K707,$K707),0))))</f>
        <v>0</v>
      </c>
      <c r="U707" s="6">
        <f>IF($K707="","",IF(ISNUMBER(SEARCH("sortie-epargne",IFERROR(INDEX('Paramètres'!$N:$N,MATCH($D707,'Paramètres'!$M:$M,0))&amp;"",""))),$K707,0))</f>
        <v>0</v>
      </c>
      <c r="V707" s="6" t="str">
        <f>IF(AND($A707&lt;&gt;"",$O707=1,$L707="Débit",N($Q707)&gt;0,$A707&gt;=Visualisation!$B$1,$A707&lt;Visualisation!$D$1),MAX($V$1:V706)+1,"")</f>
        <v/>
      </c>
    </row>
    <row r="708" spans="1:22" x14ac:dyDescent="0.25">
      <c r="A708" s="9">
        <v>46037</v>
      </c>
      <c r="B708" s="4" t="s">
        <v>116</v>
      </c>
      <c r="C708" s="4" t="s">
        <v>60</v>
      </c>
      <c r="D708" s="4" t="s">
        <v>116</v>
      </c>
      <c r="E708" s="10">
        <v>301.86</v>
      </c>
      <c r="G708" s="4" t="s">
        <v>141</v>
      </c>
      <c r="H708" s="4"/>
      <c r="I708" s="4"/>
      <c r="K708" s="11">
        <f>IF($E708="","",ROUND($E708*IF(ISNA(MATCH($C708,'Paramètres'!$D:$D,0)),1,IF(INDEX('Paramètres'!$J:$J,MATCH($C708,'Paramètres'!$D:$D,0))="",1,INDEX('Paramètres'!$J:$J,MATCH($C708,'Paramètres'!$D:$D,0)))),2))</f>
        <v>150.93</v>
      </c>
      <c r="L708" s="6" t="str">
        <f>IF($D708="","",IF($F708&lt;&gt;"",$F708,IF(ISNA(MATCH($D708,'Paramètres'!$M:$M,0)),"⚠ Type inconnu",IFERROR(INDEX('Paramètres'!$P:$P,MATCH($D708,'Paramètres'!$M:$M,0))&amp;"",""))))</f>
        <v>Débit</v>
      </c>
      <c r="M708" s="6" t="str">
        <f>IF($D708="","",IF(ISNA(MATCH($D708,'Paramètres'!$M:$M,0)),"⚠ Type inconnu",IF($L708="Crédit","",IFERROR(INDEX('Paramètres'!$O:$O,MATCH($D708,'Paramètres'!$M:$M,0))&amp;"",""))))</f>
        <v>Dépense Occasionnelle</v>
      </c>
      <c r="N708" s="6" t="str">
        <f>IF($D708="","",IFERROR(INDEX('Paramètres'!$Q:$Q,MATCH($D708,'Paramètres'!$M:$M,0))&amp;"",""))</f>
        <v>Autre</v>
      </c>
      <c r="O708" s="6">
        <f>IF($A708="","",IF(OR($J708&lt;&gt;"x",$A708&lt;=FinReleve),1,0))</f>
        <v>1</v>
      </c>
      <c r="P708" s="6">
        <f>IF($D708="","",IF(AND($L708="Crédit",OR(IFERROR(INDEX('Paramètres'!$O:$O,MATCH($D708,'Paramètres'!$M:$M,0))&amp;"","")&lt;&gt;"",ISNUMBER(SEARCH("remboursement",IFERROR(INDEX('Paramètres'!$N:$N,MATCH($D708,'Paramètres'!$M:$M,0))&amp;"",""))))),1,0))</f>
        <v>0</v>
      </c>
      <c r="Q708" s="6">
        <f>IF($K708="","",IF(ISNUMBER(SEARCH("transfert-interne",IFERROR(INDEX('Paramètres'!$N:$N,MATCH($D708,'Paramètres'!$M:$M,0))&amp;"",""))),0,IF($L708="Débit",$K708,IF($P708=1,-$K708,0))))</f>
        <v>150.93</v>
      </c>
      <c r="R708" s="6">
        <f>IF($K708="","",IF($L708="Crédit",$K708,-$K708))</f>
        <v>-150.93</v>
      </c>
      <c r="S708" s="6" t="str">
        <f>IF($C708="","",IFERROR(INDEX('Paramètres'!$H:$H,MATCH($C708,'Paramètres'!$D:$D,0))&amp;"",""))</f>
        <v>Banque A - Courant</v>
      </c>
      <c r="T708" s="6">
        <f>IF($K708="","",IF($S708="",0,IF(ISNUMBER(SEARCH("apport-exterieur",IFERROR(INDEX('Paramètres'!$N:$N,MATCH($D708,'Paramètres'!$M:$M,0))&amp;"",""))),0,IF(OR(IFERROR(INDEX('Paramètres'!$I:$I,MATCH($C708,'Paramètres'!$D:$D,0))&amp;"","")="Les deux",IFERROR(INDEX('Paramètres'!$I:$I,MATCH($C708,'Paramètres'!$D:$D,0))&amp;"","")=IF($P708=1,"Débit",$L708)),-IF($P708=1,-$K708,$K708),0))))</f>
        <v>-150.93</v>
      </c>
      <c r="U708" s="6">
        <f>IF($K708="","",IF(ISNUMBER(SEARCH("sortie-epargne",IFERROR(INDEX('Paramètres'!$N:$N,MATCH($D708,'Paramètres'!$M:$M,0))&amp;"",""))),$K708,0))</f>
        <v>0</v>
      </c>
      <c r="V708" s="6" t="str">
        <f>IF(AND($A708&lt;&gt;"",$O708=1,$L708="Débit",N($Q708)&gt;0,$A708&gt;=Visualisation!$B$1,$A708&lt;Visualisation!$D$1),MAX($V$1:V707)+1,"")</f>
        <v/>
      </c>
    </row>
    <row r="709" spans="1:22" x14ac:dyDescent="0.25">
      <c r="A709" s="9">
        <v>46038</v>
      </c>
      <c r="B709" s="4" t="s">
        <v>69</v>
      </c>
      <c r="C709" s="4" t="s">
        <v>70</v>
      </c>
      <c r="D709" s="4" t="s">
        <v>71</v>
      </c>
      <c r="E709" s="10">
        <v>13.13</v>
      </c>
      <c r="G709" s="4" t="s">
        <v>72</v>
      </c>
      <c r="H709" s="4"/>
      <c r="I709" s="4"/>
      <c r="K709" s="11">
        <f>IF($E709="","",ROUND($E709*IF(ISNA(MATCH($C709,'Paramètres'!$D:$D,0)),1,IF(INDEX('Paramètres'!$J:$J,MATCH($C709,'Paramètres'!$D:$D,0))="",1,INDEX('Paramètres'!$J:$J,MATCH($C709,'Paramètres'!$D:$D,0)))),2))</f>
        <v>13.13</v>
      </c>
      <c r="L709" s="6" t="str">
        <f>IF($D709="","",IF($F709&lt;&gt;"",$F709,IF(ISNA(MATCH($D709,'Paramètres'!$M:$M,0)),"⚠ Type inconnu",IFERROR(INDEX('Paramètres'!$P:$P,MATCH($D709,'Paramètres'!$M:$M,0))&amp;"",""))))</f>
        <v>Débit</v>
      </c>
      <c r="M709" s="6" t="str">
        <f>IF($D709="","",IF(ISNA(MATCH($D709,'Paramètres'!$M:$M,0)),"⚠ Type inconnu",IF($L709="Crédit","",IFERROR(INDEX('Paramètres'!$O:$O,MATCH($D709,'Paramètres'!$M:$M,0))&amp;"",""))))</f>
        <v>Dépense Courante</v>
      </c>
      <c r="N709" s="6" t="str">
        <f>IF($D709="","",IFERROR(INDEX('Paramètres'!$Q:$Q,MATCH($D709,'Paramètres'!$M:$M,0))&amp;"",""))</f>
        <v>Alimentation</v>
      </c>
      <c r="O709" s="6">
        <f>IF($A709="","",IF(OR($J709&lt;&gt;"x",$A709&lt;=FinReleve),1,0))</f>
        <v>1</v>
      </c>
      <c r="P709" s="6">
        <f>IF($D709="","",IF(AND($L709="Crédit",OR(IFERROR(INDEX('Paramètres'!$O:$O,MATCH($D709,'Paramètres'!$M:$M,0))&amp;"","")&lt;&gt;"",ISNUMBER(SEARCH("remboursement",IFERROR(INDEX('Paramètres'!$N:$N,MATCH($D709,'Paramètres'!$M:$M,0))&amp;"",""))))),1,0))</f>
        <v>0</v>
      </c>
      <c r="Q709" s="6">
        <f>IF($K709="","",IF(ISNUMBER(SEARCH("transfert-interne",IFERROR(INDEX('Paramètres'!$N:$N,MATCH($D709,'Paramètres'!$M:$M,0))&amp;"",""))),0,IF($L709="Débit",$K709,IF($P709=1,-$K709,0))))</f>
        <v>13.13</v>
      </c>
      <c r="R709" s="6">
        <f>IF($K709="","",IF($L709="Crédit",$K709,-$K709))</f>
        <v>-13.13</v>
      </c>
      <c r="S709" s="6" t="str">
        <f>IF($C709="","",IFERROR(INDEX('Paramètres'!$H:$H,MATCH($C709,'Paramètres'!$D:$D,0))&amp;"",""))</f>
        <v/>
      </c>
      <c r="T709" s="6">
        <f>IF($K709="","",IF($S709="",0,IF(ISNUMBER(SEARCH("apport-exterieur",IFERROR(INDEX('Paramètres'!$N:$N,MATCH($D709,'Paramètres'!$M:$M,0))&amp;"",""))),0,IF(OR(IFERROR(INDEX('Paramètres'!$I:$I,MATCH($C709,'Paramètres'!$D:$D,0))&amp;"","")="Les deux",IFERROR(INDEX('Paramètres'!$I:$I,MATCH($C709,'Paramètres'!$D:$D,0))&amp;"","")=IF($P709=1,"Débit",$L709)),-IF($P709=1,-$K709,$K709),0))))</f>
        <v>0</v>
      </c>
      <c r="U709" s="6">
        <f>IF($K709="","",IF(ISNUMBER(SEARCH("sortie-epargne",IFERROR(INDEX('Paramètres'!$N:$N,MATCH($D709,'Paramètres'!$M:$M,0))&amp;"",""))),$K709,0))</f>
        <v>0</v>
      </c>
      <c r="V709" s="6" t="str">
        <f>IF(AND($A709&lt;&gt;"",$O709=1,$L709="Débit",N($Q709)&gt;0,$A709&gt;=Visualisation!$B$1,$A709&lt;Visualisation!$D$1),MAX($V$1:V708)+1,"")</f>
        <v/>
      </c>
    </row>
    <row r="710" spans="1:22" x14ac:dyDescent="0.25">
      <c r="A710" s="9">
        <v>46039</v>
      </c>
      <c r="B710" s="4" t="s">
        <v>76</v>
      </c>
      <c r="C710" s="4" t="s">
        <v>67</v>
      </c>
      <c r="D710" s="4" t="s">
        <v>77</v>
      </c>
      <c r="E710" s="10">
        <v>50.68</v>
      </c>
      <c r="G710" s="4" t="s">
        <v>102</v>
      </c>
      <c r="H710" s="4"/>
      <c r="I710" s="4" t="s">
        <v>93</v>
      </c>
      <c r="K710" s="11">
        <f>IF($E710="","",ROUND($E710*IF(ISNA(MATCH($C710,'Paramètres'!$D:$D,0)),1,IF(INDEX('Paramètres'!$J:$J,MATCH($C710,'Paramètres'!$D:$D,0))="",1,INDEX('Paramètres'!$J:$J,MATCH($C710,'Paramètres'!$D:$D,0)))),2))</f>
        <v>25.34</v>
      </c>
      <c r="L710" s="6" t="str">
        <f>IF($D710="","",IF($F710&lt;&gt;"",$F710,IF(ISNA(MATCH($D710,'Paramètres'!$M:$M,0)),"⚠ Type inconnu",IFERROR(INDEX('Paramètres'!$P:$P,MATCH($D710,'Paramètres'!$M:$M,0))&amp;"",""))))</f>
        <v>Débit</v>
      </c>
      <c r="M710" s="6" t="str">
        <f>IF($D710="","",IF(ISNA(MATCH($D710,'Paramètres'!$M:$M,0)),"⚠ Type inconnu",IF($L710="Crédit","",IFERROR(INDEX('Paramètres'!$O:$O,MATCH($D710,'Paramètres'!$M:$M,0))&amp;"",""))))</f>
        <v>Dépense Courante</v>
      </c>
      <c r="N710" s="6" t="str">
        <f>IF($D710="","",IFERROR(INDEX('Paramètres'!$Q:$Q,MATCH($D710,'Paramètres'!$M:$M,0))&amp;"",""))</f>
        <v>Alimentation</v>
      </c>
      <c r="O710" s="6">
        <f>IF($A710="","",IF(OR($J710&lt;&gt;"x",$A710&lt;=FinReleve),1,0))</f>
        <v>1</v>
      </c>
      <c r="P710" s="6">
        <f>IF($D710="","",IF(AND($L710="Crédit",OR(IFERROR(INDEX('Paramètres'!$O:$O,MATCH($D710,'Paramètres'!$M:$M,0))&amp;"","")&lt;&gt;"",ISNUMBER(SEARCH("remboursement",IFERROR(INDEX('Paramètres'!$N:$N,MATCH($D710,'Paramètres'!$M:$M,0))&amp;"",""))))),1,0))</f>
        <v>0</v>
      </c>
      <c r="Q710" s="6">
        <f>IF($K710="","",IF(ISNUMBER(SEARCH("transfert-interne",IFERROR(INDEX('Paramètres'!$N:$N,MATCH($D710,'Paramètres'!$M:$M,0))&amp;"",""))),0,IF($L710="Débit",$K710,IF($P710=1,-$K710,0))))</f>
        <v>25.34</v>
      </c>
      <c r="R710" s="6">
        <f>IF($K710="","",IF($L710="Crédit",$K710,-$K710))</f>
        <v>-25.34</v>
      </c>
      <c r="S710" s="6" t="str">
        <f>IF($C710="","",IFERROR(INDEX('Paramètres'!$H:$H,MATCH($C710,'Paramètres'!$D:$D,0))&amp;"",""))</f>
        <v>Banque A - Courant</v>
      </c>
      <c r="T710" s="6">
        <f>IF($K710="","",IF($S710="",0,IF(ISNUMBER(SEARCH("apport-exterieur",IFERROR(INDEX('Paramètres'!$N:$N,MATCH($D710,'Paramètres'!$M:$M,0))&amp;"",""))),0,IF(OR(IFERROR(INDEX('Paramètres'!$I:$I,MATCH($C710,'Paramètres'!$D:$D,0))&amp;"","")="Les deux",IFERROR(INDEX('Paramètres'!$I:$I,MATCH($C710,'Paramètres'!$D:$D,0))&amp;"","")=IF($P710=1,"Débit",$L710)),-IF($P710=1,-$K710,$K710),0))))</f>
        <v>0</v>
      </c>
      <c r="U710" s="6">
        <f>IF($K710="","",IF(ISNUMBER(SEARCH("sortie-epargne",IFERROR(INDEX('Paramètres'!$N:$N,MATCH($D710,'Paramètres'!$M:$M,0))&amp;"",""))),$K710,0))</f>
        <v>0</v>
      </c>
      <c r="V710" s="6" t="str">
        <f>IF(AND($A710&lt;&gt;"",$O710=1,$L710="Débit",N($Q710)&gt;0,$A710&gt;=Visualisation!$B$1,$A710&lt;Visualisation!$D$1),MAX($V$1:V709)+1,"")</f>
        <v/>
      </c>
    </row>
    <row r="711" spans="1:22" x14ac:dyDescent="0.25">
      <c r="A711" s="9">
        <v>46040</v>
      </c>
      <c r="B711" s="4" t="s">
        <v>103</v>
      </c>
      <c r="C711" s="4" t="s">
        <v>75</v>
      </c>
      <c r="D711" s="4" t="s">
        <v>103</v>
      </c>
      <c r="E711" s="10">
        <v>212</v>
      </c>
      <c r="G711" s="4"/>
      <c r="H711" s="4"/>
      <c r="I711" s="4"/>
      <c r="K711" s="11">
        <f>IF($E711="","",ROUND($E711*IF(ISNA(MATCH($C711,'Paramètres'!$D:$D,0)),1,IF(INDEX('Paramètres'!$J:$J,MATCH($C711,'Paramètres'!$D:$D,0))="",1,INDEX('Paramètres'!$J:$J,MATCH($C711,'Paramètres'!$D:$D,0)))),2))</f>
        <v>212</v>
      </c>
      <c r="L711" s="6" t="str">
        <f>IF($D711="","",IF($F711&lt;&gt;"",$F711,IF(ISNA(MATCH($D711,'Paramètres'!$M:$M,0)),"⚠ Type inconnu",IFERROR(INDEX('Paramètres'!$P:$P,MATCH($D711,'Paramètres'!$M:$M,0))&amp;"",""))))</f>
        <v>Débit</v>
      </c>
      <c r="M711" s="6" t="str">
        <f>IF($D711="","",IF(ISNA(MATCH($D711,'Paramètres'!$M:$M,0)),"⚠ Type inconnu",IF($L711="Crédit","",IFERROR(INDEX('Paramètres'!$O:$O,MATCH($D711,'Paramètres'!$M:$M,0))&amp;"",""))))</f>
        <v>Dépense Fixe</v>
      </c>
      <c r="N711" s="6" t="str">
        <f>IF($D711="","",IFERROR(INDEX('Paramètres'!$Q:$Q,MATCH($D711,'Paramètres'!$M:$M,0))&amp;"",""))</f>
        <v>Impots</v>
      </c>
      <c r="O711" s="6">
        <f>IF($A711="","",IF(OR($J711&lt;&gt;"x",$A711&lt;=FinReleve),1,0))</f>
        <v>1</v>
      </c>
      <c r="P711" s="6">
        <f>IF($D711="","",IF(AND($L711="Crédit",OR(IFERROR(INDEX('Paramètres'!$O:$O,MATCH($D711,'Paramètres'!$M:$M,0))&amp;"","")&lt;&gt;"",ISNUMBER(SEARCH("remboursement",IFERROR(INDEX('Paramètres'!$N:$N,MATCH($D711,'Paramètres'!$M:$M,0))&amp;"",""))))),1,0))</f>
        <v>0</v>
      </c>
      <c r="Q711" s="6">
        <f>IF($K711="","",IF(ISNUMBER(SEARCH("transfert-interne",IFERROR(INDEX('Paramètres'!$N:$N,MATCH($D711,'Paramètres'!$M:$M,0))&amp;"",""))),0,IF($L711="Débit",$K711,IF($P711=1,-$K711,0))))</f>
        <v>212</v>
      </c>
      <c r="R711" s="6">
        <f>IF($K711="","",IF($L711="Crédit",$K711,-$K711))</f>
        <v>-212</v>
      </c>
      <c r="S711" s="6" t="str">
        <f>IF($C711="","",IFERROR(INDEX('Paramètres'!$H:$H,MATCH($C711,'Paramètres'!$D:$D,0))&amp;"",""))</f>
        <v/>
      </c>
      <c r="T711" s="6">
        <f>IF($K711="","",IF($S711="",0,IF(ISNUMBER(SEARCH("apport-exterieur",IFERROR(INDEX('Paramètres'!$N:$N,MATCH($D711,'Paramètres'!$M:$M,0))&amp;"",""))),0,IF(OR(IFERROR(INDEX('Paramètres'!$I:$I,MATCH($C711,'Paramètres'!$D:$D,0))&amp;"","")="Les deux",IFERROR(INDEX('Paramètres'!$I:$I,MATCH($C711,'Paramètres'!$D:$D,0))&amp;"","")=IF($P711=1,"Débit",$L711)),-IF($P711=1,-$K711,$K711),0))))</f>
        <v>0</v>
      </c>
      <c r="U711" s="6">
        <f>IF($K711="","",IF(ISNUMBER(SEARCH("sortie-epargne",IFERROR(INDEX('Paramètres'!$N:$N,MATCH($D711,'Paramètres'!$M:$M,0))&amp;"",""))),$K711,0))</f>
        <v>0</v>
      </c>
      <c r="V711" s="6" t="str">
        <f>IF(AND($A711&lt;&gt;"",$O711=1,$L711="Débit",N($Q711)&gt;0,$A711&gt;=Visualisation!$B$1,$A711&lt;Visualisation!$D$1),MAX($V$1:V710)+1,"")</f>
        <v/>
      </c>
    </row>
    <row r="712" spans="1:22" x14ac:dyDescent="0.25">
      <c r="A712" s="9">
        <v>46041</v>
      </c>
      <c r="B712" s="4" t="s">
        <v>69</v>
      </c>
      <c r="C712" s="4" t="s">
        <v>70</v>
      </c>
      <c r="D712" s="4" t="s">
        <v>71</v>
      </c>
      <c r="E712" s="10">
        <v>11.67</v>
      </c>
      <c r="G712" s="4" t="s">
        <v>72</v>
      </c>
      <c r="H712" s="4"/>
      <c r="I712" s="4" t="s">
        <v>79</v>
      </c>
      <c r="K712" s="11">
        <f>IF($E712="","",ROUND($E712*IF(ISNA(MATCH($C712,'Paramètres'!$D:$D,0)),1,IF(INDEX('Paramètres'!$J:$J,MATCH($C712,'Paramètres'!$D:$D,0))="",1,INDEX('Paramètres'!$J:$J,MATCH($C712,'Paramètres'!$D:$D,0)))),2))</f>
        <v>11.67</v>
      </c>
      <c r="L712" s="6" t="str">
        <f>IF($D712="","",IF($F712&lt;&gt;"",$F712,IF(ISNA(MATCH($D712,'Paramètres'!$M:$M,0)),"⚠ Type inconnu",IFERROR(INDEX('Paramètres'!$P:$P,MATCH($D712,'Paramètres'!$M:$M,0))&amp;"",""))))</f>
        <v>Débit</v>
      </c>
      <c r="M712" s="6" t="str">
        <f>IF($D712="","",IF(ISNA(MATCH($D712,'Paramètres'!$M:$M,0)),"⚠ Type inconnu",IF($L712="Crédit","",IFERROR(INDEX('Paramètres'!$O:$O,MATCH($D712,'Paramètres'!$M:$M,0))&amp;"",""))))</f>
        <v>Dépense Courante</v>
      </c>
      <c r="N712" s="6" t="str">
        <f>IF($D712="","",IFERROR(INDEX('Paramètres'!$Q:$Q,MATCH($D712,'Paramètres'!$M:$M,0))&amp;"",""))</f>
        <v>Alimentation</v>
      </c>
      <c r="O712" s="6">
        <f>IF($A712="","",IF(OR($J712&lt;&gt;"x",$A712&lt;=FinReleve),1,0))</f>
        <v>1</v>
      </c>
      <c r="P712" s="6">
        <f>IF($D712="","",IF(AND($L712="Crédit",OR(IFERROR(INDEX('Paramètres'!$O:$O,MATCH($D712,'Paramètres'!$M:$M,0))&amp;"","")&lt;&gt;"",ISNUMBER(SEARCH("remboursement",IFERROR(INDEX('Paramètres'!$N:$N,MATCH($D712,'Paramètres'!$M:$M,0))&amp;"",""))))),1,0))</f>
        <v>0</v>
      </c>
      <c r="Q712" s="6">
        <f>IF($K712="","",IF(ISNUMBER(SEARCH("transfert-interne",IFERROR(INDEX('Paramètres'!$N:$N,MATCH($D712,'Paramètres'!$M:$M,0))&amp;"",""))),0,IF($L712="Débit",$K712,IF($P712=1,-$K712,0))))</f>
        <v>11.67</v>
      </c>
      <c r="R712" s="6">
        <f>IF($K712="","",IF($L712="Crédit",$K712,-$K712))</f>
        <v>-11.67</v>
      </c>
      <c r="S712" s="6" t="str">
        <f>IF($C712="","",IFERROR(INDEX('Paramètres'!$H:$H,MATCH($C712,'Paramètres'!$D:$D,0))&amp;"",""))</f>
        <v/>
      </c>
      <c r="T712" s="6">
        <f>IF($K712="","",IF($S712="",0,IF(ISNUMBER(SEARCH("apport-exterieur",IFERROR(INDEX('Paramètres'!$N:$N,MATCH($D712,'Paramètres'!$M:$M,0))&amp;"",""))),0,IF(OR(IFERROR(INDEX('Paramètres'!$I:$I,MATCH($C712,'Paramètres'!$D:$D,0))&amp;"","")="Les deux",IFERROR(INDEX('Paramètres'!$I:$I,MATCH($C712,'Paramètres'!$D:$D,0))&amp;"","")=IF($P712=1,"Débit",$L712)),-IF($P712=1,-$K712,$K712),0))))</f>
        <v>0</v>
      </c>
      <c r="U712" s="6">
        <f>IF($K712="","",IF(ISNUMBER(SEARCH("sortie-epargne",IFERROR(INDEX('Paramètres'!$N:$N,MATCH($D712,'Paramètres'!$M:$M,0))&amp;"",""))),$K712,0))</f>
        <v>0</v>
      </c>
      <c r="V712" s="6" t="str">
        <f>IF(AND($A712&lt;&gt;"",$O712=1,$L712="Débit",N($Q712)&gt;0,$A712&gt;=Visualisation!$B$1,$A712&lt;Visualisation!$D$1),MAX($V$1:V711)+1,"")</f>
        <v/>
      </c>
    </row>
    <row r="713" spans="1:22" x14ac:dyDescent="0.25">
      <c r="A713" s="9">
        <v>46041</v>
      </c>
      <c r="B713" s="4" t="s">
        <v>69</v>
      </c>
      <c r="C713" s="4" t="s">
        <v>70</v>
      </c>
      <c r="D713" s="4" t="s">
        <v>71</v>
      </c>
      <c r="E713" s="10">
        <v>13.81</v>
      </c>
      <c r="G713" s="4" t="s">
        <v>72</v>
      </c>
      <c r="H713" s="4"/>
      <c r="I713" s="4" t="s">
        <v>63</v>
      </c>
      <c r="K713" s="11">
        <f>IF($E713="","",ROUND($E713*IF(ISNA(MATCH($C713,'Paramètres'!$D:$D,0)),1,IF(INDEX('Paramètres'!$J:$J,MATCH($C713,'Paramètres'!$D:$D,0))="",1,INDEX('Paramètres'!$J:$J,MATCH($C713,'Paramètres'!$D:$D,0)))),2))</f>
        <v>13.81</v>
      </c>
      <c r="L713" s="6" t="str">
        <f>IF($D713="","",IF($F713&lt;&gt;"",$F713,IF(ISNA(MATCH($D713,'Paramètres'!$M:$M,0)),"⚠ Type inconnu",IFERROR(INDEX('Paramètres'!$P:$P,MATCH($D713,'Paramètres'!$M:$M,0))&amp;"",""))))</f>
        <v>Débit</v>
      </c>
      <c r="M713" s="6" t="str">
        <f>IF($D713="","",IF(ISNA(MATCH($D713,'Paramètres'!$M:$M,0)),"⚠ Type inconnu",IF($L713="Crédit","",IFERROR(INDEX('Paramètres'!$O:$O,MATCH($D713,'Paramètres'!$M:$M,0))&amp;"",""))))</f>
        <v>Dépense Courante</v>
      </c>
      <c r="N713" s="6" t="str">
        <f>IF($D713="","",IFERROR(INDEX('Paramètres'!$Q:$Q,MATCH($D713,'Paramètres'!$M:$M,0))&amp;"",""))</f>
        <v>Alimentation</v>
      </c>
      <c r="O713" s="6">
        <f>IF($A713="","",IF(OR($J713&lt;&gt;"x",$A713&lt;=FinReleve),1,0))</f>
        <v>1</v>
      </c>
      <c r="P713" s="6">
        <f>IF($D713="","",IF(AND($L713="Crédit",OR(IFERROR(INDEX('Paramètres'!$O:$O,MATCH($D713,'Paramètres'!$M:$M,0))&amp;"","")&lt;&gt;"",ISNUMBER(SEARCH("remboursement",IFERROR(INDEX('Paramètres'!$N:$N,MATCH($D713,'Paramètres'!$M:$M,0))&amp;"",""))))),1,0))</f>
        <v>0</v>
      </c>
      <c r="Q713" s="6">
        <f>IF($K713="","",IF(ISNUMBER(SEARCH("transfert-interne",IFERROR(INDEX('Paramètres'!$N:$N,MATCH($D713,'Paramètres'!$M:$M,0))&amp;"",""))),0,IF($L713="Débit",$K713,IF($P713=1,-$K713,0))))</f>
        <v>13.81</v>
      </c>
      <c r="R713" s="6">
        <f>IF($K713="","",IF($L713="Crédit",$K713,-$K713))</f>
        <v>-13.81</v>
      </c>
      <c r="S713" s="6" t="str">
        <f>IF($C713="","",IFERROR(INDEX('Paramètres'!$H:$H,MATCH($C713,'Paramètres'!$D:$D,0))&amp;"",""))</f>
        <v/>
      </c>
      <c r="T713" s="6">
        <f>IF($K713="","",IF($S713="",0,IF(ISNUMBER(SEARCH("apport-exterieur",IFERROR(INDEX('Paramètres'!$N:$N,MATCH($D713,'Paramètres'!$M:$M,0))&amp;"",""))),0,IF(OR(IFERROR(INDEX('Paramètres'!$I:$I,MATCH($C713,'Paramètres'!$D:$D,0))&amp;"","")="Les deux",IFERROR(INDEX('Paramètres'!$I:$I,MATCH($C713,'Paramètres'!$D:$D,0))&amp;"","")=IF($P713=1,"Débit",$L713)),-IF($P713=1,-$K713,$K713),0))))</f>
        <v>0</v>
      </c>
      <c r="U713" s="6">
        <f>IF($K713="","",IF(ISNUMBER(SEARCH("sortie-epargne",IFERROR(INDEX('Paramètres'!$N:$N,MATCH($D713,'Paramètres'!$M:$M,0))&amp;"",""))),$K713,0))</f>
        <v>0</v>
      </c>
      <c r="V713" s="6" t="str">
        <f>IF(AND($A713&lt;&gt;"",$O713=1,$L713="Débit",N($Q713)&gt;0,$A713&gt;=Visualisation!$B$1,$A713&lt;Visualisation!$D$1),MAX($V$1:V712)+1,"")</f>
        <v/>
      </c>
    </row>
    <row r="714" spans="1:22" x14ac:dyDescent="0.25">
      <c r="A714" s="9">
        <v>46043</v>
      </c>
      <c r="B714" s="4" t="s">
        <v>119</v>
      </c>
      <c r="C714" s="4" t="s">
        <v>60</v>
      </c>
      <c r="D714" s="4" t="s">
        <v>119</v>
      </c>
      <c r="E714" s="10">
        <v>167.16</v>
      </c>
      <c r="G714" s="4" t="s">
        <v>119</v>
      </c>
      <c r="H714" s="4"/>
      <c r="I714" s="4" t="s">
        <v>79</v>
      </c>
      <c r="K714" s="11">
        <f>IF($E714="","",ROUND($E714*IF(ISNA(MATCH($C714,'Paramètres'!$D:$D,0)),1,IF(INDEX('Paramètres'!$J:$J,MATCH($C714,'Paramètres'!$D:$D,0))="",1,INDEX('Paramètres'!$J:$J,MATCH($C714,'Paramètres'!$D:$D,0)))),2))</f>
        <v>83.58</v>
      </c>
      <c r="L714" s="6" t="str">
        <f>IF($D714="","",IF($F714&lt;&gt;"",$F714,IF(ISNA(MATCH($D714,'Paramètres'!$M:$M,0)),"⚠ Type inconnu",IFERROR(INDEX('Paramètres'!$P:$P,MATCH($D714,'Paramètres'!$M:$M,0))&amp;"",""))))</f>
        <v>Débit</v>
      </c>
      <c r="M714" s="6" t="str">
        <f>IF($D714="","",IF(ISNA(MATCH($D714,'Paramètres'!$M:$M,0)),"⚠ Type inconnu",IF($L714="Crédit","",IFERROR(INDEX('Paramètres'!$O:$O,MATCH($D714,'Paramètres'!$M:$M,0))&amp;"",""))))</f>
        <v>Dépense Occasionnelle</v>
      </c>
      <c r="N714" s="6" t="str">
        <f>IF($D714="","",IFERROR(INDEX('Paramètres'!$Q:$Q,MATCH($D714,'Paramètres'!$M:$M,0))&amp;"",""))</f>
        <v>Alimentation</v>
      </c>
      <c r="O714" s="6">
        <f>IF($A714="","",IF(OR($J714&lt;&gt;"x",$A714&lt;=FinReleve),1,0))</f>
        <v>1</v>
      </c>
      <c r="P714" s="6">
        <f>IF($D714="","",IF(AND($L714="Crédit",OR(IFERROR(INDEX('Paramètres'!$O:$O,MATCH($D714,'Paramètres'!$M:$M,0))&amp;"","")&lt;&gt;"",ISNUMBER(SEARCH("remboursement",IFERROR(INDEX('Paramètres'!$N:$N,MATCH($D714,'Paramètres'!$M:$M,0))&amp;"",""))))),1,0))</f>
        <v>0</v>
      </c>
      <c r="Q714" s="6">
        <f>IF($K714="","",IF(ISNUMBER(SEARCH("transfert-interne",IFERROR(INDEX('Paramètres'!$N:$N,MATCH($D714,'Paramètres'!$M:$M,0))&amp;"",""))),0,IF($L714="Débit",$K714,IF($P714=1,-$K714,0))))</f>
        <v>83.58</v>
      </c>
      <c r="R714" s="6">
        <f>IF($K714="","",IF($L714="Crédit",$K714,-$K714))</f>
        <v>-83.58</v>
      </c>
      <c r="S714" s="6" t="str">
        <f>IF($C714="","",IFERROR(INDEX('Paramètres'!$H:$H,MATCH($C714,'Paramètres'!$D:$D,0))&amp;"",""))</f>
        <v>Banque A - Courant</v>
      </c>
      <c r="T714" s="6">
        <f>IF($K714="","",IF($S714="",0,IF(ISNUMBER(SEARCH("apport-exterieur",IFERROR(INDEX('Paramètres'!$N:$N,MATCH($D714,'Paramètres'!$M:$M,0))&amp;"",""))),0,IF(OR(IFERROR(INDEX('Paramètres'!$I:$I,MATCH($C714,'Paramètres'!$D:$D,0))&amp;"","")="Les deux",IFERROR(INDEX('Paramètres'!$I:$I,MATCH($C714,'Paramètres'!$D:$D,0))&amp;"","")=IF($P714=1,"Débit",$L714)),-IF($P714=1,-$K714,$K714),0))))</f>
        <v>-83.58</v>
      </c>
      <c r="U714" s="6">
        <f>IF($K714="","",IF(ISNUMBER(SEARCH("sortie-epargne",IFERROR(INDEX('Paramètres'!$N:$N,MATCH($D714,'Paramètres'!$M:$M,0))&amp;"",""))),$K714,0))</f>
        <v>0</v>
      </c>
      <c r="V714" s="6" t="str">
        <f>IF(AND($A714&lt;&gt;"",$O714=1,$L714="Débit",N($Q714)&gt;0,$A714&gt;=Visualisation!$B$1,$A714&lt;Visualisation!$D$1),MAX($V$1:V713)+1,"")</f>
        <v/>
      </c>
    </row>
    <row r="715" spans="1:22" x14ac:dyDescent="0.25">
      <c r="A715" s="9">
        <v>46044</v>
      </c>
      <c r="B715" s="4" t="s">
        <v>76</v>
      </c>
      <c r="C715" s="4" t="s">
        <v>60</v>
      </c>
      <c r="D715" s="4" t="s">
        <v>77</v>
      </c>
      <c r="E715" s="10">
        <v>127.98</v>
      </c>
      <c r="G715" s="4" t="s">
        <v>98</v>
      </c>
      <c r="H715" s="4"/>
      <c r="I715" s="4" t="s">
        <v>73</v>
      </c>
      <c r="K715" s="11">
        <f>IF($E715="","",ROUND($E715*IF(ISNA(MATCH($C715,'Paramètres'!$D:$D,0)),1,IF(INDEX('Paramètres'!$J:$J,MATCH($C715,'Paramètres'!$D:$D,0))="",1,INDEX('Paramètres'!$J:$J,MATCH($C715,'Paramètres'!$D:$D,0)))),2))</f>
        <v>63.99</v>
      </c>
      <c r="L715" s="6" t="str">
        <f>IF($D715="","",IF($F715&lt;&gt;"",$F715,IF(ISNA(MATCH($D715,'Paramètres'!$M:$M,0)),"⚠ Type inconnu",IFERROR(INDEX('Paramètres'!$P:$P,MATCH($D715,'Paramètres'!$M:$M,0))&amp;"",""))))</f>
        <v>Débit</v>
      </c>
      <c r="M715" s="6" t="str">
        <f>IF($D715="","",IF(ISNA(MATCH($D715,'Paramètres'!$M:$M,0)),"⚠ Type inconnu",IF($L715="Crédit","",IFERROR(INDEX('Paramètres'!$O:$O,MATCH($D715,'Paramètres'!$M:$M,0))&amp;"",""))))</f>
        <v>Dépense Courante</v>
      </c>
      <c r="N715" s="6" t="str">
        <f>IF($D715="","",IFERROR(INDEX('Paramètres'!$Q:$Q,MATCH($D715,'Paramètres'!$M:$M,0))&amp;"",""))</f>
        <v>Alimentation</v>
      </c>
      <c r="O715" s="6">
        <f>IF($A715="","",IF(OR($J715&lt;&gt;"x",$A715&lt;=FinReleve),1,0))</f>
        <v>1</v>
      </c>
      <c r="P715" s="6">
        <f>IF($D715="","",IF(AND($L715="Crédit",OR(IFERROR(INDEX('Paramètres'!$O:$O,MATCH($D715,'Paramètres'!$M:$M,0))&amp;"","")&lt;&gt;"",ISNUMBER(SEARCH("remboursement",IFERROR(INDEX('Paramètres'!$N:$N,MATCH($D715,'Paramètres'!$M:$M,0))&amp;"",""))))),1,0))</f>
        <v>0</v>
      </c>
      <c r="Q715" s="6">
        <f>IF($K715="","",IF(ISNUMBER(SEARCH("transfert-interne",IFERROR(INDEX('Paramètres'!$N:$N,MATCH($D715,'Paramètres'!$M:$M,0))&amp;"",""))),0,IF($L715="Débit",$K715,IF($P715=1,-$K715,0))))</f>
        <v>63.99</v>
      </c>
      <c r="R715" s="6">
        <f>IF($K715="","",IF($L715="Crédit",$K715,-$K715))</f>
        <v>-63.99</v>
      </c>
      <c r="S715" s="6" t="str">
        <f>IF($C715="","",IFERROR(INDEX('Paramètres'!$H:$H,MATCH($C715,'Paramètres'!$D:$D,0))&amp;"",""))</f>
        <v>Banque A - Courant</v>
      </c>
      <c r="T715" s="6">
        <f>IF($K715="","",IF($S715="",0,IF(ISNUMBER(SEARCH("apport-exterieur",IFERROR(INDEX('Paramètres'!$N:$N,MATCH($D715,'Paramètres'!$M:$M,0))&amp;"",""))),0,IF(OR(IFERROR(INDEX('Paramètres'!$I:$I,MATCH($C715,'Paramètres'!$D:$D,0))&amp;"","")="Les deux",IFERROR(INDEX('Paramètres'!$I:$I,MATCH($C715,'Paramètres'!$D:$D,0))&amp;"","")=IF($P715=1,"Débit",$L715)),-IF($P715=1,-$K715,$K715),0))))</f>
        <v>-63.99</v>
      </c>
      <c r="U715" s="6">
        <f>IF($K715="","",IF(ISNUMBER(SEARCH("sortie-epargne",IFERROR(INDEX('Paramètres'!$N:$N,MATCH($D715,'Paramètres'!$M:$M,0))&amp;"",""))),$K715,0))</f>
        <v>0</v>
      </c>
      <c r="V715" s="6" t="str">
        <f>IF(AND($A715&lt;&gt;"",$O715=1,$L715="Débit",N($Q715)&gt;0,$A715&gt;=Visualisation!$B$1,$A715&lt;Visualisation!$D$1),MAX($V$1:V714)+1,"")</f>
        <v/>
      </c>
    </row>
    <row r="716" spans="1:22" x14ac:dyDescent="0.25">
      <c r="A716" s="9">
        <v>46045</v>
      </c>
      <c r="B716" s="4" t="s">
        <v>76</v>
      </c>
      <c r="C716" s="4" t="s">
        <v>67</v>
      </c>
      <c r="D716" s="4" t="s">
        <v>77</v>
      </c>
      <c r="E716" s="10">
        <v>95.7</v>
      </c>
      <c r="G716" s="4" t="s">
        <v>102</v>
      </c>
      <c r="H716" s="4"/>
      <c r="I716" s="4" t="s">
        <v>63</v>
      </c>
      <c r="K716" s="11">
        <f>IF($E716="","",ROUND($E716*IF(ISNA(MATCH($C716,'Paramètres'!$D:$D,0)),1,IF(INDEX('Paramètres'!$J:$J,MATCH($C716,'Paramètres'!$D:$D,0))="",1,INDEX('Paramètres'!$J:$J,MATCH($C716,'Paramètres'!$D:$D,0)))),2))</f>
        <v>47.85</v>
      </c>
      <c r="L716" s="6" t="str">
        <f>IF($D716="","",IF($F716&lt;&gt;"",$F716,IF(ISNA(MATCH($D716,'Paramètres'!$M:$M,0)),"⚠ Type inconnu",IFERROR(INDEX('Paramètres'!$P:$P,MATCH($D716,'Paramètres'!$M:$M,0))&amp;"",""))))</f>
        <v>Débit</v>
      </c>
      <c r="M716" s="6" t="str">
        <f>IF($D716="","",IF(ISNA(MATCH($D716,'Paramètres'!$M:$M,0)),"⚠ Type inconnu",IF($L716="Crédit","",IFERROR(INDEX('Paramètres'!$O:$O,MATCH($D716,'Paramètres'!$M:$M,0))&amp;"",""))))</f>
        <v>Dépense Courante</v>
      </c>
      <c r="N716" s="6" t="str">
        <f>IF($D716="","",IFERROR(INDEX('Paramètres'!$Q:$Q,MATCH($D716,'Paramètres'!$M:$M,0))&amp;"",""))</f>
        <v>Alimentation</v>
      </c>
      <c r="O716" s="6">
        <f>IF($A716="","",IF(OR($J716&lt;&gt;"x",$A716&lt;=FinReleve),1,0))</f>
        <v>1</v>
      </c>
      <c r="P716" s="6">
        <f>IF($D716="","",IF(AND($L716="Crédit",OR(IFERROR(INDEX('Paramètres'!$O:$O,MATCH($D716,'Paramètres'!$M:$M,0))&amp;"","")&lt;&gt;"",ISNUMBER(SEARCH("remboursement",IFERROR(INDEX('Paramètres'!$N:$N,MATCH($D716,'Paramètres'!$M:$M,0))&amp;"",""))))),1,0))</f>
        <v>0</v>
      </c>
      <c r="Q716" s="6">
        <f>IF($K716="","",IF(ISNUMBER(SEARCH("transfert-interne",IFERROR(INDEX('Paramètres'!$N:$N,MATCH($D716,'Paramètres'!$M:$M,0))&amp;"",""))),0,IF($L716="Débit",$K716,IF($P716=1,-$K716,0))))</f>
        <v>47.85</v>
      </c>
      <c r="R716" s="6">
        <f>IF($K716="","",IF($L716="Crédit",$K716,-$K716))</f>
        <v>-47.85</v>
      </c>
      <c r="S716" s="6" t="str">
        <f>IF($C716="","",IFERROR(INDEX('Paramètres'!$H:$H,MATCH($C716,'Paramètres'!$D:$D,0))&amp;"",""))</f>
        <v>Banque A - Courant</v>
      </c>
      <c r="T716" s="6">
        <f>IF($K716="","",IF($S716="",0,IF(ISNUMBER(SEARCH("apport-exterieur",IFERROR(INDEX('Paramètres'!$N:$N,MATCH($D716,'Paramètres'!$M:$M,0))&amp;"",""))),0,IF(OR(IFERROR(INDEX('Paramètres'!$I:$I,MATCH($C716,'Paramètres'!$D:$D,0))&amp;"","")="Les deux",IFERROR(INDEX('Paramètres'!$I:$I,MATCH($C716,'Paramètres'!$D:$D,0))&amp;"","")=IF($P716=1,"Débit",$L716)),-IF($P716=1,-$K716,$K716),0))))</f>
        <v>0</v>
      </c>
      <c r="U716" s="6">
        <f>IF($K716="","",IF(ISNUMBER(SEARCH("sortie-epargne",IFERROR(INDEX('Paramètres'!$N:$N,MATCH($D716,'Paramètres'!$M:$M,0))&amp;"",""))),$K716,0))</f>
        <v>0</v>
      </c>
      <c r="V716" s="6" t="str">
        <f>IF(AND($A716&lt;&gt;"",$O716=1,$L716="Débit",N($Q716)&gt;0,$A716&gt;=Visualisation!$B$1,$A716&lt;Visualisation!$D$1),MAX($V$1:V715)+1,"")</f>
        <v/>
      </c>
    </row>
    <row r="717" spans="1:22" x14ac:dyDescent="0.25">
      <c r="A717" s="9">
        <v>46046</v>
      </c>
      <c r="B717" s="4" t="s">
        <v>121</v>
      </c>
      <c r="C717" s="4" t="s">
        <v>60</v>
      </c>
      <c r="D717" s="4" t="s">
        <v>121</v>
      </c>
      <c r="E717" s="10">
        <v>226.38</v>
      </c>
      <c r="G717" s="4" t="s">
        <v>127</v>
      </c>
      <c r="H717" s="4"/>
      <c r="I717" s="4" t="s">
        <v>79</v>
      </c>
      <c r="K717" s="11">
        <f>IF($E717="","",ROUND($E717*IF(ISNA(MATCH($C717,'Paramètres'!$D:$D,0)),1,IF(INDEX('Paramètres'!$J:$J,MATCH($C717,'Paramètres'!$D:$D,0))="",1,INDEX('Paramètres'!$J:$J,MATCH($C717,'Paramètres'!$D:$D,0)))),2))</f>
        <v>113.19</v>
      </c>
      <c r="L717" s="6" t="str">
        <f>IF($D717="","",IF($F717&lt;&gt;"",$F717,IF(ISNA(MATCH($D717,'Paramètres'!$M:$M,0)),"⚠ Type inconnu",IFERROR(INDEX('Paramètres'!$P:$P,MATCH($D717,'Paramètres'!$M:$M,0))&amp;"",""))))</f>
        <v>Débit</v>
      </c>
      <c r="M717" s="6" t="str">
        <f>IF($D717="","",IF(ISNA(MATCH($D717,'Paramètres'!$M:$M,0)),"⚠ Type inconnu",IF($L717="Crédit","",IFERROR(INDEX('Paramètres'!$O:$O,MATCH($D717,'Paramètres'!$M:$M,0))&amp;"",""))))</f>
        <v>Dépense Occasionnelle</v>
      </c>
      <c r="N717" s="6" t="str">
        <f>IF($D717="","",IFERROR(INDEX('Paramètres'!$Q:$Q,MATCH($D717,'Paramètres'!$M:$M,0))&amp;"",""))</f>
        <v>Autre</v>
      </c>
      <c r="O717" s="6">
        <f>IF($A717="","",IF(OR($J717&lt;&gt;"x",$A717&lt;=FinReleve),1,0))</f>
        <v>1</v>
      </c>
      <c r="P717" s="6">
        <f>IF($D717="","",IF(AND($L717="Crédit",OR(IFERROR(INDEX('Paramètres'!$O:$O,MATCH($D717,'Paramètres'!$M:$M,0))&amp;"","")&lt;&gt;"",ISNUMBER(SEARCH("remboursement",IFERROR(INDEX('Paramètres'!$N:$N,MATCH($D717,'Paramètres'!$M:$M,0))&amp;"",""))))),1,0))</f>
        <v>0</v>
      </c>
      <c r="Q717" s="6">
        <f>IF($K717="","",IF(ISNUMBER(SEARCH("transfert-interne",IFERROR(INDEX('Paramètres'!$N:$N,MATCH($D717,'Paramètres'!$M:$M,0))&amp;"",""))),0,IF($L717="Débit",$K717,IF($P717=1,-$K717,0))))</f>
        <v>113.19</v>
      </c>
      <c r="R717" s="6">
        <f>IF($K717="","",IF($L717="Crédit",$K717,-$K717))</f>
        <v>-113.19</v>
      </c>
      <c r="S717" s="6" t="str">
        <f>IF($C717="","",IFERROR(INDEX('Paramètres'!$H:$H,MATCH($C717,'Paramètres'!$D:$D,0))&amp;"",""))</f>
        <v>Banque A - Courant</v>
      </c>
      <c r="T717" s="6">
        <f>IF($K717="","",IF($S717="",0,IF(ISNUMBER(SEARCH("apport-exterieur",IFERROR(INDEX('Paramètres'!$N:$N,MATCH($D717,'Paramètres'!$M:$M,0))&amp;"",""))),0,IF(OR(IFERROR(INDEX('Paramètres'!$I:$I,MATCH($C717,'Paramètres'!$D:$D,0))&amp;"","")="Les deux",IFERROR(INDEX('Paramètres'!$I:$I,MATCH($C717,'Paramètres'!$D:$D,0))&amp;"","")=IF($P717=1,"Débit",$L717)),-IF($P717=1,-$K717,$K717),0))))</f>
        <v>-113.19</v>
      </c>
      <c r="U717" s="6">
        <f>IF($K717="","",IF(ISNUMBER(SEARCH("sortie-epargne",IFERROR(INDEX('Paramètres'!$N:$N,MATCH($D717,'Paramètres'!$M:$M,0))&amp;"",""))),$K717,0))</f>
        <v>0</v>
      </c>
      <c r="V717" s="6" t="str">
        <f>IF(AND($A717&lt;&gt;"",$O717=1,$L717="Débit",N($Q717)&gt;0,$A717&gt;=Visualisation!$B$1,$A717&lt;Visualisation!$D$1),MAX($V$1:V716)+1,"")</f>
        <v/>
      </c>
    </row>
    <row r="718" spans="1:22" x14ac:dyDescent="0.25">
      <c r="A718" s="9">
        <v>46047</v>
      </c>
      <c r="B718" s="4" t="s">
        <v>69</v>
      </c>
      <c r="C718" s="4" t="s">
        <v>70</v>
      </c>
      <c r="D718" s="4" t="s">
        <v>71</v>
      </c>
      <c r="E718" s="10">
        <v>11.55</v>
      </c>
      <c r="G718" s="4" t="s">
        <v>72</v>
      </c>
      <c r="H718" s="4"/>
      <c r="I718" s="4" t="s">
        <v>63</v>
      </c>
      <c r="K718" s="11">
        <f>IF($E718="","",ROUND($E718*IF(ISNA(MATCH($C718,'Paramètres'!$D:$D,0)),1,IF(INDEX('Paramètres'!$J:$J,MATCH($C718,'Paramètres'!$D:$D,0))="",1,INDEX('Paramètres'!$J:$J,MATCH($C718,'Paramètres'!$D:$D,0)))),2))</f>
        <v>11.55</v>
      </c>
      <c r="L718" s="6" t="str">
        <f>IF($D718="","",IF($F718&lt;&gt;"",$F718,IF(ISNA(MATCH($D718,'Paramètres'!$M:$M,0)),"⚠ Type inconnu",IFERROR(INDEX('Paramètres'!$P:$P,MATCH($D718,'Paramètres'!$M:$M,0))&amp;"",""))))</f>
        <v>Débit</v>
      </c>
      <c r="M718" s="6" t="str">
        <f>IF($D718="","",IF(ISNA(MATCH($D718,'Paramètres'!$M:$M,0)),"⚠ Type inconnu",IF($L718="Crédit","",IFERROR(INDEX('Paramètres'!$O:$O,MATCH($D718,'Paramètres'!$M:$M,0))&amp;"",""))))</f>
        <v>Dépense Courante</v>
      </c>
      <c r="N718" s="6" t="str">
        <f>IF($D718="","",IFERROR(INDEX('Paramètres'!$Q:$Q,MATCH($D718,'Paramètres'!$M:$M,0))&amp;"",""))</f>
        <v>Alimentation</v>
      </c>
      <c r="O718" s="6">
        <f>IF($A718="","",IF(OR($J718&lt;&gt;"x",$A718&lt;=FinReleve),1,0))</f>
        <v>1</v>
      </c>
      <c r="P718" s="6">
        <f>IF($D718="","",IF(AND($L718="Crédit",OR(IFERROR(INDEX('Paramètres'!$O:$O,MATCH($D718,'Paramètres'!$M:$M,0))&amp;"","")&lt;&gt;"",ISNUMBER(SEARCH("remboursement",IFERROR(INDEX('Paramètres'!$N:$N,MATCH($D718,'Paramètres'!$M:$M,0))&amp;"",""))))),1,0))</f>
        <v>0</v>
      </c>
      <c r="Q718" s="6">
        <f>IF($K718="","",IF(ISNUMBER(SEARCH("transfert-interne",IFERROR(INDEX('Paramètres'!$N:$N,MATCH($D718,'Paramètres'!$M:$M,0))&amp;"",""))),0,IF($L718="Débit",$K718,IF($P718=1,-$K718,0))))</f>
        <v>11.55</v>
      </c>
      <c r="R718" s="6">
        <f>IF($K718="","",IF($L718="Crédit",$K718,-$K718))</f>
        <v>-11.55</v>
      </c>
      <c r="S718" s="6" t="str">
        <f>IF($C718="","",IFERROR(INDEX('Paramètres'!$H:$H,MATCH($C718,'Paramètres'!$D:$D,0))&amp;"",""))</f>
        <v/>
      </c>
      <c r="T718" s="6">
        <f>IF($K718="","",IF($S718="",0,IF(ISNUMBER(SEARCH("apport-exterieur",IFERROR(INDEX('Paramètres'!$N:$N,MATCH($D718,'Paramètres'!$M:$M,0))&amp;"",""))),0,IF(OR(IFERROR(INDEX('Paramètres'!$I:$I,MATCH($C718,'Paramètres'!$D:$D,0))&amp;"","")="Les deux",IFERROR(INDEX('Paramètres'!$I:$I,MATCH($C718,'Paramètres'!$D:$D,0))&amp;"","")=IF($P718=1,"Débit",$L718)),-IF($P718=1,-$K718,$K718),0))))</f>
        <v>0</v>
      </c>
      <c r="U718" s="6">
        <f>IF($K718="","",IF(ISNUMBER(SEARCH("sortie-epargne",IFERROR(INDEX('Paramètres'!$N:$N,MATCH($D718,'Paramètres'!$M:$M,0))&amp;"",""))),$K718,0))</f>
        <v>0</v>
      </c>
      <c r="V718" s="6" t="str">
        <f>IF(AND($A718&lt;&gt;"",$O718=1,$L718="Débit",N($Q718)&gt;0,$A718&gt;=Visualisation!$B$1,$A718&lt;Visualisation!$D$1),MAX($V$1:V717)+1,"")</f>
        <v/>
      </c>
    </row>
    <row r="719" spans="1:22" x14ac:dyDescent="0.25">
      <c r="A719" s="9">
        <v>46047</v>
      </c>
      <c r="B719" s="4" t="s">
        <v>69</v>
      </c>
      <c r="C719" s="4" t="s">
        <v>70</v>
      </c>
      <c r="D719" s="4" t="s">
        <v>71</v>
      </c>
      <c r="E719" s="10">
        <v>11.66</v>
      </c>
      <c r="G719" s="4" t="s">
        <v>72</v>
      </c>
      <c r="H719" s="4"/>
      <c r="I719" s="4"/>
      <c r="K719" s="11">
        <f>IF($E719="","",ROUND($E719*IF(ISNA(MATCH($C719,'Paramètres'!$D:$D,0)),1,IF(INDEX('Paramètres'!$J:$J,MATCH($C719,'Paramètres'!$D:$D,0))="",1,INDEX('Paramètres'!$J:$J,MATCH($C719,'Paramètres'!$D:$D,0)))),2))</f>
        <v>11.66</v>
      </c>
      <c r="L719" s="6" t="str">
        <f>IF($D719="","",IF($F719&lt;&gt;"",$F719,IF(ISNA(MATCH($D719,'Paramètres'!$M:$M,0)),"⚠ Type inconnu",IFERROR(INDEX('Paramètres'!$P:$P,MATCH($D719,'Paramètres'!$M:$M,0))&amp;"",""))))</f>
        <v>Débit</v>
      </c>
      <c r="M719" s="6" t="str">
        <f>IF($D719="","",IF(ISNA(MATCH($D719,'Paramètres'!$M:$M,0)),"⚠ Type inconnu",IF($L719="Crédit","",IFERROR(INDEX('Paramètres'!$O:$O,MATCH($D719,'Paramètres'!$M:$M,0))&amp;"",""))))</f>
        <v>Dépense Courante</v>
      </c>
      <c r="N719" s="6" t="str">
        <f>IF($D719="","",IFERROR(INDEX('Paramètres'!$Q:$Q,MATCH($D719,'Paramètres'!$M:$M,0))&amp;"",""))</f>
        <v>Alimentation</v>
      </c>
      <c r="O719" s="6">
        <f>IF($A719="","",IF(OR($J719&lt;&gt;"x",$A719&lt;=FinReleve),1,0))</f>
        <v>1</v>
      </c>
      <c r="P719" s="6">
        <f>IF($D719="","",IF(AND($L719="Crédit",OR(IFERROR(INDEX('Paramètres'!$O:$O,MATCH($D719,'Paramètres'!$M:$M,0))&amp;"","")&lt;&gt;"",ISNUMBER(SEARCH("remboursement",IFERROR(INDEX('Paramètres'!$N:$N,MATCH($D719,'Paramètres'!$M:$M,0))&amp;"",""))))),1,0))</f>
        <v>0</v>
      </c>
      <c r="Q719" s="6">
        <f>IF($K719="","",IF(ISNUMBER(SEARCH("transfert-interne",IFERROR(INDEX('Paramètres'!$N:$N,MATCH($D719,'Paramètres'!$M:$M,0))&amp;"",""))),0,IF($L719="Débit",$K719,IF($P719=1,-$K719,0))))</f>
        <v>11.66</v>
      </c>
      <c r="R719" s="6">
        <f>IF($K719="","",IF($L719="Crédit",$K719,-$K719))</f>
        <v>-11.66</v>
      </c>
      <c r="S719" s="6" t="str">
        <f>IF($C719="","",IFERROR(INDEX('Paramètres'!$H:$H,MATCH($C719,'Paramètres'!$D:$D,0))&amp;"",""))</f>
        <v/>
      </c>
      <c r="T719" s="6">
        <f>IF($K719="","",IF($S719="",0,IF(ISNUMBER(SEARCH("apport-exterieur",IFERROR(INDEX('Paramètres'!$N:$N,MATCH($D719,'Paramètres'!$M:$M,0))&amp;"",""))),0,IF(OR(IFERROR(INDEX('Paramètres'!$I:$I,MATCH($C719,'Paramètres'!$D:$D,0))&amp;"","")="Les deux",IFERROR(INDEX('Paramètres'!$I:$I,MATCH($C719,'Paramètres'!$D:$D,0))&amp;"","")=IF($P719=1,"Débit",$L719)),-IF($P719=1,-$K719,$K719),0))))</f>
        <v>0</v>
      </c>
      <c r="U719" s="6">
        <f>IF($K719="","",IF(ISNUMBER(SEARCH("sortie-epargne",IFERROR(INDEX('Paramètres'!$N:$N,MATCH($D719,'Paramètres'!$M:$M,0))&amp;"",""))),$K719,0))</f>
        <v>0</v>
      </c>
      <c r="V719" s="6" t="str">
        <f>IF(AND($A719&lt;&gt;"",$O719=1,$L719="Débit",N($Q719)&gt;0,$A719&gt;=Visualisation!$B$1,$A719&lt;Visualisation!$D$1),MAX($V$1:V718)+1,"")</f>
        <v/>
      </c>
    </row>
    <row r="720" spans="1:22" x14ac:dyDescent="0.25">
      <c r="A720" s="9">
        <v>46048</v>
      </c>
      <c r="B720" s="4" t="s">
        <v>76</v>
      </c>
      <c r="C720" s="4" t="s">
        <v>67</v>
      </c>
      <c r="D720" s="4" t="s">
        <v>77</v>
      </c>
      <c r="E720" s="10">
        <v>50</v>
      </c>
      <c r="G720" s="4" t="s">
        <v>98</v>
      </c>
      <c r="H720" s="4"/>
      <c r="I720" s="4" t="s">
        <v>63</v>
      </c>
      <c r="K720" s="11">
        <f>IF($E720="","",ROUND($E720*IF(ISNA(MATCH($C720,'Paramètres'!$D:$D,0)),1,IF(INDEX('Paramètres'!$J:$J,MATCH($C720,'Paramètres'!$D:$D,0))="",1,INDEX('Paramètres'!$J:$J,MATCH($C720,'Paramètres'!$D:$D,0)))),2))</f>
        <v>25</v>
      </c>
      <c r="L720" s="6" t="str">
        <f>IF($D720="","",IF($F720&lt;&gt;"",$F720,IF(ISNA(MATCH($D720,'Paramètres'!$M:$M,0)),"⚠ Type inconnu",IFERROR(INDEX('Paramètres'!$P:$P,MATCH($D720,'Paramètres'!$M:$M,0))&amp;"",""))))</f>
        <v>Débit</v>
      </c>
      <c r="M720" s="6" t="str">
        <f>IF($D720="","",IF(ISNA(MATCH($D720,'Paramètres'!$M:$M,0)),"⚠ Type inconnu",IF($L720="Crédit","",IFERROR(INDEX('Paramètres'!$O:$O,MATCH($D720,'Paramètres'!$M:$M,0))&amp;"",""))))</f>
        <v>Dépense Courante</v>
      </c>
      <c r="N720" s="6" t="str">
        <f>IF($D720="","",IFERROR(INDEX('Paramètres'!$Q:$Q,MATCH($D720,'Paramètres'!$M:$M,0))&amp;"",""))</f>
        <v>Alimentation</v>
      </c>
      <c r="O720" s="6">
        <f>IF($A720="","",IF(OR($J720&lt;&gt;"x",$A720&lt;=FinReleve),1,0))</f>
        <v>1</v>
      </c>
      <c r="P720" s="6">
        <f>IF($D720="","",IF(AND($L720="Crédit",OR(IFERROR(INDEX('Paramètres'!$O:$O,MATCH($D720,'Paramètres'!$M:$M,0))&amp;"","")&lt;&gt;"",ISNUMBER(SEARCH("remboursement",IFERROR(INDEX('Paramètres'!$N:$N,MATCH($D720,'Paramètres'!$M:$M,0))&amp;"",""))))),1,0))</f>
        <v>0</v>
      </c>
      <c r="Q720" s="6">
        <f>IF($K720="","",IF(ISNUMBER(SEARCH("transfert-interne",IFERROR(INDEX('Paramètres'!$N:$N,MATCH($D720,'Paramètres'!$M:$M,0))&amp;"",""))),0,IF($L720="Débit",$K720,IF($P720=1,-$K720,0))))</f>
        <v>25</v>
      </c>
      <c r="R720" s="6">
        <f>IF($K720="","",IF($L720="Crédit",$K720,-$K720))</f>
        <v>-25</v>
      </c>
      <c r="S720" s="6" t="str">
        <f>IF($C720="","",IFERROR(INDEX('Paramètres'!$H:$H,MATCH($C720,'Paramètres'!$D:$D,0))&amp;"",""))</f>
        <v>Banque A - Courant</v>
      </c>
      <c r="T720" s="6">
        <f>IF($K720="","",IF($S720="",0,IF(ISNUMBER(SEARCH("apport-exterieur",IFERROR(INDEX('Paramètres'!$N:$N,MATCH($D720,'Paramètres'!$M:$M,0))&amp;"",""))),0,IF(OR(IFERROR(INDEX('Paramètres'!$I:$I,MATCH($C720,'Paramètres'!$D:$D,0))&amp;"","")="Les deux",IFERROR(INDEX('Paramètres'!$I:$I,MATCH($C720,'Paramètres'!$D:$D,0))&amp;"","")=IF($P720=1,"Débit",$L720)),-IF($P720=1,-$K720,$K720),0))))</f>
        <v>0</v>
      </c>
      <c r="U720" s="6">
        <f>IF($K720="","",IF(ISNUMBER(SEARCH("sortie-epargne",IFERROR(INDEX('Paramètres'!$N:$N,MATCH($D720,'Paramètres'!$M:$M,0))&amp;"",""))),$K720,0))</f>
        <v>0</v>
      </c>
      <c r="V720" s="6" t="str">
        <f>IF(AND($A720&lt;&gt;"",$O720=1,$L720="Débit",N($Q720)&gt;0,$A720&gt;=Visualisation!$B$1,$A720&lt;Visualisation!$D$1),MAX($V$1:V719)+1,"")</f>
        <v/>
      </c>
    </row>
    <row r="721" spans="1:22" x14ac:dyDescent="0.25">
      <c r="A721" s="9">
        <v>46048</v>
      </c>
      <c r="B721" s="4" t="s">
        <v>90</v>
      </c>
      <c r="C721" s="4" t="s">
        <v>75</v>
      </c>
      <c r="D721" s="4" t="s">
        <v>91</v>
      </c>
      <c r="E721" s="10">
        <v>38.68</v>
      </c>
      <c r="G721" s="4" t="s">
        <v>104</v>
      </c>
      <c r="H721" s="4"/>
      <c r="I721" s="4"/>
      <c r="K721" s="11">
        <f>IF($E721="","",ROUND($E721*IF(ISNA(MATCH($C721,'Paramètres'!$D:$D,0)),1,IF(INDEX('Paramètres'!$J:$J,MATCH($C721,'Paramètres'!$D:$D,0))="",1,INDEX('Paramètres'!$J:$J,MATCH($C721,'Paramètres'!$D:$D,0)))),2))</f>
        <v>38.68</v>
      </c>
      <c r="L721" s="6" t="str">
        <f>IF($D721="","",IF($F721&lt;&gt;"",$F721,IF(ISNA(MATCH($D721,'Paramètres'!$M:$M,0)),"⚠ Type inconnu",IFERROR(INDEX('Paramètres'!$P:$P,MATCH($D721,'Paramètres'!$M:$M,0))&amp;"",""))))</f>
        <v>Débit</v>
      </c>
      <c r="M721" s="6" t="str">
        <f>IF($D721="","",IF(ISNA(MATCH($D721,'Paramètres'!$M:$M,0)),"⚠ Type inconnu",IF($L721="Crédit","",IFERROR(INDEX('Paramètres'!$O:$O,MATCH($D721,'Paramètres'!$M:$M,0))&amp;"",""))))</f>
        <v>Dépense Courante</v>
      </c>
      <c r="N721" s="6" t="str">
        <f>IF($D721="","",IFERROR(INDEX('Paramètres'!$Q:$Q,MATCH($D721,'Paramètres'!$M:$M,0))&amp;"",""))</f>
        <v>Transport</v>
      </c>
      <c r="O721" s="6">
        <f>IF($A721="","",IF(OR($J721&lt;&gt;"x",$A721&lt;=FinReleve),1,0))</f>
        <v>1</v>
      </c>
      <c r="P721" s="6">
        <f>IF($D721="","",IF(AND($L721="Crédit",OR(IFERROR(INDEX('Paramètres'!$O:$O,MATCH($D721,'Paramètres'!$M:$M,0))&amp;"","")&lt;&gt;"",ISNUMBER(SEARCH("remboursement",IFERROR(INDEX('Paramètres'!$N:$N,MATCH($D721,'Paramètres'!$M:$M,0))&amp;"",""))))),1,0))</f>
        <v>0</v>
      </c>
      <c r="Q721" s="6">
        <f>IF($K721="","",IF(ISNUMBER(SEARCH("transfert-interne",IFERROR(INDEX('Paramètres'!$N:$N,MATCH($D721,'Paramètres'!$M:$M,0))&amp;"",""))),0,IF($L721="Débit",$K721,IF($P721=1,-$K721,0))))</f>
        <v>38.68</v>
      </c>
      <c r="R721" s="6">
        <f>IF($K721="","",IF($L721="Crédit",$K721,-$K721))</f>
        <v>-38.68</v>
      </c>
      <c r="S721" s="6" t="str">
        <f>IF($C721="","",IFERROR(INDEX('Paramètres'!$H:$H,MATCH($C721,'Paramètres'!$D:$D,0))&amp;"",""))</f>
        <v/>
      </c>
      <c r="T721" s="6">
        <f>IF($K721="","",IF($S721="",0,IF(ISNUMBER(SEARCH("apport-exterieur",IFERROR(INDEX('Paramètres'!$N:$N,MATCH($D721,'Paramètres'!$M:$M,0))&amp;"",""))),0,IF(OR(IFERROR(INDEX('Paramètres'!$I:$I,MATCH($C721,'Paramètres'!$D:$D,0))&amp;"","")="Les deux",IFERROR(INDEX('Paramètres'!$I:$I,MATCH($C721,'Paramètres'!$D:$D,0))&amp;"","")=IF($P721=1,"Débit",$L721)),-IF($P721=1,-$K721,$K721),0))))</f>
        <v>0</v>
      </c>
      <c r="U721" s="6">
        <f>IF($K721="","",IF(ISNUMBER(SEARCH("sortie-epargne",IFERROR(INDEX('Paramètres'!$N:$N,MATCH($D721,'Paramètres'!$M:$M,0))&amp;"",""))),$K721,0))</f>
        <v>0</v>
      </c>
      <c r="V721" s="6" t="str">
        <f>IF(AND($A721&lt;&gt;"",$O721=1,$L721="Débit",N($Q721)&gt;0,$A721&gt;=Visualisation!$B$1,$A721&lt;Visualisation!$D$1),MAX($V$1:V720)+1,"")</f>
        <v/>
      </c>
    </row>
    <row r="722" spans="1:22" x14ac:dyDescent="0.25">
      <c r="A722" s="9">
        <v>46048</v>
      </c>
      <c r="B722" s="4" t="s">
        <v>105</v>
      </c>
      <c r="C722" s="4" t="s">
        <v>75</v>
      </c>
      <c r="D722" s="4" t="s">
        <v>110</v>
      </c>
      <c r="E722" s="10">
        <v>150</v>
      </c>
      <c r="G722" s="4"/>
      <c r="H722" s="4"/>
      <c r="I722" s="4"/>
      <c r="K722" s="11">
        <f>IF($E722="","",ROUND($E722*IF(ISNA(MATCH($C722,'Paramètres'!$D:$D,0)),1,IF(INDEX('Paramètres'!$J:$J,MATCH($C722,'Paramètres'!$D:$D,0))="",1,INDEX('Paramètres'!$J:$J,MATCH($C722,'Paramètres'!$D:$D,0)))),2))</f>
        <v>150</v>
      </c>
      <c r="L722" s="6" t="str">
        <f>IF($D722="","",IF($F722&lt;&gt;"",$F722,IF(ISNA(MATCH($D722,'Paramètres'!$M:$M,0)),"⚠ Type inconnu",IFERROR(INDEX('Paramètres'!$P:$P,MATCH($D722,'Paramètres'!$M:$M,0))&amp;"",""))))</f>
        <v>Débit</v>
      </c>
      <c r="M722" s="6" t="str">
        <f>IF($D722="","",IF(ISNA(MATCH($D722,'Paramètres'!$M:$M,0)),"⚠ Type inconnu",IF($L722="Crédit","",IFERROR(INDEX('Paramètres'!$O:$O,MATCH($D722,'Paramètres'!$M:$M,0))&amp;"",""))))</f>
        <v/>
      </c>
      <c r="N722" s="6" t="str">
        <f>IF($D722="","",IFERROR(INDEX('Paramètres'!$Q:$Q,MATCH($D722,'Paramètres'!$M:$M,0))&amp;"",""))</f>
        <v>Comptes Bancaires</v>
      </c>
      <c r="O722" s="6">
        <f>IF($A722="","",IF(OR($J722&lt;&gt;"x",$A722&lt;=FinReleve),1,0))</f>
        <v>1</v>
      </c>
      <c r="P722" s="6">
        <f>IF($D722="","",IF(AND($L722="Crédit",OR(IFERROR(INDEX('Paramètres'!$O:$O,MATCH($D722,'Paramètres'!$M:$M,0))&amp;"","")&lt;&gt;"",ISNUMBER(SEARCH("remboursement",IFERROR(INDEX('Paramètres'!$N:$N,MATCH($D722,'Paramètres'!$M:$M,0))&amp;"",""))))),1,0))</f>
        <v>0</v>
      </c>
      <c r="Q722" s="6">
        <f>IF($K722="","",IF(ISNUMBER(SEARCH("transfert-interne",IFERROR(INDEX('Paramètres'!$N:$N,MATCH($D722,'Paramètres'!$M:$M,0))&amp;"",""))),0,IF($L722="Débit",$K722,IF($P722=1,-$K722,0))))</f>
        <v>0</v>
      </c>
      <c r="R722" s="6">
        <f>IF($K722="","",IF($L722="Crédit",$K722,-$K722))</f>
        <v>-150</v>
      </c>
      <c r="S722" s="6" t="str">
        <f>IF($C722="","",IFERROR(INDEX('Paramètres'!$H:$H,MATCH($C722,'Paramètres'!$D:$D,0))&amp;"",""))</f>
        <v/>
      </c>
      <c r="T722" s="6">
        <f>IF($K722="","",IF($S722="",0,IF(ISNUMBER(SEARCH("apport-exterieur",IFERROR(INDEX('Paramètres'!$N:$N,MATCH($D722,'Paramètres'!$M:$M,0))&amp;"",""))),0,IF(OR(IFERROR(INDEX('Paramètres'!$I:$I,MATCH($C722,'Paramètres'!$D:$D,0))&amp;"","")="Les deux",IFERROR(INDEX('Paramètres'!$I:$I,MATCH($C722,'Paramètres'!$D:$D,0))&amp;"","")=IF($P722=1,"Débit",$L722)),-IF($P722=1,-$K722,$K722),0))))</f>
        <v>0</v>
      </c>
      <c r="U722" s="6">
        <f>IF($K722="","",IF(ISNUMBER(SEARCH("sortie-epargne",IFERROR(INDEX('Paramètres'!$N:$N,MATCH($D722,'Paramètres'!$M:$M,0))&amp;"",""))),$K722,0))</f>
        <v>0</v>
      </c>
      <c r="V722" s="6" t="str">
        <f>IF(AND($A722&lt;&gt;"",$O722=1,$L722="Débit",N($Q722)&gt;0,$A722&gt;=Visualisation!$B$1,$A722&lt;Visualisation!$D$1),MAX($V$1:V721)+1,"")</f>
        <v/>
      </c>
    </row>
    <row r="723" spans="1:22" x14ac:dyDescent="0.25">
      <c r="A723" s="9">
        <v>46048</v>
      </c>
      <c r="B723" s="4" t="s">
        <v>105</v>
      </c>
      <c r="C723" s="4" t="s">
        <v>75</v>
      </c>
      <c r="D723" s="4" t="s">
        <v>111</v>
      </c>
      <c r="E723" s="10">
        <v>200</v>
      </c>
      <c r="G723" s="4"/>
      <c r="H723" s="4"/>
      <c r="I723" s="4"/>
      <c r="K723" s="11">
        <f>IF($E723="","",ROUND($E723*IF(ISNA(MATCH($C723,'Paramètres'!$D:$D,0)),1,IF(INDEX('Paramètres'!$J:$J,MATCH($C723,'Paramètres'!$D:$D,0))="",1,INDEX('Paramètres'!$J:$J,MATCH($C723,'Paramètres'!$D:$D,0)))),2))</f>
        <v>200</v>
      </c>
      <c r="L723" s="6" t="str">
        <f>IF($D723="","",IF($F723&lt;&gt;"",$F723,IF(ISNA(MATCH($D723,'Paramètres'!$M:$M,0)),"⚠ Type inconnu",IFERROR(INDEX('Paramètres'!$P:$P,MATCH($D723,'Paramètres'!$M:$M,0))&amp;"",""))))</f>
        <v>Débit</v>
      </c>
      <c r="M723" s="6" t="str">
        <f>IF($D723="","",IF(ISNA(MATCH($D723,'Paramètres'!$M:$M,0)),"⚠ Type inconnu",IF($L723="Crédit","",IFERROR(INDEX('Paramètres'!$O:$O,MATCH($D723,'Paramètres'!$M:$M,0))&amp;"",""))))</f>
        <v/>
      </c>
      <c r="N723" s="6" t="str">
        <f>IF($D723="","",IFERROR(INDEX('Paramètres'!$Q:$Q,MATCH($D723,'Paramètres'!$M:$M,0))&amp;"",""))</f>
        <v>Comptes Bancaires</v>
      </c>
      <c r="O723" s="6">
        <f>IF($A723="","",IF(OR($J723&lt;&gt;"x",$A723&lt;=FinReleve),1,0))</f>
        <v>1</v>
      </c>
      <c r="P723" s="6">
        <f>IF($D723="","",IF(AND($L723="Crédit",OR(IFERROR(INDEX('Paramètres'!$O:$O,MATCH($D723,'Paramètres'!$M:$M,0))&amp;"","")&lt;&gt;"",ISNUMBER(SEARCH("remboursement",IFERROR(INDEX('Paramètres'!$N:$N,MATCH($D723,'Paramètres'!$M:$M,0))&amp;"",""))))),1,0))</f>
        <v>0</v>
      </c>
      <c r="Q723" s="6">
        <f>IF($K723="","",IF(ISNUMBER(SEARCH("transfert-interne",IFERROR(INDEX('Paramètres'!$N:$N,MATCH($D723,'Paramètres'!$M:$M,0))&amp;"",""))),0,IF($L723="Débit",$K723,IF($P723=1,-$K723,0))))</f>
        <v>200</v>
      </c>
      <c r="R723" s="6">
        <f>IF($K723="","",IF($L723="Crédit",$K723,-$K723))</f>
        <v>-200</v>
      </c>
      <c r="S723" s="6" t="str">
        <f>IF($C723="","",IFERROR(INDEX('Paramètres'!$H:$H,MATCH($C723,'Paramètres'!$D:$D,0))&amp;"",""))</f>
        <v/>
      </c>
      <c r="T723" s="6">
        <f>IF($K723="","",IF($S723="",0,IF(ISNUMBER(SEARCH("apport-exterieur",IFERROR(INDEX('Paramètres'!$N:$N,MATCH($D723,'Paramètres'!$M:$M,0))&amp;"",""))),0,IF(OR(IFERROR(INDEX('Paramètres'!$I:$I,MATCH($C723,'Paramètres'!$D:$D,0))&amp;"","")="Les deux",IFERROR(INDEX('Paramètres'!$I:$I,MATCH($C723,'Paramètres'!$D:$D,0))&amp;"","")=IF($P723=1,"Débit",$L723)),-IF($P723=1,-$K723,$K723),0))))</f>
        <v>0</v>
      </c>
      <c r="U723" s="6">
        <f>IF($K723="","",IF(ISNUMBER(SEARCH("sortie-epargne",IFERROR(INDEX('Paramètres'!$N:$N,MATCH($D723,'Paramètres'!$M:$M,0))&amp;"",""))),$K723,0))</f>
        <v>0</v>
      </c>
      <c r="V723" s="6" t="str">
        <f>IF(AND($A723&lt;&gt;"",$O723=1,$L723="Débit",N($Q723)&gt;0,$A723&gt;=Visualisation!$B$1,$A723&lt;Visualisation!$D$1),MAX($V$1:V722)+1,"")</f>
        <v/>
      </c>
    </row>
    <row r="724" spans="1:22" x14ac:dyDescent="0.25">
      <c r="A724" s="9">
        <v>46048</v>
      </c>
      <c r="B724" s="4" t="s">
        <v>112</v>
      </c>
      <c r="C724" s="4" t="s">
        <v>75</v>
      </c>
      <c r="D724" s="4" t="s">
        <v>113</v>
      </c>
      <c r="E724" s="10">
        <v>120</v>
      </c>
      <c r="G724" s="4"/>
      <c r="H724" s="4"/>
      <c r="I724" s="4"/>
      <c r="K724" s="11">
        <f>IF($E724="","",ROUND($E724*IF(ISNA(MATCH($C724,'Paramètres'!$D:$D,0)),1,IF(INDEX('Paramètres'!$J:$J,MATCH($C724,'Paramètres'!$D:$D,0))="",1,INDEX('Paramètres'!$J:$J,MATCH($C724,'Paramètres'!$D:$D,0)))),2))</f>
        <v>120</v>
      </c>
      <c r="L724" s="6" t="str">
        <f>IF($D724="","",IF($F724&lt;&gt;"",$F724,IF(ISNA(MATCH($D724,'Paramètres'!$M:$M,0)),"⚠ Type inconnu",IFERROR(INDEX('Paramètres'!$P:$P,MATCH($D724,'Paramètres'!$M:$M,0))&amp;"",""))))</f>
        <v>Débit</v>
      </c>
      <c r="M724" s="6" t="str">
        <f>IF($D724="","",IF(ISNA(MATCH($D724,'Paramètres'!$M:$M,0)),"⚠ Type inconnu",IF($L724="Crédit","",IFERROR(INDEX('Paramètres'!$O:$O,MATCH($D724,'Paramètres'!$M:$M,0))&amp;"",""))))</f>
        <v/>
      </c>
      <c r="N724" s="6" t="str">
        <f>IF($D724="","",IFERROR(INDEX('Paramètres'!$Q:$Q,MATCH($D724,'Paramètres'!$M:$M,0))&amp;"",""))</f>
        <v>Comptes Bancaires</v>
      </c>
      <c r="O724" s="6">
        <f>IF($A724="","",IF(OR($J724&lt;&gt;"x",$A724&lt;=FinReleve),1,0))</f>
        <v>1</v>
      </c>
      <c r="P724" s="6">
        <f>IF($D724="","",IF(AND($L724="Crédit",OR(IFERROR(INDEX('Paramètres'!$O:$O,MATCH($D724,'Paramètres'!$M:$M,0))&amp;"","")&lt;&gt;"",ISNUMBER(SEARCH("remboursement",IFERROR(INDEX('Paramètres'!$N:$N,MATCH($D724,'Paramètres'!$M:$M,0))&amp;"",""))))),1,0))</f>
        <v>0</v>
      </c>
      <c r="Q724" s="6">
        <f>IF($K724="","",IF(ISNUMBER(SEARCH("transfert-interne",IFERROR(INDEX('Paramètres'!$N:$N,MATCH($D724,'Paramètres'!$M:$M,0))&amp;"",""))),0,IF($L724="Débit",$K724,IF($P724=1,-$K724,0))))</f>
        <v>120</v>
      </c>
      <c r="R724" s="6">
        <f>IF($K724="","",IF($L724="Crédit",$K724,-$K724))</f>
        <v>-120</v>
      </c>
      <c r="S724" s="6" t="str">
        <f>IF($C724="","",IFERROR(INDEX('Paramètres'!$H:$H,MATCH($C724,'Paramètres'!$D:$D,0))&amp;"",""))</f>
        <v/>
      </c>
      <c r="T724" s="6">
        <f>IF($K724="","",IF($S724="",0,IF(ISNUMBER(SEARCH("apport-exterieur",IFERROR(INDEX('Paramètres'!$N:$N,MATCH($D724,'Paramètres'!$M:$M,0))&amp;"",""))),0,IF(OR(IFERROR(INDEX('Paramètres'!$I:$I,MATCH($C724,'Paramètres'!$D:$D,0))&amp;"","")="Les deux",IFERROR(INDEX('Paramètres'!$I:$I,MATCH($C724,'Paramètres'!$D:$D,0))&amp;"","")=IF($P724=1,"Débit",$L724)),-IF($P724=1,-$K724,$K724),0))))</f>
        <v>0</v>
      </c>
      <c r="U724" s="6">
        <f>IF($K724="","",IF(ISNUMBER(SEARCH("sortie-epargne",IFERROR(INDEX('Paramètres'!$N:$N,MATCH($D724,'Paramètres'!$M:$M,0))&amp;"",""))),$K724,0))</f>
        <v>0</v>
      </c>
      <c r="V724" s="6" t="str">
        <f>IF(AND($A724&lt;&gt;"",$O724=1,$L724="Débit",N($Q724)&gt;0,$A724&gt;=Visualisation!$B$1,$A724&lt;Visualisation!$D$1),MAX($V$1:V723)+1,"")</f>
        <v/>
      </c>
    </row>
    <row r="725" spans="1:22" x14ac:dyDescent="0.25">
      <c r="A725" s="9">
        <v>46049</v>
      </c>
      <c r="B725" s="4" t="s">
        <v>114</v>
      </c>
      <c r="C725" s="4" t="s">
        <v>75</v>
      </c>
      <c r="D725" s="4" t="s">
        <v>115</v>
      </c>
      <c r="E725" s="10">
        <v>2921.7</v>
      </c>
      <c r="G725" s="4" t="s">
        <v>115</v>
      </c>
      <c r="H725" s="4"/>
      <c r="I725" s="4"/>
      <c r="K725" s="11">
        <f>IF($E725="","",ROUND($E725*IF(ISNA(MATCH($C725,'Paramètres'!$D:$D,0)),1,IF(INDEX('Paramètres'!$J:$J,MATCH($C725,'Paramètres'!$D:$D,0))="",1,INDEX('Paramètres'!$J:$J,MATCH($C725,'Paramètres'!$D:$D,0)))),2))</f>
        <v>2921.7</v>
      </c>
      <c r="L725" s="6" t="str">
        <f>IF($D725="","",IF($F725&lt;&gt;"",$F725,IF(ISNA(MATCH($D725,'Paramètres'!$M:$M,0)),"⚠ Type inconnu",IFERROR(INDEX('Paramètres'!$P:$P,MATCH($D725,'Paramètres'!$M:$M,0))&amp;"",""))))</f>
        <v>Crédit</v>
      </c>
      <c r="M725" s="6" t="str">
        <f>IF($D725="","",IF(ISNA(MATCH($D725,'Paramètres'!$M:$M,0)),"⚠ Type inconnu",IF($L725="Crédit","",IFERROR(INDEX('Paramètres'!$O:$O,MATCH($D725,'Paramètres'!$M:$M,0))&amp;"",""))))</f>
        <v/>
      </c>
      <c r="N725" s="6" t="str">
        <f>IF($D725="","",IFERROR(INDEX('Paramètres'!$Q:$Q,MATCH($D725,'Paramètres'!$M:$M,0))&amp;"",""))</f>
        <v/>
      </c>
      <c r="O725" s="6">
        <f>IF($A725="","",IF(OR($J725&lt;&gt;"x",$A725&lt;=FinReleve),1,0))</f>
        <v>1</v>
      </c>
      <c r="P725" s="6">
        <f>IF($D725="","",IF(AND($L725="Crédit",OR(IFERROR(INDEX('Paramètres'!$O:$O,MATCH($D725,'Paramètres'!$M:$M,0))&amp;"","")&lt;&gt;"",ISNUMBER(SEARCH("remboursement",IFERROR(INDEX('Paramètres'!$N:$N,MATCH($D725,'Paramètres'!$M:$M,0))&amp;"",""))))),1,0))</f>
        <v>0</v>
      </c>
      <c r="Q725" s="6">
        <f>IF($K725="","",IF(ISNUMBER(SEARCH("transfert-interne",IFERROR(INDEX('Paramètres'!$N:$N,MATCH($D725,'Paramètres'!$M:$M,0))&amp;"",""))),0,IF($L725="Débit",$K725,IF($P725=1,-$K725,0))))</f>
        <v>0</v>
      </c>
      <c r="R725" s="6">
        <f>IF($K725="","",IF($L725="Crédit",$K725,-$K725))</f>
        <v>2921.7</v>
      </c>
      <c r="S725" s="6" t="str">
        <f>IF($C725="","",IFERROR(INDEX('Paramètres'!$H:$H,MATCH($C725,'Paramètres'!$D:$D,0))&amp;"",""))</f>
        <v/>
      </c>
      <c r="T725" s="6">
        <f>IF($K725="","",IF($S725="",0,IF(ISNUMBER(SEARCH("apport-exterieur",IFERROR(INDEX('Paramètres'!$N:$N,MATCH($D725,'Paramètres'!$M:$M,0))&amp;"",""))),0,IF(OR(IFERROR(INDEX('Paramètres'!$I:$I,MATCH($C725,'Paramètres'!$D:$D,0))&amp;"","")="Les deux",IFERROR(INDEX('Paramètres'!$I:$I,MATCH($C725,'Paramètres'!$D:$D,0))&amp;"","")=IF($P725=1,"Débit",$L725)),-IF($P725=1,-$K725,$K725),0))))</f>
        <v>0</v>
      </c>
      <c r="U725" s="6">
        <f>IF($K725="","",IF(ISNUMBER(SEARCH("sortie-epargne",IFERROR(INDEX('Paramètres'!$N:$N,MATCH($D725,'Paramètres'!$M:$M,0))&amp;"",""))),$K725,0))</f>
        <v>0</v>
      </c>
      <c r="V725" s="6" t="str">
        <f>IF(AND($A725&lt;&gt;"",$O725=1,$L725="Débit",N($Q725)&gt;0,$A725&gt;=Visualisation!$B$1,$A725&lt;Visualisation!$D$1),MAX($V$1:V724)+1,"")</f>
        <v/>
      </c>
    </row>
    <row r="726" spans="1:22" x14ac:dyDescent="0.25">
      <c r="A726" s="9">
        <v>46049</v>
      </c>
      <c r="B726" s="4" t="s">
        <v>69</v>
      </c>
      <c r="C726" s="4" t="s">
        <v>70</v>
      </c>
      <c r="D726" s="4" t="s">
        <v>71</v>
      </c>
      <c r="E726" s="10">
        <v>11.14</v>
      </c>
      <c r="G726" s="4" t="s">
        <v>72</v>
      </c>
      <c r="H726" s="4"/>
      <c r="I726" s="4" t="s">
        <v>79</v>
      </c>
      <c r="K726" s="11">
        <f>IF($E726="","",ROUND($E726*IF(ISNA(MATCH($C726,'Paramètres'!$D:$D,0)),1,IF(INDEX('Paramètres'!$J:$J,MATCH($C726,'Paramètres'!$D:$D,0))="",1,INDEX('Paramètres'!$J:$J,MATCH($C726,'Paramètres'!$D:$D,0)))),2))</f>
        <v>11.14</v>
      </c>
      <c r="L726" s="6" t="str">
        <f>IF($D726="","",IF($F726&lt;&gt;"",$F726,IF(ISNA(MATCH($D726,'Paramètres'!$M:$M,0)),"⚠ Type inconnu",IFERROR(INDEX('Paramètres'!$P:$P,MATCH($D726,'Paramètres'!$M:$M,0))&amp;"",""))))</f>
        <v>Débit</v>
      </c>
      <c r="M726" s="6" t="str">
        <f>IF($D726="","",IF(ISNA(MATCH($D726,'Paramètres'!$M:$M,0)),"⚠ Type inconnu",IF($L726="Crédit","",IFERROR(INDEX('Paramètres'!$O:$O,MATCH($D726,'Paramètres'!$M:$M,0))&amp;"",""))))</f>
        <v>Dépense Courante</v>
      </c>
      <c r="N726" s="6" t="str">
        <f>IF($D726="","",IFERROR(INDEX('Paramètres'!$Q:$Q,MATCH($D726,'Paramètres'!$M:$M,0))&amp;"",""))</f>
        <v>Alimentation</v>
      </c>
      <c r="O726" s="6">
        <f>IF($A726="","",IF(OR($J726&lt;&gt;"x",$A726&lt;=FinReleve),1,0))</f>
        <v>1</v>
      </c>
      <c r="P726" s="6">
        <f>IF($D726="","",IF(AND($L726="Crédit",OR(IFERROR(INDEX('Paramètres'!$O:$O,MATCH($D726,'Paramètres'!$M:$M,0))&amp;"","")&lt;&gt;"",ISNUMBER(SEARCH("remboursement",IFERROR(INDEX('Paramètres'!$N:$N,MATCH($D726,'Paramètres'!$M:$M,0))&amp;"",""))))),1,0))</f>
        <v>0</v>
      </c>
      <c r="Q726" s="6">
        <f>IF($K726="","",IF(ISNUMBER(SEARCH("transfert-interne",IFERROR(INDEX('Paramètres'!$N:$N,MATCH($D726,'Paramètres'!$M:$M,0))&amp;"",""))),0,IF($L726="Débit",$K726,IF($P726=1,-$K726,0))))</f>
        <v>11.14</v>
      </c>
      <c r="R726" s="6">
        <f>IF($K726="","",IF($L726="Crédit",$K726,-$K726))</f>
        <v>-11.14</v>
      </c>
      <c r="S726" s="6" t="str">
        <f>IF($C726="","",IFERROR(INDEX('Paramètres'!$H:$H,MATCH($C726,'Paramètres'!$D:$D,0))&amp;"",""))</f>
        <v/>
      </c>
      <c r="T726" s="6">
        <f>IF($K726="","",IF($S726="",0,IF(ISNUMBER(SEARCH("apport-exterieur",IFERROR(INDEX('Paramètres'!$N:$N,MATCH($D726,'Paramètres'!$M:$M,0))&amp;"",""))),0,IF(OR(IFERROR(INDEX('Paramètres'!$I:$I,MATCH($C726,'Paramètres'!$D:$D,0))&amp;"","")="Les deux",IFERROR(INDEX('Paramètres'!$I:$I,MATCH($C726,'Paramètres'!$D:$D,0))&amp;"","")=IF($P726=1,"Débit",$L726)),-IF($P726=1,-$K726,$K726),0))))</f>
        <v>0</v>
      </c>
      <c r="U726" s="6">
        <f>IF($K726="","",IF(ISNUMBER(SEARCH("sortie-epargne",IFERROR(INDEX('Paramètres'!$N:$N,MATCH($D726,'Paramètres'!$M:$M,0))&amp;"",""))),$K726,0))</f>
        <v>0</v>
      </c>
      <c r="V726" s="6" t="str">
        <f>IF(AND($A726&lt;&gt;"",$O726=1,$L726="Débit",N($Q726)&gt;0,$A726&gt;=Visualisation!$B$1,$A726&lt;Visualisation!$D$1),MAX($V$1:V725)+1,"")</f>
        <v/>
      </c>
    </row>
    <row r="727" spans="1:22" x14ac:dyDescent="0.25">
      <c r="A727" s="9">
        <v>46049</v>
      </c>
      <c r="B727" s="4" t="s">
        <v>123</v>
      </c>
      <c r="C727" s="4" t="s">
        <v>75</v>
      </c>
      <c r="D727" s="4" t="s">
        <v>124</v>
      </c>
      <c r="E727" s="10">
        <v>107.96</v>
      </c>
      <c r="G727" s="4" t="s">
        <v>125</v>
      </c>
      <c r="H727" s="4"/>
      <c r="I727" s="4" t="s">
        <v>73</v>
      </c>
      <c r="K727" s="11">
        <f>IF($E727="","",ROUND($E727*IF(ISNA(MATCH($C727,'Paramètres'!$D:$D,0)),1,IF(INDEX('Paramètres'!$J:$J,MATCH($C727,'Paramètres'!$D:$D,0))="",1,INDEX('Paramètres'!$J:$J,MATCH($C727,'Paramètres'!$D:$D,0)))),2))</f>
        <v>107.96</v>
      </c>
      <c r="L727" s="6" t="str">
        <f>IF($D727="","",IF($F727&lt;&gt;"",$F727,IF(ISNA(MATCH($D727,'Paramètres'!$M:$M,0)),"⚠ Type inconnu",IFERROR(INDEX('Paramètres'!$P:$P,MATCH($D727,'Paramètres'!$M:$M,0))&amp;"",""))))</f>
        <v>Débit</v>
      </c>
      <c r="M727" s="6" t="str">
        <f>IF($D727="","",IF(ISNA(MATCH($D727,'Paramètres'!$M:$M,0)),"⚠ Type inconnu",IF($L727="Crédit","",IFERROR(INDEX('Paramètres'!$O:$O,MATCH($D727,'Paramètres'!$M:$M,0))&amp;"",""))))</f>
        <v>Dépense Courante</v>
      </c>
      <c r="N727" s="6" t="str">
        <f>IF($D727="","",IFERROR(INDEX('Paramètres'!$Q:$Q,MATCH($D727,'Paramètres'!$M:$M,0))&amp;"",""))</f>
        <v>Habillement</v>
      </c>
      <c r="O727" s="6">
        <f>IF($A727="","",IF(OR($J727&lt;&gt;"x",$A727&lt;=FinReleve),1,0))</f>
        <v>1</v>
      </c>
      <c r="P727" s="6">
        <f>IF($D727="","",IF(AND($L727="Crédit",OR(IFERROR(INDEX('Paramètres'!$O:$O,MATCH($D727,'Paramètres'!$M:$M,0))&amp;"","")&lt;&gt;"",ISNUMBER(SEARCH("remboursement",IFERROR(INDEX('Paramètres'!$N:$N,MATCH($D727,'Paramètres'!$M:$M,0))&amp;"",""))))),1,0))</f>
        <v>0</v>
      </c>
      <c r="Q727" s="6">
        <f>IF($K727="","",IF(ISNUMBER(SEARCH("transfert-interne",IFERROR(INDEX('Paramètres'!$N:$N,MATCH($D727,'Paramètres'!$M:$M,0))&amp;"",""))),0,IF($L727="Débit",$K727,IF($P727=1,-$K727,0))))</f>
        <v>107.96</v>
      </c>
      <c r="R727" s="6">
        <f>IF($K727="","",IF($L727="Crédit",$K727,-$K727))</f>
        <v>-107.96</v>
      </c>
      <c r="S727" s="6" t="str">
        <f>IF($C727="","",IFERROR(INDEX('Paramètres'!$H:$H,MATCH($C727,'Paramètres'!$D:$D,0))&amp;"",""))</f>
        <v/>
      </c>
      <c r="T727" s="6">
        <f>IF($K727="","",IF($S727="",0,IF(ISNUMBER(SEARCH("apport-exterieur",IFERROR(INDEX('Paramètres'!$N:$N,MATCH($D727,'Paramètres'!$M:$M,0))&amp;"",""))),0,IF(OR(IFERROR(INDEX('Paramètres'!$I:$I,MATCH($C727,'Paramètres'!$D:$D,0))&amp;"","")="Les deux",IFERROR(INDEX('Paramètres'!$I:$I,MATCH($C727,'Paramètres'!$D:$D,0))&amp;"","")=IF($P727=1,"Débit",$L727)),-IF($P727=1,-$K727,$K727),0))))</f>
        <v>0</v>
      </c>
      <c r="U727" s="6">
        <f>IF($K727="","",IF(ISNUMBER(SEARCH("sortie-epargne",IFERROR(INDEX('Paramètres'!$N:$N,MATCH($D727,'Paramètres'!$M:$M,0))&amp;"",""))),$K727,0))</f>
        <v>0</v>
      </c>
      <c r="V727" s="6" t="str">
        <f>IF(AND($A727&lt;&gt;"",$O727=1,$L727="Débit",N($Q727)&gt;0,$A727&gt;=Visualisation!$B$1,$A727&lt;Visualisation!$D$1),MAX($V$1:V726)+1,"")</f>
        <v/>
      </c>
    </row>
    <row r="728" spans="1:22" x14ac:dyDescent="0.25">
      <c r="A728" s="9">
        <v>46050</v>
      </c>
      <c r="B728" s="4" t="s">
        <v>118</v>
      </c>
      <c r="C728" s="4" t="s">
        <v>75</v>
      </c>
      <c r="D728" s="4" t="s">
        <v>118</v>
      </c>
      <c r="E728" s="10">
        <v>3</v>
      </c>
      <c r="G728" s="4"/>
      <c r="H728" s="4"/>
      <c r="I728" s="4"/>
      <c r="K728" s="11">
        <f>IF($E728="","",ROUND($E728*IF(ISNA(MATCH($C728,'Paramètres'!$D:$D,0)),1,IF(INDEX('Paramètres'!$J:$J,MATCH($C728,'Paramètres'!$D:$D,0))="",1,INDEX('Paramètres'!$J:$J,MATCH($C728,'Paramètres'!$D:$D,0)))),2))</f>
        <v>3</v>
      </c>
      <c r="L728" s="6" t="str">
        <f>IF($D728="","",IF($F728&lt;&gt;"",$F728,IF(ISNA(MATCH($D728,'Paramètres'!$M:$M,0)),"⚠ Type inconnu",IFERROR(INDEX('Paramètres'!$P:$P,MATCH($D728,'Paramètres'!$M:$M,0))&amp;"",""))))</f>
        <v>Débit</v>
      </c>
      <c r="M728" s="6" t="str">
        <f>IF($D728="","",IF(ISNA(MATCH($D728,'Paramètres'!$M:$M,0)),"⚠ Type inconnu",IF($L728="Crédit","",IFERROR(INDEX('Paramètres'!$O:$O,MATCH($D728,'Paramètres'!$M:$M,0))&amp;"",""))))</f>
        <v>Dépense Fixe</v>
      </c>
      <c r="N728" s="6" t="str">
        <f>IF($D728="","",IFERROR(INDEX('Paramètres'!$Q:$Q,MATCH($D728,'Paramètres'!$M:$M,0))&amp;"",""))</f>
        <v>Banque</v>
      </c>
      <c r="O728" s="6">
        <f>IF($A728="","",IF(OR($J728&lt;&gt;"x",$A728&lt;=FinReleve),1,0))</f>
        <v>1</v>
      </c>
      <c r="P728" s="6">
        <f>IF($D728="","",IF(AND($L728="Crédit",OR(IFERROR(INDEX('Paramètres'!$O:$O,MATCH($D728,'Paramètres'!$M:$M,0))&amp;"","")&lt;&gt;"",ISNUMBER(SEARCH("remboursement",IFERROR(INDEX('Paramètres'!$N:$N,MATCH($D728,'Paramètres'!$M:$M,0))&amp;"",""))))),1,0))</f>
        <v>0</v>
      </c>
      <c r="Q728" s="6">
        <f>IF($K728="","",IF(ISNUMBER(SEARCH("transfert-interne",IFERROR(INDEX('Paramètres'!$N:$N,MATCH($D728,'Paramètres'!$M:$M,0))&amp;"",""))),0,IF($L728="Débit",$K728,IF($P728=1,-$K728,0))))</f>
        <v>3</v>
      </c>
      <c r="R728" s="6">
        <f>IF($K728="","",IF($L728="Crédit",$K728,-$K728))</f>
        <v>-3</v>
      </c>
      <c r="S728" s="6" t="str">
        <f>IF($C728="","",IFERROR(INDEX('Paramètres'!$H:$H,MATCH($C728,'Paramètres'!$D:$D,0))&amp;"",""))</f>
        <v/>
      </c>
      <c r="T728" s="6">
        <f>IF($K728="","",IF($S728="",0,IF(ISNUMBER(SEARCH("apport-exterieur",IFERROR(INDEX('Paramètres'!$N:$N,MATCH($D728,'Paramètres'!$M:$M,0))&amp;"",""))),0,IF(OR(IFERROR(INDEX('Paramètres'!$I:$I,MATCH($C728,'Paramètres'!$D:$D,0))&amp;"","")="Les deux",IFERROR(INDEX('Paramètres'!$I:$I,MATCH($C728,'Paramètres'!$D:$D,0))&amp;"","")=IF($P728=1,"Débit",$L728)),-IF($P728=1,-$K728,$K728),0))))</f>
        <v>0</v>
      </c>
      <c r="U728" s="6">
        <f>IF($K728="","",IF(ISNUMBER(SEARCH("sortie-epargne",IFERROR(INDEX('Paramètres'!$N:$N,MATCH($D728,'Paramètres'!$M:$M,0))&amp;"",""))),$K728,0))</f>
        <v>0</v>
      </c>
      <c r="V728" s="6" t="str">
        <f>IF(AND($A728&lt;&gt;"",$O728=1,$L728="Débit",N($Q728)&gt;0,$A728&gt;=Visualisation!$B$1,$A728&lt;Visualisation!$D$1),MAX($V$1:V727)+1,"")</f>
        <v/>
      </c>
    </row>
    <row r="729" spans="1:22" x14ac:dyDescent="0.25">
      <c r="A729" s="9">
        <v>46055</v>
      </c>
      <c r="B729" s="4" t="s">
        <v>64</v>
      </c>
      <c r="C729" s="4" t="s">
        <v>65</v>
      </c>
      <c r="D729" s="4" t="s">
        <v>66</v>
      </c>
      <c r="E729" s="10">
        <v>1160</v>
      </c>
      <c r="G729" s="4"/>
      <c r="H729" s="4"/>
      <c r="I729" s="4"/>
      <c r="K729" s="11">
        <f>IF($E729="","",ROUND($E729*IF(ISNA(MATCH($C729,'Paramètres'!$D:$D,0)),1,IF(INDEX('Paramètres'!$J:$J,MATCH($C729,'Paramètres'!$D:$D,0))="",1,INDEX('Paramètres'!$J:$J,MATCH($C729,'Paramètres'!$D:$D,0)))),2))</f>
        <v>1160</v>
      </c>
      <c r="L729" s="6" t="str">
        <f>IF($D729="","",IF($F729&lt;&gt;"",$F729,IF(ISNA(MATCH($D729,'Paramètres'!$M:$M,0)),"⚠ Type inconnu",IFERROR(INDEX('Paramètres'!$P:$P,MATCH($D729,'Paramètres'!$M:$M,0))&amp;"",""))))</f>
        <v>Crédit</v>
      </c>
      <c r="M729" s="6" t="str">
        <f>IF($D729="","",IF(ISNA(MATCH($D729,'Paramètres'!$M:$M,0)),"⚠ Type inconnu",IF($L729="Crédit","",IFERROR(INDEX('Paramètres'!$O:$O,MATCH($D729,'Paramètres'!$M:$M,0))&amp;"",""))))</f>
        <v/>
      </c>
      <c r="N729" s="6" t="str">
        <f>IF($D729="","",IFERROR(INDEX('Paramètres'!$Q:$Q,MATCH($D729,'Paramètres'!$M:$M,0))&amp;"",""))</f>
        <v>Comptes Bancaires</v>
      </c>
      <c r="O729" s="6">
        <f>IF($A729="","",IF(OR($J729&lt;&gt;"x",$A729&lt;=FinReleve),1,0))</f>
        <v>1</v>
      </c>
      <c r="P729" s="6">
        <f>IF($D729="","",IF(AND($L729="Crédit",OR(IFERROR(INDEX('Paramètres'!$O:$O,MATCH($D729,'Paramètres'!$M:$M,0))&amp;"","")&lt;&gt;"",ISNUMBER(SEARCH("remboursement",IFERROR(INDEX('Paramètres'!$N:$N,MATCH($D729,'Paramètres'!$M:$M,0))&amp;"",""))))),1,0))</f>
        <v>0</v>
      </c>
      <c r="Q729" s="6">
        <f>IF($K729="","",IF(ISNUMBER(SEARCH("transfert-interne",IFERROR(INDEX('Paramètres'!$N:$N,MATCH($D729,'Paramètres'!$M:$M,0))&amp;"",""))),0,IF($L729="Débit",$K729,IF($P729=1,-$K729,0))))</f>
        <v>0</v>
      </c>
      <c r="R729" s="6">
        <f>IF($K729="","",IF($L729="Crédit",$K729,-$K729))</f>
        <v>1160</v>
      </c>
      <c r="S729" s="6" t="str">
        <f>IF($C729="","",IFERROR(INDEX('Paramètres'!$H:$H,MATCH($C729,'Paramètres'!$D:$D,0))&amp;"",""))</f>
        <v>Banque A - Courant</v>
      </c>
      <c r="T729" s="6">
        <f>IF($K729="","",IF($S729="",0,IF(ISNUMBER(SEARCH("apport-exterieur",IFERROR(INDEX('Paramètres'!$N:$N,MATCH($D729,'Paramètres'!$M:$M,0))&amp;"",""))),0,IF(OR(IFERROR(INDEX('Paramètres'!$I:$I,MATCH($C729,'Paramètres'!$D:$D,0))&amp;"","")="Les deux",IFERROR(INDEX('Paramètres'!$I:$I,MATCH($C729,'Paramètres'!$D:$D,0))&amp;"","")=IF($P729=1,"Débit",$L729)),-IF($P729=1,-$K729,$K729),0))))</f>
        <v>-1160</v>
      </c>
      <c r="U729" s="6">
        <f>IF($K729="","",IF(ISNUMBER(SEARCH("sortie-epargne",IFERROR(INDEX('Paramètres'!$N:$N,MATCH($D729,'Paramètres'!$M:$M,0))&amp;"",""))),$K729,0))</f>
        <v>0</v>
      </c>
      <c r="V729" s="6" t="str">
        <f>IF(AND($A729&lt;&gt;"",$O729=1,$L729="Débit",N($Q729)&gt;0,$A729&gt;=Visualisation!$B$1,$A729&lt;Visualisation!$D$1),MAX($V$1:V728)+1,"")</f>
        <v/>
      </c>
    </row>
    <row r="730" spans="1:22" x14ac:dyDescent="0.25">
      <c r="A730" s="9">
        <v>46055</v>
      </c>
      <c r="B730" s="4" t="s">
        <v>64</v>
      </c>
      <c r="C730" s="4" t="s">
        <v>67</v>
      </c>
      <c r="D730" s="4" t="s">
        <v>68</v>
      </c>
      <c r="E730" s="10">
        <v>600</v>
      </c>
      <c r="G730" s="4"/>
      <c r="H730" s="4"/>
      <c r="I730" s="4"/>
      <c r="K730" s="11">
        <f>IF($E730="","",ROUND($E730*IF(ISNA(MATCH($C730,'Paramètres'!$D:$D,0)),1,IF(INDEX('Paramètres'!$J:$J,MATCH($C730,'Paramètres'!$D:$D,0))="",1,INDEX('Paramètres'!$J:$J,MATCH($C730,'Paramètres'!$D:$D,0)))),2))</f>
        <v>300</v>
      </c>
      <c r="L730" s="6" t="str">
        <f>IF($D730="","",IF($F730&lt;&gt;"",$F730,IF(ISNA(MATCH($D730,'Paramètres'!$M:$M,0)),"⚠ Type inconnu",IFERROR(INDEX('Paramètres'!$P:$P,MATCH($D730,'Paramètres'!$M:$M,0))&amp;"",""))))</f>
        <v>Crédit</v>
      </c>
      <c r="M730" s="6" t="str">
        <f>IF($D730="","",IF(ISNA(MATCH($D730,'Paramètres'!$M:$M,0)),"⚠ Type inconnu",IF($L730="Crédit","",IFERROR(INDEX('Paramètres'!$O:$O,MATCH($D730,'Paramètres'!$M:$M,0))&amp;"",""))))</f>
        <v/>
      </c>
      <c r="N730" s="6" t="str">
        <f>IF($D730="","",IFERROR(INDEX('Paramètres'!$Q:$Q,MATCH($D730,'Paramètres'!$M:$M,0))&amp;"",""))</f>
        <v>Comptes Bancaires</v>
      </c>
      <c r="O730" s="6">
        <f>IF($A730="","",IF(OR($J730&lt;&gt;"x",$A730&lt;=FinReleve),1,0))</f>
        <v>1</v>
      </c>
      <c r="P730" s="6">
        <f>IF($D730="","",IF(AND($L730="Crédit",OR(IFERROR(INDEX('Paramètres'!$O:$O,MATCH($D730,'Paramètres'!$M:$M,0))&amp;"","")&lt;&gt;"",ISNUMBER(SEARCH("remboursement",IFERROR(INDEX('Paramètres'!$N:$N,MATCH($D730,'Paramètres'!$M:$M,0))&amp;"",""))))),1,0))</f>
        <v>0</v>
      </c>
      <c r="Q730" s="6">
        <f>IF($K730="","",IF(ISNUMBER(SEARCH("transfert-interne",IFERROR(INDEX('Paramètres'!$N:$N,MATCH($D730,'Paramètres'!$M:$M,0))&amp;"",""))),0,IF($L730="Débit",$K730,IF($P730=1,-$K730,0))))</f>
        <v>0</v>
      </c>
      <c r="R730" s="6">
        <f>IF($K730="","",IF($L730="Crédit",$K730,-$K730))</f>
        <v>300</v>
      </c>
      <c r="S730" s="6" t="str">
        <f>IF($C730="","",IFERROR(INDEX('Paramètres'!$H:$H,MATCH($C730,'Paramètres'!$D:$D,0))&amp;"",""))</f>
        <v>Banque A - Courant</v>
      </c>
      <c r="T730" s="6">
        <f>IF($K730="","",IF($S730="",0,IF(ISNUMBER(SEARCH("apport-exterieur",IFERROR(INDEX('Paramètres'!$N:$N,MATCH($D730,'Paramètres'!$M:$M,0))&amp;"",""))),0,IF(OR(IFERROR(INDEX('Paramètres'!$I:$I,MATCH($C730,'Paramètres'!$D:$D,0))&amp;"","")="Les deux",IFERROR(INDEX('Paramètres'!$I:$I,MATCH($C730,'Paramètres'!$D:$D,0))&amp;"","")=IF($P730=1,"Débit",$L730)),-IF($P730=1,-$K730,$K730),0))))</f>
        <v>-300</v>
      </c>
      <c r="U730" s="6">
        <f>IF($K730="","",IF(ISNUMBER(SEARCH("sortie-epargne",IFERROR(INDEX('Paramètres'!$N:$N,MATCH($D730,'Paramètres'!$M:$M,0))&amp;"",""))),$K730,0))</f>
        <v>0</v>
      </c>
      <c r="V730" s="6" t="str">
        <f>IF(AND($A730&lt;&gt;"",$O730=1,$L730="Débit",N($Q730)&gt;0,$A730&gt;=Visualisation!$B$1,$A730&lt;Visualisation!$D$1),MAX($V$1:V729)+1,"")</f>
        <v/>
      </c>
    </row>
    <row r="731" spans="1:22" x14ac:dyDescent="0.25">
      <c r="A731" s="9">
        <v>46055</v>
      </c>
      <c r="B731" s="4" t="s">
        <v>116</v>
      </c>
      <c r="C731" s="4" t="s">
        <v>126</v>
      </c>
      <c r="D731" s="4" t="s">
        <v>116</v>
      </c>
      <c r="E731" s="10">
        <v>88.5</v>
      </c>
      <c r="G731" s="4" t="s">
        <v>139</v>
      </c>
      <c r="H731" s="4"/>
      <c r="I731" s="4" t="s">
        <v>93</v>
      </c>
      <c r="K731" s="11">
        <f>IF($E731="","",ROUND($E731*IF(ISNA(MATCH($C731,'Paramètres'!$D:$D,0)),1,IF(INDEX('Paramètres'!$J:$J,MATCH($C731,'Paramètres'!$D:$D,0))="",1,INDEX('Paramètres'!$J:$J,MATCH($C731,'Paramètres'!$D:$D,0)))),2))</f>
        <v>44.25</v>
      </c>
      <c r="L731" s="6" t="str">
        <f>IF($D731="","",IF($F731&lt;&gt;"",$F731,IF(ISNA(MATCH($D731,'Paramètres'!$M:$M,0)),"⚠ Type inconnu",IFERROR(INDEX('Paramètres'!$P:$P,MATCH($D731,'Paramètres'!$M:$M,0))&amp;"",""))))</f>
        <v>Débit</v>
      </c>
      <c r="M731" s="6" t="str">
        <f>IF($D731="","",IF(ISNA(MATCH($D731,'Paramètres'!$M:$M,0)),"⚠ Type inconnu",IF($L731="Crédit","",IFERROR(INDEX('Paramètres'!$O:$O,MATCH($D731,'Paramètres'!$M:$M,0))&amp;"",""))))</f>
        <v>Dépense Occasionnelle</v>
      </c>
      <c r="N731" s="6" t="str">
        <f>IF($D731="","",IFERROR(INDEX('Paramètres'!$Q:$Q,MATCH($D731,'Paramètres'!$M:$M,0))&amp;"",""))</f>
        <v>Autre</v>
      </c>
      <c r="O731" s="6">
        <f>IF($A731="","",IF(OR($J731&lt;&gt;"x",$A731&lt;=FinReleve),1,0))</f>
        <v>1</v>
      </c>
      <c r="P731" s="6">
        <f>IF($D731="","",IF(AND($L731="Crédit",OR(IFERROR(INDEX('Paramètres'!$O:$O,MATCH($D731,'Paramètres'!$M:$M,0))&amp;"","")&lt;&gt;"",ISNUMBER(SEARCH("remboursement",IFERROR(INDEX('Paramètres'!$N:$N,MATCH($D731,'Paramètres'!$M:$M,0))&amp;"",""))))),1,0))</f>
        <v>0</v>
      </c>
      <c r="Q731" s="6">
        <f>IF($K731="","",IF(ISNUMBER(SEARCH("transfert-interne",IFERROR(INDEX('Paramètres'!$N:$N,MATCH($D731,'Paramètres'!$M:$M,0))&amp;"",""))),0,IF($L731="Débit",$K731,IF($P731=1,-$K731,0))))</f>
        <v>44.25</v>
      </c>
      <c r="R731" s="6">
        <f>IF($K731="","",IF($L731="Crédit",$K731,-$K731))</f>
        <v>-44.25</v>
      </c>
      <c r="S731" s="6" t="str">
        <f>IF($C731="","",IFERROR(INDEX('Paramètres'!$H:$H,MATCH($C731,'Paramètres'!$D:$D,0))&amp;"",""))</f>
        <v>Banque A - Courant</v>
      </c>
      <c r="T731" s="6">
        <f>IF($K731="","",IF($S731="",0,IF(ISNUMBER(SEARCH("apport-exterieur",IFERROR(INDEX('Paramètres'!$N:$N,MATCH($D731,'Paramètres'!$M:$M,0))&amp;"",""))),0,IF(OR(IFERROR(INDEX('Paramètres'!$I:$I,MATCH($C731,'Paramètres'!$D:$D,0))&amp;"","")="Les deux",IFERROR(INDEX('Paramètres'!$I:$I,MATCH($C731,'Paramètres'!$D:$D,0))&amp;"","")=IF($P731=1,"Débit",$L731)),-IF($P731=1,-$K731,$K731),0))))</f>
        <v>-44.25</v>
      </c>
      <c r="U731" s="6">
        <f>IF($K731="","",IF(ISNUMBER(SEARCH("sortie-epargne",IFERROR(INDEX('Paramètres'!$N:$N,MATCH($D731,'Paramètres'!$M:$M,0))&amp;"",""))),$K731,0))</f>
        <v>0</v>
      </c>
      <c r="V731" s="6" t="str">
        <f>IF(AND($A731&lt;&gt;"",$O731=1,$L731="Débit",N($Q731)&gt;0,$A731&gt;=Visualisation!$B$1,$A731&lt;Visualisation!$D$1),MAX($V$1:V730)+1,"")</f>
        <v/>
      </c>
    </row>
    <row r="732" spans="1:22" x14ac:dyDescent="0.25">
      <c r="A732" s="9">
        <v>46056</v>
      </c>
      <c r="B732" s="4" t="s">
        <v>74</v>
      </c>
      <c r="C732" s="4" t="s">
        <v>75</v>
      </c>
      <c r="D732" s="4" t="s">
        <v>74</v>
      </c>
      <c r="E732" s="10">
        <v>88.8</v>
      </c>
      <c r="G732" s="4"/>
      <c r="H732" s="4"/>
      <c r="I732" s="4"/>
      <c r="K732" s="11">
        <f>IF($E732="","",ROUND($E732*IF(ISNA(MATCH($C732,'Paramètres'!$D:$D,0)),1,IF(INDEX('Paramètres'!$J:$J,MATCH($C732,'Paramètres'!$D:$D,0))="",1,INDEX('Paramètres'!$J:$J,MATCH($C732,'Paramètres'!$D:$D,0)))),2))</f>
        <v>88.8</v>
      </c>
      <c r="L732" s="6" t="str">
        <f>IF($D732="","",IF($F732&lt;&gt;"",$F732,IF(ISNA(MATCH($D732,'Paramètres'!$M:$M,0)),"⚠ Type inconnu",IFERROR(INDEX('Paramètres'!$P:$P,MATCH($D732,'Paramètres'!$M:$M,0))&amp;"",""))))</f>
        <v>Débit</v>
      </c>
      <c r="M732" s="6" t="str">
        <f>IF($D732="","",IF(ISNA(MATCH($D732,'Paramètres'!$M:$M,0)),"⚠ Type inconnu",IF($L732="Crédit","",IFERROR(INDEX('Paramètres'!$O:$O,MATCH($D732,'Paramètres'!$M:$M,0))&amp;"",""))))</f>
        <v>Dépense Fixe</v>
      </c>
      <c r="N732" s="6" t="str">
        <f>IF($D732="","",IFERROR(INDEX('Paramètres'!$Q:$Q,MATCH($D732,'Paramètres'!$M:$M,0))&amp;"",""))</f>
        <v>Transport</v>
      </c>
      <c r="O732" s="6">
        <f>IF($A732="","",IF(OR($J732&lt;&gt;"x",$A732&lt;=FinReleve),1,0))</f>
        <v>1</v>
      </c>
      <c r="P732" s="6">
        <f>IF($D732="","",IF(AND($L732="Crédit",OR(IFERROR(INDEX('Paramètres'!$O:$O,MATCH($D732,'Paramètres'!$M:$M,0))&amp;"","")&lt;&gt;"",ISNUMBER(SEARCH("remboursement",IFERROR(INDEX('Paramètres'!$N:$N,MATCH($D732,'Paramètres'!$M:$M,0))&amp;"",""))))),1,0))</f>
        <v>0</v>
      </c>
      <c r="Q732" s="6">
        <f>IF($K732="","",IF(ISNUMBER(SEARCH("transfert-interne",IFERROR(INDEX('Paramètres'!$N:$N,MATCH($D732,'Paramètres'!$M:$M,0))&amp;"",""))),0,IF($L732="Débit",$K732,IF($P732=1,-$K732,0))))</f>
        <v>88.8</v>
      </c>
      <c r="R732" s="6">
        <f>IF($K732="","",IF($L732="Crédit",$K732,-$K732))</f>
        <v>-88.8</v>
      </c>
      <c r="S732" s="6" t="str">
        <f>IF($C732="","",IFERROR(INDEX('Paramètres'!$H:$H,MATCH($C732,'Paramètres'!$D:$D,0))&amp;"",""))</f>
        <v/>
      </c>
      <c r="T732" s="6">
        <f>IF($K732="","",IF($S732="",0,IF(ISNUMBER(SEARCH("apport-exterieur",IFERROR(INDEX('Paramètres'!$N:$N,MATCH($D732,'Paramètres'!$M:$M,0))&amp;"",""))),0,IF(OR(IFERROR(INDEX('Paramètres'!$I:$I,MATCH($C732,'Paramètres'!$D:$D,0))&amp;"","")="Les deux",IFERROR(INDEX('Paramètres'!$I:$I,MATCH($C732,'Paramètres'!$D:$D,0))&amp;"","")=IF($P732=1,"Débit",$L732)),-IF($P732=1,-$K732,$K732),0))))</f>
        <v>0</v>
      </c>
      <c r="U732" s="6">
        <f>IF($K732="","",IF(ISNUMBER(SEARCH("sortie-epargne",IFERROR(INDEX('Paramètres'!$N:$N,MATCH($D732,'Paramètres'!$M:$M,0))&amp;"",""))),$K732,0))</f>
        <v>0</v>
      </c>
      <c r="V732" s="6" t="str">
        <f>IF(AND($A732&lt;&gt;"",$O732=1,$L732="Débit",N($Q732)&gt;0,$A732&gt;=Visualisation!$B$1,$A732&lt;Visualisation!$D$1),MAX($V$1:V731)+1,"")</f>
        <v/>
      </c>
    </row>
    <row r="733" spans="1:22" x14ac:dyDescent="0.25">
      <c r="A733" s="9">
        <v>46056</v>
      </c>
      <c r="B733" s="4" t="s">
        <v>76</v>
      </c>
      <c r="C733" s="4" t="s">
        <v>67</v>
      </c>
      <c r="D733" s="4" t="s">
        <v>77</v>
      </c>
      <c r="E733" s="10">
        <v>172.48</v>
      </c>
      <c r="G733" s="4" t="s">
        <v>98</v>
      </c>
      <c r="H733" s="4"/>
      <c r="I733" s="4"/>
      <c r="K733" s="11">
        <f>IF($E733="","",ROUND($E733*IF(ISNA(MATCH($C733,'Paramètres'!$D:$D,0)),1,IF(INDEX('Paramètres'!$J:$J,MATCH($C733,'Paramètres'!$D:$D,0))="",1,INDEX('Paramètres'!$J:$J,MATCH($C733,'Paramètres'!$D:$D,0)))),2))</f>
        <v>86.24</v>
      </c>
      <c r="L733" s="6" t="str">
        <f>IF($D733="","",IF($F733&lt;&gt;"",$F733,IF(ISNA(MATCH($D733,'Paramètres'!$M:$M,0)),"⚠ Type inconnu",IFERROR(INDEX('Paramètres'!$P:$P,MATCH($D733,'Paramètres'!$M:$M,0))&amp;"",""))))</f>
        <v>Débit</v>
      </c>
      <c r="M733" s="6" t="str">
        <f>IF($D733="","",IF(ISNA(MATCH($D733,'Paramètres'!$M:$M,0)),"⚠ Type inconnu",IF($L733="Crédit","",IFERROR(INDEX('Paramètres'!$O:$O,MATCH($D733,'Paramètres'!$M:$M,0))&amp;"",""))))</f>
        <v>Dépense Courante</v>
      </c>
      <c r="N733" s="6" t="str">
        <f>IF($D733="","",IFERROR(INDEX('Paramètres'!$Q:$Q,MATCH($D733,'Paramètres'!$M:$M,0))&amp;"",""))</f>
        <v>Alimentation</v>
      </c>
      <c r="O733" s="6">
        <f>IF($A733="","",IF(OR($J733&lt;&gt;"x",$A733&lt;=FinReleve),1,0))</f>
        <v>1</v>
      </c>
      <c r="P733" s="6">
        <f>IF($D733="","",IF(AND($L733="Crédit",OR(IFERROR(INDEX('Paramètres'!$O:$O,MATCH($D733,'Paramètres'!$M:$M,0))&amp;"","")&lt;&gt;"",ISNUMBER(SEARCH("remboursement",IFERROR(INDEX('Paramètres'!$N:$N,MATCH($D733,'Paramètres'!$M:$M,0))&amp;"",""))))),1,0))</f>
        <v>0</v>
      </c>
      <c r="Q733" s="6">
        <f>IF($K733="","",IF(ISNUMBER(SEARCH("transfert-interne",IFERROR(INDEX('Paramètres'!$N:$N,MATCH($D733,'Paramètres'!$M:$M,0))&amp;"",""))),0,IF($L733="Débit",$K733,IF($P733=1,-$K733,0))))</f>
        <v>86.24</v>
      </c>
      <c r="R733" s="6">
        <f>IF($K733="","",IF($L733="Crédit",$K733,-$K733))</f>
        <v>-86.24</v>
      </c>
      <c r="S733" s="6" t="str">
        <f>IF($C733="","",IFERROR(INDEX('Paramètres'!$H:$H,MATCH($C733,'Paramètres'!$D:$D,0))&amp;"",""))</f>
        <v>Banque A - Courant</v>
      </c>
      <c r="T733" s="6">
        <f>IF($K733="","",IF($S733="",0,IF(ISNUMBER(SEARCH("apport-exterieur",IFERROR(INDEX('Paramètres'!$N:$N,MATCH($D733,'Paramètres'!$M:$M,0))&amp;"",""))),0,IF(OR(IFERROR(INDEX('Paramètres'!$I:$I,MATCH($C733,'Paramètres'!$D:$D,0))&amp;"","")="Les deux",IFERROR(INDEX('Paramètres'!$I:$I,MATCH($C733,'Paramètres'!$D:$D,0))&amp;"","")=IF($P733=1,"Débit",$L733)),-IF($P733=1,-$K733,$K733),0))))</f>
        <v>0</v>
      </c>
      <c r="U733" s="6">
        <f>IF($K733="","",IF(ISNUMBER(SEARCH("sortie-epargne",IFERROR(INDEX('Paramètres'!$N:$N,MATCH($D733,'Paramètres'!$M:$M,0))&amp;"",""))),$K733,0))</f>
        <v>0</v>
      </c>
      <c r="V733" s="6" t="str">
        <f>IF(AND($A733&lt;&gt;"",$O733=1,$L733="Débit",N($Q733)&gt;0,$A733&gt;=Visualisation!$B$1,$A733&lt;Visualisation!$D$1),MAX($V$1:V732)+1,"")</f>
        <v/>
      </c>
    </row>
    <row r="734" spans="1:22" x14ac:dyDescent="0.25">
      <c r="A734" s="9">
        <v>46056</v>
      </c>
      <c r="B734" s="4" t="s">
        <v>76</v>
      </c>
      <c r="C734" s="4" t="s">
        <v>67</v>
      </c>
      <c r="D734" s="4" t="s">
        <v>77</v>
      </c>
      <c r="E734" s="10">
        <v>151.62</v>
      </c>
      <c r="G734" s="4" t="s">
        <v>102</v>
      </c>
      <c r="H734" s="4"/>
      <c r="I734" s="4" t="s">
        <v>73</v>
      </c>
      <c r="K734" s="11">
        <f>IF($E734="","",ROUND($E734*IF(ISNA(MATCH($C734,'Paramètres'!$D:$D,0)),1,IF(INDEX('Paramètres'!$J:$J,MATCH($C734,'Paramètres'!$D:$D,0))="",1,INDEX('Paramètres'!$J:$J,MATCH($C734,'Paramètres'!$D:$D,0)))),2))</f>
        <v>75.81</v>
      </c>
      <c r="L734" s="6" t="str">
        <f>IF($D734="","",IF($F734&lt;&gt;"",$F734,IF(ISNA(MATCH($D734,'Paramètres'!$M:$M,0)),"⚠ Type inconnu",IFERROR(INDEX('Paramètres'!$P:$P,MATCH($D734,'Paramètres'!$M:$M,0))&amp;"",""))))</f>
        <v>Débit</v>
      </c>
      <c r="M734" s="6" t="str">
        <f>IF($D734="","",IF(ISNA(MATCH($D734,'Paramètres'!$M:$M,0)),"⚠ Type inconnu",IF($L734="Crédit","",IFERROR(INDEX('Paramètres'!$O:$O,MATCH($D734,'Paramètres'!$M:$M,0))&amp;"",""))))</f>
        <v>Dépense Courante</v>
      </c>
      <c r="N734" s="6" t="str">
        <f>IF($D734="","",IFERROR(INDEX('Paramètres'!$Q:$Q,MATCH($D734,'Paramètres'!$M:$M,0))&amp;"",""))</f>
        <v>Alimentation</v>
      </c>
      <c r="O734" s="6">
        <f>IF($A734="","",IF(OR($J734&lt;&gt;"x",$A734&lt;=FinReleve),1,0))</f>
        <v>1</v>
      </c>
      <c r="P734" s="6">
        <f>IF($D734="","",IF(AND($L734="Crédit",OR(IFERROR(INDEX('Paramètres'!$O:$O,MATCH($D734,'Paramètres'!$M:$M,0))&amp;"","")&lt;&gt;"",ISNUMBER(SEARCH("remboursement",IFERROR(INDEX('Paramètres'!$N:$N,MATCH($D734,'Paramètres'!$M:$M,0))&amp;"",""))))),1,0))</f>
        <v>0</v>
      </c>
      <c r="Q734" s="6">
        <f>IF($K734="","",IF(ISNUMBER(SEARCH("transfert-interne",IFERROR(INDEX('Paramètres'!$N:$N,MATCH($D734,'Paramètres'!$M:$M,0))&amp;"",""))),0,IF($L734="Débit",$K734,IF($P734=1,-$K734,0))))</f>
        <v>75.81</v>
      </c>
      <c r="R734" s="6">
        <f>IF($K734="","",IF($L734="Crédit",$K734,-$K734))</f>
        <v>-75.81</v>
      </c>
      <c r="S734" s="6" t="str">
        <f>IF($C734="","",IFERROR(INDEX('Paramètres'!$H:$H,MATCH($C734,'Paramètres'!$D:$D,0))&amp;"",""))</f>
        <v>Banque A - Courant</v>
      </c>
      <c r="T734" s="6">
        <f>IF($K734="","",IF($S734="",0,IF(ISNUMBER(SEARCH("apport-exterieur",IFERROR(INDEX('Paramètres'!$N:$N,MATCH($D734,'Paramètres'!$M:$M,0))&amp;"",""))),0,IF(OR(IFERROR(INDEX('Paramètres'!$I:$I,MATCH($C734,'Paramètres'!$D:$D,0))&amp;"","")="Les deux",IFERROR(INDEX('Paramètres'!$I:$I,MATCH($C734,'Paramètres'!$D:$D,0))&amp;"","")=IF($P734=1,"Débit",$L734)),-IF($P734=1,-$K734,$K734),0))))</f>
        <v>0</v>
      </c>
      <c r="U734" s="6">
        <f>IF($K734="","",IF(ISNUMBER(SEARCH("sortie-epargne",IFERROR(INDEX('Paramètres'!$N:$N,MATCH($D734,'Paramètres'!$M:$M,0))&amp;"",""))),$K734,0))</f>
        <v>0</v>
      </c>
      <c r="V734" s="6" t="str">
        <f>IF(AND($A734&lt;&gt;"",$O734=1,$L734="Débit",N($Q734)&gt;0,$A734&gt;=Visualisation!$B$1,$A734&lt;Visualisation!$D$1),MAX($V$1:V733)+1,"")</f>
        <v/>
      </c>
    </row>
    <row r="735" spans="1:22" x14ac:dyDescent="0.25">
      <c r="A735" s="9">
        <v>46056</v>
      </c>
      <c r="B735" s="4" t="s">
        <v>76</v>
      </c>
      <c r="C735" s="4" t="s">
        <v>107</v>
      </c>
      <c r="D735" s="4" t="s">
        <v>108</v>
      </c>
      <c r="E735" s="10">
        <v>38.35</v>
      </c>
      <c r="G735" s="4" t="s">
        <v>127</v>
      </c>
      <c r="H735" s="4"/>
      <c r="I735" s="4"/>
      <c r="K735" s="11">
        <f>IF($E735="","",ROUND($E735*IF(ISNA(MATCH($C735,'Paramètres'!$D:$D,0)),1,IF(INDEX('Paramètres'!$J:$J,MATCH($C735,'Paramètres'!$D:$D,0))="",1,INDEX('Paramètres'!$J:$J,MATCH($C735,'Paramètres'!$D:$D,0)))),2))</f>
        <v>38.35</v>
      </c>
      <c r="L735" s="6" t="str">
        <f>IF($D735="","",IF($F735&lt;&gt;"",$F735,IF(ISNA(MATCH($D735,'Paramètres'!$M:$M,0)),"⚠ Type inconnu",IFERROR(INDEX('Paramètres'!$P:$P,MATCH($D735,'Paramètres'!$M:$M,0))&amp;"",""))))</f>
        <v>Débit</v>
      </c>
      <c r="M735" s="6" t="str">
        <f>IF($D735="","",IF(ISNA(MATCH($D735,'Paramètres'!$M:$M,0)),"⚠ Type inconnu",IF($L735="Crédit","",IFERROR(INDEX('Paramètres'!$O:$O,MATCH($D735,'Paramètres'!$M:$M,0))&amp;"",""))))</f>
        <v>Dépense Occasionnelle</v>
      </c>
      <c r="N735" s="6" t="str">
        <f>IF($D735="","",IFERROR(INDEX('Paramètres'!$Q:$Q,MATCH($D735,'Paramètres'!$M:$M,0))&amp;"",""))</f>
        <v>Autre</v>
      </c>
      <c r="O735" s="6">
        <f>IF($A735="","",IF(OR($J735&lt;&gt;"x",$A735&lt;=FinReleve),1,0))</f>
        <v>1</v>
      </c>
      <c r="P735" s="6">
        <f>IF($D735="","",IF(AND($L735="Crédit",OR(IFERROR(INDEX('Paramètres'!$O:$O,MATCH($D735,'Paramètres'!$M:$M,0))&amp;"","")&lt;&gt;"",ISNUMBER(SEARCH("remboursement",IFERROR(INDEX('Paramètres'!$N:$N,MATCH($D735,'Paramètres'!$M:$M,0))&amp;"",""))))),1,0))</f>
        <v>0</v>
      </c>
      <c r="Q735" s="6">
        <f>IF($K735="","",IF(ISNUMBER(SEARCH("transfert-interne",IFERROR(INDEX('Paramètres'!$N:$N,MATCH($D735,'Paramètres'!$M:$M,0))&amp;"",""))),0,IF($L735="Débit",$K735,IF($P735=1,-$K735,0))))</f>
        <v>38.35</v>
      </c>
      <c r="R735" s="6">
        <f>IF($K735="","",IF($L735="Crédit",$K735,-$K735))</f>
        <v>-38.35</v>
      </c>
      <c r="S735" s="6" t="str">
        <f>IF($C735="","",IFERROR(INDEX('Paramètres'!$H:$H,MATCH($C735,'Paramètres'!$D:$D,0))&amp;"",""))</f>
        <v/>
      </c>
      <c r="T735" s="6">
        <f>IF($K735="","",IF($S735="",0,IF(ISNUMBER(SEARCH("apport-exterieur",IFERROR(INDEX('Paramètres'!$N:$N,MATCH($D735,'Paramètres'!$M:$M,0))&amp;"",""))),0,IF(OR(IFERROR(INDEX('Paramètres'!$I:$I,MATCH($C735,'Paramètres'!$D:$D,0))&amp;"","")="Les deux",IFERROR(INDEX('Paramètres'!$I:$I,MATCH($C735,'Paramètres'!$D:$D,0))&amp;"","")=IF($P735=1,"Débit",$L735)),-IF($P735=1,-$K735,$K735),0))))</f>
        <v>0</v>
      </c>
      <c r="U735" s="6">
        <f>IF($K735="","",IF(ISNUMBER(SEARCH("sortie-epargne",IFERROR(INDEX('Paramètres'!$N:$N,MATCH($D735,'Paramètres'!$M:$M,0))&amp;"",""))),$K735,0))</f>
        <v>0</v>
      </c>
      <c r="V735" s="6" t="str">
        <f>IF(AND($A735&lt;&gt;"",$O735=1,$L735="Débit",N($Q735)&gt;0,$A735&gt;=Visualisation!$B$1,$A735&lt;Visualisation!$D$1),MAX($V$1:V734)+1,"")</f>
        <v/>
      </c>
    </row>
    <row r="736" spans="1:22" x14ac:dyDescent="0.25">
      <c r="A736" s="9">
        <v>46057</v>
      </c>
      <c r="B736" s="4" t="s">
        <v>76</v>
      </c>
      <c r="C736" s="4" t="s">
        <v>107</v>
      </c>
      <c r="D736" s="4" t="s">
        <v>108</v>
      </c>
      <c r="E736" s="10">
        <v>60.33</v>
      </c>
      <c r="G736" s="4" t="s">
        <v>137</v>
      </c>
      <c r="H736" s="4"/>
      <c r="I736" s="4" t="s">
        <v>73</v>
      </c>
      <c r="K736" s="11">
        <f>IF($E736="","",ROUND($E736*IF(ISNA(MATCH($C736,'Paramètres'!$D:$D,0)),1,IF(INDEX('Paramètres'!$J:$J,MATCH($C736,'Paramètres'!$D:$D,0))="",1,INDEX('Paramètres'!$J:$J,MATCH($C736,'Paramètres'!$D:$D,0)))),2))</f>
        <v>60.33</v>
      </c>
      <c r="L736" s="6" t="str">
        <f>IF($D736="","",IF($F736&lt;&gt;"",$F736,IF(ISNA(MATCH($D736,'Paramètres'!$M:$M,0)),"⚠ Type inconnu",IFERROR(INDEX('Paramètres'!$P:$P,MATCH($D736,'Paramètres'!$M:$M,0))&amp;"",""))))</f>
        <v>Débit</v>
      </c>
      <c r="M736" s="6" t="str">
        <f>IF($D736="","",IF(ISNA(MATCH($D736,'Paramètres'!$M:$M,0)),"⚠ Type inconnu",IF($L736="Crédit","",IFERROR(INDEX('Paramètres'!$O:$O,MATCH($D736,'Paramètres'!$M:$M,0))&amp;"",""))))</f>
        <v>Dépense Occasionnelle</v>
      </c>
      <c r="N736" s="6" t="str">
        <f>IF($D736="","",IFERROR(INDEX('Paramètres'!$Q:$Q,MATCH($D736,'Paramètres'!$M:$M,0))&amp;"",""))</f>
        <v>Autre</v>
      </c>
      <c r="O736" s="6">
        <f>IF($A736="","",IF(OR($J736&lt;&gt;"x",$A736&lt;=FinReleve),1,0))</f>
        <v>1</v>
      </c>
      <c r="P736" s="6">
        <f>IF($D736="","",IF(AND($L736="Crédit",OR(IFERROR(INDEX('Paramètres'!$O:$O,MATCH($D736,'Paramètres'!$M:$M,0))&amp;"","")&lt;&gt;"",ISNUMBER(SEARCH("remboursement",IFERROR(INDEX('Paramètres'!$N:$N,MATCH($D736,'Paramètres'!$M:$M,0))&amp;"",""))))),1,0))</f>
        <v>0</v>
      </c>
      <c r="Q736" s="6">
        <f>IF($K736="","",IF(ISNUMBER(SEARCH("transfert-interne",IFERROR(INDEX('Paramètres'!$N:$N,MATCH($D736,'Paramètres'!$M:$M,0))&amp;"",""))),0,IF($L736="Débit",$K736,IF($P736=1,-$K736,0))))</f>
        <v>60.33</v>
      </c>
      <c r="R736" s="6">
        <f>IF($K736="","",IF($L736="Crédit",$K736,-$K736))</f>
        <v>-60.33</v>
      </c>
      <c r="S736" s="6" t="str">
        <f>IF($C736="","",IFERROR(INDEX('Paramètres'!$H:$H,MATCH($C736,'Paramètres'!$D:$D,0))&amp;"",""))</f>
        <v/>
      </c>
      <c r="T736" s="6">
        <f>IF($K736="","",IF($S736="",0,IF(ISNUMBER(SEARCH("apport-exterieur",IFERROR(INDEX('Paramètres'!$N:$N,MATCH($D736,'Paramètres'!$M:$M,0))&amp;"",""))),0,IF(OR(IFERROR(INDEX('Paramètres'!$I:$I,MATCH($C736,'Paramètres'!$D:$D,0))&amp;"","")="Les deux",IFERROR(INDEX('Paramètres'!$I:$I,MATCH($C736,'Paramètres'!$D:$D,0))&amp;"","")=IF($P736=1,"Débit",$L736)),-IF($P736=1,-$K736,$K736),0))))</f>
        <v>0</v>
      </c>
      <c r="U736" s="6">
        <f>IF($K736="","",IF(ISNUMBER(SEARCH("sortie-epargne",IFERROR(INDEX('Paramètres'!$N:$N,MATCH($D736,'Paramètres'!$M:$M,0))&amp;"",""))),$K736,0))</f>
        <v>0</v>
      </c>
      <c r="V736" s="6" t="str">
        <f>IF(AND($A736&lt;&gt;"",$O736=1,$L736="Débit",N($Q736)&gt;0,$A736&gt;=Visualisation!$B$1,$A736&lt;Visualisation!$D$1),MAX($V$1:V735)+1,"")</f>
        <v/>
      </c>
    </row>
    <row r="737" spans="1:22" x14ac:dyDescent="0.25">
      <c r="A737" s="9">
        <v>46057</v>
      </c>
      <c r="B737" s="4" t="s">
        <v>80</v>
      </c>
      <c r="C737" s="4" t="s">
        <v>70</v>
      </c>
      <c r="D737" s="4" t="s">
        <v>81</v>
      </c>
      <c r="E737" s="10">
        <v>116.5</v>
      </c>
      <c r="G737" s="4"/>
      <c r="H737" s="4"/>
      <c r="I737" s="4"/>
      <c r="K737" s="11">
        <f>IF($E737="","",ROUND($E737*IF(ISNA(MATCH($C737,'Paramètres'!$D:$D,0)),1,IF(INDEX('Paramètres'!$J:$J,MATCH($C737,'Paramètres'!$D:$D,0))="",1,INDEX('Paramètres'!$J:$J,MATCH($C737,'Paramètres'!$D:$D,0)))),2))</f>
        <v>116.5</v>
      </c>
      <c r="L737" s="6" t="str">
        <f>IF($D737="","",IF($F737&lt;&gt;"",$F737,IF(ISNA(MATCH($D737,'Paramètres'!$M:$M,0)),"⚠ Type inconnu",IFERROR(INDEX('Paramètres'!$P:$P,MATCH($D737,'Paramètres'!$M:$M,0))&amp;"",""))))</f>
        <v>Crédit</v>
      </c>
      <c r="M737" s="6" t="str">
        <f>IF($D737="","",IF(ISNA(MATCH($D737,'Paramètres'!$M:$M,0)),"⚠ Type inconnu",IF($L737="Crédit","",IFERROR(INDEX('Paramètres'!$O:$O,MATCH($D737,'Paramètres'!$M:$M,0))&amp;"",""))))</f>
        <v/>
      </c>
      <c r="N737" s="6" t="str">
        <f>IF($D737="","",IFERROR(INDEX('Paramètres'!$Q:$Q,MATCH($D737,'Paramètres'!$M:$M,0))&amp;"",""))</f>
        <v>Comptes Bancaires</v>
      </c>
      <c r="O737" s="6">
        <f>IF($A737="","",IF(OR($J737&lt;&gt;"x",$A737&lt;=FinReleve),1,0))</f>
        <v>1</v>
      </c>
      <c r="P737" s="6">
        <f>IF($D737="","",IF(AND($L737="Crédit",OR(IFERROR(INDEX('Paramètres'!$O:$O,MATCH($D737,'Paramètres'!$M:$M,0))&amp;"","")&lt;&gt;"",ISNUMBER(SEARCH("remboursement",IFERROR(INDEX('Paramètres'!$N:$N,MATCH($D737,'Paramètres'!$M:$M,0))&amp;"",""))))),1,0))</f>
        <v>0</v>
      </c>
      <c r="Q737" s="6">
        <f>IF($K737="","",IF(ISNUMBER(SEARCH("transfert-interne",IFERROR(INDEX('Paramètres'!$N:$N,MATCH($D737,'Paramètres'!$M:$M,0))&amp;"",""))),0,IF($L737="Débit",$K737,IF($P737=1,-$K737,0))))</f>
        <v>0</v>
      </c>
      <c r="R737" s="6">
        <f>IF($K737="","",IF($L737="Crédit",$K737,-$K737))</f>
        <v>116.5</v>
      </c>
      <c r="S737" s="6" t="str">
        <f>IF($C737="","",IFERROR(INDEX('Paramètres'!$H:$H,MATCH($C737,'Paramètres'!$D:$D,0))&amp;"",""))</f>
        <v/>
      </c>
      <c r="T737" s="6">
        <f>IF($K737="","",IF($S737="",0,IF(ISNUMBER(SEARCH("apport-exterieur",IFERROR(INDEX('Paramètres'!$N:$N,MATCH($D737,'Paramètres'!$M:$M,0))&amp;"",""))),0,IF(OR(IFERROR(INDEX('Paramètres'!$I:$I,MATCH($C737,'Paramètres'!$D:$D,0))&amp;"","")="Les deux",IFERROR(INDEX('Paramètres'!$I:$I,MATCH($C737,'Paramètres'!$D:$D,0))&amp;"","")=IF($P737=1,"Débit",$L737)),-IF($P737=1,-$K737,$K737),0))))</f>
        <v>0</v>
      </c>
      <c r="U737" s="6">
        <f>IF($K737="","",IF(ISNUMBER(SEARCH("sortie-epargne",IFERROR(INDEX('Paramètres'!$N:$N,MATCH($D737,'Paramètres'!$M:$M,0))&amp;"",""))),$K737,0))</f>
        <v>0</v>
      </c>
      <c r="V737" s="6" t="str">
        <f>IF(AND($A737&lt;&gt;"",$O737=1,$L737="Débit",N($Q737)&gt;0,$A737&gt;=Visualisation!$B$1,$A737&lt;Visualisation!$D$1),MAX($V$1:V736)+1,"")</f>
        <v/>
      </c>
    </row>
    <row r="738" spans="1:22" x14ac:dyDescent="0.25">
      <c r="A738" s="9">
        <v>46058</v>
      </c>
      <c r="B738" s="4" t="s">
        <v>82</v>
      </c>
      <c r="C738" s="4" t="s">
        <v>65</v>
      </c>
      <c r="D738" s="4" t="s">
        <v>83</v>
      </c>
      <c r="E738" s="10">
        <v>662.17</v>
      </c>
      <c r="G738" s="4" t="s">
        <v>84</v>
      </c>
      <c r="H738" s="4"/>
      <c r="I738" s="4"/>
      <c r="K738" s="11">
        <f>IF($E738="","",ROUND($E738*IF(ISNA(MATCH($C738,'Paramètres'!$D:$D,0)),1,IF(INDEX('Paramètres'!$J:$J,MATCH($C738,'Paramètres'!$D:$D,0))="",1,INDEX('Paramètres'!$J:$J,MATCH($C738,'Paramètres'!$D:$D,0)))),2))</f>
        <v>662.17</v>
      </c>
      <c r="L738" s="6" t="str">
        <f>IF($D738="","",IF($F738&lt;&gt;"",$F738,IF(ISNA(MATCH($D738,'Paramètres'!$M:$M,0)),"⚠ Type inconnu",IFERROR(INDEX('Paramètres'!$P:$P,MATCH($D738,'Paramètres'!$M:$M,0))&amp;"",""))))</f>
        <v>Débit</v>
      </c>
      <c r="M738" s="6" t="str">
        <f>IF($D738="","",IF(ISNA(MATCH($D738,'Paramètres'!$M:$M,0)),"⚠ Type inconnu",IF($L738="Crédit","",IFERROR(INDEX('Paramètres'!$O:$O,MATCH($D738,'Paramètres'!$M:$M,0))&amp;"",""))))</f>
        <v/>
      </c>
      <c r="N738" s="6" t="str">
        <f>IF($D738="","",IFERROR(INDEX('Paramètres'!$Q:$Q,MATCH($D738,'Paramètres'!$M:$M,0))&amp;"",""))</f>
        <v>Immobilier</v>
      </c>
      <c r="O738" s="6">
        <f>IF($A738="","",IF(OR($J738&lt;&gt;"x",$A738&lt;=FinReleve),1,0))</f>
        <v>1</v>
      </c>
      <c r="P738" s="6">
        <f>IF($D738="","",IF(AND($L738="Crédit",OR(IFERROR(INDEX('Paramètres'!$O:$O,MATCH($D738,'Paramètres'!$M:$M,0))&amp;"","")&lt;&gt;"",ISNUMBER(SEARCH("remboursement",IFERROR(INDEX('Paramètres'!$N:$N,MATCH($D738,'Paramètres'!$M:$M,0))&amp;"",""))))),1,0))</f>
        <v>0</v>
      </c>
      <c r="Q738" s="6">
        <f>IF($K738="","",IF(ISNUMBER(SEARCH("transfert-interne",IFERROR(INDEX('Paramètres'!$N:$N,MATCH($D738,'Paramètres'!$M:$M,0))&amp;"",""))),0,IF($L738="Débit",$K738,IF($P738=1,-$K738,0))))</f>
        <v>662.17</v>
      </c>
      <c r="R738" s="6">
        <f>IF($K738="","",IF($L738="Crédit",$K738,-$K738))</f>
        <v>-662.17</v>
      </c>
      <c r="S738" s="6" t="str">
        <f>IF($C738="","",IFERROR(INDEX('Paramètres'!$H:$H,MATCH($C738,'Paramètres'!$D:$D,0))&amp;"",""))</f>
        <v>Banque A - Courant</v>
      </c>
      <c r="T738" s="6">
        <f>IF($K738="","",IF($S738="",0,IF(ISNUMBER(SEARCH("apport-exterieur",IFERROR(INDEX('Paramètres'!$N:$N,MATCH($D738,'Paramètres'!$M:$M,0))&amp;"",""))),0,IF(OR(IFERROR(INDEX('Paramètres'!$I:$I,MATCH($C738,'Paramètres'!$D:$D,0))&amp;"","")="Les deux",IFERROR(INDEX('Paramètres'!$I:$I,MATCH($C738,'Paramètres'!$D:$D,0))&amp;"","")=IF($P738=1,"Débit",$L738)),-IF($P738=1,-$K738,$K738),0))))</f>
        <v>0</v>
      </c>
      <c r="U738" s="6">
        <f>IF($K738="","",IF(ISNUMBER(SEARCH("sortie-epargne",IFERROR(INDEX('Paramètres'!$N:$N,MATCH($D738,'Paramètres'!$M:$M,0))&amp;"",""))),$K738,0))</f>
        <v>0</v>
      </c>
      <c r="V738" s="6" t="str">
        <f>IF(AND($A738&lt;&gt;"",$O738=1,$L738="Débit",N($Q738)&gt;0,$A738&gt;=Visualisation!$B$1,$A738&lt;Visualisation!$D$1),MAX($V$1:V737)+1,"")</f>
        <v/>
      </c>
    </row>
    <row r="739" spans="1:22" x14ac:dyDescent="0.25">
      <c r="A739" s="9">
        <v>46058</v>
      </c>
      <c r="B739" s="4" t="s">
        <v>85</v>
      </c>
      <c r="C739" s="4" t="s">
        <v>65</v>
      </c>
      <c r="D739" s="4" t="s">
        <v>86</v>
      </c>
      <c r="E739" s="10">
        <v>231.47</v>
      </c>
      <c r="G739" s="4" t="s">
        <v>87</v>
      </c>
      <c r="H739" s="4"/>
      <c r="I739" s="4"/>
      <c r="K739" s="11">
        <f>IF($E739="","",ROUND($E739*IF(ISNA(MATCH($C739,'Paramètres'!$D:$D,0)),1,IF(INDEX('Paramètres'!$J:$J,MATCH($C739,'Paramètres'!$D:$D,0))="",1,INDEX('Paramètres'!$J:$J,MATCH($C739,'Paramètres'!$D:$D,0)))),2))</f>
        <v>231.47</v>
      </c>
      <c r="L739" s="6" t="str">
        <f>IF($D739="","",IF($F739&lt;&gt;"",$F739,IF(ISNA(MATCH($D739,'Paramètres'!$M:$M,0)),"⚠ Type inconnu",IFERROR(INDEX('Paramètres'!$P:$P,MATCH($D739,'Paramètres'!$M:$M,0))&amp;"",""))))</f>
        <v>Débit</v>
      </c>
      <c r="M739" s="6" t="str">
        <f>IF($D739="","",IF(ISNA(MATCH($D739,'Paramètres'!$M:$M,0)),"⚠ Type inconnu",IF($L739="Crédit","",IFERROR(INDEX('Paramètres'!$O:$O,MATCH($D739,'Paramètres'!$M:$M,0))&amp;"",""))))</f>
        <v>Dépense Fixe</v>
      </c>
      <c r="N739" s="6" t="str">
        <f>IF($D739="","",IFERROR(INDEX('Paramètres'!$Q:$Q,MATCH($D739,'Paramètres'!$M:$M,0))&amp;"",""))</f>
        <v>Immobilier</v>
      </c>
      <c r="O739" s="6">
        <f>IF($A739="","",IF(OR($J739&lt;&gt;"x",$A739&lt;=FinReleve),1,0))</f>
        <v>1</v>
      </c>
      <c r="P739" s="6">
        <f>IF($D739="","",IF(AND($L739="Crédit",OR(IFERROR(INDEX('Paramètres'!$O:$O,MATCH($D739,'Paramètres'!$M:$M,0))&amp;"","")&lt;&gt;"",ISNUMBER(SEARCH("remboursement",IFERROR(INDEX('Paramètres'!$N:$N,MATCH($D739,'Paramètres'!$M:$M,0))&amp;"",""))))),1,0))</f>
        <v>0</v>
      </c>
      <c r="Q739" s="6">
        <f>IF($K739="","",IF(ISNUMBER(SEARCH("transfert-interne",IFERROR(INDEX('Paramètres'!$N:$N,MATCH($D739,'Paramètres'!$M:$M,0))&amp;"",""))),0,IF($L739="Débit",$K739,IF($P739=1,-$K739,0))))</f>
        <v>231.47</v>
      </c>
      <c r="R739" s="6">
        <f>IF($K739="","",IF($L739="Crédit",$K739,-$K739))</f>
        <v>-231.47</v>
      </c>
      <c r="S739" s="6" t="str">
        <f>IF($C739="","",IFERROR(INDEX('Paramètres'!$H:$H,MATCH($C739,'Paramètres'!$D:$D,0))&amp;"",""))</f>
        <v>Banque A - Courant</v>
      </c>
      <c r="T739" s="6">
        <f>IF($K739="","",IF($S739="",0,IF(ISNUMBER(SEARCH("apport-exterieur",IFERROR(INDEX('Paramètres'!$N:$N,MATCH($D739,'Paramètres'!$M:$M,0))&amp;"",""))),0,IF(OR(IFERROR(INDEX('Paramètres'!$I:$I,MATCH($C739,'Paramètres'!$D:$D,0))&amp;"","")="Les deux",IFERROR(INDEX('Paramètres'!$I:$I,MATCH($C739,'Paramètres'!$D:$D,0))&amp;"","")=IF($P739=1,"Débit",$L739)),-IF($P739=1,-$K739,$K739),0))))</f>
        <v>0</v>
      </c>
      <c r="U739" s="6">
        <f>IF($K739="","",IF(ISNUMBER(SEARCH("sortie-epargne",IFERROR(INDEX('Paramètres'!$N:$N,MATCH($D739,'Paramètres'!$M:$M,0))&amp;"",""))),$K739,0))</f>
        <v>0</v>
      </c>
      <c r="V739" s="6" t="str">
        <f>IF(AND($A739&lt;&gt;"",$O739=1,$L739="Débit",N($Q739)&gt;0,$A739&gt;=Visualisation!$B$1,$A739&lt;Visualisation!$D$1),MAX($V$1:V738)+1,"")</f>
        <v/>
      </c>
    </row>
    <row r="740" spans="1:22" x14ac:dyDescent="0.25">
      <c r="A740" s="9">
        <v>46058</v>
      </c>
      <c r="B740" s="4" t="s">
        <v>88</v>
      </c>
      <c r="C740" s="4" t="s">
        <v>65</v>
      </c>
      <c r="D740" s="4" t="s">
        <v>88</v>
      </c>
      <c r="E740" s="10">
        <v>31.2</v>
      </c>
      <c r="G740" s="4"/>
      <c r="H740" s="4"/>
      <c r="I740" s="4"/>
      <c r="K740" s="11">
        <f>IF($E740="","",ROUND($E740*IF(ISNA(MATCH($C740,'Paramètres'!$D:$D,0)),1,IF(INDEX('Paramètres'!$J:$J,MATCH($C740,'Paramètres'!$D:$D,0))="",1,INDEX('Paramètres'!$J:$J,MATCH($C740,'Paramètres'!$D:$D,0)))),2))</f>
        <v>31.2</v>
      </c>
      <c r="L740" s="6" t="str">
        <f>IF($D740="","",IF($F740&lt;&gt;"",$F740,IF(ISNA(MATCH($D740,'Paramètres'!$M:$M,0)),"⚠ Type inconnu",IFERROR(INDEX('Paramètres'!$P:$P,MATCH($D740,'Paramètres'!$M:$M,0))&amp;"",""))))</f>
        <v>Débit</v>
      </c>
      <c r="M740" s="6" t="str">
        <f>IF($D740="","",IF(ISNA(MATCH($D740,'Paramètres'!$M:$M,0)),"⚠ Type inconnu",IF($L740="Crédit","",IFERROR(INDEX('Paramètres'!$O:$O,MATCH($D740,'Paramètres'!$M:$M,0))&amp;"",""))))</f>
        <v>Dépense Fixe</v>
      </c>
      <c r="N740" s="6" t="str">
        <f>IF($D740="","",IFERROR(INDEX('Paramètres'!$Q:$Q,MATCH($D740,'Paramètres'!$M:$M,0))&amp;"",""))</f>
        <v>Assurances</v>
      </c>
      <c r="O740" s="6">
        <f>IF($A740="","",IF(OR($J740&lt;&gt;"x",$A740&lt;=FinReleve),1,0))</f>
        <v>1</v>
      </c>
      <c r="P740" s="6">
        <f>IF($D740="","",IF(AND($L740="Crédit",OR(IFERROR(INDEX('Paramètres'!$O:$O,MATCH($D740,'Paramètres'!$M:$M,0))&amp;"","")&lt;&gt;"",ISNUMBER(SEARCH("remboursement",IFERROR(INDEX('Paramètres'!$N:$N,MATCH($D740,'Paramètres'!$M:$M,0))&amp;"",""))))),1,0))</f>
        <v>0</v>
      </c>
      <c r="Q740" s="6">
        <f>IF($K740="","",IF(ISNUMBER(SEARCH("transfert-interne",IFERROR(INDEX('Paramètres'!$N:$N,MATCH($D740,'Paramètres'!$M:$M,0))&amp;"",""))),0,IF($L740="Débit",$K740,IF($P740=1,-$K740,0))))</f>
        <v>31.2</v>
      </c>
      <c r="R740" s="6">
        <f>IF($K740="","",IF($L740="Crédit",$K740,-$K740))</f>
        <v>-31.2</v>
      </c>
      <c r="S740" s="6" t="str">
        <f>IF($C740="","",IFERROR(INDEX('Paramètres'!$H:$H,MATCH($C740,'Paramètres'!$D:$D,0))&amp;"",""))</f>
        <v>Banque A - Courant</v>
      </c>
      <c r="T740" s="6">
        <f>IF($K740="","",IF($S740="",0,IF(ISNUMBER(SEARCH("apport-exterieur",IFERROR(INDEX('Paramètres'!$N:$N,MATCH($D740,'Paramètres'!$M:$M,0))&amp;"",""))),0,IF(OR(IFERROR(INDEX('Paramètres'!$I:$I,MATCH($C740,'Paramètres'!$D:$D,0))&amp;"","")="Les deux",IFERROR(INDEX('Paramètres'!$I:$I,MATCH($C740,'Paramètres'!$D:$D,0))&amp;"","")=IF($P740=1,"Débit",$L740)),-IF($P740=1,-$K740,$K740),0))))</f>
        <v>0</v>
      </c>
      <c r="U740" s="6">
        <f>IF($K740="","",IF(ISNUMBER(SEARCH("sortie-epargne",IFERROR(INDEX('Paramètres'!$N:$N,MATCH($D740,'Paramètres'!$M:$M,0))&amp;"",""))),$K740,0))</f>
        <v>0</v>
      </c>
      <c r="V740" s="6" t="str">
        <f>IF(AND($A740&lt;&gt;"",$O740=1,$L740="Débit",N($Q740)&gt;0,$A740&gt;=Visualisation!$B$1,$A740&lt;Visualisation!$D$1),MAX($V$1:V739)+1,"")</f>
        <v/>
      </c>
    </row>
    <row r="741" spans="1:22" x14ac:dyDescent="0.25">
      <c r="A741" s="9">
        <v>46059</v>
      </c>
      <c r="B741" s="4" t="s">
        <v>89</v>
      </c>
      <c r="C741" s="4" t="s">
        <v>75</v>
      </c>
      <c r="D741" s="4" t="s">
        <v>89</v>
      </c>
      <c r="E741" s="10">
        <v>49.9</v>
      </c>
      <c r="G741" s="4"/>
      <c r="H741" s="4"/>
      <c r="I741" s="4"/>
      <c r="K741" s="11">
        <f>IF($E741="","",ROUND($E741*IF(ISNA(MATCH($C741,'Paramètres'!$D:$D,0)),1,IF(INDEX('Paramètres'!$J:$J,MATCH($C741,'Paramètres'!$D:$D,0))="",1,INDEX('Paramètres'!$J:$J,MATCH($C741,'Paramètres'!$D:$D,0)))),2))</f>
        <v>49.9</v>
      </c>
      <c r="L741" s="6" t="str">
        <f>IF($D741="","",IF($F741&lt;&gt;"",$F741,IF(ISNA(MATCH($D741,'Paramètres'!$M:$M,0)),"⚠ Type inconnu",IFERROR(INDEX('Paramètres'!$P:$P,MATCH($D741,'Paramètres'!$M:$M,0))&amp;"",""))))</f>
        <v>Débit</v>
      </c>
      <c r="M741" s="6" t="str">
        <f>IF($D741="","",IF(ISNA(MATCH($D741,'Paramètres'!$M:$M,0)),"⚠ Type inconnu",IF($L741="Crédit","",IFERROR(INDEX('Paramètres'!$O:$O,MATCH($D741,'Paramètres'!$M:$M,0))&amp;"",""))))</f>
        <v>Dépense Fixe</v>
      </c>
      <c r="N741" s="6" t="str">
        <f>IF($D741="","",IFERROR(INDEX('Paramètres'!$Q:$Q,MATCH($D741,'Paramètres'!$M:$M,0))&amp;"",""))</f>
        <v>Autre</v>
      </c>
      <c r="O741" s="6">
        <f>IF($A741="","",IF(OR($J741&lt;&gt;"x",$A741&lt;=FinReleve),1,0))</f>
        <v>1</v>
      </c>
      <c r="P741" s="6">
        <f>IF($D741="","",IF(AND($L741="Crédit",OR(IFERROR(INDEX('Paramètres'!$O:$O,MATCH($D741,'Paramètres'!$M:$M,0))&amp;"","")&lt;&gt;"",ISNUMBER(SEARCH("remboursement",IFERROR(INDEX('Paramètres'!$N:$N,MATCH($D741,'Paramètres'!$M:$M,0))&amp;"",""))))),1,0))</f>
        <v>0</v>
      </c>
      <c r="Q741" s="6">
        <f>IF($K741="","",IF(ISNUMBER(SEARCH("transfert-interne",IFERROR(INDEX('Paramètres'!$N:$N,MATCH($D741,'Paramètres'!$M:$M,0))&amp;"",""))),0,IF($L741="Débit",$K741,IF($P741=1,-$K741,0))))</f>
        <v>49.9</v>
      </c>
      <c r="R741" s="6">
        <f>IF($K741="","",IF($L741="Crédit",$K741,-$K741))</f>
        <v>-49.9</v>
      </c>
      <c r="S741" s="6" t="str">
        <f>IF($C741="","",IFERROR(INDEX('Paramètres'!$H:$H,MATCH($C741,'Paramètres'!$D:$D,0))&amp;"",""))</f>
        <v/>
      </c>
      <c r="T741" s="6">
        <f>IF($K741="","",IF($S741="",0,IF(ISNUMBER(SEARCH("apport-exterieur",IFERROR(INDEX('Paramètres'!$N:$N,MATCH($D741,'Paramètres'!$M:$M,0))&amp;"",""))),0,IF(OR(IFERROR(INDEX('Paramètres'!$I:$I,MATCH($C741,'Paramètres'!$D:$D,0))&amp;"","")="Les deux",IFERROR(INDEX('Paramètres'!$I:$I,MATCH($C741,'Paramètres'!$D:$D,0))&amp;"","")=IF($P741=1,"Débit",$L741)),-IF($P741=1,-$K741,$K741),0))))</f>
        <v>0</v>
      </c>
      <c r="U741" s="6">
        <f>IF($K741="","",IF(ISNUMBER(SEARCH("sortie-epargne",IFERROR(INDEX('Paramètres'!$N:$N,MATCH($D741,'Paramètres'!$M:$M,0))&amp;"",""))),$K741,0))</f>
        <v>0</v>
      </c>
      <c r="V741" s="6" t="str">
        <f>IF(AND($A741&lt;&gt;"",$O741=1,$L741="Débit",N($Q741)&gt;0,$A741&gt;=Visualisation!$B$1,$A741&lt;Visualisation!$D$1),MAX($V$1:V740)+1,"")</f>
        <v/>
      </c>
    </row>
    <row r="742" spans="1:22" x14ac:dyDescent="0.25">
      <c r="A742" s="9">
        <v>46059</v>
      </c>
      <c r="B742" s="4" t="s">
        <v>76</v>
      </c>
      <c r="C742" s="4" t="s">
        <v>67</v>
      </c>
      <c r="D742" s="4" t="s">
        <v>77</v>
      </c>
      <c r="E742" s="10">
        <v>58.28</v>
      </c>
      <c r="G742" s="4" t="s">
        <v>95</v>
      </c>
      <c r="H742" s="4" t="s">
        <v>142</v>
      </c>
      <c r="I742" s="4" t="s">
        <v>63</v>
      </c>
      <c r="K742" s="11">
        <f>IF($E742="","",ROUND($E742*IF(ISNA(MATCH($C742,'Paramètres'!$D:$D,0)),1,IF(INDEX('Paramètres'!$J:$J,MATCH($C742,'Paramètres'!$D:$D,0))="",1,INDEX('Paramètres'!$J:$J,MATCH($C742,'Paramètres'!$D:$D,0)))),2))</f>
        <v>29.14</v>
      </c>
      <c r="L742" s="6" t="str">
        <f>IF($D742="","",IF($F742&lt;&gt;"",$F742,IF(ISNA(MATCH($D742,'Paramètres'!$M:$M,0)),"⚠ Type inconnu",IFERROR(INDEX('Paramètres'!$P:$P,MATCH($D742,'Paramètres'!$M:$M,0))&amp;"",""))))</f>
        <v>Débit</v>
      </c>
      <c r="M742" s="6" t="str">
        <f>IF($D742="","",IF(ISNA(MATCH($D742,'Paramètres'!$M:$M,0)),"⚠ Type inconnu",IF($L742="Crédit","",IFERROR(INDEX('Paramètres'!$O:$O,MATCH($D742,'Paramètres'!$M:$M,0))&amp;"",""))))</f>
        <v>Dépense Courante</v>
      </c>
      <c r="N742" s="6" t="str">
        <f>IF($D742="","",IFERROR(INDEX('Paramètres'!$Q:$Q,MATCH($D742,'Paramètres'!$M:$M,0))&amp;"",""))</f>
        <v>Alimentation</v>
      </c>
      <c r="O742" s="6">
        <f>IF($A742="","",IF(OR($J742&lt;&gt;"x",$A742&lt;=FinReleve),1,0))</f>
        <v>1</v>
      </c>
      <c r="P742" s="6">
        <f>IF($D742="","",IF(AND($L742="Crédit",OR(IFERROR(INDEX('Paramètres'!$O:$O,MATCH($D742,'Paramètres'!$M:$M,0))&amp;"","")&lt;&gt;"",ISNUMBER(SEARCH("remboursement",IFERROR(INDEX('Paramètres'!$N:$N,MATCH($D742,'Paramètres'!$M:$M,0))&amp;"",""))))),1,0))</f>
        <v>0</v>
      </c>
      <c r="Q742" s="6">
        <f>IF($K742="","",IF(ISNUMBER(SEARCH("transfert-interne",IFERROR(INDEX('Paramètres'!$N:$N,MATCH($D742,'Paramètres'!$M:$M,0))&amp;"",""))),0,IF($L742="Débit",$K742,IF($P742=1,-$K742,0))))</f>
        <v>29.14</v>
      </c>
      <c r="R742" s="6">
        <f>IF($K742="","",IF($L742="Crédit",$K742,-$K742))</f>
        <v>-29.14</v>
      </c>
      <c r="S742" s="6" t="str">
        <f>IF($C742="","",IFERROR(INDEX('Paramètres'!$H:$H,MATCH($C742,'Paramètres'!$D:$D,0))&amp;"",""))</f>
        <v>Banque A - Courant</v>
      </c>
      <c r="T742" s="6">
        <f>IF($K742="","",IF($S742="",0,IF(ISNUMBER(SEARCH("apport-exterieur",IFERROR(INDEX('Paramètres'!$N:$N,MATCH($D742,'Paramètres'!$M:$M,0))&amp;"",""))),0,IF(OR(IFERROR(INDEX('Paramètres'!$I:$I,MATCH($C742,'Paramètres'!$D:$D,0))&amp;"","")="Les deux",IFERROR(INDEX('Paramètres'!$I:$I,MATCH($C742,'Paramètres'!$D:$D,0))&amp;"","")=IF($P742=1,"Débit",$L742)),-IF($P742=1,-$K742,$K742),0))))</f>
        <v>0</v>
      </c>
      <c r="U742" s="6">
        <f>IF($K742="","",IF(ISNUMBER(SEARCH("sortie-epargne",IFERROR(INDEX('Paramètres'!$N:$N,MATCH($D742,'Paramètres'!$M:$M,0))&amp;"",""))),$K742,0))</f>
        <v>0</v>
      </c>
      <c r="V742" s="6" t="str">
        <f>IF(AND($A742&lt;&gt;"",$O742=1,$L742="Débit",N($Q742)&gt;0,$A742&gt;=Visualisation!$B$1,$A742&lt;Visualisation!$D$1),MAX($V$1:V741)+1,"")</f>
        <v/>
      </c>
    </row>
    <row r="743" spans="1:22" x14ac:dyDescent="0.25">
      <c r="A743" s="9">
        <v>46061</v>
      </c>
      <c r="B743" s="4" t="s">
        <v>94</v>
      </c>
      <c r="C743" s="4" t="s">
        <v>65</v>
      </c>
      <c r="D743" s="4" t="s">
        <v>94</v>
      </c>
      <c r="E743" s="10">
        <v>168</v>
      </c>
      <c r="G743" s="4"/>
      <c r="H743" s="4"/>
      <c r="I743" s="4"/>
      <c r="K743" s="11">
        <f>IF($E743="","",ROUND($E743*IF(ISNA(MATCH($C743,'Paramètres'!$D:$D,0)),1,IF(INDEX('Paramètres'!$J:$J,MATCH($C743,'Paramètres'!$D:$D,0))="",1,INDEX('Paramètres'!$J:$J,MATCH($C743,'Paramètres'!$D:$D,0)))),2))</f>
        <v>168</v>
      </c>
      <c r="L743" s="6" t="str">
        <f>IF($D743="","",IF($F743&lt;&gt;"",$F743,IF(ISNA(MATCH($D743,'Paramètres'!$M:$M,0)),"⚠ Type inconnu",IFERROR(INDEX('Paramètres'!$P:$P,MATCH($D743,'Paramètres'!$M:$M,0))&amp;"",""))))</f>
        <v>Débit</v>
      </c>
      <c r="M743" s="6" t="str">
        <f>IF($D743="","",IF(ISNA(MATCH($D743,'Paramètres'!$M:$M,0)),"⚠ Type inconnu",IF($L743="Crédit","",IFERROR(INDEX('Paramètres'!$O:$O,MATCH($D743,'Paramètres'!$M:$M,0))&amp;"",""))))</f>
        <v>Dépense Fixe</v>
      </c>
      <c r="N743" s="6" t="str">
        <f>IF($D743="","",IFERROR(INDEX('Paramètres'!$Q:$Q,MATCH($D743,'Paramètres'!$M:$M,0))&amp;"",""))</f>
        <v>Immobilier</v>
      </c>
      <c r="O743" s="6">
        <f>IF($A743="","",IF(OR($J743&lt;&gt;"x",$A743&lt;=FinReleve),1,0))</f>
        <v>1</v>
      </c>
      <c r="P743" s="6">
        <f>IF($D743="","",IF(AND($L743="Crédit",OR(IFERROR(INDEX('Paramètres'!$O:$O,MATCH($D743,'Paramètres'!$M:$M,0))&amp;"","")&lt;&gt;"",ISNUMBER(SEARCH("remboursement",IFERROR(INDEX('Paramètres'!$N:$N,MATCH($D743,'Paramètres'!$M:$M,0))&amp;"",""))))),1,0))</f>
        <v>0</v>
      </c>
      <c r="Q743" s="6">
        <f>IF($K743="","",IF(ISNUMBER(SEARCH("transfert-interne",IFERROR(INDEX('Paramètres'!$N:$N,MATCH($D743,'Paramètres'!$M:$M,0))&amp;"",""))),0,IF($L743="Débit",$K743,IF($P743=1,-$K743,0))))</f>
        <v>168</v>
      </c>
      <c r="R743" s="6">
        <f>IF($K743="","",IF($L743="Crédit",$K743,-$K743))</f>
        <v>-168</v>
      </c>
      <c r="S743" s="6" t="str">
        <f>IF($C743="","",IFERROR(INDEX('Paramètres'!$H:$H,MATCH($C743,'Paramètres'!$D:$D,0))&amp;"",""))</f>
        <v>Banque A - Courant</v>
      </c>
      <c r="T743" s="6">
        <f>IF($K743="","",IF($S743="",0,IF(ISNUMBER(SEARCH("apport-exterieur",IFERROR(INDEX('Paramètres'!$N:$N,MATCH($D743,'Paramètres'!$M:$M,0))&amp;"",""))),0,IF(OR(IFERROR(INDEX('Paramètres'!$I:$I,MATCH($C743,'Paramètres'!$D:$D,0))&amp;"","")="Les deux",IFERROR(INDEX('Paramètres'!$I:$I,MATCH($C743,'Paramètres'!$D:$D,0))&amp;"","")=IF($P743=1,"Débit",$L743)),-IF($P743=1,-$K743,$K743),0))))</f>
        <v>0</v>
      </c>
      <c r="U743" s="6">
        <f>IF($K743="","",IF(ISNUMBER(SEARCH("sortie-epargne",IFERROR(INDEX('Paramètres'!$N:$N,MATCH($D743,'Paramètres'!$M:$M,0))&amp;"",""))),$K743,0))</f>
        <v>0</v>
      </c>
      <c r="V743" s="6" t="str">
        <f>IF(AND($A743&lt;&gt;"",$O743=1,$L743="Débit",N($Q743)&gt;0,$A743&gt;=Visualisation!$B$1,$A743&lt;Visualisation!$D$1),MAX($V$1:V742)+1,"")</f>
        <v/>
      </c>
    </row>
    <row r="744" spans="1:22" x14ac:dyDescent="0.25">
      <c r="A744" s="9">
        <v>46061</v>
      </c>
      <c r="B744" s="4" t="s">
        <v>76</v>
      </c>
      <c r="C744" s="4" t="s">
        <v>67</v>
      </c>
      <c r="D744" s="4" t="s">
        <v>77</v>
      </c>
      <c r="E744" s="10">
        <v>71.5</v>
      </c>
      <c r="G744" s="4" t="s">
        <v>102</v>
      </c>
      <c r="H744" s="4" t="s">
        <v>142</v>
      </c>
      <c r="I744" s="4" t="s">
        <v>93</v>
      </c>
      <c r="K744" s="11">
        <f>IF($E744="","",ROUND($E744*IF(ISNA(MATCH($C744,'Paramètres'!$D:$D,0)),1,IF(INDEX('Paramètres'!$J:$J,MATCH($C744,'Paramètres'!$D:$D,0))="",1,INDEX('Paramètres'!$J:$J,MATCH($C744,'Paramètres'!$D:$D,0)))),2))</f>
        <v>35.75</v>
      </c>
      <c r="L744" s="6" t="str">
        <f>IF($D744="","",IF($F744&lt;&gt;"",$F744,IF(ISNA(MATCH($D744,'Paramètres'!$M:$M,0)),"⚠ Type inconnu",IFERROR(INDEX('Paramètres'!$P:$P,MATCH($D744,'Paramètres'!$M:$M,0))&amp;"",""))))</f>
        <v>Débit</v>
      </c>
      <c r="M744" s="6" t="str">
        <f>IF($D744="","",IF(ISNA(MATCH($D744,'Paramètres'!$M:$M,0)),"⚠ Type inconnu",IF($L744="Crédit","",IFERROR(INDEX('Paramètres'!$O:$O,MATCH($D744,'Paramètres'!$M:$M,0))&amp;"",""))))</f>
        <v>Dépense Courante</v>
      </c>
      <c r="N744" s="6" t="str">
        <f>IF($D744="","",IFERROR(INDEX('Paramètres'!$Q:$Q,MATCH($D744,'Paramètres'!$M:$M,0))&amp;"",""))</f>
        <v>Alimentation</v>
      </c>
      <c r="O744" s="6">
        <f>IF($A744="","",IF(OR($J744&lt;&gt;"x",$A744&lt;=FinReleve),1,0))</f>
        <v>1</v>
      </c>
      <c r="P744" s="6">
        <f>IF($D744="","",IF(AND($L744="Crédit",OR(IFERROR(INDEX('Paramètres'!$O:$O,MATCH($D744,'Paramètres'!$M:$M,0))&amp;"","")&lt;&gt;"",ISNUMBER(SEARCH("remboursement",IFERROR(INDEX('Paramètres'!$N:$N,MATCH($D744,'Paramètres'!$M:$M,0))&amp;"",""))))),1,0))</f>
        <v>0</v>
      </c>
      <c r="Q744" s="6">
        <f>IF($K744="","",IF(ISNUMBER(SEARCH("transfert-interne",IFERROR(INDEX('Paramètres'!$N:$N,MATCH($D744,'Paramètres'!$M:$M,0))&amp;"",""))),0,IF($L744="Débit",$K744,IF($P744=1,-$K744,0))))</f>
        <v>35.75</v>
      </c>
      <c r="R744" s="6">
        <f>IF($K744="","",IF($L744="Crédit",$K744,-$K744))</f>
        <v>-35.75</v>
      </c>
      <c r="S744" s="6" t="str">
        <f>IF($C744="","",IFERROR(INDEX('Paramètres'!$H:$H,MATCH($C744,'Paramètres'!$D:$D,0))&amp;"",""))</f>
        <v>Banque A - Courant</v>
      </c>
      <c r="T744" s="6">
        <f>IF($K744="","",IF($S744="",0,IF(ISNUMBER(SEARCH("apport-exterieur",IFERROR(INDEX('Paramètres'!$N:$N,MATCH($D744,'Paramètres'!$M:$M,0))&amp;"",""))),0,IF(OR(IFERROR(INDEX('Paramètres'!$I:$I,MATCH($C744,'Paramètres'!$D:$D,0))&amp;"","")="Les deux",IFERROR(INDEX('Paramètres'!$I:$I,MATCH($C744,'Paramètres'!$D:$D,0))&amp;"","")=IF($P744=1,"Débit",$L744)),-IF($P744=1,-$K744,$K744),0))))</f>
        <v>0</v>
      </c>
      <c r="U744" s="6">
        <f>IF($K744="","",IF(ISNUMBER(SEARCH("sortie-epargne",IFERROR(INDEX('Paramètres'!$N:$N,MATCH($D744,'Paramètres'!$M:$M,0))&amp;"",""))),$K744,0))</f>
        <v>0</v>
      </c>
      <c r="V744" s="6" t="str">
        <f>IF(AND($A744&lt;&gt;"",$O744=1,$L744="Débit",N($Q744)&gt;0,$A744&gt;=Visualisation!$B$1,$A744&lt;Visualisation!$D$1),MAX($V$1:V743)+1,"")</f>
        <v/>
      </c>
    </row>
    <row r="745" spans="1:22" x14ac:dyDescent="0.25">
      <c r="A745" s="9">
        <v>46061</v>
      </c>
      <c r="B745" s="4" t="s">
        <v>119</v>
      </c>
      <c r="C745" s="4" t="s">
        <v>60</v>
      </c>
      <c r="D745" s="4" t="s">
        <v>119</v>
      </c>
      <c r="E745" s="10">
        <v>157.16</v>
      </c>
      <c r="G745" s="4" t="s">
        <v>109</v>
      </c>
      <c r="H745" s="4" t="s">
        <v>142</v>
      </c>
      <c r="I745" s="4" t="s">
        <v>93</v>
      </c>
      <c r="K745" s="11">
        <f>IF($E745="","",ROUND($E745*IF(ISNA(MATCH($C745,'Paramètres'!$D:$D,0)),1,IF(INDEX('Paramètres'!$J:$J,MATCH($C745,'Paramètres'!$D:$D,0))="",1,INDEX('Paramètres'!$J:$J,MATCH($C745,'Paramètres'!$D:$D,0)))),2))</f>
        <v>78.58</v>
      </c>
      <c r="L745" s="6" t="str">
        <f>IF($D745="","",IF($F745&lt;&gt;"",$F745,IF(ISNA(MATCH($D745,'Paramètres'!$M:$M,0)),"⚠ Type inconnu",IFERROR(INDEX('Paramètres'!$P:$P,MATCH($D745,'Paramètres'!$M:$M,0))&amp;"",""))))</f>
        <v>Débit</v>
      </c>
      <c r="M745" s="6" t="str">
        <f>IF($D745="","",IF(ISNA(MATCH($D745,'Paramètres'!$M:$M,0)),"⚠ Type inconnu",IF($L745="Crédit","",IFERROR(INDEX('Paramètres'!$O:$O,MATCH($D745,'Paramètres'!$M:$M,0))&amp;"",""))))</f>
        <v>Dépense Occasionnelle</v>
      </c>
      <c r="N745" s="6" t="str">
        <f>IF($D745="","",IFERROR(INDEX('Paramètres'!$Q:$Q,MATCH($D745,'Paramètres'!$M:$M,0))&amp;"",""))</f>
        <v>Alimentation</v>
      </c>
      <c r="O745" s="6">
        <f>IF($A745="","",IF(OR($J745&lt;&gt;"x",$A745&lt;=FinReleve),1,0))</f>
        <v>1</v>
      </c>
      <c r="P745" s="6">
        <f>IF($D745="","",IF(AND($L745="Crédit",OR(IFERROR(INDEX('Paramètres'!$O:$O,MATCH($D745,'Paramètres'!$M:$M,0))&amp;"","")&lt;&gt;"",ISNUMBER(SEARCH("remboursement",IFERROR(INDEX('Paramètres'!$N:$N,MATCH($D745,'Paramètres'!$M:$M,0))&amp;"",""))))),1,0))</f>
        <v>0</v>
      </c>
      <c r="Q745" s="6">
        <f>IF($K745="","",IF(ISNUMBER(SEARCH("transfert-interne",IFERROR(INDEX('Paramètres'!$N:$N,MATCH($D745,'Paramètres'!$M:$M,0))&amp;"",""))),0,IF($L745="Débit",$K745,IF($P745=1,-$K745,0))))</f>
        <v>78.58</v>
      </c>
      <c r="R745" s="6">
        <f>IF($K745="","",IF($L745="Crédit",$K745,-$K745))</f>
        <v>-78.58</v>
      </c>
      <c r="S745" s="6" t="str">
        <f>IF($C745="","",IFERROR(INDEX('Paramètres'!$H:$H,MATCH($C745,'Paramètres'!$D:$D,0))&amp;"",""))</f>
        <v>Banque A - Courant</v>
      </c>
      <c r="T745" s="6">
        <f>IF($K745="","",IF($S745="",0,IF(ISNUMBER(SEARCH("apport-exterieur",IFERROR(INDEX('Paramètres'!$N:$N,MATCH($D745,'Paramètres'!$M:$M,0))&amp;"",""))),0,IF(OR(IFERROR(INDEX('Paramètres'!$I:$I,MATCH($C745,'Paramètres'!$D:$D,0))&amp;"","")="Les deux",IFERROR(INDEX('Paramètres'!$I:$I,MATCH($C745,'Paramètres'!$D:$D,0))&amp;"","")=IF($P745=1,"Débit",$L745)),-IF($P745=1,-$K745,$K745),0))))</f>
        <v>-78.58</v>
      </c>
      <c r="U745" s="6">
        <f>IF($K745="","",IF(ISNUMBER(SEARCH("sortie-epargne",IFERROR(INDEX('Paramètres'!$N:$N,MATCH($D745,'Paramètres'!$M:$M,0))&amp;"",""))),$K745,0))</f>
        <v>0</v>
      </c>
      <c r="V745" s="6" t="str">
        <f>IF(AND($A745&lt;&gt;"",$O745=1,$L745="Débit",N($Q745)&gt;0,$A745&gt;=Visualisation!$B$1,$A745&lt;Visualisation!$D$1),MAX($V$1:V744)+1,"")</f>
        <v/>
      </c>
    </row>
    <row r="746" spans="1:22" x14ac:dyDescent="0.25">
      <c r="A746" s="9">
        <v>46063</v>
      </c>
      <c r="B746" s="4" t="s">
        <v>96</v>
      </c>
      <c r="C746" s="4" t="s">
        <v>75</v>
      </c>
      <c r="D746" s="4" t="s">
        <v>96</v>
      </c>
      <c r="E746" s="10">
        <v>22.4</v>
      </c>
      <c r="G746" s="4"/>
      <c r="H746" s="4"/>
      <c r="I746" s="4"/>
      <c r="K746" s="11">
        <f>IF($E746="","",ROUND($E746*IF(ISNA(MATCH($C746,'Paramètres'!$D:$D,0)),1,IF(INDEX('Paramètres'!$J:$J,MATCH($C746,'Paramètres'!$D:$D,0))="",1,INDEX('Paramètres'!$J:$J,MATCH($C746,'Paramètres'!$D:$D,0)))),2))</f>
        <v>22.4</v>
      </c>
      <c r="L746" s="6" t="str">
        <f>IF($D746="","",IF($F746&lt;&gt;"",$F746,IF(ISNA(MATCH($D746,'Paramètres'!$M:$M,0)),"⚠ Type inconnu",IFERROR(INDEX('Paramètres'!$P:$P,MATCH($D746,'Paramètres'!$M:$M,0))&amp;"",""))))</f>
        <v>Débit</v>
      </c>
      <c r="M746" s="6" t="str">
        <f>IF($D746="","",IF(ISNA(MATCH($D746,'Paramètres'!$M:$M,0)),"⚠ Type inconnu",IF($L746="Crédit","",IFERROR(INDEX('Paramètres'!$O:$O,MATCH($D746,'Paramètres'!$M:$M,0))&amp;"",""))))</f>
        <v>Dépense Fixe</v>
      </c>
      <c r="N746" s="6" t="str">
        <f>IF($D746="","",IFERROR(INDEX('Paramètres'!$Q:$Q,MATCH($D746,'Paramètres'!$M:$M,0))&amp;"",""))</f>
        <v>Assurances</v>
      </c>
      <c r="O746" s="6">
        <f>IF($A746="","",IF(OR($J746&lt;&gt;"x",$A746&lt;=FinReleve),1,0))</f>
        <v>1</v>
      </c>
      <c r="P746" s="6">
        <f>IF($D746="","",IF(AND($L746="Crédit",OR(IFERROR(INDEX('Paramètres'!$O:$O,MATCH($D746,'Paramètres'!$M:$M,0))&amp;"","")&lt;&gt;"",ISNUMBER(SEARCH("remboursement",IFERROR(INDEX('Paramètres'!$N:$N,MATCH($D746,'Paramètres'!$M:$M,0))&amp;"",""))))),1,0))</f>
        <v>0</v>
      </c>
      <c r="Q746" s="6">
        <f>IF($K746="","",IF(ISNUMBER(SEARCH("transfert-interne",IFERROR(INDEX('Paramètres'!$N:$N,MATCH($D746,'Paramètres'!$M:$M,0))&amp;"",""))),0,IF($L746="Débit",$K746,IF($P746=1,-$K746,0))))</f>
        <v>22.4</v>
      </c>
      <c r="R746" s="6">
        <f>IF($K746="","",IF($L746="Crédit",$K746,-$K746))</f>
        <v>-22.4</v>
      </c>
      <c r="S746" s="6" t="str">
        <f>IF($C746="","",IFERROR(INDEX('Paramètres'!$H:$H,MATCH($C746,'Paramètres'!$D:$D,0))&amp;"",""))</f>
        <v/>
      </c>
      <c r="T746" s="6">
        <f>IF($K746="","",IF($S746="",0,IF(ISNUMBER(SEARCH("apport-exterieur",IFERROR(INDEX('Paramètres'!$N:$N,MATCH($D746,'Paramètres'!$M:$M,0))&amp;"",""))),0,IF(OR(IFERROR(INDEX('Paramètres'!$I:$I,MATCH($C746,'Paramètres'!$D:$D,0))&amp;"","")="Les deux",IFERROR(INDEX('Paramètres'!$I:$I,MATCH($C746,'Paramètres'!$D:$D,0))&amp;"","")=IF($P746=1,"Débit",$L746)),-IF($P746=1,-$K746,$K746),0))))</f>
        <v>0</v>
      </c>
      <c r="U746" s="6">
        <f>IF($K746="","",IF(ISNUMBER(SEARCH("sortie-epargne",IFERROR(INDEX('Paramètres'!$N:$N,MATCH($D746,'Paramètres'!$M:$M,0))&amp;"",""))),$K746,0))</f>
        <v>0</v>
      </c>
      <c r="V746" s="6" t="str">
        <f>IF(AND($A746&lt;&gt;"",$O746=1,$L746="Débit",N($Q746)&gt;0,$A746&gt;=Visualisation!$B$1,$A746&lt;Visualisation!$D$1),MAX($V$1:V745)+1,"")</f>
        <v/>
      </c>
    </row>
    <row r="747" spans="1:22" x14ac:dyDescent="0.25">
      <c r="A747" s="9">
        <v>46064</v>
      </c>
      <c r="B747" s="4" t="s">
        <v>76</v>
      </c>
      <c r="C747" s="4" t="s">
        <v>67</v>
      </c>
      <c r="D747" s="4" t="s">
        <v>77</v>
      </c>
      <c r="E747" s="10">
        <v>79.84</v>
      </c>
      <c r="G747" s="4" t="s">
        <v>98</v>
      </c>
      <c r="H747" s="4" t="s">
        <v>142</v>
      </c>
      <c r="I747" s="4" t="s">
        <v>79</v>
      </c>
      <c r="K747" s="11">
        <f>IF($E747="","",ROUND($E747*IF(ISNA(MATCH($C747,'Paramètres'!$D:$D,0)),1,IF(INDEX('Paramètres'!$J:$J,MATCH($C747,'Paramètres'!$D:$D,0))="",1,INDEX('Paramètres'!$J:$J,MATCH($C747,'Paramètres'!$D:$D,0)))),2))</f>
        <v>39.92</v>
      </c>
      <c r="L747" s="6" t="str">
        <f>IF($D747="","",IF($F747&lt;&gt;"",$F747,IF(ISNA(MATCH($D747,'Paramètres'!$M:$M,0)),"⚠ Type inconnu",IFERROR(INDEX('Paramètres'!$P:$P,MATCH($D747,'Paramètres'!$M:$M,0))&amp;"",""))))</f>
        <v>Débit</v>
      </c>
      <c r="M747" s="6" t="str">
        <f>IF($D747="","",IF(ISNA(MATCH($D747,'Paramètres'!$M:$M,0)),"⚠ Type inconnu",IF($L747="Crédit","",IFERROR(INDEX('Paramètres'!$O:$O,MATCH($D747,'Paramètres'!$M:$M,0))&amp;"",""))))</f>
        <v>Dépense Courante</v>
      </c>
      <c r="N747" s="6" t="str">
        <f>IF($D747="","",IFERROR(INDEX('Paramètres'!$Q:$Q,MATCH($D747,'Paramètres'!$M:$M,0))&amp;"",""))</f>
        <v>Alimentation</v>
      </c>
      <c r="O747" s="6">
        <f>IF($A747="","",IF(OR($J747&lt;&gt;"x",$A747&lt;=FinReleve),1,0))</f>
        <v>1</v>
      </c>
      <c r="P747" s="6">
        <f>IF($D747="","",IF(AND($L747="Crédit",OR(IFERROR(INDEX('Paramètres'!$O:$O,MATCH($D747,'Paramètres'!$M:$M,0))&amp;"","")&lt;&gt;"",ISNUMBER(SEARCH("remboursement",IFERROR(INDEX('Paramètres'!$N:$N,MATCH($D747,'Paramètres'!$M:$M,0))&amp;"",""))))),1,0))</f>
        <v>0</v>
      </c>
      <c r="Q747" s="6">
        <f>IF($K747="","",IF(ISNUMBER(SEARCH("transfert-interne",IFERROR(INDEX('Paramètres'!$N:$N,MATCH($D747,'Paramètres'!$M:$M,0))&amp;"",""))),0,IF($L747="Débit",$K747,IF($P747=1,-$K747,0))))</f>
        <v>39.92</v>
      </c>
      <c r="R747" s="6">
        <f>IF($K747="","",IF($L747="Crédit",$K747,-$K747))</f>
        <v>-39.92</v>
      </c>
      <c r="S747" s="6" t="str">
        <f>IF($C747="","",IFERROR(INDEX('Paramètres'!$H:$H,MATCH($C747,'Paramètres'!$D:$D,0))&amp;"",""))</f>
        <v>Banque A - Courant</v>
      </c>
      <c r="T747" s="6">
        <f>IF($K747="","",IF($S747="",0,IF(ISNUMBER(SEARCH("apport-exterieur",IFERROR(INDEX('Paramètres'!$N:$N,MATCH($D747,'Paramètres'!$M:$M,0))&amp;"",""))),0,IF(OR(IFERROR(INDEX('Paramètres'!$I:$I,MATCH($C747,'Paramètres'!$D:$D,0))&amp;"","")="Les deux",IFERROR(INDEX('Paramètres'!$I:$I,MATCH($C747,'Paramètres'!$D:$D,0))&amp;"","")=IF($P747=1,"Débit",$L747)),-IF($P747=1,-$K747,$K747),0))))</f>
        <v>0</v>
      </c>
      <c r="U747" s="6">
        <f>IF($K747="","",IF(ISNUMBER(SEARCH("sortie-epargne",IFERROR(INDEX('Paramètres'!$N:$N,MATCH($D747,'Paramètres'!$M:$M,0))&amp;"",""))),$K747,0))</f>
        <v>0</v>
      </c>
      <c r="V747" s="6" t="str">
        <f>IF(AND($A747&lt;&gt;"",$O747=1,$L747="Débit",N($Q747)&gt;0,$A747&gt;=Visualisation!$B$1,$A747&lt;Visualisation!$D$1),MAX($V$1:V746)+1,"")</f>
        <v/>
      </c>
    </row>
    <row r="748" spans="1:22" x14ac:dyDescent="0.25">
      <c r="A748" s="9">
        <v>46064</v>
      </c>
      <c r="B748" s="4" t="s">
        <v>69</v>
      </c>
      <c r="C748" s="4" t="s">
        <v>70</v>
      </c>
      <c r="D748" s="4" t="s">
        <v>71</v>
      </c>
      <c r="E748" s="10">
        <v>8.64</v>
      </c>
      <c r="G748" s="4" t="s">
        <v>72</v>
      </c>
      <c r="H748" s="4"/>
      <c r="I748" s="4"/>
      <c r="K748" s="11">
        <f>IF($E748="","",ROUND($E748*IF(ISNA(MATCH($C748,'Paramètres'!$D:$D,0)),1,IF(INDEX('Paramètres'!$J:$J,MATCH($C748,'Paramètres'!$D:$D,0))="",1,INDEX('Paramètres'!$J:$J,MATCH($C748,'Paramètres'!$D:$D,0)))),2))</f>
        <v>8.64</v>
      </c>
      <c r="L748" s="6" t="str">
        <f>IF($D748="","",IF($F748&lt;&gt;"",$F748,IF(ISNA(MATCH($D748,'Paramètres'!$M:$M,0)),"⚠ Type inconnu",IFERROR(INDEX('Paramètres'!$P:$P,MATCH($D748,'Paramètres'!$M:$M,0))&amp;"",""))))</f>
        <v>Débit</v>
      </c>
      <c r="M748" s="6" t="str">
        <f>IF($D748="","",IF(ISNA(MATCH($D748,'Paramètres'!$M:$M,0)),"⚠ Type inconnu",IF($L748="Crédit","",IFERROR(INDEX('Paramètres'!$O:$O,MATCH($D748,'Paramètres'!$M:$M,0))&amp;"",""))))</f>
        <v>Dépense Courante</v>
      </c>
      <c r="N748" s="6" t="str">
        <f>IF($D748="","",IFERROR(INDEX('Paramètres'!$Q:$Q,MATCH($D748,'Paramètres'!$M:$M,0))&amp;"",""))</f>
        <v>Alimentation</v>
      </c>
      <c r="O748" s="6">
        <f>IF($A748="","",IF(OR($J748&lt;&gt;"x",$A748&lt;=FinReleve),1,0))</f>
        <v>1</v>
      </c>
      <c r="P748" s="6">
        <f>IF($D748="","",IF(AND($L748="Crédit",OR(IFERROR(INDEX('Paramètres'!$O:$O,MATCH($D748,'Paramètres'!$M:$M,0))&amp;"","")&lt;&gt;"",ISNUMBER(SEARCH("remboursement",IFERROR(INDEX('Paramètres'!$N:$N,MATCH($D748,'Paramètres'!$M:$M,0))&amp;"",""))))),1,0))</f>
        <v>0</v>
      </c>
      <c r="Q748" s="6">
        <f>IF($K748="","",IF(ISNUMBER(SEARCH("transfert-interne",IFERROR(INDEX('Paramètres'!$N:$N,MATCH($D748,'Paramètres'!$M:$M,0))&amp;"",""))),0,IF($L748="Débit",$K748,IF($P748=1,-$K748,0))))</f>
        <v>8.64</v>
      </c>
      <c r="R748" s="6">
        <f>IF($K748="","",IF($L748="Crédit",$K748,-$K748))</f>
        <v>-8.64</v>
      </c>
      <c r="S748" s="6" t="str">
        <f>IF($C748="","",IFERROR(INDEX('Paramètres'!$H:$H,MATCH($C748,'Paramètres'!$D:$D,0))&amp;"",""))</f>
        <v/>
      </c>
      <c r="T748" s="6">
        <f>IF($K748="","",IF($S748="",0,IF(ISNUMBER(SEARCH("apport-exterieur",IFERROR(INDEX('Paramètres'!$N:$N,MATCH($D748,'Paramètres'!$M:$M,0))&amp;"",""))),0,IF(OR(IFERROR(INDEX('Paramètres'!$I:$I,MATCH($C748,'Paramètres'!$D:$D,0))&amp;"","")="Les deux",IFERROR(INDEX('Paramètres'!$I:$I,MATCH($C748,'Paramètres'!$D:$D,0))&amp;"","")=IF($P748=1,"Débit",$L748)),-IF($P748=1,-$K748,$K748),0))))</f>
        <v>0</v>
      </c>
      <c r="U748" s="6">
        <f>IF($K748="","",IF(ISNUMBER(SEARCH("sortie-epargne",IFERROR(INDEX('Paramètres'!$N:$N,MATCH($D748,'Paramètres'!$M:$M,0))&amp;"",""))),$K748,0))</f>
        <v>0</v>
      </c>
      <c r="V748" s="6" t="str">
        <f>IF(AND($A748&lt;&gt;"",$O748=1,$L748="Débit",N($Q748)&gt;0,$A748&gt;=Visualisation!$B$1,$A748&lt;Visualisation!$D$1),MAX($V$1:V747)+1,"")</f>
        <v/>
      </c>
    </row>
    <row r="749" spans="1:22" x14ac:dyDescent="0.25">
      <c r="A749" s="9">
        <v>46065</v>
      </c>
      <c r="B749" s="4" t="s">
        <v>97</v>
      </c>
      <c r="C749" s="4" t="s">
        <v>75</v>
      </c>
      <c r="D749" s="4" t="s">
        <v>97</v>
      </c>
      <c r="E749" s="10">
        <v>47.9</v>
      </c>
      <c r="G749" s="4"/>
      <c r="H749" s="4"/>
      <c r="I749" s="4"/>
      <c r="K749" s="11">
        <f>IF($E749="","",ROUND($E749*IF(ISNA(MATCH($C749,'Paramètres'!$D:$D,0)),1,IF(INDEX('Paramètres'!$J:$J,MATCH($C749,'Paramètres'!$D:$D,0))="",1,INDEX('Paramètres'!$J:$J,MATCH($C749,'Paramètres'!$D:$D,0)))),2))</f>
        <v>47.9</v>
      </c>
      <c r="L749" s="6" t="str">
        <f>IF($D749="","",IF($F749&lt;&gt;"",$F749,IF(ISNA(MATCH($D749,'Paramètres'!$M:$M,0)),"⚠ Type inconnu",IFERROR(INDEX('Paramètres'!$P:$P,MATCH($D749,'Paramètres'!$M:$M,0))&amp;"",""))))</f>
        <v>Débit</v>
      </c>
      <c r="M749" s="6" t="str">
        <f>IF($D749="","",IF(ISNA(MATCH($D749,'Paramètres'!$M:$M,0)),"⚠ Type inconnu",IF($L749="Crédit","",IFERROR(INDEX('Paramètres'!$O:$O,MATCH($D749,'Paramètres'!$M:$M,0))&amp;"",""))))</f>
        <v>Dépense Fixe</v>
      </c>
      <c r="N749" s="6" t="str">
        <f>IF($D749="","",IFERROR(INDEX('Paramètres'!$Q:$Q,MATCH($D749,'Paramètres'!$M:$M,0))&amp;"",""))</f>
        <v>Assurances</v>
      </c>
      <c r="O749" s="6">
        <f>IF($A749="","",IF(OR($J749&lt;&gt;"x",$A749&lt;=FinReleve),1,0))</f>
        <v>1</v>
      </c>
      <c r="P749" s="6">
        <f>IF($D749="","",IF(AND($L749="Crédit",OR(IFERROR(INDEX('Paramètres'!$O:$O,MATCH($D749,'Paramètres'!$M:$M,0))&amp;"","")&lt;&gt;"",ISNUMBER(SEARCH("remboursement",IFERROR(INDEX('Paramètres'!$N:$N,MATCH($D749,'Paramètres'!$M:$M,0))&amp;"",""))))),1,0))</f>
        <v>0</v>
      </c>
      <c r="Q749" s="6">
        <f>IF($K749="","",IF(ISNUMBER(SEARCH("transfert-interne",IFERROR(INDEX('Paramètres'!$N:$N,MATCH($D749,'Paramètres'!$M:$M,0))&amp;"",""))),0,IF($L749="Débit",$K749,IF($P749=1,-$K749,0))))</f>
        <v>47.9</v>
      </c>
      <c r="R749" s="6">
        <f>IF($K749="","",IF($L749="Crédit",$K749,-$K749))</f>
        <v>-47.9</v>
      </c>
      <c r="S749" s="6" t="str">
        <f>IF($C749="","",IFERROR(INDEX('Paramètres'!$H:$H,MATCH($C749,'Paramètres'!$D:$D,0))&amp;"",""))</f>
        <v/>
      </c>
      <c r="T749" s="6">
        <f>IF($K749="","",IF($S749="",0,IF(ISNUMBER(SEARCH("apport-exterieur",IFERROR(INDEX('Paramètres'!$N:$N,MATCH($D749,'Paramètres'!$M:$M,0))&amp;"",""))),0,IF(OR(IFERROR(INDEX('Paramètres'!$I:$I,MATCH($C749,'Paramètres'!$D:$D,0))&amp;"","")="Les deux",IFERROR(INDEX('Paramètres'!$I:$I,MATCH($C749,'Paramètres'!$D:$D,0))&amp;"","")=IF($P749=1,"Débit",$L749)),-IF($P749=1,-$K749,$K749),0))))</f>
        <v>0</v>
      </c>
      <c r="U749" s="6">
        <f>IF($K749="","",IF(ISNUMBER(SEARCH("sortie-epargne",IFERROR(INDEX('Paramètres'!$N:$N,MATCH($D749,'Paramètres'!$M:$M,0))&amp;"",""))),$K749,0))</f>
        <v>0</v>
      </c>
      <c r="V749" s="6" t="str">
        <f>IF(AND($A749&lt;&gt;"",$O749=1,$L749="Débit",N($Q749)&gt;0,$A749&gt;=Visualisation!$B$1,$A749&lt;Visualisation!$D$1),MAX($V$1:V748)+1,"")</f>
        <v/>
      </c>
    </row>
    <row r="750" spans="1:22" x14ac:dyDescent="0.25">
      <c r="A750" s="9">
        <v>46065</v>
      </c>
      <c r="B750" s="4" t="s">
        <v>76</v>
      </c>
      <c r="C750" s="4" t="s">
        <v>67</v>
      </c>
      <c r="D750" s="4" t="s">
        <v>77</v>
      </c>
      <c r="E750" s="10">
        <v>45.92</v>
      </c>
      <c r="G750" s="4" t="s">
        <v>102</v>
      </c>
      <c r="H750" s="4" t="s">
        <v>142</v>
      </c>
      <c r="I750" s="4" t="s">
        <v>73</v>
      </c>
      <c r="K750" s="11">
        <f>IF($E750="","",ROUND($E750*IF(ISNA(MATCH($C750,'Paramètres'!$D:$D,0)),1,IF(INDEX('Paramètres'!$J:$J,MATCH($C750,'Paramètres'!$D:$D,0))="",1,INDEX('Paramètres'!$J:$J,MATCH($C750,'Paramètres'!$D:$D,0)))),2))</f>
        <v>22.96</v>
      </c>
      <c r="L750" s="6" t="str">
        <f>IF($D750="","",IF($F750&lt;&gt;"",$F750,IF(ISNA(MATCH($D750,'Paramètres'!$M:$M,0)),"⚠ Type inconnu",IFERROR(INDEX('Paramètres'!$P:$P,MATCH($D750,'Paramètres'!$M:$M,0))&amp;"",""))))</f>
        <v>Débit</v>
      </c>
      <c r="M750" s="6" t="str">
        <f>IF($D750="","",IF(ISNA(MATCH($D750,'Paramètres'!$M:$M,0)),"⚠ Type inconnu",IF($L750="Crédit","",IFERROR(INDEX('Paramètres'!$O:$O,MATCH($D750,'Paramètres'!$M:$M,0))&amp;"",""))))</f>
        <v>Dépense Courante</v>
      </c>
      <c r="N750" s="6" t="str">
        <f>IF($D750="","",IFERROR(INDEX('Paramètres'!$Q:$Q,MATCH($D750,'Paramètres'!$M:$M,0))&amp;"",""))</f>
        <v>Alimentation</v>
      </c>
      <c r="O750" s="6">
        <f>IF($A750="","",IF(OR($J750&lt;&gt;"x",$A750&lt;=FinReleve),1,0))</f>
        <v>1</v>
      </c>
      <c r="P750" s="6">
        <f>IF($D750="","",IF(AND($L750="Crédit",OR(IFERROR(INDEX('Paramètres'!$O:$O,MATCH($D750,'Paramètres'!$M:$M,0))&amp;"","")&lt;&gt;"",ISNUMBER(SEARCH("remboursement",IFERROR(INDEX('Paramètres'!$N:$N,MATCH($D750,'Paramètres'!$M:$M,0))&amp;"",""))))),1,0))</f>
        <v>0</v>
      </c>
      <c r="Q750" s="6">
        <f>IF($K750="","",IF(ISNUMBER(SEARCH("transfert-interne",IFERROR(INDEX('Paramètres'!$N:$N,MATCH($D750,'Paramètres'!$M:$M,0))&amp;"",""))),0,IF($L750="Débit",$K750,IF($P750=1,-$K750,0))))</f>
        <v>22.96</v>
      </c>
      <c r="R750" s="6">
        <f>IF($K750="","",IF($L750="Crédit",$K750,-$K750))</f>
        <v>-22.96</v>
      </c>
      <c r="S750" s="6" t="str">
        <f>IF($C750="","",IFERROR(INDEX('Paramètres'!$H:$H,MATCH($C750,'Paramètres'!$D:$D,0))&amp;"",""))</f>
        <v>Banque A - Courant</v>
      </c>
      <c r="T750" s="6">
        <f>IF($K750="","",IF($S750="",0,IF(ISNUMBER(SEARCH("apport-exterieur",IFERROR(INDEX('Paramètres'!$N:$N,MATCH($D750,'Paramètres'!$M:$M,0))&amp;"",""))),0,IF(OR(IFERROR(INDEX('Paramètres'!$I:$I,MATCH($C750,'Paramètres'!$D:$D,0))&amp;"","")="Les deux",IFERROR(INDEX('Paramètres'!$I:$I,MATCH($C750,'Paramètres'!$D:$D,0))&amp;"","")=IF($P750=1,"Débit",$L750)),-IF($P750=1,-$K750,$K750),0))))</f>
        <v>0</v>
      </c>
      <c r="U750" s="6">
        <f>IF($K750="","",IF(ISNUMBER(SEARCH("sortie-epargne",IFERROR(INDEX('Paramètres'!$N:$N,MATCH($D750,'Paramètres'!$M:$M,0))&amp;"",""))),$K750,0))</f>
        <v>0</v>
      </c>
      <c r="V750" s="6" t="str">
        <f>IF(AND($A750&lt;&gt;"",$O750=1,$L750="Débit",N($Q750)&gt;0,$A750&gt;=Visualisation!$B$1,$A750&lt;Visualisation!$D$1),MAX($V$1:V749)+1,"")</f>
        <v/>
      </c>
    </row>
    <row r="751" spans="1:22" x14ac:dyDescent="0.25">
      <c r="A751" s="9">
        <v>46065</v>
      </c>
      <c r="B751" s="4" t="s">
        <v>69</v>
      </c>
      <c r="C751" s="4" t="s">
        <v>70</v>
      </c>
      <c r="D751" s="4" t="s">
        <v>71</v>
      </c>
      <c r="E751" s="10">
        <v>10.06</v>
      </c>
      <c r="G751" s="4" t="s">
        <v>72</v>
      </c>
      <c r="H751" s="4"/>
      <c r="I751" s="4" t="s">
        <v>79</v>
      </c>
      <c r="K751" s="11">
        <f>IF($E751="","",ROUND($E751*IF(ISNA(MATCH($C751,'Paramètres'!$D:$D,0)),1,IF(INDEX('Paramètres'!$J:$J,MATCH($C751,'Paramètres'!$D:$D,0))="",1,INDEX('Paramètres'!$J:$J,MATCH($C751,'Paramètres'!$D:$D,0)))),2))</f>
        <v>10.06</v>
      </c>
      <c r="L751" s="6" t="str">
        <f>IF($D751="","",IF($F751&lt;&gt;"",$F751,IF(ISNA(MATCH($D751,'Paramètres'!$M:$M,0)),"⚠ Type inconnu",IFERROR(INDEX('Paramètres'!$P:$P,MATCH($D751,'Paramètres'!$M:$M,0))&amp;"",""))))</f>
        <v>Débit</v>
      </c>
      <c r="M751" s="6" t="str">
        <f>IF($D751="","",IF(ISNA(MATCH($D751,'Paramètres'!$M:$M,0)),"⚠ Type inconnu",IF($L751="Crédit","",IFERROR(INDEX('Paramètres'!$O:$O,MATCH($D751,'Paramètres'!$M:$M,0))&amp;"",""))))</f>
        <v>Dépense Courante</v>
      </c>
      <c r="N751" s="6" t="str">
        <f>IF($D751="","",IFERROR(INDEX('Paramètres'!$Q:$Q,MATCH($D751,'Paramètres'!$M:$M,0))&amp;"",""))</f>
        <v>Alimentation</v>
      </c>
      <c r="O751" s="6">
        <f>IF($A751="","",IF(OR($J751&lt;&gt;"x",$A751&lt;=FinReleve),1,0))</f>
        <v>1</v>
      </c>
      <c r="P751" s="6">
        <f>IF($D751="","",IF(AND($L751="Crédit",OR(IFERROR(INDEX('Paramètres'!$O:$O,MATCH($D751,'Paramètres'!$M:$M,0))&amp;"","")&lt;&gt;"",ISNUMBER(SEARCH("remboursement",IFERROR(INDEX('Paramètres'!$N:$N,MATCH($D751,'Paramètres'!$M:$M,0))&amp;"",""))))),1,0))</f>
        <v>0</v>
      </c>
      <c r="Q751" s="6">
        <f>IF($K751="","",IF(ISNUMBER(SEARCH("transfert-interne",IFERROR(INDEX('Paramètres'!$N:$N,MATCH($D751,'Paramètres'!$M:$M,0))&amp;"",""))),0,IF($L751="Débit",$K751,IF($P751=1,-$K751,0))))</f>
        <v>10.06</v>
      </c>
      <c r="R751" s="6">
        <f>IF($K751="","",IF($L751="Crédit",$K751,-$K751))</f>
        <v>-10.06</v>
      </c>
      <c r="S751" s="6" t="str">
        <f>IF($C751="","",IFERROR(INDEX('Paramètres'!$H:$H,MATCH($C751,'Paramètres'!$D:$D,0))&amp;"",""))</f>
        <v/>
      </c>
      <c r="T751" s="6">
        <f>IF($K751="","",IF($S751="",0,IF(ISNUMBER(SEARCH("apport-exterieur",IFERROR(INDEX('Paramètres'!$N:$N,MATCH($D751,'Paramètres'!$M:$M,0))&amp;"",""))),0,IF(OR(IFERROR(INDEX('Paramètres'!$I:$I,MATCH($C751,'Paramètres'!$D:$D,0))&amp;"","")="Les deux",IFERROR(INDEX('Paramètres'!$I:$I,MATCH($C751,'Paramètres'!$D:$D,0))&amp;"","")=IF($P751=1,"Débit",$L751)),-IF($P751=1,-$K751,$K751),0))))</f>
        <v>0</v>
      </c>
      <c r="U751" s="6">
        <f>IF($K751="","",IF(ISNUMBER(SEARCH("sortie-epargne",IFERROR(INDEX('Paramètres'!$N:$N,MATCH($D751,'Paramètres'!$M:$M,0))&amp;"",""))),$K751,0))</f>
        <v>0</v>
      </c>
      <c r="V751" s="6" t="str">
        <f>IF(AND($A751&lt;&gt;"",$O751=1,$L751="Débit",N($Q751)&gt;0,$A751&gt;=Visualisation!$B$1,$A751&lt;Visualisation!$D$1),MAX($V$1:V750)+1,"")</f>
        <v/>
      </c>
    </row>
    <row r="752" spans="1:22" x14ac:dyDescent="0.25">
      <c r="A752" s="9">
        <v>46066</v>
      </c>
      <c r="B752" s="4" t="s">
        <v>90</v>
      </c>
      <c r="C752" s="4" t="s">
        <v>75</v>
      </c>
      <c r="D752" s="4" t="s">
        <v>91</v>
      </c>
      <c r="E752" s="10">
        <v>40.78</v>
      </c>
      <c r="G752" s="4" t="s">
        <v>136</v>
      </c>
      <c r="H752" s="4" t="s">
        <v>142</v>
      </c>
      <c r="I752" s="4" t="s">
        <v>73</v>
      </c>
      <c r="K752" s="11">
        <f>IF($E752="","",ROUND($E752*IF(ISNA(MATCH($C752,'Paramètres'!$D:$D,0)),1,IF(INDEX('Paramètres'!$J:$J,MATCH($C752,'Paramètres'!$D:$D,0))="",1,INDEX('Paramètres'!$J:$J,MATCH($C752,'Paramètres'!$D:$D,0)))),2))</f>
        <v>40.78</v>
      </c>
      <c r="L752" s="6" t="str">
        <f>IF($D752="","",IF($F752&lt;&gt;"",$F752,IF(ISNA(MATCH($D752,'Paramètres'!$M:$M,0)),"⚠ Type inconnu",IFERROR(INDEX('Paramètres'!$P:$P,MATCH($D752,'Paramètres'!$M:$M,0))&amp;"",""))))</f>
        <v>Débit</v>
      </c>
      <c r="M752" s="6" t="str">
        <f>IF($D752="","",IF(ISNA(MATCH($D752,'Paramètres'!$M:$M,0)),"⚠ Type inconnu",IF($L752="Crédit","",IFERROR(INDEX('Paramètres'!$O:$O,MATCH($D752,'Paramètres'!$M:$M,0))&amp;"",""))))</f>
        <v>Dépense Courante</v>
      </c>
      <c r="N752" s="6" t="str">
        <f>IF($D752="","",IFERROR(INDEX('Paramètres'!$Q:$Q,MATCH($D752,'Paramètres'!$M:$M,0))&amp;"",""))</f>
        <v>Transport</v>
      </c>
      <c r="O752" s="6">
        <f>IF($A752="","",IF(OR($J752&lt;&gt;"x",$A752&lt;=FinReleve),1,0))</f>
        <v>1</v>
      </c>
      <c r="P752" s="6">
        <f>IF($D752="","",IF(AND($L752="Crédit",OR(IFERROR(INDEX('Paramètres'!$O:$O,MATCH($D752,'Paramètres'!$M:$M,0))&amp;"","")&lt;&gt;"",ISNUMBER(SEARCH("remboursement",IFERROR(INDEX('Paramètres'!$N:$N,MATCH($D752,'Paramètres'!$M:$M,0))&amp;"",""))))),1,0))</f>
        <v>0</v>
      </c>
      <c r="Q752" s="6">
        <f>IF($K752="","",IF(ISNUMBER(SEARCH("transfert-interne",IFERROR(INDEX('Paramètres'!$N:$N,MATCH($D752,'Paramètres'!$M:$M,0))&amp;"",""))),0,IF($L752="Débit",$K752,IF($P752=1,-$K752,0))))</f>
        <v>40.78</v>
      </c>
      <c r="R752" s="6">
        <f>IF($K752="","",IF($L752="Crédit",$K752,-$K752))</f>
        <v>-40.78</v>
      </c>
      <c r="S752" s="6" t="str">
        <f>IF($C752="","",IFERROR(INDEX('Paramètres'!$H:$H,MATCH($C752,'Paramètres'!$D:$D,0))&amp;"",""))</f>
        <v/>
      </c>
      <c r="T752" s="6">
        <f>IF($K752="","",IF($S752="",0,IF(ISNUMBER(SEARCH("apport-exterieur",IFERROR(INDEX('Paramètres'!$N:$N,MATCH($D752,'Paramètres'!$M:$M,0))&amp;"",""))),0,IF(OR(IFERROR(INDEX('Paramètres'!$I:$I,MATCH($C752,'Paramètres'!$D:$D,0))&amp;"","")="Les deux",IFERROR(INDEX('Paramètres'!$I:$I,MATCH($C752,'Paramètres'!$D:$D,0))&amp;"","")=IF($P752=1,"Débit",$L752)),-IF($P752=1,-$K752,$K752),0))))</f>
        <v>0</v>
      </c>
      <c r="U752" s="6">
        <f>IF($K752="","",IF(ISNUMBER(SEARCH("sortie-epargne",IFERROR(INDEX('Paramètres'!$N:$N,MATCH($D752,'Paramètres'!$M:$M,0))&amp;"",""))),$K752,0))</f>
        <v>0</v>
      </c>
      <c r="V752" s="6" t="str">
        <f>IF(AND($A752&lt;&gt;"",$O752=1,$L752="Débit",N($Q752)&gt;0,$A752&gt;=Visualisation!$B$1,$A752&lt;Visualisation!$D$1),MAX($V$1:V751)+1,"")</f>
        <v/>
      </c>
    </row>
    <row r="753" spans="1:22" x14ac:dyDescent="0.25">
      <c r="A753" s="9">
        <v>46066</v>
      </c>
      <c r="B753" s="4" t="s">
        <v>131</v>
      </c>
      <c r="C753" s="4" t="s">
        <v>75</v>
      </c>
      <c r="D753" s="4" t="s">
        <v>132</v>
      </c>
      <c r="E753" s="10">
        <v>23.89</v>
      </c>
      <c r="G753" s="4" t="s">
        <v>133</v>
      </c>
      <c r="H753" s="4"/>
      <c r="I753" s="4" t="s">
        <v>93</v>
      </c>
      <c r="K753" s="11">
        <f>IF($E753="","",ROUND($E753*IF(ISNA(MATCH($C753,'Paramètres'!$D:$D,0)),1,IF(INDEX('Paramètres'!$J:$J,MATCH($C753,'Paramètres'!$D:$D,0))="",1,INDEX('Paramètres'!$J:$J,MATCH($C753,'Paramètres'!$D:$D,0)))),2))</f>
        <v>23.89</v>
      </c>
      <c r="L753" s="6" t="str">
        <f>IF($D753="","",IF($F753&lt;&gt;"",$F753,IF(ISNA(MATCH($D753,'Paramètres'!$M:$M,0)),"⚠ Type inconnu",IFERROR(INDEX('Paramètres'!$P:$P,MATCH($D753,'Paramètres'!$M:$M,0))&amp;"",""))))</f>
        <v>Débit</v>
      </c>
      <c r="M753" s="6" t="str">
        <f>IF($D753="","",IF(ISNA(MATCH($D753,'Paramètres'!$M:$M,0)),"⚠ Type inconnu",IF($L753="Crédit","",IFERROR(INDEX('Paramètres'!$O:$O,MATCH($D753,'Paramètres'!$M:$M,0))&amp;"",""))))</f>
        <v>Dépense Courante</v>
      </c>
      <c r="N753" s="6" t="str">
        <f>IF($D753="","",IFERROR(INDEX('Paramètres'!$Q:$Q,MATCH($D753,'Paramètres'!$M:$M,0))&amp;"",""))</f>
        <v>Santé</v>
      </c>
      <c r="O753" s="6">
        <f>IF($A753="","",IF(OR($J753&lt;&gt;"x",$A753&lt;=FinReleve),1,0))</f>
        <v>1</v>
      </c>
      <c r="P753" s="6">
        <f>IF($D753="","",IF(AND($L753="Crédit",OR(IFERROR(INDEX('Paramètres'!$O:$O,MATCH($D753,'Paramètres'!$M:$M,0))&amp;"","")&lt;&gt;"",ISNUMBER(SEARCH("remboursement",IFERROR(INDEX('Paramètres'!$N:$N,MATCH($D753,'Paramètres'!$M:$M,0))&amp;"",""))))),1,0))</f>
        <v>0</v>
      </c>
      <c r="Q753" s="6">
        <f>IF($K753="","",IF(ISNUMBER(SEARCH("transfert-interne",IFERROR(INDEX('Paramètres'!$N:$N,MATCH($D753,'Paramètres'!$M:$M,0))&amp;"",""))),0,IF($L753="Débit",$K753,IF($P753=1,-$K753,0))))</f>
        <v>23.89</v>
      </c>
      <c r="R753" s="6">
        <f>IF($K753="","",IF($L753="Crédit",$K753,-$K753))</f>
        <v>-23.89</v>
      </c>
      <c r="S753" s="6" t="str">
        <f>IF($C753="","",IFERROR(INDEX('Paramètres'!$H:$H,MATCH($C753,'Paramètres'!$D:$D,0))&amp;"",""))</f>
        <v/>
      </c>
      <c r="T753" s="6">
        <f>IF($K753="","",IF($S753="",0,IF(ISNUMBER(SEARCH("apport-exterieur",IFERROR(INDEX('Paramètres'!$N:$N,MATCH($D753,'Paramètres'!$M:$M,0))&amp;"",""))),0,IF(OR(IFERROR(INDEX('Paramètres'!$I:$I,MATCH($C753,'Paramètres'!$D:$D,0))&amp;"","")="Les deux",IFERROR(INDEX('Paramètres'!$I:$I,MATCH($C753,'Paramètres'!$D:$D,0))&amp;"","")=IF($P753=1,"Débit",$L753)),-IF($P753=1,-$K753,$K753),0))))</f>
        <v>0</v>
      </c>
      <c r="U753" s="6">
        <f>IF($K753="","",IF(ISNUMBER(SEARCH("sortie-epargne",IFERROR(INDEX('Paramètres'!$N:$N,MATCH($D753,'Paramètres'!$M:$M,0))&amp;"",""))),$K753,0))</f>
        <v>0</v>
      </c>
      <c r="V753" s="6" t="str">
        <f>IF(AND($A753&lt;&gt;"",$O753=1,$L753="Débit",N($Q753)&gt;0,$A753&gt;=Visualisation!$B$1,$A753&lt;Visualisation!$D$1),MAX($V$1:V752)+1,"")</f>
        <v/>
      </c>
    </row>
    <row r="754" spans="1:22" x14ac:dyDescent="0.25">
      <c r="A754" s="9">
        <v>46068</v>
      </c>
      <c r="B754" s="4" t="s">
        <v>100</v>
      </c>
      <c r="C754" s="4" t="s">
        <v>65</v>
      </c>
      <c r="D754" s="4" t="s">
        <v>100</v>
      </c>
      <c r="E754" s="10">
        <v>75.9</v>
      </c>
      <c r="G754" s="4"/>
      <c r="H754" s="4"/>
      <c r="I754" s="4"/>
      <c r="K754" s="11">
        <f>IF($E754="","",ROUND($E754*IF(ISNA(MATCH($C754,'Paramètres'!$D:$D,0)),1,IF(INDEX('Paramètres'!$J:$J,MATCH($C754,'Paramètres'!$D:$D,0))="",1,INDEX('Paramètres'!$J:$J,MATCH($C754,'Paramètres'!$D:$D,0)))),2))</f>
        <v>75.9</v>
      </c>
      <c r="L754" s="6" t="str">
        <f>IF($D754="","",IF($F754&lt;&gt;"",$F754,IF(ISNA(MATCH($D754,'Paramètres'!$M:$M,0)),"⚠ Type inconnu",IFERROR(INDEX('Paramètres'!$P:$P,MATCH($D754,'Paramètres'!$M:$M,0))&amp;"",""))))</f>
        <v>Débit</v>
      </c>
      <c r="M754" s="6" t="str">
        <f>IF($D754="","",IF(ISNA(MATCH($D754,'Paramètres'!$M:$M,0)),"⚠ Type inconnu",IF($L754="Crédit","",IFERROR(INDEX('Paramètres'!$O:$O,MATCH($D754,'Paramètres'!$M:$M,0))&amp;"",""))))</f>
        <v>Dépense Fixe</v>
      </c>
      <c r="N754" s="6" t="str">
        <f>IF($D754="","",IFERROR(INDEX('Paramètres'!$Q:$Q,MATCH($D754,'Paramètres'!$M:$M,0))&amp;"",""))</f>
        <v>Immobilier</v>
      </c>
      <c r="O754" s="6">
        <f>IF($A754="","",IF(OR($J754&lt;&gt;"x",$A754&lt;=FinReleve),1,0))</f>
        <v>1</v>
      </c>
      <c r="P754" s="6">
        <f>IF($D754="","",IF(AND($L754="Crédit",OR(IFERROR(INDEX('Paramètres'!$O:$O,MATCH($D754,'Paramètres'!$M:$M,0))&amp;"","")&lt;&gt;"",ISNUMBER(SEARCH("remboursement",IFERROR(INDEX('Paramètres'!$N:$N,MATCH($D754,'Paramètres'!$M:$M,0))&amp;"",""))))),1,0))</f>
        <v>0</v>
      </c>
      <c r="Q754" s="6">
        <f>IF($K754="","",IF(ISNUMBER(SEARCH("transfert-interne",IFERROR(INDEX('Paramètres'!$N:$N,MATCH($D754,'Paramètres'!$M:$M,0))&amp;"",""))),0,IF($L754="Débit",$K754,IF($P754=1,-$K754,0))))</f>
        <v>75.9</v>
      </c>
      <c r="R754" s="6">
        <f>IF($K754="","",IF($L754="Crédit",$K754,-$K754))</f>
        <v>-75.9</v>
      </c>
      <c r="S754" s="6" t="str">
        <f>IF($C754="","",IFERROR(INDEX('Paramètres'!$H:$H,MATCH($C754,'Paramètres'!$D:$D,0))&amp;"",""))</f>
        <v>Banque A - Courant</v>
      </c>
      <c r="T754" s="6">
        <f>IF($K754="","",IF($S754="",0,IF(ISNUMBER(SEARCH("apport-exterieur",IFERROR(INDEX('Paramètres'!$N:$N,MATCH($D754,'Paramètres'!$M:$M,0))&amp;"",""))),0,IF(OR(IFERROR(INDEX('Paramètres'!$I:$I,MATCH($C754,'Paramètres'!$D:$D,0))&amp;"","")="Les deux",IFERROR(INDEX('Paramètres'!$I:$I,MATCH($C754,'Paramètres'!$D:$D,0))&amp;"","")=IF($P754=1,"Débit",$L754)),-IF($P754=1,-$K754,$K754),0))))</f>
        <v>0</v>
      </c>
      <c r="U754" s="6">
        <f>IF($K754="","",IF(ISNUMBER(SEARCH("sortie-epargne",IFERROR(INDEX('Paramètres'!$N:$N,MATCH($D754,'Paramètres'!$M:$M,0))&amp;"",""))),$K754,0))</f>
        <v>0</v>
      </c>
      <c r="V754" s="6" t="str">
        <f>IF(AND($A754&lt;&gt;"",$O754=1,$L754="Débit",N($Q754)&gt;0,$A754&gt;=Visualisation!$B$1,$A754&lt;Visualisation!$D$1),MAX($V$1:V753)+1,"")</f>
        <v/>
      </c>
    </row>
    <row r="755" spans="1:22" x14ac:dyDescent="0.25">
      <c r="A755" s="9">
        <v>46068</v>
      </c>
      <c r="B755" s="4" t="s">
        <v>76</v>
      </c>
      <c r="C755" s="4" t="s">
        <v>67</v>
      </c>
      <c r="D755" s="4" t="s">
        <v>77</v>
      </c>
      <c r="E755" s="10">
        <v>124.48</v>
      </c>
      <c r="G755" s="4" t="s">
        <v>102</v>
      </c>
      <c r="H755" s="4" t="s">
        <v>142</v>
      </c>
      <c r="I755" s="4" t="s">
        <v>79</v>
      </c>
      <c r="K755" s="11">
        <f>IF($E755="","",ROUND($E755*IF(ISNA(MATCH($C755,'Paramètres'!$D:$D,0)),1,IF(INDEX('Paramètres'!$J:$J,MATCH($C755,'Paramètres'!$D:$D,0))="",1,INDEX('Paramètres'!$J:$J,MATCH($C755,'Paramètres'!$D:$D,0)))),2))</f>
        <v>62.24</v>
      </c>
      <c r="L755" s="6" t="str">
        <f>IF($D755="","",IF($F755&lt;&gt;"",$F755,IF(ISNA(MATCH($D755,'Paramètres'!$M:$M,0)),"⚠ Type inconnu",IFERROR(INDEX('Paramètres'!$P:$P,MATCH($D755,'Paramètres'!$M:$M,0))&amp;"",""))))</f>
        <v>Débit</v>
      </c>
      <c r="M755" s="6" t="str">
        <f>IF($D755="","",IF(ISNA(MATCH($D755,'Paramètres'!$M:$M,0)),"⚠ Type inconnu",IF($L755="Crédit","",IFERROR(INDEX('Paramètres'!$O:$O,MATCH($D755,'Paramètres'!$M:$M,0))&amp;"",""))))</f>
        <v>Dépense Courante</v>
      </c>
      <c r="N755" s="6" t="str">
        <f>IF($D755="","",IFERROR(INDEX('Paramètres'!$Q:$Q,MATCH($D755,'Paramètres'!$M:$M,0))&amp;"",""))</f>
        <v>Alimentation</v>
      </c>
      <c r="O755" s="6">
        <f>IF($A755="","",IF(OR($J755&lt;&gt;"x",$A755&lt;=FinReleve),1,0))</f>
        <v>1</v>
      </c>
      <c r="P755" s="6">
        <f>IF($D755="","",IF(AND($L755="Crédit",OR(IFERROR(INDEX('Paramètres'!$O:$O,MATCH($D755,'Paramètres'!$M:$M,0))&amp;"","")&lt;&gt;"",ISNUMBER(SEARCH("remboursement",IFERROR(INDEX('Paramètres'!$N:$N,MATCH($D755,'Paramètres'!$M:$M,0))&amp;"",""))))),1,0))</f>
        <v>0</v>
      </c>
      <c r="Q755" s="6">
        <f>IF($K755="","",IF(ISNUMBER(SEARCH("transfert-interne",IFERROR(INDEX('Paramètres'!$N:$N,MATCH($D755,'Paramètres'!$M:$M,0))&amp;"",""))),0,IF($L755="Débit",$K755,IF($P755=1,-$K755,0))))</f>
        <v>62.24</v>
      </c>
      <c r="R755" s="6">
        <f>IF($K755="","",IF($L755="Crédit",$K755,-$K755))</f>
        <v>-62.24</v>
      </c>
      <c r="S755" s="6" t="str">
        <f>IF($C755="","",IFERROR(INDEX('Paramètres'!$H:$H,MATCH($C755,'Paramètres'!$D:$D,0))&amp;"",""))</f>
        <v>Banque A - Courant</v>
      </c>
      <c r="T755" s="6">
        <f>IF($K755="","",IF($S755="",0,IF(ISNUMBER(SEARCH("apport-exterieur",IFERROR(INDEX('Paramètres'!$N:$N,MATCH($D755,'Paramètres'!$M:$M,0))&amp;"",""))),0,IF(OR(IFERROR(INDEX('Paramètres'!$I:$I,MATCH($C755,'Paramètres'!$D:$D,0))&amp;"","")="Les deux",IFERROR(INDEX('Paramètres'!$I:$I,MATCH($C755,'Paramètres'!$D:$D,0))&amp;"","")=IF($P755=1,"Débit",$L755)),-IF($P755=1,-$K755,$K755),0))))</f>
        <v>0</v>
      </c>
      <c r="U755" s="6">
        <f>IF($K755="","",IF(ISNUMBER(SEARCH("sortie-epargne",IFERROR(INDEX('Paramètres'!$N:$N,MATCH($D755,'Paramètres'!$M:$M,0))&amp;"",""))),$K755,0))</f>
        <v>0</v>
      </c>
      <c r="V755" s="6" t="str">
        <f>IF(AND($A755&lt;&gt;"",$O755=1,$L755="Débit",N($Q755)&gt;0,$A755&gt;=Visualisation!$B$1,$A755&lt;Visualisation!$D$1),MAX($V$1:V754)+1,"")</f>
        <v/>
      </c>
    </row>
    <row r="756" spans="1:22" x14ac:dyDescent="0.25">
      <c r="A756" s="9">
        <v>46068</v>
      </c>
      <c r="B756" s="4" t="s">
        <v>69</v>
      </c>
      <c r="C756" s="4" t="s">
        <v>70</v>
      </c>
      <c r="D756" s="4" t="s">
        <v>71</v>
      </c>
      <c r="E756" s="10">
        <v>11.09</v>
      </c>
      <c r="G756" s="4" t="s">
        <v>72</v>
      </c>
      <c r="H756" s="4"/>
      <c r="I756" s="4"/>
      <c r="K756" s="11">
        <f>IF($E756="","",ROUND($E756*IF(ISNA(MATCH($C756,'Paramètres'!$D:$D,0)),1,IF(INDEX('Paramètres'!$J:$J,MATCH($C756,'Paramètres'!$D:$D,0))="",1,INDEX('Paramètres'!$J:$J,MATCH($C756,'Paramètres'!$D:$D,0)))),2))</f>
        <v>11.09</v>
      </c>
      <c r="L756" s="6" t="str">
        <f>IF($D756="","",IF($F756&lt;&gt;"",$F756,IF(ISNA(MATCH($D756,'Paramètres'!$M:$M,0)),"⚠ Type inconnu",IFERROR(INDEX('Paramètres'!$P:$P,MATCH($D756,'Paramètres'!$M:$M,0))&amp;"",""))))</f>
        <v>Débit</v>
      </c>
      <c r="M756" s="6" t="str">
        <f>IF($D756="","",IF(ISNA(MATCH($D756,'Paramètres'!$M:$M,0)),"⚠ Type inconnu",IF($L756="Crédit","",IFERROR(INDEX('Paramètres'!$O:$O,MATCH($D756,'Paramètres'!$M:$M,0))&amp;"",""))))</f>
        <v>Dépense Courante</v>
      </c>
      <c r="N756" s="6" t="str">
        <f>IF($D756="","",IFERROR(INDEX('Paramètres'!$Q:$Q,MATCH($D756,'Paramètres'!$M:$M,0))&amp;"",""))</f>
        <v>Alimentation</v>
      </c>
      <c r="O756" s="6">
        <f>IF($A756="","",IF(OR($J756&lt;&gt;"x",$A756&lt;=FinReleve),1,0))</f>
        <v>1</v>
      </c>
      <c r="P756" s="6">
        <f>IF($D756="","",IF(AND($L756="Crédit",OR(IFERROR(INDEX('Paramètres'!$O:$O,MATCH($D756,'Paramètres'!$M:$M,0))&amp;"","")&lt;&gt;"",ISNUMBER(SEARCH("remboursement",IFERROR(INDEX('Paramètres'!$N:$N,MATCH($D756,'Paramètres'!$M:$M,0))&amp;"",""))))),1,0))</f>
        <v>0</v>
      </c>
      <c r="Q756" s="6">
        <f>IF($K756="","",IF(ISNUMBER(SEARCH("transfert-interne",IFERROR(INDEX('Paramètres'!$N:$N,MATCH($D756,'Paramètres'!$M:$M,0))&amp;"",""))),0,IF($L756="Débit",$K756,IF($P756=1,-$K756,0))))</f>
        <v>11.09</v>
      </c>
      <c r="R756" s="6">
        <f>IF($K756="","",IF($L756="Crédit",$K756,-$K756))</f>
        <v>-11.09</v>
      </c>
      <c r="S756" s="6" t="str">
        <f>IF($C756="","",IFERROR(INDEX('Paramètres'!$H:$H,MATCH($C756,'Paramètres'!$D:$D,0))&amp;"",""))</f>
        <v/>
      </c>
      <c r="T756" s="6">
        <f>IF($K756="","",IF($S756="",0,IF(ISNUMBER(SEARCH("apport-exterieur",IFERROR(INDEX('Paramètres'!$N:$N,MATCH($D756,'Paramètres'!$M:$M,0))&amp;"",""))),0,IF(OR(IFERROR(INDEX('Paramètres'!$I:$I,MATCH($C756,'Paramètres'!$D:$D,0))&amp;"","")="Les deux",IFERROR(INDEX('Paramètres'!$I:$I,MATCH($C756,'Paramètres'!$D:$D,0))&amp;"","")=IF($P756=1,"Débit",$L756)),-IF($P756=1,-$K756,$K756),0))))</f>
        <v>0</v>
      </c>
      <c r="U756" s="6">
        <f>IF($K756="","",IF(ISNUMBER(SEARCH("sortie-epargne",IFERROR(INDEX('Paramètres'!$N:$N,MATCH($D756,'Paramètres'!$M:$M,0))&amp;"",""))),$K756,0))</f>
        <v>0</v>
      </c>
      <c r="V756" s="6" t="str">
        <f>IF(AND($A756&lt;&gt;"",$O756=1,$L756="Débit",N($Q756)&gt;0,$A756&gt;=Visualisation!$B$1,$A756&lt;Visualisation!$D$1),MAX($V$1:V755)+1,"")</f>
        <v/>
      </c>
    </row>
    <row r="757" spans="1:22" x14ac:dyDescent="0.25">
      <c r="A757" s="9">
        <v>46068</v>
      </c>
      <c r="B757" s="4" t="s">
        <v>59</v>
      </c>
      <c r="C757" s="4" t="s">
        <v>126</v>
      </c>
      <c r="D757" s="4" t="s">
        <v>59</v>
      </c>
      <c r="E757" s="10">
        <v>90.08</v>
      </c>
      <c r="G757" s="4" t="s">
        <v>99</v>
      </c>
      <c r="H757" s="4" t="s">
        <v>142</v>
      </c>
      <c r="I757" s="4" t="s">
        <v>93</v>
      </c>
      <c r="K757" s="11">
        <f>IF($E757="","",ROUND($E757*IF(ISNA(MATCH($C757,'Paramètres'!$D:$D,0)),1,IF(INDEX('Paramètres'!$J:$J,MATCH($C757,'Paramètres'!$D:$D,0))="",1,INDEX('Paramètres'!$J:$J,MATCH($C757,'Paramètres'!$D:$D,0)))),2))</f>
        <v>45.04</v>
      </c>
      <c r="L757" s="6" t="str">
        <f>IF($D757="","",IF($F757&lt;&gt;"",$F757,IF(ISNA(MATCH($D757,'Paramètres'!$M:$M,0)),"⚠ Type inconnu",IFERROR(INDEX('Paramètres'!$P:$P,MATCH($D757,'Paramètres'!$M:$M,0))&amp;"",""))))</f>
        <v>Débit</v>
      </c>
      <c r="M757" s="6" t="str">
        <f>IF($D757="","",IF(ISNA(MATCH($D757,'Paramètres'!$M:$M,0)),"⚠ Type inconnu",IF($L757="Crédit","",IFERROR(INDEX('Paramètres'!$O:$O,MATCH($D757,'Paramètres'!$M:$M,0))&amp;"",""))))</f>
        <v>Dépense Occasionnelle</v>
      </c>
      <c r="N757" s="6" t="str">
        <f>IF($D757="","",IFERROR(INDEX('Paramètres'!$Q:$Q,MATCH($D757,'Paramètres'!$M:$M,0))&amp;"",""))</f>
        <v>Loisir</v>
      </c>
      <c r="O757" s="6">
        <f>IF($A757="","",IF(OR($J757&lt;&gt;"x",$A757&lt;=FinReleve),1,0))</f>
        <v>1</v>
      </c>
      <c r="P757" s="6">
        <f>IF($D757="","",IF(AND($L757="Crédit",OR(IFERROR(INDEX('Paramètres'!$O:$O,MATCH($D757,'Paramètres'!$M:$M,0))&amp;"","")&lt;&gt;"",ISNUMBER(SEARCH("remboursement",IFERROR(INDEX('Paramètres'!$N:$N,MATCH($D757,'Paramètres'!$M:$M,0))&amp;"",""))))),1,0))</f>
        <v>0</v>
      </c>
      <c r="Q757" s="6">
        <f>IF($K757="","",IF(ISNUMBER(SEARCH("transfert-interne",IFERROR(INDEX('Paramètres'!$N:$N,MATCH($D757,'Paramètres'!$M:$M,0))&amp;"",""))),0,IF($L757="Débit",$K757,IF($P757=1,-$K757,0))))</f>
        <v>45.04</v>
      </c>
      <c r="R757" s="6">
        <f>IF($K757="","",IF($L757="Crédit",$K757,-$K757))</f>
        <v>-45.04</v>
      </c>
      <c r="S757" s="6" t="str">
        <f>IF($C757="","",IFERROR(INDEX('Paramètres'!$H:$H,MATCH($C757,'Paramètres'!$D:$D,0))&amp;"",""))</f>
        <v>Banque A - Courant</v>
      </c>
      <c r="T757" s="6">
        <f>IF($K757="","",IF($S757="",0,IF(ISNUMBER(SEARCH("apport-exterieur",IFERROR(INDEX('Paramètres'!$N:$N,MATCH($D757,'Paramètres'!$M:$M,0))&amp;"",""))),0,IF(OR(IFERROR(INDEX('Paramètres'!$I:$I,MATCH($C757,'Paramètres'!$D:$D,0))&amp;"","")="Les deux",IFERROR(INDEX('Paramètres'!$I:$I,MATCH($C757,'Paramètres'!$D:$D,0))&amp;"","")=IF($P757=1,"Débit",$L757)),-IF($P757=1,-$K757,$K757),0))))</f>
        <v>-45.04</v>
      </c>
      <c r="U757" s="6">
        <f>IF($K757="","",IF(ISNUMBER(SEARCH("sortie-epargne",IFERROR(INDEX('Paramètres'!$N:$N,MATCH($D757,'Paramètres'!$M:$M,0))&amp;"",""))),$K757,0))</f>
        <v>0</v>
      </c>
      <c r="V757" s="6" t="str">
        <f>IF(AND($A757&lt;&gt;"",$O757=1,$L757="Débit",N($Q757)&gt;0,$A757&gt;=Visualisation!$B$1,$A757&lt;Visualisation!$D$1),MAX($V$1:V756)+1,"")</f>
        <v/>
      </c>
    </row>
    <row r="758" spans="1:22" x14ac:dyDescent="0.25">
      <c r="A758" s="9">
        <v>46069</v>
      </c>
      <c r="B758" s="4" t="s">
        <v>116</v>
      </c>
      <c r="C758" s="4" t="s">
        <v>60</v>
      </c>
      <c r="D758" s="4" t="s">
        <v>116</v>
      </c>
      <c r="E758" s="10">
        <v>216.72</v>
      </c>
      <c r="G758" s="4" t="s">
        <v>141</v>
      </c>
      <c r="H758" s="4"/>
      <c r="I758" s="4" t="s">
        <v>79</v>
      </c>
      <c r="K758" s="11">
        <f>IF($E758="","",ROUND($E758*IF(ISNA(MATCH($C758,'Paramètres'!$D:$D,0)),1,IF(INDEX('Paramètres'!$J:$J,MATCH($C758,'Paramètres'!$D:$D,0))="",1,INDEX('Paramètres'!$J:$J,MATCH($C758,'Paramètres'!$D:$D,0)))),2))</f>
        <v>108.36</v>
      </c>
      <c r="L758" s="6" t="str">
        <f>IF($D758="","",IF($F758&lt;&gt;"",$F758,IF(ISNA(MATCH($D758,'Paramètres'!$M:$M,0)),"⚠ Type inconnu",IFERROR(INDEX('Paramètres'!$P:$P,MATCH($D758,'Paramètres'!$M:$M,0))&amp;"",""))))</f>
        <v>Débit</v>
      </c>
      <c r="M758" s="6" t="str">
        <f>IF($D758="","",IF(ISNA(MATCH($D758,'Paramètres'!$M:$M,0)),"⚠ Type inconnu",IF($L758="Crédit","",IFERROR(INDEX('Paramètres'!$O:$O,MATCH($D758,'Paramètres'!$M:$M,0))&amp;"",""))))</f>
        <v>Dépense Occasionnelle</v>
      </c>
      <c r="N758" s="6" t="str">
        <f>IF($D758="","",IFERROR(INDEX('Paramètres'!$Q:$Q,MATCH($D758,'Paramètres'!$M:$M,0))&amp;"",""))</f>
        <v>Autre</v>
      </c>
      <c r="O758" s="6">
        <f>IF($A758="","",IF(OR($J758&lt;&gt;"x",$A758&lt;=FinReleve),1,0))</f>
        <v>1</v>
      </c>
      <c r="P758" s="6">
        <f>IF($D758="","",IF(AND($L758="Crédit",OR(IFERROR(INDEX('Paramètres'!$O:$O,MATCH($D758,'Paramètres'!$M:$M,0))&amp;"","")&lt;&gt;"",ISNUMBER(SEARCH("remboursement",IFERROR(INDEX('Paramètres'!$N:$N,MATCH($D758,'Paramètres'!$M:$M,0))&amp;"",""))))),1,0))</f>
        <v>0</v>
      </c>
      <c r="Q758" s="6">
        <f>IF($K758="","",IF(ISNUMBER(SEARCH("transfert-interne",IFERROR(INDEX('Paramètres'!$N:$N,MATCH($D758,'Paramètres'!$M:$M,0))&amp;"",""))),0,IF($L758="Débit",$K758,IF($P758=1,-$K758,0))))</f>
        <v>108.36</v>
      </c>
      <c r="R758" s="6">
        <f>IF($K758="","",IF($L758="Crédit",$K758,-$K758))</f>
        <v>-108.36</v>
      </c>
      <c r="S758" s="6" t="str">
        <f>IF($C758="","",IFERROR(INDEX('Paramètres'!$H:$H,MATCH($C758,'Paramètres'!$D:$D,0))&amp;"",""))</f>
        <v>Banque A - Courant</v>
      </c>
      <c r="T758" s="6">
        <f>IF($K758="","",IF($S758="",0,IF(ISNUMBER(SEARCH("apport-exterieur",IFERROR(INDEX('Paramètres'!$N:$N,MATCH($D758,'Paramètres'!$M:$M,0))&amp;"",""))),0,IF(OR(IFERROR(INDEX('Paramètres'!$I:$I,MATCH($C758,'Paramètres'!$D:$D,0))&amp;"","")="Les deux",IFERROR(INDEX('Paramètres'!$I:$I,MATCH($C758,'Paramètres'!$D:$D,0))&amp;"","")=IF($P758=1,"Débit",$L758)),-IF($P758=1,-$K758,$K758),0))))</f>
        <v>-108.36</v>
      </c>
      <c r="U758" s="6">
        <f>IF($K758="","",IF(ISNUMBER(SEARCH("sortie-epargne",IFERROR(INDEX('Paramètres'!$N:$N,MATCH($D758,'Paramètres'!$M:$M,0))&amp;"",""))),$K758,0))</f>
        <v>0</v>
      </c>
      <c r="V758" s="6" t="str">
        <f>IF(AND($A758&lt;&gt;"",$O758=1,$L758="Débit",N($Q758)&gt;0,$A758&gt;=Visualisation!$B$1,$A758&lt;Visualisation!$D$1),MAX($V$1:V757)+1,"")</f>
        <v/>
      </c>
    </row>
    <row r="759" spans="1:22" x14ac:dyDescent="0.25">
      <c r="A759" s="9">
        <v>46071</v>
      </c>
      <c r="B759" s="4" t="s">
        <v>103</v>
      </c>
      <c r="C759" s="4" t="s">
        <v>75</v>
      </c>
      <c r="D759" s="4" t="s">
        <v>103</v>
      </c>
      <c r="E759" s="10">
        <v>212</v>
      </c>
      <c r="G759" s="4"/>
      <c r="H759" s="4"/>
      <c r="I759" s="4"/>
      <c r="K759" s="11">
        <f>IF($E759="","",ROUND($E759*IF(ISNA(MATCH($C759,'Paramètres'!$D:$D,0)),1,IF(INDEX('Paramètres'!$J:$J,MATCH($C759,'Paramètres'!$D:$D,0))="",1,INDEX('Paramètres'!$J:$J,MATCH($C759,'Paramètres'!$D:$D,0)))),2))</f>
        <v>212</v>
      </c>
      <c r="L759" s="6" t="str">
        <f>IF($D759="","",IF($F759&lt;&gt;"",$F759,IF(ISNA(MATCH($D759,'Paramètres'!$M:$M,0)),"⚠ Type inconnu",IFERROR(INDEX('Paramètres'!$P:$P,MATCH($D759,'Paramètres'!$M:$M,0))&amp;"",""))))</f>
        <v>Débit</v>
      </c>
      <c r="M759" s="6" t="str">
        <f>IF($D759="","",IF(ISNA(MATCH($D759,'Paramètres'!$M:$M,0)),"⚠ Type inconnu",IF($L759="Crédit","",IFERROR(INDEX('Paramètres'!$O:$O,MATCH($D759,'Paramètres'!$M:$M,0))&amp;"",""))))</f>
        <v>Dépense Fixe</v>
      </c>
      <c r="N759" s="6" t="str">
        <f>IF($D759="","",IFERROR(INDEX('Paramètres'!$Q:$Q,MATCH($D759,'Paramètres'!$M:$M,0))&amp;"",""))</f>
        <v>Impots</v>
      </c>
      <c r="O759" s="6">
        <f>IF($A759="","",IF(OR($J759&lt;&gt;"x",$A759&lt;=FinReleve),1,0))</f>
        <v>1</v>
      </c>
      <c r="P759" s="6">
        <f>IF($D759="","",IF(AND($L759="Crédit",OR(IFERROR(INDEX('Paramètres'!$O:$O,MATCH($D759,'Paramètres'!$M:$M,0))&amp;"","")&lt;&gt;"",ISNUMBER(SEARCH("remboursement",IFERROR(INDEX('Paramètres'!$N:$N,MATCH($D759,'Paramètres'!$M:$M,0))&amp;"",""))))),1,0))</f>
        <v>0</v>
      </c>
      <c r="Q759" s="6">
        <f>IF($K759="","",IF(ISNUMBER(SEARCH("transfert-interne",IFERROR(INDEX('Paramètres'!$N:$N,MATCH($D759,'Paramètres'!$M:$M,0))&amp;"",""))),0,IF($L759="Débit",$K759,IF($P759=1,-$K759,0))))</f>
        <v>212</v>
      </c>
      <c r="R759" s="6">
        <f>IF($K759="","",IF($L759="Crédit",$K759,-$K759))</f>
        <v>-212</v>
      </c>
      <c r="S759" s="6" t="str">
        <f>IF($C759="","",IFERROR(INDEX('Paramètres'!$H:$H,MATCH($C759,'Paramètres'!$D:$D,0))&amp;"",""))</f>
        <v/>
      </c>
      <c r="T759" s="6">
        <f>IF($K759="","",IF($S759="",0,IF(ISNUMBER(SEARCH("apport-exterieur",IFERROR(INDEX('Paramètres'!$N:$N,MATCH($D759,'Paramètres'!$M:$M,0))&amp;"",""))),0,IF(OR(IFERROR(INDEX('Paramètres'!$I:$I,MATCH($C759,'Paramètres'!$D:$D,0))&amp;"","")="Les deux",IFERROR(INDEX('Paramètres'!$I:$I,MATCH($C759,'Paramètres'!$D:$D,0))&amp;"","")=IF($P759=1,"Débit",$L759)),-IF($P759=1,-$K759,$K759),0))))</f>
        <v>0</v>
      </c>
      <c r="U759" s="6">
        <f>IF($K759="","",IF(ISNUMBER(SEARCH("sortie-epargne",IFERROR(INDEX('Paramètres'!$N:$N,MATCH($D759,'Paramètres'!$M:$M,0))&amp;"",""))),$K759,0))</f>
        <v>0</v>
      </c>
      <c r="V759" s="6" t="str">
        <f>IF(AND($A759&lt;&gt;"",$O759=1,$L759="Débit",N($Q759)&gt;0,$A759&gt;=Visualisation!$B$1,$A759&lt;Visualisation!$D$1),MAX($V$1:V758)+1,"")</f>
        <v/>
      </c>
    </row>
    <row r="760" spans="1:22" x14ac:dyDescent="0.25">
      <c r="A760" s="9">
        <v>46071</v>
      </c>
      <c r="B760" s="4" t="s">
        <v>76</v>
      </c>
      <c r="C760" s="4" t="s">
        <v>67</v>
      </c>
      <c r="D760" s="4" t="s">
        <v>77</v>
      </c>
      <c r="E760" s="10">
        <v>29.62</v>
      </c>
      <c r="G760" s="4" t="s">
        <v>78</v>
      </c>
      <c r="H760" s="4"/>
      <c r="I760" s="4"/>
      <c r="K760" s="11">
        <f>IF($E760="","",ROUND($E760*IF(ISNA(MATCH($C760,'Paramètres'!$D:$D,0)),1,IF(INDEX('Paramètres'!$J:$J,MATCH($C760,'Paramètres'!$D:$D,0))="",1,INDEX('Paramètres'!$J:$J,MATCH($C760,'Paramètres'!$D:$D,0)))),2))</f>
        <v>14.81</v>
      </c>
      <c r="L760" s="6" t="str">
        <f>IF($D760="","",IF($F760&lt;&gt;"",$F760,IF(ISNA(MATCH($D760,'Paramètres'!$M:$M,0)),"⚠ Type inconnu",IFERROR(INDEX('Paramètres'!$P:$P,MATCH($D760,'Paramètres'!$M:$M,0))&amp;"",""))))</f>
        <v>Débit</v>
      </c>
      <c r="M760" s="6" t="str">
        <f>IF($D760="","",IF(ISNA(MATCH($D760,'Paramètres'!$M:$M,0)),"⚠ Type inconnu",IF($L760="Crédit","",IFERROR(INDEX('Paramètres'!$O:$O,MATCH($D760,'Paramètres'!$M:$M,0))&amp;"",""))))</f>
        <v>Dépense Courante</v>
      </c>
      <c r="N760" s="6" t="str">
        <f>IF($D760="","",IFERROR(INDEX('Paramètres'!$Q:$Q,MATCH($D760,'Paramètres'!$M:$M,0))&amp;"",""))</f>
        <v>Alimentation</v>
      </c>
      <c r="O760" s="6">
        <f>IF($A760="","",IF(OR($J760&lt;&gt;"x",$A760&lt;=FinReleve),1,0))</f>
        <v>1</v>
      </c>
      <c r="P760" s="6">
        <f>IF($D760="","",IF(AND($L760="Crédit",OR(IFERROR(INDEX('Paramètres'!$O:$O,MATCH($D760,'Paramètres'!$M:$M,0))&amp;"","")&lt;&gt;"",ISNUMBER(SEARCH("remboursement",IFERROR(INDEX('Paramètres'!$N:$N,MATCH($D760,'Paramètres'!$M:$M,0))&amp;"",""))))),1,0))</f>
        <v>0</v>
      </c>
      <c r="Q760" s="6">
        <f>IF($K760="","",IF(ISNUMBER(SEARCH("transfert-interne",IFERROR(INDEX('Paramètres'!$N:$N,MATCH($D760,'Paramètres'!$M:$M,0))&amp;"",""))),0,IF($L760="Débit",$K760,IF($P760=1,-$K760,0))))</f>
        <v>14.81</v>
      </c>
      <c r="R760" s="6">
        <f>IF($K760="","",IF($L760="Crédit",$K760,-$K760))</f>
        <v>-14.81</v>
      </c>
      <c r="S760" s="6" t="str">
        <f>IF($C760="","",IFERROR(INDEX('Paramètres'!$H:$H,MATCH($C760,'Paramètres'!$D:$D,0))&amp;"",""))</f>
        <v>Banque A - Courant</v>
      </c>
      <c r="T760" s="6">
        <f>IF($K760="","",IF($S760="",0,IF(ISNUMBER(SEARCH("apport-exterieur",IFERROR(INDEX('Paramètres'!$N:$N,MATCH($D760,'Paramètres'!$M:$M,0))&amp;"",""))),0,IF(OR(IFERROR(INDEX('Paramètres'!$I:$I,MATCH($C760,'Paramètres'!$D:$D,0))&amp;"","")="Les deux",IFERROR(INDEX('Paramètres'!$I:$I,MATCH($C760,'Paramètres'!$D:$D,0))&amp;"","")=IF($P760=1,"Débit",$L760)),-IF($P760=1,-$K760,$K760),0))))</f>
        <v>0</v>
      </c>
      <c r="U760" s="6">
        <f>IF($K760="","",IF(ISNUMBER(SEARCH("sortie-epargne",IFERROR(INDEX('Paramètres'!$N:$N,MATCH($D760,'Paramètres'!$M:$M,0))&amp;"",""))),$K760,0))</f>
        <v>0</v>
      </c>
      <c r="V760" s="6" t="str">
        <f>IF(AND($A760&lt;&gt;"",$O760=1,$L760="Débit",N($Q760)&gt;0,$A760&gt;=Visualisation!$B$1,$A760&lt;Visualisation!$D$1),MAX($V$1:V759)+1,"")</f>
        <v/>
      </c>
    </row>
    <row r="761" spans="1:22" x14ac:dyDescent="0.25">
      <c r="A761" s="9">
        <v>46071</v>
      </c>
      <c r="B761" s="4" t="s">
        <v>69</v>
      </c>
      <c r="C761" s="4" t="s">
        <v>70</v>
      </c>
      <c r="D761" s="4" t="s">
        <v>71</v>
      </c>
      <c r="E761" s="10">
        <v>10</v>
      </c>
      <c r="G761" s="4" t="s">
        <v>72</v>
      </c>
      <c r="H761" s="4"/>
      <c r="I761" s="4"/>
      <c r="K761" s="11">
        <f>IF($E761="","",ROUND($E761*IF(ISNA(MATCH($C761,'Paramètres'!$D:$D,0)),1,IF(INDEX('Paramètres'!$J:$J,MATCH($C761,'Paramètres'!$D:$D,0))="",1,INDEX('Paramètres'!$J:$J,MATCH($C761,'Paramètres'!$D:$D,0)))),2))</f>
        <v>10</v>
      </c>
      <c r="L761" s="6" t="str">
        <f>IF($D761="","",IF($F761&lt;&gt;"",$F761,IF(ISNA(MATCH($D761,'Paramètres'!$M:$M,0)),"⚠ Type inconnu",IFERROR(INDEX('Paramètres'!$P:$P,MATCH($D761,'Paramètres'!$M:$M,0))&amp;"",""))))</f>
        <v>Débit</v>
      </c>
      <c r="M761" s="6" t="str">
        <f>IF($D761="","",IF(ISNA(MATCH($D761,'Paramètres'!$M:$M,0)),"⚠ Type inconnu",IF($L761="Crédit","",IFERROR(INDEX('Paramètres'!$O:$O,MATCH($D761,'Paramètres'!$M:$M,0))&amp;"",""))))</f>
        <v>Dépense Courante</v>
      </c>
      <c r="N761" s="6" t="str">
        <f>IF($D761="","",IFERROR(INDEX('Paramètres'!$Q:$Q,MATCH($D761,'Paramètres'!$M:$M,0))&amp;"",""))</f>
        <v>Alimentation</v>
      </c>
      <c r="O761" s="6">
        <f>IF($A761="","",IF(OR($J761&lt;&gt;"x",$A761&lt;=FinReleve),1,0))</f>
        <v>1</v>
      </c>
      <c r="P761" s="6">
        <f>IF($D761="","",IF(AND($L761="Crédit",OR(IFERROR(INDEX('Paramètres'!$O:$O,MATCH($D761,'Paramètres'!$M:$M,0))&amp;"","")&lt;&gt;"",ISNUMBER(SEARCH("remboursement",IFERROR(INDEX('Paramètres'!$N:$N,MATCH($D761,'Paramètres'!$M:$M,0))&amp;"",""))))),1,0))</f>
        <v>0</v>
      </c>
      <c r="Q761" s="6">
        <f>IF($K761="","",IF(ISNUMBER(SEARCH("transfert-interne",IFERROR(INDEX('Paramètres'!$N:$N,MATCH($D761,'Paramètres'!$M:$M,0))&amp;"",""))),0,IF($L761="Débit",$K761,IF($P761=1,-$K761,0))))</f>
        <v>10</v>
      </c>
      <c r="R761" s="6">
        <f>IF($K761="","",IF($L761="Crédit",$K761,-$K761))</f>
        <v>-10</v>
      </c>
      <c r="S761" s="6" t="str">
        <f>IF($C761="","",IFERROR(INDEX('Paramètres'!$H:$H,MATCH($C761,'Paramètres'!$D:$D,0))&amp;"",""))</f>
        <v/>
      </c>
      <c r="T761" s="6">
        <f>IF($K761="","",IF($S761="",0,IF(ISNUMBER(SEARCH("apport-exterieur",IFERROR(INDEX('Paramètres'!$N:$N,MATCH($D761,'Paramètres'!$M:$M,0))&amp;"",""))),0,IF(OR(IFERROR(INDEX('Paramètres'!$I:$I,MATCH($C761,'Paramètres'!$D:$D,0))&amp;"","")="Les deux",IFERROR(INDEX('Paramètres'!$I:$I,MATCH($C761,'Paramètres'!$D:$D,0))&amp;"","")=IF($P761=1,"Débit",$L761)),-IF($P761=1,-$K761,$K761),0))))</f>
        <v>0</v>
      </c>
      <c r="U761" s="6">
        <f>IF($K761="","",IF(ISNUMBER(SEARCH("sortie-epargne",IFERROR(INDEX('Paramètres'!$N:$N,MATCH($D761,'Paramètres'!$M:$M,0))&amp;"",""))),$K761,0))</f>
        <v>0</v>
      </c>
      <c r="V761" s="6" t="str">
        <f>IF(AND($A761&lt;&gt;"",$O761=1,$L761="Débit",N($Q761)&gt;0,$A761&gt;=Visualisation!$B$1,$A761&lt;Visualisation!$D$1),MAX($V$1:V760)+1,"")</f>
        <v/>
      </c>
    </row>
    <row r="762" spans="1:22" x14ac:dyDescent="0.25">
      <c r="A762" s="9">
        <v>46072</v>
      </c>
      <c r="B762" s="4" t="s">
        <v>69</v>
      </c>
      <c r="C762" s="4" t="s">
        <v>70</v>
      </c>
      <c r="D762" s="4" t="s">
        <v>71</v>
      </c>
      <c r="E762" s="10">
        <v>9.12</v>
      </c>
      <c r="G762" s="4" t="s">
        <v>72</v>
      </c>
      <c r="H762" s="4"/>
      <c r="I762" s="4" t="s">
        <v>79</v>
      </c>
      <c r="K762" s="11">
        <f>IF($E762="","",ROUND($E762*IF(ISNA(MATCH($C762,'Paramètres'!$D:$D,0)),1,IF(INDEX('Paramètres'!$J:$J,MATCH($C762,'Paramètres'!$D:$D,0))="",1,INDEX('Paramètres'!$J:$J,MATCH($C762,'Paramètres'!$D:$D,0)))),2))</f>
        <v>9.12</v>
      </c>
      <c r="L762" s="6" t="str">
        <f>IF($D762="","",IF($F762&lt;&gt;"",$F762,IF(ISNA(MATCH($D762,'Paramètres'!$M:$M,0)),"⚠ Type inconnu",IFERROR(INDEX('Paramètres'!$P:$P,MATCH($D762,'Paramètres'!$M:$M,0))&amp;"",""))))</f>
        <v>Débit</v>
      </c>
      <c r="M762" s="6" t="str">
        <f>IF($D762="","",IF(ISNA(MATCH($D762,'Paramètres'!$M:$M,0)),"⚠ Type inconnu",IF($L762="Crédit","",IFERROR(INDEX('Paramètres'!$O:$O,MATCH($D762,'Paramètres'!$M:$M,0))&amp;"",""))))</f>
        <v>Dépense Courante</v>
      </c>
      <c r="N762" s="6" t="str">
        <f>IF($D762="","",IFERROR(INDEX('Paramètres'!$Q:$Q,MATCH($D762,'Paramètres'!$M:$M,0))&amp;"",""))</f>
        <v>Alimentation</v>
      </c>
      <c r="O762" s="6">
        <f>IF($A762="","",IF(OR($J762&lt;&gt;"x",$A762&lt;=FinReleve),1,0))</f>
        <v>1</v>
      </c>
      <c r="P762" s="6">
        <f>IF($D762="","",IF(AND($L762="Crédit",OR(IFERROR(INDEX('Paramètres'!$O:$O,MATCH($D762,'Paramètres'!$M:$M,0))&amp;"","")&lt;&gt;"",ISNUMBER(SEARCH("remboursement",IFERROR(INDEX('Paramètres'!$N:$N,MATCH($D762,'Paramètres'!$M:$M,0))&amp;"",""))))),1,0))</f>
        <v>0</v>
      </c>
      <c r="Q762" s="6">
        <f>IF($K762="","",IF(ISNUMBER(SEARCH("transfert-interne",IFERROR(INDEX('Paramètres'!$N:$N,MATCH($D762,'Paramètres'!$M:$M,0))&amp;"",""))),0,IF($L762="Débit",$K762,IF($P762=1,-$K762,0))))</f>
        <v>9.12</v>
      </c>
      <c r="R762" s="6">
        <f>IF($K762="","",IF($L762="Crédit",$K762,-$K762))</f>
        <v>-9.12</v>
      </c>
      <c r="S762" s="6" t="str">
        <f>IF($C762="","",IFERROR(INDEX('Paramètres'!$H:$H,MATCH($C762,'Paramètres'!$D:$D,0))&amp;"",""))</f>
        <v/>
      </c>
      <c r="T762" s="6">
        <f>IF($K762="","",IF($S762="",0,IF(ISNUMBER(SEARCH("apport-exterieur",IFERROR(INDEX('Paramètres'!$N:$N,MATCH($D762,'Paramètres'!$M:$M,0))&amp;"",""))),0,IF(OR(IFERROR(INDEX('Paramètres'!$I:$I,MATCH($C762,'Paramètres'!$D:$D,0))&amp;"","")="Les deux",IFERROR(INDEX('Paramètres'!$I:$I,MATCH($C762,'Paramètres'!$D:$D,0))&amp;"","")=IF($P762=1,"Débit",$L762)),-IF($P762=1,-$K762,$K762),0))))</f>
        <v>0</v>
      </c>
      <c r="U762" s="6">
        <f>IF($K762="","",IF(ISNUMBER(SEARCH("sortie-epargne",IFERROR(INDEX('Paramètres'!$N:$N,MATCH($D762,'Paramètres'!$M:$M,0))&amp;"",""))),$K762,0))</f>
        <v>0</v>
      </c>
      <c r="V762" s="6" t="str">
        <f>IF(AND($A762&lt;&gt;"",$O762=1,$L762="Débit",N($Q762)&gt;0,$A762&gt;=Visualisation!$B$1,$A762&lt;Visualisation!$D$1),MAX($V$1:V761)+1,"")</f>
        <v/>
      </c>
    </row>
    <row r="763" spans="1:22" x14ac:dyDescent="0.25">
      <c r="A763" s="9">
        <v>46072</v>
      </c>
      <c r="B763" s="4" t="s">
        <v>90</v>
      </c>
      <c r="C763" s="4" t="s">
        <v>75</v>
      </c>
      <c r="D763" s="4" t="s">
        <v>91</v>
      </c>
      <c r="E763" s="10">
        <v>63.49</v>
      </c>
      <c r="G763" s="4" t="s">
        <v>135</v>
      </c>
      <c r="H763" s="4"/>
      <c r="I763" s="4" t="s">
        <v>63</v>
      </c>
      <c r="K763" s="11">
        <f>IF($E763="","",ROUND($E763*IF(ISNA(MATCH($C763,'Paramètres'!$D:$D,0)),1,IF(INDEX('Paramètres'!$J:$J,MATCH($C763,'Paramètres'!$D:$D,0))="",1,INDEX('Paramètres'!$J:$J,MATCH($C763,'Paramètres'!$D:$D,0)))),2))</f>
        <v>63.49</v>
      </c>
      <c r="L763" s="6" t="str">
        <f>IF($D763="","",IF($F763&lt;&gt;"",$F763,IF(ISNA(MATCH($D763,'Paramètres'!$M:$M,0)),"⚠ Type inconnu",IFERROR(INDEX('Paramètres'!$P:$P,MATCH($D763,'Paramètres'!$M:$M,0))&amp;"",""))))</f>
        <v>Débit</v>
      </c>
      <c r="M763" s="6" t="str">
        <f>IF($D763="","",IF(ISNA(MATCH($D763,'Paramètres'!$M:$M,0)),"⚠ Type inconnu",IF($L763="Crédit","",IFERROR(INDEX('Paramètres'!$O:$O,MATCH($D763,'Paramètres'!$M:$M,0))&amp;"",""))))</f>
        <v>Dépense Courante</v>
      </c>
      <c r="N763" s="6" t="str">
        <f>IF($D763="","",IFERROR(INDEX('Paramètres'!$Q:$Q,MATCH($D763,'Paramètres'!$M:$M,0))&amp;"",""))</f>
        <v>Transport</v>
      </c>
      <c r="O763" s="6">
        <f>IF($A763="","",IF(OR($J763&lt;&gt;"x",$A763&lt;=FinReleve),1,0))</f>
        <v>1</v>
      </c>
      <c r="P763" s="6">
        <f>IF($D763="","",IF(AND($L763="Crédit",OR(IFERROR(INDEX('Paramètres'!$O:$O,MATCH($D763,'Paramètres'!$M:$M,0))&amp;"","")&lt;&gt;"",ISNUMBER(SEARCH("remboursement",IFERROR(INDEX('Paramètres'!$N:$N,MATCH($D763,'Paramètres'!$M:$M,0))&amp;"",""))))),1,0))</f>
        <v>0</v>
      </c>
      <c r="Q763" s="6">
        <f>IF($K763="","",IF(ISNUMBER(SEARCH("transfert-interne",IFERROR(INDEX('Paramètres'!$N:$N,MATCH($D763,'Paramètres'!$M:$M,0))&amp;"",""))),0,IF($L763="Débit",$K763,IF($P763=1,-$K763,0))))</f>
        <v>63.49</v>
      </c>
      <c r="R763" s="6">
        <f>IF($K763="","",IF($L763="Crédit",$K763,-$K763))</f>
        <v>-63.49</v>
      </c>
      <c r="S763" s="6" t="str">
        <f>IF($C763="","",IFERROR(INDEX('Paramètres'!$H:$H,MATCH($C763,'Paramètres'!$D:$D,0))&amp;"",""))</f>
        <v/>
      </c>
      <c r="T763" s="6">
        <f>IF($K763="","",IF($S763="",0,IF(ISNUMBER(SEARCH("apport-exterieur",IFERROR(INDEX('Paramètres'!$N:$N,MATCH($D763,'Paramètres'!$M:$M,0))&amp;"",""))),0,IF(OR(IFERROR(INDEX('Paramètres'!$I:$I,MATCH($C763,'Paramètres'!$D:$D,0))&amp;"","")="Les deux",IFERROR(INDEX('Paramètres'!$I:$I,MATCH($C763,'Paramètres'!$D:$D,0))&amp;"","")=IF($P763=1,"Débit",$L763)),-IF($P763=1,-$K763,$K763),0))))</f>
        <v>0</v>
      </c>
      <c r="U763" s="6">
        <f>IF($K763="","",IF(ISNUMBER(SEARCH("sortie-epargne",IFERROR(INDEX('Paramètres'!$N:$N,MATCH($D763,'Paramètres'!$M:$M,0))&amp;"",""))),$K763,0))</f>
        <v>0</v>
      </c>
      <c r="V763" s="6" t="str">
        <f>IF(AND($A763&lt;&gt;"",$O763=1,$L763="Débit",N($Q763)&gt;0,$A763&gt;=Visualisation!$B$1,$A763&lt;Visualisation!$D$1),MAX($V$1:V762)+1,"")</f>
        <v/>
      </c>
    </row>
    <row r="764" spans="1:22" x14ac:dyDescent="0.25">
      <c r="A764" s="9">
        <v>46073</v>
      </c>
      <c r="B764" s="4" t="s">
        <v>76</v>
      </c>
      <c r="C764" s="4" t="s">
        <v>67</v>
      </c>
      <c r="D764" s="4" t="s">
        <v>77</v>
      </c>
      <c r="E764" s="10">
        <v>187.2</v>
      </c>
      <c r="G764" s="4" t="s">
        <v>78</v>
      </c>
      <c r="H764" s="4"/>
      <c r="I764" s="4" t="s">
        <v>63</v>
      </c>
      <c r="K764" s="11">
        <f>IF($E764="","",ROUND($E764*IF(ISNA(MATCH($C764,'Paramètres'!$D:$D,0)),1,IF(INDEX('Paramètres'!$J:$J,MATCH($C764,'Paramètres'!$D:$D,0))="",1,INDEX('Paramètres'!$J:$J,MATCH($C764,'Paramètres'!$D:$D,0)))),2))</f>
        <v>93.6</v>
      </c>
      <c r="L764" s="6" t="str">
        <f>IF($D764="","",IF($F764&lt;&gt;"",$F764,IF(ISNA(MATCH($D764,'Paramètres'!$M:$M,0)),"⚠ Type inconnu",IFERROR(INDEX('Paramètres'!$P:$P,MATCH($D764,'Paramètres'!$M:$M,0))&amp;"",""))))</f>
        <v>Débit</v>
      </c>
      <c r="M764" s="6" t="str">
        <f>IF($D764="","",IF(ISNA(MATCH($D764,'Paramètres'!$M:$M,0)),"⚠ Type inconnu",IF($L764="Crédit","",IFERROR(INDEX('Paramètres'!$O:$O,MATCH($D764,'Paramètres'!$M:$M,0))&amp;"",""))))</f>
        <v>Dépense Courante</v>
      </c>
      <c r="N764" s="6" t="str">
        <f>IF($D764="","",IFERROR(INDEX('Paramètres'!$Q:$Q,MATCH($D764,'Paramètres'!$M:$M,0))&amp;"",""))</f>
        <v>Alimentation</v>
      </c>
      <c r="O764" s="6">
        <f>IF($A764="","",IF(OR($J764&lt;&gt;"x",$A764&lt;=FinReleve),1,0))</f>
        <v>1</v>
      </c>
      <c r="P764" s="6">
        <f>IF($D764="","",IF(AND($L764="Crédit",OR(IFERROR(INDEX('Paramètres'!$O:$O,MATCH($D764,'Paramètres'!$M:$M,0))&amp;"","")&lt;&gt;"",ISNUMBER(SEARCH("remboursement",IFERROR(INDEX('Paramètres'!$N:$N,MATCH($D764,'Paramètres'!$M:$M,0))&amp;"",""))))),1,0))</f>
        <v>0</v>
      </c>
      <c r="Q764" s="6">
        <f>IF($K764="","",IF(ISNUMBER(SEARCH("transfert-interne",IFERROR(INDEX('Paramètres'!$N:$N,MATCH($D764,'Paramètres'!$M:$M,0))&amp;"",""))),0,IF($L764="Débit",$K764,IF($P764=1,-$K764,0))))</f>
        <v>93.6</v>
      </c>
      <c r="R764" s="6">
        <f>IF($K764="","",IF($L764="Crédit",$K764,-$K764))</f>
        <v>-93.6</v>
      </c>
      <c r="S764" s="6" t="str">
        <f>IF($C764="","",IFERROR(INDEX('Paramètres'!$H:$H,MATCH($C764,'Paramètres'!$D:$D,0))&amp;"",""))</f>
        <v>Banque A - Courant</v>
      </c>
      <c r="T764" s="6">
        <f>IF($K764="","",IF($S764="",0,IF(ISNUMBER(SEARCH("apport-exterieur",IFERROR(INDEX('Paramètres'!$N:$N,MATCH($D764,'Paramètres'!$M:$M,0))&amp;"",""))),0,IF(OR(IFERROR(INDEX('Paramètres'!$I:$I,MATCH($C764,'Paramètres'!$D:$D,0))&amp;"","")="Les deux",IFERROR(INDEX('Paramètres'!$I:$I,MATCH($C764,'Paramètres'!$D:$D,0))&amp;"","")=IF($P764=1,"Débit",$L764)),-IF($P764=1,-$K764,$K764),0))))</f>
        <v>0</v>
      </c>
      <c r="U764" s="6">
        <f>IF($K764="","",IF(ISNUMBER(SEARCH("sortie-epargne",IFERROR(INDEX('Paramètres'!$N:$N,MATCH($D764,'Paramètres'!$M:$M,0))&amp;"",""))),$K764,0))</f>
        <v>0</v>
      </c>
      <c r="V764" s="6" t="str">
        <f>IF(AND($A764&lt;&gt;"",$O764=1,$L764="Débit",N($Q764)&gt;0,$A764&gt;=Visualisation!$B$1,$A764&lt;Visualisation!$D$1),MAX($V$1:V763)+1,"")</f>
        <v/>
      </c>
    </row>
    <row r="765" spans="1:22" x14ac:dyDescent="0.25">
      <c r="A765" s="9">
        <v>46074</v>
      </c>
      <c r="B765" s="4" t="s">
        <v>69</v>
      </c>
      <c r="C765" s="4" t="s">
        <v>70</v>
      </c>
      <c r="D765" s="4" t="s">
        <v>71</v>
      </c>
      <c r="E765" s="10">
        <v>11.24</v>
      </c>
      <c r="G765" s="4" t="s">
        <v>72</v>
      </c>
      <c r="H765" s="4"/>
      <c r="I765" s="4" t="s">
        <v>73</v>
      </c>
      <c r="K765" s="11">
        <f>IF($E765="","",ROUND($E765*IF(ISNA(MATCH($C765,'Paramètres'!$D:$D,0)),1,IF(INDEX('Paramètres'!$J:$J,MATCH($C765,'Paramètres'!$D:$D,0))="",1,INDEX('Paramètres'!$J:$J,MATCH($C765,'Paramètres'!$D:$D,0)))),2))</f>
        <v>11.24</v>
      </c>
      <c r="L765" s="6" t="str">
        <f>IF($D765="","",IF($F765&lt;&gt;"",$F765,IF(ISNA(MATCH($D765,'Paramètres'!$M:$M,0)),"⚠ Type inconnu",IFERROR(INDEX('Paramètres'!$P:$P,MATCH($D765,'Paramètres'!$M:$M,0))&amp;"",""))))</f>
        <v>Débit</v>
      </c>
      <c r="M765" s="6" t="str">
        <f>IF($D765="","",IF(ISNA(MATCH($D765,'Paramètres'!$M:$M,0)),"⚠ Type inconnu",IF($L765="Crédit","",IFERROR(INDEX('Paramètres'!$O:$O,MATCH($D765,'Paramètres'!$M:$M,0))&amp;"",""))))</f>
        <v>Dépense Courante</v>
      </c>
      <c r="N765" s="6" t="str">
        <f>IF($D765="","",IFERROR(INDEX('Paramètres'!$Q:$Q,MATCH($D765,'Paramètres'!$M:$M,0))&amp;"",""))</f>
        <v>Alimentation</v>
      </c>
      <c r="O765" s="6">
        <f>IF($A765="","",IF(OR($J765&lt;&gt;"x",$A765&lt;=FinReleve),1,0))</f>
        <v>1</v>
      </c>
      <c r="P765" s="6">
        <f>IF($D765="","",IF(AND($L765="Crédit",OR(IFERROR(INDEX('Paramètres'!$O:$O,MATCH($D765,'Paramètres'!$M:$M,0))&amp;"","")&lt;&gt;"",ISNUMBER(SEARCH("remboursement",IFERROR(INDEX('Paramètres'!$N:$N,MATCH($D765,'Paramètres'!$M:$M,0))&amp;"",""))))),1,0))</f>
        <v>0</v>
      </c>
      <c r="Q765" s="6">
        <f>IF($K765="","",IF(ISNUMBER(SEARCH("transfert-interne",IFERROR(INDEX('Paramètres'!$N:$N,MATCH($D765,'Paramètres'!$M:$M,0))&amp;"",""))),0,IF($L765="Débit",$K765,IF($P765=1,-$K765,0))))</f>
        <v>11.24</v>
      </c>
      <c r="R765" s="6">
        <f>IF($K765="","",IF($L765="Crédit",$K765,-$K765))</f>
        <v>-11.24</v>
      </c>
      <c r="S765" s="6" t="str">
        <f>IF($C765="","",IFERROR(INDEX('Paramètres'!$H:$H,MATCH($C765,'Paramètres'!$D:$D,0))&amp;"",""))</f>
        <v/>
      </c>
      <c r="T765" s="6">
        <f>IF($K765="","",IF($S765="",0,IF(ISNUMBER(SEARCH("apport-exterieur",IFERROR(INDEX('Paramètres'!$N:$N,MATCH($D765,'Paramètres'!$M:$M,0))&amp;"",""))),0,IF(OR(IFERROR(INDEX('Paramètres'!$I:$I,MATCH($C765,'Paramètres'!$D:$D,0))&amp;"","")="Les deux",IFERROR(INDEX('Paramètres'!$I:$I,MATCH($C765,'Paramètres'!$D:$D,0))&amp;"","")=IF($P765=1,"Débit",$L765)),-IF($P765=1,-$K765,$K765),0))))</f>
        <v>0</v>
      </c>
      <c r="U765" s="6">
        <f>IF($K765="","",IF(ISNUMBER(SEARCH("sortie-epargne",IFERROR(INDEX('Paramètres'!$N:$N,MATCH($D765,'Paramètres'!$M:$M,0))&amp;"",""))),$K765,0))</f>
        <v>0</v>
      </c>
      <c r="V765" s="6" t="str">
        <f>IF(AND($A765&lt;&gt;"",$O765=1,$L765="Débit",N($Q765)&gt;0,$A765&gt;=Visualisation!$B$1,$A765&lt;Visualisation!$D$1),MAX($V$1:V764)+1,"")</f>
        <v/>
      </c>
    </row>
    <row r="766" spans="1:22" x14ac:dyDescent="0.25">
      <c r="A766" s="9">
        <v>46076</v>
      </c>
      <c r="B766" s="4" t="s">
        <v>123</v>
      </c>
      <c r="C766" s="4" t="s">
        <v>75</v>
      </c>
      <c r="D766" s="4" t="s">
        <v>124</v>
      </c>
      <c r="E766" s="10">
        <v>90.99</v>
      </c>
      <c r="G766" s="4" t="s">
        <v>125</v>
      </c>
      <c r="H766" s="4"/>
      <c r="I766" s="4" t="s">
        <v>79</v>
      </c>
      <c r="K766" s="11">
        <f>IF($E766="","",ROUND($E766*IF(ISNA(MATCH($C766,'Paramètres'!$D:$D,0)),1,IF(INDEX('Paramètres'!$J:$J,MATCH($C766,'Paramètres'!$D:$D,0))="",1,INDEX('Paramètres'!$J:$J,MATCH($C766,'Paramètres'!$D:$D,0)))),2))</f>
        <v>90.99</v>
      </c>
      <c r="L766" s="6" t="str">
        <f>IF($D766="","",IF($F766&lt;&gt;"",$F766,IF(ISNA(MATCH($D766,'Paramètres'!$M:$M,0)),"⚠ Type inconnu",IFERROR(INDEX('Paramètres'!$P:$P,MATCH($D766,'Paramètres'!$M:$M,0))&amp;"",""))))</f>
        <v>Débit</v>
      </c>
      <c r="M766" s="6" t="str">
        <f>IF($D766="","",IF(ISNA(MATCH($D766,'Paramètres'!$M:$M,0)),"⚠ Type inconnu",IF($L766="Crédit","",IFERROR(INDEX('Paramètres'!$O:$O,MATCH($D766,'Paramètres'!$M:$M,0))&amp;"",""))))</f>
        <v>Dépense Courante</v>
      </c>
      <c r="N766" s="6" t="str">
        <f>IF($D766="","",IFERROR(INDEX('Paramètres'!$Q:$Q,MATCH($D766,'Paramètres'!$M:$M,0))&amp;"",""))</f>
        <v>Habillement</v>
      </c>
      <c r="O766" s="6">
        <f>IF($A766="","",IF(OR($J766&lt;&gt;"x",$A766&lt;=FinReleve),1,0))</f>
        <v>1</v>
      </c>
      <c r="P766" s="6">
        <f>IF($D766="","",IF(AND($L766="Crédit",OR(IFERROR(INDEX('Paramètres'!$O:$O,MATCH($D766,'Paramètres'!$M:$M,0))&amp;"","")&lt;&gt;"",ISNUMBER(SEARCH("remboursement",IFERROR(INDEX('Paramètres'!$N:$N,MATCH($D766,'Paramètres'!$M:$M,0))&amp;"",""))))),1,0))</f>
        <v>0</v>
      </c>
      <c r="Q766" s="6">
        <f>IF($K766="","",IF(ISNUMBER(SEARCH("transfert-interne",IFERROR(INDEX('Paramètres'!$N:$N,MATCH($D766,'Paramètres'!$M:$M,0))&amp;"",""))),0,IF($L766="Débit",$K766,IF($P766=1,-$K766,0))))</f>
        <v>90.99</v>
      </c>
      <c r="R766" s="6">
        <f>IF($K766="","",IF($L766="Crédit",$K766,-$K766))</f>
        <v>-90.99</v>
      </c>
      <c r="S766" s="6" t="str">
        <f>IF($C766="","",IFERROR(INDEX('Paramètres'!$H:$H,MATCH($C766,'Paramètres'!$D:$D,0))&amp;"",""))</f>
        <v/>
      </c>
      <c r="T766" s="6">
        <f>IF($K766="","",IF($S766="",0,IF(ISNUMBER(SEARCH("apport-exterieur",IFERROR(INDEX('Paramètres'!$N:$N,MATCH($D766,'Paramètres'!$M:$M,0))&amp;"",""))),0,IF(OR(IFERROR(INDEX('Paramètres'!$I:$I,MATCH($C766,'Paramètres'!$D:$D,0))&amp;"","")="Les deux",IFERROR(INDEX('Paramètres'!$I:$I,MATCH($C766,'Paramètres'!$D:$D,0))&amp;"","")=IF($P766=1,"Débit",$L766)),-IF($P766=1,-$K766,$K766),0))))</f>
        <v>0</v>
      </c>
      <c r="U766" s="6">
        <f>IF($K766="","",IF(ISNUMBER(SEARCH("sortie-epargne",IFERROR(INDEX('Paramètres'!$N:$N,MATCH($D766,'Paramètres'!$M:$M,0))&amp;"",""))),$K766,0))</f>
        <v>0</v>
      </c>
      <c r="V766" s="6" t="str">
        <f>IF(AND($A766&lt;&gt;"",$O766=1,$L766="Débit",N($Q766)&gt;0,$A766&gt;=Visualisation!$B$1,$A766&lt;Visualisation!$D$1),MAX($V$1:V765)+1,"")</f>
        <v/>
      </c>
    </row>
    <row r="767" spans="1:22" x14ac:dyDescent="0.25">
      <c r="A767" s="9">
        <v>46077</v>
      </c>
      <c r="B767" s="4" t="s">
        <v>69</v>
      </c>
      <c r="C767" s="4" t="s">
        <v>70</v>
      </c>
      <c r="D767" s="4" t="s">
        <v>71</v>
      </c>
      <c r="E767" s="10">
        <v>12.29</v>
      </c>
      <c r="G767" s="4" t="s">
        <v>72</v>
      </c>
      <c r="H767" s="4"/>
      <c r="I767" s="4"/>
      <c r="K767" s="11">
        <f>IF($E767="","",ROUND($E767*IF(ISNA(MATCH($C767,'Paramètres'!$D:$D,0)),1,IF(INDEX('Paramètres'!$J:$J,MATCH($C767,'Paramètres'!$D:$D,0))="",1,INDEX('Paramètres'!$J:$J,MATCH($C767,'Paramètres'!$D:$D,0)))),2))</f>
        <v>12.29</v>
      </c>
      <c r="L767" s="6" t="str">
        <f>IF($D767="","",IF($F767&lt;&gt;"",$F767,IF(ISNA(MATCH($D767,'Paramètres'!$M:$M,0)),"⚠ Type inconnu",IFERROR(INDEX('Paramètres'!$P:$P,MATCH($D767,'Paramètres'!$M:$M,0))&amp;"",""))))</f>
        <v>Débit</v>
      </c>
      <c r="M767" s="6" t="str">
        <f>IF($D767="","",IF(ISNA(MATCH($D767,'Paramètres'!$M:$M,0)),"⚠ Type inconnu",IF($L767="Crédit","",IFERROR(INDEX('Paramètres'!$O:$O,MATCH($D767,'Paramètres'!$M:$M,0))&amp;"",""))))</f>
        <v>Dépense Courante</v>
      </c>
      <c r="N767" s="6" t="str">
        <f>IF($D767="","",IFERROR(INDEX('Paramètres'!$Q:$Q,MATCH($D767,'Paramètres'!$M:$M,0))&amp;"",""))</f>
        <v>Alimentation</v>
      </c>
      <c r="O767" s="6">
        <f>IF($A767="","",IF(OR($J767&lt;&gt;"x",$A767&lt;=FinReleve),1,0))</f>
        <v>1</v>
      </c>
      <c r="P767" s="6">
        <f>IF($D767="","",IF(AND($L767="Crédit",OR(IFERROR(INDEX('Paramètres'!$O:$O,MATCH($D767,'Paramètres'!$M:$M,0))&amp;"","")&lt;&gt;"",ISNUMBER(SEARCH("remboursement",IFERROR(INDEX('Paramètres'!$N:$N,MATCH($D767,'Paramètres'!$M:$M,0))&amp;"",""))))),1,0))</f>
        <v>0</v>
      </c>
      <c r="Q767" s="6">
        <f>IF($K767="","",IF(ISNUMBER(SEARCH("transfert-interne",IFERROR(INDEX('Paramètres'!$N:$N,MATCH($D767,'Paramètres'!$M:$M,0))&amp;"",""))),0,IF($L767="Débit",$K767,IF($P767=1,-$K767,0))))</f>
        <v>12.29</v>
      </c>
      <c r="R767" s="6">
        <f>IF($K767="","",IF($L767="Crédit",$K767,-$K767))</f>
        <v>-12.29</v>
      </c>
      <c r="S767" s="6" t="str">
        <f>IF($C767="","",IFERROR(INDEX('Paramètres'!$H:$H,MATCH($C767,'Paramètres'!$D:$D,0))&amp;"",""))</f>
        <v/>
      </c>
      <c r="T767" s="6">
        <f>IF($K767="","",IF($S767="",0,IF(ISNUMBER(SEARCH("apport-exterieur",IFERROR(INDEX('Paramètres'!$N:$N,MATCH($D767,'Paramètres'!$M:$M,0))&amp;"",""))),0,IF(OR(IFERROR(INDEX('Paramètres'!$I:$I,MATCH($C767,'Paramètres'!$D:$D,0))&amp;"","")="Les deux",IFERROR(INDEX('Paramètres'!$I:$I,MATCH($C767,'Paramètres'!$D:$D,0))&amp;"","")=IF($P767=1,"Débit",$L767)),-IF($P767=1,-$K767,$K767),0))))</f>
        <v>0</v>
      </c>
      <c r="U767" s="6">
        <f>IF($K767="","",IF(ISNUMBER(SEARCH("sortie-epargne",IFERROR(INDEX('Paramètres'!$N:$N,MATCH($D767,'Paramètres'!$M:$M,0))&amp;"",""))),$K767,0))</f>
        <v>0</v>
      </c>
      <c r="V767" s="6" t="str">
        <f>IF(AND($A767&lt;&gt;"",$O767=1,$L767="Débit",N($Q767)&gt;0,$A767&gt;=Visualisation!$B$1,$A767&lt;Visualisation!$D$1),MAX($V$1:V766)+1,"")</f>
        <v/>
      </c>
    </row>
    <row r="768" spans="1:22" x14ac:dyDescent="0.25">
      <c r="A768" s="9">
        <v>46077</v>
      </c>
      <c r="B768" s="4" t="s">
        <v>119</v>
      </c>
      <c r="C768" s="4" t="s">
        <v>126</v>
      </c>
      <c r="D768" s="4" t="s">
        <v>119</v>
      </c>
      <c r="E768" s="10">
        <v>109.12</v>
      </c>
      <c r="G768" s="4" t="s">
        <v>146</v>
      </c>
      <c r="H768" s="4"/>
      <c r="I768" s="4" t="s">
        <v>93</v>
      </c>
      <c r="K768" s="11">
        <f>IF($E768="","",ROUND($E768*IF(ISNA(MATCH($C768,'Paramètres'!$D:$D,0)),1,IF(INDEX('Paramètres'!$J:$J,MATCH($C768,'Paramètres'!$D:$D,0))="",1,INDEX('Paramètres'!$J:$J,MATCH($C768,'Paramètres'!$D:$D,0)))),2))</f>
        <v>54.56</v>
      </c>
      <c r="L768" s="6" t="str">
        <f>IF($D768="","",IF($F768&lt;&gt;"",$F768,IF(ISNA(MATCH($D768,'Paramètres'!$M:$M,0)),"⚠ Type inconnu",IFERROR(INDEX('Paramètres'!$P:$P,MATCH($D768,'Paramètres'!$M:$M,0))&amp;"",""))))</f>
        <v>Débit</v>
      </c>
      <c r="M768" s="6" t="str">
        <f>IF($D768="","",IF(ISNA(MATCH($D768,'Paramètres'!$M:$M,0)),"⚠ Type inconnu",IF($L768="Crédit","",IFERROR(INDEX('Paramètres'!$O:$O,MATCH($D768,'Paramètres'!$M:$M,0))&amp;"",""))))</f>
        <v>Dépense Occasionnelle</v>
      </c>
      <c r="N768" s="6" t="str">
        <f>IF($D768="","",IFERROR(INDEX('Paramètres'!$Q:$Q,MATCH($D768,'Paramètres'!$M:$M,0))&amp;"",""))</f>
        <v>Alimentation</v>
      </c>
      <c r="O768" s="6">
        <f>IF($A768="","",IF(OR($J768&lt;&gt;"x",$A768&lt;=FinReleve),1,0))</f>
        <v>1</v>
      </c>
      <c r="P768" s="6">
        <f>IF($D768="","",IF(AND($L768="Crédit",OR(IFERROR(INDEX('Paramètres'!$O:$O,MATCH($D768,'Paramètres'!$M:$M,0))&amp;"","")&lt;&gt;"",ISNUMBER(SEARCH("remboursement",IFERROR(INDEX('Paramètres'!$N:$N,MATCH($D768,'Paramètres'!$M:$M,0))&amp;"",""))))),1,0))</f>
        <v>0</v>
      </c>
      <c r="Q768" s="6">
        <f>IF($K768="","",IF(ISNUMBER(SEARCH("transfert-interne",IFERROR(INDEX('Paramètres'!$N:$N,MATCH($D768,'Paramètres'!$M:$M,0))&amp;"",""))),0,IF($L768="Débit",$K768,IF($P768=1,-$K768,0))))</f>
        <v>54.56</v>
      </c>
      <c r="R768" s="6">
        <f>IF($K768="","",IF($L768="Crédit",$K768,-$K768))</f>
        <v>-54.56</v>
      </c>
      <c r="S768" s="6" t="str">
        <f>IF($C768="","",IFERROR(INDEX('Paramètres'!$H:$H,MATCH($C768,'Paramètres'!$D:$D,0))&amp;"",""))</f>
        <v>Banque A - Courant</v>
      </c>
      <c r="T768" s="6">
        <f>IF($K768="","",IF($S768="",0,IF(ISNUMBER(SEARCH("apport-exterieur",IFERROR(INDEX('Paramètres'!$N:$N,MATCH($D768,'Paramètres'!$M:$M,0))&amp;"",""))),0,IF(OR(IFERROR(INDEX('Paramètres'!$I:$I,MATCH($C768,'Paramètres'!$D:$D,0))&amp;"","")="Les deux",IFERROR(INDEX('Paramètres'!$I:$I,MATCH($C768,'Paramètres'!$D:$D,0))&amp;"","")=IF($P768=1,"Débit",$L768)),-IF($P768=1,-$K768,$K768),0))))</f>
        <v>-54.56</v>
      </c>
      <c r="U768" s="6">
        <f>IF($K768="","",IF(ISNUMBER(SEARCH("sortie-epargne",IFERROR(INDEX('Paramètres'!$N:$N,MATCH($D768,'Paramètres'!$M:$M,0))&amp;"",""))),$K768,0))</f>
        <v>0</v>
      </c>
      <c r="V768" s="6" t="str">
        <f>IF(AND($A768&lt;&gt;"",$O768=1,$L768="Débit",N($Q768)&gt;0,$A768&gt;=Visualisation!$B$1,$A768&lt;Visualisation!$D$1),MAX($V$1:V767)+1,"")</f>
        <v/>
      </c>
    </row>
    <row r="769" spans="1:22" x14ac:dyDescent="0.25">
      <c r="A769" s="9">
        <v>46078</v>
      </c>
      <c r="B769" s="4" t="s">
        <v>76</v>
      </c>
      <c r="C769" s="4" t="s">
        <v>60</v>
      </c>
      <c r="D769" s="4" t="s">
        <v>77</v>
      </c>
      <c r="E769" s="10">
        <v>33.04</v>
      </c>
      <c r="G769" s="4" t="s">
        <v>102</v>
      </c>
      <c r="H769" s="4"/>
      <c r="I769" s="4"/>
      <c r="K769" s="11">
        <f>IF($E769="","",ROUND($E769*IF(ISNA(MATCH($C769,'Paramètres'!$D:$D,0)),1,IF(INDEX('Paramètres'!$J:$J,MATCH($C769,'Paramètres'!$D:$D,0))="",1,INDEX('Paramètres'!$J:$J,MATCH($C769,'Paramètres'!$D:$D,0)))),2))</f>
        <v>16.52</v>
      </c>
      <c r="L769" s="6" t="str">
        <f>IF($D769="","",IF($F769&lt;&gt;"",$F769,IF(ISNA(MATCH($D769,'Paramètres'!$M:$M,0)),"⚠ Type inconnu",IFERROR(INDEX('Paramètres'!$P:$P,MATCH($D769,'Paramètres'!$M:$M,0))&amp;"",""))))</f>
        <v>Débit</v>
      </c>
      <c r="M769" s="6" t="str">
        <f>IF($D769="","",IF(ISNA(MATCH($D769,'Paramètres'!$M:$M,0)),"⚠ Type inconnu",IF($L769="Crédit","",IFERROR(INDEX('Paramètres'!$O:$O,MATCH($D769,'Paramètres'!$M:$M,0))&amp;"",""))))</f>
        <v>Dépense Courante</v>
      </c>
      <c r="N769" s="6" t="str">
        <f>IF($D769="","",IFERROR(INDEX('Paramètres'!$Q:$Q,MATCH($D769,'Paramètres'!$M:$M,0))&amp;"",""))</f>
        <v>Alimentation</v>
      </c>
      <c r="O769" s="6">
        <f>IF($A769="","",IF(OR($J769&lt;&gt;"x",$A769&lt;=FinReleve),1,0))</f>
        <v>1</v>
      </c>
      <c r="P769" s="6">
        <f>IF($D769="","",IF(AND($L769="Crédit",OR(IFERROR(INDEX('Paramètres'!$O:$O,MATCH($D769,'Paramètres'!$M:$M,0))&amp;"","")&lt;&gt;"",ISNUMBER(SEARCH("remboursement",IFERROR(INDEX('Paramètres'!$N:$N,MATCH($D769,'Paramètres'!$M:$M,0))&amp;"",""))))),1,0))</f>
        <v>0</v>
      </c>
      <c r="Q769" s="6">
        <f>IF($K769="","",IF(ISNUMBER(SEARCH("transfert-interne",IFERROR(INDEX('Paramètres'!$N:$N,MATCH($D769,'Paramètres'!$M:$M,0))&amp;"",""))),0,IF($L769="Débit",$K769,IF($P769=1,-$K769,0))))</f>
        <v>16.52</v>
      </c>
      <c r="R769" s="6">
        <f>IF($K769="","",IF($L769="Crédit",$K769,-$K769))</f>
        <v>-16.52</v>
      </c>
      <c r="S769" s="6" t="str">
        <f>IF($C769="","",IFERROR(INDEX('Paramètres'!$H:$H,MATCH($C769,'Paramètres'!$D:$D,0))&amp;"",""))</f>
        <v>Banque A - Courant</v>
      </c>
      <c r="T769" s="6">
        <f>IF($K769="","",IF($S769="",0,IF(ISNUMBER(SEARCH("apport-exterieur",IFERROR(INDEX('Paramètres'!$N:$N,MATCH($D769,'Paramètres'!$M:$M,0))&amp;"",""))),0,IF(OR(IFERROR(INDEX('Paramètres'!$I:$I,MATCH($C769,'Paramètres'!$D:$D,0))&amp;"","")="Les deux",IFERROR(INDEX('Paramètres'!$I:$I,MATCH($C769,'Paramètres'!$D:$D,0))&amp;"","")=IF($P769=1,"Débit",$L769)),-IF($P769=1,-$K769,$K769),0))))</f>
        <v>-16.52</v>
      </c>
      <c r="U769" s="6">
        <f>IF($K769="","",IF(ISNUMBER(SEARCH("sortie-epargne",IFERROR(INDEX('Paramètres'!$N:$N,MATCH($D769,'Paramètres'!$M:$M,0))&amp;"",""))),$K769,0))</f>
        <v>0</v>
      </c>
      <c r="V769" s="6" t="str">
        <f>IF(AND($A769&lt;&gt;"",$O769=1,$L769="Débit",N($Q769)&gt;0,$A769&gt;=Visualisation!$B$1,$A769&lt;Visualisation!$D$1),MAX($V$1:V768)+1,"")</f>
        <v/>
      </c>
    </row>
    <row r="770" spans="1:22" x14ac:dyDescent="0.25">
      <c r="A770" s="9">
        <v>46078</v>
      </c>
      <c r="B770" s="4" t="s">
        <v>76</v>
      </c>
      <c r="C770" s="4" t="s">
        <v>60</v>
      </c>
      <c r="D770" s="4" t="s">
        <v>77</v>
      </c>
      <c r="E770" s="10">
        <v>135.62</v>
      </c>
      <c r="G770" s="4" t="s">
        <v>95</v>
      </c>
      <c r="H770" s="4"/>
      <c r="I770" s="4" t="s">
        <v>93</v>
      </c>
      <c r="K770" s="11">
        <f>IF($E770="","",ROUND($E770*IF(ISNA(MATCH($C770,'Paramètres'!$D:$D,0)),1,IF(INDEX('Paramètres'!$J:$J,MATCH($C770,'Paramètres'!$D:$D,0))="",1,INDEX('Paramètres'!$J:$J,MATCH($C770,'Paramètres'!$D:$D,0)))),2))</f>
        <v>67.81</v>
      </c>
      <c r="L770" s="6" t="str">
        <f>IF($D770="","",IF($F770&lt;&gt;"",$F770,IF(ISNA(MATCH($D770,'Paramètres'!$M:$M,0)),"⚠ Type inconnu",IFERROR(INDEX('Paramètres'!$P:$P,MATCH($D770,'Paramètres'!$M:$M,0))&amp;"",""))))</f>
        <v>Débit</v>
      </c>
      <c r="M770" s="6" t="str">
        <f>IF($D770="","",IF(ISNA(MATCH($D770,'Paramètres'!$M:$M,0)),"⚠ Type inconnu",IF($L770="Crédit","",IFERROR(INDEX('Paramètres'!$O:$O,MATCH($D770,'Paramètres'!$M:$M,0))&amp;"",""))))</f>
        <v>Dépense Courante</v>
      </c>
      <c r="N770" s="6" t="str">
        <f>IF($D770="","",IFERROR(INDEX('Paramètres'!$Q:$Q,MATCH($D770,'Paramètres'!$M:$M,0))&amp;"",""))</f>
        <v>Alimentation</v>
      </c>
      <c r="O770" s="6">
        <f>IF($A770="","",IF(OR($J770&lt;&gt;"x",$A770&lt;=FinReleve),1,0))</f>
        <v>1</v>
      </c>
      <c r="P770" s="6">
        <f>IF($D770="","",IF(AND($L770="Crédit",OR(IFERROR(INDEX('Paramètres'!$O:$O,MATCH($D770,'Paramètres'!$M:$M,0))&amp;"","")&lt;&gt;"",ISNUMBER(SEARCH("remboursement",IFERROR(INDEX('Paramètres'!$N:$N,MATCH($D770,'Paramètres'!$M:$M,0))&amp;"",""))))),1,0))</f>
        <v>0</v>
      </c>
      <c r="Q770" s="6">
        <f>IF($K770="","",IF(ISNUMBER(SEARCH("transfert-interne",IFERROR(INDEX('Paramètres'!$N:$N,MATCH($D770,'Paramètres'!$M:$M,0))&amp;"",""))),0,IF($L770="Débit",$K770,IF($P770=1,-$K770,0))))</f>
        <v>67.81</v>
      </c>
      <c r="R770" s="6">
        <f>IF($K770="","",IF($L770="Crédit",$K770,-$K770))</f>
        <v>-67.81</v>
      </c>
      <c r="S770" s="6" t="str">
        <f>IF($C770="","",IFERROR(INDEX('Paramètres'!$H:$H,MATCH($C770,'Paramètres'!$D:$D,0))&amp;"",""))</f>
        <v>Banque A - Courant</v>
      </c>
      <c r="T770" s="6">
        <f>IF($K770="","",IF($S770="",0,IF(ISNUMBER(SEARCH("apport-exterieur",IFERROR(INDEX('Paramètres'!$N:$N,MATCH($D770,'Paramètres'!$M:$M,0))&amp;"",""))),0,IF(OR(IFERROR(INDEX('Paramètres'!$I:$I,MATCH($C770,'Paramètres'!$D:$D,0))&amp;"","")="Les deux",IFERROR(INDEX('Paramètres'!$I:$I,MATCH($C770,'Paramètres'!$D:$D,0))&amp;"","")=IF($P770=1,"Débit",$L770)),-IF($P770=1,-$K770,$K770),0))))</f>
        <v>-67.81</v>
      </c>
      <c r="U770" s="6">
        <f>IF($K770="","",IF(ISNUMBER(SEARCH("sortie-epargne",IFERROR(INDEX('Paramètres'!$N:$N,MATCH($D770,'Paramètres'!$M:$M,0))&amp;"",""))),$K770,0))</f>
        <v>0</v>
      </c>
      <c r="V770" s="6" t="str">
        <f>IF(AND($A770&lt;&gt;"",$O770=1,$L770="Débit",N($Q770)&gt;0,$A770&gt;=Visualisation!$B$1,$A770&lt;Visualisation!$D$1),MAX($V$1:V769)+1,"")</f>
        <v/>
      </c>
    </row>
    <row r="771" spans="1:22" x14ac:dyDescent="0.25">
      <c r="A771" s="9">
        <v>46078</v>
      </c>
      <c r="B771" s="4" t="s">
        <v>76</v>
      </c>
      <c r="C771" s="4" t="s">
        <v>60</v>
      </c>
      <c r="D771" s="4" t="s">
        <v>77</v>
      </c>
      <c r="E771" s="10">
        <v>140.58</v>
      </c>
      <c r="G771" s="4" t="s">
        <v>95</v>
      </c>
      <c r="H771" s="4"/>
      <c r="I771" s="4" t="s">
        <v>93</v>
      </c>
      <c r="K771" s="11">
        <f>IF($E771="","",ROUND($E771*IF(ISNA(MATCH($C771,'Paramètres'!$D:$D,0)),1,IF(INDEX('Paramètres'!$J:$J,MATCH($C771,'Paramètres'!$D:$D,0))="",1,INDEX('Paramètres'!$J:$J,MATCH($C771,'Paramètres'!$D:$D,0)))),2))</f>
        <v>70.29</v>
      </c>
      <c r="L771" s="6" t="str">
        <f>IF($D771="","",IF($F771&lt;&gt;"",$F771,IF(ISNA(MATCH($D771,'Paramètres'!$M:$M,0)),"⚠ Type inconnu",IFERROR(INDEX('Paramètres'!$P:$P,MATCH($D771,'Paramètres'!$M:$M,0))&amp;"",""))))</f>
        <v>Débit</v>
      </c>
      <c r="M771" s="6" t="str">
        <f>IF($D771="","",IF(ISNA(MATCH($D771,'Paramètres'!$M:$M,0)),"⚠ Type inconnu",IF($L771="Crédit","",IFERROR(INDEX('Paramètres'!$O:$O,MATCH($D771,'Paramètres'!$M:$M,0))&amp;"",""))))</f>
        <v>Dépense Courante</v>
      </c>
      <c r="N771" s="6" t="str">
        <f>IF($D771="","",IFERROR(INDEX('Paramètres'!$Q:$Q,MATCH($D771,'Paramètres'!$M:$M,0))&amp;"",""))</f>
        <v>Alimentation</v>
      </c>
      <c r="O771" s="6">
        <f>IF($A771="","",IF(OR($J771&lt;&gt;"x",$A771&lt;=FinReleve),1,0))</f>
        <v>1</v>
      </c>
      <c r="P771" s="6">
        <f>IF($D771="","",IF(AND($L771="Crédit",OR(IFERROR(INDEX('Paramètres'!$O:$O,MATCH($D771,'Paramètres'!$M:$M,0))&amp;"","")&lt;&gt;"",ISNUMBER(SEARCH("remboursement",IFERROR(INDEX('Paramètres'!$N:$N,MATCH($D771,'Paramètres'!$M:$M,0))&amp;"",""))))),1,0))</f>
        <v>0</v>
      </c>
      <c r="Q771" s="6">
        <f>IF($K771="","",IF(ISNUMBER(SEARCH("transfert-interne",IFERROR(INDEX('Paramètres'!$N:$N,MATCH($D771,'Paramètres'!$M:$M,0))&amp;"",""))),0,IF($L771="Débit",$K771,IF($P771=1,-$K771,0))))</f>
        <v>70.29</v>
      </c>
      <c r="R771" s="6">
        <f>IF($K771="","",IF($L771="Crédit",$K771,-$K771))</f>
        <v>-70.29</v>
      </c>
      <c r="S771" s="6" t="str">
        <f>IF($C771="","",IFERROR(INDEX('Paramètres'!$H:$H,MATCH($C771,'Paramètres'!$D:$D,0))&amp;"",""))</f>
        <v>Banque A - Courant</v>
      </c>
      <c r="T771" s="6">
        <f>IF($K771="","",IF($S771="",0,IF(ISNUMBER(SEARCH("apport-exterieur",IFERROR(INDEX('Paramètres'!$N:$N,MATCH($D771,'Paramètres'!$M:$M,0))&amp;"",""))),0,IF(OR(IFERROR(INDEX('Paramètres'!$I:$I,MATCH($C771,'Paramètres'!$D:$D,0))&amp;"","")="Les deux",IFERROR(INDEX('Paramètres'!$I:$I,MATCH($C771,'Paramètres'!$D:$D,0))&amp;"","")=IF($P771=1,"Débit",$L771)),-IF($P771=1,-$K771,$K771),0))))</f>
        <v>-70.29</v>
      </c>
      <c r="U771" s="6">
        <f>IF($K771="","",IF(ISNUMBER(SEARCH("sortie-epargne",IFERROR(INDEX('Paramètres'!$N:$N,MATCH($D771,'Paramètres'!$M:$M,0))&amp;"",""))),$K771,0))</f>
        <v>0</v>
      </c>
      <c r="V771" s="6" t="str">
        <f>IF(AND($A771&lt;&gt;"",$O771=1,$L771="Débit",N($Q771)&gt;0,$A771&gt;=Visualisation!$B$1,$A771&lt;Visualisation!$D$1),MAX($V$1:V770)+1,"")</f>
        <v/>
      </c>
    </row>
    <row r="772" spans="1:22" x14ac:dyDescent="0.25">
      <c r="A772" s="9">
        <v>46078</v>
      </c>
      <c r="B772" s="4" t="s">
        <v>69</v>
      </c>
      <c r="C772" s="4" t="s">
        <v>70</v>
      </c>
      <c r="D772" s="4" t="s">
        <v>71</v>
      </c>
      <c r="E772" s="10">
        <v>8.32</v>
      </c>
      <c r="G772" s="4" t="s">
        <v>72</v>
      </c>
      <c r="H772" s="4"/>
      <c r="I772" s="4" t="s">
        <v>73</v>
      </c>
      <c r="K772" s="11">
        <f>IF($E772="","",ROUND($E772*IF(ISNA(MATCH($C772,'Paramètres'!$D:$D,0)),1,IF(INDEX('Paramètres'!$J:$J,MATCH($C772,'Paramètres'!$D:$D,0))="",1,INDEX('Paramètres'!$J:$J,MATCH($C772,'Paramètres'!$D:$D,0)))),2))</f>
        <v>8.32</v>
      </c>
      <c r="L772" s="6" t="str">
        <f>IF($D772="","",IF($F772&lt;&gt;"",$F772,IF(ISNA(MATCH($D772,'Paramètres'!$M:$M,0)),"⚠ Type inconnu",IFERROR(INDEX('Paramètres'!$P:$P,MATCH($D772,'Paramètres'!$M:$M,0))&amp;"",""))))</f>
        <v>Débit</v>
      </c>
      <c r="M772" s="6" t="str">
        <f>IF($D772="","",IF(ISNA(MATCH($D772,'Paramètres'!$M:$M,0)),"⚠ Type inconnu",IF($L772="Crédit","",IFERROR(INDEX('Paramètres'!$O:$O,MATCH($D772,'Paramètres'!$M:$M,0))&amp;"",""))))</f>
        <v>Dépense Courante</v>
      </c>
      <c r="N772" s="6" t="str">
        <f>IF($D772="","",IFERROR(INDEX('Paramètres'!$Q:$Q,MATCH($D772,'Paramètres'!$M:$M,0))&amp;"",""))</f>
        <v>Alimentation</v>
      </c>
      <c r="O772" s="6">
        <f>IF($A772="","",IF(OR($J772&lt;&gt;"x",$A772&lt;=FinReleve),1,0))</f>
        <v>1</v>
      </c>
      <c r="P772" s="6">
        <f>IF($D772="","",IF(AND($L772="Crédit",OR(IFERROR(INDEX('Paramètres'!$O:$O,MATCH($D772,'Paramètres'!$M:$M,0))&amp;"","")&lt;&gt;"",ISNUMBER(SEARCH("remboursement",IFERROR(INDEX('Paramètres'!$N:$N,MATCH($D772,'Paramètres'!$M:$M,0))&amp;"",""))))),1,0))</f>
        <v>0</v>
      </c>
      <c r="Q772" s="6">
        <f>IF($K772="","",IF(ISNUMBER(SEARCH("transfert-interne",IFERROR(INDEX('Paramètres'!$N:$N,MATCH($D772,'Paramètres'!$M:$M,0))&amp;"",""))),0,IF($L772="Débit",$K772,IF($P772=1,-$K772,0))))</f>
        <v>8.32</v>
      </c>
      <c r="R772" s="6">
        <f>IF($K772="","",IF($L772="Crédit",$K772,-$K772))</f>
        <v>-8.32</v>
      </c>
      <c r="S772" s="6" t="str">
        <f>IF($C772="","",IFERROR(INDEX('Paramètres'!$H:$H,MATCH($C772,'Paramètres'!$D:$D,0))&amp;"",""))</f>
        <v/>
      </c>
      <c r="T772" s="6">
        <f>IF($K772="","",IF($S772="",0,IF(ISNUMBER(SEARCH("apport-exterieur",IFERROR(INDEX('Paramètres'!$N:$N,MATCH($D772,'Paramètres'!$M:$M,0))&amp;"",""))),0,IF(OR(IFERROR(INDEX('Paramètres'!$I:$I,MATCH($C772,'Paramètres'!$D:$D,0))&amp;"","")="Les deux",IFERROR(INDEX('Paramètres'!$I:$I,MATCH($C772,'Paramètres'!$D:$D,0))&amp;"","")=IF($P772=1,"Débit",$L772)),-IF($P772=1,-$K772,$K772),0))))</f>
        <v>0</v>
      </c>
      <c r="U772" s="6">
        <f>IF($K772="","",IF(ISNUMBER(SEARCH("sortie-epargne",IFERROR(INDEX('Paramètres'!$N:$N,MATCH($D772,'Paramètres'!$M:$M,0))&amp;"",""))),$K772,0))</f>
        <v>0</v>
      </c>
      <c r="V772" s="6" t="str">
        <f>IF(AND($A772&lt;&gt;"",$O772=1,$L772="Débit",N($Q772)&gt;0,$A772&gt;=Visualisation!$B$1,$A772&lt;Visualisation!$D$1),MAX($V$1:V771)+1,"")</f>
        <v/>
      </c>
    </row>
    <row r="773" spans="1:22" x14ac:dyDescent="0.25">
      <c r="A773" s="9">
        <v>46079</v>
      </c>
      <c r="B773" s="4" t="s">
        <v>76</v>
      </c>
      <c r="C773" s="4" t="s">
        <v>67</v>
      </c>
      <c r="D773" s="4" t="s">
        <v>77</v>
      </c>
      <c r="E773" s="10">
        <v>46.6</v>
      </c>
      <c r="G773" s="4" t="s">
        <v>78</v>
      </c>
      <c r="H773" s="4"/>
      <c r="I773" s="4" t="s">
        <v>79</v>
      </c>
      <c r="K773" s="11">
        <f>IF($E773="","",ROUND($E773*IF(ISNA(MATCH($C773,'Paramètres'!$D:$D,0)),1,IF(INDEX('Paramètres'!$J:$J,MATCH($C773,'Paramètres'!$D:$D,0))="",1,INDEX('Paramètres'!$J:$J,MATCH($C773,'Paramètres'!$D:$D,0)))),2))</f>
        <v>23.3</v>
      </c>
      <c r="L773" s="6" t="str">
        <f>IF($D773="","",IF($F773&lt;&gt;"",$F773,IF(ISNA(MATCH($D773,'Paramètres'!$M:$M,0)),"⚠ Type inconnu",IFERROR(INDEX('Paramètres'!$P:$P,MATCH($D773,'Paramètres'!$M:$M,0))&amp;"",""))))</f>
        <v>Débit</v>
      </c>
      <c r="M773" s="6" t="str">
        <f>IF($D773="","",IF(ISNA(MATCH($D773,'Paramètres'!$M:$M,0)),"⚠ Type inconnu",IF($L773="Crédit","",IFERROR(INDEX('Paramètres'!$O:$O,MATCH($D773,'Paramètres'!$M:$M,0))&amp;"",""))))</f>
        <v>Dépense Courante</v>
      </c>
      <c r="N773" s="6" t="str">
        <f>IF($D773="","",IFERROR(INDEX('Paramètres'!$Q:$Q,MATCH($D773,'Paramètres'!$M:$M,0))&amp;"",""))</f>
        <v>Alimentation</v>
      </c>
      <c r="O773" s="6">
        <f>IF($A773="","",IF(OR($J773&lt;&gt;"x",$A773&lt;=FinReleve),1,0))</f>
        <v>1</v>
      </c>
      <c r="P773" s="6">
        <f>IF($D773="","",IF(AND($L773="Crédit",OR(IFERROR(INDEX('Paramètres'!$O:$O,MATCH($D773,'Paramètres'!$M:$M,0))&amp;"","")&lt;&gt;"",ISNUMBER(SEARCH("remboursement",IFERROR(INDEX('Paramètres'!$N:$N,MATCH($D773,'Paramètres'!$M:$M,0))&amp;"",""))))),1,0))</f>
        <v>0</v>
      </c>
      <c r="Q773" s="6">
        <f>IF($K773="","",IF(ISNUMBER(SEARCH("transfert-interne",IFERROR(INDEX('Paramètres'!$N:$N,MATCH($D773,'Paramètres'!$M:$M,0))&amp;"",""))),0,IF($L773="Débit",$K773,IF($P773=1,-$K773,0))))</f>
        <v>23.3</v>
      </c>
      <c r="R773" s="6">
        <f>IF($K773="","",IF($L773="Crédit",$K773,-$K773))</f>
        <v>-23.3</v>
      </c>
      <c r="S773" s="6" t="str">
        <f>IF($C773="","",IFERROR(INDEX('Paramètres'!$H:$H,MATCH($C773,'Paramètres'!$D:$D,0))&amp;"",""))</f>
        <v>Banque A - Courant</v>
      </c>
      <c r="T773" s="6">
        <f>IF($K773="","",IF($S773="",0,IF(ISNUMBER(SEARCH("apport-exterieur",IFERROR(INDEX('Paramètres'!$N:$N,MATCH($D773,'Paramètres'!$M:$M,0))&amp;"",""))),0,IF(OR(IFERROR(INDEX('Paramètres'!$I:$I,MATCH($C773,'Paramètres'!$D:$D,0))&amp;"","")="Les deux",IFERROR(INDEX('Paramètres'!$I:$I,MATCH($C773,'Paramètres'!$D:$D,0))&amp;"","")=IF($P773=1,"Débit",$L773)),-IF($P773=1,-$K773,$K773),0))))</f>
        <v>0</v>
      </c>
      <c r="U773" s="6">
        <f>IF($K773="","",IF(ISNUMBER(SEARCH("sortie-epargne",IFERROR(INDEX('Paramètres'!$N:$N,MATCH($D773,'Paramètres'!$M:$M,0))&amp;"",""))),$K773,0))</f>
        <v>0</v>
      </c>
      <c r="V773" s="6" t="str">
        <f>IF(AND($A773&lt;&gt;"",$O773=1,$L773="Débit",N($Q773)&gt;0,$A773&gt;=Visualisation!$B$1,$A773&lt;Visualisation!$D$1),MAX($V$1:V772)+1,"")</f>
        <v/>
      </c>
    </row>
    <row r="774" spans="1:22" x14ac:dyDescent="0.25">
      <c r="A774" s="9">
        <v>46079</v>
      </c>
      <c r="B774" s="4" t="s">
        <v>69</v>
      </c>
      <c r="C774" s="4" t="s">
        <v>70</v>
      </c>
      <c r="D774" s="4" t="s">
        <v>71</v>
      </c>
      <c r="E774" s="10">
        <v>12.41</v>
      </c>
      <c r="G774" s="4" t="s">
        <v>72</v>
      </c>
      <c r="H774" s="4"/>
      <c r="I774" s="4" t="s">
        <v>73</v>
      </c>
      <c r="K774" s="11">
        <f>IF($E774="","",ROUND($E774*IF(ISNA(MATCH($C774,'Paramètres'!$D:$D,0)),1,IF(INDEX('Paramètres'!$J:$J,MATCH($C774,'Paramètres'!$D:$D,0))="",1,INDEX('Paramètres'!$J:$J,MATCH($C774,'Paramètres'!$D:$D,0)))),2))</f>
        <v>12.41</v>
      </c>
      <c r="L774" s="6" t="str">
        <f>IF($D774="","",IF($F774&lt;&gt;"",$F774,IF(ISNA(MATCH($D774,'Paramètres'!$M:$M,0)),"⚠ Type inconnu",IFERROR(INDEX('Paramètres'!$P:$P,MATCH($D774,'Paramètres'!$M:$M,0))&amp;"",""))))</f>
        <v>Débit</v>
      </c>
      <c r="M774" s="6" t="str">
        <f>IF($D774="","",IF(ISNA(MATCH($D774,'Paramètres'!$M:$M,0)),"⚠ Type inconnu",IF($L774="Crédit","",IFERROR(INDEX('Paramètres'!$O:$O,MATCH($D774,'Paramètres'!$M:$M,0))&amp;"",""))))</f>
        <v>Dépense Courante</v>
      </c>
      <c r="N774" s="6" t="str">
        <f>IF($D774="","",IFERROR(INDEX('Paramètres'!$Q:$Q,MATCH($D774,'Paramètres'!$M:$M,0))&amp;"",""))</f>
        <v>Alimentation</v>
      </c>
      <c r="O774" s="6">
        <f>IF($A774="","",IF(OR($J774&lt;&gt;"x",$A774&lt;=FinReleve),1,0))</f>
        <v>1</v>
      </c>
      <c r="P774" s="6">
        <f>IF($D774="","",IF(AND($L774="Crédit",OR(IFERROR(INDEX('Paramètres'!$O:$O,MATCH($D774,'Paramètres'!$M:$M,0))&amp;"","")&lt;&gt;"",ISNUMBER(SEARCH("remboursement",IFERROR(INDEX('Paramètres'!$N:$N,MATCH($D774,'Paramètres'!$M:$M,0))&amp;"",""))))),1,0))</f>
        <v>0</v>
      </c>
      <c r="Q774" s="6">
        <f>IF($K774="","",IF(ISNUMBER(SEARCH("transfert-interne",IFERROR(INDEX('Paramètres'!$N:$N,MATCH($D774,'Paramètres'!$M:$M,0))&amp;"",""))),0,IF($L774="Débit",$K774,IF($P774=1,-$K774,0))))</f>
        <v>12.41</v>
      </c>
      <c r="R774" s="6">
        <f>IF($K774="","",IF($L774="Crédit",$K774,-$K774))</f>
        <v>-12.41</v>
      </c>
      <c r="S774" s="6" t="str">
        <f>IF($C774="","",IFERROR(INDEX('Paramètres'!$H:$H,MATCH($C774,'Paramètres'!$D:$D,0))&amp;"",""))</f>
        <v/>
      </c>
      <c r="T774" s="6">
        <f>IF($K774="","",IF($S774="",0,IF(ISNUMBER(SEARCH("apport-exterieur",IFERROR(INDEX('Paramètres'!$N:$N,MATCH($D774,'Paramètres'!$M:$M,0))&amp;"",""))),0,IF(OR(IFERROR(INDEX('Paramètres'!$I:$I,MATCH($C774,'Paramètres'!$D:$D,0))&amp;"","")="Les deux",IFERROR(INDEX('Paramètres'!$I:$I,MATCH($C774,'Paramètres'!$D:$D,0))&amp;"","")=IF($P774=1,"Débit",$L774)),-IF($P774=1,-$K774,$K774),0))))</f>
        <v>0</v>
      </c>
      <c r="U774" s="6">
        <f>IF($K774="","",IF(ISNUMBER(SEARCH("sortie-epargne",IFERROR(INDEX('Paramètres'!$N:$N,MATCH($D774,'Paramètres'!$M:$M,0))&amp;"",""))),$K774,0))</f>
        <v>0</v>
      </c>
      <c r="V774" s="6" t="str">
        <f>IF(AND($A774&lt;&gt;"",$O774=1,$L774="Débit",N($Q774)&gt;0,$A774&gt;=Visualisation!$B$1,$A774&lt;Visualisation!$D$1),MAX($V$1:V773)+1,"")</f>
        <v/>
      </c>
    </row>
    <row r="775" spans="1:22" x14ac:dyDescent="0.25">
      <c r="A775" s="9">
        <v>46079</v>
      </c>
      <c r="B775" s="4" t="s">
        <v>105</v>
      </c>
      <c r="C775" s="4" t="s">
        <v>75</v>
      </c>
      <c r="D775" s="4" t="s">
        <v>110</v>
      </c>
      <c r="E775" s="10">
        <v>150</v>
      </c>
      <c r="G775" s="4"/>
      <c r="H775" s="4"/>
      <c r="I775" s="4"/>
      <c r="K775" s="11">
        <f>IF($E775="","",ROUND($E775*IF(ISNA(MATCH($C775,'Paramètres'!$D:$D,0)),1,IF(INDEX('Paramètres'!$J:$J,MATCH($C775,'Paramètres'!$D:$D,0))="",1,INDEX('Paramètres'!$J:$J,MATCH($C775,'Paramètres'!$D:$D,0)))),2))</f>
        <v>150</v>
      </c>
      <c r="L775" s="6" t="str">
        <f>IF($D775="","",IF($F775&lt;&gt;"",$F775,IF(ISNA(MATCH($D775,'Paramètres'!$M:$M,0)),"⚠ Type inconnu",IFERROR(INDEX('Paramètres'!$P:$P,MATCH($D775,'Paramètres'!$M:$M,0))&amp;"",""))))</f>
        <v>Débit</v>
      </c>
      <c r="M775" s="6" t="str">
        <f>IF($D775="","",IF(ISNA(MATCH($D775,'Paramètres'!$M:$M,0)),"⚠ Type inconnu",IF($L775="Crédit","",IFERROR(INDEX('Paramètres'!$O:$O,MATCH($D775,'Paramètres'!$M:$M,0))&amp;"",""))))</f>
        <v/>
      </c>
      <c r="N775" s="6" t="str">
        <f>IF($D775="","",IFERROR(INDEX('Paramètres'!$Q:$Q,MATCH($D775,'Paramètres'!$M:$M,0))&amp;"",""))</f>
        <v>Comptes Bancaires</v>
      </c>
      <c r="O775" s="6">
        <f>IF($A775="","",IF(OR($J775&lt;&gt;"x",$A775&lt;=FinReleve),1,0))</f>
        <v>1</v>
      </c>
      <c r="P775" s="6">
        <f>IF($D775="","",IF(AND($L775="Crédit",OR(IFERROR(INDEX('Paramètres'!$O:$O,MATCH($D775,'Paramètres'!$M:$M,0))&amp;"","")&lt;&gt;"",ISNUMBER(SEARCH("remboursement",IFERROR(INDEX('Paramètres'!$N:$N,MATCH($D775,'Paramètres'!$M:$M,0))&amp;"",""))))),1,0))</f>
        <v>0</v>
      </c>
      <c r="Q775" s="6">
        <f>IF($K775="","",IF(ISNUMBER(SEARCH("transfert-interne",IFERROR(INDEX('Paramètres'!$N:$N,MATCH($D775,'Paramètres'!$M:$M,0))&amp;"",""))),0,IF($L775="Débit",$K775,IF($P775=1,-$K775,0))))</f>
        <v>0</v>
      </c>
      <c r="R775" s="6">
        <f>IF($K775="","",IF($L775="Crédit",$K775,-$K775))</f>
        <v>-150</v>
      </c>
      <c r="S775" s="6" t="str">
        <f>IF($C775="","",IFERROR(INDEX('Paramètres'!$H:$H,MATCH($C775,'Paramètres'!$D:$D,0))&amp;"",""))</f>
        <v/>
      </c>
      <c r="T775" s="6">
        <f>IF($K775="","",IF($S775="",0,IF(ISNUMBER(SEARCH("apport-exterieur",IFERROR(INDEX('Paramètres'!$N:$N,MATCH($D775,'Paramètres'!$M:$M,0))&amp;"",""))),0,IF(OR(IFERROR(INDEX('Paramètres'!$I:$I,MATCH($C775,'Paramètres'!$D:$D,0))&amp;"","")="Les deux",IFERROR(INDEX('Paramètres'!$I:$I,MATCH($C775,'Paramètres'!$D:$D,0))&amp;"","")=IF($P775=1,"Débit",$L775)),-IF($P775=1,-$K775,$K775),0))))</f>
        <v>0</v>
      </c>
      <c r="U775" s="6">
        <f>IF($K775="","",IF(ISNUMBER(SEARCH("sortie-epargne",IFERROR(INDEX('Paramètres'!$N:$N,MATCH($D775,'Paramètres'!$M:$M,0))&amp;"",""))),$K775,0))</f>
        <v>0</v>
      </c>
      <c r="V775" s="6" t="str">
        <f>IF(AND($A775&lt;&gt;"",$O775=1,$L775="Débit",N($Q775)&gt;0,$A775&gt;=Visualisation!$B$1,$A775&lt;Visualisation!$D$1),MAX($V$1:V774)+1,"")</f>
        <v/>
      </c>
    </row>
    <row r="776" spans="1:22" x14ac:dyDescent="0.25">
      <c r="A776" s="9">
        <v>46079</v>
      </c>
      <c r="B776" s="4" t="s">
        <v>105</v>
      </c>
      <c r="C776" s="4" t="s">
        <v>75</v>
      </c>
      <c r="D776" s="4" t="s">
        <v>111</v>
      </c>
      <c r="E776" s="10">
        <v>200</v>
      </c>
      <c r="G776" s="4"/>
      <c r="H776" s="4"/>
      <c r="I776" s="4"/>
      <c r="K776" s="11">
        <f>IF($E776="","",ROUND($E776*IF(ISNA(MATCH($C776,'Paramètres'!$D:$D,0)),1,IF(INDEX('Paramètres'!$J:$J,MATCH($C776,'Paramètres'!$D:$D,0))="",1,INDEX('Paramètres'!$J:$J,MATCH($C776,'Paramètres'!$D:$D,0)))),2))</f>
        <v>200</v>
      </c>
      <c r="L776" s="6" t="str">
        <f>IF($D776="","",IF($F776&lt;&gt;"",$F776,IF(ISNA(MATCH($D776,'Paramètres'!$M:$M,0)),"⚠ Type inconnu",IFERROR(INDEX('Paramètres'!$P:$P,MATCH($D776,'Paramètres'!$M:$M,0))&amp;"",""))))</f>
        <v>Débit</v>
      </c>
      <c r="M776" s="6" t="str">
        <f>IF($D776="","",IF(ISNA(MATCH($D776,'Paramètres'!$M:$M,0)),"⚠ Type inconnu",IF($L776="Crédit","",IFERROR(INDEX('Paramètres'!$O:$O,MATCH($D776,'Paramètres'!$M:$M,0))&amp;"",""))))</f>
        <v/>
      </c>
      <c r="N776" s="6" t="str">
        <f>IF($D776="","",IFERROR(INDEX('Paramètres'!$Q:$Q,MATCH($D776,'Paramètres'!$M:$M,0))&amp;"",""))</f>
        <v>Comptes Bancaires</v>
      </c>
      <c r="O776" s="6">
        <f>IF($A776="","",IF(OR($J776&lt;&gt;"x",$A776&lt;=FinReleve),1,0))</f>
        <v>1</v>
      </c>
      <c r="P776" s="6">
        <f>IF($D776="","",IF(AND($L776="Crédit",OR(IFERROR(INDEX('Paramètres'!$O:$O,MATCH($D776,'Paramètres'!$M:$M,0))&amp;"","")&lt;&gt;"",ISNUMBER(SEARCH("remboursement",IFERROR(INDEX('Paramètres'!$N:$N,MATCH($D776,'Paramètres'!$M:$M,0))&amp;"",""))))),1,0))</f>
        <v>0</v>
      </c>
      <c r="Q776" s="6">
        <f>IF($K776="","",IF(ISNUMBER(SEARCH("transfert-interne",IFERROR(INDEX('Paramètres'!$N:$N,MATCH($D776,'Paramètres'!$M:$M,0))&amp;"",""))),0,IF($L776="Débit",$K776,IF($P776=1,-$K776,0))))</f>
        <v>200</v>
      </c>
      <c r="R776" s="6">
        <f>IF($K776="","",IF($L776="Crédit",$K776,-$K776))</f>
        <v>-200</v>
      </c>
      <c r="S776" s="6" t="str">
        <f>IF($C776="","",IFERROR(INDEX('Paramètres'!$H:$H,MATCH($C776,'Paramètres'!$D:$D,0))&amp;"",""))</f>
        <v/>
      </c>
      <c r="T776" s="6">
        <f>IF($K776="","",IF($S776="",0,IF(ISNUMBER(SEARCH("apport-exterieur",IFERROR(INDEX('Paramètres'!$N:$N,MATCH($D776,'Paramètres'!$M:$M,0))&amp;"",""))),0,IF(OR(IFERROR(INDEX('Paramètres'!$I:$I,MATCH($C776,'Paramètres'!$D:$D,0))&amp;"","")="Les deux",IFERROR(INDEX('Paramètres'!$I:$I,MATCH($C776,'Paramètres'!$D:$D,0))&amp;"","")=IF($P776=1,"Débit",$L776)),-IF($P776=1,-$K776,$K776),0))))</f>
        <v>0</v>
      </c>
      <c r="U776" s="6">
        <f>IF($K776="","",IF(ISNUMBER(SEARCH("sortie-epargne",IFERROR(INDEX('Paramètres'!$N:$N,MATCH($D776,'Paramètres'!$M:$M,0))&amp;"",""))),$K776,0))</f>
        <v>0</v>
      </c>
      <c r="V776" s="6" t="str">
        <f>IF(AND($A776&lt;&gt;"",$O776=1,$L776="Débit",N($Q776)&gt;0,$A776&gt;=Visualisation!$B$1,$A776&lt;Visualisation!$D$1),MAX($V$1:V775)+1,"")</f>
        <v/>
      </c>
    </row>
    <row r="777" spans="1:22" x14ac:dyDescent="0.25">
      <c r="A777" s="9">
        <v>46079</v>
      </c>
      <c r="B777" s="4" t="s">
        <v>112</v>
      </c>
      <c r="C777" s="4" t="s">
        <v>75</v>
      </c>
      <c r="D777" s="4" t="s">
        <v>113</v>
      </c>
      <c r="E777" s="10">
        <v>120</v>
      </c>
      <c r="G777" s="4"/>
      <c r="H777" s="4"/>
      <c r="I777" s="4"/>
      <c r="K777" s="11">
        <f>IF($E777="","",ROUND($E777*IF(ISNA(MATCH($C777,'Paramètres'!$D:$D,0)),1,IF(INDEX('Paramètres'!$J:$J,MATCH($C777,'Paramètres'!$D:$D,0))="",1,INDEX('Paramètres'!$J:$J,MATCH($C777,'Paramètres'!$D:$D,0)))),2))</f>
        <v>120</v>
      </c>
      <c r="L777" s="6" t="str">
        <f>IF($D777="","",IF($F777&lt;&gt;"",$F777,IF(ISNA(MATCH($D777,'Paramètres'!$M:$M,0)),"⚠ Type inconnu",IFERROR(INDEX('Paramètres'!$P:$P,MATCH($D777,'Paramètres'!$M:$M,0))&amp;"",""))))</f>
        <v>Débit</v>
      </c>
      <c r="M777" s="6" t="str">
        <f>IF($D777="","",IF(ISNA(MATCH($D777,'Paramètres'!$M:$M,0)),"⚠ Type inconnu",IF($L777="Crédit","",IFERROR(INDEX('Paramètres'!$O:$O,MATCH($D777,'Paramètres'!$M:$M,0))&amp;"",""))))</f>
        <v/>
      </c>
      <c r="N777" s="6" t="str">
        <f>IF($D777="","",IFERROR(INDEX('Paramètres'!$Q:$Q,MATCH($D777,'Paramètres'!$M:$M,0))&amp;"",""))</f>
        <v>Comptes Bancaires</v>
      </c>
      <c r="O777" s="6">
        <f>IF($A777="","",IF(OR($J777&lt;&gt;"x",$A777&lt;=FinReleve),1,0))</f>
        <v>1</v>
      </c>
      <c r="P777" s="6">
        <f>IF($D777="","",IF(AND($L777="Crédit",OR(IFERROR(INDEX('Paramètres'!$O:$O,MATCH($D777,'Paramètres'!$M:$M,0))&amp;"","")&lt;&gt;"",ISNUMBER(SEARCH("remboursement",IFERROR(INDEX('Paramètres'!$N:$N,MATCH($D777,'Paramètres'!$M:$M,0))&amp;"",""))))),1,0))</f>
        <v>0</v>
      </c>
      <c r="Q777" s="6">
        <f>IF($K777="","",IF(ISNUMBER(SEARCH("transfert-interne",IFERROR(INDEX('Paramètres'!$N:$N,MATCH($D777,'Paramètres'!$M:$M,0))&amp;"",""))),0,IF($L777="Débit",$K777,IF($P777=1,-$K777,0))))</f>
        <v>120</v>
      </c>
      <c r="R777" s="6">
        <f>IF($K777="","",IF($L777="Crédit",$K777,-$K777))</f>
        <v>-120</v>
      </c>
      <c r="S777" s="6" t="str">
        <f>IF($C777="","",IFERROR(INDEX('Paramètres'!$H:$H,MATCH($C777,'Paramètres'!$D:$D,0))&amp;"",""))</f>
        <v/>
      </c>
      <c r="T777" s="6">
        <f>IF($K777="","",IF($S777="",0,IF(ISNUMBER(SEARCH("apport-exterieur",IFERROR(INDEX('Paramètres'!$N:$N,MATCH($D777,'Paramètres'!$M:$M,0))&amp;"",""))),0,IF(OR(IFERROR(INDEX('Paramètres'!$I:$I,MATCH($C777,'Paramètres'!$D:$D,0))&amp;"","")="Les deux",IFERROR(INDEX('Paramètres'!$I:$I,MATCH($C777,'Paramètres'!$D:$D,0))&amp;"","")=IF($P777=1,"Débit",$L777)),-IF($P777=1,-$K777,$K777),0))))</f>
        <v>0</v>
      </c>
      <c r="U777" s="6">
        <f>IF($K777="","",IF(ISNUMBER(SEARCH("sortie-epargne",IFERROR(INDEX('Paramètres'!$N:$N,MATCH($D777,'Paramètres'!$M:$M,0))&amp;"",""))),$K777,0))</f>
        <v>0</v>
      </c>
      <c r="V777" s="6" t="str">
        <f>IF(AND($A777&lt;&gt;"",$O777=1,$L777="Débit",N($Q777)&gt;0,$A777&gt;=Visualisation!$B$1,$A777&lt;Visualisation!$D$1),MAX($V$1:V776)+1,"")</f>
        <v/>
      </c>
    </row>
    <row r="778" spans="1:22" x14ac:dyDescent="0.25">
      <c r="A778" s="9">
        <v>46080</v>
      </c>
      <c r="B778" s="4" t="s">
        <v>114</v>
      </c>
      <c r="C778" s="4" t="s">
        <v>75</v>
      </c>
      <c r="D778" s="4" t="s">
        <v>115</v>
      </c>
      <c r="E778" s="10">
        <v>2926.34</v>
      </c>
      <c r="G778" s="4" t="s">
        <v>115</v>
      </c>
      <c r="H778" s="4"/>
      <c r="I778" s="4"/>
      <c r="K778" s="11">
        <f>IF($E778="","",ROUND($E778*IF(ISNA(MATCH($C778,'Paramètres'!$D:$D,0)),1,IF(INDEX('Paramètres'!$J:$J,MATCH($C778,'Paramètres'!$D:$D,0))="",1,INDEX('Paramètres'!$J:$J,MATCH($C778,'Paramètres'!$D:$D,0)))),2))</f>
        <v>2926.34</v>
      </c>
      <c r="L778" s="6" t="str">
        <f>IF($D778="","",IF($F778&lt;&gt;"",$F778,IF(ISNA(MATCH($D778,'Paramètres'!$M:$M,0)),"⚠ Type inconnu",IFERROR(INDEX('Paramètres'!$P:$P,MATCH($D778,'Paramètres'!$M:$M,0))&amp;"",""))))</f>
        <v>Crédit</v>
      </c>
      <c r="M778" s="6" t="str">
        <f>IF($D778="","",IF(ISNA(MATCH($D778,'Paramètres'!$M:$M,0)),"⚠ Type inconnu",IF($L778="Crédit","",IFERROR(INDEX('Paramètres'!$O:$O,MATCH($D778,'Paramètres'!$M:$M,0))&amp;"",""))))</f>
        <v/>
      </c>
      <c r="N778" s="6" t="str">
        <f>IF($D778="","",IFERROR(INDEX('Paramètres'!$Q:$Q,MATCH($D778,'Paramètres'!$M:$M,0))&amp;"",""))</f>
        <v/>
      </c>
      <c r="O778" s="6">
        <f>IF($A778="","",IF(OR($J778&lt;&gt;"x",$A778&lt;=FinReleve),1,0))</f>
        <v>1</v>
      </c>
      <c r="P778" s="6">
        <f>IF($D778="","",IF(AND($L778="Crédit",OR(IFERROR(INDEX('Paramètres'!$O:$O,MATCH($D778,'Paramètres'!$M:$M,0))&amp;"","")&lt;&gt;"",ISNUMBER(SEARCH("remboursement",IFERROR(INDEX('Paramètres'!$N:$N,MATCH($D778,'Paramètres'!$M:$M,0))&amp;"",""))))),1,0))</f>
        <v>0</v>
      </c>
      <c r="Q778" s="6">
        <f>IF($K778="","",IF(ISNUMBER(SEARCH("transfert-interne",IFERROR(INDEX('Paramètres'!$N:$N,MATCH($D778,'Paramètres'!$M:$M,0))&amp;"",""))),0,IF($L778="Débit",$K778,IF($P778=1,-$K778,0))))</f>
        <v>0</v>
      </c>
      <c r="R778" s="6">
        <f>IF($K778="","",IF($L778="Crédit",$K778,-$K778))</f>
        <v>2926.34</v>
      </c>
      <c r="S778" s="6" t="str">
        <f>IF($C778="","",IFERROR(INDEX('Paramètres'!$H:$H,MATCH($C778,'Paramètres'!$D:$D,0))&amp;"",""))</f>
        <v/>
      </c>
      <c r="T778" s="6">
        <f>IF($K778="","",IF($S778="",0,IF(ISNUMBER(SEARCH("apport-exterieur",IFERROR(INDEX('Paramètres'!$N:$N,MATCH($D778,'Paramètres'!$M:$M,0))&amp;"",""))),0,IF(OR(IFERROR(INDEX('Paramètres'!$I:$I,MATCH($C778,'Paramètres'!$D:$D,0))&amp;"","")="Les deux",IFERROR(INDEX('Paramètres'!$I:$I,MATCH($C778,'Paramètres'!$D:$D,0))&amp;"","")=IF($P778=1,"Débit",$L778)),-IF($P778=1,-$K778,$K778),0))))</f>
        <v>0</v>
      </c>
      <c r="U778" s="6">
        <f>IF($K778="","",IF(ISNUMBER(SEARCH("sortie-epargne",IFERROR(INDEX('Paramètres'!$N:$N,MATCH($D778,'Paramètres'!$M:$M,0))&amp;"",""))),$K778,0))</f>
        <v>0</v>
      </c>
      <c r="V778" s="6" t="str">
        <f>IF(AND($A778&lt;&gt;"",$O778=1,$L778="Débit",N($Q778)&gt;0,$A778&gt;=Visualisation!$B$1,$A778&lt;Visualisation!$D$1),MAX($V$1:V777)+1,"")</f>
        <v/>
      </c>
    </row>
    <row r="779" spans="1:22" x14ac:dyDescent="0.25">
      <c r="A779" s="9">
        <v>46081</v>
      </c>
      <c r="B779" s="4" t="s">
        <v>118</v>
      </c>
      <c r="C779" s="4" t="s">
        <v>75</v>
      </c>
      <c r="D779" s="4" t="s">
        <v>118</v>
      </c>
      <c r="E779" s="10">
        <v>3</v>
      </c>
      <c r="G779" s="4"/>
      <c r="H779" s="4"/>
      <c r="I779" s="4"/>
      <c r="K779" s="11">
        <f>IF($E779="","",ROUND($E779*IF(ISNA(MATCH($C779,'Paramètres'!$D:$D,0)),1,IF(INDEX('Paramètres'!$J:$J,MATCH($C779,'Paramètres'!$D:$D,0))="",1,INDEX('Paramètres'!$J:$J,MATCH($C779,'Paramètres'!$D:$D,0)))),2))</f>
        <v>3</v>
      </c>
      <c r="L779" s="6" t="str">
        <f>IF($D779="","",IF($F779&lt;&gt;"",$F779,IF(ISNA(MATCH($D779,'Paramètres'!$M:$M,0)),"⚠ Type inconnu",IFERROR(INDEX('Paramètres'!$P:$P,MATCH($D779,'Paramètres'!$M:$M,0))&amp;"",""))))</f>
        <v>Débit</v>
      </c>
      <c r="M779" s="6" t="str">
        <f>IF($D779="","",IF(ISNA(MATCH($D779,'Paramètres'!$M:$M,0)),"⚠ Type inconnu",IF($L779="Crédit","",IFERROR(INDEX('Paramètres'!$O:$O,MATCH($D779,'Paramètres'!$M:$M,0))&amp;"",""))))</f>
        <v>Dépense Fixe</v>
      </c>
      <c r="N779" s="6" t="str">
        <f>IF($D779="","",IFERROR(INDEX('Paramètres'!$Q:$Q,MATCH($D779,'Paramètres'!$M:$M,0))&amp;"",""))</f>
        <v>Banque</v>
      </c>
      <c r="O779" s="6">
        <f>IF($A779="","",IF(OR($J779&lt;&gt;"x",$A779&lt;=FinReleve),1,0))</f>
        <v>1</v>
      </c>
      <c r="P779" s="6">
        <f>IF($D779="","",IF(AND($L779="Crédit",OR(IFERROR(INDEX('Paramètres'!$O:$O,MATCH($D779,'Paramètres'!$M:$M,0))&amp;"","")&lt;&gt;"",ISNUMBER(SEARCH("remboursement",IFERROR(INDEX('Paramètres'!$N:$N,MATCH($D779,'Paramètres'!$M:$M,0))&amp;"",""))))),1,0))</f>
        <v>0</v>
      </c>
      <c r="Q779" s="6">
        <f>IF($K779="","",IF(ISNUMBER(SEARCH("transfert-interne",IFERROR(INDEX('Paramètres'!$N:$N,MATCH($D779,'Paramètres'!$M:$M,0))&amp;"",""))),0,IF($L779="Débit",$K779,IF($P779=1,-$K779,0))))</f>
        <v>3</v>
      </c>
      <c r="R779" s="6">
        <f>IF($K779="","",IF($L779="Crédit",$K779,-$K779))</f>
        <v>-3</v>
      </c>
      <c r="S779" s="6" t="str">
        <f>IF($C779="","",IFERROR(INDEX('Paramètres'!$H:$H,MATCH($C779,'Paramètres'!$D:$D,0))&amp;"",""))</f>
        <v/>
      </c>
      <c r="T779" s="6">
        <f>IF($K779="","",IF($S779="",0,IF(ISNUMBER(SEARCH("apport-exterieur",IFERROR(INDEX('Paramètres'!$N:$N,MATCH($D779,'Paramètres'!$M:$M,0))&amp;"",""))),0,IF(OR(IFERROR(INDEX('Paramètres'!$I:$I,MATCH($C779,'Paramètres'!$D:$D,0))&amp;"","")="Les deux",IFERROR(INDEX('Paramètres'!$I:$I,MATCH($C779,'Paramètres'!$D:$D,0))&amp;"","")=IF($P779=1,"Débit",$L779)),-IF($P779=1,-$K779,$K779),0))))</f>
        <v>0</v>
      </c>
      <c r="U779" s="6">
        <f>IF($K779="","",IF(ISNUMBER(SEARCH("sortie-epargne",IFERROR(INDEX('Paramètres'!$N:$N,MATCH($D779,'Paramètres'!$M:$M,0))&amp;"",""))),$K779,0))</f>
        <v>0</v>
      </c>
      <c r="V779" s="6" t="str">
        <f>IF(AND($A779&lt;&gt;"",$O779=1,$L779="Débit",N($Q779)&gt;0,$A779&gt;=Visualisation!$B$1,$A779&lt;Visualisation!$D$1),MAX($V$1:V778)+1,"")</f>
        <v/>
      </c>
    </row>
    <row r="780" spans="1:22" x14ac:dyDescent="0.25">
      <c r="A780" s="9">
        <v>46081</v>
      </c>
      <c r="B780" s="4" t="s">
        <v>76</v>
      </c>
      <c r="C780" s="4" t="s">
        <v>60</v>
      </c>
      <c r="D780" s="4" t="s">
        <v>77</v>
      </c>
      <c r="E780" s="10">
        <v>149.88</v>
      </c>
      <c r="G780" s="4" t="s">
        <v>78</v>
      </c>
      <c r="H780" s="4"/>
      <c r="I780" s="4" t="s">
        <v>93</v>
      </c>
      <c r="K780" s="11">
        <f>IF($E780="","",ROUND($E780*IF(ISNA(MATCH($C780,'Paramètres'!$D:$D,0)),1,IF(INDEX('Paramètres'!$J:$J,MATCH($C780,'Paramètres'!$D:$D,0))="",1,INDEX('Paramètres'!$J:$J,MATCH($C780,'Paramètres'!$D:$D,0)))),2))</f>
        <v>74.94</v>
      </c>
      <c r="L780" s="6" t="str">
        <f>IF($D780="","",IF($F780&lt;&gt;"",$F780,IF(ISNA(MATCH($D780,'Paramètres'!$M:$M,0)),"⚠ Type inconnu",IFERROR(INDEX('Paramètres'!$P:$P,MATCH($D780,'Paramètres'!$M:$M,0))&amp;"",""))))</f>
        <v>Débit</v>
      </c>
      <c r="M780" s="6" t="str">
        <f>IF($D780="","",IF(ISNA(MATCH($D780,'Paramètres'!$M:$M,0)),"⚠ Type inconnu",IF($L780="Crédit","",IFERROR(INDEX('Paramètres'!$O:$O,MATCH($D780,'Paramètres'!$M:$M,0))&amp;"",""))))</f>
        <v>Dépense Courante</v>
      </c>
      <c r="N780" s="6" t="str">
        <f>IF($D780="","",IFERROR(INDEX('Paramètres'!$Q:$Q,MATCH($D780,'Paramètres'!$M:$M,0))&amp;"",""))</f>
        <v>Alimentation</v>
      </c>
      <c r="O780" s="6">
        <f>IF($A780="","",IF(OR($J780&lt;&gt;"x",$A780&lt;=FinReleve),1,0))</f>
        <v>1</v>
      </c>
      <c r="P780" s="6">
        <f>IF($D780="","",IF(AND($L780="Crédit",OR(IFERROR(INDEX('Paramètres'!$O:$O,MATCH($D780,'Paramètres'!$M:$M,0))&amp;"","")&lt;&gt;"",ISNUMBER(SEARCH("remboursement",IFERROR(INDEX('Paramètres'!$N:$N,MATCH($D780,'Paramètres'!$M:$M,0))&amp;"",""))))),1,0))</f>
        <v>0</v>
      </c>
      <c r="Q780" s="6">
        <f>IF($K780="","",IF(ISNUMBER(SEARCH("transfert-interne",IFERROR(INDEX('Paramètres'!$N:$N,MATCH($D780,'Paramètres'!$M:$M,0))&amp;"",""))),0,IF($L780="Débit",$K780,IF($P780=1,-$K780,0))))</f>
        <v>74.94</v>
      </c>
      <c r="R780" s="6">
        <f>IF($K780="","",IF($L780="Crédit",$K780,-$K780))</f>
        <v>-74.94</v>
      </c>
      <c r="S780" s="6" t="str">
        <f>IF($C780="","",IFERROR(INDEX('Paramètres'!$H:$H,MATCH($C780,'Paramètres'!$D:$D,0))&amp;"",""))</f>
        <v>Banque A - Courant</v>
      </c>
      <c r="T780" s="6">
        <f>IF($K780="","",IF($S780="",0,IF(ISNUMBER(SEARCH("apport-exterieur",IFERROR(INDEX('Paramètres'!$N:$N,MATCH($D780,'Paramètres'!$M:$M,0))&amp;"",""))),0,IF(OR(IFERROR(INDEX('Paramètres'!$I:$I,MATCH($C780,'Paramètres'!$D:$D,0))&amp;"","")="Les deux",IFERROR(INDEX('Paramètres'!$I:$I,MATCH($C780,'Paramètres'!$D:$D,0))&amp;"","")=IF($P780=1,"Débit",$L780)),-IF($P780=1,-$K780,$K780),0))))</f>
        <v>-74.94</v>
      </c>
      <c r="U780" s="6">
        <f>IF($K780="","",IF(ISNUMBER(SEARCH("sortie-epargne",IFERROR(INDEX('Paramètres'!$N:$N,MATCH($D780,'Paramètres'!$M:$M,0))&amp;"",""))),$K780,0))</f>
        <v>0</v>
      </c>
      <c r="V780" s="6" t="str">
        <f>IF(AND($A780&lt;&gt;"",$O780=1,$L780="Débit",N($Q780)&gt;0,$A780&gt;=Visualisation!$B$1,$A780&lt;Visualisation!$D$1),MAX($V$1:V779)+1,"")</f>
        <v/>
      </c>
    </row>
    <row r="781" spans="1:22" x14ac:dyDescent="0.25">
      <c r="A781" s="9">
        <v>46082</v>
      </c>
      <c r="B781" s="4" t="s">
        <v>76</v>
      </c>
      <c r="C781" s="4" t="s">
        <v>67</v>
      </c>
      <c r="D781" s="4" t="s">
        <v>77</v>
      </c>
      <c r="E781" s="10">
        <v>122.24</v>
      </c>
      <c r="G781" s="4" t="s">
        <v>78</v>
      </c>
      <c r="H781" s="4"/>
      <c r="I781" s="4" t="s">
        <v>73</v>
      </c>
      <c r="K781" s="11">
        <f>IF($E781="","",ROUND($E781*IF(ISNA(MATCH($C781,'Paramètres'!$D:$D,0)),1,IF(INDEX('Paramètres'!$J:$J,MATCH($C781,'Paramètres'!$D:$D,0))="",1,INDEX('Paramètres'!$J:$J,MATCH($C781,'Paramètres'!$D:$D,0)))),2))</f>
        <v>61.12</v>
      </c>
      <c r="L781" s="6" t="str">
        <f>IF($D781="","",IF($F781&lt;&gt;"",$F781,IF(ISNA(MATCH($D781,'Paramètres'!$M:$M,0)),"⚠ Type inconnu",IFERROR(INDEX('Paramètres'!$P:$P,MATCH($D781,'Paramètres'!$M:$M,0))&amp;"",""))))</f>
        <v>Débit</v>
      </c>
      <c r="M781" s="6" t="str">
        <f>IF($D781="","",IF(ISNA(MATCH($D781,'Paramètres'!$M:$M,0)),"⚠ Type inconnu",IF($L781="Crédit","",IFERROR(INDEX('Paramètres'!$O:$O,MATCH($D781,'Paramètres'!$M:$M,0))&amp;"",""))))</f>
        <v>Dépense Courante</v>
      </c>
      <c r="N781" s="6" t="str">
        <f>IF($D781="","",IFERROR(INDEX('Paramètres'!$Q:$Q,MATCH($D781,'Paramètres'!$M:$M,0))&amp;"",""))</f>
        <v>Alimentation</v>
      </c>
      <c r="O781" s="6">
        <f>IF($A781="","",IF(OR($J781&lt;&gt;"x",$A781&lt;=FinReleve),1,0))</f>
        <v>1</v>
      </c>
      <c r="P781" s="6">
        <f>IF($D781="","",IF(AND($L781="Crédit",OR(IFERROR(INDEX('Paramètres'!$O:$O,MATCH($D781,'Paramètres'!$M:$M,0))&amp;"","")&lt;&gt;"",ISNUMBER(SEARCH("remboursement",IFERROR(INDEX('Paramètres'!$N:$N,MATCH($D781,'Paramètres'!$M:$M,0))&amp;"",""))))),1,0))</f>
        <v>0</v>
      </c>
      <c r="Q781" s="6">
        <f>IF($K781="","",IF(ISNUMBER(SEARCH("transfert-interne",IFERROR(INDEX('Paramètres'!$N:$N,MATCH($D781,'Paramètres'!$M:$M,0))&amp;"",""))),0,IF($L781="Débit",$K781,IF($P781=1,-$K781,0))))</f>
        <v>61.12</v>
      </c>
      <c r="R781" s="6">
        <f>IF($K781="","",IF($L781="Crédit",$K781,-$K781))</f>
        <v>-61.12</v>
      </c>
      <c r="S781" s="6" t="str">
        <f>IF($C781="","",IFERROR(INDEX('Paramètres'!$H:$H,MATCH($C781,'Paramètres'!$D:$D,0))&amp;"",""))</f>
        <v>Banque A - Courant</v>
      </c>
      <c r="T781" s="6">
        <f>IF($K781="","",IF($S781="",0,IF(ISNUMBER(SEARCH("apport-exterieur",IFERROR(INDEX('Paramètres'!$N:$N,MATCH($D781,'Paramètres'!$M:$M,0))&amp;"",""))),0,IF(OR(IFERROR(INDEX('Paramètres'!$I:$I,MATCH($C781,'Paramètres'!$D:$D,0))&amp;"","")="Les deux",IFERROR(INDEX('Paramètres'!$I:$I,MATCH($C781,'Paramètres'!$D:$D,0))&amp;"","")=IF($P781=1,"Débit",$L781)),-IF($P781=1,-$K781,$K781),0))))</f>
        <v>0</v>
      </c>
      <c r="U781" s="6">
        <f>IF($K781="","",IF(ISNUMBER(SEARCH("sortie-epargne",IFERROR(INDEX('Paramètres'!$N:$N,MATCH($D781,'Paramètres'!$M:$M,0))&amp;"",""))),$K781,0))</f>
        <v>0</v>
      </c>
      <c r="V781" s="6" t="str">
        <f>IF(AND($A781&lt;&gt;"",$O781=1,$L781="Débit",N($Q781)&gt;0,$A781&gt;=Visualisation!$B$1,$A781&lt;Visualisation!$D$1),MAX($V$1:V780)+1,"")</f>
        <v/>
      </c>
    </row>
    <row r="782" spans="1:22" x14ac:dyDescent="0.25">
      <c r="A782" s="9">
        <v>46083</v>
      </c>
      <c r="B782" s="4" t="s">
        <v>64</v>
      </c>
      <c r="C782" s="4" t="s">
        <v>65</v>
      </c>
      <c r="D782" s="4" t="s">
        <v>66</v>
      </c>
      <c r="E782" s="10">
        <v>1160</v>
      </c>
      <c r="G782" s="4"/>
      <c r="H782" s="4"/>
      <c r="I782" s="4"/>
      <c r="K782" s="11">
        <f>IF($E782="","",ROUND($E782*IF(ISNA(MATCH($C782,'Paramètres'!$D:$D,0)),1,IF(INDEX('Paramètres'!$J:$J,MATCH($C782,'Paramètres'!$D:$D,0))="",1,INDEX('Paramètres'!$J:$J,MATCH($C782,'Paramètres'!$D:$D,0)))),2))</f>
        <v>1160</v>
      </c>
      <c r="L782" s="6" t="str">
        <f>IF($D782="","",IF($F782&lt;&gt;"",$F782,IF(ISNA(MATCH($D782,'Paramètres'!$M:$M,0)),"⚠ Type inconnu",IFERROR(INDEX('Paramètres'!$P:$P,MATCH($D782,'Paramètres'!$M:$M,0))&amp;"",""))))</f>
        <v>Crédit</v>
      </c>
      <c r="M782" s="6" t="str">
        <f>IF($D782="","",IF(ISNA(MATCH($D782,'Paramètres'!$M:$M,0)),"⚠ Type inconnu",IF($L782="Crédit","",IFERROR(INDEX('Paramètres'!$O:$O,MATCH($D782,'Paramètres'!$M:$M,0))&amp;"",""))))</f>
        <v/>
      </c>
      <c r="N782" s="6" t="str">
        <f>IF($D782="","",IFERROR(INDEX('Paramètres'!$Q:$Q,MATCH($D782,'Paramètres'!$M:$M,0))&amp;"",""))</f>
        <v>Comptes Bancaires</v>
      </c>
      <c r="O782" s="6">
        <f>IF($A782="","",IF(OR($J782&lt;&gt;"x",$A782&lt;=FinReleve),1,0))</f>
        <v>1</v>
      </c>
      <c r="P782" s="6">
        <f>IF($D782="","",IF(AND($L782="Crédit",OR(IFERROR(INDEX('Paramètres'!$O:$O,MATCH($D782,'Paramètres'!$M:$M,0))&amp;"","")&lt;&gt;"",ISNUMBER(SEARCH("remboursement",IFERROR(INDEX('Paramètres'!$N:$N,MATCH($D782,'Paramètres'!$M:$M,0))&amp;"",""))))),1,0))</f>
        <v>0</v>
      </c>
      <c r="Q782" s="6">
        <f>IF($K782="","",IF(ISNUMBER(SEARCH("transfert-interne",IFERROR(INDEX('Paramètres'!$N:$N,MATCH($D782,'Paramètres'!$M:$M,0))&amp;"",""))),0,IF($L782="Débit",$K782,IF($P782=1,-$K782,0))))</f>
        <v>0</v>
      </c>
      <c r="R782" s="6">
        <f>IF($K782="","",IF($L782="Crédit",$K782,-$K782))</f>
        <v>1160</v>
      </c>
      <c r="S782" s="6" t="str">
        <f>IF($C782="","",IFERROR(INDEX('Paramètres'!$H:$H,MATCH($C782,'Paramètres'!$D:$D,0))&amp;"",""))</f>
        <v>Banque A - Courant</v>
      </c>
      <c r="T782" s="6">
        <f>IF($K782="","",IF($S782="",0,IF(ISNUMBER(SEARCH("apport-exterieur",IFERROR(INDEX('Paramètres'!$N:$N,MATCH($D782,'Paramètres'!$M:$M,0))&amp;"",""))),0,IF(OR(IFERROR(INDEX('Paramètres'!$I:$I,MATCH($C782,'Paramètres'!$D:$D,0))&amp;"","")="Les deux",IFERROR(INDEX('Paramètres'!$I:$I,MATCH($C782,'Paramètres'!$D:$D,0))&amp;"","")=IF($P782=1,"Débit",$L782)),-IF($P782=1,-$K782,$K782),0))))</f>
        <v>-1160</v>
      </c>
      <c r="U782" s="6">
        <f>IF($K782="","",IF(ISNUMBER(SEARCH("sortie-epargne",IFERROR(INDEX('Paramètres'!$N:$N,MATCH($D782,'Paramètres'!$M:$M,0))&amp;"",""))),$K782,0))</f>
        <v>0</v>
      </c>
      <c r="V782" s="6" t="str">
        <f>IF(AND($A782&lt;&gt;"",$O782=1,$L782="Débit",N($Q782)&gt;0,$A782&gt;=Visualisation!$B$1,$A782&lt;Visualisation!$D$1),MAX($V$1:V781)+1,"")</f>
        <v/>
      </c>
    </row>
    <row r="783" spans="1:22" x14ac:dyDescent="0.25">
      <c r="A783" s="9">
        <v>46083</v>
      </c>
      <c r="B783" s="4" t="s">
        <v>64</v>
      </c>
      <c r="C783" s="4" t="s">
        <v>67</v>
      </c>
      <c r="D783" s="4" t="s">
        <v>68</v>
      </c>
      <c r="E783" s="10">
        <v>600</v>
      </c>
      <c r="G783" s="4"/>
      <c r="H783" s="4"/>
      <c r="I783" s="4"/>
      <c r="K783" s="11">
        <f>IF($E783="","",ROUND($E783*IF(ISNA(MATCH($C783,'Paramètres'!$D:$D,0)),1,IF(INDEX('Paramètres'!$J:$J,MATCH($C783,'Paramètres'!$D:$D,0))="",1,INDEX('Paramètres'!$J:$J,MATCH($C783,'Paramètres'!$D:$D,0)))),2))</f>
        <v>300</v>
      </c>
      <c r="L783" s="6" t="str">
        <f>IF($D783="","",IF($F783&lt;&gt;"",$F783,IF(ISNA(MATCH($D783,'Paramètres'!$M:$M,0)),"⚠ Type inconnu",IFERROR(INDEX('Paramètres'!$P:$P,MATCH($D783,'Paramètres'!$M:$M,0))&amp;"",""))))</f>
        <v>Crédit</v>
      </c>
      <c r="M783" s="6" t="str">
        <f>IF($D783="","",IF(ISNA(MATCH($D783,'Paramètres'!$M:$M,0)),"⚠ Type inconnu",IF($L783="Crédit","",IFERROR(INDEX('Paramètres'!$O:$O,MATCH($D783,'Paramètres'!$M:$M,0))&amp;"",""))))</f>
        <v/>
      </c>
      <c r="N783" s="6" t="str">
        <f>IF($D783="","",IFERROR(INDEX('Paramètres'!$Q:$Q,MATCH($D783,'Paramètres'!$M:$M,0))&amp;"",""))</f>
        <v>Comptes Bancaires</v>
      </c>
      <c r="O783" s="6">
        <f>IF($A783="","",IF(OR($J783&lt;&gt;"x",$A783&lt;=FinReleve),1,0))</f>
        <v>1</v>
      </c>
      <c r="P783" s="6">
        <f>IF($D783="","",IF(AND($L783="Crédit",OR(IFERROR(INDEX('Paramètres'!$O:$O,MATCH($D783,'Paramètres'!$M:$M,0))&amp;"","")&lt;&gt;"",ISNUMBER(SEARCH("remboursement",IFERROR(INDEX('Paramètres'!$N:$N,MATCH($D783,'Paramètres'!$M:$M,0))&amp;"",""))))),1,0))</f>
        <v>0</v>
      </c>
      <c r="Q783" s="6">
        <f>IF($K783="","",IF(ISNUMBER(SEARCH("transfert-interne",IFERROR(INDEX('Paramètres'!$N:$N,MATCH($D783,'Paramètres'!$M:$M,0))&amp;"",""))),0,IF($L783="Débit",$K783,IF($P783=1,-$K783,0))))</f>
        <v>0</v>
      </c>
      <c r="R783" s="6">
        <f>IF($K783="","",IF($L783="Crédit",$K783,-$K783))</f>
        <v>300</v>
      </c>
      <c r="S783" s="6" t="str">
        <f>IF($C783="","",IFERROR(INDEX('Paramètres'!$H:$H,MATCH($C783,'Paramètres'!$D:$D,0))&amp;"",""))</f>
        <v>Banque A - Courant</v>
      </c>
      <c r="T783" s="6">
        <f>IF($K783="","",IF($S783="",0,IF(ISNUMBER(SEARCH("apport-exterieur",IFERROR(INDEX('Paramètres'!$N:$N,MATCH($D783,'Paramètres'!$M:$M,0))&amp;"",""))),0,IF(OR(IFERROR(INDEX('Paramètres'!$I:$I,MATCH($C783,'Paramètres'!$D:$D,0))&amp;"","")="Les deux",IFERROR(INDEX('Paramètres'!$I:$I,MATCH($C783,'Paramètres'!$D:$D,0))&amp;"","")=IF($P783=1,"Débit",$L783)),-IF($P783=1,-$K783,$K783),0))))</f>
        <v>-300</v>
      </c>
      <c r="U783" s="6">
        <f>IF($K783="","",IF(ISNUMBER(SEARCH("sortie-epargne",IFERROR(INDEX('Paramètres'!$N:$N,MATCH($D783,'Paramètres'!$M:$M,0))&amp;"",""))),$K783,0))</f>
        <v>0</v>
      </c>
      <c r="V783" s="6" t="str">
        <f>IF(AND($A783&lt;&gt;"",$O783=1,$L783="Débit",N($Q783)&gt;0,$A783&gt;=Visualisation!$B$1,$A783&lt;Visualisation!$D$1),MAX($V$1:V782)+1,"")</f>
        <v/>
      </c>
    </row>
    <row r="784" spans="1:22" x14ac:dyDescent="0.25">
      <c r="A784" s="9">
        <v>46084</v>
      </c>
      <c r="B784" s="4" t="s">
        <v>74</v>
      </c>
      <c r="C784" s="4" t="s">
        <v>75</v>
      </c>
      <c r="D784" s="4" t="s">
        <v>74</v>
      </c>
      <c r="E784" s="10">
        <v>88.8</v>
      </c>
      <c r="G784" s="4"/>
      <c r="H784" s="4"/>
      <c r="I784" s="4"/>
      <c r="K784" s="11">
        <f>IF($E784="","",ROUND($E784*IF(ISNA(MATCH($C784,'Paramètres'!$D:$D,0)),1,IF(INDEX('Paramètres'!$J:$J,MATCH($C784,'Paramètres'!$D:$D,0))="",1,INDEX('Paramètres'!$J:$J,MATCH($C784,'Paramètres'!$D:$D,0)))),2))</f>
        <v>88.8</v>
      </c>
      <c r="L784" s="6" t="str">
        <f>IF($D784="","",IF($F784&lt;&gt;"",$F784,IF(ISNA(MATCH($D784,'Paramètres'!$M:$M,0)),"⚠ Type inconnu",IFERROR(INDEX('Paramètres'!$P:$P,MATCH($D784,'Paramètres'!$M:$M,0))&amp;"",""))))</f>
        <v>Débit</v>
      </c>
      <c r="M784" s="6" t="str">
        <f>IF($D784="","",IF(ISNA(MATCH($D784,'Paramètres'!$M:$M,0)),"⚠ Type inconnu",IF($L784="Crédit","",IFERROR(INDEX('Paramètres'!$O:$O,MATCH($D784,'Paramètres'!$M:$M,0))&amp;"",""))))</f>
        <v>Dépense Fixe</v>
      </c>
      <c r="N784" s="6" t="str">
        <f>IF($D784="","",IFERROR(INDEX('Paramètres'!$Q:$Q,MATCH($D784,'Paramètres'!$M:$M,0))&amp;"",""))</f>
        <v>Transport</v>
      </c>
      <c r="O784" s="6">
        <f>IF($A784="","",IF(OR($J784&lt;&gt;"x",$A784&lt;=FinReleve),1,0))</f>
        <v>1</v>
      </c>
      <c r="P784" s="6">
        <f>IF($D784="","",IF(AND($L784="Crédit",OR(IFERROR(INDEX('Paramètres'!$O:$O,MATCH($D784,'Paramètres'!$M:$M,0))&amp;"","")&lt;&gt;"",ISNUMBER(SEARCH("remboursement",IFERROR(INDEX('Paramètres'!$N:$N,MATCH($D784,'Paramètres'!$M:$M,0))&amp;"",""))))),1,0))</f>
        <v>0</v>
      </c>
      <c r="Q784" s="6">
        <f>IF($K784="","",IF(ISNUMBER(SEARCH("transfert-interne",IFERROR(INDEX('Paramètres'!$N:$N,MATCH($D784,'Paramètres'!$M:$M,0))&amp;"",""))),0,IF($L784="Débit",$K784,IF($P784=1,-$K784,0))))</f>
        <v>88.8</v>
      </c>
      <c r="R784" s="6">
        <f>IF($K784="","",IF($L784="Crédit",$K784,-$K784))</f>
        <v>-88.8</v>
      </c>
      <c r="S784" s="6" t="str">
        <f>IF($C784="","",IFERROR(INDEX('Paramètres'!$H:$H,MATCH($C784,'Paramètres'!$D:$D,0))&amp;"",""))</f>
        <v/>
      </c>
      <c r="T784" s="6">
        <f>IF($K784="","",IF($S784="",0,IF(ISNUMBER(SEARCH("apport-exterieur",IFERROR(INDEX('Paramètres'!$N:$N,MATCH($D784,'Paramètres'!$M:$M,0))&amp;"",""))),0,IF(OR(IFERROR(INDEX('Paramètres'!$I:$I,MATCH($C784,'Paramètres'!$D:$D,0))&amp;"","")="Les deux",IFERROR(INDEX('Paramètres'!$I:$I,MATCH($C784,'Paramètres'!$D:$D,0))&amp;"","")=IF($P784=1,"Débit",$L784)),-IF($P784=1,-$K784,$K784),0))))</f>
        <v>0</v>
      </c>
      <c r="U784" s="6">
        <f>IF($K784="","",IF(ISNUMBER(SEARCH("sortie-epargne",IFERROR(INDEX('Paramètres'!$N:$N,MATCH($D784,'Paramètres'!$M:$M,0))&amp;"",""))),$K784,0))</f>
        <v>0</v>
      </c>
      <c r="V784" s="6" t="str">
        <f>IF(AND($A784&lt;&gt;"",$O784=1,$L784="Débit",N($Q784)&gt;0,$A784&gt;=Visualisation!$B$1,$A784&lt;Visualisation!$D$1),MAX($V$1:V783)+1,"")</f>
        <v/>
      </c>
    </row>
    <row r="785" spans="1:22" x14ac:dyDescent="0.25">
      <c r="A785" s="9">
        <v>46085</v>
      </c>
      <c r="B785" s="4" t="s">
        <v>80</v>
      </c>
      <c r="C785" s="4" t="s">
        <v>70</v>
      </c>
      <c r="D785" s="4" t="s">
        <v>81</v>
      </c>
      <c r="E785" s="10">
        <v>126.76</v>
      </c>
      <c r="G785" s="4"/>
      <c r="H785" s="4"/>
      <c r="I785" s="4"/>
      <c r="K785" s="11">
        <f>IF($E785="","",ROUND($E785*IF(ISNA(MATCH($C785,'Paramètres'!$D:$D,0)),1,IF(INDEX('Paramètres'!$J:$J,MATCH($C785,'Paramètres'!$D:$D,0))="",1,INDEX('Paramètres'!$J:$J,MATCH($C785,'Paramètres'!$D:$D,0)))),2))</f>
        <v>126.76</v>
      </c>
      <c r="L785" s="6" t="str">
        <f>IF($D785="","",IF($F785&lt;&gt;"",$F785,IF(ISNA(MATCH($D785,'Paramètres'!$M:$M,0)),"⚠ Type inconnu",IFERROR(INDEX('Paramètres'!$P:$P,MATCH($D785,'Paramètres'!$M:$M,0))&amp;"",""))))</f>
        <v>Crédit</v>
      </c>
      <c r="M785" s="6" t="str">
        <f>IF($D785="","",IF(ISNA(MATCH($D785,'Paramètres'!$M:$M,0)),"⚠ Type inconnu",IF($L785="Crédit","",IFERROR(INDEX('Paramètres'!$O:$O,MATCH($D785,'Paramètres'!$M:$M,0))&amp;"",""))))</f>
        <v/>
      </c>
      <c r="N785" s="6" t="str">
        <f>IF($D785="","",IFERROR(INDEX('Paramètres'!$Q:$Q,MATCH($D785,'Paramètres'!$M:$M,0))&amp;"",""))</f>
        <v>Comptes Bancaires</v>
      </c>
      <c r="O785" s="6">
        <f>IF($A785="","",IF(OR($J785&lt;&gt;"x",$A785&lt;=FinReleve),1,0))</f>
        <v>1</v>
      </c>
      <c r="P785" s="6">
        <f>IF($D785="","",IF(AND($L785="Crédit",OR(IFERROR(INDEX('Paramètres'!$O:$O,MATCH($D785,'Paramètres'!$M:$M,0))&amp;"","")&lt;&gt;"",ISNUMBER(SEARCH("remboursement",IFERROR(INDEX('Paramètres'!$N:$N,MATCH($D785,'Paramètres'!$M:$M,0))&amp;"",""))))),1,0))</f>
        <v>0</v>
      </c>
      <c r="Q785" s="6">
        <f>IF($K785="","",IF(ISNUMBER(SEARCH("transfert-interne",IFERROR(INDEX('Paramètres'!$N:$N,MATCH($D785,'Paramètres'!$M:$M,0))&amp;"",""))),0,IF($L785="Débit",$K785,IF($P785=1,-$K785,0))))</f>
        <v>0</v>
      </c>
      <c r="R785" s="6">
        <f>IF($K785="","",IF($L785="Crédit",$K785,-$K785))</f>
        <v>126.76</v>
      </c>
      <c r="S785" s="6" t="str">
        <f>IF($C785="","",IFERROR(INDEX('Paramètres'!$H:$H,MATCH($C785,'Paramètres'!$D:$D,0))&amp;"",""))</f>
        <v/>
      </c>
      <c r="T785" s="6">
        <f>IF($K785="","",IF($S785="",0,IF(ISNUMBER(SEARCH("apport-exterieur",IFERROR(INDEX('Paramètres'!$N:$N,MATCH($D785,'Paramètres'!$M:$M,0))&amp;"",""))),0,IF(OR(IFERROR(INDEX('Paramètres'!$I:$I,MATCH($C785,'Paramètres'!$D:$D,0))&amp;"","")="Les deux",IFERROR(INDEX('Paramètres'!$I:$I,MATCH($C785,'Paramètres'!$D:$D,0))&amp;"","")=IF($P785=1,"Débit",$L785)),-IF($P785=1,-$K785,$K785),0))))</f>
        <v>0</v>
      </c>
      <c r="U785" s="6">
        <f>IF($K785="","",IF(ISNUMBER(SEARCH("sortie-epargne",IFERROR(INDEX('Paramètres'!$N:$N,MATCH($D785,'Paramètres'!$M:$M,0))&amp;"",""))),$K785,0))</f>
        <v>0</v>
      </c>
      <c r="V785" s="6" t="str">
        <f>IF(AND($A785&lt;&gt;"",$O785=1,$L785="Débit",N($Q785)&gt;0,$A785&gt;=Visualisation!$B$1,$A785&lt;Visualisation!$D$1),MAX($V$1:V784)+1,"")</f>
        <v/>
      </c>
    </row>
    <row r="786" spans="1:22" x14ac:dyDescent="0.25">
      <c r="A786" s="9">
        <v>46086</v>
      </c>
      <c r="B786" s="4" t="s">
        <v>82</v>
      </c>
      <c r="C786" s="4" t="s">
        <v>65</v>
      </c>
      <c r="D786" s="4" t="s">
        <v>83</v>
      </c>
      <c r="E786" s="10">
        <v>663.17</v>
      </c>
      <c r="G786" s="4" t="s">
        <v>84</v>
      </c>
      <c r="H786" s="4"/>
      <c r="I786" s="4"/>
      <c r="K786" s="11">
        <f>IF($E786="","",ROUND($E786*IF(ISNA(MATCH($C786,'Paramètres'!$D:$D,0)),1,IF(INDEX('Paramètres'!$J:$J,MATCH($C786,'Paramètres'!$D:$D,0))="",1,INDEX('Paramètres'!$J:$J,MATCH($C786,'Paramètres'!$D:$D,0)))),2))</f>
        <v>663.17</v>
      </c>
      <c r="L786" s="6" t="str">
        <f>IF($D786="","",IF($F786&lt;&gt;"",$F786,IF(ISNA(MATCH($D786,'Paramètres'!$M:$M,0)),"⚠ Type inconnu",IFERROR(INDEX('Paramètres'!$P:$P,MATCH($D786,'Paramètres'!$M:$M,0))&amp;"",""))))</f>
        <v>Débit</v>
      </c>
      <c r="M786" s="6" t="str">
        <f>IF($D786="","",IF(ISNA(MATCH($D786,'Paramètres'!$M:$M,0)),"⚠ Type inconnu",IF($L786="Crédit","",IFERROR(INDEX('Paramètres'!$O:$O,MATCH($D786,'Paramètres'!$M:$M,0))&amp;"",""))))</f>
        <v/>
      </c>
      <c r="N786" s="6" t="str">
        <f>IF($D786="","",IFERROR(INDEX('Paramètres'!$Q:$Q,MATCH($D786,'Paramètres'!$M:$M,0))&amp;"",""))</f>
        <v>Immobilier</v>
      </c>
      <c r="O786" s="6">
        <f>IF($A786="","",IF(OR($J786&lt;&gt;"x",$A786&lt;=FinReleve),1,0))</f>
        <v>1</v>
      </c>
      <c r="P786" s="6">
        <f>IF($D786="","",IF(AND($L786="Crédit",OR(IFERROR(INDEX('Paramètres'!$O:$O,MATCH($D786,'Paramètres'!$M:$M,0))&amp;"","")&lt;&gt;"",ISNUMBER(SEARCH("remboursement",IFERROR(INDEX('Paramètres'!$N:$N,MATCH($D786,'Paramètres'!$M:$M,0))&amp;"",""))))),1,0))</f>
        <v>0</v>
      </c>
      <c r="Q786" s="6">
        <f>IF($K786="","",IF(ISNUMBER(SEARCH("transfert-interne",IFERROR(INDEX('Paramètres'!$N:$N,MATCH($D786,'Paramètres'!$M:$M,0))&amp;"",""))),0,IF($L786="Débit",$K786,IF($P786=1,-$K786,0))))</f>
        <v>663.17</v>
      </c>
      <c r="R786" s="6">
        <f>IF($K786="","",IF($L786="Crédit",$K786,-$K786))</f>
        <v>-663.17</v>
      </c>
      <c r="S786" s="6" t="str">
        <f>IF($C786="","",IFERROR(INDEX('Paramètres'!$H:$H,MATCH($C786,'Paramètres'!$D:$D,0))&amp;"",""))</f>
        <v>Banque A - Courant</v>
      </c>
      <c r="T786" s="6">
        <f>IF($K786="","",IF($S786="",0,IF(ISNUMBER(SEARCH("apport-exterieur",IFERROR(INDEX('Paramètres'!$N:$N,MATCH($D786,'Paramètres'!$M:$M,0))&amp;"",""))),0,IF(OR(IFERROR(INDEX('Paramètres'!$I:$I,MATCH($C786,'Paramètres'!$D:$D,0))&amp;"","")="Les deux",IFERROR(INDEX('Paramètres'!$I:$I,MATCH($C786,'Paramètres'!$D:$D,0))&amp;"","")=IF($P786=1,"Débit",$L786)),-IF($P786=1,-$K786,$K786),0))))</f>
        <v>0</v>
      </c>
      <c r="U786" s="6">
        <f>IF($K786="","",IF(ISNUMBER(SEARCH("sortie-epargne",IFERROR(INDEX('Paramètres'!$N:$N,MATCH($D786,'Paramètres'!$M:$M,0))&amp;"",""))),$K786,0))</f>
        <v>0</v>
      </c>
      <c r="V786" s="6" t="str">
        <f>IF(AND($A786&lt;&gt;"",$O786=1,$L786="Débit",N($Q786)&gt;0,$A786&gt;=Visualisation!$B$1,$A786&lt;Visualisation!$D$1),MAX($V$1:V785)+1,"")</f>
        <v/>
      </c>
    </row>
    <row r="787" spans="1:22" x14ac:dyDescent="0.25">
      <c r="A787" s="9">
        <v>46086</v>
      </c>
      <c r="B787" s="4" t="s">
        <v>85</v>
      </c>
      <c r="C787" s="4" t="s">
        <v>65</v>
      </c>
      <c r="D787" s="4" t="s">
        <v>86</v>
      </c>
      <c r="E787" s="10">
        <v>230.47</v>
      </c>
      <c r="G787" s="4" t="s">
        <v>87</v>
      </c>
      <c r="H787" s="4"/>
      <c r="I787" s="4"/>
      <c r="K787" s="11">
        <f>IF($E787="","",ROUND($E787*IF(ISNA(MATCH($C787,'Paramètres'!$D:$D,0)),1,IF(INDEX('Paramètres'!$J:$J,MATCH($C787,'Paramètres'!$D:$D,0))="",1,INDEX('Paramètres'!$J:$J,MATCH($C787,'Paramètres'!$D:$D,0)))),2))</f>
        <v>230.47</v>
      </c>
      <c r="L787" s="6" t="str">
        <f>IF($D787="","",IF($F787&lt;&gt;"",$F787,IF(ISNA(MATCH($D787,'Paramètres'!$M:$M,0)),"⚠ Type inconnu",IFERROR(INDEX('Paramètres'!$P:$P,MATCH($D787,'Paramètres'!$M:$M,0))&amp;"",""))))</f>
        <v>Débit</v>
      </c>
      <c r="M787" s="6" t="str">
        <f>IF($D787="","",IF(ISNA(MATCH($D787,'Paramètres'!$M:$M,0)),"⚠ Type inconnu",IF($L787="Crédit","",IFERROR(INDEX('Paramètres'!$O:$O,MATCH($D787,'Paramètres'!$M:$M,0))&amp;"",""))))</f>
        <v>Dépense Fixe</v>
      </c>
      <c r="N787" s="6" t="str">
        <f>IF($D787="","",IFERROR(INDEX('Paramètres'!$Q:$Q,MATCH($D787,'Paramètres'!$M:$M,0))&amp;"",""))</f>
        <v>Immobilier</v>
      </c>
      <c r="O787" s="6">
        <f>IF($A787="","",IF(OR($J787&lt;&gt;"x",$A787&lt;=FinReleve),1,0))</f>
        <v>1</v>
      </c>
      <c r="P787" s="6">
        <f>IF($D787="","",IF(AND($L787="Crédit",OR(IFERROR(INDEX('Paramètres'!$O:$O,MATCH($D787,'Paramètres'!$M:$M,0))&amp;"","")&lt;&gt;"",ISNUMBER(SEARCH("remboursement",IFERROR(INDEX('Paramètres'!$N:$N,MATCH($D787,'Paramètres'!$M:$M,0))&amp;"",""))))),1,0))</f>
        <v>0</v>
      </c>
      <c r="Q787" s="6">
        <f>IF($K787="","",IF(ISNUMBER(SEARCH("transfert-interne",IFERROR(INDEX('Paramètres'!$N:$N,MATCH($D787,'Paramètres'!$M:$M,0))&amp;"",""))),0,IF($L787="Débit",$K787,IF($P787=1,-$K787,0))))</f>
        <v>230.47</v>
      </c>
      <c r="R787" s="6">
        <f>IF($K787="","",IF($L787="Crédit",$K787,-$K787))</f>
        <v>-230.47</v>
      </c>
      <c r="S787" s="6" t="str">
        <f>IF($C787="","",IFERROR(INDEX('Paramètres'!$H:$H,MATCH($C787,'Paramètres'!$D:$D,0))&amp;"",""))</f>
        <v>Banque A - Courant</v>
      </c>
      <c r="T787" s="6">
        <f>IF($K787="","",IF($S787="",0,IF(ISNUMBER(SEARCH("apport-exterieur",IFERROR(INDEX('Paramètres'!$N:$N,MATCH($D787,'Paramètres'!$M:$M,0))&amp;"",""))),0,IF(OR(IFERROR(INDEX('Paramètres'!$I:$I,MATCH($C787,'Paramètres'!$D:$D,0))&amp;"","")="Les deux",IFERROR(INDEX('Paramètres'!$I:$I,MATCH($C787,'Paramètres'!$D:$D,0))&amp;"","")=IF($P787=1,"Débit",$L787)),-IF($P787=1,-$K787,$K787),0))))</f>
        <v>0</v>
      </c>
      <c r="U787" s="6">
        <f>IF($K787="","",IF(ISNUMBER(SEARCH("sortie-epargne",IFERROR(INDEX('Paramètres'!$N:$N,MATCH($D787,'Paramètres'!$M:$M,0))&amp;"",""))),$K787,0))</f>
        <v>0</v>
      </c>
      <c r="V787" s="6" t="str">
        <f>IF(AND($A787&lt;&gt;"",$O787=1,$L787="Débit",N($Q787)&gt;0,$A787&gt;=Visualisation!$B$1,$A787&lt;Visualisation!$D$1),MAX($V$1:V786)+1,"")</f>
        <v/>
      </c>
    </row>
    <row r="788" spans="1:22" x14ac:dyDescent="0.25">
      <c r="A788" s="9">
        <v>46091</v>
      </c>
      <c r="B788" s="4" t="s">
        <v>96</v>
      </c>
      <c r="C788" s="4" t="s">
        <v>75</v>
      </c>
      <c r="D788" s="4" t="s">
        <v>96</v>
      </c>
      <c r="E788" s="10">
        <v>22.4</v>
      </c>
      <c r="G788" s="4"/>
      <c r="H788" s="4"/>
      <c r="I788" s="4"/>
      <c r="K788" s="11">
        <f>IF($E788="","",ROUND($E788*IF(ISNA(MATCH($C788,'Paramètres'!$D:$D,0)),1,IF(INDEX('Paramètres'!$J:$J,MATCH($C788,'Paramètres'!$D:$D,0))="",1,INDEX('Paramètres'!$J:$J,MATCH($C788,'Paramètres'!$D:$D,0)))),2))</f>
        <v>22.4</v>
      </c>
      <c r="L788" s="6" t="str">
        <f>IF($D788="","",IF($F788&lt;&gt;"",$F788,IF(ISNA(MATCH($D788,'Paramètres'!$M:$M,0)),"⚠ Type inconnu",IFERROR(INDEX('Paramètres'!$P:$P,MATCH($D788,'Paramètres'!$M:$M,0))&amp;"",""))))</f>
        <v>Débit</v>
      </c>
      <c r="M788" s="6" t="str">
        <f>IF($D788="","",IF(ISNA(MATCH($D788,'Paramètres'!$M:$M,0)),"⚠ Type inconnu",IF($L788="Crédit","",IFERROR(INDEX('Paramètres'!$O:$O,MATCH($D788,'Paramètres'!$M:$M,0))&amp;"",""))))</f>
        <v>Dépense Fixe</v>
      </c>
      <c r="N788" s="6" t="str">
        <f>IF($D788="","",IFERROR(INDEX('Paramètres'!$Q:$Q,MATCH($D788,'Paramètres'!$M:$M,0))&amp;"",""))</f>
        <v>Assurances</v>
      </c>
      <c r="O788" s="6">
        <f>IF($A788="","",IF(OR($J788&lt;&gt;"x",$A788&lt;=FinReleve),1,0))</f>
        <v>1</v>
      </c>
      <c r="P788" s="6">
        <f>IF($D788="","",IF(AND($L788="Crédit",OR(IFERROR(INDEX('Paramètres'!$O:$O,MATCH($D788,'Paramètres'!$M:$M,0))&amp;"","")&lt;&gt;"",ISNUMBER(SEARCH("remboursement",IFERROR(INDEX('Paramètres'!$N:$N,MATCH($D788,'Paramètres'!$M:$M,0))&amp;"",""))))),1,0))</f>
        <v>0</v>
      </c>
      <c r="Q788" s="6">
        <f>IF($K788="","",IF(ISNUMBER(SEARCH("transfert-interne",IFERROR(INDEX('Paramètres'!$N:$N,MATCH($D788,'Paramètres'!$M:$M,0))&amp;"",""))),0,IF($L788="Débit",$K788,IF($P788=1,-$K788,0))))</f>
        <v>22.4</v>
      </c>
      <c r="R788" s="6">
        <f>IF($K788="","",IF($L788="Crédit",$K788,-$K788))</f>
        <v>-22.4</v>
      </c>
      <c r="S788" s="6" t="str">
        <f>IF($C788="","",IFERROR(INDEX('Paramètres'!$H:$H,MATCH($C788,'Paramètres'!$D:$D,0))&amp;"",""))</f>
        <v/>
      </c>
      <c r="T788" s="6">
        <f>IF($K788="","",IF($S788="",0,IF(ISNUMBER(SEARCH("apport-exterieur",IFERROR(INDEX('Paramètres'!$N:$N,MATCH($D788,'Paramètres'!$M:$M,0))&amp;"",""))),0,IF(OR(IFERROR(INDEX('Paramètres'!$I:$I,MATCH($C788,'Paramètres'!$D:$D,0))&amp;"","")="Les deux",IFERROR(INDEX('Paramètres'!$I:$I,MATCH($C788,'Paramètres'!$D:$D,0))&amp;"","")=IF($P788=1,"Débit",$L788)),-IF($P788=1,-$K788,$K788),0))))</f>
        <v>0</v>
      </c>
      <c r="U788" s="6">
        <f>IF($K788="","",IF(ISNUMBER(SEARCH("sortie-epargne",IFERROR(INDEX('Paramètres'!$N:$N,MATCH($D788,'Paramètres'!$M:$M,0))&amp;"",""))),$K788,0))</f>
        <v>0</v>
      </c>
      <c r="V788" s="6" t="str">
        <f>IF(AND($A788&lt;&gt;"",$O788=1,$L788="Débit",N($Q788)&gt;0,$A788&gt;=Visualisation!$B$1,$A788&lt;Visualisation!$D$1),MAX($V$1:V787)+1,"")</f>
        <v/>
      </c>
    </row>
    <row r="789" spans="1:22" x14ac:dyDescent="0.25">
      <c r="A789" s="9">
        <v>46103</v>
      </c>
      <c r="B789" s="4" t="s">
        <v>121</v>
      </c>
      <c r="C789" s="4" t="s">
        <v>126</v>
      </c>
      <c r="D789" s="4" t="s">
        <v>121</v>
      </c>
      <c r="E789" s="10">
        <v>33.34</v>
      </c>
      <c r="G789" s="4" t="s">
        <v>137</v>
      </c>
      <c r="H789" s="4"/>
      <c r="I789" s="4"/>
      <c r="K789" s="11">
        <f>IF($E789="","",ROUND($E789*IF(ISNA(MATCH($C789,'Paramètres'!$D:$D,0)),1,IF(INDEX('Paramètres'!$J:$J,MATCH($C789,'Paramètres'!$D:$D,0))="",1,INDEX('Paramètres'!$J:$J,MATCH($C789,'Paramètres'!$D:$D,0)))),2))</f>
        <v>16.67</v>
      </c>
      <c r="L789" s="6" t="str">
        <f>IF($D789="","",IF($F789&lt;&gt;"",$F789,IF(ISNA(MATCH($D789,'Paramètres'!$M:$M,0)),"⚠ Type inconnu",IFERROR(INDEX('Paramètres'!$P:$P,MATCH($D789,'Paramètres'!$M:$M,0))&amp;"",""))))</f>
        <v>Débit</v>
      </c>
      <c r="M789" s="6" t="str">
        <f>IF($D789="","",IF(ISNA(MATCH($D789,'Paramètres'!$M:$M,0)),"⚠ Type inconnu",IF($L789="Crédit","",IFERROR(INDEX('Paramètres'!$O:$O,MATCH($D789,'Paramètres'!$M:$M,0))&amp;"",""))))</f>
        <v>Dépense Occasionnelle</v>
      </c>
      <c r="N789" s="6" t="str">
        <f>IF($D789="","",IFERROR(INDEX('Paramètres'!$Q:$Q,MATCH($D789,'Paramètres'!$M:$M,0))&amp;"",""))</f>
        <v>Autre</v>
      </c>
      <c r="O789" s="6">
        <f>IF($A789="","",IF(OR($J789&lt;&gt;"x",$A789&lt;=FinReleve),1,0))</f>
        <v>1</v>
      </c>
      <c r="P789" s="6">
        <f>IF($D789="","",IF(AND($L789="Crédit",OR(IFERROR(INDEX('Paramètres'!$O:$O,MATCH($D789,'Paramètres'!$M:$M,0))&amp;"","")&lt;&gt;"",ISNUMBER(SEARCH("remboursement",IFERROR(INDEX('Paramètres'!$N:$N,MATCH($D789,'Paramètres'!$M:$M,0))&amp;"",""))))),1,0))</f>
        <v>0</v>
      </c>
      <c r="Q789" s="6">
        <f>IF($K789="","",IF(ISNUMBER(SEARCH("transfert-interne",IFERROR(INDEX('Paramètres'!$N:$N,MATCH($D789,'Paramètres'!$M:$M,0))&amp;"",""))),0,IF($L789="Débit",$K789,IF($P789=1,-$K789,0))))</f>
        <v>16.67</v>
      </c>
      <c r="R789" s="6">
        <f>IF($K789="","",IF($L789="Crédit",$K789,-$K789))</f>
        <v>-16.67</v>
      </c>
      <c r="S789" s="6" t="str">
        <f>IF($C789="","",IFERROR(INDEX('Paramètres'!$H:$H,MATCH($C789,'Paramètres'!$D:$D,0))&amp;"",""))</f>
        <v>Banque A - Courant</v>
      </c>
      <c r="T789" s="6">
        <f>IF($K789="","",IF($S789="",0,IF(ISNUMBER(SEARCH("apport-exterieur",IFERROR(INDEX('Paramètres'!$N:$N,MATCH($D789,'Paramètres'!$M:$M,0))&amp;"",""))),0,IF(OR(IFERROR(INDEX('Paramètres'!$I:$I,MATCH($C789,'Paramètres'!$D:$D,0))&amp;"","")="Les deux",IFERROR(INDEX('Paramètres'!$I:$I,MATCH($C789,'Paramètres'!$D:$D,0))&amp;"","")=IF($P789=1,"Débit",$L789)),-IF($P789=1,-$K789,$K789),0))))</f>
        <v>-16.67</v>
      </c>
      <c r="U789" s="6">
        <f>IF($K789="","",IF(ISNUMBER(SEARCH("sortie-epargne",IFERROR(INDEX('Paramètres'!$N:$N,MATCH($D789,'Paramètres'!$M:$M,0))&amp;"",""))),$K789,0))</f>
        <v>0</v>
      </c>
      <c r="V789" s="6" t="str">
        <f>IF(AND($A789&lt;&gt;"",$O789=1,$L789="Débit",N($Q789)&gt;0,$A789&gt;=Visualisation!$B$1,$A789&lt;Visualisation!$D$1),MAX($V$1:V788)+1,"")</f>
        <v/>
      </c>
    </row>
    <row r="790" spans="1:22" x14ac:dyDescent="0.25">
      <c r="A790" s="9">
        <v>46106</v>
      </c>
      <c r="B790" s="4" t="s">
        <v>49</v>
      </c>
      <c r="C790" s="4" t="s">
        <v>67</v>
      </c>
      <c r="D790" s="4" t="s">
        <v>101</v>
      </c>
      <c r="E790" s="10">
        <v>626.54</v>
      </c>
      <c r="G790" s="4"/>
      <c r="H790" s="4"/>
      <c r="I790" s="4"/>
      <c r="K790" s="11">
        <f>IF($E790="","",ROUND($E790*IF(ISNA(MATCH($C790,'Paramètres'!$D:$D,0)),1,IF(INDEX('Paramètres'!$J:$J,MATCH($C790,'Paramètres'!$D:$D,0))="",1,INDEX('Paramètres'!$J:$J,MATCH($C790,'Paramètres'!$D:$D,0)))),2))</f>
        <v>313.27</v>
      </c>
      <c r="L790" s="6" t="str">
        <f>IF($D790="","",IF($F790&lt;&gt;"",$F790,IF(ISNA(MATCH($D790,'Paramètres'!$M:$M,0)),"⚠ Type inconnu",IFERROR(INDEX('Paramètres'!$P:$P,MATCH($D790,'Paramètres'!$M:$M,0))&amp;"",""))))</f>
        <v>Crédit</v>
      </c>
      <c r="M790" s="6" t="str">
        <f>IF($D790="","",IF(ISNA(MATCH($D790,'Paramètres'!$M:$M,0)),"⚠ Type inconnu",IF($L790="Crédit","",IFERROR(INDEX('Paramètres'!$O:$O,MATCH($D790,'Paramètres'!$M:$M,0))&amp;"",""))))</f>
        <v/>
      </c>
      <c r="N790" s="6" t="str">
        <f>IF($D790="","",IFERROR(INDEX('Paramètres'!$Q:$Q,MATCH($D790,'Paramètres'!$M:$M,0))&amp;"",""))</f>
        <v>Comptes Bancaires</v>
      </c>
      <c r="O790" s="6">
        <f>IF($A790="","",IF(OR($J790&lt;&gt;"x",$A790&lt;=FinReleve),1,0))</f>
        <v>1</v>
      </c>
      <c r="P790" s="6">
        <f>IF($D790="","",IF(AND($L790="Crédit",OR(IFERROR(INDEX('Paramètres'!$O:$O,MATCH($D790,'Paramètres'!$M:$M,0))&amp;"","")&lt;&gt;"",ISNUMBER(SEARCH("remboursement",IFERROR(INDEX('Paramètres'!$N:$N,MATCH($D790,'Paramètres'!$M:$M,0))&amp;"",""))))),1,0))</f>
        <v>0</v>
      </c>
      <c r="Q790" s="6">
        <f>IF($K790="","",IF(ISNUMBER(SEARCH("transfert-interne",IFERROR(INDEX('Paramètres'!$N:$N,MATCH($D790,'Paramètres'!$M:$M,0))&amp;"",""))),0,IF($L790="Débit",$K790,IF($P790=1,-$K790,0))))</f>
        <v>0</v>
      </c>
      <c r="R790" s="6">
        <f>IF($K790="","",IF($L790="Crédit",$K790,-$K790))</f>
        <v>313.27</v>
      </c>
      <c r="S790" s="6" t="str">
        <f>IF($C790="","",IFERROR(INDEX('Paramètres'!$H:$H,MATCH($C790,'Paramètres'!$D:$D,0))&amp;"",""))</f>
        <v>Banque A - Courant</v>
      </c>
      <c r="T790" s="6">
        <f>IF($K790="","",IF($S790="",0,IF(ISNUMBER(SEARCH("apport-exterieur",IFERROR(INDEX('Paramètres'!$N:$N,MATCH($D790,'Paramètres'!$M:$M,0))&amp;"",""))),0,IF(OR(IFERROR(INDEX('Paramètres'!$I:$I,MATCH($C790,'Paramètres'!$D:$D,0))&amp;"","")="Les deux",IFERROR(INDEX('Paramètres'!$I:$I,MATCH($C790,'Paramètres'!$D:$D,0))&amp;"","")=IF($P790=1,"Débit",$L790)),-IF($P790=1,-$K790,$K790),0))))</f>
        <v>0</v>
      </c>
      <c r="U790" s="6">
        <f>IF($K790="","",IF(ISNUMBER(SEARCH("sortie-epargne",IFERROR(INDEX('Paramètres'!$N:$N,MATCH($D790,'Paramètres'!$M:$M,0))&amp;"",""))),$K790,0))</f>
        <v>0</v>
      </c>
      <c r="V790" s="6" t="str">
        <f>IF(AND($A790&lt;&gt;"",$O790=1,$L790="Débit",N($Q790)&gt;0,$A790&gt;=Visualisation!$B$1,$A790&lt;Visualisation!$D$1),MAX($V$1:V789)+1,"")</f>
        <v/>
      </c>
    </row>
    <row r="791" spans="1:22" x14ac:dyDescent="0.25">
      <c r="A791" s="9">
        <v>46108</v>
      </c>
      <c r="B791" s="4" t="s">
        <v>114</v>
      </c>
      <c r="C791" s="4" t="s">
        <v>75</v>
      </c>
      <c r="D791" s="4" t="s">
        <v>115</v>
      </c>
      <c r="E791" s="10">
        <v>3036.51</v>
      </c>
      <c r="G791" s="4" t="s">
        <v>115</v>
      </c>
      <c r="H791" s="4"/>
      <c r="I791" s="4"/>
      <c r="K791" s="11">
        <f>IF($E791="","",ROUND($E791*IF(ISNA(MATCH($C791,'Paramètres'!$D:$D,0)),1,IF(INDEX('Paramètres'!$J:$J,MATCH($C791,'Paramètres'!$D:$D,0))="",1,INDEX('Paramètres'!$J:$J,MATCH($C791,'Paramètres'!$D:$D,0)))),2))</f>
        <v>3036.51</v>
      </c>
      <c r="L791" s="6" t="str">
        <f>IF($D791="","",IF($F791&lt;&gt;"",$F791,IF(ISNA(MATCH($D791,'Paramètres'!$M:$M,0)),"⚠ Type inconnu",IFERROR(INDEX('Paramètres'!$P:$P,MATCH($D791,'Paramètres'!$M:$M,0))&amp;"",""))))</f>
        <v>Crédit</v>
      </c>
      <c r="M791" s="6" t="str">
        <f>IF($D791="","",IF(ISNA(MATCH($D791,'Paramètres'!$M:$M,0)),"⚠ Type inconnu",IF($L791="Crédit","",IFERROR(INDEX('Paramètres'!$O:$O,MATCH($D791,'Paramètres'!$M:$M,0))&amp;"",""))))</f>
        <v/>
      </c>
      <c r="N791" s="6" t="str">
        <f>IF($D791="","",IFERROR(INDEX('Paramètres'!$Q:$Q,MATCH($D791,'Paramètres'!$M:$M,0))&amp;"",""))</f>
        <v/>
      </c>
      <c r="O791" s="6">
        <f>IF($A791="","",IF(OR($J791&lt;&gt;"x",$A791&lt;=FinReleve),1,0))</f>
        <v>1</v>
      </c>
      <c r="P791" s="6">
        <f>IF($D791="","",IF(AND($L791="Crédit",OR(IFERROR(INDEX('Paramètres'!$O:$O,MATCH($D791,'Paramètres'!$M:$M,0))&amp;"","")&lt;&gt;"",ISNUMBER(SEARCH("remboursement",IFERROR(INDEX('Paramètres'!$N:$N,MATCH($D791,'Paramètres'!$M:$M,0))&amp;"",""))))),1,0))</f>
        <v>0</v>
      </c>
      <c r="Q791" s="6">
        <f>IF($K791="","",IF(ISNUMBER(SEARCH("transfert-interne",IFERROR(INDEX('Paramètres'!$N:$N,MATCH($D791,'Paramètres'!$M:$M,0))&amp;"",""))),0,IF($L791="Débit",$K791,IF($P791=1,-$K791,0))))</f>
        <v>0</v>
      </c>
      <c r="R791" s="6">
        <f>IF($K791="","",IF($L791="Crédit",$K791,-$K791))</f>
        <v>3036.51</v>
      </c>
      <c r="S791" s="6" t="str">
        <f>IF($C791="","",IFERROR(INDEX('Paramètres'!$H:$H,MATCH($C791,'Paramètres'!$D:$D,0))&amp;"",""))</f>
        <v/>
      </c>
      <c r="T791" s="6">
        <f>IF($K791="","",IF($S791="",0,IF(ISNUMBER(SEARCH("apport-exterieur",IFERROR(INDEX('Paramètres'!$N:$N,MATCH($D791,'Paramètres'!$M:$M,0))&amp;"",""))),0,IF(OR(IFERROR(INDEX('Paramètres'!$I:$I,MATCH($C791,'Paramètres'!$D:$D,0))&amp;"","")="Les deux",IFERROR(INDEX('Paramètres'!$I:$I,MATCH($C791,'Paramètres'!$D:$D,0))&amp;"","")=IF($P791=1,"Débit",$L791)),-IF($P791=1,-$K791,$K791),0))))</f>
        <v>0</v>
      </c>
      <c r="U791" s="6">
        <f>IF($K791="","",IF(ISNUMBER(SEARCH("sortie-epargne",IFERROR(INDEX('Paramètres'!$N:$N,MATCH($D791,'Paramètres'!$M:$M,0))&amp;"",""))),$K791,0))</f>
        <v>0</v>
      </c>
      <c r="V791" s="6" t="str">
        <f>IF(AND($A791&lt;&gt;"",$O791=1,$L791="Débit",N($Q791)&gt;0,$A791&gt;=Visualisation!$B$1,$A791&lt;Visualisation!$D$1),MAX($V$1:V790)+1,"")</f>
        <v/>
      </c>
    </row>
    <row r="792" spans="1:22" x14ac:dyDescent="0.25">
      <c r="A792" s="9">
        <v>46109</v>
      </c>
      <c r="B792" s="4" t="s">
        <v>118</v>
      </c>
      <c r="C792" s="4" t="s">
        <v>75</v>
      </c>
      <c r="D792" s="4" t="s">
        <v>118</v>
      </c>
      <c r="E792" s="10">
        <v>3</v>
      </c>
      <c r="G792" s="4"/>
      <c r="H792" s="4"/>
      <c r="I792" s="4"/>
      <c r="K792" s="11">
        <f>IF($E792="","",ROUND($E792*IF(ISNA(MATCH($C792,'Paramètres'!$D:$D,0)),1,IF(INDEX('Paramètres'!$J:$J,MATCH($C792,'Paramètres'!$D:$D,0))="",1,INDEX('Paramètres'!$J:$J,MATCH($C792,'Paramètres'!$D:$D,0)))),2))</f>
        <v>3</v>
      </c>
      <c r="L792" s="6" t="str">
        <f>IF($D792="","",IF($F792&lt;&gt;"",$F792,IF(ISNA(MATCH($D792,'Paramètres'!$M:$M,0)),"⚠ Type inconnu",IFERROR(INDEX('Paramètres'!$P:$P,MATCH($D792,'Paramètres'!$M:$M,0))&amp;"",""))))</f>
        <v>Débit</v>
      </c>
      <c r="M792" s="6" t="str">
        <f>IF($D792="","",IF(ISNA(MATCH($D792,'Paramètres'!$M:$M,0)),"⚠ Type inconnu",IF($L792="Crédit","",IFERROR(INDEX('Paramètres'!$O:$O,MATCH($D792,'Paramètres'!$M:$M,0))&amp;"",""))))</f>
        <v>Dépense Fixe</v>
      </c>
      <c r="N792" s="6" t="str">
        <f>IF($D792="","",IFERROR(INDEX('Paramètres'!$Q:$Q,MATCH($D792,'Paramètres'!$M:$M,0))&amp;"",""))</f>
        <v>Banque</v>
      </c>
      <c r="O792" s="6">
        <f>IF($A792="","",IF(OR($J792&lt;&gt;"x",$A792&lt;=FinReleve),1,0))</f>
        <v>1</v>
      </c>
      <c r="P792" s="6">
        <f>IF($D792="","",IF(AND($L792="Crédit",OR(IFERROR(INDEX('Paramètres'!$O:$O,MATCH($D792,'Paramètres'!$M:$M,0))&amp;"","")&lt;&gt;"",ISNUMBER(SEARCH("remboursement",IFERROR(INDEX('Paramètres'!$N:$N,MATCH($D792,'Paramètres'!$M:$M,0))&amp;"",""))))),1,0))</f>
        <v>0</v>
      </c>
      <c r="Q792" s="6">
        <f>IF($K792="","",IF(ISNUMBER(SEARCH("transfert-interne",IFERROR(INDEX('Paramètres'!$N:$N,MATCH($D792,'Paramètres'!$M:$M,0))&amp;"",""))),0,IF($L792="Débit",$K792,IF($P792=1,-$K792,0))))</f>
        <v>3</v>
      </c>
      <c r="R792" s="6">
        <f>IF($K792="","",IF($L792="Crédit",$K792,-$K792))</f>
        <v>-3</v>
      </c>
      <c r="S792" s="6" t="str">
        <f>IF($C792="","",IFERROR(INDEX('Paramètres'!$H:$H,MATCH($C792,'Paramètres'!$D:$D,0))&amp;"",""))</f>
        <v/>
      </c>
      <c r="T792" s="6">
        <f>IF($K792="","",IF($S792="",0,IF(ISNUMBER(SEARCH("apport-exterieur",IFERROR(INDEX('Paramètres'!$N:$N,MATCH($D792,'Paramètres'!$M:$M,0))&amp;"",""))),0,IF(OR(IFERROR(INDEX('Paramètres'!$I:$I,MATCH($C792,'Paramètres'!$D:$D,0))&amp;"","")="Les deux",IFERROR(INDEX('Paramètres'!$I:$I,MATCH($C792,'Paramètres'!$D:$D,0))&amp;"","")=IF($P792=1,"Débit",$L792)),-IF($P792=1,-$K792,$K792),0))))</f>
        <v>0</v>
      </c>
      <c r="U792" s="6">
        <f>IF($K792="","",IF(ISNUMBER(SEARCH("sortie-epargne",IFERROR(INDEX('Paramètres'!$N:$N,MATCH($D792,'Paramètres'!$M:$M,0))&amp;"",""))),$K792,0))</f>
        <v>0</v>
      </c>
      <c r="V792" s="6" t="str">
        <f>IF(AND($A792&lt;&gt;"",$O792=1,$L792="Débit",N($Q792)&gt;0,$A792&gt;=Visualisation!$B$1,$A792&lt;Visualisation!$D$1),MAX($V$1:V791)+1,"")</f>
        <v/>
      </c>
    </row>
    <row r="793" spans="1:22" x14ac:dyDescent="0.25">
      <c r="A793" s="9">
        <v>46113</v>
      </c>
      <c r="B793" s="4" t="s">
        <v>69</v>
      </c>
      <c r="C793" s="4" t="s">
        <v>70</v>
      </c>
      <c r="D793" s="4" t="s">
        <v>71</v>
      </c>
      <c r="E793" s="10">
        <v>12.39</v>
      </c>
      <c r="G793" s="4" t="s">
        <v>72</v>
      </c>
      <c r="H793" s="4"/>
      <c r="I793" s="4" t="s">
        <v>63</v>
      </c>
      <c r="K793" s="11">
        <f>IF($E793="","",ROUND($E793*IF(ISNA(MATCH($C793,'Paramètres'!$D:$D,0)),1,IF(INDEX('Paramètres'!$J:$J,MATCH($C793,'Paramètres'!$D:$D,0))="",1,INDEX('Paramètres'!$J:$J,MATCH($C793,'Paramètres'!$D:$D,0)))),2))</f>
        <v>12.39</v>
      </c>
      <c r="L793" s="6" t="str">
        <f>IF($D793="","",IF($F793&lt;&gt;"",$F793,IF(ISNA(MATCH($D793,'Paramètres'!$M:$M,0)),"⚠ Type inconnu",IFERROR(INDEX('Paramètres'!$P:$P,MATCH($D793,'Paramètres'!$M:$M,0))&amp;"",""))))</f>
        <v>Débit</v>
      </c>
      <c r="M793" s="6" t="str">
        <f>IF($D793="","",IF(ISNA(MATCH($D793,'Paramètres'!$M:$M,0)),"⚠ Type inconnu",IF($L793="Crédit","",IFERROR(INDEX('Paramètres'!$O:$O,MATCH($D793,'Paramètres'!$M:$M,0))&amp;"",""))))</f>
        <v>Dépense Courante</v>
      </c>
      <c r="N793" s="6" t="str">
        <f>IF($D793="","",IFERROR(INDEX('Paramètres'!$Q:$Q,MATCH($D793,'Paramètres'!$M:$M,0))&amp;"",""))</f>
        <v>Alimentation</v>
      </c>
      <c r="O793" s="6">
        <f>IF($A793="","",IF(OR($J793&lt;&gt;"x",$A793&lt;=FinReleve),1,0))</f>
        <v>1</v>
      </c>
      <c r="P793" s="6">
        <f>IF($D793="","",IF(AND($L793="Crédit",OR(IFERROR(INDEX('Paramètres'!$O:$O,MATCH($D793,'Paramètres'!$M:$M,0))&amp;"","")&lt;&gt;"",ISNUMBER(SEARCH("remboursement",IFERROR(INDEX('Paramètres'!$N:$N,MATCH($D793,'Paramètres'!$M:$M,0))&amp;"",""))))),1,0))</f>
        <v>0</v>
      </c>
      <c r="Q793" s="6">
        <f>IF($K793="","",IF(ISNUMBER(SEARCH("transfert-interne",IFERROR(INDEX('Paramètres'!$N:$N,MATCH($D793,'Paramètres'!$M:$M,0))&amp;"",""))),0,IF($L793="Débit",$K793,IF($P793=1,-$K793,0))))</f>
        <v>12.39</v>
      </c>
      <c r="R793" s="6">
        <f>IF($K793="","",IF($L793="Crédit",$K793,-$K793))</f>
        <v>-12.39</v>
      </c>
      <c r="S793" s="6" t="str">
        <f>IF($C793="","",IFERROR(INDEX('Paramètres'!$H:$H,MATCH($C793,'Paramètres'!$D:$D,0))&amp;"",""))</f>
        <v/>
      </c>
      <c r="T793" s="6">
        <f>IF($K793="","",IF($S793="",0,IF(ISNUMBER(SEARCH("apport-exterieur",IFERROR(INDEX('Paramètres'!$N:$N,MATCH($D793,'Paramètres'!$M:$M,0))&amp;"",""))),0,IF(OR(IFERROR(INDEX('Paramètres'!$I:$I,MATCH($C793,'Paramètres'!$D:$D,0))&amp;"","")="Les deux",IFERROR(INDEX('Paramètres'!$I:$I,MATCH($C793,'Paramètres'!$D:$D,0))&amp;"","")=IF($P793=1,"Débit",$L793)),-IF($P793=1,-$K793,$K793),0))))</f>
        <v>0</v>
      </c>
      <c r="U793" s="6">
        <f>IF($K793="","",IF(ISNUMBER(SEARCH("sortie-epargne",IFERROR(INDEX('Paramètres'!$N:$N,MATCH($D793,'Paramètres'!$M:$M,0))&amp;"",""))),$K793,0))</f>
        <v>0</v>
      </c>
      <c r="V793" s="6" t="str">
        <f>IF(AND($A793&lt;&gt;"",$O793=1,$L793="Débit",N($Q793)&gt;0,$A793&gt;=Visualisation!$B$1,$A793&lt;Visualisation!$D$1),MAX($V$1:V792)+1,"")</f>
        <v/>
      </c>
    </row>
    <row r="794" spans="1:22" x14ac:dyDescent="0.25">
      <c r="A794" s="9">
        <v>46113</v>
      </c>
      <c r="B794" s="4" t="s">
        <v>69</v>
      </c>
      <c r="C794" s="4" t="s">
        <v>70</v>
      </c>
      <c r="D794" s="4" t="s">
        <v>71</v>
      </c>
      <c r="E794" s="10">
        <v>12.07</v>
      </c>
      <c r="G794" s="4" t="s">
        <v>72</v>
      </c>
      <c r="H794" s="4"/>
      <c r="I794" s="4" t="s">
        <v>93</v>
      </c>
      <c r="K794" s="11">
        <f>IF($E794="","",ROUND($E794*IF(ISNA(MATCH($C794,'Paramètres'!$D:$D,0)),1,IF(INDEX('Paramètres'!$J:$J,MATCH($C794,'Paramètres'!$D:$D,0))="",1,INDEX('Paramètres'!$J:$J,MATCH($C794,'Paramètres'!$D:$D,0)))),2))</f>
        <v>12.07</v>
      </c>
      <c r="L794" s="6" t="str">
        <f>IF($D794="","",IF($F794&lt;&gt;"",$F794,IF(ISNA(MATCH($D794,'Paramètres'!$M:$M,0)),"⚠ Type inconnu",IFERROR(INDEX('Paramètres'!$P:$P,MATCH($D794,'Paramètres'!$M:$M,0))&amp;"",""))))</f>
        <v>Débit</v>
      </c>
      <c r="M794" s="6" t="str">
        <f>IF($D794="","",IF(ISNA(MATCH($D794,'Paramètres'!$M:$M,0)),"⚠ Type inconnu",IF($L794="Crédit","",IFERROR(INDEX('Paramètres'!$O:$O,MATCH($D794,'Paramètres'!$M:$M,0))&amp;"",""))))</f>
        <v>Dépense Courante</v>
      </c>
      <c r="N794" s="6" t="str">
        <f>IF($D794="","",IFERROR(INDEX('Paramètres'!$Q:$Q,MATCH($D794,'Paramètres'!$M:$M,0))&amp;"",""))</f>
        <v>Alimentation</v>
      </c>
      <c r="O794" s="6">
        <f>IF($A794="","",IF(OR($J794&lt;&gt;"x",$A794&lt;=FinReleve),1,0))</f>
        <v>1</v>
      </c>
      <c r="P794" s="6">
        <f>IF($D794="","",IF(AND($L794="Crédit",OR(IFERROR(INDEX('Paramètres'!$O:$O,MATCH($D794,'Paramètres'!$M:$M,0))&amp;"","")&lt;&gt;"",ISNUMBER(SEARCH("remboursement",IFERROR(INDEX('Paramètres'!$N:$N,MATCH($D794,'Paramètres'!$M:$M,0))&amp;"",""))))),1,0))</f>
        <v>0</v>
      </c>
      <c r="Q794" s="6">
        <f>IF($K794="","",IF(ISNUMBER(SEARCH("transfert-interne",IFERROR(INDEX('Paramètres'!$N:$N,MATCH($D794,'Paramètres'!$M:$M,0))&amp;"",""))),0,IF($L794="Débit",$K794,IF($P794=1,-$K794,0))))</f>
        <v>12.07</v>
      </c>
      <c r="R794" s="6">
        <f>IF($K794="","",IF($L794="Crédit",$K794,-$K794))</f>
        <v>-12.07</v>
      </c>
      <c r="S794" s="6" t="str">
        <f>IF($C794="","",IFERROR(INDEX('Paramètres'!$H:$H,MATCH($C794,'Paramètres'!$D:$D,0))&amp;"",""))</f>
        <v/>
      </c>
      <c r="T794" s="6">
        <f>IF($K794="","",IF($S794="",0,IF(ISNUMBER(SEARCH("apport-exterieur",IFERROR(INDEX('Paramètres'!$N:$N,MATCH($D794,'Paramètres'!$M:$M,0))&amp;"",""))),0,IF(OR(IFERROR(INDEX('Paramètres'!$I:$I,MATCH($C794,'Paramètres'!$D:$D,0))&amp;"","")="Les deux",IFERROR(INDEX('Paramètres'!$I:$I,MATCH($C794,'Paramètres'!$D:$D,0))&amp;"","")=IF($P794=1,"Débit",$L794)),-IF($P794=1,-$K794,$K794),0))))</f>
        <v>0</v>
      </c>
      <c r="U794" s="6">
        <f>IF($K794="","",IF(ISNUMBER(SEARCH("sortie-epargne",IFERROR(INDEX('Paramètres'!$N:$N,MATCH($D794,'Paramètres'!$M:$M,0))&amp;"",""))),$K794,0))</f>
        <v>0</v>
      </c>
      <c r="V794" s="6" t="str">
        <f>IF(AND($A794&lt;&gt;"",$O794=1,$L794="Débit",N($Q794)&gt;0,$A794&gt;=Visualisation!$B$1,$A794&lt;Visualisation!$D$1),MAX($V$1:V793)+1,"")</f>
        <v/>
      </c>
    </row>
    <row r="795" spans="1:22" x14ac:dyDescent="0.25">
      <c r="A795" s="9">
        <v>46114</v>
      </c>
      <c r="B795" s="4" t="s">
        <v>64</v>
      </c>
      <c r="C795" s="4" t="s">
        <v>65</v>
      </c>
      <c r="D795" s="4" t="s">
        <v>66</v>
      </c>
      <c r="E795" s="10">
        <v>1160</v>
      </c>
      <c r="G795" s="4"/>
      <c r="H795" s="4"/>
      <c r="I795" s="4"/>
      <c r="K795" s="11">
        <f>IF($E795="","",ROUND($E795*IF(ISNA(MATCH($C795,'Paramètres'!$D:$D,0)),1,IF(INDEX('Paramètres'!$J:$J,MATCH($C795,'Paramètres'!$D:$D,0))="",1,INDEX('Paramètres'!$J:$J,MATCH($C795,'Paramètres'!$D:$D,0)))),2))</f>
        <v>1160</v>
      </c>
      <c r="L795" s="6" t="str">
        <f>IF($D795="","",IF($F795&lt;&gt;"",$F795,IF(ISNA(MATCH($D795,'Paramètres'!$M:$M,0)),"⚠ Type inconnu",IFERROR(INDEX('Paramètres'!$P:$P,MATCH($D795,'Paramètres'!$M:$M,0))&amp;"",""))))</f>
        <v>Crédit</v>
      </c>
      <c r="M795" s="6" t="str">
        <f>IF($D795="","",IF(ISNA(MATCH($D795,'Paramètres'!$M:$M,0)),"⚠ Type inconnu",IF($L795="Crédit","",IFERROR(INDEX('Paramètres'!$O:$O,MATCH($D795,'Paramètres'!$M:$M,0))&amp;"",""))))</f>
        <v/>
      </c>
      <c r="N795" s="6" t="str">
        <f>IF($D795="","",IFERROR(INDEX('Paramètres'!$Q:$Q,MATCH($D795,'Paramètres'!$M:$M,0))&amp;"",""))</f>
        <v>Comptes Bancaires</v>
      </c>
      <c r="O795" s="6">
        <f>IF($A795="","",IF(OR($J795&lt;&gt;"x",$A795&lt;=FinReleve),1,0))</f>
        <v>1</v>
      </c>
      <c r="P795" s="6">
        <f>IF($D795="","",IF(AND($L795="Crédit",OR(IFERROR(INDEX('Paramètres'!$O:$O,MATCH($D795,'Paramètres'!$M:$M,0))&amp;"","")&lt;&gt;"",ISNUMBER(SEARCH("remboursement",IFERROR(INDEX('Paramètres'!$N:$N,MATCH($D795,'Paramètres'!$M:$M,0))&amp;"",""))))),1,0))</f>
        <v>0</v>
      </c>
      <c r="Q795" s="6">
        <f>IF($K795="","",IF(ISNUMBER(SEARCH("transfert-interne",IFERROR(INDEX('Paramètres'!$N:$N,MATCH($D795,'Paramètres'!$M:$M,0))&amp;"",""))),0,IF($L795="Débit",$K795,IF($P795=1,-$K795,0))))</f>
        <v>0</v>
      </c>
      <c r="R795" s="6">
        <f>IF($K795="","",IF($L795="Crédit",$K795,-$K795))</f>
        <v>1160</v>
      </c>
      <c r="S795" s="6" t="str">
        <f>IF($C795="","",IFERROR(INDEX('Paramètres'!$H:$H,MATCH($C795,'Paramètres'!$D:$D,0))&amp;"",""))</f>
        <v>Banque A - Courant</v>
      </c>
      <c r="T795" s="6">
        <f>IF($K795="","",IF($S795="",0,IF(ISNUMBER(SEARCH("apport-exterieur",IFERROR(INDEX('Paramètres'!$N:$N,MATCH($D795,'Paramètres'!$M:$M,0))&amp;"",""))),0,IF(OR(IFERROR(INDEX('Paramètres'!$I:$I,MATCH($C795,'Paramètres'!$D:$D,0))&amp;"","")="Les deux",IFERROR(INDEX('Paramètres'!$I:$I,MATCH($C795,'Paramètres'!$D:$D,0))&amp;"","")=IF($P795=1,"Débit",$L795)),-IF($P795=1,-$K795,$K795),0))))</f>
        <v>-1160</v>
      </c>
      <c r="U795" s="6">
        <f>IF($K795="","",IF(ISNUMBER(SEARCH("sortie-epargne",IFERROR(INDEX('Paramètres'!$N:$N,MATCH($D795,'Paramètres'!$M:$M,0))&amp;"",""))),$K795,0))</f>
        <v>0</v>
      </c>
      <c r="V795" s="6" t="str">
        <f>IF(AND($A795&lt;&gt;"",$O795=1,$L795="Débit",N($Q795)&gt;0,$A795&gt;=Visualisation!$B$1,$A795&lt;Visualisation!$D$1),MAX($V$1:V794)+1,"")</f>
        <v/>
      </c>
    </row>
    <row r="796" spans="1:22" x14ac:dyDescent="0.25">
      <c r="A796" s="9">
        <v>46114</v>
      </c>
      <c r="B796" s="4" t="s">
        <v>64</v>
      </c>
      <c r="C796" s="4" t="s">
        <v>67</v>
      </c>
      <c r="D796" s="4" t="s">
        <v>68</v>
      </c>
      <c r="E796" s="10">
        <v>600</v>
      </c>
      <c r="G796" s="4"/>
      <c r="H796" s="4"/>
      <c r="I796" s="4"/>
      <c r="K796" s="11">
        <f>IF($E796="","",ROUND($E796*IF(ISNA(MATCH($C796,'Paramètres'!$D:$D,0)),1,IF(INDEX('Paramètres'!$J:$J,MATCH($C796,'Paramètres'!$D:$D,0))="",1,INDEX('Paramètres'!$J:$J,MATCH($C796,'Paramètres'!$D:$D,0)))),2))</f>
        <v>300</v>
      </c>
      <c r="L796" s="6" t="str">
        <f>IF($D796="","",IF($F796&lt;&gt;"",$F796,IF(ISNA(MATCH($D796,'Paramètres'!$M:$M,0)),"⚠ Type inconnu",IFERROR(INDEX('Paramètres'!$P:$P,MATCH($D796,'Paramètres'!$M:$M,0))&amp;"",""))))</f>
        <v>Crédit</v>
      </c>
      <c r="M796" s="6" t="str">
        <f>IF($D796="","",IF(ISNA(MATCH($D796,'Paramètres'!$M:$M,0)),"⚠ Type inconnu",IF($L796="Crédit","",IFERROR(INDEX('Paramètres'!$O:$O,MATCH($D796,'Paramètres'!$M:$M,0))&amp;"",""))))</f>
        <v/>
      </c>
      <c r="N796" s="6" t="str">
        <f>IF($D796="","",IFERROR(INDEX('Paramètres'!$Q:$Q,MATCH($D796,'Paramètres'!$M:$M,0))&amp;"",""))</f>
        <v>Comptes Bancaires</v>
      </c>
      <c r="O796" s="6">
        <f>IF($A796="","",IF(OR($J796&lt;&gt;"x",$A796&lt;=FinReleve),1,0))</f>
        <v>1</v>
      </c>
      <c r="P796" s="6">
        <f>IF($D796="","",IF(AND($L796="Crédit",OR(IFERROR(INDEX('Paramètres'!$O:$O,MATCH($D796,'Paramètres'!$M:$M,0))&amp;"","")&lt;&gt;"",ISNUMBER(SEARCH("remboursement",IFERROR(INDEX('Paramètres'!$N:$N,MATCH($D796,'Paramètres'!$M:$M,0))&amp;"",""))))),1,0))</f>
        <v>0</v>
      </c>
      <c r="Q796" s="6">
        <f>IF($K796="","",IF(ISNUMBER(SEARCH("transfert-interne",IFERROR(INDEX('Paramètres'!$N:$N,MATCH($D796,'Paramètres'!$M:$M,0))&amp;"",""))),0,IF($L796="Débit",$K796,IF($P796=1,-$K796,0))))</f>
        <v>0</v>
      </c>
      <c r="R796" s="6">
        <f>IF($K796="","",IF($L796="Crédit",$K796,-$K796))</f>
        <v>300</v>
      </c>
      <c r="S796" s="6" t="str">
        <f>IF($C796="","",IFERROR(INDEX('Paramètres'!$H:$H,MATCH($C796,'Paramètres'!$D:$D,0))&amp;"",""))</f>
        <v>Banque A - Courant</v>
      </c>
      <c r="T796" s="6">
        <f>IF($K796="","",IF($S796="",0,IF(ISNUMBER(SEARCH("apport-exterieur",IFERROR(INDEX('Paramètres'!$N:$N,MATCH($D796,'Paramètres'!$M:$M,0))&amp;"",""))),0,IF(OR(IFERROR(INDEX('Paramètres'!$I:$I,MATCH($C796,'Paramètres'!$D:$D,0))&amp;"","")="Les deux",IFERROR(INDEX('Paramètres'!$I:$I,MATCH($C796,'Paramètres'!$D:$D,0))&amp;"","")=IF($P796=1,"Débit",$L796)),-IF($P796=1,-$K796,$K796),0))))</f>
        <v>-300</v>
      </c>
      <c r="U796" s="6">
        <f>IF($K796="","",IF(ISNUMBER(SEARCH("sortie-epargne",IFERROR(INDEX('Paramètres'!$N:$N,MATCH($D796,'Paramètres'!$M:$M,0))&amp;"",""))),$K796,0))</f>
        <v>0</v>
      </c>
      <c r="V796" s="6" t="str">
        <f>IF(AND($A796&lt;&gt;"",$O796=1,$L796="Débit",N($Q796)&gt;0,$A796&gt;=Visualisation!$B$1,$A796&lt;Visualisation!$D$1),MAX($V$1:V795)+1,"")</f>
        <v/>
      </c>
    </row>
    <row r="797" spans="1:22" x14ac:dyDescent="0.25">
      <c r="A797" s="9">
        <v>46115</v>
      </c>
      <c r="B797" s="4" t="s">
        <v>74</v>
      </c>
      <c r="C797" s="4" t="s">
        <v>75</v>
      </c>
      <c r="D797" s="4" t="s">
        <v>74</v>
      </c>
      <c r="E797" s="10">
        <v>88.8</v>
      </c>
      <c r="G797" s="4"/>
      <c r="H797" s="4"/>
      <c r="I797" s="4"/>
      <c r="K797" s="11">
        <f>IF($E797="","",ROUND($E797*IF(ISNA(MATCH($C797,'Paramètres'!$D:$D,0)),1,IF(INDEX('Paramètres'!$J:$J,MATCH($C797,'Paramètres'!$D:$D,0))="",1,INDEX('Paramètres'!$J:$J,MATCH($C797,'Paramètres'!$D:$D,0)))),2))</f>
        <v>88.8</v>
      </c>
      <c r="L797" s="6" t="str">
        <f>IF($D797="","",IF($F797&lt;&gt;"",$F797,IF(ISNA(MATCH($D797,'Paramètres'!$M:$M,0)),"⚠ Type inconnu",IFERROR(INDEX('Paramètres'!$P:$P,MATCH($D797,'Paramètres'!$M:$M,0))&amp;"",""))))</f>
        <v>Débit</v>
      </c>
      <c r="M797" s="6" t="str">
        <f>IF($D797="","",IF(ISNA(MATCH($D797,'Paramètres'!$M:$M,0)),"⚠ Type inconnu",IF($L797="Crédit","",IFERROR(INDEX('Paramètres'!$O:$O,MATCH($D797,'Paramètres'!$M:$M,0))&amp;"",""))))</f>
        <v>Dépense Fixe</v>
      </c>
      <c r="N797" s="6" t="str">
        <f>IF($D797="","",IFERROR(INDEX('Paramètres'!$Q:$Q,MATCH($D797,'Paramètres'!$M:$M,0))&amp;"",""))</f>
        <v>Transport</v>
      </c>
      <c r="O797" s="6">
        <f>IF($A797="","",IF(OR($J797&lt;&gt;"x",$A797&lt;=FinReleve),1,0))</f>
        <v>1</v>
      </c>
      <c r="P797" s="6">
        <f>IF($D797="","",IF(AND($L797="Crédit",OR(IFERROR(INDEX('Paramètres'!$O:$O,MATCH($D797,'Paramètres'!$M:$M,0))&amp;"","")&lt;&gt;"",ISNUMBER(SEARCH("remboursement",IFERROR(INDEX('Paramètres'!$N:$N,MATCH($D797,'Paramètres'!$M:$M,0))&amp;"",""))))),1,0))</f>
        <v>0</v>
      </c>
      <c r="Q797" s="6">
        <f>IF($K797="","",IF(ISNUMBER(SEARCH("transfert-interne",IFERROR(INDEX('Paramètres'!$N:$N,MATCH($D797,'Paramètres'!$M:$M,0))&amp;"",""))),0,IF($L797="Débit",$K797,IF($P797=1,-$K797,0))))</f>
        <v>88.8</v>
      </c>
      <c r="R797" s="6">
        <f>IF($K797="","",IF($L797="Crédit",$K797,-$K797))</f>
        <v>-88.8</v>
      </c>
      <c r="S797" s="6" t="str">
        <f>IF($C797="","",IFERROR(INDEX('Paramètres'!$H:$H,MATCH($C797,'Paramètres'!$D:$D,0))&amp;"",""))</f>
        <v/>
      </c>
      <c r="T797" s="6">
        <f>IF($K797="","",IF($S797="",0,IF(ISNUMBER(SEARCH("apport-exterieur",IFERROR(INDEX('Paramètres'!$N:$N,MATCH($D797,'Paramètres'!$M:$M,0))&amp;"",""))),0,IF(OR(IFERROR(INDEX('Paramètres'!$I:$I,MATCH($C797,'Paramètres'!$D:$D,0))&amp;"","")="Les deux",IFERROR(INDEX('Paramètres'!$I:$I,MATCH($C797,'Paramètres'!$D:$D,0))&amp;"","")=IF($P797=1,"Débit",$L797)),-IF($P797=1,-$K797,$K797),0))))</f>
        <v>0</v>
      </c>
      <c r="U797" s="6">
        <f>IF($K797="","",IF(ISNUMBER(SEARCH("sortie-epargne",IFERROR(INDEX('Paramètres'!$N:$N,MATCH($D797,'Paramètres'!$M:$M,0))&amp;"",""))),$K797,0))</f>
        <v>0</v>
      </c>
      <c r="V797" s="6" t="str">
        <f>IF(AND($A797&lt;&gt;"",$O797=1,$L797="Débit",N($Q797)&gt;0,$A797&gt;=Visualisation!$B$1,$A797&lt;Visualisation!$D$1),MAX($V$1:V796)+1,"")</f>
        <v/>
      </c>
    </row>
    <row r="798" spans="1:22" x14ac:dyDescent="0.25">
      <c r="A798" s="9">
        <v>46116</v>
      </c>
      <c r="B798" s="4" t="s">
        <v>76</v>
      </c>
      <c r="C798" s="4" t="s">
        <v>60</v>
      </c>
      <c r="D798" s="4" t="s">
        <v>77</v>
      </c>
      <c r="E798" s="10">
        <v>42.06</v>
      </c>
      <c r="G798" s="4" t="s">
        <v>95</v>
      </c>
      <c r="H798" s="4"/>
      <c r="I798" s="4" t="s">
        <v>73</v>
      </c>
      <c r="K798" s="11">
        <f>IF($E798="","",ROUND($E798*IF(ISNA(MATCH($C798,'Paramètres'!$D:$D,0)),1,IF(INDEX('Paramètres'!$J:$J,MATCH($C798,'Paramètres'!$D:$D,0))="",1,INDEX('Paramètres'!$J:$J,MATCH($C798,'Paramètres'!$D:$D,0)))),2))</f>
        <v>21.03</v>
      </c>
      <c r="L798" s="6" t="str">
        <f>IF($D798="","",IF($F798&lt;&gt;"",$F798,IF(ISNA(MATCH($D798,'Paramètres'!$M:$M,0)),"⚠ Type inconnu",IFERROR(INDEX('Paramètres'!$P:$P,MATCH($D798,'Paramètres'!$M:$M,0))&amp;"",""))))</f>
        <v>Débit</v>
      </c>
      <c r="M798" s="6" t="str">
        <f>IF($D798="","",IF(ISNA(MATCH($D798,'Paramètres'!$M:$M,0)),"⚠ Type inconnu",IF($L798="Crédit","",IFERROR(INDEX('Paramètres'!$O:$O,MATCH($D798,'Paramètres'!$M:$M,0))&amp;"",""))))</f>
        <v>Dépense Courante</v>
      </c>
      <c r="N798" s="6" t="str">
        <f>IF($D798="","",IFERROR(INDEX('Paramètres'!$Q:$Q,MATCH($D798,'Paramètres'!$M:$M,0))&amp;"",""))</f>
        <v>Alimentation</v>
      </c>
      <c r="O798" s="6">
        <f>IF($A798="","",IF(OR($J798&lt;&gt;"x",$A798&lt;=FinReleve),1,0))</f>
        <v>1</v>
      </c>
      <c r="P798" s="6">
        <f>IF($D798="","",IF(AND($L798="Crédit",OR(IFERROR(INDEX('Paramètres'!$O:$O,MATCH($D798,'Paramètres'!$M:$M,0))&amp;"","")&lt;&gt;"",ISNUMBER(SEARCH("remboursement",IFERROR(INDEX('Paramètres'!$N:$N,MATCH($D798,'Paramètres'!$M:$M,0))&amp;"",""))))),1,0))</f>
        <v>0</v>
      </c>
      <c r="Q798" s="6">
        <f>IF($K798="","",IF(ISNUMBER(SEARCH("transfert-interne",IFERROR(INDEX('Paramètres'!$N:$N,MATCH($D798,'Paramètres'!$M:$M,0))&amp;"",""))),0,IF($L798="Débit",$K798,IF($P798=1,-$K798,0))))</f>
        <v>21.03</v>
      </c>
      <c r="R798" s="6">
        <f>IF($K798="","",IF($L798="Crédit",$K798,-$K798))</f>
        <v>-21.03</v>
      </c>
      <c r="S798" s="6" t="str">
        <f>IF($C798="","",IFERROR(INDEX('Paramètres'!$H:$H,MATCH($C798,'Paramètres'!$D:$D,0))&amp;"",""))</f>
        <v>Banque A - Courant</v>
      </c>
      <c r="T798" s="6">
        <f>IF($K798="","",IF($S798="",0,IF(ISNUMBER(SEARCH("apport-exterieur",IFERROR(INDEX('Paramètres'!$N:$N,MATCH($D798,'Paramètres'!$M:$M,0))&amp;"",""))),0,IF(OR(IFERROR(INDEX('Paramètres'!$I:$I,MATCH($C798,'Paramètres'!$D:$D,0))&amp;"","")="Les deux",IFERROR(INDEX('Paramètres'!$I:$I,MATCH($C798,'Paramètres'!$D:$D,0))&amp;"","")=IF($P798=1,"Débit",$L798)),-IF($P798=1,-$K798,$K798),0))))</f>
        <v>-21.03</v>
      </c>
      <c r="U798" s="6">
        <f>IF($K798="","",IF(ISNUMBER(SEARCH("sortie-epargne",IFERROR(INDEX('Paramètres'!$N:$N,MATCH($D798,'Paramètres'!$M:$M,0))&amp;"",""))),$K798,0))</f>
        <v>0</v>
      </c>
      <c r="V798" s="6" t="str">
        <f>IF(AND($A798&lt;&gt;"",$O798=1,$L798="Débit",N($Q798)&gt;0,$A798&gt;=Visualisation!$B$1,$A798&lt;Visualisation!$D$1),MAX($V$1:V797)+1,"")</f>
        <v/>
      </c>
    </row>
    <row r="799" spans="1:22" x14ac:dyDescent="0.25">
      <c r="A799" s="9">
        <v>46116</v>
      </c>
      <c r="B799" s="4" t="s">
        <v>69</v>
      </c>
      <c r="C799" s="4" t="s">
        <v>70</v>
      </c>
      <c r="D799" s="4" t="s">
        <v>71</v>
      </c>
      <c r="E799" s="10">
        <v>11.49</v>
      </c>
      <c r="G799" s="4" t="s">
        <v>72</v>
      </c>
      <c r="H799" s="4"/>
      <c r="I799" s="4" t="s">
        <v>93</v>
      </c>
      <c r="K799" s="11">
        <f>IF($E799="","",ROUND($E799*IF(ISNA(MATCH($C799,'Paramètres'!$D:$D,0)),1,IF(INDEX('Paramètres'!$J:$J,MATCH($C799,'Paramètres'!$D:$D,0))="",1,INDEX('Paramètres'!$J:$J,MATCH($C799,'Paramètres'!$D:$D,0)))),2))</f>
        <v>11.49</v>
      </c>
      <c r="L799" s="6" t="str">
        <f>IF($D799="","",IF($F799&lt;&gt;"",$F799,IF(ISNA(MATCH($D799,'Paramètres'!$M:$M,0)),"⚠ Type inconnu",IFERROR(INDEX('Paramètres'!$P:$P,MATCH($D799,'Paramètres'!$M:$M,0))&amp;"",""))))</f>
        <v>Débit</v>
      </c>
      <c r="M799" s="6" t="str">
        <f>IF($D799="","",IF(ISNA(MATCH($D799,'Paramètres'!$M:$M,0)),"⚠ Type inconnu",IF($L799="Crédit","",IFERROR(INDEX('Paramètres'!$O:$O,MATCH($D799,'Paramètres'!$M:$M,0))&amp;"",""))))</f>
        <v>Dépense Courante</v>
      </c>
      <c r="N799" s="6" t="str">
        <f>IF($D799="","",IFERROR(INDEX('Paramètres'!$Q:$Q,MATCH($D799,'Paramètres'!$M:$M,0))&amp;"",""))</f>
        <v>Alimentation</v>
      </c>
      <c r="O799" s="6">
        <f>IF($A799="","",IF(OR($J799&lt;&gt;"x",$A799&lt;=FinReleve),1,0))</f>
        <v>1</v>
      </c>
      <c r="P799" s="6">
        <f>IF($D799="","",IF(AND($L799="Crédit",OR(IFERROR(INDEX('Paramètres'!$O:$O,MATCH($D799,'Paramètres'!$M:$M,0))&amp;"","")&lt;&gt;"",ISNUMBER(SEARCH("remboursement",IFERROR(INDEX('Paramètres'!$N:$N,MATCH($D799,'Paramètres'!$M:$M,0))&amp;"",""))))),1,0))</f>
        <v>0</v>
      </c>
      <c r="Q799" s="6">
        <f>IF($K799="","",IF(ISNUMBER(SEARCH("transfert-interne",IFERROR(INDEX('Paramètres'!$N:$N,MATCH($D799,'Paramètres'!$M:$M,0))&amp;"",""))),0,IF($L799="Débit",$K799,IF($P799=1,-$K799,0))))</f>
        <v>11.49</v>
      </c>
      <c r="R799" s="6">
        <f>IF($K799="","",IF($L799="Crédit",$K799,-$K799))</f>
        <v>-11.49</v>
      </c>
      <c r="S799" s="6" t="str">
        <f>IF($C799="","",IFERROR(INDEX('Paramètres'!$H:$H,MATCH($C799,'Paramètres'!$D:$D,0))&amp;"",""))</f>
        <v/>
      </c>
      <c r="T799" s="6">
        <f>IF($K799="","",IF($S799="",0,IF(ISNUMBER(SEARCH("apport-exterieur",IFERROR(INDEX('Paramètres'!$N:$N,MATCH($D799,'Paramètres'!$M:$M,0))&amp;"",""))),0,IF(OR(IFERROR(INDEX('Paramètres'!$I:$I,MATCH($C799,'Paramètres'!$D:$D,0))&amp;"","")="Les deux",IFERROR(INDEX('Paramètres'!$I:$I,MATCH($C799,'Paramètres'!$D:$D,0))&amp;"","")=IF($P799=1,"Débit",$L799)),-IF($P799=1,-$K799,$K799),0))))</f>
        <v>0</v>
      </c>
      <c r="U799" s="6">
        <f>IF($K799="","",IF(ISNUMBER(SEARCH("sortie-epargne",IFERROR(INDEX('Paramètres'!$N:$N,MATCH($D799,'Paramètres'!$M:$M,0))&amp;"",""))),$K799,0))</f>
        <v>0</v>
      </c>
      <c r="V799" s="6" t="str">
        <f>IF(AND($A799&lt;&gt;"",$O799=1,$L799="Débit",N($Q799)&gt;0,$A799&gt;=Visualisation!$B$1,$A799&lt;Visualisation!$D$1),MAX($V$1:V798)+1,"")</f>
        <v/>
      </c>
    </row>
    <row r="800" spans="1:22" x14ac:dyDescent="0.25">
      <c r="A800" s="9">
        <v>46116</v>
      </c>
      <c r="B800" s="4" t="s">
        <v>119</v>
      </c>
      <c r="C800" s="4" t="s">
        <v>60</v>
      </c>
      <c r="D800" s="4" t="s">
        <v>119</v>
      </c>
      <c r="E800" s="10">
        <v>65.78</v>
      </c>
      <c r="G800" s="4" t="s">
        <v>127</v>
      </c>
      <c r="H800" s="4" t="s">
        <v>120</v>
      </c>
      <c r="I800" s="4" t="s">
        <v>79</v>
      </c>
      <c r="K800" s="11">
        <f>IF($E800="","",ROUND($E800*IF(ISNA(MATCH($C800,'Paramètres'!$D:$D,0)),1,IF(INDEX('Paramètres'!$J:$J,MATCH($C800,'Paramètres'!$D:$D,0))="",1,INDEX('Paramètres'!$J:$J,MATCH($C800,'Paramètres'!$D:$D,0)))),2))</f>
        <v>32.89</v>
      </c>
      <c r="L800" s="6" t="str">
        <f>IF($D800="","",IF($F800&lt;&gt;"",$F800,IF(ISNA(MATCH($D800,'Paramètres'!$M:$M,0)),"⚠ Type inconnu",IFERROR(INDEX('Paramètres'!$P:$P,MATCH($D800,'Paramètres'!$M:$M,0))&amp;"",""))))</f>
        <v>Débit</v>
      </c>
      <c r="M800" s="6" t="str">
        <f>IF($D800="","",IF(ISNA(MATCH($D800,'Paramètres'!$M:$M,0)),"⚠ Type inconnu",IF($L800="Crédit","",IFERROR(INDEX('Paramètres'!$O:$O,MATCH($D800,'Paramètres'!$M:$M,0))&amp;"",""))))</f>
        <v>Dépense Occasionnelle</v>
      </c>
      <c r="N800" s="6" t="str">
        <f>IF($D800="","",IFERROR(INDEX('Paramètres'!$Q:$Q,MATCH($D800,'Paramètres'!$M:$M,0))&amp;"",""))</f>
        <v>Alimentation</v>
      </c>
      <c r="O800" s="6">
        <f>IF($A800="","",IF(OR($J800&lt;&gt;"x",$A800&lt;=FinReleve),1,0))</f>
        <v>1</v>
      </c>
      <c r="P800" s="6">
        <f>IF($D800="","",IF(AND($L800="Crédit",OR(IFERROR(INDEX('Paramètres'!$O:$O,MATCH($D800,'Paramètres'!$M:$M,0))&amp;"","")&lt;&gt;"",ISNUMBER(SEARCH("remboursement",IFERROR(INDEX('Paramètres'!$N:$N,MATCH($D800,'Paramètres'!$M:$M,0))&amp;"",""))))),1,0))</f>
        <v>0</v>
      </c>
      <c r="Q800" s="6">
        <f>IF($K800="","",IF(ISNUMBER(SEARCH("transfert-interne",IFERROR(INDEX('Paramètres'!$N:$N,MATCH($D800,'Paramètres'!$M:$M,0))&amp;"",""))),0,IF($L800="Débit",$K800,IF($P800=1,-$K800,0))))</f>
        <v>32.89</v>
      </c>
      <c r="R800" s="6">
        <f>IF($K800="","",IF($L800="Crédit",$K800,-$K800))</f>
        <v>-32.89</v>
      </c>
      <c r="S800" s="6" t="str">
        <f>IF($C800="","",IFERROR(INDEX('Paramètres'!$H:$H,MATCH($C800,'Paramètres'!$D:$D,0))&amp;"",""))</f>
        <v>Banque A - Courant</v>
      </c>
      <c r="T800" s="6">
        <f>IF($K800="","",IF($S800="",0,IF(ISNUMBER(SEARCH("apport-exterieur",IFERROR(INDEX('Paramètres'!$N:$N,MATCH($D800,'Paramètres'!$M:$M,0))&amp;"",""))),0,IF(OR(IFERROR(INDEX('Paramètres'!$I:$I,MATCH($C800,'Paramètres'!$D:$D,0))&amp;"","")="Les deux",IFERROR(INDEX('Paramètres'!$I:$I,MATCH($C800,'Paramètres'!$D:$D,0))&amp;"","")=IF($P800=1,"Débit",$L800)),-IF($P800=1,-$K800,$K800),0))))</f>
        <v>-32.89</v>
      </c>
      <c r="U800" s="6">
        <f>IF($K800="","",IF(ISNUMBER(SEARCH("sortie-epargne",IFERROR(INDEX('Paramètres'!$N:$N,MATCH($D800,'Paramètres'!$M:$M,0))&amp;"",""))),$K800,0))</f>
        <v>0</v>
      </c>
      <c r="V800" s="6" t="str">
        <f>IF(AND($A800&lt;&gt;"",$O800=1,$L800="Débit",N($Q800)&gt;0,$A800&gt;=Visualisation!$B$1,$A800&lt;Visualisation!$D$1),MAX($V$1:V799)+1,"")</f>
        <v/>
      </c>
    </row>
    <row r="801" spans="1:22" x14ac:dyDescent="0.25">
      <c r="A801" s="9">
        <v>46116</v>
      </c>
      <c r="B801" s="4" t="s">
        <v>80</v>
      </c>
      <c r="C801" s="4" t="s">
        <v>70</v>
      </c>
      <c r="D801" s="4" t="s">
        <v>81</v>
      </c>
      <c r="E801" s="10">
        <v>119.89</v>
      </c>
      <c r="G801" s="4"/>
      <c r="H801" s="4"/>
      <c r="I801" s="4"/>
      <c r="K801" s="11">
        <f>IF($E801="","",ROUND($E801*IF(ISNA(MATCH($C801,'Paramètres'!$D:$D,0)),1,IF(INDEX('Paramètres'!$J:$J,MATCH($C801,'Paramètres'!$D:$D,0))="",1,INDEX('Paramètres'!$J:$J,MATCH($C801,'Paramètres'!$D:$D,0)))),2))</f>
        <v>119.89</v>
      </c>
      <c r="L801" s="6" t="str">
        <f>IF($D801="","",IF($F801&lt;&gt;"",$F801,IF(ISNA(MATCH($D801,'Paramètres'!$M:$M,0)),"⚠ Type inconnu",IFERROR(INDEX('Paramètres'!$P:$P,MATCH($D801,'Paramètres'!$M:$M,0))&amp;"",""))))</f>
        <v>Crédit</v>
      </c>
      <c r="M801" s="6" t="str">
        <f>IF($D801="","",IF(ISNA(MATCH($D801,'Paramètres'!$M:$M,0)),"⚠ Type inconnu",IF($L801="Crédit","",IFERROR(INDEX('Paramètres'!$O:$O,MATCH($D801,'Paramètres'!$M:$M,0))&amp;"",""))))</f>
        <v/>
      </c>
      <c r="N801" s="6" t="str">
        <f>IF($D801="","",IFERROR(INDEX('Paramètres'!$Q:$Q,MATCH($D801,'Paramètres'!$M:$M,0))&amp;"",""))</f>
        <v>Comptes Bancaires</v>
      </c>
      <c r="O801" s="6">
        <f>IF($A801="","",IF(OR($J801&lt;&gt;"x",$A801&lt;=FinReleve),1,0))</f>
        <v>1</v>
      </c>
      <c r="P801" s="6">
        <f>IF($D801="","",IF(AND($L801="Crédit",OR(IFERROR(INDEX('Paramètres'!$O:$O,MATCH($D801,'Paramètres'!$M:$M,0))&amp;"","")&lt;&gt;"",ISNUMBER(SEARCH("remboursement",IFERROR(INDEX('Paramètres'!$N:$N,MATCH($D801,'Paramètres'!$M:$M,0))&amp;"",""))))),1,0))</f>
        <v>0</v>
      </c>
      <c r="Q801" s="6">
        <f>IF($K801="","",IF(ISNUMBER(SEARCH("transfert-interne",IFERROR(INDEX('Paramètres'!$N:$N,MATCH($D801,'Paramètres'!$M:$M,0))&amp;"",""))),0,IF($L801="Débit",$K801,IF($P801=1,-$K801,0))))</f>
        <v>0</v>
      </c>
      <c r="R801" s="6">
        <f>IF($K801="","",IF($L801="Crédit",$K801,-$K801))</f>
        <v>119.89</v>
      </c>
      <c r="S801" s="6" t="str">
        <f>IF($C801="","",IFERROR(INDEX('Paramètres'!$H:$H,MATCH($C801,'Paramètres'!$D:$D,0))&amp;"",""))</f>
        <v/>
      </c>
      <c r="T801" s="6">
        <f>IF($K801="","",IF($S801="",0,IF(ISNUMBER(SEARCH("apport-exterieur",IFERROR(INDEX('Paramètres'!$N:$N,MATCH($D801,'Paramètres'!$M:$M,0))&amp;"",""))),0,IF(OR(IFERROR(INDEX('Paramètres'!$I:$I,MATCH($C801,'Paramètres'!$D:$D,0))&amp;"","")="Les deux",IFERROR(INDEX('Paramètres'!$I:$I,MATCH($C801,'Paramètres'!$D:$D,0))&amp;"","")=IF($P801=1,"Débit",$L801)),-IF($P801=1,-$K801,$K801),0))))</f>
        <v>0</v>
      </c>
      <c r="U801" s="6">
        <f>IF($K801="","",IF(ISNUMBER(SEARCH("sortie-epargne",IFERROR(INDEX('Paramètres'!$N:$N,MATCH($D801,'Paramètres'!$M:$M,0))&amp;"",""))),$K801,0))</f>
        <v>0</v>
      </c>
      <c r="V801" s="6" t="str">
        <f>IF(AND($A801&lt;&gt;"",$O801=1,$L801="Débit",N($Q801)&gt;0,$A801&gt;=Visualisation!$B$1,$A801&lt;Visualisation!$D$1),MAX($V$1:V800)+1,"")</f>
        <v/>
      </c>
    </row>
    <row r="802" spans="1:22" x14ac:dyDescent="0.25">
      <c r="A802" s="9">
        <v>46117</v>
      </c>
      <c r="B802" s="4" t="s">
        <v>82</v>
      </c>
      <c r="C802" s="4" t="s">
        <v>65</v>
      </c>
      <c r="D802" s="4" t="s">
        <v>83</v>
      </c>
      <c r="E802" s="10">
        <v>664.16</v>
      </c>
      <c r="G802" s="4" t="s">
        <v>84</v>
      </c>
      <c r="H802" s="4"/>
      <c r="I802" s="4"/>
      <c r="K802" s="11">
        <f>IF($E802="","",ROUND($E802*IF(ISNA(MATCH($C802,'Paramètres'!$D:$D,0)),1,IF(INDEX('Paramètres'!$J:$J,MATCH($C802,'Paramètres'!$D:$D,0))="",1,INDEX('Paramètres'!$J:$J,MATCH($C802,'Paramètres'!$D:$D,0)))),2))</f>
        <v>664.16</v>
      </c>
      <c r="L802" s="6" t="str">
        <f>IF($D802="","",IF($F802&lt;&gt;"",$F802,IF(ISNA(MATCH($D802,'Paramètres'!$M:$M,0)),"⚠ Type inconnu",IFERROR(INDEX('Paramètres'!$P:$P,MATCH($D802,'Paramètres'!$M:$M,0))&amp;"",""))))</f>
        <v>Débit</v>
      </c>
      <c r="M802" s="6" t="str">
        <f>IF($D802="","",IF(ISNA(MATCH($D802,'Paramètres'!$M:$M,0)),"⚠ Type inconnu",IF($L802="Crédit","",IFERROR(INDEX('Paramètres'!$O:$O,MATCH($D802,'Paramètres'!$M:$M,0))&amp;"",""))))</f>
        <v/>
      </c>
      <c r="N802" s="6" t="str">
        <f>IF($D802="","",IFERROR(INDEX('Paramètres'!$Q:$Q,MATCH($D802,'Paramètres'!$M:$M,0))&amp;"",""))</f>
        <v>Immobilier</v>
      </c>
      <c r="O802" s="6">
        <f>IF($A802="","",IF(OR($J802&lt;&gt;"x",$A802&lt;=FinReleve),1,0))</f>
        <v>1</v>
      </c>
      <c r="P802" s="6">
        <f>IF($D802="","",IF(AND($L802="Crédit",OR(IFERROR(INDEX('Paramètres'!$O:$O,MATCH($D802,'Paramètres'!$M:$M,0))&amp;"","")&lt;&gt;"",ISNUMBER(SEARCH("remboursement",IFERROR(INDEX('Paramètres'!$N:$N,MATCH($D802,'Paramètres'!$M:$M,0))&amp;"",""))))),1,0))</f>
        <v>0</v>
      </c>
      <c r="Q802" s="6">
        <f>IF($K802="","",IF(ISNUMBER(SEARCH("transfert-interne",IFERROR(INDEX('Paramètres'!$N:$N,MATCH($D802,'Paramètres'!$M:$M,0))&amp;"",""))),0,IF($L802="Débit",$K802,IF($P802=1,-$K802,0))))</f>
        <v>664.16</v>
      </c>
      <c r="R802" s="6">
        <f>IF($K802="","",IF($L802="Crédit",$K802,-$K802))</f>
        <v>-664.16</v>
      </c>
      <c r="S802" s="6" t="str">
        <f>IF($C802="","",IFERROR(INDEX('Paramètres'!$H:$H,MATCH($C802,'Paramètres'!$D:$D,0))&amp;"",""))</f>
        <v>Banque A - Courant</v>
      </c>
      <c r="T802" s="6">
        <f>IF($K802="","",IF($S802="",0,IF(ISNUMBER(SEARCH("apport-exterieur",IFERROR(INDEX('Paramètres'!$N:$N,MATCH($D802,'Paramètres'!$M:$M,0))&amp;"",""))),0,IF(OR(IFERROR(INDEX('Paramètres'!$I:$I,MATCH($C802,'Paramètres'!$D:$D,0))&amp;"","")="Les deux",IFERROR(INDEX('Paramètres'!$I:$I,MATCH($C802,'Paramètres'!$D:$D,0))&amp;"","")=IF($P802=1,"Débit",$L802)),-IF($P802=1,-$K802,$K802),0))))</f>
        <v>0</v>
      </c>
      <c r="U802" s="6">
        <f>IF($K802="","",IF(ISNUMBER(SEARCH("sortie-epargne",IFERROR(INDEX('Paramètres'!$N:$N,MATCH($D802,'Paramètres'!$M:$M,0))&amp;"",""))),$K802,0))</f>
        <v>0</v>
      </c>
      <c r="V802" s="6" t="str">
        <f>IF(AND($A802&lt;&gt;"",$O802=1,$L802="Débit",N($Q802)&gt;0,$A802&gt;=Visualisation!$B$1,$A802&lt;Visualisation!$D$1),MAX($V$1:V801)+1,"")</f>
        <v/>
      </c>
    </row>
    <row r="803" spans="1:22" x14ac:dyDescent="0.25">
      <c r="A803" s="9">
        <v>46117</v>
      </c>
      <c r="B803" s="4" t="s">
        <v>85</v>
      </c>
      <c r="C803" s="4" t="s">
        <v>65</v>
      </c>
      <c r="D803" s="4" t="s">
        <v>86</v>
      </c>
      <c r="E803" s="10">
        <v>229.48</v>
      </c>
      <c r="G803" s="4" t="s">
        <v>87</v>
      </c>
      <c r="H803" s="4"/>
      <c r="I803" s="4"/>
      <c r="K803" s="11">
        <f>IF($E803="","",ROUND($E803*IF(ISNA(MATCH($C803,'Paramètres'!$D:$D,0)),1,IF(INDEX('Paramètres'!$J:$J,MATCH($C803,'Paramètres'!$D:$D,0))="",1,INDEX('Paramètres'!$J:$J,MATCH($C803,'Paramètres'!$D:$D,0)))),2))</f>
        <v>229.48</v>
      </c>
      <c r="L803" s="6" t="str">
        <f>IF($D803="","",IF($F803&lt;&gt;"",$F803,IF(ISNA(MATCH($D803,'Paramètres'!$M:$M,0)),"⚠ Type inconnu",IFERROR(INDEX('Paramètres'!$P:$P,MATCH($D803,'Paramètres'!$M:$M,0))&amp;"",""))))</f>
        <v>Débit</v>
      </c>
      <c r="M803" s="6" t="str">
        <f>IF($D803="","",IF(ISNA(MATCH($D803,'Paramètres'!$M:$M,0)),"⚠ Type inconnu",IF($L803="Crédit","",IFERROR(INDEX('Paramètres'!$O:$O,MATCH($D803,'Paramètres'!$M:$M,0))&amp;"",""))))</f>
        <v>Dépense Fixe</v>
      </c>
      <c r="N803" s="6" t="str">
        <f>IF($D803="","",IFERROR(INDEX('Paramètres'!$Q:$Q,MATCH($D803,'Paramètres'!$M:$M,0))&amp;"",""))</f>
        <v>Immobilier</v>
      </c>
      <c r="O803" s="6">
        <f>IF($A803="","",IF(OR($J803&lt;&gt;"x",$A803&lt;=FinReleve),1,0))</f>
        <v>1</v>
      </c>
      <c r="P803" s="6">
        <f>IF($D803="","",IF(AND($L803="Crédit",OR(IFERROR(INDEX('Paramètres'!$O:$O,MATCH($D803,'Paramètres'!$M:$M,0))&amp;"","")&lt;&gt;"",ISNUMBER(SEARCH("remboursement",IFERROR(INDEX('Paramètres'!$N:$N,MATCH($D803,'Paramètres'!$M:$M,0))&amp;"",""))))),1,0))</f>
        <v>0</v>
      </c>
      <c r="Q803" s="6">
        <f>IF($K803="","",IF(ISNUMBER(SEARCH("transfert-interne",IFERROR(INDEX('Paramètres'!$N:$N,MATCH($D803,'Paramètres'!$M:$M,0))&amp;"",""))),0,IF($L803="Débit",$K803,IF($P803=1,-$K803,0))))</f>
        <v>229.48</v>
      </c>
      <c r="R803" s="6">
        <f>IF($K803="","",IF($L803="Crédit",$K803,-$K803))</f>
        <v>-229.48</v>
      </c>
      <c r="S803" s="6" t="str">
        <f>IF($C803="","",IFERROR(INDEX('Paramètres'!$H:$H,MATCH($C803,'Paramètres'!$D:$D,0))&amp;"",""))</f>
        <v>Banque A - Courant</v>
      </c>
      <c r="T803" s="6">
        <f>IF($K803="","",IF($S803="",0,IF(ISNUMBER(SEARCH("apport-exterieur",IFERROR(INDEX('Paramètres'!$N:$N,MATCH($D803,'Paramètres'!$M:$M,0))&amp;"",""))),0,IF(OR(IFERROR(INDEX('Paramètres'!$I:$I,MATCH($C803,'Paramètres'!$D:$D,0))&amp;"","")="Les deux",IFERROR(INDEX('Paramètres'!$I:$I,MATCH($C803,'Paramètres'!$D:$D,0))&amp;"","")=IF($P803=1,"Débit",$L803)),-IF($P803=1,-$K803,$K803),0))))</f>
        <v>0</v>
      </c>
      <c r="U803" s="6">
        <f>IF($K803="","",IF(ISNUMBER(SEARCH("sortie-epargne",IFERROR(INDEX('Paramètres'!$N:$N,MATCH($D803,'Paramètres'!$M:$M,0))&amp;"",""))),$K803,0))</f>
        <v>0</v>
      </c>
      <c r="V803" s="6" t="str">
        <f>IF(AND($A803&lt;&gt;"",$O803=1,$L803="Débit",N($Q803)&gt;0,$A803&gt;=Visualisation!$B$1,$A803&lt;Visualisation!$D$1),MAX($V$1:V802)+1,"")</f>
        <v/>
      </c>
    </row>
    <row r="804" spans="1:22" x14ac:dyDescent="0.25">
      <c r="A804" s="9">
        <v>46117</v>
      </c>
      <c r="B804" s="4" t="s">
        <v>88</v>
      </c>
      <c r="C804" s="4" t="s">
        <v>65</v>
      </c>
      <c r="D804" s="4" t="s">
        <v>88</v>
      </c>
      <c r="E804" s="10">
        <v>31.2</v>
      </c>
      <c r="G804" s="4"/>
      <c r="H804" s="4"/>
      <c r="I804" s="4"/>
      <c r="K804" s="11">
        <f>IF($E804="","",ROUND($E804*IF(ISNA(MATCH($C804,'Paramètres'!$D:$D,0)),1,IF(INDEX('Paramètres'!$J:$J,MATCH($C804,'Paramètres'!$D:$D,0))="",1,INDEX('Paramètres'!$J:$J,MATCH($C804,'Paramètres'!$D:$D,0)))),2))</f>
        <v>31.2</v>
      </c>
      <c r="L804" s="6" t="str">
        <f>IF($D804="","",IF($F804&lt;&gt;"",$F804,IF(ISNA(MATCH($D804,'Paramètres'!$M:$M,0)),"⚠ Type inconnu",IFERROR(INDEX('Paramètres'!$P:$P,MATCH($D804,'Paramètres'!$M:$M,0))&amp;"",""))))</f>
        <v>Débit</v>
      </c>
      <c r="M804" s="6" t="str">
        <f>IF($D804="","",IF(ISNA(MATCH($D804,'Paramètres'!$M:$M,0)),"⚠ Type inconnu",IF($L804="Crédit","",IFERROR(INDEX('Paramètres'!$O:$O,MATCH($D804,'Paramètres'!$M:$M,0))&amp;"",""))))</f>
        <v>Dépense Fixe</v>
      </c>
      <c r="N804" s="6" t="str">
        <f>IF($D804="","",IFERROR(INDEX('Paramètres'!$Q:$Q,MATCH($D804,'Paramètres'!$M:$M,0))&amp;"",""))</f>
        <v>Assurances</v>
      </c>
      <c r="O804" s="6">
        <f>IF($A804="","",IF(OR($J804&lt;&gt;"x",$A804&lt;=FinReleve),1,0))</f>
        <v>1</v>
      </c>
      <c r="P804" s="6">
        <f>IF($D804="","",IF(AND($L804="Crédit",OR(IFERROR(INDEX('Paramètres'!$O:$O,MATCH($D804,'Paramètres'!$M:$M,0))&amp;"","")&lt;&gt;"",ISNUMBER(SEARCH("remboursement",IFERROR(INDEX('Paramètres'!$N:$N,MATCH($D804,'Paramètres'!$M:$M,0))&amp;"",""))))),1,0))</f>
        <v>0</v>
      </c>
      <c r="Q804" s="6">
        <f>IF($K804="","",IF(ISNUMBER(SEARCH("transfert-interne",IFERROR(INDEX('Paramètres'!$N:$N,MATCH($D804,'Paramètres'!$M:$M,0))&amp;"",""))),0,IF($L804="Débit",$K804,IF($P804=1,-$K804,0))))</f>
        <v>31.2</v>
      </c>
      <c r="R804" s="6">
        <f>IF($K804="","",IF($L804="Crédit",$K804,-$K804))</f>
        <v>-31.2</v>
      </c>
      <c r="S804" s="6" t="str">
        <f>IF($C804="","",IFERROR(INDEX('Paramètres'!$H:$H,MATCH($C804,'Paramètres'!$D:$D,0))&amp;"",""))</f>
        <v>Banque A - Courant</v>
      </c>
      <c r="T804" s="6">
        <f>IF($K804="","",IF($S804="",0,IF(ISNUMBER(SEARCH("apport-exterieur",IFERROR(INDEX('Paramètres'!$N:$N,MATCH($D804,'Paramètres'!$M:$M,0))&amp;"",""))),0,IF(OR(IFERROR(INDEX('Paramètres'!$I:$I,MATCH($C804,'Paramètres'!$D:$D,0))&amp;"","")="Les deux",IFERROR(INDEX('Paramètres'!$I:$I,MATCH($C804,'Paramètres'!$D:$D,0))&amp;"","")=IF($P804=1,"Débit",$L804)),-IF($P804=1,-$K804,$K804),0))))</f>
        <v>0</v>
      </c>
      <c r="U804" s="6">
        <f>IF($K804="","",IF(ISNUMBER(SEARCH("sortie-epargne",IFERROR(INDEX('Paramètres'!$N:$N,MATCH($D804,'Paramètres'!$M:$M,0))&amp;"",""))),$K804,0))</f>
        <v>0</v>
      </c>
      <c r="V804" s="6" t="str">
        <f>IF(AND($A804&lt;&gt;"",$O804=1,$L804="Débit",N($Q804)&gt;0,$A804&gt;=Visualisation!$B$1,$A804&lt;Visualisation!$D$1),MAX($V$1:V803)+1,"")</f>
        <v/>
      </c>
    </row>
    <row r="805" spans="1:22" x14ac:dyDescent="0.25">
      <c r="A805" s="9">
        <v>46117</v>
      </c>
      <c r="B805" s="4" t="s">
        <v>69</v>
      </c>
      <c r="C805" s="4" t="s">
        <v>70</v>
      </c>
      <c r="D805" s="4" t="s">
        <v>71</v>
      </c>
      <c r="E805" s="10">
        <v>14.2</v>
      </c>
      <c r="G805" s="4" t="s">
        <v>72</v>
      </c>
      <c r="H805" s="4"/>
      <c r="I805" s="4" t="s">
        <v>63</v>
      </c>
      <c r="K805" s="11">
        <f>IF($E805="","",ROUND($E805*IF(ISNA(MATCH($C805,'Paramètres'!$D:$D,0)),1,IF(INDEX('Paramètres'!$J:$J,MATCH($C805,'Paramètres'!$D:$D,0))="",1,INDEX('Paramètres'!$J:$J,MATCH($C805,'Paramètres'!$D:$D,0)))),2))</f>
        <v>14.2</v>
      </c>
      <c r="L805" s="6" t="str">
        <f>IF($D805="","",IF($F805&lt;&gt;"",$F805,IF(ISNA(MATCH($D805,'Paramètres'!$M:$M,0)),"⚠ Type inconnu",IFERROR(INDEX('Paramètres'!$P:$P,MATCH($D805,'Paramètres'!$M:$M,0))&amp;"",""))))</f>
        <v>Débit</v>
      </c>
      <c r="M805" s="6" t="str">
        <f>IF($D805="","",IF(ISNA(MATCH($D805,'Paramètres'!$M:$M,0)),"⚠ Type inconnu",IF($L805="Crédit","",IFERROR(INDEX('Paramètres'!$O:$O,MATCH($D805,'Paramètres'!$M:$M,0))&amp;"",""))))</f>
        <v>Dépense Courante</v>
      </c>
      <c r="N805" s="6" t="str">
        <f>IF($D805="","",IFERROR(INDEX('Paramètres'!$Q:$Q,MATCH($D805,'Paramètres'!$M:$M,0))&amp;"",""))</f>
        <v>Alimentation</v>
      </c>
      <c r="O805" s="6">
        <f>IF($A805="","",IF(OR($J805&lt;&gt;"x",$A805&lt;=FinReleve),1,0))</f>
        <v>1</v>
      </c>
      <c r="P805" s="6">
        <f>IF($D805="","",IF(AND($L805="Crédit",OR(IFERROR(INDEX('Paramètres'!$O:$O,MATCH($D805,'Paramètres'!$M:$M,0))&amp;"","")&lt;&gt;"",ISNUMBER(SEARCH("remboursement",IFERROR(INDEX('Paramètres'!$N:$N,MATCH($D805,'Paramètres'!$M:$M,0))&amp;"",""))))),1,0))</f>
        <v>0</v>
      </c>
      <c r="Q805" s="6">
        <f>IF($K805="","",IF(ISNUMBER(SEARCH("transfert-interne",IFERROR(INDEX('Paramètres'!$N:$N,MATCH($D805,'Paramètres'!$M:$M,0))&amp;"",""))),0,IF($L805="Débit",$K805,IF($P805=1,-$K805,0))))</f>
        <v>14.2</v>
      </c>
      <c r="R805" s="6">
        <f>IF($K805="","",IF($L805="Crédit",$K805,-$K805))</f>
        <v>-14.2</v>
      </c>
      <c r="S805" s="6" t="str">
        <f>IF($C805="","",IFERROR(INDEX('Paramètres'!$H:$H,MATCH($C805,'Paramètres'!$D:$D,0))&amp;"",""))</f>
        <v/>
      </c>
      <c r="T805" s="6">
        <f>IF($K805="","",IF($S805="",0,IF(ISNUMBER(SEARCH("apport-exterieur",IFERROR(INDEX('Paramètres'!$N:$N,MATCH($D805,'Paramètres'!$M:$M,0))&amp;"",""))),0,IF(OR(IFERROR(INDEX('Paramètres'!$I:$I,MATCH($C805,'Paramètres'!$D:$D,0))&amp;"","")="Les deux",IFERROR(INDEX('Paramètres'!$I:$I,MATCH($C805,'Paramètres'!$D:$D,0))&amp;"","")=IF($P805=1,"Débit",$L805)),-IF($P805=1,-$K805,$K805),0))))</f>
        <v>0</v>
      </c>
      <c r="U805" s="6">
        <f>IF($K805="","",IF(ISNUMBER(SEARCH("sortie-epargne",IFERROR(INDEX('Paramètres'!$N:$N,MATCH($D805,'Paramètres'!$M:$M,0))&amp;"",""))),$K805,0))</f>
        <v>0</v>
      </c>
      <c r="V805" s="6" t="str">
        <f>IF(AND($A805&lt;&gt;"",$O805=1,$L805="Débit",N($Q805)&gt;0,$A805&gt;=Visualisation!$B$1,$A805&lt;Visualisation!$D$1),MAX($V$1:V804)+1,"")</f>
        <v/>
      </c>
    </row>
    <row r="806" spans="1:22" x14ac:dyDescent="0.25">
      <c r="A806" s="9">
        <v>46118</v>
      </c>
      <c r="B806" s="4" t="s">
        <v>89</v>
      </c>
      <c r="C806" s="4" t="s">
        <v>75</v>
      </c>
      <c r="D806" s="4" t="s">
        <v>89</v>
      </c>
      <c r="E806" s="10">
        <v>49.9</v>
      </c>
      <c r="G806" s="4"/>
      <c r="H806" s="4"/>
      <c r="I806" s="4"/>
      <c r="K806" s="11">
        <f>IF($E806="","",ROUND($E806*IF(ISNA(MATCH($C806,'Paramètres'!$D:$D,0)),1,IF(INDEX('Paramètres'!$J:$J,MATCH($C806,'Paramètres'!$D:$D,0))="",1,INDEX('Paramètres'!$J:$J,MATCH($C806,'Paramètres'!$D:$D,0)))),2))</f>
        <v>49.9</v>
      </c>
      <c r="L806" s="6" t="str">
        <f>IF($D806="","",IF($F806&lt;&gt;"",$F806,IF(ISNA(MATCH($D806,'Paramètres'!$M:$M,0)),"⚠ Type inconnu",IFERROR(INDEX('Paramètres'!$P:$P,MATCH($D806,'Paramètres'!$M:$M,0))&amp;"",""))))</f>
        <v>Débit</v>
      </c>
      <c r="M806" s="6" t="str">
        <f>IF($D806="","",IF(ISNA(MATCH($D806,'Paramètres'!$M:$M,0)),"⚠ Type inconnu",IF($L806="Crédit","",IFERROR(INDEX('Paramètres'!$O:$O,MATCH($D806,'Paramètres'!$M:$M,0))&amp;"",""))))</f>
        <v>Dépense Fixe</v>
      </c>
      <c r="N806" s="6" t="str">
        <f>IF($D806="","",IFERROR(INDEX('Paramètres'!$Q:$Q,MATCH($D806,'Paramètres'!$M:$M,0))&amp;"",""))</f>
        <v>Autre</v>
      </c>
      <c r="O806" s="6">
        <f>IF($A806="","",IF(OR($J806&lt;&gt;"x",$A806&lt;=FinReleve),1,0))</f>
        <v>1</v>
      </c>
      <c r="P806" s="6">
        <f>IF($D806="","",IF(AND($L806="Crédit",OR(IFERROR(INDEX('Paramètres'!$O:$O,MATCH($D806,'Paramètres'!$M:$M,0))&amp;"","")&lt;&gt;"",ISNUMBER(SEARCH("remboursement",IFERROR(INDEX('Paramètres'!$N:$N,MATCH($D806,'Paramètres'!$M:$M,0))&amp;"",""))))),1,0))</f>
        <v>0</v>
      </c>
      <c r="Q806" s="6">
        <f>IF($K806="","",IF(ISNUMBER(SEARCH("transfert-interne",IFERROR(INDEX('Paramètres'!$N:$N,MATCH($D806,'Paramètres'!$M:$M,0))&amp;"",""))),0,IF($L806="Débit",$K806,IF($P806=1,-$K806,0))))</f>
        <v>49.9</v>
      </c>
      <c r="R806" s="6">
        <f>IF($K806="","",IF($L806="Crédit",$K806,-$K806))</f>
        <v>-49.9</v>
      </c>
      <c r="S806" s="6" t="str">
        <f>IF($C806="","",IFERROR(INDEX('Paramètres'!$H:$H,MATCH($C806,'Paramètres'!$D:$D,0))&amp;"",""))</f>
        <v/>
      </c>
      <c r="T806" s="6">
        <f>IF($K806="","",IF($S806="",0,IF(ISNUMBER(SEARCH("apport-exterieur",IFERROR(INDEX('Paramètres'!$N:$N,MATCH($D806,'Paramètres'!$M:$M,0))&amp;"",""))),0,IF(OR(IFERROR(INDEX('Paramètres'!$I:$I,MATCH($C806,'Paramètres'!$D:$D,0))&amp;"","")="Les deux",IFERROR(INDEX('Paramètres'!$I:$I,MATCH($C806,'Paramètres'!$D:$D,0))&amp;"","")=IF($P806=1,"Débit",$L806)),-IF($P806=1,-$K806,$K806),0))))</f>
        <v>0</v>
      </c>
      <c r="U806" s="6">
        <f>IF($K806="","",IF(ISNUMBER(SEARCH("sortie-epargne",IFERROR(INDEX('Paramètres'!$N:$N,MATCH($D806,'Paramètres'!$M:$M,0))&amp;"",""))),$K806,0))</f>
        <v>0</v>
      </c>
      <c r="V806" s="6" t="str">
        <f>IF(AND($A806&lt;&gt;"",$O806=1,$L806="Débit",N($Q806)&gt;0,$A806&gt;=Visualisation!$B$1,$A806&lt;Visualisation!$D$1),MAX($V$1:V805)+1,"")</f>
        <v/>
      </c>
    </row>
    <row r="807" spans="1:22" x14ac:dyDescent="0.25">
      <c r="A807" s="9">
        <v>46118</v>
      </c>
      <c r="B807" s="4" t="s">
        <v>76</v>
      </c>
      <c r="C807" s="4" t="s">
        <v>67</v>
      </c>
      <c r="D807" s="4" t="s">
        <v>77</v>
      </c>
      <c r="E807" s="10">
        <v>44.7</v>
      </c>
      <c r="G807" s="4" t="s">
        <v>98</v>
      </c>
      <c r="H807" s="4"/>
      <c r="I807" s="4" t="s">
        <v>73</v>
      </c>
      <c r="K807" s="11">
        <f>IF($E807="","",ROUND($E807*IF(ISNA(MATCH($C807,'Paramètres'!$D:$D,0)),1,IF(INDEX('Paramètres'!$J:$J,MATCH($C807,'Paramètres'!$D:$D,0))="",1,INDEX('Paramètres'!$J:$J,MATCH($C807,'Paramètres'!$D:$D,0)))),2))</f>
        <v>22.35</v>
      </c>
      <c r="L807" s="6" t="str">
        <f>IF($D807="","",IF($F807&lt;&gt;"",$F807,IF(ISNA(MATCH($D807,'Paramètres'!$M:$M,0)),"⚠ Type inconnu",IFERROR(INDEX('Paramètres'!$P:$P,MATCH($D807,'Paramètres'!$M:$M,0))&amp;"",""))))</f>
        <v>Débit</v>
      </c>
      <c r="M807" s="6" t="str">
        <f>IF($D807="","",IF(ISNA(MATCH($D807,'Paramètres'!$M:$M,0)),"⚠ Type inconnu",IF($L807="Crédit","",IFERROR(INDEX('Paramètres'!$O:$O,MATCH($D807,'Paramètres'!$M:$M,0))&amp;"",""))))</f>
        <v>Dépense Courante</v>
      </c>
      <c r="N807" s="6" t="str">
        <f>IF($D807="","",IFERROR(INDEX('Paramètres'!$Q:$Q,MATCH($D807,'Paramètres'!$M:$M,0))&amp;"",""))</f>
        <v>Alimentation</v>
      </c>
      <c r="O807" s="6">
        <f>IF($A807="","",IF(OR($J807&lt;&gt;"x",$A807&lt;=FinReleve),1,0))</f>
        <v>1</v>
      </c>
      <c r="P807" s="6">
        <f>IF($D807="","",IF(AND($L807="Crédit",OR(IFERROR(INDEX('Paramètres'!$O:$O,MATCH($D807,'Paramètres'!$M:$M,0))&amp;"","")&lt;&gt;"",ISNUMBER(SEARCH("remboursement",IFERROR(INDEX('Paramètres'!$N:$N,MATCH($D807,'Paramètres'!$M:$M,0))&amp;"",""))))),1,0))</f>
        <v>0</v>
      </c>
      <c r="Q807" s="6">
        <f>IF($K807="","",IF(ISNUMBER(SEARCH("transfert-interne",IFERROR(INDEX('Paramètres'!$N:$N,MATCH($D807,'Paramètres'!$M:$M,0))&amp;"",""))),0,IF($L807="Débit",$K807,IF($P807=1,-$K807,0))))</f>
        <v>22.35</v>
      </c>
      <c r="R807" s="6">
        <f>IF($K807="","",IF($L807="Crédit",$K807,-$K807))</f>
        <v>-22.35</v>
      </c>
      <c r="S807" s="6" t="str">
        <f>IF($C807="","",IFERROR(INDEX('Paramètres'!$H:$H,MATCH($C807,'Paramètres'!$D:$D,0))&amp;"",""))</f>
        <v>Banque A - Courant</v>
      </c>
      <c r="T807" s="6">
        <f>IF($K807="","",IF($S807="",0,IF(ISNUMBER(SEARCH("apport-exterieur",IFERROR(INDEX('Paramètres'!$N:$N,MATCH($D807,'Paramètres'!$M:$M,0))&amp;"",""))),0,IF(OR(IFERROR(INDEX('Paramètres'!$I:$I,MATCH($C807,'Paramètres'!$D:$D,0))&amp;"","")="Les deux",IFERROR(INDEX('Paramètres'!$I:$I,MATCH($C807,'Paramètres'!$D:$D,0))&amp;"","")=IF($P807=1,"Débit",$L807)),-IF($P807=1,-$K807,$K807),0))))</f>
        <v>0</v>
      </c>
      <c r="U807" s="6">
        <f>IF($K807="","",IF(ISNUMBER(SEARCH("sortie-epargne",IFERROR(INDEX('Paramètres'!$N:$N,MATCH($D807,'Paramètres'!$M:$M,0))&amp;"",""))),$K807,0))</f>
        <v>0</v>
      </c>
      <c r="V807" s="6" t="str">
        <f>IF(AND($A807&lt;&gt;"",$O807=1,$L807="Débit",N($Q807)&gt;0,$A807&gt;=Visualisation!$B$1,$A807&lt;Visualisation!$D$1),MAX($V$1:V806)+1,"")</f>
        <v/>
      </c>
    </row>
    <row r="808" spans="1:22" x14ac:dyDescent="0.25">
      <c r="A808" s="9">
        <v>46120</v>
      </c>
      <c r="B808" s="4" t="s">
        <v>94</v>
      </c>
      <c r="C808" s="4" t="s">
        <v>65</v>
      </c>
      <c r="D808" s="4" t="s">
        <v>94</v>
      </c>
      <c r="E808" s="10">
        <v>168</v>
      </c>
      <c r="G808" s="4"/>
      <c r="H808" s="4"/>
      <c r="I808" s="4"/>
      <c r="K808" s="11">
        <f>IF($E808="","",ROUND($E808*IF(ISNA(MATCH($C808,'Paramètres'!$D:$D,0)),1,IF(INDEX('Paramètres'!$J:$J,MATCH($C808,'Paramètres'!$D:$D,0))="",1,INDEX('Paramètres'!$J:$J,MATCH($C808,'Paramètres'!$D:$D,0)))),2))</f>
        <v>168</v>
      </c>
      <c r="L808" s="6" t="str">
        <f>IF($D808="","",IF($F808&lt;&gt;"",$F808,IF(ISNA(MATCH($D808,'Paramètres'!$M:$M,0)),"⚠ Type inconnu",IFERROR(INDEX('Paramètres'!$P:$P,MATCH($D808,'Paramètres'!$M:$M,0))&amp;"",""))))</f>
        <v>Débit</v>
      </c>
      <c r="M808" s="6" t="str">
        <f>IF($D808="","",IF(ISNA(MATCH($D808,'Paramètres'!$M:$M,0)),"⚠ Type inconnu",IF($L808="Crédit","",IFERROR(INDEX('Paramètres'!$O:$O,MATCH($D808,'Paramètres'!$M:$M,0))&amp;"",""))))</f>
        <v>Dépense Fixe</v>
      </c>
      <c r="N808" s="6" t="str">
        <f>IF($D808="","",IFERROR(INDEX('Paramètres'!$Q:$Q,MATCH($D808,'Paramètres'!$M:$M,0))&amp;"",""))</f>
        <v>Immobilier</v>
      </c>
      <c r="O808" s="6">
        <f>IF($A808="","",IF(OR($J808&lt;&gt;"x",$A808&lt;=FinReleve),1,0))</f>
        <v>1</v>
      </c>
      <c r="P808" s="6">
        <f>IF($D808="","",IF(AND($L808="Crédit",OR(IFERROR(INDEX('Paramètres'!$O:$O,MATCH($D808,'Paramètres'!$M:$M,0))&amp;"","")&lt;&gt;"",ISNUMBER(SEARCH("remboursement",IFERROR(INDEX('Paramètres'!$N:$N,MATCH($D808,'Paramètres'!$M:$M,0))&amp;"",""))))),1,0))</f>
        <v>0</v>
      </c>
      <c r="Q808" s="6">
        <f>IF($K808="","",IF(ISNUMBER(SEARCH("transfert-interne",IFERROR(INDEX('Paramètres'!$N:$N,MATCH($D808,'Paramètres'!$M:$M,0))&amp;"",""))),0,IF($L808="Débit",$K808,IF($P808=1,-$K808,0))))</f>
        <v>168</v>
      </c>
      <c r="R808" s="6">
        <f>IF($K808="","",IF($L808="Crédit",$K808,-$K808))</f>
        <v>-168</v>
      </c>
      <c r="S808" s="6" t="str">
        <f>IF($C808="","",IFERROR(INDEX('Paramètres'!$H:$H,MATCH($C808,'Paramètres'!$D:$D,0))&amp;"",""))</f>
        <v>Banque A - Courant</v>
      </c>
      <c r="T808" s="6">
        <f>IF($K808="","",IF($S808="",0,IF(ISNUMBER(SEARCH("apport-exterieur",IFERROR(INDEX('Paramètres'!$N:$N,MATCH($D808,'Paramètres'!$M:$M,0))&amp;"",""))),0,IF(OR(IFERROR(INDEX('Paramètres'!$I:$I,MATCH($C808,'Paramètres'!$D:$D,0))&amp;"","")="Les deux",IFERROR(INDEX('Paramètres'!$I:$I,MATCH($C808,'Paramètres'!$D:$D,0))&amp;"","")=IF($P808=1,"Débit",$L808)),-IF($P808=1,-$K808,$K808),0))))</f>
        <v>0</v>
      </c>
      <c r="U808" s="6">
        <f>IF($K808="","",IF(ISNUMBER(SEARCH("sortie-epargne",IFERROR(INDEX('Paramètres'!$N:$N,MATCH($D808,'Paramètres'!$M:$M,0))&amp;"",""))),$K808,0))</f>
        <v>0</v>
      </c>
      <c r="V808" s="6" t="str">
        <f>IF(AND($A808&lt;&gt;"",$O808=1,$L808="Débit",N($Q808)&gt;0,$A808&gt;=Visualisation!$B$1,$A808&lt;Visualisation!$D$1),MAX($V$1:V807)+1,"")</f>
        <v/>
      </c>
    </row>
    <row r="809" spans="1:22" x14ac:dyDescent="0.25">
      <c r="A809" s="9">
        <v>46120</v>
      </c>
      <c r="B809" s="4" t="s">
        <v>90</v>
      </c>
      <c r="C809" s="4" t="s">
        <v>75</v>
      </c>
      <c r="D809" s="4" t="s">
        <v>91</v>
      </c>
      <c r="E809" s="10">
        <v>54.88</v>
      </c>
      <c r="G809" s="4" t="s">
        <v>135</v>
      </c>
      <c r="H809" s="4"/>
      <c r="I809" s="4" t="s">
        <v>79</v>
      </c>
      <c r="K809" s="11">
        <f>IF($E809="","",ROUND($E809*IF(ISNA(MATCH($C809,'Paramètres'!$D:$D,0)),1,IF(INDEX('Paramètres'!$J:$J,MATCH($C809,'Paramètres'!$D:$D,0))="",1,INDEX('Paramètres'!$J:$J,MATCH($C809,'Paramètres'!$D:$D,0)))),2))</f>
        <v>54.88</v>
      </c>
      <c r="L809" s="6" t="str">
        <f>IF($D809="","",IF($F809&lt;&gt;"",$F809,IF(ISNA(MATCH($D809,'Paramètres'!$M:$M,0)),"⚠ Type inconnu",IFERROR(INDEX('Paramètres'!$P:$P,MATCH($D809,'Paramètres'!$M:$M,0))&amp;"",""))))</f>
        <v>Débit</v>
      </c>
      <c r="M809" s="6" t="str">
        <f>IF($D809="","",IF(ISNA(MATCH($D809,'Paramètres'!$M:$M,0)),"⚠ Type inconnu",IF($L809="Crédit","",IFERROR(INDEX('Paramètres'!$O:$O,MATCH($D809,'Paramètres'!$M:$M,0))&amp;"",""))))</f>
        <v>Dépense Courante</v>
      </c>
      <c r="N809" s="6" t="str">
        <f>IF($D809="","",IFERROR(INDEX('Paramètres'!$Q:$Q,MATCH($D809,'Paramètres'!$M:$M,0))&amp;"",""))</f>
        <v>Transport</v>
      </c>
      <c r="O809" s="6">
        <f>IF($A809="","",IF(OR($J809&lt;&gt;"x",$A809&lt;=FinReleve),1,0))</f>
        <v>1</v>
      </c>
      <c r="P809" s="6">
        <f>IF($D809="","",IF(AND($L809="Crédit",OR(IFERROR(INDEX('Paramètres'!$O:$O,MATCH($D809,'Paramètres'!$M:$M,0))&amp;"","")&lt;&gt;"",ISNUMBER(SEARCH("remboursement",IFERROR(INDEX('Paramètres'!$N:$N,MATCH($D809,'Paramètres'!$M:$M,0))&amp;"",""))))),1,0))</f>
        <v>0</v>
      </c>
      <c r="Q809" s="6">
        <f>IF($K809="","",IF(ISNUMBER(SEARCH("transfert-interne",IFERROR(INDEX('Paramètres'!$N:$N,MATCH($D809,'Paramètres'!$M:$M,0))&amp;"",""))),0,IF($L809="Débit",$K809,IF($P809=1,-$K809,0))))</f>
        <v>54.88</v>
      </c>
      <c r="R809" s="6">
        <f>IF($K809="","",IF($L809="Crédit",$K809,-$K809))</f>
        <v>-54.88</v>
      </c>
      <c r="S809" s="6" t="str">
        <f>IF($C809="","",IFERROR(INDEX('Paramètres'!$H:$H,MATCH($C809,'Paramètres'!$D:$D,0))&amp;"",""))</f>
        <v/>
      </c>
      <c r="T809" s="6">
        <f>IF($K809="","",IF($S809="",0,IF(ISNUMBER(SEARCH("apport-exterieur",IFERROR(INDEX('Paramètres'!$N:$N,MATCH($D809,'Paramètres'!$M:$M,0))&amp;"",""))),0,IF(OR(IFERROR(INDEX('Paramètres'!$I:$I,MATCH($C809,'Paramètres'!$D:$D,0))&amp;"","")="Les deux",IFERROR(INDEX('Paramètres'!$I:$I,MATCH($C809,'Paramètres'!$D:$D,0))&amp;"","")=IF($P809=1,"Débit",$L809)),-IF($P809=1,-$K809,$K809),0))))</f>
        <v>0</v>
      </c>
      <c r="U809" s="6">
        <f>IF($K809="","",IF(ISNUMBER(SEARCH("sortie-epargne",IFERROR(INDEX('Paramètres'!$N:$N,MATCH($D809,'Paramètres'!$M:$M,0))&amp;"",""))),$K809,0))</f>
        <v>0</v>
      </c>
      <c r="V809" s="6" t="str">
        <f>IF(AND($A809&lt;&gt;"",$O809=1,$L809="Débit",N($Q809)&gt;0,$A809&gt;=Visualisation!$B$1,$A809&lt;Visualisation!$D$1),MAX($V$1:V808)+1,"")</f>
        <v/>
      </c>
    </row>
    <row r="810" spans="1:22" x14ac:dyDescent="0.25">
      <c r="A810" s="9">
        <v>46120</v>
      </c>
      <c r="B810" s="4" t="s">
        <v>123</v>
      </c>
      <c r="C810" s="4" t="s">
        <v>75</v>
      </c>
      <c r="D810" s="4" t="s">
        <v>124</v>
      </c>
      <c r="E810" s="10">
        <v>100.69</v>
      </c>
      <c r="G810" s="4" t="s">
        <v>125</v>
      </c>
      <c r="H810" s="4"/>
      <c r="I810" s="4" t="s">
        <v>93</v>
      </c>
      <c r="K810" s="11">
        <f>IF($E810="","",ROUND($E810*IF(ISNA(MATCH($C810,'Paramètres'!$D:$D,0)),1,IF(INDEX('Paramètres'!$J:$J,MATCH($C810,'Paramètres'!$D:$D,0))="",1,INDEX('Paramètres'!$J:$J,MATCH($C810,'Paramètres'!$D:$D,0)))),2))</f>
        <v>100.69</v>
      </c>
      <c r="L810" s="6" t="str">
        <f>IF($D810="","",IF($F810&lt;&gt;"",$F810,IF(ISNA(MATCH($D810,'Paramètres'!$M:$M,0)),"⚠ Type inconnu",IFERROR(INDEX('Paramètres'!$P:$P,MATCH($D810,'Paramètres'!$M:$M,0))&amp;"",""))))</f>
        <v>Débit</v>
      </c>
      <c r="M810" s="6" t="str">
        <f>IF($D810="","",IF(ISNA(MATCH($D810,'Paramètres'!$M:$M,0)),"⚠ Type inconnu",IF($L810="Crédit","",IFERROR(INDEX('Paramètres'!$O:$O,MATCH($D810,'Paramètres'!$M:$M,0))&amp;"",""))))</f>
        <v>Dépense Courante</v>
      </c>
      <c r="N810" s="6" t="str">
        <f>IF($D810="","",IFERROR(INDEX('Paramètres'!$Q:$Q,MATCH($D810,'Paramètres'!$M:$M,0))&amp;"",""))</f>
        <v>Habillement</v>
      </c>
      <c r="O810" s="6">
        <f>IF($A810="","",IF(OR($J810&lt;&gt;"x",$A810&lt;=FinReleve),1,0))</f>
        <v>1</v>
      </c>
      <c r="P810" s="6">
        <f>IF($D810="","",IF(AND($L810="Crédit",OR(IFERROR(INDEX('Paramètres'!$O:$O,MATCH($D810,'Paramètres'!$M:$M,0))&amp;"","")&lt;&gt;"",ISNUMBER(SEARCH("remboursement",IFERROR(INDEX('Paramètres'!$N:$N,MATCH($D810,'Paramètres'!$M:$M,0))&amp;"",""))))),1,0))</f>
        <v>0</v>
      </c>
      <c r="Q810" s="6">
        <f>IF($K810="","",IF(ISNUMBER(SEARCH("transfert-interne",IFERROR(INDEX('Paramètres'!$N:$N,MATCH($D810,'Paramètres'!$M:$M,0))&amp;"",""))),0,IF($L810="Débit",$K810,IF($P810=1,-$K810,0))))</f>
        <v>100.69</v>
      </c>
      <c r="R810" s="6">
        <f>IF($K810="","",IF($L810="Crédit",$K810,-$K810))</f>
        <v>-100.69</v>
      </c>
      <c r="S810" s="6" t="str">
        <f>IF($C810="","",IFERROR(INDEX('Paramètres'!$H:$H,MATCH($C810,'Paramètres'!$D:$D,0))&amp;"",""))</f>
        <v/>
      </c>
      <c r="T810" s="6">
        <f>IF($K810="","",IF($S810="",0,IF(ISNUMBER(SEARCH("apport-exterieur",IFERROR(INDEX('Paramètres'!$N:$N,MATCH($D810,'Paramètres'!$M:$M,0))&amp;"",""))),0,IF(OR(IFERROR(INDEX('Paramètres'!$I:$I,MATCH($C810,'Paramètres'!$D:$D,0))&amp;"","")="Les deux",IFERROR(INDEX('Paramètres'!$I:$I,MATCH($C810,'Paramètres'!$D:$D,0))&amp;"","")=IF($P810=1,"Débit",$L810)),-IF($P810=1,-$K810,$K810),0))))</f>
        <v>0</v>
      </c>
      <c r="U810" s="6">
        <f>IF($K810="","",IF(ISNUMBER(SEARCH("sortie-epargne",IFERROR(INDEX('Paramètres'!$N:$N,MATCH($D810,'Paramètres'!$M:$M,0))&amp;"",""))),$K810,0))</f>
        <v>0</v>
      </c>
      <c r="V810" s="6" t="str">
        <f>IF(AND($A810&lt;&gt;"",$O810=1,$L810="Débit",N($Q810)&gt;0,$A810&gt;=Visualisation!$B$1,$A810&lt;Visualisation!$D$1),MAX($V$1:V809)+1,"")</f>
        <v/>
      </c>
    </row>
    <row r="811" spans="1:22" x14ac:dyDescent="0.25">
      <c r="A811" s="9">
        <v>46120</v>
      </c>
      <c r="B811" s="4" t="s">
        <v>116</v>
      </c>
      <c r="C811" s="4" t="s">
        <v>60</v>
      </c>
      <c r="D811" s="4" t="s">
        <v>116</v>
      </c>
      <c r="E811" s="10">
        <v>396.46</v>
      </c>
      <c r="G811" s="4" t="s">
        <v>117</v>
      </c>
      <c r="H811" s="4"/>
      <c r="I811" s="4"/>
      <c r="K811" s="11">
        <f>IF($E811="","",ROUND($E811*IF(ISNA(MATCH($C811,'Paramètres'!$D:$D,0)),1,IF(INDEX('Paramètres'!$J:$J,MATCH($C811,'Paramètres'!$D:$D,0))="",1,INDEX('Paramètres'!$J:$J,MATCH($C811,'Paramètres'!$D:$D,0)))),2))</f>
        <v>198.23</v>
      </c>
      <c r="L811" s="6" t="str">
        <f>IF($D811="","",IF($F811&lt;&gt;"",$F811,IF(ISNA(MATCH($D811,'Paramètres'!$M:$M,0)),"⚠ Type inconnu",IFERROR(INDEX('Paramètres'!$P:$P,MATCH($D811,'Paramètres'!$M:$M,0))&amp;"",""))))</f>
        <v>Débit</v>
      </c>
      <c r="M811" s="6" t="str">
        <f>IF($D811="","",IF(ISNA(MATCH($D811,'Paramètres'!$M:$M,0)),"⚠ Type inconnu",IF($L811="Crédit","",IFERROR(INDEX('Paramètres'!$O:$O,MATCH($D811,'Paramètres'!$M:$M,0))&amp;"",""))))</f>
        <v>Dépense Occasionnelle</v>
      </c>
      <c r="N811" s="6" t="str">
        <f>IF($D811="","",IFERROR(INDEX('Paramètres'!$Q:$Q,MATCH($D811,'Paramètres'!$M:$M,0))&amp;"",""))</f>
        <v>Autre</v>
      </c>
      <c r="O811" s="6">
        <f>IF($A811="","",IF(OR($J811&lt;&gt;"x",$A811&lt;=FinReleve),1,0))</f>
        <v>1</v>
      </c>
      <c r="P811" s="6">
        <f>IF($D811="","",IF(AND($L811="Crédit",OR(IFERROR(INDEX('Paramètres'!$O:$O,MATCH($D811,'Paramètres'!$M:$M,0))&amp;"","")&lt;&gt;"",ISNUMBER(SEARCH("remboursement",IFERROR(INDEX('Paramètres'!$N:$N,MATCH($D811,'Paramètres'!$M:$M,0))&amp;"",""))))),1,0))</f>
        <v>0</v>
      </c>
      <c r="Q811" s="6">
        <f>IF($K811="","",IF(ISNUMBER(SEARCH("transfert-interne",IFERROR(INDEX('Paramètres'!$N:$N,MATCH($D811,'Paramètres'!$M:$M,0))&amp;"",""))),0,IF($L811="Débit",$K811,IF($P811=1,-$K811,0))))</f>
        <v>198.23</v>
      </c>
      <c r="R811" s="6">
        <f>IF($K811="","",IF($L811="Crédit",$K811,-$K811))</f>
        <v>-198.23</v>
      </c>
      <c r="S811" s="6" t="str">
        <f>IF($C811="","",IFERROR(INDEX('Paramètres'!$H:$H,MATCH($C811,'Paramètres'!$D:$D,0))&amp;"",""))</f>
        <v>Banque A - Courant</v>
      </c>
      <c r="T811" s="6">
        <f>IF($K811="","",IF($S811="",0,IF(ISNUMBER(SEARCH("apport-exterieur",IFERROR(INDEX('Paramètres'!$N:$N,MATCH($D811,'Paramètres'!$M:$M,0))&amp;"",""))),0,IF(OR(IFERROR(INDEX('Paramètres'!$I:$I,MATCH($C811,'Paramètres'!$D:$D,0))&amp;"","")="Les deux",IFERROR(INDEX('Paramètres'!$I:$I,MATCH($C811,'Paramètres'!$D:$D,0))&amp;"","")=IF($P811=1,"Débit",$L811)),-IF($P811=1,-$K811,$K811),0))))</f>
        <v>-198.23</v>
      </c>
      <c r="U811" s="6">
        <f>IF($K811="","",IF(ISNUMBER(SEARCH("sortie-epargne",IFERROR(INDEX('Paramètres'!$N:$N,MATCH($D811,'Paramètres'!$M:$M,0))&amp;"",""))),$K811,0))</f>
        <v>0</v>
      </c>
      <c r="V811" s="6" t="str">
        <f>IF(AND($A811&lt;&gt;"",$O811=1,$L811="Débit",N($Q811)&gt;0,$A811&gt;=Visualisation!$B$1,$A811&lt;Visualisation!$D$1),MAX($V$1:V810)+1,"")</f>
        <v/>
      </c>
    </row>
    <row r="812" spans="1:22" x14ac:dyDescent="0.25">
      <c r="A812" s="9">
        <v>46121</v>
      </c>
      <c r="B812" s="4" t="s">
        <v>76</v>
      </c>
      <c r="C812" s="4" t="s">
        <v>60</v>
      </c>
      <c r="D812" s="4" t="s">
        <v>77</v>
      </c>
      <c r="E812" s="10">
        <v>115.8</v>
      </c>
      <c r="G812" s="4" t="s">
        <v>102</v>
      </c>
      <c r="H812" s="4"/>
      <c r="I812" s="4" t="s">
        <v>73</v>
      </c>
      <c r="K812" s="11">
        <f>IF($E812="","",ROUND($E812*IF(ISNA(MATCH($C812,'Paramètres'!$D:$D,0)),1,IF(INDEX('Paramètres'!$J:$J,MATCH($C812,'Paramètres'!$D:$D,0))="",1,INDEX('Paramètres'!$J:$J,MATCH($C812,'Paramètres'!$D:$D,0)))),2))</f>
        <v>57.9</v>
      </c>
      <c r="L812" s="6" t="str">
        <f>IF($D812="","",IF($F812&lt;&gt;"",$F812,IF(ISNA(MATCH($D812,'Paramètres'!$M:$M,0)),"⚠ Type inconnu",IFERROR(INDEX('Paramètres'!$P:$P,MATCH($D812,'Paramètres'!$M:$M,0))&amp;"",""))))</f>
        <v>Débit</v>
      </c>
      <c r="M812" s="6" t="str">
        <f>IF($D812="","",IF(ISNA(MATCH($D812,'Paramètres'!$M:$M,0)),"⚠ Type inconnu",IF($L812="Crédit","",IFERROR(INDEX('Paramètres'!$O:$O,MATCH($D812,'Paramètres'!$M:$M,0))&amp;"",""))))</f>
        <v>Dépense Courante</v>
      </c>
      <c r="N812" s="6" t="str">
        <f>IF($D812="","",IFERROR(INDEX('Paramètres'!$Q:$Q,MATCH($D812,'Paramètres'!$M:$M,0))&amp;"",""))</f>
        <v>Alimentation</v>
      </c>
      <c r="O812" s="6">
        <f>IF($A812="","",IF(OR($J812&lt;&gt;"x",$A812&lt;=FinReleve),1,0))</f>
        <v>1</v>
      </c>
      <c r="P812" s="6">
        <f>IF($D812="","",IF(AND($L812="Crédit",OR(IFERROR(INDEX('Paramètres'!$O:$O,MATCH($D812,'Paramètres'!$M:$M,0))&amp;"","")&lt;&gt;"",ISNUMBER(SEARCH("remboursement",IFERROR(INDEX('Paramètres'!$N:$N,MATCH($D812,'Paramètres'!$M:$M,0))&amp;"",""))))),1,0))</f>
        <v>0</v>
      </c>
      <c r="Q812" s="6">
        <f>IF($K812="","",IF(ISNUMBER(SEARCH("transfert-interne",IFERROR(INDEX('Paramètres'!$N:$N,MATCH($D812,'Paramètres'!$M:$M,0))&amp;"",""))),0,IF($L812="Débit",$K812,IF($P812=1,-$K812,0))))</f>
        <v>57.9</v>
      </c>
      <c r="R812" s="6">
        <f>IF($K812="","",IF($L812="Crédit",$K812,-$K812))</f>
        <v>-57.9</v>
      </c>
      <c r="S812" s="6" t="str">
        <f>IF($C812="","",IFERROR(INDEX('Paramètres'!$H:$H,MATCH($C812,'Paramètres'!$D:$D,0))&amp;"",""))</f>
        <v>Banque A - Courant</v>
      </c>
      <c r="T812" s="6">
        <f>IF($K812="","",IF($S812="",0,IF(ISNUMBER(SEARCH("apport-exterieur",IFERROR(INDEX('Paramètres'!$N:$N,MATCH($D812,'Paramètres'!$M:$M,0))&amp;"",""))),0,IF(OR(IFERROR(INDEX('Paramètres'!$I:$I,MATCH($C812,'Paramètres'!$D:$D,0))&amp;"","")="Les deux",IFERROR(INDEX('Paramètres'!$I:$I,MATCH($C812,'Paramètres'!$D:$D,0))&amp;"","")=IF($P812=1,"Débit",$L812)),-IF($P812=1,-$K812,$K812),0))))</f>
        <v>-57.9</v>
      </c>
      <c r="U812" s="6">
        <f>IF($K812="","",IF(ISNUMBER(SEARCH("sortie-epargne",IFERROR(INDEX('Paramètres'!$N:$N,MATCH($D812,'Paramètres'!$M:$M,0))&amp;"",""))),$K812,0))</f>
        <v>0</v>
      </c>
      <c r="V812" s="6" t="str">
        <f>IF(AND($A812&lt;&gt;"",$O812=1,$L812="Débit",N($Q812)&gt;0,$A812&gt;=Visualisation!$B$1,$A812&lt;Visualisation!$D$1),MAX($V$1:V811)+1,"")</f>
        <v/>
      </c>
    </row>
    <row r="813" spans="1:22" x14ac:dyDescent="0.25">
      <c r="A813" s="9">
        <v>46122</v>
      </c>
      <c r="B813" s="4" t="s">
        <v>96</v>
      </c>
      <c r="C813" s="4" t="s">
        <v>75</v>
      </c>
      <c r="D813" s="4" t="s">
        <v>96</v>
      </c>
      <c r="E813" s="10">
        <v>22.4</v>
      </c>
      <c r="G813" s="4"/>
      <c r="H813" s="4"/>
      <c r="I813" s="4"/>
      <c r="K813" s="11">
        <f>IF($E813="","",ROUND($E813*IF(ISNA(MATCH($C813,'Paramètres'!$D:$D,0)),1,IF(INDEX('Paramètres'!$J:$J,MATCH($C813,'Paramètres'!$D:$D,0))="",1,INDEX('Paramètres'!$J:$J,MATCH($C813,'Paramètres'!$D:$D,0)))),2))</f>
        <v>22.4</v>
      </c>
      <c r="L813" s="6" t="str">
        <f>IF($D813="","",IF($F813&lt;&gt;"",$F813,IF(ISNA(MATCH($D813,'Paramètres'!$M:$M,0)),"⚠ Type inconnu",IFERROR(INDEX('Paramètres'!$P:$P,MATCH($D813,'Paramètres'!$M:$M,0))&amp;"",""))))</f>
        <v>Débit</v>
      </c>
      <c r="M813" s="6" t="str">
        <f>IF($D813="","",IF(ISNA(MATCH($D813,'Paramètres'!$M:$M,0)),"⚠ Type inconnu",IF($L813="Crédit","",IFERROR(INDEX('Paramètres'!$O:$O,MATCH($D813,'Paramètres'!$M:$M,0))&amp;"",""))))</f>
        <v>Dépense Fixe</v>
      </c>
      <c r="N813" s="6" t="str">
        <f>IF($D813="","",IFERROR(INDEX('Paramètres'!$Q:$Q,MATCH($D813,'Paramètres'!$M:$M,0))&amp;"",""))</f>
        <v>Assurances</v>
      </c>
      <c r="O813" s="6">
        <f>IF($A813="","",IF(OR($J813&lt;&gt;"x",$A813&lt;=FinReleve),1,0))</f>
        <v>1</v>
      </c>
      <c r="P813" s="6">
        <f>IF($D813="","",IF(AND($L813="Crédit",OR(IFERROR(INDEX('Paramètres'!$O:$O,MATCH($D813,'Paramètres'!$M:$M,0))&amp;"","")&lt;&gt;"",ISNUMBER(SEARCH("remboursement",IFERROR(INDEX('Paramètres'!$N:$N,MATCH($D813,'Paramètres'!$M:$M,0))&amp;"",""))))),1,0))</f>
        <v>0</v>
      </c>
      <c r="Q813" s="6">
        <f>IF($K813="","",IF(ISNUMBER(SEARCH("transfert-interne",IFERROR(INDEX('Paramètres'!$N:$N,MATCH($D813,'Paramètres'!$M:$M,0))&amp;"",""))),0,IF($L813="Débit",$K813,IF($P813=1,-$K813,0))))</f>
        <v>22.4</v>
      </c>
      <c r="R813" s="6">
        <f>IF($K813="","",IF($L813="Crédit",$K813,-$K813))</f>
        <v>-22.4</v>
      </c>
      <c r="S813" s="6" t="str">
        <f>IF($C813="","",IFERROR(INDEX('Paramètres'!$H:$H,MATCH($C813,'Paramètres'!$D:$D,0))&amp;"",""))</f>
        <v/>
      </c>
      <c r="T813" s="6">
        <f>IF($K813="","",IF($S813="",0,IF(ISNUMBER(SEARCH("apport-exterieur",IFERROR(INDEX('Paramètres'!$N:$N,MATCH($D813,'Paramètres'!$M:$M,0))&amp;"",""))),0,IF(OR(IFERROR(INDEX('Paramètres'!$I:$I,MATCH($C813,'Paramètres'!$D:$D,0))&amp;"","")="Les deux",IFERROR(INDEX('Paramètres'!$I:$I,MATCH($C813,'Paramètres'!$D:$D,0))&amp;"","")=IF($P813=1,"Débit",$L813)),-IF($P813=1,-$K813,$K813),0))))</f>
        <v>0</v>
      </c>
      <c r="U813" s="6">
        <f>IF($K813="","",IF(ISNUMBER(SEARCH("sortie-epargne",IFERROR(INDEX('Paramètres'!$N:$N,MATCH($D813,'Paramètres'!$M:$M,0))&amp;"",""))),$K813,0))</f>
        <v>0</v>
      </c>
      <c r="V813" s="6" t="str">
        <f>IF(AND($A813&lt;&gt;"",$O813=1,$L813="Débit",N($Q813)&gt;0,$A813&gt;=Visualisation!$B$1,$A813&lt;Visualisation!$D$1),MAX($V$1:V812)+1,"")</f>
        <v/>
      </c>
    </row>
    <row r="814" spans="1:22" x14ac:dyDescent="0.25">
      <c r="A814" s="9">
        <v>46122</v>
      </c>
      <c r="B814" s="4" t="s">
        <v>76</v>
      </c>
      <c r="C814" s="4" t="s">
        <v>67</v>
      </c>
      <c r="D814" s="4" t="s">
        <v>77</v>
      </c>
      <c r="E814" s="10">
        <v>82.82</v>
      </c>
      <c r="G814" s="4" t="s">
        <v>78</v>
      </c>
      <c r="H814" s="4"/>
      <c r="I814" s="4" t="s">
        <v>79</v>
      </c>
      <c r="K814" s="11">
        <f>IF($E814="","",ROUND($E814*IF(ISNA(MATCH($C814,'Paramètres'!$D:$D,0)),1,IF(INDEX('Paramètres'!$J:$J,MATCH($C814,'Paramètres'!$D:$D,0))="",1,INDEX('Paramètres'!$J:$J,MATCH($C814,'Paramètres'!$D:$D,0)))),2))</f>
        <v>41.41</v>
      </c>
      <c r="L814" s="6" t="str">
        <f>IF($D814="","",IF($F814&lt;&gt;"",$F814,IF(ISNA(MATCH($D814,'Paramètres'!$M:$M,0)),"⚠ Type inconnu",IFERROR(INDEX('Paramètres'!$P:$P,MATCH($D814,'Paramètres'!$M:$M,0))&amp;"",""))))</f>
        <v>Débit</v>
      </c>
      <c r="M814" s="6" t="str">
        <f>IF($D814="","",IF(ISNA(MATCH($D814,'Paramètres'!$M:$M,0)),"⚠ Type inconnu",IF($L814="Crédit","",IFERROR(INDEX('Paramètres'!$O:$O,MATCH($D814,'Paramètres'!$M:$M,0))&amp;"",""))))</f>
        <v>Dépense Courante</v>
      </c>
      <c r="N814" s="6" t="str">
        <f>IF($D814="","",IFERROR(INDEX('Paramètres'!$Q:$Q,MATCH($D814,'Paramètres'!$M:$M,0))&amp;"",""))</f>
        <v>Alimentation</v>
      </c>
      <c r="O814" s="6">
        <f>IF($A814="","",IF(OR($J814&lt;&gt;"x",$A814&lt;=FinReleve),1,0))</f>
        <v>1</v>
      </c>
      <c r="P814" s="6">
        <f>IF($D814="","",IF(AND($L814="Crédit",OR(IFERROR(INDEX('Paramètres'!$O:$O,MATCH($D814,'Paramètres'!$M:$M,0))&amp;"","")&lt;&gt;"",ISNUMBER(SEARCH("remboursement",IFERROR(INDEX('Paramètres'!$N:$N,MATCH($D814,'Paramètres'!$M:$M,0))&amp;"",""))))),1,0))</f>
        <v>0</v>
      </c>
      <c r="Q814" s="6">
        <f>IF($K814="","",IF(ISNUMBER(SEARCH("transfert-interne",IFERROR(INDEX('Paramètres'!$N:$N,MATCH($D814,'Paramètres'!$M:$M,0))&amp;"",""))),0,IF($L814="Débit",$K814,IF($P814=1,-$K814,0))))</f>
        <v>41.41</v>
      </c>
      <c r="R814" s="6">
        <f>IF($K814="","",IF($L814="Crédit",$K814,-$K814))</f>
        <v>-41.41</v>
      </c>
      <c r="S814" s="6" t="str">
        <f>IF($C814="","",IFERROR(INDEX('Paramètres'!$H:$H,MATCH($C814,'Paramètres'!$D:$D,0))&amp;"",""))</f>
        <v>Banque A - Courant</v>
      </c>
      <c r="T814" s="6">
        <f>IF($K814="","",IF($S814="",0,IF(ISNUMBER(SEARCH("apport-exterieur",IFERROR(INDEX('Paramètres'!$N:$N,MATCH($D814,'Paramètres'!$M:$M,0))&amp;"",""))),0,IF(OR(IFERROR(INDEX('Paramètres'!$I:$I,MATCH($C814,'Paramètres'!$D:$D,0))&amp;"","")="Les deux",IFERROR(INDEX('Paramètres'!$I:$I,MATCH($C814,'Paramètres'!$D:$D,0))&amp;"","")=IF($P814=1,"Débit",$L814)),-IF($P814=1,-$K814,$K814),0))))</f>
        <v>0</v>
      </c>
      <c r="U814" s="6">
        <f>IF($K814="","",IF(ISNUMBER(SEARCH("sortie-epargne",IFERROR(INDEX('Paramètres'!$N:$N,MATCH($D814,'Paramètres'!$M:$M,0))&amp;"",""))),$K814,0))</f>
        <v>0</v>
      </c>
      <c r="V814" s="6" t="str">
        <f>IF(AND($A814&lt;&gt;"",$O814=1,$L814="Débit",N($Q814)&gt;0,$A814&gt;=Visualisation!$B$1,$A814&lt;Visualisation!$D$1),MAX($V$1:V813)+1,"")</f>
        <v/>
      </c>
    </row>
    <row r="815" spans="1:22" x14ac:dyDescent="0.25">
      <c r="A815" s="9">
        <v>46124</v>
      </c>
      <c r="B815" s="4" t="s">
        <v>97</v>
      </c>
      <c r="C815" s="4" t="s">
        <v>75</v>
      </c>
      <c r="D815" s="4" t="s">
        <v>97</v>
      </c>
      <c r="E815" s="10">
        <v>47.9</v>
      </c>
      <c r="G815" s="4"/>
      <c r="H815" s="4"/>
      <c r="I815" s="4"/>
      <c r="K815" s="11">
        <f>IF($E815="","",ROUND($E815*IF(ISNA(MATCH($C815,'Paramètres'!$D:$D,0)),1,IF(INDEX('Paramètres'!$J:$J,MATCH($C815,'Paramètres'!$D:$D,0))="",1,INDEX('Paramètres'!$J:$J,MATCH($C815,'Paramètres'!$D:$D,0)))),2))</f>
        <v>47.9</v>
      </c>
      <c r="L815" s="6" t="str">
        <f>IF($D815="","",IF($F815&lt;&gt;"",$F815,IF(ISNA(MATCH($D815,'Paramètres'!$M:$M,0)),"⚠ Type inconnu",IFERROR(INDEX('Paramètres'!$P:$P,MATCH($D815,'Paramètres'!$M:$M,0))&amp;"",""))))</f>
        <v>Débit</v>
      </c>
      <c r="M815" s="6" t="str">
        <f>IF($D815="","",IF(ISNA(MATCH($D815,'Paramètres'!$M:$M,0)),"⚠ Type inconnu",IF($L815="Crédit","",IFERROR(INDEX('Paramètres'!$O:$O,MATCH($D815,'Paramètres'!$M:$M,0))&amp;"",""))))</f>
        <v>Dépense Fixe</v>
      </c>
      <c r="N815" s="6" t="str">
        <f>IF($D815="","",IFERROR(INDEX('Paramètres'!$Q:$Q,MATCH($D815,'Paramètres'!$M:$M,0))&amp;"",""))</f>
        <v>Assurances</v>
      </c>
      <c r="O815" s="6">
        <f>IF($A815="","",IF(OR($J815&lt;&gt;"x",$A815&lt;=FinReleve),1,0))</f>
        <v>1</v>
      </c>
      <c r="P815" s="6">
        <f>IF($D815="","",IF(AND($L815="Crédit",OR(IFERROR(INDEX('Paramètres'!$O:$O,MATCH($D815,'Paramètres'!$M:$M,0))&amp;"","")&lt;&gt;"",ISNUMBER(SEARCH("remboursement",IFERROR(INDEX('Paramètres'!$N:$N,MATCH($D815,'Paramètres'!$M:$M,0))&amp;"",""))))),1,0))</f>
        <v>0</v>
      </c>
      <c r="Q815" s="6">
        <f>IF($K815="","",IF(ISNUMBER(SEARCH("transfert-interne",IFERROR(INDEX('Paramètres'!$N:$N,MATCH($D815,'Paramètres'!$M:$M,0))&amp;"",""))),0,IF($L815="Débit",$K815,IF($P815=1,-$K815,0))))</f>
        <v>47.9</v>
      </c>
      <c r="R815" s="6">
        <f>IF($K815="","",IF($L815="Crédit",$K815,-$K815))</f>
        <v>-47.9</v>
      </c>
      <c r="S815" s="6" t="str">
        <f>IF($C815="","",IFERROR(INDEX('Paramètres'!$H:$H,MATCH($C815,'Paramètres'!$D:$D,0))&amp;"",""))</f>
        <v/>
      </c>
      <c r="T815" s="6">
        <f>IF($K815="","",IF($S815="",0,IF(ISNUMBER(SEARCH("apport-exterieur",IFERROR(INDEX('Paramètres'!$N:$N,MATCH($D815,'Paramètres'!$M:$M,0))&amp;"",""))),0,IF(OR(IFERROR(INDEX('Paramètres'!$I:$I,MATCH($C815,'Paramètres'!$D:$D,0))&amp;"","")="Les deux",IFERROR(INDEX('Paramètres'!$I:$I,MATCH($C815,'Paramètres'!$D:$D,0))&amp;"","")=IF($P815=1,"Débit",$L815)),-IF($P815=1,-$K815,$K815),0))))</f>
        <v>0</v>
      </c>
      <c r="U815" s="6">
        <f>IF($K815="","",IF(ISNUMBER(SEARCH("sortie-epargne",IFERROR(INDEX('Paramètres'!$N:$N,MATCH($D815,'Paramètres'!$M:$M,0))&amp;"",""))),$K815,0))</f>
        <v>0</v>
      </c>
      <c r="V815" s="6" t="str">
        <f>IF(AND($A815&lt;&gt;"",$O815=1,$L815="Débit",N($Q815)&gt;0,$A815&gt;=Visualisation!$B$1,$A815&lt;Visualisation!$D$1),MAX($V$1:V814)+1,"")</f>
        <v/>
      </c>
    </row>
    <row r="816" spans="1:22" x14ac:dyDescent="0.25">
      <c r="A816" s="9">
        <v>46124</v>
      </c>
      <c r="B816" s="4" t="s">
        <v>76</v>
      </c>
      <c r="C816" s="4" t="s">
        <v>67</v>
      </c>
      <c r="D816" s="4" t="s">
        <v>77</v>
      </c>
      <c r="E816" s="10">
        <v>164.46</v>
      </c>
      <c r="G816" s="4" t="s">
        <v>98</v>
      </c>
      <c r="H816" s="4"/>
      <c r="I816" s="4" t="s">
        <v>79</v>
      </c>
      <c r="K816" s="11">
        <f>IF($E816="","",ROUND($E816*IF(ISNA(MATCH($C816,'Paramètres'!$D:$D,0)),1,IF(INDEX('Paramètres'!$J:$J,MATCH($C816,'Paramètres'!$D:$D,0))="",1,INDEX('Paramètres'!$J:$J,MATCH($C816,'Paramètres'!$D:$D,0)))),2))</f>
        <v>82.23</v>
      </c>
      <c r="L816" s="6" t="str">
        <f>IF($D816="","",IF($F816&lt;&gt;"",$F816,IF(ISNA(MATCH($D816,'Paramètres'!$M:$M,0)),"⚠ Type inconnu",IFERROR(INDEX('Paramètres'!$P:$P,MATCH($D816,'Paramètres'!$M:$M,0))&amp;"",""))))</f>
        <v>Débit</v>
      </c>
      <c r="M816" s="6" t="str">
        <f>IF($D816="","",IF(ISNA(MATCH($D816,'Paramètres'!$M:$M,0)),"⚠ Type inconnu",IF($L816="Crédit","",IFERROR(INDEX('Paramètres'!$O:$O,MATCH($D816,'Paramètres'!$M:$M,0))&amp;"",""))))</f>
        <v>Dépense Courante</v>
      </c>
      <c r="N816" s="6" t="str">
        <f>IF($D816="","",IFERROR(INDEX('Paramètres'!$Q:$Q,MATCH($D816,'Paramètres'!$M:$M,0))&amp;"",""))</f>
        <v>Alimentation</v>
      </c>
      <c r="O816" s="6">
        <f>IF($A816="","",IF(OR($J816&lt;&gt;"x",$A816&lt;=FinReleve),1,0))</f>
        <v>1</v>
      </c>
      <c r="P816" s="6">
        <f>IF($D816="","",IF(AND($L816="Crédit",OR(IFERROR(INDEX('Paramètres'!$O:$O,MATCH($D816,'Paramètres'!$M:$M,0))&amp;"","")&lt;&gt;"",ISNUMBER(SEARCH("remboursement",IFERROR(INDEX('Paramètres'!$N:$N,MATCH($D816,'Paramètres'!$M:$M,0))&amp;"",""))))),1,0))</f>
        <v>0</v>
      </c>
      <c r="Q816" s="6">
        <f>IF($K816="","",IF(ISNUMBER(SEARCH("transfert-interne",IFERROR(INDEX('Paramètres'!$N:$N,MATCH($D816,'Paramètres'!$M:$M,0))&amp;"",""))),0,IF($L816="Débit",$K816,IF($P816=1,-$K816,0))))</f>
        <v>82.23</v>
      </c>
      <c r="R816" s="6">
        <f>IF($K816="","",IF($L816="Crédit",$K816,-$K816))</f>
        <v>-82.23</v>
      </c>
      <c r="S816" s="6" t="str">
        <f>IF($C816="","",IFERROR(INDEX('Paramètres'!$H:$H,MATCH($C816,'Paramètres'!$D:$D,0))&amp;"",""))</f>
        <v>Banque A - Courant</v>
      </c>
      <c r="T816" s="6">
        <f>IF($K816="","",IF($S816="",0,IF(ISNUMBER(SEARCH("apport-exterieur",IFERROR(INDEX('Paramètres'!$N:$N,MATCH($D816,'Paramètres'!$M:$M,0))&amp;"",""))),0,IF(OR(IFERROR(INDEX('Paramètres'!$I:$I,MATCH($C816,'Paramètres'!$D:$D,0))&amp;"","")="Les deux",IFERROR(INDEX('Paramètres'!$I:$I,MATCH($C816,'Paramètres'!$D:$D,0))&amp;"","")=IF($P816=1,"Débit",$L816)),-IF($P816=1,-$K816,$K816),0))))</f>
        <v>0</v>
      </c>
      <c r="U816" s="6">
        <f>IF($K816="","",IF(ISNUMBER(SEARCH("sortie-epargne",IFERROR(INDEX('Paramètres'!$N:$N,MATCH($D816,'Paramètres'!$M:$M,0))&amp;"",""))),$K816,0))</f>
        <v>0</v>
      </c>
      <c r="V816" s="6" t="str">
        <f>IF(AND($A816&lt;&gt;"",$O816=1,$L816="Débit",N($Q816)&gt;0,$A816&gt;=Visualisation!$B$1,$A816&lt;Visualisation!$D$1),MAX($V$1:V815)+1,"")</f>
        <v/>
      </c>
    </row>
    <row r="817" spans="1:22" x14ac:dyDescent="0.25">
      <c r="A817" s="9">
        <v>46124</v>
      </c>
      <c r="B817" s="4" t="s">
        <v>76</v>
      </c>
      <c r="C817" s="4" t="s">
        <v>60</v>
      </c>
      <c r="D817" s="4" t="s">
        <v>77</v>
      </c>
      <c r="E817" s="10">
        <v>94.78</v>
      </c>
      <c r="G817" s="4" t="s">
        <v>95</v>
      </c>
      <c r="H817" s="4"/>
      <c r="I817" s="4"/>
      <c r="K817" s="11">
        <f>IF($E817="","",ROUND($E817*IF(ISNA(MATCH($C817,'Paramètres'!$D:$D,0)),1,IF(INDEX('Paramètres'!$J:$J,MATCH($C817,'Paramètres'!$D:$D,0))="",1,INDEX('Paramètres'!$J:$J,MATCH($C817,'Paramètres'!$D:$D,0)))),2))</f>
        <v>47.39</v>
      </c>
      <c r="L817" s="6" t="str">
        <f>IF($D817="","",IF($F817&lt;&gt;"",$F817,IF(ISNA(MATCH($D817,'Paramètres'!$M:$M,0)),"⚠ Type inconnu",IFERROR(INDEX('Paramètres'!$P:$P,MATCH($D817,'Paramètres'!$M:$M,0))&amp;"",""))))</f>
        <v>Débit</v>
      </c>
      <c r="M817" s="6" t="str">
        <f>IF($D817="","",IF(ISNA(MATCH($D817,'Paramètres'!$M:$M,0)),"⚠ Type inconnu",IF($L817="Crédit","",IFERROR(INDEX('Paramètres'!$O:$O,MATCH($D817,'Paramètres'!$M:$M,0))&amp;"",""))))</f>
        <v>Dépense Courante</v>
      </c>
      <c r="N817" s="6" t="str">
        <f>IF($D817="","",IFERROR(INDEX('Paramètres'!$Q:$Q,MATCH($D817,'Paramètres'!$M:$M,0))&amp;"",""))</f>
        <v>Alimentation</v>
      </c>
      <c r="O817" s="6">
        <f>IF($A817="","",IF(OR($J817&lt;&gt;"x",$A817&lt;=FinReleve),1,0))</f>
        <v>1</v>
      </c>
      <c r="P817" s="6">
        <f>IF($D817="","",IF(AND($L817="Crédit",OR(IFERROR(INDEX('Paramètres'!$O:$O,MATCH($D817,'Paramètres'!$M:$M,0))&amp;"","")&lt;&gt;"",ISNUMBER(SEARCH("remboursement",IFERROR(INDEX('Paramètres'!$N:$N,MATCH($D817,'Paramètres'!$M:$M,0))&amp;"",""))))),1,0))</f>
        <v>0</v>
      </c>
      <c r="Q817" s="6">
        <f>IF($K817="","",IF(ISNUMBER(SEARCH("transfert-interne",IFERROR(INDEX('Paramètres'!$N:$N,MATCH($D817,'Paramètres'!$M:$M,0))&amp;"",""))),0,IF($L817="Débit",$K817,IF($P817=1,-$K817,0))))</f>
        <v>47.39</v>
      </c>
      <c r="R817" s="6">
        <f>IF($K817="","",IF($L817="Crédit",$K817,-$K817))</f>
        <v>-47.39</v>
      </c>
      <c r="S817" s="6" t="str">
        <f>IF($C817="","",IFERROR(INDEX('Paramètres'!$H:$H,MATCH($C817,'Paramètres'!$D:$D,0))&amp;"",""))</f>
        <v>Banque A - Courant</v>
      </c>
      <c r="T817" s="6">
        <f>IF($K817="","",IF($S817="",0,IF(ISNUMBER(SEARCH("apport-exterieur",IFERROR(INDEX('Paramètres'!$N:$N,MATCH($D817,'Paramètres'!$M:$M,0))&amp;"",""))),0,IF(OR(IFERROR(INDEX('Paramètres'!$I:$I,MATCH($C817,'Paramètres'!$D:$D,0))&amp;"","")="Les deux",IFERROR(INDEX('Paramètres'!$I:$I,MATCH($C817,'Paramètres'!$D:$D,0))&amp;"","")=IF($P817=1,"Débit",$L817)),-IF($P817=1,-$K817,$K817),0))))</f>
        <v>-47.39</v>
      </c>
      <c r="U817" s="6">
        <f>IF($K817="","",IF(ISNUMBER(SEARCH("sortie-epargne",IFERROR(INDEX('Paramètres'!$N:$N,MATCH($D817,'Paramètres'!$M:$M,0))&amp;"",""))),$K817,0))</f>
        <v>0</v>
      </c>
      <c r="V817" s="6" t="str">
        <f>IF(AND($A817&lt;&gt;"",$O817=1,$L817="Débit",N($Q817)&gt;0,$A817&gt;=Visualisation!$B$1,$A817&lt;Visualisation!$D$1),MAX($V$1:V816)+1,"")</f>
        <v/>
      </c>
    </row>
    <row r="818" spans="1:22" x14ac:dyDescent="0.25">
      <c r="A818" s="9">
        <v>46124</v>
      </c>
      <c r="B818" s="4" t="s">
        <v>131</v>
      </c>
      <c r="C818" s="4" t="s">
        <v>75</v>
      </c>
      <c r="D818" s="4" t="s">
        <v>143</v>
      </c>
      <c r="E818" s="10">
        <v>32.53</v>
      </c>
      <c r="G818" s="4" t="s">
        <v>143</v>
      </c>
      <c r="H818" s="4"/>
      <c r="I818" s="4" t="s">
        <v>73</v>
      </c>
      <c r="K818" s="11">
        <f>IF($E818="","",ROUND($E818*IF(ISNA(MATCH($C818,'Paramètres'!$D:$D,0)),1,IF(INDEX('Paramètres'!$J:$J,MATCH($C818,'Paramètres'!$D:$D,0))="",1,INDEX('Paramètres'!$J:$J,MATCH($C818,'Paramètres'!$D:$D,0)))),2))</f>
        <v>32.53</v>
      </c>
      <c r="L818" s="6" t="str">
        <f>IF($D818="","",IF($F818&lt;&gt;"",$F818,IF(ISNA(MATCH($D818,'Paramètres'!$M:$M,0)),"⚠ Type inconnu",IFERROR(INDEX('Paramètres'!$P:$P,MATCH($D818,'Paramètres'!$M:$M,0))&amp;"",""))))</f>
        <v>Débit</v>
      </c>
      <c r="M818" s="6" t="str">
        <f>IF($D818="","",IF(ISNA(MATCH($D818,'Paramètres'!$M:$M,0)),"⚠ Type inconnu",IF($L818="Crédit","",IFERROR(INDEX('Paramètres'!$O:$O,MATCH($D818,'Paramètres'!$M:$M,0))&amp;"",""))))</f>
        <v>Dépense Courante</v>
      </c>
      <c r="N818" s="6" t="str">
        <f>IF($D818="","",IFERROR(INDEX('Paramètres'!$Q:$Q,MATCH($D818,'Paramètres'!$M:$M,0))&amp;"",""))</f>
        <v>Santé</v>
      </c>
      <c r="O818" s="6">
        <f>IF($A818="","",IF(OR($J818&lt;&gt;"x",$A818&lt;=FinReleve),1,0))</f>
        <v>1</v>
      </c>
      <c r="P818" s="6">
        <f>IF($D818="","",IF(AND($L818="Crédit",OR(IFERROR(INDEX('Paramètres'!$O:$O,MATCH($D818,'Paramètres'!$M:$M,0))&amp;"","")&lt;&gt;"",ISNUMBER(SEARCH("remboursement",IFERROR(INDEX('Paramètres'!$N:$N,MATCH($D818,'Paramètres'!$M:$M,0))&amp;"",""))))),1,0))</f>
        <v>0</v>
      </c>
      <c r="Q818" s="6">
        <f>IF($K818="","",IF(ISNUMBER(SEARCH("transfert-interne",IFERROR(INDEX('Paramètres'!$N:$N,MATCH($D818,'Paramètres'!$M:$M,0))&amp;"",""))),0,IF($L818="Débit",$K818,IF($P818=1,-$K818,0))))</f>
        <v>32.53</v>
      </c>
      <c r="R818" s="6">
        <f>IF($K818="","",IF($L818="Crédit",$K818,-$K818))</f>
        <v>-32.53</v>
      </c>
      <c r="S818" s="6" t="str">
        <f>IF($C818="","",IFERROR(INDEX('Paramètres'!$H:$H,MATCH($C818,'Paramètres'!$D:$D,0))&amp;"",""))</f>
        <v/>
      </c>
      <c r="T818" s="6">
        <f>IF($K818="","",IF($S818="",0,IF(ISNUMBER(SEARCH("apport-exterieur",IFERROR(INDEX('Paramètres'!$N:$N,MATCH($D818,'Paramètres'!$M:$M,0))&amp;"",""))),0,IF(OR(IFERROR(INDEX('Paramètres'!$I:$I,MATCH($C818,'Paramètres'!$D:$D,0))&amp;"","")="Les deux",IFERROR(INDEX('Paramètres'!$I:$I,MATCH($C818,'Paramètres'!$D:$D,0))&amp;"","")=IF($P818=1,"Débit",$L818)),-IF($P818=1,-$K818,$K818),0))))</f>
        <v>0</v>
      </c>
      <c r="U818" s="6">
        <f>IF($K818="","",IF(ISNUMBER(SEARCH("sortie-epargne",IFERROR(INDEX('Paramètres'!$N:$N,MATCH($D818,'Paramètres'!$M:$M,0))&amp;"",""))),$K818,0))</f>
        <v>0</v>
      </c>
      <c r="V818" s="6" t="str">
        <f>IF(AND($A818&lt;&gt;"",$O818=1,$L818="Débit",N($Q818)&gt;0,$A818&gt;=Visualisation!$B$1,$A818&lt;Visualisation!$D$1),MAX($V$1:V817)+1,"")</f>
        <v/>
      </c>
    </row>
    <row r="819" spans="1:22" x14ac:dyDescent="0.25">
      <c r="A819" s="9">
        <v>46125</v>
      </c>
      <c r="B819" s="4" t="s">
        <v>69</v>
      </c>
      <c r="C819" s="4" t="s">
        <v>70</v>
      </c>
      <c r="D819" s="4" t="s">
        <v>71</v>
      </c>
      <c r="E819" s="10">
        <v>9</v>
      </c>
      <c r="G819" s="4" t="s">
        <v>72</v>
      </c>
      <c r="H819" s="4"/>
      <c r="I819" s="4" t="s">
        <v>63</v>
      </c>
      <c r="K819" s="11">
        <f>IF($E819="","",ROUND($E819*IF(ISNA(MATCH($C819,'Paramètres'!$D:$D,0)),1,IF(INDEX('Paramètres'!$J:$J,MATCH($C819,'Paramètres'!$D:$D,0))="",1,INDEX('Paramètres'!$J:$J,MATCH($C819,'Paramètres'!$D:$D,0)))),2))</f>
        <v>9</v>
      </c>
      <c r="L819" s="6" t="str">
        <f>IF($D819="","",IF($F819&lt;&gt;"",$F819,IF(ISNA(MATCH($D819,'Paramètres'!$M:$M,0)),"⚠ Type inconnu",IFERROR(INDEX('Paramètres'!$P:$P,MATCH($D819,'Paramètres'!$M:$M,0))&amp;"",""))))</f>
        <v>Débit</v>
      </c>
      <c r="M819" s="6" t="str">
        <f>IF($D819="","",IF(ISNA(MATCH($D819,'Paramètres'!$M:$M,0)),"⚠ Type inconnu",IF($L819="Crédit","",IFERROR(INDEX('Paramètres'!$O:$O,MATCH($D819,'Paramètres'!$M:$M,0))&amp;"",""))))</f>
        <v>Dépense Courante</v>
      </c>
      <c r="N819" s="6" t="str">
        <f>IF($D819="","",IFERROR(INDEX('Paramètres'!$Q:$Q,MATCH($D819,'Paramètres'!$M:$M,0))&amp;"",""))</f>
        <v>Alimentation</v>
      </c>
      <c r="O819" s="6">
        <f>IF($A819="","",IF(OR($J819&lt;&gt;"x",$A819&lt;=FinReleve),1,0))</f>
        <v>1</v>
      </c>
      <c r="P819" s="6">
        <f>IF($D819="","",IF(AND($L819="Crédit",OR(IFERROR(INDEX('Paramètres'!$O:$O,MATCH($D819,'Paramètres'!$M:$M,0))&amp;"","")&lt;&gt;"",ISNUMBER(SEARCH("remboursement",IFERROR(INDEX('Paramètres'!$N:$N,MATCH($D819,'Paramètres'!$M:$M,0))&amp;"",""))))),1,0))</f>
        <v>0</v>
      </c>
      <c r="Q819" s="6">
        <f>IF($K819="","",IF(ISNUMBER(SEARCH("transfert-interne",IFERROR(INDEX('Paramètres'!$N:$N,MATCH($D819,'Paramètres'!$M:$M,0))&amp;"",""))),0,IF($L819="Débit",$K819,IF($P819=1,-$K819,0))))</f>
        <v>9</v>
      </c>
      <c r="R819" s="6">
        <f>IF($K819="","",IF($L819="Crédit",$K819,-$K819))</f>
        <v>-9</v>
      </c>
      <c r="S819" s="6" t="str">
        <f>IF($C819="","",IFERROR(INDEX('Paramètres'!$H:$H,MATCH($C819,'Paramètres'!$D:$D,0))&amp;"",""))</f>
        <v/>
      </c>
      <c r="T819" s="6">
        <f>IF($K819="","",IF($S819="",0,IF(ISNUMBER(SEARCH("apport-exterieur",IFERROR(INDEX('Paramètres'!$N:$N,MATCH($D819,'Paramètres'!$M:$M,0))&amp;"",""))),0,IF(OR(IFERROR(INDEX('Paramètres'!$I:$I,MATCH($C819,'Paramètres'!$D:$D,0))&amp;"","")="Les deux",IFERROR(INDEX('Paramètres'!$I:$I,MATCH($C819,'Paramètres'!$D:$D,0))&amp;"","")=IF($P819=1,"Débit",$L819)),-IF($P819=1,-$K819,$K819),0))))</f>
        <v>0</v>
      </c>
      <c r="U819" s="6">
        <f>IF($K819="","",IF(ISNUMBER(SEARCH("sortie-epargne",IFERROR(INDEX('Paramètres'!$N:$N,MATCH($D819,'Paramètres'!$M:$M,0))&amp;"",""))),$K819,0))</f>
        <v>0</v>
      </c>
      <c r="V819" s="6" t="str">
        <f>IF(AND($A819&lt;&gt;"",$O819=1,$L819="Débit",N($Q819)&gt;0,$A819&gt;=Visualisation!$B$1,$A819&lt;Visualisation!$D$1),MAX($V$1:V818)+1,"")</f>
        <v/>
      </c>
    </row>
    <row r="820" spans="1:22" x14ac:dyDescent="0.25">
      <c r="A820" s="9">
        <v>46125</v>
      </c>
      <c r="B820" s="4" t="s">
        <v>90</v>
      </c>
      <c r="C820" s="4" t="s">
        <v>75</v>
      </c>
      <c r="D820" s="4" t="s">
        <v>91</v>
      </c>
      <c r="E820" s="10">
        <v>46.03</v>
      </c>
      <c r="G820" s="4" t="s">
        <v>136</v>
      </c>
      <c r="H820" s="4"/>
      <c r="I820" s="4" t="s">
        <v>93</v>
      </c>
      <c r="K820" s="11">
        <f>IF($E820="","",ROUND($E820*IF(ISNA(MATCH($C820,'Paramètres'!$D:$D,0)),1,IF(INDEX('Paramètres'!$J:$J,MATCH($C820,'Paramètres'!$D:$D,0))="",1,INDEX('Paramètres'!$J:$J,MATCH($C820,'Paramètres'!$D:$D,0)))),2))</f>
        <v>46.03</v>
      </c>
      <c r="L820" s="6" t="str">
        <f>IF($D820="","",IF($F820&lt;&gt;"",$F820,IF(ISNA(MATCH($D820,'Paramètres'!$M:$M,0)),"⚠ Type inconnu",IFERROR(INDEX('Paramètres'!$P:$P,MATCH($D820,'Paramètres'!$M:$M,0))&amp;"",""))))</f>
        <v>Débit</v>
      </c>
      <c r="M820" s="6" t="str">
        <f>IF($D820="","",IF(ISNA(MATCH($D820,'Paramètres'!$M:$M,0)),"⚠ Type inconnu",IF($L820="Crédit","",IFERROR(INDEX('Paramètres'!$O:$O,MATCH($D820,'Paramètres'!$M:$M,0))&amp;"",""))))</f>
        <v>Dépense Courante</v>
      </c>
      <c r="N820" s="6" t="str">
        <f>IF($D820="","",IFERROR(INDEX('Paramètres'!$Q:$Q,MATCH($D820,'Paramètres'!$M:$M,0))&amp;"",""))</f>
        <v>Transport</v>
      </c>
      <c r="O820" s="6">
        <f>IF($A820="","",IF(OR($J820&lt;&gt;"x",$A820&lt;=FinReleve),1,0))</f>
        <v>1</v>
      </c>
      <c r="P820" s="6">
        <f>IF($D820="","",IF(AND($L820="Crédit",OR(IFERROR(INDEX('Paramètres'!$O:$O,MATCH($D820,'Paramètres'!$M:$M,0))&amp;"","")&lt;&gt;"",ISNUMBER(SEARCH("remboursement",IFERROR(INDEX('Paramètres'!$N:$N,MATCH($D820,'Paramètres'!$M:$M,0))&amp;"",""))))),1,0))</f>
        <v>0</v>
      </c>
      <c r="Q820" s="6">
        <f>IF($K820="","",IF(ISNUMBER(SEARCH("transfert-interne",IFERROR(INDEX('Paramètres'!$N:$N,MATCH($D820,'Paramètres'!$M:$M,0))&amp;"",""))),0,IF($L820="Débit",$K820,IF($P820=1,-$K820,0))))</f>
        <v>46.03</v>
      </c>
      <c r="R820" s="6">
        <f>IF($K820="","",IF($L820="Crédit",$K820,-$K820))</f>
        <v>-46.03</v>
      </c>
      <c r="S820" s="6" t="str">
        <f>IF($C820="","",IFERROR(INDEX('Paramètres'!$H:$H,MATCH($C820,'Paramètres'!$D:$D,0))&amp;"",""))</f>
        <v/>
      </c>
      <c r="T820" s="6">
        <f>IF($K820="","",IF($S820="",0,IF(ISNUMBER(SEARCH("apport-exterieur",IFERROR(INDEX('Paramètres'!$N:$N,MATCH($D820,'Paramètres'!$M:$M,0))&amp;"",""))),0,IF(OR(IFERROR(INDEX('Paramètres'!$I:$I,MATCH($C820,'Paramètres'!$D:$D,0))&amp;"","")="Les deux",IFERROR(INDEX('Paramètres'!$I:$I,MATCH($C820,'Paramètres'!$D:$D,0))&amp;"","")=IF($P820=1,"Débit",$L820)),-IF($P820=1,-$K820,$K820),0))))</f>
        <v>0</v>
      </c>
      <c r="U820" s="6">
        <f>IF($K820="","",IF(ISNUMBER(SEARCH("sortie-epargne",IFERROR(INDEX('Paramètres'!$N:$N,MATCH($D820,'Paramètres'!$M:$M,0))&amp;"",""))),$K820,0))</f>
        <v>0</v>
      </c>
      <c r="V820" s="6" t="str">
        <f>IF(AND($A820&lt;&gt;"",$O820=1,$L820="Débit",N($Q820)&gt;0,$A820&gt;=Visualisation!$B$1,$A820&lt;Visualisation!$D$1),MAX($V$1:V819)+1,"")</f>
        <v/>
      </c>
    </row>
    <row r="821" spans="1:22" x14ac:dyDescent="0.25">
      <c r="A821" s="9">
        <v>46126</v>
      </c>
      <c r="B821" s="4" t="s">
        <v>69</v>
      </c>
      <c r="C821" s="4" t="s">
        <v>70</v>
      </c>
      <c r="D821" s="4" t="s">
        <v>71</v>
      </c>
      <c r="E821" s="10">
        <v>11.59</v>
      </c>
      <c r="G821" s="4" t="s">
        <v>72</v>
      </c>
      <c r="H821" s="4"/>
      <c r="I821" s="4"/>
      <c r="K821" s="11">
        <f>IF($E821="","",ROUND($E821*IF(ISNA(MATCH($C821,'Paramètres'!$D:$D,0)),1,IF(INDEX('Paramètres'!$J:$J,MATCH($C821,'Paramètres'!$D:$D,0))="",1,INDEX('Paramètres'!$J:$J,MATCH($C821,'Paramètres'!$D:$D,0)))),2))</f>
        <v>11.59</v>
      </c>
      <c r="L821" s="6" t="str">
        <f>IF($D821="","",IF($F821&lt;&gt;"",$F821,IF(ISNA(MATCH($D821,'Paramètres'!$M:$M,0)),"⚠ Type inconnu",IFERROR(INDEX('Paramètres'!$P:$P,MATCH($D821,'Paramètres'!$M:$M,0))&amp;"",""))))</f>
        <v>Débit</v>
      </c>
      <c r="M821" s="6" t="str">
        <f>IF($D821="","",IF(ISNA(MATCH($D821,'Paramètres'!$M:$M,0)),"⚠ Type inconnu",IF($L821="Crédit","",IFERROR(INDEX('Paramètres'!$O:$O,MATCH($D821,'Paramètres'!$M:$M,0))&amp;"",""))))</f>
        <v>Dépense Courante</v>
      </c>
      <c r="N821" s="6" t="str">
        <f>IF($D821="","",IFERROR(INDEX('Paramètres'!$Q:$Q,MATCH($D821,'Paramètres'!$M:$M,0))&amp;"",""))</f>
        <v>Alimentation</v>
      </c>
      <c r="O821" s="6">
        <f>IF($A821="","",IF(OR($J821&lt;&gt;"x",$A821&lt;=FinReleve),1,0))</f>
        <v>1</v>
      </c>
      <c r="P821" s="6">
        <f>IF($D821="","",IF(AND($L821="Crédit",OR(IFERROR(INDEX('Paramètres'!$O:$O,MATCH($D821,'Paramètres'!$M:$M,0))&amp;"","")&lt;&gt;"",ISNUMBER(SEARCH("remboursement",IFERROR(INDEX('Paramètres'!$N:$N,MATCH($D821,'Paramètres'!$M:$M,0))&amp;"",""))))),1,0))</f>
        <v>0</v>
      </c>
      <c r="Q821" s="6">
        <f>IF($K821="","",IF(ISNUMBER(SEARCH("transfert-interne",IFERROR(INDEX('Paramètres'!$N:$N,MATCH($D821,'Paramètres'!$M:$M,0))&amp;"",""))),0,IF($L821="Débit",$K821,IF($P821=1,-$K821,0))))</f>
        <v>11.59</v>
      </c>
      <c r="R821" s="6">
        <f>IF($K821="","",IF($L821="Crédit",$K821,-$K821))</f>
        <v>-11.59</v>
      </c>
      <c r="S821" s="6" t="str">
        <f>IF($C821="","",IFERROR(INDEX('Paramètres'!$H:$H,MATCH($C821,'Paramètres'!$D:$D,0))&amp;"",""))</f>
        <v/>
      </c>
      <c r="T821" s="6">
        <f>IF($K821="","",IF($S821="",0,IF(ISNUMBER(SEARCH("apport-exterieur",IFERROR(INDEX('Paramètres'!$N:$N,MATCH($D821,'Paramètres'!$M:$M,0))&amp;"",""))),0,IF(OR(IFERROR(INDEX('Paramètres'!$I:$I,MATCH($C821,'Paramètres'!$D:$D,0))&amp;"","")="Les deux",IFERROR(INDEX('Paramètres'!$I:$I,MATCH($C821,'Paramètres'!$D:$D,0))&amp;"","")=IF($P821=1,"Débit",$L821)),-IF($P821=1,-$K821,$K821),0))))</f>
        <v>0</v>
      </c>
      <c r="U821" s="6">
        <f>IF($K821="","",IF(ISNUMBER(SEARCH("sortie-epargne",IFERROR(INDEX('Paramètres'!$N:$N,MATCH($D821,'Paramètres'!$M:$M,0))&amp;"",""))),$K821,0))</f>
        <v>0</v>
      </c>
      <c r="V821" s="6" t="str">
        <f>IF(AND($A821&lt;&gt;"",$O821=1,$L821="Débit",N($Q821)&gt;0,$A821&gt;=Visualisation!$B$1,$A821&lt;Visualisation!$D$1),MAX($V$1:V820)+1,"")</f>
        <v/>
      </c>
    </row>
    <row r="822" spans="1:22" x14ac:dyDescent="0.25">
      <c r="A822" s="9">
        <v>46127</v>
      </c>
      <c r="B822" s="4" t="s">
        <v>100</v>
      </c>
      <c r="C822" s="4" t="s">
        <v>65</v>
      </c>
      <c r="D822" s="4" t="s">
        <v>100</v>
      </c>
      <c r="E822" s="10">
        <v>84.77</v>
      </c>
      <c r="G822" s="4"/>
      <c r="H822" s="4"/>
      <c r="I822" s="4"/>
      <c r="K822" s="11">
        <f>IF($E822="","",ROUND($E822*IF(ISNA(MATCH($C822,'Paramètres'!$D:$D,0)),1,IF(INDEX('Paramètres'!$J:$J,MATCH($C822,'Paramètres'!$D:$D,0))="",1,INDEX('Paramètres'!$J:$J,MATCH($C822,'Paramètres'!$D:$D,0)))),2))</f>
        <v>84.77</v>
      </c>
      <c r="L822" s="6" t="str">
        <f>IF($D822="","",IF($F822&lt;&gt;"",$F822,IF(ISNA(MATCH($D822,'Paramètres'!$M:$M,0)),"⚠ Type inconnu",IFERROR(INDEX('Paramètres'!$P:$P,MATCH($D822,'Paramètres'!$M:$M,0))&amp;"",""))))</f>
        <v>Débit</v>
      </c>
      <c r="M822" s="6" t="str">
        <f>IF($D822="","",IF(ISNA(MATCH($D822,'Paramètres'!$M:$M,0)),"⚠ Type inconnu",IF($L822="Crédit","",IFERROR(INDEX('Paramètres'!$O:$O,MATCH($D822,'Paramètres'!$M:$M,0))&amp;"",""))))</f>
        <v>Dépense Fixe</v>
      </c>
      <c r="N822" s="6" t="str">
        <f>IF($D822="","",IFERROR(INDEX('Paramètres'!$Q:$Q,MATCH($D822,'Paramètres'!$M:$M,0))&amp;"",""))</f>
        <v>Immobilier</v>
      </c>
      <c r="O822" s="6">
        <f>IF($A822="","",IF(OR($J822&lt;&gt;"x",$A822&lt;=FinReleve),1,0))</f>
        <v>1</v>
      </c>
      <c r="P822" s="6">
        <f>IF($D822="","",IF(AND($L822="Crédit",OR(IFERROR(INDEX('Paramètres'!$O:$O,MATCH($D822,'Paramètres'!$M:$M,0))&amp;"","")&lt;&gt;"",ISNUMBER(SEARCH("remboursement",IFERROR(INDEX('Paramètres'!$N:$N,MATCH($D822,'Paramètres'!$M:$M,0))&amp;"",""))))),1,0))</f>
        <v>0</v>
      </c>
      <c r="Q822" s="6">
        <f>IF($K822="","",IF(ISNUMBER(SEARCH("transfert-interne",IFERROR(INDEX('Paramètres'!$N:$N,MATCH($D822,'Paramètres'!$M:$M,0))&amp;"",""))),0,IF($L822="Débit",$K822,IF($P822=1,-$K822,0))))</f>
        <v>84.77</v>
      </c>
      <c r="R822" s="6">
        <f>IF($K822="","",IF($L822="Crédit",$K822,-$K822))</f>
        <v>-84.77</v>
      </c>
      <c r="S822" s="6" t="str">
        <f>IF($C822="","",IFERROR(INDEX('Paramètres'!$H:$H,MATCH($C822,'Paramètres'!$D:$D,0))&amp;"",""))</f>
        <v>Banque A - Courant</v>
      </c>
      <c r="T822" s="6">
        <f>IF($K822="","",IF($S822="",0,IF(ISNUMBER(SEARCH("apport-exterieur",IFERROR(INDEX('Paramètres'!$N:$N,MATCH($D822,'Paramètres'!$M:$M,0))&amp;"",""))),0,IF(OR(IFERROR(INDEX('Paramètres'!$I:$I,MATCH($C822,'Paramètres'!$D:$D,0))&amp;"","")="Les deux",IFERROR(INDEX('Paramètres'!$I:$I,MATCH($C822,'Paramètres'!$D:$D,0))&amp;"","")=IF($P822=1,"Débit",$L822)),-IF($P822=1,-$K822,$K822),0))))</f>
        <v>0</v>
      </c>
      <c r="U822" s="6">
        <f>IF($K822="","",IF(ISNUMBER(SEARCH("sortie-epargne",IFERROR(INDEX('Paramètres'!$N:$N,MATCH($D822,'Paramètres'!$M:$M,0))&amp;"",""))),$K822,0))</f>
        <v>0</v>
      </c>
      <c r="V822" s="6" t="str">
        <f>IF(AND($A822&lt;&gt;"",$O822=1,$L822="Débit",N($Q822)&gt;0,$A822&gt;=Visualisation!$B$1,$A822&lt;Visualisation!$D$1),MAX($V$1:V821)+1,"")</f>
        <v/>
      </c>
    </row>
    <row r="823" spans="1:22" x14ac:dyDescent="0.25">
      <c r="A823" s="9">
        <v>46127</v>
      </c>
      <c r="B823" s="4" t="s">
        <v>116</v>
      </c>
      <c r="C823" s="4" t="s">
        <v>60</v>
      </c>
      <c r="D823" s="4" t="s">
        <v>116</v>
      </c>
      <c r="E823" s="10">
        <v>123.52</v>
      </c>
      <c r="G823" s="4" t="s">
        <v>141</v>
      </c>
      <c r="H823" s="4"/>
      <c r="I823" s="4" t="s">
        <v>63</v>
      </c>
      <c r="K823" s="11">
        <f>IF($E823="","",ROUND($E823*IF(ISNA(MATCH($C823,'Paramètres'!$D:$D,0)),1,IF(INDEX('Paramètres'!$J:$J,MATCH($C823,'Paramètres'!$D:$D,0))="",1,INDEX('Paramètres'!$J:$J,MATCH($C823,'Paramètres'!$D:$D,0)))),2))</f>
        <v>61.76</v>
      </c>
      <c r="L823" s="6" t="str">
        <f>IF($D823="","",IF($F823&lt;&gt;"",$F823,IF(ISNA(MATCH($D823,'Paramètres'!$M:$M,0)),"⚠ Type inconnu",IFERROR(INDEX('Paramètres'!$P:$P,MATCH($D823,'Paramètres'!$M:$M,0))&amp;"",""))))</f>
        <v>Débit</v>
      </c>
      <c r="M823" s="6" t="str">
        <f>IF($D823="","",IF(ISNA(MATCH($D823,'Paramètres'!$M:$M,0)),"⚠ Type inconnu",IF($L823="Crédit","",IFERROR(INDEX('Paramètres'!$O:$O,MATCH($D823,'Paramètres'!$M:$M,0))&amp;"",""))))</f>
        <v>Dépense Occasionnelle</v>
      </c>
      <c r="N823" s="6" t="str">
        <f>IF($D823="","",IFERROR(INDEX('Paramètres'!$Q:$Q,MATCH($D823,'Paramètres'!$M:$M,0))&amp;"",""))</f>
        <v>Autre</v>
      </c>
      <c r="O823" s="6">
        <f>IF($A823="","",IF(OR($J823&lt;&gt;"x",$A823&lt;=FinReleve),1,0))</f>
        <v>1</v>
      </c>
      <c r="P823" s="6">
        <f>IF($D823="","",IF(AND($L823="Crédit",OR(IFERROR(INDEX('Paramètres'!$O:$O,MATCH($D823,'Paramètres'!$M:$M,0))&amp;"","")&lt;&gt;"",ISNUMBER(SEARCH("remboursement",IFERROR(INDEX('Paramètres'!$N:$N,MATCH($D823,'Paramètres'!$M:$M,0))&amp;"",""))))),1,0))</f>
        <v>0</v>
      </c>
      <c r="Q823" s="6">
        <f>IF($K823="","",IF(ISNUMBER(SEARCH("transfert-interne",IFERROR(INDEX('Paramètres'!$N:$N,MATCH($D823,'Paramètres'!$M:$M,0))&amp;"",""))),0,IF($L823="Débit",$K823,IF($P823=1,-$K823,0))))</f>
        <v>61.76</v>
      </c>
      <c r="R823" s="6">
        <f>IF($K823="","",IF($L823="Crédit",$K823,-$K823))</f>
        <v>-61.76</v>
      </c>
      <c r="S823" s="6" t="str">
        <f>IF($C823="","",IFERROR(INDEX('Paramètres'!$H:$H,MATCH($C823,'Paramètres'!$D:$D,0))&amp;"",""))</f>
        <v>Banque A - Courant</v>
      </c>
      <c r="T823" s="6">
        <f>IF($K823="","",IF($S823="",0,IF(ISNUMBER(SEARCH("apport-exterieur",IFERROR(INDEX('Paramètres'!$N:$N,MATCH($D823,'Paramètres'!$M:$M,0))&amp;"",""))),0,IF(OR(IFERROR(INDEX('Paramètres'!$I:$I,MATCH($C823,'Paramètres'!$D:$D,0))&amp;"","")="Les deux",IFERROR(INDEX('Paramètres'!$I:$I,MATCH($C823,'Paramètres'!$D:$D,0))&amp;"","")=IF($P823=1,"Débit",$L823)),-IF($P823=1,-$K823,$K823),0))))</f>
        <v>-61.76</v>
      </c>
      <c r="U823" s="6">
        <f>IF($K823="","",IF(ISNUMBER(SEARCH("sortie-epargne",IFERROR(INDEX('Paramètres'!$N:$N,MATCH($D823,'Paramètres'!$M:$M,0))&amp;"",""))),$K823,0))</f>
        <v>0</v>
      </c>
      <c r="V823" s="6" t="str">
        <f>IF(AND($A823&lt;&gt;"",$O823=1,$L823="Débit",N($Q823)&gt;0,$A823&gt;=Visualisation!$B$1,$A823&lt;Visualisation!$D$1),MAX($V$1:V822)+1,"")</f>
        <v/>
      </c>
    </row>
    <row r="824" spans="1:22" x14ac:dyDescent="0.25">
      <c r="A824" s="9">
        <v>46128</v>
      </c>
      <c r="B824" s="4" t="s">
        <v>76</v>
      </c>
      <c r="C824" s="4" t="s">
        <v>67</v>
      </c>
      <c r="D824" s="4" t="s">
        <v>77</v>
      </c>
      <c r="E824" s="10">
        <v>45.16</v>
      </c>
      <c r="G824" s="4" t="s">
        <v>78</v>
      </c>
      <c r="H824" s="4"/>
      <c r="I824" s="4" t="s">
        <v>93</v>
      </c>
      <c r="K824" s="11">
        <f>IF($E824="","",ROUND($E824*IF(ISNA(MATCH($C824,'Paramètres'!$D:$D,0)),1,IF(INDEX('Paramètres'!$J:$J,MATCH($C824,'Paramètres'!$D:$D,0))="",1,INDEX('Paramètres'!$J:$J,MATCH($C824,'Paramètres'!$D:$D,0)))),2))</f>
        <v>22.58</v>
      </c>
      <c r="L824" s="6" t="str">
        <f>IF($D824="","",IF($F824&lt;&gt;"",$F824,IF(ISNA(MATCH($D824,'Paramètres'!$M:$M,0)),"⚠ Type inconnu",IFERROR(INDEX('Paramètres'!$P:$P,MATCH($D824,'Paramètres'!$M:$M,0))&amp;"",""))))</f>
        <v>Débit</v>
      </c>
      <c r="M824" s="6" t="str">
        <f>IF($D824="","",IF(ISNA(MATCH($D824,'Paramètres'!$M:$M,0)),"⚠ Type inconnu",IF($L824="Crédit","",IFERROR(INDEX('Paramètres'!$O:$O,MATCH($D824,'Paramètres'!$M:$M,0))&amp;"",""))))</f>
        <v>Dépense Courante</v>
      </c>
      <c r="N824" s="6" t="str">
        <f>IF($D824="","",IFERROR(INDEX('Paramètres'!$Q:$Q,MATCH($D824,'Paramètres'!$M:$M,0))&amp;"",""))</f>
        <v>Alimentation</v>
      </c>
      <c r="O824" s="6">
        <f>IF($A824="","",IF(OR($J824&lt;&gt;"x",$A824&lt;=FinReleve),1,0))</f>
        <v>1</v>
      </c>
      <c r="P824" s="6">
        <f>IF($D824="","",IF(AND($L824="Crédit",OR(IFERROR(INDEX('Paramètres'!$O:$O,MATCH($D824,'Paramètres'!$M:$M,0))&amp;"","")&lt;&gt;"",ISNUMBER(SEARCH("remboursement",IFERROR(INDEX('Paramètres'!$N:$N,MATCH($D824,'Paramètres'!$M:$M,0))&amp;"",""))))),1,0))</f>
        <v>0</v>
      </c>
      <c r="Q824" s="6">
        <f>IF($K824="","",IF(ISNUMBER(SEARCH("transfert-interne",IFERROR(INDEX('Paramètres'!$N:$N,MATCH($D824,'Paramètres'!$M:$M,0))&amp;"",""))),0,IF($L824="Débit",$K824,IF($P824=1,-$K824,0))))</f>
        <v>22.58</v>
      </c>
      <c r="R824" s="6">
        <f>IF($K824="","",IF($L824="Crédit",$K824,-$K824))</f>
        <v>-22.58</v>
      </c>
      <c r="S824" s="6" t="str">
        <f>IF($C824="","",IFERROR(INDEX('Paramètres'!$H:$H,MATCH($C824,'Paramètres'!$D:$D,0))&amp;"",""))</f>
        <v>Banque A - Courant</v>
      </c>
      <c r="T824" s="6">
        <f>IF($K824="","",IF($S824="",0,IF(ISNUMBER(SEARCH("apport-exterieur",IFERROR(INDEX('Paramètres'!$N:$N,MATCH($D824,'Paramètres'!$M:$M,0))&amp;"",""))),0,IF(OR(IFERROR(INDEX('Paramètres'!$I:$I,MATCH($C824,'Paramètres'!$D:$D,0))&amp;"","")="Les deux",IFERROR(INDEX('Paramètres'!$I:$I,MATCH($C824,'Paramètres'!$D:$D,0))&amp;"","")=IF($P824=1,"Débit",$L824)),-IF($P824=1,-$K824,$K824),0))))</f>
        <v>0</v>
      </c>
      <c r="U824" s="6">
        <f>IF($K824="","",IF(ISNUMBER(SEARCH("sortie-epargne",IFERROR(INDEX('Paramètres'!$N:$N,MATCH($D824,'Paramètres'!$M:$M,0))&amp;"",""))),$K824,0))</f>
        <v>0</v>
      </c>
      <c r="V824" s="6" t="str">
        <f>IF(AND($A824&lt;&gt;"",$O824=1,$L824="Débit",N($Q824)&gt;0,$A824&gt;=Visualisation!$B$1,$A824&lt;Visualisation!$D$1),MAX($V$1:V823)+1,"")</f>
        <v/>
      </c>
    </row>
    <row r="825" spans="1:22" x14ac:dyDescent="0.25">
      <c r="A825" s="9">
        <v>46128</v>
      </c>
      <c r="B825" s="4" t="s">
        <v>69</v>
      </c>
      <c r="C825" s="4" t="s">
        <v>70</v>
      </c>
      <c r="D825" s="4" t="s">
        <v>71</v>
      </c>
      <c r="E825" s="10">
        <v>11.4</v>
      </c>
      <c r="G825" s="4" t="s">
        <v>72</v>
      </c>
      <c r="H825" s="4"/>
      <c r="I825" s="4"/>
      <c r="K825" s="11">
        <f>IF($E825="","",ROUND($E825*IF(ISNA(MATCH($C825,'Paramètres'!$D:$D,0)),1,IF(INDEX('Paramètres'!$J:$J,MATCH($C825,'Paramètres'!$D:$D,0))="",1,INDEX('Paramètres'!$J:$J,MATCH($C825,'Paramètres'!$D:$D,0)))),2))</f>
        <v>11.4</v>
      </c>
      <c r="L825" s="6" t="str">
        <f>IF($D825="","",IF($F825&lt;&gt;"",$F825,IF(ISNA(MATCH($D825,'Paramètres'!$M:$M,0)),"⚠ Type inconnu",IFERROR(INDEX('Paramètres'!$P:$P,MATCH($D825,'Paramètres'!$M:$M,0))&amp;"",""))))</f>
        <v>Débit</v>
      </c>
      <c r="M825" s="6" t="str">
        <f>IF($D825="","",IF(ISNA(MATCH($D825,'Paramètres'!$M:$M,0)),"⚠ Type inconnu",IF($L825="Crédit","",IFERROR(INDEX('Paramètres'!$O:$O,MATCH($D825,'Paramètres'!$M:$M,0))&amp;"",""))))</f>
        <v>Dépense Courante</v>
      </c>
      <c r="N825" s="6" t="str">
        <f>IF($D825="","",IFERROR(INDEX('Paramètres'!$Q:$Q,MATCH($D825,'Paramètres'!$M:$M,0))&amp;"",""))</f>
        <v>Alimentation</v>
      </c>
      <c r="O825" s="6">
        <f>IF($A825="","",IF(OR($J825&lt;&gt;"x",$A825&lt;=FinReleve),1,0))</f>
        <v>1</v>
      </c>
      <c r="P825" s="6">
        <f>IF($D825="","",IF(AND($L825="Crédit",OR(IFERROR(INDEX('Paramètres'!$O:$O,MATCH($D825,'Paramètres'!$M:$M,0))&amp;"","")&lt;&gt;"",ISNUMBER(SEARCH("remboursement",IFERROR(INDEX('Paramètres'!$N:$N,MATCH($D825,'Paramètres'!$M:$M,0))&amp;"",""))))),1,0))</f>
        <v>0</v>
      </c>
      <c r="Q825" s="6">
        <f>IF($K825="","",IF(ISNUMBER(SEARCH("transfert-interne",IFERROR(INDEX('Paramètres'!$N:$N,MATCH($D825,'Paramètres'!$M:$M,0))&amp;"",""))),0,IF($L825="Débit",$K825,IF($P825=1,-$K825,0))))</f>
        <v>11.4</v>
      </c>
      <c r="R825" s="6">
        <f>IF($K825="","",IF($L825="Crédit",$K825,-$K825))</f>
        <v>-11.4</v>
      </c>
      <c r="S825" s="6" t="str">
        <f>IF($C825="","",IFERROR(INDEX('Paramètres'!$H:$H,MATCH($C825,'Paramètres'!$D:$D,0))&amp;"",""))</f>
        <v/>
      </c>
      <c r="T825" s="6">
        <f>IF($K825="","",IF($S825="",0,IF(ISNUMBER(SEARCH("apport-exterieur",IFERROR(INDEX('Paramètres'!$N:$N,MATCH($D825,'Paramètres'!$M:$M,0))&amp;"",""))),0,IF(OR(IFERROR(INDEX('Paramètres'!$I:$I,MATCH($C825,'Paramètres'!$D:$D,0))&amp;"","")="Les deux",IFERROR(INDEX('Paramètres'!$I:$I,MATCH($C825,'Paramètres'!$D:$D,0))&amp;"","")=IF($P825=1,"Débit",$L825)),-IF($P825=1,-$K825,$K825),0))))</f>
        <v>0</v>
      </c>
      <c r="U825" s="6">
        <f>IF($K825="","",IF(ISNUMBER(SEARCH("sortie-epargne",IFERROR(INDEX('Paramètres'!$N:$N,MATCH($D825,'Paramètres'!$M:$M,0))&amp;"",""))),$K825,0))</f>
        <v>0</v>
      </c>
      <c r="V825" s="6" t="str">
        <f>IF(AND($A825&lt;&gt;"",$O825=1,$L825="Débit",N($Q825)&gt;0,$A825&gt;=Visualisation!$B$1,$A825&lt;Visualisation!$D$1),MAX($V$1:V824)+1,"")</f>
        <v/>
      </c>
    </row>
    <row r="826" spans="1:22" x14ac:dyDescent="0.25">
      <c r="A826" s="9">
        <v>46129</v>
      </c>
      <c r="B826" s="4" t="s">
        <v>116</v>
      </c>
      <c r="C826" s="4" t="s">
        <v>60</v>
      </c>
      <c r="D826" s="4" t="s">
        <v>116</v>
      </c>
      <c r="E826" s="10">
        <v>75.6</v>
      </c>
      <c r="G826" s="4" t="s">
        <v>139</v>
      </c>
      <c r="H826" s="4"/>
      <c r="I826" s="4" t="s">
        <v>73</v>
      </c>
      <c r="K826" s="11">
        <f>IF($E826="","",ROUND($E826*IF(ISNA(MATCH($C826,'Paramètres'!$D:$D,0)),1,IF(INDEX('Paramètres'!$J:$J,MATCH($C826,'Paramètres'!$D:$D,0))="",1,INDEX('Paramètres'!$J:$J,MATCH($C826,'Paramètres'!$D:$D,0)))),2))</f>
        <v>37.8</v>
      </c>
      <c r="L826" s="6" t="str">
        <f>IF($D826="","",IF($F826&lt;&gt;"",$F826,IF(ISNA(MATCH($D826,'Paramètres'!$M:$M,0)),"⚠ Type inconnu",IFERROR(INDEX('Paramètres'!$P:$P,MATCH($D826,'Paramètres'!$M:$M,0))&amp;"",""))))</f>
        <v>Débit</v>
      </c>
      <c r="M826" s="6" t="str">
        <f>IF($D826="","",IF(ISNA(MATCH($D826,'Paramètres'!$M:$M,0)),"⚠ Type inconnu",IF($L826="Crédit","",IFERROR(INDEX('Paramètres'!$O:$O,MATCH($D826,'Paramètres'!$M:$M,0))&amp;"",""))))</f>
        <v>Dépense Occasionnelle</v>
      </c>
      <c r="N826" s="6" t="str">
        <f>IF($D826="","",IFERROR(INDEX('Paramètres'!$Q:$Q,MATCH($D826,'Paramètres'!$M:$M,0))&amp;"",""))</f>
        <v>Autre</v>
      </c>
      <c r="O826" s="6">
        <f>IF($A826="","",IF(OR($J826&lt;&gt;"x",$A826&lt;=FinReleve),1,0))</f>
        <v>1</v>
      </c>
      <c r="P826" s="6">
        <f>IF($D826="","",IF(AND($L826="Crédit",OR(IFERROR(INDEX('Paramètres'!$O:$O,MATCH($D826,'Paramètres'!$M:$M,0))&amp;"","")&lt;&gt;"",ISNUMBER(SEARCH("remboursement",IFERROR(INDEX('Paramètres'!$N:$N,MATCH($D826,'Paramètres'!$M:$M,0))&amp;"",""))))),1,0))</f>
        <v>0</v>
      </c>
      <c r="Q826" s="6">
        <f>IF($K826="","",IF(ISNUMBER(SEARCH("transfert-interne",IFERROR(INDEX('Paramètres'!$N:$N,MATCH($D826,'Paramètres'!$M:$M,0))&amp;"",""))),0,IF($L826="Débit",$K826,IF($P826=1,-$K826,0))))</f>
        <v>37.8</v>
      </c>
      <c r="R826" s="6">
        <f>IF($K826="","",IF($L826="Crédit",$K826,-$K826))</f>
        <v>-37.8</v>
      </c>
      <c r="S826" s="6" t="str">
        <f>IF($C826="","",IFERROR(INDEX('Paramètres'!$H:$H,MATCH($C826,'Paramètres'!$D:$D,0))&amp;"",""))</f>
        <v>Banque A - Courant</v>
      </c>
      <c r="T826" s="6">
        <f>IF($K826="","",IF($S826="",0,IF(ISNUMBER(SEARCH("apport-exterieur",IFERROR(INDEX('Paramètres'!$N:$N,MATCH($D826,'Paramètres'!$M:$M,0))&amp;"",""))),0,IF(OR(IFERROR(INDEX('Paramètres'!$I:$I,MATCH($C826,'Paramètres'!$D:$D,0))&amp;"","")="Les deux",IFERROR(INDEX('Paramètres'!$I:$I,MATCH($C826,'Paramètres'!$D:$D,0))&amp;"","")=IF($P826=1,"Débit",$L826)),-IF($P826=1,-$K826,$K826),0))))</f>
        <v>-37.8</v>
      </c>
      <c r="U826" s="6">
        <f>IF($K826="","",IF(ISNUMBER(SEARCH("sortie-epargne",IFERROR(INDEX('Paramètres'!$N:$N,MATCH($D826,'Paramètres'!$M:$M,0))&amp;"",""))),$K826,0))</f>
        <v>0</v>
      </c>
      <c r="V826" s="6" t="str">
        <f>IF(AND($A826&lt;&gt;"",$O826=1,$L826="Débit",N($Q826)&gt;0,$A826&gt;=Visualisation!$B$1,$A826&lt;Visualisation!$D$1),MAX($V$1:V825)+1,"")</f>
        <v/>
      </c>
    </row>
    <row r="827" spans="1:22" x14ac:dyDescent="0.25">
      <c r="A827" s="9">
        <v>46130</v>
      </c>
      <c r="B827" s="4" t="s">
        <v>103</v>
      </c>
      <c r="C827" s="4" t="s">
        <v>75</v>
      </c>
      <c r="D827" s="4" t="s">
        <v>103</v>
      </c>
      <c r="E827" s="10">
        <v>212</v>
      </c>
      <c r="G827" s="4"/>
      <c r="H827" s="4"/>
      <c r="I827" s="4"/>
      <c r="K827" s="11">
        <f>IF($E827="","",ROUND($E827*IF(ISNA(MATCH($C827,'Paramètres'!$D:$D,0)),1,IF(INDEX('Paramètres'!$J:$J,MATCH($C827,'Paramètres'!$D:$D,0))="",1,INDEX('Paramètres'!$J:$J,MATCH($C827,'Paramètres'!$D:$D,0)))),2))</f>
        <v>212</v>
      </c>
      <c r="L827" s="6" t="str">
        <f>IF($D827="","",IF($F827&lt;&gt;"",$F827,IF(ISNA(MATCH($D827,'Paramètres'!$M:$M,0)),"⚠ Type inconnu",IFERROR(INDEX('Paramètres'!$P:$P,MATCH($D827,'Paramètres'!$M:$M,0))&amp;"",""))))</f>
        <v>Débit</v>
      </c>
      <c r="M827" s="6" t="str">
        <f>IF($D827="","",IF(ISNA(MATCH($D827,'Paramètres'!$M:$M,0)),"⚠ Type inconnu",IF($L827="Crédit","",IFERROR(INDEX('Paramètres'!$O:$O,MATCH($D827,'Paramètres'!$M:$M,0))&amp;"",""))))</f>
        <v>Dépense Fixe</v>
      </c>
      <c r="N827" s="6" t="str">
        <f>IF($D827="","",IFERROR(INDEX('Paramètres'!$Q:$Q,MATCH($D827,'Paramètres'!$M:$M,0))&amp;"",""))</f>
        <v>Impots</v>
      </c>
      <c r="O827" s="6">
        <f>IF($A827="","",IF(OR($J827&lt;&gt;"x",$A827&lt;=FinReleve),1,0))</f>
        <v>1</v>
      </c>
      <c r="P827" s="6">
        <f>IF($D827="","",IF(AND($L827="Crédit",OR(IFERROR(INDEX('Paramètres'!$O:$O,MATCH($D827,'Paramètres'!$M:$M,0))&amp;"","")&lt;&gt;"",ISNUMBER(SEARCH("remboursement",IFERROR(INDEX('Paramètres'!$N:$N,MATCH($D827,'Paramètres'!$M:$M,0))&amp;"",""))))),1,0))</f>
        <v>0</v>
      </c>
      <c r="Q827" s="6">
        <f>IF($K827="","",IF(ISNUMBER(SEARCH("transfert-interne",IFERROR(INDEX('Paramètres'!$N:$N,MATCH($D827,'Paramètres'!$M:$M,0))&amp;"",""))),0,IF($L827="Débit",$K827,IF($P827=1,-$K827,0))))</f>
        <v>212</v>
      </c>
      <c r="R827" s="6">
        <f>IF($K827="","",IF($L827="Crédit",$K827,-$K827))</f>
        <v>-212</v>
      </c>
      <c r="S827" s="6" t="str">
        <f>IF($C827="","",IFERROR(INDEX('Paramètres'!$H:$H,MATCH($C827,'Paramètres'!$D:$D,0))&amp;"",""))</f>
        <v/>
      </c>
      <c r="T827" s="6">
        <f>IF($K827="","",IF($S827="",0,IF(ISNUMBER(SEARCH("apport-exterieur",IFERROR(INDEX('Paramètres'!$N:$N,MATCH($D827,'Paramètres'!$M:$M,0))&amp;"",""))),0,IF(OR(IFERROR(INDEX('Paramètres'!$I:$I,MATCH($C827,'Paramètres'!$D:$D,0))&amp;"","")="Les deux",IFERROR(INDEX('Paramètres'!$I:$I,MATCH($C827,'Paramètres'!$D:$D,0))&amp;"","")=IF($P827=1,"Débit",$L827)),-IF($P827=1,-$K827,$K827),0))))</f>
        <v>0</v>
      </c>
      <c r="U827" s="6">
        <f>IF($K827="","",IF(ISNUMBER(SEARCH("sortie-epargne",IFERROR(INDEX('Paramètres'!$N:$N,MATCH($D827,'Paramètres'!$M:$M,0))&amp;"",""))),$K827,0))</f>
        <v>0</v>
      </c>
      <c r="V827" s="6" t="str">
        <f>IF(AND($A827&lt;&gt;"",$O827=1,$L827="Débit",N($Q827)&gt;0,$A827&gt;=Visualisation!$B$1,$A827&lt;Visualisation!$D$1),MAX($V$1:V826)+1,"")</f>
        <v/>
      </c>
    </row>
    <row r="828" spans="1:22" x14ac:dyDescent="0.25">
      <c r="A828" s="9">
        <v>46131</v>
      </c>
      <c r="B828" s="4" t="s">
        <v>119</v>
      </c>
      <c r="C828" s="4" t="s">
        <v>60</v>
      </c>
      <c r="D828" s="4" t="s">
        <v>119</v>
      </c>
      <c r="E828" s="10">
        <v>95.46</v>
      </c>
      <c r="G828" s="4" t="s">
        <v>146</v>
      </c>
      <c r="H828" s="4" t="s">
        <v>120</v>
      </c>
      <c r="I828" s="4"/>
      <c r="K828" s="11">
        <f>IF($E828="","",ROUND($E828*IF(ISNA(MATCH($C828,'Paramètres'!$D:$D,0)),1,IF(INDEX('Paramètres'!$J:$J,MATCH($C828,'Paramètres'!$D:$D,0))="",1,INDEX('Paramètres'!$J:$J,MATCH($C828,'Paramètres'!$D:$D,0)))),2))</f>
        <v>47.73</v>
      </c>
      <c r="L828" s="6" t="str">
        <f>IF($D828="","",IF($F828&lt;&gt;"",$F828,IF(ISNA(MATCH($D828,'Paramètres'!$M:$M,0)),"⚠ Type inconnu",IFERROR(INDEX('Paramètres'!$P:$P,MATCH($D828,'Paramètres'!$M:$M,0))&amp;"",""))))</f>
        <v>Débit</v>
      </c>
      <c r="M828" s="6" t="str">
        <f>IF($D828="","",IF(ISNA(MATCH($D828,'Paramètres'!$M:$M,0)),"⚠ Type inconnu",IF($L828="Crédit","",IFERROR(INDEX('Paramètres'!$O:$O,MATCH($D828,'Paramètres'!$M:$M,0))&amp;"",""))))</f>
        <v>Dépense Occasionnelle</v>
      </c>
      <c r="N828" s="6" t="str">
        <f>IF($D828="","",IFERROR(INDEX('Paramètres'!$Q:$Q,MATCH($D828,'Paramètres'!$M:$M,0))&amp;"",""))</f>
        <v>Alimentation</v>
      </c>
      <c r="O828" s="6">
        <f>IF($A828="","",IF(OR($J828&lt;&gt;"x",$A828&lt;=FinReleve),1,0))</f>
        <v>1</v>
      </c>
      <c r="P828" s="6">
        <f>IF($D828="","",IF(AND($L828="Crédit",OR(IFERROR(INDEX('Paramètres'!$O:$O,MATCH($D828,'Paramètres'!$M:$M,0))&amp;"","")&lt;&gt;"",ISNUMBER(SEARCH("remboursement",IFERROR(INDEX('Paramètres'!$N:$N,MATCH($D828,'Paramètres'!$M:$M,0))&amp;"",""))))),1,0))</f>
        <v>0</v>
      </c>
      <c r="Q828" s="6">
        <f>IF($K828="","",IF(ISNUMBER(SEARCH("transfert-interne",IFERROR(INDEX('Paramètres'!$N:$N,MATCH($D828,'Paramètres'!$M:$M,0))&amp;"",""))),0,IF($L828="Débit",$K828,IF($P828=1,-$K828,0))))</f>
        <v>47.73</v>
      </c>
      <c r="R828" s="6">
        <f>IF($K828="","",IF($L828="Crédit",$K828,-$K828))</f>
        <v>-47.73</v>
      </c>
      <c r="S828" s="6" t="str">
        <f>IF($C828="","",IFERROR(INDEX('Paramètres'!$H:$H,MATCH($C828,'Paramètres'!$D:$D,0))&amp;"",""))</f>
        <v>Banque A - Courant</v>
      </c>
      <c r="T828" s="6">
        <f>IF($K828="","",IF($S828="",0,IF(ISNUMBER(SEARCH("apport-exterieur",IFERROR(INDEX('Paramètres'!$N:$N,MATCH($D828,'Paramètres'!$M:$M,0))&amp;"",""))),0,IF(OR(IFERROR(INDEX('Paramètres'!$I:$I,MATCH($C828,'Paramètres'!$D:$D,0))&amp;"","")="Les deux",IFERROR(INDEX('Paramètres'!$I:$I,MATCH($C828,'Paramètres'!$D:$D,0))&amp;"","")=IF($P828=1,"Débit",$L828)),-IF($P828=1,-$K828,$K828),0))))</f>
        <v>-47.73</v>
      </c>
      <c r="U828" s="6">
        <f>IF($K828="","",IF(ISNUMBER(SEARCH("sortie-epargne",IFERROR(INDEX('Paramètres'!$N:$N,MATCH($D828,'Paramètres'!$M:$M,0))&amp;"",""))),$K828,0))</f>
        <v>0</v>
      </c>
      <c r="V828" s="6" t="str">
        <f>IF(AND($A828&lt;&gt;"",$O828=1,$L828="Débit",N($Q828)&gt;0,$A828&gt;=Visualisation!$B$1,$A828&lt;Visualisation!$D$1),MAX($V$1:V827)+1,"")</f>
        <v/>
      </c>
    </row>
    <row r="829" spans="1:22" x14ac:dyDescent="0.25">
      <c r="A829" s="9">
        <v>46132</v>
      </c>
      <c r="B829" s="4" t="s">
        <v>69</v>
      </c>
      <c r="C829" s="4" t="s">
        <v>70</v>
      </c>
      <c r="D829" s="4" t="s">
        <v>71</v>
      </c>
      <c r="E829" s="10">
        <v>13.35</v>
      </c>
      <c r="G829" s="4" t="s">
        <v>72</v>
      </c>
      <c r="H829" s="4"/>
      <c r="I829" s="4" t="s">
        <v>63</v>
      </c>
      <c r="K829" s="11">
        <f>IF($E829="","",ROUND($E829*IF(ISNA(MATCH($C829,'Paramètres'!$D:$D,0)),1,IF(INDEX('Paramètres'!$J:$J,MATCH($C829,'Paramètres'!$D:$D,0))="",1,INDEX('Paramètres'!$J:$J,MATCH($C829,'Paramètres'!$D:$D,0)))),2))</f>
        <v>13.35</v>
      </c>
      <c r="L829" s="6" t="str">
        <f>IF($D829="","",IF($F829&lt;&gt;"",$F829,IF(ISNA(MATCH($D829,'Paramètres'!$M:$M,0)),"⚠ Type inconnu",IFERROR(INDEX('Paramètres'!$P:$P,MATCH($D829,'Paramètres'!$M:$M,0))&amp;"",""))))</f>
        <v>Débit</v>
      </c>
      <c r="M829" s="6" t="str">
        <f>IF($D829="","",IF(ISNA(MATCH($D829,'Paramètres'!$M:$M,0)),"⚠ Type inconnu",IF($L829="Crédit","",IFERROR(INDEX('Paramètres'!$O:$O,MATCH($D829,'Paramètres'!$M:$M,0))&amp;"",""))))</f>
        <v>Dépense Courante</v>
      </c>
      <c r="N829" s="6" t="str">
        <f>IF($D829="","",IFERROR(INDEX('Paramètres'!$Q:$Q,MATCH($D829,'Paramètres'!$M:$M,0))&amp;"",""))</f>
        <v>Alimentation</v>
      </c>
      <c r="O829" s="6">
        <f>IF($A829="","",IF(OR($J829&lt;&gt;"x",$A829&lt;=FinReleve),1,0))</f>
        <v>1</v>
      </c>
      <c r="P829" s="6">
        <f>IF($D829="","",IF(AND($L829="Crédit",OR(IFERROR(INDEX('Paramètres'!$O:$O,MATCH($D829,'Paramètres'!$M:$M,0))&amp;"","")&lt;&gt;"",ISNUMBER(SEARCH("remboursement",IFERROR(INDEX('Paramètres'!$N:$N,MATCH($D829,'Paramètres'!$M:$M,0))&amp;"",""))))),1,0))</f>
        <v>0</v>
      </c>
      <c r="Q829" s="6">
        <f>IF($K829="","",IF(ISNUMBER(SEARCH("transfert-interne",IFERROR(INDEX('Paramètres'!$N:$N,MATCH($D829,'Paramètres'!$M:$M,0))&amp;"",""))),0,IF($L829="Débit",$K829,IF($P829=1,-$K829,0))))</f>
        <v>13.35</v>
      </c>
      <c r="R829" s="6">
        <f>IF($K829="","",IF($L829="Crédit",$K829,-$K829))</f>
        <v>-13.35</v>
      </c>
      <c r="S829" s="6" t="str">
        <f>IF($C829="","",IFERROR(INDEX('Paramètres'!$H:$H,MATCH($C829,'Paramètres'!$D:$D,0))&amp;"",""))</f>
        <v/>
      </c>
      <c r="T829" s="6">
        <f>IF($K829="","",IF($S829="",0,IF(ISNUMBER(SEARCH("apport-exterieur",IFERROR(INDEX('Paramètres'!$N:$N,MATCH($D829,'Paramètres'!$M:$M,0))&amp;"",""))),0,IF(OR(IFERROR(INDEX('Paramètres'!$I:$I,MATCH($C829,'Paramètres'!$D:$D,0))&amp;"","")="Les deux",IFERROR(INDEX('Paramètres'!$I:$I,MATCH($C829,'Paramètres'!$D:$D,0))&amp;"","")=IF($P829=1,"Débit",$L829)),-IF($P829=1,-$K829,$K829),0))))</f>
        <v>0</v>
      </c>
      <c r="U829" s="6">
        <f>IF($K829="","",IF(ISNUMBER(SEARCH("sortie-epargne",IFERROR(INDEX('Paramètres'!$N:$N,MATCH($D829,'Paramètres'!$M:$M,0))&amp;"",""))),$K829,0))</f>
        <v>0</v>
      </c>
      <c r="V829" s="6" t="str">
        <f>IF(AND($A829&lt;&gt;"",$O829=1,$L829="Débit",N($Q829)&gt;0,$A829&gt;=Visualisation!$B$1,$A829&lt;Visualisation!$D$1),MAX($V$1:V828)+1,"")</f>
        <v/>
      </c>
    </row>
    <row r="830" spans="1:22" x14ac:dyDescent="0.25">
      <c r="A830" s="9">
        <v>46133</v>
      </c>
      <c r="B830" s="4" t="s">
        <v>76</v>
      </c>
      <c r="C830" s="4" t="s">
        <v>60</v>
      </c>
      <c r="D830" s="4" t="s">
        <v>77</v>
      </c>
      <c r="E830" s="10">
        <v>115.58</v>
      </c>
      <c r="G830" s="4" t="s">
        <v>78</v>
      </c>
      <c r="H830" s="4"/>
      <c r="I830" s="4"/>
      <c r="K830" s="11">
        <f>IF($E830="","",ROUND($E830*IF(ISNA(MATCH($C830,'Paramètres'!$D:$D,0)),1,IF(INDEX('Paramètres'!$J:$J,MATCH($C830,'Paramètres'!$D:$D,0))="",1,INDEX('Paramètres'!$J:$J,MATCH($C830,'Paramètres'!$D:$D,0)))),2))</f>
        <v>57.79</v>
      </c>
      <c r="L830" s="6" t="str">
        <f>IF($D830="","",IF($F830&lt;&gt;"",$F830,IF(ISNA(MATCH($D830,'Paramètres'!$M:$M,0)),"⚠ Type inconnu",IFERROR(INDEX('Paramètres'!$P:$P,MATCH($D830,'Paramètres'!$M:$M,0))&amp;"",""))))</f>
        <v>Débit</v>
      </c>
      <c r="M830" s="6" t="str">
        <f>IF($D830="","",IF(ISNA(MATCH($D830,'Paramètres'!$M:$M,0)),"⚠ Type inconnu",IF($L830="Crédit","",IFERROR(INDEX('Paramètres'!$O:$O,MATCH($D830,'Paramètres'!$M:$M,0))&amp;"",""))))</f>
        <v>Dépense Courante</v>
      </c>
      <c r="N830" s="6" t="str">
        <f>IF($D830="","",IFERROR(INDEX('Paramètres'!$Q:$Q,MATCH($D830,'Paramètres'!$M:$M,0))&amp;"",""))</f>
        <v>Alimentation</v>
      </c>
      <c r="O830" s="6">
        <f>IF($A830="","",IF(OR($J830&lt;&gt;"x",$A830&lt;=FinReleve),1,0))</f>
        <v>1</v>
      </c>
      <c r="P830" s="6">
        <f>IF($D830="","",IF(AND($L830="Crédit",OR(IFERROR(INDEX('Paramètres'!$O:$O,MATCH($D830,'Paramètres'!$M:$M,0))&amp;"","")&lt;&gt;"",ISNUMBER(SEARCH("remboursement",IFERROR(INDEX('Paramètres'!$N:$N,MATCH($D830,'Paramètres'!$M:$M,0))&amp;"",""))))),1,0))</f>
        <v>0</v>
      </c>
      <c r="Q830" s="6">
        <f>IF($K830="","",IF(ISNUMBER(SEARCH("transfert-interne",IFERROR(INDEX('Paramètres'!$N:$N,MATCH($D830,'Paramètres'!$M:$M,0))&amp;"",""))),0,IF($L830="Débit",$K830,IF($P830=1,-$K830,0))))</f>
        <v>57.79</v>
      </c>
      <c r="R830" s="6">
        <f>IF($K830="","",IF($L830="Crédit",$K830,-$K830))</f>
        <v>-57.79</v>
      </c>
      <c r="S830" s="6" t="str">
        <f>IF($C830="","",IFERROR(INDEX('Paramètres'!$H:$H,MATCH($C830,'Paramètres'!$D:$D,0))&amp;"",""))</f>
        <v>Banque A - Courant</v>
      </c>
      <c r="T830" s="6">
        <f>IF($K830="","",IF($S830="",0,IF(ISNUMBER(SEARCH("apport-exterieur",IFERROR(INDEX('Paramètres'!$N:$N,MATCH($D830,'Paramètres'!$M:$M,0))&amp;"",""))),0,IF(OR(IFERROR(INDEX('Paramètres'!$I:$I,MATCH($C830,'Paramètres'!$D:$D,0))&amp;"","")="Les deux",IFERROR(INDEX('Paramètres'!$I:$I,MATCH($C830,'Paramètres'!$D:$D,0))&amp;"","")=IF($P830=1,"Débit",$L830)),-IF($P830=1,-$K830,$K830),0))))</f>
        <v>-57.79</v>
      </c>
      <c r="U830" s="6">
        <f>IF($K830="","",IF(ISNUMBER(SEARCH("sortie-epargne",IFERROR(INDEX('Paramètres'!$N:$N,MATCH($D830,'Paramètres'!$M:$M,0))&amp;"",""))),$K830,0))</f>
        <v>0</v>
      </c>
      <c r="V830" s="6" t="str">
        <f>IF(AND($A830&lt;&gt;"",$O830=1,$L830="Débit",N($Q830)&gt;0,$A830&gt;=Visualisation!$B$1,$A830&lt;Visualisation!$D$1),MAX($V$1:V829)+1,"")</f>
        <v/>
      </c>
    </row>
    <row r="831" spans="1:22" x14ac:dyDescent="0.25">
      <c r="A831" s="9">
        <v>46133</v>
      </c>
      <c r="B831" s="4" t="s">
        <v>76</v>
      </c>
      <c r="C831" s="4" t="s">
        <v>67</v>
      </c>
      <c r="D831" s="4" t="s">
        <v>77</v>
      </c>
      <c r="E831" s="10">
        <v>179.22</v>
      </c>
      <c r="G831" s="4" t="s">
        <v>102</v>
      </c>
      <c r="H831" s="4"/>
      <c r="I831" s="4" t="s">
        <v>63</v>
      </c>
      <c r="K831" s="11">
        <f>IF($E831="","",ROUND($E831*IF(ISNA(MATCH($C831,'Paramètres'!$D:$D,0)),1,IF(INDEX('Paramètres'!$J:$J,MATCH($C831,'Paramètres'!$D:$D,0))="",1,INDEX('Paramètres'!$J:$J,MATCH($C831,'Paramètres'!$D:$D,0)))),2))</f>
        <v>89.61</v>
      </c>
      <c r="L831" s="6" t="str">
        <f>IF($D831="","",IF($F831&lt;&gt;"",$F831,IF(ISNA(MATCH($D831,'Paramètres'!$M:$M,0)),"⚠ Type inconnu",IFERROR(INDEX('Paramètres'!$P:$P,MATCH($D831,'Paramètres'!$M:$M,0))&amp;"",""))))</f>
        <v>Débit</v>
      </c>
      <c r="M831" s="6" t="str">
        <f>IF($D831="","",IF(ISNA(MATCH($D831,'Paramètres'!$M:$M,0)),"⚠ Type inconnu",IF($L831="Crédit","",IFERROR(INDEX('Paramètres'!$O:$O,MATCH($D831,'Paramètres'!$M:$M,0))&amp;"",""))))</f>
        <v>Dépense Courante</v>
      </c>
      <c r="N831" s="6" t="str">
        <f>IF($D831="","",IFERROR(INDEX('Paramètres'!$Q:$Q,MATCH($D831,'Paramètres'!$M:$M,0))&amp;"",""))</f>
        <v>Alimentation</v>
      </c>
      <c r="O831" s="6">
        <f>IF($A831="","",IF(OR($J831&lt;&gt;"x",$A831&lt;=FinReleve),1,0))</f>
        <v>1</v>
      </c>
      <c r="P831" s="6">
        <f>IF($D831="","",IF(AND($L831="Crédit",OR(IFERROR(INDEX('Paramètres'!$O:$O,MATCH($D831,'Paramètres'!$M:$M,0))&amp;"","")&lt;&gt;"",ISNUMBER(SEARCH("remboursement",IFERROR(INDEX('Paramètres'!$N:$N,MATCH($D831,'Paramètres'!$M:$M,0))&amp;"",""))))),1,0))</f>
        <v>0</v>
      </c>
      <c r="Q831" s="6">
        <f>IF($K831="","",IF(ISNUMBER(SEARCH("transfert-interne",IFERROR(INDEX('Paramètres'!$N:$N,MATCH($D831,'Paramètres'!$M:$M,0))&amp;"",""))),0,IF($L831="Débit",$K831,IF($P831=1,-$K831,0))))</f>
        <v>89.61</v>
      </c>
      <c r="R831" s="6">
        <f>IF($K831="","",IF($L831="Crédit",$K831,-$K831))</f>
        <v>-89.61</v>
      </c>
      <c r="S831" s="6" t="str">
        <f>IF($C831="","",IFERROR(INDEX('Paramètres'!$H:$H,MATCH($C831,'Paramètres'!$D:$D,0))&amp;"",""))</f>
        <v>Banque A - Courant</v>
      </c>
      <c r="T831" s="6">
        <f>IF($K831="","",IF($S831="",0,IF(ISNUMBER(SEARCH("apport-exterieur",IFERROR(INDEX('Paramètres'!$N:$N,MATCH($D831,'Paramètres'!$M:$M,0))&amp;"",""))),0,IF(OR(IFERROR(INDEX('Paramètres'!$I:$I,MATCH($C831,'Paramètres'!$D:$D,0))&amp;"","")="Les deux",IFERROR(INDEX('Paramètres'!$I:$I,MATCH($C831,'Paramètres'!$D:$D,0))&amp;"","")=IF($P831=1,"Débit",$L831)),-IF($P831=1,-$K831,$K831),0))))</f>
        <v>0</v>
      </c>
      <c r="U831" s="6">
        <f>IF($K831="","",IF(ISNUMBER(SEARCH("sortie-epargne",IFERROR(INDEX('Paramètres'!$N:$N,MATCH($D831,'Paramètres'!$M:$M,0))&amp;"",""))),$K831,0))</f>
        <v>0</v>
      </c>
      <c r="V831" s="6" t="str">
        <f>IF(AND($A831&lt;&gt;"",$O831=1,$L831="Débit",N($Q831)&gt;0,$A831&gt;=Visualisation!$B$1,$A831&lt;Visualisation!$D$1),MAX($V$1:V830)+1,"")</f>
        <v/>
      </c>
    </row>
    <row r="832" spans="1:22" x14ac:dyDescent="0.25">
      <c r="A832" s="9">
        <v>46135</v>
      </c>
      <c r="B832" s="4" t="s">
        <v>69</v>
      </c>
      <c r="C832" s="4" t="s">
        <v>70</v>
      </c>
      <c r="D832" s="4" t="s">
        <v>71</v>
      </c>
      <c r="E832" s="10">
        <v>9.13</v>
      </c>
      <c r="G832" s="4" t="s">
        <v>72</v>
      </c>
      <c r="H832" s="4"/>
      <c r="I832" s="4" t="s">
        <v>93</v>
      </c>
      <c r="K832" s="11">
        <f>IF($E832="","",ROUND($E832*IF(ISNA(MATCH($C832,'Paramètres'!$D:$D,0)),1,IF(INDEX('Paramètres'!$J:$J,MATCH($C832,'Paramètres'!$D:$D,0))="",1,INDEX('Paramètres'!$J:$J,MATCH($C832,'Paramètres'!$D:$D,0)))),2))</f>
        <v>9.13</v>
      </c>
      <c r="L832" s="6" t="str">
        <f>IF($D832="","",IF($F832&lt;&gt;"",$F832,IF(ISNA(MATCH($D832,'Paramètres'!$M:$M,0)),"⚠ Type inconnu",IFERROR(INDEX('Paramètres'!$P:$P,MATCH($D832,'Paramètres'!$M:$M,0))&amp;"",""))))</f>
        <v>Débit</v>
      </c>
      <c r="M832" s="6" t="str">
        <f>IF($D832="","",IF(ISNA(MATCH($D832,'Paramètres'!$M:$M,0)),"⚠ Type inconnu",IF($L832="Crédit","",IFERROR(INDEX('Paramètres'!$O:$O,MATCH($D832,'Paramètres'!$M:$M,0))&amp;"",""))))</f>
        <v>Dépense Courante</v>
      </c>
      <c r="N832" s="6" t="str">
        <f>IF($D832="","",IFERROR(INDEX('Paramètres'!$Q:$Q,MATCH($D832,'Paramètres'!$M:$M,0))&amp;"",""))</f>
        <v>Alimentation</v>
      </c>
      <c r="O832" s="6">
        <f>IF($A832="","",IF(OR($J832&lt;&gt;"x",$A832&lt;=FinReleve),1,0))</f>
        <v>1</v>
      </c>
      <c r="P832" s="6">
        <f>IF($D832="","",IF(AND($L832="Crédit",OR(IFERROR(INDEX('Paramètres'!$O:$O,MATCH($D832,'Paramètres'!$M:$M,0))&amp;"","")&lt;&gt;"",ISNUMBER(SEARCH("remboursement",IFERROR(INDEX('Paramètres'!$N:$N,MATCH($D832,'Paramètres'!$M:$M,0))&amp;"",""))))),1,0))</f>
        <v>0</v>
      </c>
      <c r="Q832" s="6">
        <f>IF($K832="","",IF(ISNUMBER(SEARCH("transfert-interne",IFERROR(INDEX('Paramètres'!$N:$N,MATCH($D832,'Paramètres'!$M:$M,0))&amp;"",""))),0,IF($L832="Débit",$K832,IF($P832=1,-$K832,0))))</f>
        <v>9.13</v>
      </c>
      <c r="R832" s="6">
        <f>IF($K832="","",IF($L832="Crédit",$K832,-$K832))</f>
        <v>-9.13</v>
      </c>
      <c r="S832" s="6" t="str">
        <f>IF($C832="","",IFERROR(INDEX('Paramètres'!$H:$H,MATCH($C832,'Paramètres'!$D:$D,0))&amp;"",""))</f>
        <v/>
      </c>
      <c r="T832" s="6">
        <f>IF($K832="","",IF($S832="",0,IF(ISNUMBER(SEARCH("apport-exterieur",IFERROR(INDEX('Paramètres'!$N:$N,MATCH($D832,'Paramètres'!$M:$M,0))&amp;"",""))),0,IF(OR(IFERROR(INDEX('Paramètres'!$I:$I,MATCH($C832,'Paramètres'!$D:$D,0))&amp;"","")="Les deux",IFERROR(INDEX('Paramètres'!$I:$I,MATCH($C832,'Paramètres'!$D:$D,0))&amp;"","")=IF($P832=1,"Débit",$L832)),-IF($P832=1,-$K832,$K832),0))))</f>
        <v>0</v>
      </c>
      <c r="U832" s="6">
        <f>IF($K832="","",IF(ISNUMBER(SEARCH("sortie-epargne",IFERROR(INDEX('Paramètres'!$N:$N,MATCH($D832,'Paramètres'!$M:$M,0))&amp;"",""))),$K832,0))</f>
        <v>0</v>
      </c>
      <c r="V832" s="6" t="str">
        <f>IF(AND($A832&lt;&gt;"",$O832=1,$L832="Débit",N($Q832)&gt;0,$A832&gt;=Visualisation!$B$1,$A832&lt;Visualisation!$D$1),MAX($V$1:V831)+1,"")</f>
        <v/>
      </c>
    </row>
    <row r="833" spans="1:22" x14ac:dyDescent="0.25">
      <c r="A833" s="9">
        <v>46138</v>
      </c>
      <c r="B833" s="4" t="s">
        <v>105</v>
      </c>
      <c r="C833" s="4" t="s">
        <v>75</v>
      </c>
      <c r="D833" s="4" t="s">
        <v>110</v>
      </c>
      <c r="E833" s="10">
        <v>150</v>
      </c>
      <c r="G833" s="4"/>
      <c r="H833" s="4"/>
      <c r="I833" s="4"/>
      <c r="K833" s="11">
        <f>IF($E833="","",ROUND($E833*IF(ISNA(MATCH($C833,'Paramètres'!$D:$D,0)),1,IF(INDEX('Paramètres'!$J:$J,MATCH($C833,'Paramètres'!$D:$D,0))="",1,INDEX('Paramètres'!$J:$J,MATCH($C833,'Paramètres'!$D:$D,0)))),2))</f>
        <v>150</v>
      </c>
      <c r="L833" s="6" t="str">
        <f>IF($D833="","",IF($F833&lt;&gt;"",$F833,IF(ISNA(MATCH($D833,'Paramètres'!$M:$M,0)),"⚠ Type inconnu",IFERROR(INDEX('Paramètres'!$P:$P,MATCH($D833,'Paramètres'!$M:$M,0))&amp;"",""))))</f>
        <v>Débit</v>
      </c>
      <c r="M833" s="6" t="str">
        <f>IF($D833="","",IF(ISNA(MATCH($D833,'Paramètres'!$M:$M,0)),"⚠ Type inconnu",IF($L833="Crédit","",IFERROR(INDEX('Paramètres'!$O:$O,MATCH($D833,'Paramètres'!$M:$M,0))&amp;"",""))))</f>
        <v/>
      </c>
      <c r="N833" s="6" t="str">
        <f>IF($D833="","",IFERROR(INDEX('Paramètres'!$Q:$Q,MATCH($D833,'Paramètres'!$M:$M,0))&amp;"",""))</f>
        <v>Comptes Bancaires</v>
      </c>
      <c r="O833" s="6">
        <f>IF($A833="","",IF(OR($J833&lt;&gt;"x",$A833&lt;=FinReleve),1,0))</f>
        <v>1</v>
      </c>
      <c r="P833" s="6">
        <f>IF($D833="","",IF(AND($L833="Crédit",OR(IFERROR(INDEX('Paramètres'!$O:$O,MATCH($D833,'Paramètres'!$M:$M,0))&amp;"","")&lt;&gt;"",ISNUMBER(SEARCH("remboursement",IFERROR(INDEX('Paramètres'!$N:$N,MATCH($D833,'Paramètres'!$M:$M,0))&amp;"",""))))),1,0))</f>
        <v>0</v>
      </c>
      <c r="Q833" s="6">
        <f>IF($K833="","",IF(ISNUMBER(SEARCH("transfert-interne",IFERROR(INDEX('Paramètres'!$N:$N,MATCH($D833,'Paramètres'!$M:$M,0))&amp;"",""))),0,IF($L833="Débit",$K833,IF($P833=1,-$K833,0))))</f>
        <v>0</v>
      </c>
      <c r="R833" s="6">
        <f>IF($K833="","",IF($L833="Crédit",$K833,-$K833))</f>
        <v>-150</v>
      </c>
      <c r="S833" s="6" t="str">
        <f>IF($C833="","",IFERROR(INDEX('Paramètres'!$H:$H,MATCH($C833,'Paramètres'!$D:$D,0))&amp;"",""))</f>
        <v/>
      </c>
      <c r="T833" s="6">
        <f>IF($K833="","",IF($S833="",0,IF(ISNUMBER(SEARCH("apport-exterieur",IFERROR(INDEX('Paramètres'!$N:$N,MATCH($D833,'Paramètres'!$M:$M,0))&amp;"",""))),0,IF(OR(IFERROR(INDEX('Paramètres'!$I:$I,MATCH($C833,'Paramètres'!$D:$D,0))&amp;"","")="Les deux",IFERROR(INDEX('Paramètres'!$I:$I,MATCH($C833,'Paramètres'!$D:$D,0))&amp;"","")=IF($P833=1,"Débit",$L833)),-IF($P833=1,-$K833,$K833),0))))</f>
        <v>0</v>
      </c>
      <c r="U833" s="6">
        <f>IF($K833="","",IF(ISNUMBER(SEARCH("sortie-epargne",IFERROR(INDEX('Paramètres'!$N:$N,MATCH($D833,'Paramètres'!$M:$M,0))&amp;"",""))),$K833,0))</f>
        <v>0</v>
      </c>
      <c r="V833" s="6" t="str">
        <f>IF(AND($A833&lt;&gt;"",$O833=1,$L833="Débit",N($Q833)&gt;0,$A833&gt;=Visualisation!$B$1,$A833&lt;Visualisation!$D$1),MAX($V$1:V832)+1,"")</f>
        <v/>
      </c>
    </row>
    <row r="834" spans="1:22" x14ac:dyDescent="0.25">
      <c r="A834" s="9">
        <v>46138</v>
      </c>
      <c r="B834" s="4" t="s">
        <v>105</v>
      </c>
      <c r="C834" s="4" t="s">
        <v>75</v>
      </c>
      <c r="D834" s="4" t="s">
        <v>111</v>
      </c>
      <c r="E834" s="10">
        <v>200</v>
      </c>
      <c r="G834" s="4"/>
      <c r="H834" s="4"/>
      <c r="I834" s="4"/>
      <c r="K834" s="11">
        <f>IF($E834="","",ROUND($E834*IF(ISNA(MATCH($C834,'Paramètres'!$D:$D,0)),1,IF(INDEX('Paramètres'!$J:$J,MATCH($C834,'Paramètres'!$D:$D,0))="",1,INDEX('Paramètres'!$J:$J,MATCH($C834,'Paramètres'!$D:$D,0)))),2))</f>
        <v>200</v>
      </c>
      <c r="L834" s="6" t="str">
        <f>IF($D834="","",IF($F834&lt;&gt;"",$F834,IF(ISNA(MATCH($D834,'Paramètres'!$M:$M,0)),"⚠ Type inconnu",IFERROR(INDEX('Paramètres'!$P:$P,MATCH($D834,'Paramètres'!$M:$M,0))&amp;"",""))))</f>
        <v>Débit</v>
      </c>
      <c r="M834" s="6" t="str">
        <f>IF($D834="","",IF(ISNA(MATCH($D834,'Paramètres'!$M:$M,0)),"⚠ Type inconnu",IF($L834="Crédit","",IFERROR(INDEX('Paramètres'!$O:$O,MATCH($D834,'Paramètres'!$M:$M,0))&amp;"",""))))</f>
        <v/>
      </c>
      <c r="N834" s="6" t="str">
        <f>IF($D834="","",IFERROR(INDEX('Paramètres'!$Q:$Q,MATCH($D834,'Paramètres'!$M:$M,0))&amp;"",""))</f>
        <v>Comptes Bancaires</v>
      </c>
      <c r="O834" s="6">
        <f>IF($A834="","",IF(OR($J834&lt;&gt;"x",$A834&lt;=FinReleve),1,0))</f>
        <v>1</v>
      </c>
      <c r="P834" s="6">
        <f>IF($D834="","",IF(AND($L834="Crédit",OR(IFERROR(INDEX('Paramètres'!$O:$O,MATCH($D834,'Paramètres'!$M:$M,0))&amp;"","")&lt;&gt;"",ISNUMBER(SEARCH("remboursement",IFERROR(INDEX('Paramètres'!$N:$N,MATCH($D834,'Paramètres'!$M:$M,0))&amp;"",""))))),1,0))</f>
        <v>0</v>
      </c>
      <c r="Q834" s="6">
        <f>IF($K834="","",IF(ISNUMBER(SEARCH("transfert-interne",IFERROR(INDEX('Paramètres'!$N:$N,MATCH($D834,'Paramètres'!$M:$M,0))&amp;"",""))),0,IF($L834="Débit",$K834,IF($P834=1,-$K834,0))))</f>
        <v>200</v>
      </c>
      <c r="R834" s="6">
        <f>IF($K834="","",IF($L834="Crédit",$K834,-$K834))</f>
        <v>-200</v>
      </c>
      <c r="S834" s="6" t="str">
        <f>IF($C834="","",IFERROR(INDEX('Paramètres'!$H:$H,MATCH($C834,'Paramètres'!$D:$D,0))&amp;"",""))</f>
        <v/>
      </c>
      <c r="T834" s="6">
        <f>IF($K834="","",IF($S834="",0,IF(ISNUMBER(SEARCH("apport-exterieur",IFERROR(INDEX('Paramètres'!$N:$N,MATCH($D834,'Paramètres'!$M:$M,0))&amp;"",""))),0,IF(OR(IFERROR(INDEX('Paramètres'!$I:$I,MATCH($C834,'Paramètres'!$D:$D,0))&amp;"","")="Les deux",IFERROR(INDEX('Paramètres'!$I:$I,MATCH($C834,'Paramètres'!$D:$D,0))&amp;"","")=IF($P834=1,"Débit",$L834)),-IF($P834=1,-$K834,$K834),0))))</f>
        <v>0</v>
      </c>
      <c r="U834" s="6">
        <f>IF($K834="","",IF(ISNUMBER(SEARCH("sortie-epargne",IFERROR(INDEX('Paramètres'!$N:$N,MATCH($D834,'Paramètres'!$M:$M,0))&amp;"",""))),$K834,0))</f>
        <v>0</v>
      </c>
      <c r="V834" s="6" t="str">
        <f>IF(AND($A834&lt;&gt;"",$O834=1,$L834="Débit",N($Q834)&gt;0,$A834&gt;=Visualisation!$B$1,$A834&lt;Visualisation!$D$1),MAX($V$1:V833)+1,"")</f>
        <v/>
      </c>
    </row>
    <row r="835" spans="1:22" x14ac:dyDescent="0.25">
      <c r="A835" s="9">
        <v>46138</v>
      </c>
      <c r="B835" s="4" t="s">
        <v>112</v>
      </c>
      <c r="C835" s="4" t="s">
        <v>75</v>
      </c>
      <c r="D835" s="4" t="s">
        <v>113</v>
      </c>
      <c r="E835" s="10">
        <v>120</v>
      </c>
      <c r="G835" s="4"/>
      <c r="H835" s="4"/>
      <c r="I835" s="4"/>
      <c r="K835" s="11">
        <f>IF($E835="","",ROUND($E835*IF(ISNA(MATCH($C835,'Paramètres'!$D:$D,0)),1,IF(INDEX('Paramètres'!$J:$J,MATCH($C835,'Paramètres'!$D:$D,0))="",1,INDEX('Paramètres'!$J:$J,MATCH($C835,'Paramètres'!$D:$D,0)))),2))</f>
        <v>120</v>
      </c>
      <c r="L835" s="6" t="str">
        <f>IF($D835="","",IF($F835&lt;&gt;"",$F835,IF(ISNA(MATCH($D835,'Paramètres'!$M:$M,0)),"⚠ Type inconnu",IFERROR(INDEX('Paramètres'!$P:$P,MATCH($D835,'Paramètres'!$M:$M,0))&amp;"",""))))</f>
        <v>Débit</v>
      </c>
      <c r="M835" s="6" t="str">
        <f>IF($D835="","",IF(ISNA(MATCH($D835,'Paramètres'!$M:$M,0)),"⚠ Type inconnu",IF($L835="Crédit","",IFERROR(INDEX('Paramètres'!$O:$O,MATCH($D835,'Paramètres'!$M:$M,0))&amp;"",""))))</f>
        <v/>
      </c>
      <c r="N835" s="6" t="str">
        <f>IF($D835="","",IFERROR(INDEX('Paramètres'!$Q:$Q,MATCH($D835,'Paramètres'!$M:$M,0))&amp;"",""))</f>
        <v>Comptes Bancaires</v>
      </c>
      <c r="O835" s="6">
        <f>IF($A835="","",IF(OR($J835&lt;&gt;"x",$A835&lt;=FinReleve),1,0))</f>
        <v>1</v>
      </c>
      <c r="P835" s="6">
        <f>IF($D835="","",IF(AND($L835="Crédit",OR(IFERROR(INDEX('Paramètres'!$O:$O,MATCH($D835,'Paramètres'!$M:$M,0))&amp;"","")&lt;&gt;"",ISNUMBER(SEARCH("remboursement",IFERROR(INDEX('Paramètres'!$N:$N,MATCH($D835,'Paramètres'!$M:$M,0))&amp;"",""))))),1,0))</f>
        <v>0</v>
      </c>
      <c r="Q835" s="6">
        <f>IF($K835="","",IF(ISNUMBER(SEARCH("transfert-interne",IFERROR(INDEX('Paramètres'!$N:$N,MATCH($D835,'Paramètres'!$M:$M,0))&amp;"",""))),0,IF($L835="Débit",$K835,IF($P835=1,-$K835,0))))</f>
        <v>120</v>
      </c>
      <c r="R835" s="6">
        <f>IF($K835="","",IF($L835="Crédit",$K835,-$K835))</f>
        <v>-120</v>
      </c>
      <c r="S835" s="6" t="str">
        <f>IF($C835="","",IFERROR(INDEX('Paramètres'!$H:$H,MATCH($C835,'Paramètres'!$D:$D,0))&amp;"",""))</f>
        <v/>
      </c>
      <c r="T835" s="6">
        <f>IF($K835="","",IF($S835="",0,IF(ISNUMBER(SEARCH("apport-exterieur",IFERROR(INDEX('Paramètres'!$N:$N,MATCH($D835,'Paramètres'!$M:$M,0))&amp;"",""))),0,IF(OR(IFERROR(INDEX('Paramètres'!$I:$I,MATCH($C835,'Paramètres'!$D:$D,0))&amp;"","")="Les deux",IFERROR(INDEX('Paramètres'!$I:$I,MATCH($C835,'Paramètres'!$D:$D,0))&amp;"","")=IF($P835=1,"Débit",$L835)),-IF($P835=1,-$K835,$K835),0))))</f>
        <v>0</v>
      </c>
      <c r="U835" s="6">
        <f>IF($K835="","",IF(ISNUMBER(SEARCH("sortie-epargne",IFERROR(INDEX('Paramètres'!$N:$N,MATCH($D835,'Paramètres'!$M:$M,0))&amp;"",""))),$K835,0))</f>
        <v>0</v>
      </c>
      <c r="V835" s="6" t="str">
        <f>IF(AND($A835&lt;&gt;"",$O835=1,$L835="Débit",N($Q835)&gt;0,$A835&gt;=Visualisation!$B$1,$A835&lt;Visualisation!$D$1),MAX($V$1:V834)+1,"")</f>
        <v/>
      </c>
    </row>
    <row r="836" spans="1:22" x14ac:dyDescent="0.25">
      <c r="A836" s="9">
        <v>46139</v>
      </c>
      <c r="B836" s="4" t="s">
        <v>114</v>
      </c>
      <c r="C836" s="4" t="s">
        <v>75</v>
      </c>
      <c r="D836" s="4" t="s">
        <v>115</v>
      </c>
      <c r="E836" s="10">
        <v>2920.9</v>
      </c>
      <c r="G836" s="4" t="s">
        <v>115</v>
      </c>
      <c r="H836" s="4"/>
      <c r="I836" s="4"/>
      <c r="K836" s="11">
        <f>IF($E836="","",ROUND($E836*IF(ISNA(MATCH($C836,'Paramètres'!$D:$D,0)),1,IF(INDEX('Paramètres'!$J:$J,MATCH($C836,'Paramètres'!$D:$D,0))="",1,INDEX('Paramètres'!$J:$J,MATCH($C836,'Paramètres'!$D:$D,0)))),2))</f>
        <v>2920.9</v>
      </c>
      <c r="L836" s="6" t="str">
        <f>IF($D836="","",IF($F836&lt;&gt;"",$F836,IF(ISNA(MATCH($D836,'Paramètres'!$M:$M,0)),"⚠ Type inconnu",IFERROR(INDEX('Paramètres'!$P:$P,MATCH($D836,'Paramètres'!$M:$M,0))&amp;"",""))))</f>
        <v>Crédit</v>
      </c>
      <c r="M836" s="6" t="str">
        <f>IF($D836="","",IF(ISNA(MATCH($D836,'Paramètres'!$M:$M,0)),"⚠ Type inconnu",IF($L836="Crédit","",IFERROR(INDEX('Paramètres'!$O:$O,MATCH($D836,'Paramètres'!$M:$M,0))&amp;"",""))))</f>
        <v/>
      </c>
      <c r="N836" s="6" t="str">
        <f>IF($D836="","",IFERROR(INDEX('Paramètres'!$Q:$Q,MATCH($D836,'Paramètres'!$M:$M,0))&amp;"",""))</f>
        <v/>
      </c>
      <c r="O836" s="6">
        <f>IF($A836="","",IF(OR($J836&lt;&gt;"x",$A836&lt;=FinReleve),1,0))</f>
        <v>1</v>
      </c>
      <c r="P836" s="6">
        <f>IF($D836="","",IF(AND($L836="Crédit",OR(IFERROR(INDEX('Paramètres'!$O:$O,MATCH($D836,'Paramètres'!$M:$M,0))&amp;"","")&lt;&gt;"",ISNUMBER(SEARCH("remboursement",IFERROR(INDEX('Paramètres'!$N:$N,MATCH($D836,'Paramètres'!$M:$M,0))&amp;"",""))))),1,0))</f>
        <v>0</v>
      </c>
      <c r="Q836" s="6">
        <f>IF($K836="","",IF(ISNUMBER(SEARCH("transfert-interne",IFERROR(INDEX('Paramètres'!$N:$N,MATCH($D836,'Paramètres'!$M:$M,0))&amp;"",""))),0,IF($L836="Débit",$K836,IF($P836=1,-$K836,0))))</f>
        <v>0</v>
      </c>
      <c r="R836" s="6">
        <f>IF($K836="","",IF($L836="Crédit",$K836,-$K836))</f>
        <v>2920.9</v>
      </c>
      <c r="S836" s="6" t="str">
        <f>IF($C836="","",IFERROR(INDEX('Paramètres'!$H:$H,MATCH($C836,'Paramètres'!$D:$D,0))&amp;"",""))</f>
        <v/>
      </c>
      <c r="T836" s="6">
        <f>IF($K836="","",IF($S836="",0,IF(ISNUMBER(SEARCH("apport-exterieur",IFERROR(INDEX('Paramètres'!$N:$N,MATCH($D836,'Paramètres'!$M:$M,0))&amp;"",""))),0,IF(OR(IFERROR(INDEX('Paramètres'!$I:$I,MATCH($C836,'Paramètres'!$D:$D,0))&amp;"","")="Les deux",IFERROR(INDEX('Paramètres'!$I:$I,MATCH($C836,'Paramètres'!$D:$D,0))&amp;"","")=IF($P836=1,"Débit",$L836)),-IF($P836=1,-$K836,$K836),0))))</f>
        <v>0</v>
      </c>
      <c r="U836" s="6">
        <f>IF($K836="","",IF(ISNUMBER(SEARCH("sortie-epargne",IFERROR(INDEX('Paramètres'!$N:$N,MATCH($D836,'Paramètres'!$M:$M,0))&amp;"",""))),$K836,0))</f>
        <v>0</v>
      </c>
      <c r="V836" s="6" t="str">
        <f>IF(AND($A836&lt;&gt;"",$O836=1,$L836="Débit",N($Q836)&gt;0,$A836&gt;=Visualisation!$B$1,$A836&lt;Visualisation!$D$1),MAX($V$1:V835)+1,"")</f>
        <v/>
      </c>
    </row>
    <row r="837" spans="1:22" x14ac:dyDescent="0.25">
      <c r="A837" s="9">
        <v>46139</v>
      </c>
      <c r="B837" s="4" t="s">
        <v>69</v>
      </c>
      <c r="C837" s="4" t="s">
        <v>70</v>
      </c>
      <c r="D837" s="4" t="s">
        <v>71</v>
      </c>
      <c r="E837" s="10">
        <v>10.75</v>
      </c>
      <c r="G837" s="4" t="s">
        <v>72</v>
      </c>
      <c r="H837" s="4"/>
      <c r="I837" s="4"/>
      <c r="K837" s="11">
        <f>IF($E837="","",ROUND($E837*IF(ISNA(MATCH($C837,'Paramètres'!$D:$D,0)),1,IF(INDEX('Paramètres'!$J:$J,MATCH($C837,'Paramètres'!$D:$D,0))="",1,INDEX('Paramètres'!$J:$J,MATCH($C837,'Paramètres'!$D:$D,0)))),2))</f>
        <v>10.75</v>
      </c>
      <c r="L837" s="6" t="str">
        <f>IF($D837="","",IF($F837&lt;&gt;"",$F837,IF(ISNA(MATCH($D837,'Paramètres'!$M:$M,0)),"⚠ Type inconnu",IFERROR(INDEX('Paramètres'!$P:$P,MATCH($D837,'Paramètres'!$M:$M,0))&amp;"",""))))</f>
        <v>Débit</v>
      </c>
      <c r="M837" s="6" t="str">
        <f>IF($D837="","",IF(ISNA(MATCH($D837,'Paramètres'!$M:$M,0)),"⚠ Type inconnu",IF($L837="Crédit","",IFERROR(INDEX('Paramètres'!$O:$O,MATCH($D837,'Paramètres'!$M:$M,0))&amp;"",""))))</f>
        <v>Dépense Courante</v>
      </c>
      <c r="N837" s="6" t="str">
        <f>IF($D837="","",IFERROR(INDEX('Paramètres'!$Q:$Q,MATCH($D837,'Paramètres'!$M:$M,0))&amp;"",""))</f>
        <v>Alimentation</v>
      </c>
      <c r="O837" s="6">
        <f>IF($A837="","",IF(OR($J837&lt;&gt;"x",$A837&lt;=FinReleve),1,0))</f>
        <v>1</v>
      </c>
      <c r="P837" s="6">
        <f>IF($D837="","",IF(AND($L837="Crédit",OR(IFERROR(INDEX('Paramètres'!$O:$O,MATCH($D837,'Paramètres'!$M:$M,0))&amp;"","")&lt;&gt;"",ISNUMBER(SEARCH("remboursement",IFERROR(INDEX('Paramètres'!$N:$N,MATCH($D837,'Paramètres'!$M:$M,0))&amp;"",""))))),1,0))</f>
        <v>0</v>
      </c>
      <c r="Q837" s="6">
        <f>IF($K837="","",IF(ISNUMBER(SEARCH("transfert-interne",IFERROR(INDEX('Paramètres'!$N:$N,MATCH($D837,'Paramètres'!$M:$M,0))&amp;"",""))),0,IF($L837="Débit",$K837,IF($P837=1,-$K837,0))))</f>
        <v>10.75</v>
      </c>
      <c r="R837" s="6">
        <f>IF($K837="","",IF($L837="Crédit",$K837,-$K837))</f>
        <v>-10.75</v>
      </c>
      <c r="S837" s="6" t="str">
        <f>IF($C837="","",IFERROR(INDEX('Paramètres'!$H:$H,MATCH($C837,'Paramètres'!$D:$D,0))&amp;"",""))</f>
        <v/>
      </c>
      <c r="T837" s="6">
        <f>IF($K837="","",IF($S837="",0,IF(ISNUMBER(SEARCH("apport-exterieur",IFERROR(INDEX('Paramètres'!$N:$N,MATCH($D837,'Paramètres'!$M:$M,0))&amp;"",""))),0,IF(OR(IFERROR(INDEX('Paramètres'!$I:$I,MATCH($C837,'Paramètres'!$D:$D,0))&amp;"","")="Les deux",IFERROR(INDEX('Paramètres'!$I:$I,MATCH($C837,'Paramètres'!$D:$D,0))&amp;"","")=IF($P837=1,"Débit",$L837)),-IF($P837=1,-$K837,$K837),0))))</f>
        <v>0</v>
      </c>
      <c r="U837" s="6">
        <f>IF($K837="","",IF(ISNUMBER(SEARCH("sortie-epargne",IFERROR(INDEX('Paramètres'!$N:$N,MATCH($D837,'Paramètres'!$M:$M,0))&amp;"",""))),$K837,0))</f>
        <v>0</v>
      </c>
      <c r="V837" s="6" t="str">
        <f>IF(AND($A837&lt;&gt;"",$O837=1,$L837="Débit",N($Q837)&gt;0,$A837&gt;=Visualisation!$B$1,$A837&lt;Visualisation!$D$1),MAX($V$1:V836)+1,"")</f>
        <v/>
      </c>
    </row>
    <row r="838" spans="1:22" x14ac:dyDescent="0.25">
      <c r="A838" s="9">
        <v>46139</v>
      </c>
      <c r="B838" s="4" t="s">
        <v>90</v>
      </c>
      <c r="C838" s="4" t="s">
        <v>75</v>
      </c>
      <c r="D838" s="4" t="s">
        <v>91</v>
      </c>
      <c r="E838" s="10">
        <v>47.93</v>
      </c>
      <c r="G838" s="4" t="s">
        <v>135</v>
      </c>
      <c r="H838" s="4"/>
      <c r="I838" s="4" t="s">
        <v>79</v>
      </c>
      <c r="K838" s="11">
        <f>IF($E838="","",ROUND($E838*IF(ISNA(MATCH($C838,'Paramètres'!$D:$D,0)),1,IF(INDEX('Paramètres'!$J:$J,MATCH($C838,'Paramètres'!$D:$D,0))="",1,INDEX('Paramètres'!$J:$J,MATCH($C838,'Paramètres'!$D:$D,0)))),2))</f>
        <v>47.93</v>
      </c>
      <c r="L838" s="6" t="str">
        <f>IF($D838="","",IF($F838&lt;&gt;"",$F838,IF(ISNA(MATCH($D838,'Paramètres'!$M:$M,0)),"⚠ Type inconnu",IFERROR(INDEX('Paramètres'!$P:$P,MATCH($D838,'Paramètres'!$M:$M,0))&amp;"",""))))</f>
        <v>Débit</v>
      </c>
      <c r="M838" s="6" t="str">
        <f>IF($D838="","",IF(ISNA(MATCH($D838,'Paramètres'!$M:$M,0)),"⚠ Type inconnu",IF($L838="Crédit","",IFERROR(INDEX('Paramètres'!$O:$O,MATCH($D838,'Paramètres'!$M:$M,0))&amp;"",""))))</f>
        <v>Dépense Courante</v>
      </c>
      <c r="N838" s="6" t="str">
        <f>IF($D838="","",IFERROR(INDEX('Paramètres'!$Q:$Q,MATCH($D838,'Paramètres'!$M:$M,0))&amp;"",""))</f>
        <v>Transport</v>
      </c>
      <c r="O838" s="6">
        <f>IF($A838="","",IF(OR($J838&lt;&gt;"x",$A838&lt;=FinReleve),1,0))</f>
        <v>1</v>
      </c>
      <c r="P838" s="6">
        <f>IF($D838="","",IF(AND($L838="Crédit",OR(IFERROR(INDEX('Paramètres'!$O:$O,MATCH($D838,'Paramètres'!$M:$M,0))&amp;"","")&lt;&gt;"",ISNUMBER(SEARCH("remboursement",IFERROR(INDEX('Paramètres'!$N:$N,MATCH($D838,'Paramètres'!$M:$M,0))&amp;"",""))))),1,0))</f>
        <v>0</v>
      </c>
      <c r="Q838" s="6">
        <f>IF($K838="","",IF(ISNUMBER(SEARCH("transfert-interne",IFERROR(INDEX('Paramètres'!$N:$N,MATCH($D838,'Paramètres'!$M:$M,0))&amp;"",""))),0,IF($L838="Débit",$K838,IF($P838=1,-$K838,0))))</f>
        <v>47.93</v>
      </c>
      <c r="R838" s="6">
        <f>IF($K838="","",IF($L838="Crédit",$K838,-$K838))</f>
        <v>-47.93</v>
      </c>
      <c r="S838" s="6" t="str">
        <f>IF($C838="","",IFERROR(INDEX('Paramètres'!$H:$H,MATCH($C838,'Paramètres'!$D:$D,0))&amp;"",""))</f>
        <v/>
      </c>
      <c r="T838" s="6">
        <f>IF($K838="","",IF($S838="",0,IF(ISNUMBER(SEARCH("apport-exterieur",IFERROR(INDEX('Paramètres'!$N:$N,MATCH($D838,'Paramètres'!$M:$M,0))&amp;"",""))),0,IF(OR(IFERROR(INDEX('Paramètres'!$I:$I,MATCH($C838,'Paramètres'!$D:$D,0))&amp;"","")="Les deux",IFERROR(INDEX('Paramètres'!$I:$I,MATCH($C838,'Paramètres'!$D:$D,0))&amp;"","")=IF($P838=1,"Débit",$L838)),-IF($P838=1,-$K838,$K838),0))))</f>
        <v>0</v>
      </c>
      <c r="U838" s="6">
        <f>IF($K838="","",IF(ISNUMBER(SEARCH("sortie-epargne",IFERROR(INDEX('Paramètres'!$N:$N,MATCH($D838,'Paramètres'!$M:$M,0))&amp;"",""))),$K838,0))</f>
        <v>0</v>
      </c>
      <c r="V838" s="6" t="str">
        <f>IF(AND($A838&lt;&gt;"",$O838=1,$L838="Débit",N($Q838)&gt;0,$A838&gt;=Visualisation!$B$1,$A838&lt;Visualisation!$D$1),MAX($V$1:V837)+1,"")</f>
        <v/>
      </c>
    </row>
    <row r="839" spans="1:22" x14ac:dyDescent="0.25">
      <c r="A839" s="9">
        <v>46140</v>
      </c>
      <c r="B839" s="4" t="s">
        <v>118</v>
      </c>
      <c r="C839" s="4" t="s">
        <v>75</v>
      </c>
      <c r="D839" s="4" t="s">
        <v>118</v>
      </c>
      <c r="E839" s="10">
        <v>3</v>
      </c>
      <c r="G839" s="4"/>
      <c r="H839" s="4"/>
      <c r="I839" s="4"/>
      <c r="K839" s="11">
        <f>IF($E839="","",ROUND($E839*IF(ISNA(MATCH($C839,'Paramètres'!$D:$D,0)),1,IF(INDEX('Paramètres'!$J:$J,MATCH($C839,'Paramètres'!$D:$D,0))="",1,INDEX('Paramètres'!$J:$J,MATCH($C839,'Paramètres'!$D:$D,0)))),2))</f>
        <v>3</v>
      </c>
      <c r="L839" s="6" t="str">
        <f>IF($D839="","",IF($F839&lt;&gt;"",$F839,IF(ISNA(MATCH($D839,'Paramètres'!$M:$M,0)),"⚠ Type inconnu",IFERROR(INDEX('Paramètres'!$P:$P,MATCH($D839,'Paramètres'!$M:$M,0))&amp;"",""))))</f>
        <v>Débit</v>
      </c>
      <c r="M839" s="6" t="str">
        <f>IF($D839="","",IF(ISNA(MATCH($D839,'Paramètres'!$M:$M,0)),"⚠ Type inconnu",IF($L839="Crédit","",IFERROR(INDEX('Paramètres'!$O:$O,MATCH($D839,'Paramètres'!$M:$M,0))&amp;"",""))))</f>
        <v>Dépense Fixe</v>
      </c>
      <c r="N839" s="6" t="str">
        <f>IF($D839="","",IFERROR(INDEX('Paramètres'!$Q:$Q,MATCH($D839,'Paramètres'!$M:$M,0))&amp;"",""))</f>
        <v>Banque</v>
      </c>
      <c r="O839" s="6">
        <f>IF($A839="","",IF(OR($J839&lt;&gt;"x",$A839&lt;=FinReleve),1,0))</f>
        <v>1</v>
      </c>
      <c r="P839" s="6">
        <f>IF($D839="","",IF(AND($L839="Crédit",OR(IFERROR(INDEX('Paramètres'!$O:$O,MATCH($D839,'Paramètres'!$M:$M,0))&amp;"","")&lt;&gt;"",ISNUMBER(SEARCH("remboursement",IFERROR(INDEX('Paramètres'!$N:$N,MATCH($D839,'Paramètres'!$M:$M,0))&amp;"",""))))),1,0))</f>
        <v>0</v>
      </c>
      <c r="Q839" s="6">
        <f>IF($K839="","",IF(ISNUMBER(SEARCH("transfert-interne",IFERROR(INDEX('Paramètres'!$N:$N,MATCH($D839,'Paramètres'!$M:$M,0))&amp;"",""))),0,IF($L839="Débit",$K839,IF($P839=1,-$K839,0))))</f>
        <v>3</v>
      </c>
      <c r="R839" s="6">
        <f>IF($K839="","",IF($L839="Crédit",$K839,-$K839))</f>
        <v>-3</v>
      </c>
      <c r="S839" s="6" t="str">
        <f>IF($C839="","",IFERROR(INDEX('Paramètres'!$H:$H,MATCH($C839,'Paramètres'!$D:$D,0))&amp;"",""))</f>
        <v/>
      </c>
      <c r="T839" s="6">
        <f>IF($K839="","",IF($S839="",0,IF(ISNUMBER(SEARCH("apport-exterieur",IFERROR(INDEX('Paramètres'!$N:$N,MATCH($D839,'Paramètres'!$M:$M,0))&amp;"",""))),0,IF(OR(IFERROR(INDEX('Paramètres'!$I:$I,MATCH($C839,'Paramètres'!$D:$D,0))&amp;"","")="Les deux",IFERROR(INDEX('Paramètres'!$I:$I,MATCH($C839,'Paramètres'!$D:$D,0))&amp;"","")=IF($P839=1,"Débit",$L839)),-IF($P839=1,-$K839,$K839),0))))</f>
        <v>0</v>
      </c>
      <c r="U839" s="6">
        <f>IF($K839="","",IF(ISNUMBER(SEARCH("sortie-epargne",IFERROR(INDEX('Paramètres'!$N:$N,MATCH($D839,'Paramètres'!$M:$M,0))&amp;"",""))),$K839,0))</f>
        <v>0</v>
      </c>
      <c r="V839" s="6" t="str">
        <f>IF(AND($A839&lt;&gt;"",$O839=1,$L839="Débit",N($Q839)&gt;0,$A839&gt;=Visualisation!$B$1,$A839&lt;Visualisation!$D$1),MAX($V$1:V838)+1,"")</f>
        <v/>
      </c>
    </row>
    <row r="840" spans="1:22" x14ac:dyDescent="0.25">
      <c r="A840" s="9">
        <v>46144</v>
      </c>
      <c r="B840" s="4" t="s">
        <v>64</v>
      </c>
      <c r="C840" s="4" t="s">
        <v>65</v>
      </c>
      <c r="D840" s="4" t="s">
        <v>66</v>
      </c>
      <c r="E840" s="10">
        <v>1160</v>
      </c>
      <c r="G840" s="4"/>
      <c r="H840" s="4"/>
      <c r="I840" s="4"/>
      <c r="K840" s="11">
        <f>IF($E840="","",ROUND($E840*IF(ISNA(MATCH($C840,'Paramètres'!$D:$D,0)),1,IF(INDEX('Paramètres'!$J:$J,MATCH($C840,'Paramètres'!$D:$D,0))="",1,INDEX('Paramètres'!$J:$J,MATCH($C840,'Paramètres'!$D:$D,0)))),2))</f>
        <v>1160</v>
      </c>
      <c r="L840" s="6" t="str">
        <f>IF($D840="","",IF($F840&lt;&gt;"",$F840,IF(ISNA(MATCH($D840,'Paramètres'!$M:$M,0)),"⚠ Type inconnu",IFERROR(INDEX('Paramètres'!$P:$P,MATCH($D840,'Paramètres'!$M:$M,0))&amp;"",""))))</f>
        <v>Crédit</v>
      </c>
      <c r="M840" s="6" t="str">
        <f>IF($D840="","",IF(ISNA(MATCH($D840,'Paramètres'!$M:$M,0)),"⚠ Type inconnu",IF($L840="Crédit","",IFERROR(INDEX('Paramètres'!$O:$O,MATCH($D840,'Paramètres'!$M:$M,0))&amp;"",""))))</f>
        <v/>
      </c>
      <c r="N840" s="6" t="str">
        <f>IF($D840="","",IFERROR(INDEX('Paramètres'!$Q:$Q,MATCH($D840,'Paramètres'!$M:$M,0))&amp;"",""))</f>
        <v>Comptes Bancaires</v>
      </c>
      <c r="O840" s="6">
        <f>IF($A840="","",IF(OR($J840&lt;&gt;"x",$A840&lt;=FinReleve),1,0))</f>
        <v>1</v>
      </c>
      <c r="P840" s="6">
        <f>IF($D840="","",IF(AND($L840="Crédit",OR(IFERROR(INDEX('Paramètres'!$O:$O,MATCH($D840,'Paramètres'!$M:$M,0))&amp;"","")&lt;&gt;"",ISNUMBER(SEARCH("remboursement",IFERROR(INDEX('Paramètres'!$N:$N,MATCH($D840,'Paramètres'!$M:$M,0))&amp;"",""))))),1,0))</f>
        <v>0</v>
      </c>
      <c r="Q840" s="6">
        <f>IF($K840="","",IF(ISNUMBER(SEARCH("transfert-interne",IFERROR(INDEX('Paramètres'!$N:$N,MATCH($D840,'Paramètres'!$M:$M,0))&amp;"",""))),0,IF($L840="Débit",$K840,IF($P840=1,-$K840,0))))</f>
        <v>0</v>
      </c>
      <c r="R840" s="6">
        <f>IF($K840="","",IF($L840="Crédit",$K840,-$K840))</f>
        <v>1160</v>
      </c>
      <c r="S840" s="6" t="str">
        <f>IF($C840="","",IFERROR(INDEX('Paramètres'!$H:$H,MATCH($C840,'Paramètres'!$D:$D,0))&amp;"",""))</f>
        <v>Banque A - Courant</v>
      </c>
      <c r="T840" s="6">
        <f>IF($K840="","",IF($S840="",0,IF(ISNUMBER(SEARCH("apport-exterieur",IFERROR(INDEX('Paramètres'!$N:$N,MATCH($D840,'Paramètres'!$M:$M,0))&amp;"",""))),0,IF(OR(IFERROR(INDEX('Paramètres'!$I:$I,MATCH($C840,'Paramètres'!$D:$D,0))&amp;"","")="Les deux",IFERROR(INDEX('Paramètres'!$I:$I,MATCH($C840,'Paramètres'!$D:$D,0))&amp;"","")=IF($P840=1,"Débit",$L840)),-IF($P840=1,-$K840,$K840),0))))</f>
        <v>-1160</v>
      </c>
      <c r="U840" s="6">
        <f>IF($K840="","",IF(ISNUMBER(SEARCH("sortie-epargne",IFERROR(INDEX('Paramètres'!$N:$N,MATCH($D840,'Paramètres'!$M:$M,0))&amp;"",""))),$K840,0))</f>
        <v>0</v>
      </c>
      <c r="V840" s="6" t="str">
        <f>IF(AND($A840&lt;&gt;"",$O840=1,$L840="Débit",N($Q840)&gt;0,$A840&gt;=Visualisation!$B$1,$A840&lt;Visualisation!$D$1),MAX($V$1:V839)+1,"")</f>
        <v/>
      </c>
    </row>
    <row r="841" spans="1:22" x14ac:dyDescent="0.25">
      <c r="A841" s="9">
        <v>46144</v>
      </c>
      <c r="B841" s="4" t="s">
        <v>64</v>
      </c>
      <c r="C841" s="4" t="s">
        <v>67</v>
      </c>
      <c r="D841" s="4" t="s">
        <v>68</v>
      </c>
      <c r="E841" s="10">
        <v>600</v>
      </c>
      <c r="G841" s="4"/>
      <c r="H841" s="4"/>
      <c r="I841" s="4"/>
      <c r="K841" s="11">
        <f>IF($E841="","",ROUND($E841*IF(ISNA(MATCH($C841,'Paramètres'!$D:$D,0)),1,IF(INDEX('Paramètres'!$J:$J,MATCH($C841,'Paramètres'!$D:$D,0))="",1,INDEX('Paramètres'!$J:$J,MATCH($C841,'Paramètres'!$D:$D,0)))),2))</f>
        <v>300</v>
      </c>
      <c r="L841" s="6" t="str">
        <f>IF($D841="","",IF($F841&lt;&gt;"",$F841,IF(ISNA(MATCH($D841,'Paramètres'!$M:$M,0)),"⚠ Type inconnu",IFERROR(INDEX('Paramètres'!$P:$P,MATCH($D841,'Paramètres'!$M:$M,0))&amp;"",""))))</f>
        <v>Crédit</v>
      </c>
      <c r="M841" s="6" t="str">
        <f>IF($D841="","",IF(ISNA(MATCH($D841,'Paramètres'!$M:$M,0)),"⚠ Type inconnu",IF($L841="Crédit","",IFERROR(INDEX('Paramètres'!$O:$O,MATCH($D841,'Paramètres'!$M:$M,0))&amp;"",""))))</f>
        <v/>
      </c>
      <c r="N841" s="6" t="str">
        <f>IF($D841="","",IFERROR(INDEX('Paramètres'!$Q:$Q,MATCH($D841,'Paramètres'!$M:$M,0))&amp;"",""))</f>
        <v>Comptes Bancaires</v>
      </c>
      <c r="O841" s="6">
        <f>IF($A841="","",IF(OR($J841&lt;&gt;"x",$A841&lt;=FinReleve),1,0))</f>
        <v>1</v>
      </c>
      <c r="P841" s="6">
        <f>IF($D841="","",IF(AND($L841="Crédit",OR(IFERROR(INDEX('Paramètres'!$O:$O,MATCH($D841,'Paramètres'!$M:$M,0))&amp;"","")&lt;&gt;"",ISNUMBER(SEARCH("remboursement",IFERROR(INDEX('Paramètres'!$N:$N,MATCH($D841,'Paramètres'!$M:$M,0))&amp;"",""))))),1,0))</f>
        <v>0</v>
      </c>
      <c r="Q841" s="6">
        <f>IF($K841="","",IF(ISNUMBER(SEARCH("transfert-interne",IFERROR(INDEX('Paramètres'!$N:$N,MATCH($D841,'Paramètres'!$M:$M,0))&amp;"",""))),0,IF($L841="Débit",$K841,IF($P841=1,-$K841,0))))</f>
        <v>0</v>
      </c>
      <c r="R841" s="6">
        <f>IF($K841="","",IF($L841="Crédit",$K841,-$K841))</f>
        <v>300</v>
      </c>
      <c r="S841" s="6" t="str">
        <f>IF($C841="","",IFERROR(INDEX('Paramètres'!$H:$H,MATCH($C841,'Paramètres'!$D:$D,0))&amp;"",""))</f>
        <v>Banque A - Courant</v>
      </c>
      <c r="T841" s="6">
        <f>IF($K841="","",IF($S841="",0,IF(ISNUMBER(SEARCH("apport-exterieur",IFERROR(INDEX('Paramètres'!$N:$N,MATCH($D841,'Paramètres'!$M:$M,0))&amp;"",""))),0,IF(OR(IFERROR(INDEX('Paramètres'!$I:$I,MATCH($C841,'Paramètres'!$D:$D,0))&amp;"","")="Les deux",IFERROR(INDEX('Paramètres'!$I:$I,MATCH($C841,'Paramètres'!$D:$D,0))&amp;"","")=IF($P841=1,"Débit",$L841)),-IF($P841=1,-$K841,$K841),0))))</f>
        <v>-300</v>
      </c>
      <c r="U841" s="6">
        <f>IF($K841="","",IF(ISNUMBER(SEARCH("sortie-epargne",IFERROR(INDEX('Paramètres'!$N:$N,MATCH($D841,'Paramètres'!$M:$M,0))&amp;"",""))),$K841,0))</f>
        <v>0</v>
      </c>
      <c r="V841" s="6" t="str">
        <f>IF(AND($A841&lt;&gt;"",$O841=1,$L841="Débit",N($Q841)&gt;0,$A841&gt;=Visualisation!$B$1,$A841&lt;Visualisation!$D$1),MAX($V$1:V840)+1,"")</f>
        <v/>
      </c>
    </row>
    <row r="842" spans="1:22" x14ac:dyDescent="0.25">
      <c r="A842" s="9">
        <v>46144</v>
      </c>
      <c r="B842" s="4" t="s">
        <v>116</v>
      </c>
      <c r="C842" s="4" t="s">
        <v>60</v>
      </c>
      <c r="D842" s="4" t="s">
        <v>116</v>
      </c>
      <c r="E842" s="10">
        <v>142.8</v>
      </c>
      <c r="G842" s="4" t="s">
        <v>145</v>
      </c>
      <c r="H842" s="4"/>
      <c r="I842" s="4" t="s">
        <v>73</v>
      </c>
      <c r="K842" s="11">
        <f>IF($E842="","",ROUND($E842*IF(ISNA(MATCH($C842,'Paramètres'!$D:$D,0)),1,IF(INDEX('Paramètres'!$J:$J,MATCH($C842,'Paramètres'!$D:$D,0))="",1,INDEX('Paramètres'!$J:$J,MATCH($C842,'Paramètres'!$D:$D,0)))),2))</f>
        <v>71.4</v>
      </c>
      <c r="L842" s="6" t="str">
        <f>IF($D842="","",IF($F842&lt;&gt;"",$F842,IF(ISNA(MATCH($D842,'Paramètres'!$M:$M,0)),"⚠ Type inconnu",IFERROR(INDEX('Paramètres'!$P:$P,MATCH($D842,'Paramètres'!$M:$M,0))&amp;"",""))))</f>
        <v>Débit</v>
      </c>
      <c r="M842" s="6" t="str">
        <f>IF($D842="","",IF(ISNA(MATCH($D842,'Paramètres'!$M:$M,0)),"⚠ Type inconnu",IF($L842="Crédit","",IFERROR(INDEX('Paramètres'!$O:$O,MATCH($D842,'Paramètres'!$M:$M,0))&amp;"",""))))</f>
        <v>Dépense Occasionnelle</v>
      </c>
      <c r="N842" s="6" t="str">
        <f>IF($D842="","",IFERROR(INDEX('Paramètres'!$Q:$Q,MATCH($D842,'Paramètres'!$M:$M,0))&amp;"",""))</f>
        <v>Autre</v>
      </c>
      <c r="O842" s="6">
        <f>IF($A842="","",IF(OR($J842&lt;&gt;"x",$A842&lt;=FinReleve),1,0))</f>
        <v>1</v>
      </c>
      <c r="P842" s="6">
        <f>IF($D842="","",IF(AND($L842="Crédit",OR(IFERROR(INDEX('Paramètres'!$O:$O,MATCH($D842,'Paramètres'!$M:$M,0))&amp;"","")&lt;&gt;"",ISNUMBER(SEARCH("remboursement",IFERROR(INDEX('Paramètres'!$N:$N,MATCH($D842,'Paramètres'!$M:$M,0))&amp;"",""))))),1,0))</f>
        <v>0</v>
      </c>
      <c r="Q842" s="6">
        <f>IF($K842="","",IF(ISNUMBER(SEARCH("transfert-interne",IFERROR(INDEX('Paramètres'!$N:$N,MATCH($D842,'Paramètres'!$M:$M,0))&amp;"",""))),0,IF($L842="Débit",$K842,IF($P842=1,-$K842,0))))</f>
        <v>71.4</v>
      </c>
      <c r="R842" s="6">
        <f>IF($K842="","",IF($L842="Crédit",$K842,-$K842))</f>
        <v>-71.4</v>
      </c>
      <c r="S842" s="6" t="str">
        <f>IF($C842="","",IFERROR(INDEX('Paramètres'!$H:$H,MATCH($C842,'Paramètres'!$D:$D,0))&amp;"",""))</f>
        <v>Banque A - Courant</v>
      </c>
      <c r="T842" s="6">
        <f>IF($K842="","",IF($S842="",0,IF(ISNUMBER(SEARCH("apport-exterieur",IFERROR(INDEX('Paramètres'!$N:$N,MATCH($D842,'Paramètres'!$M:$M,0))&amp;"",""))),0,IF(OR(IFERROR(INDEX('Paramètres'!$I:$I,MATCH($C842,'Paramètres'!$D:$D,0))&amp;"","")="Les deux",IFERROR(INDEX('Paramètres'!$I:$I,MATCH($C842,'Paramètres'!$D:$D,0))&amp;"","")=IF($P842=1,"Débit",$L842)),-IF($P842=1,-$K842,$K842),0))))</f>
        <v>-71.4</v>
      </c>
      <c r="U842" s="6">
        <f>IF($K842="","",IF(ISNUMBER(SEARCH("sortie-epargne",IFERROR(INDEX('Paramètres'!$N:$N,MATCH($D842,'Paramètres'!$M:$M,0))&amp;"",""))),$K842,0))</f>
        <v>0</v>
      </c>
      <c r="V842" s="6" t="str">
        <f>IF(AND($A842&lt;&gt;"",$O842=1,$L842="Débit",N($Q842)&gt;0,$A842&gt;=Visualisation!$B$1,$A842&lt;Visualisation!$D$1),MAX($V$1:V841)+1,"")</f>
        <v/>
      </c>
    </row>
    <row r="843" spans="1:22" x14ac:dyDescent="0.25">
      <c r="A843" s="9">
        <v>46145</v>
      </c>
      <c r="B843" s="4" t="s">
        <v>74</v>
      </c>
      <c r="C843" s="4" t="s">
        <v>75</v>
      </c>
      <c r="D843" s="4" t="s">
        <v>74</v>
      </c>
      <c r="E843" s="10">
        <v>88.8</v>
      </c>
      <c r="G843" s="4"/>
      <c r="H843" s="4"/>
      <c r="I843" s="4"/>
      <c r="K843" s="11">
        <f>IF($E843="","",ROUND($E843*IF(ISNA(MATCH($C843,'Paramètres'!$D:$D,0)),1,IF(INDEX('Paramètres'!$J:$J,MATCH($C843,'Paramètres'!$D:$D,0))="",1,INDEX('Paramètres'!$J:$J,MATCH($C843,'Paramètres'!$D:$D,0)))),2))</f>
        <v>88.8</v>
      </c>
      <c r="L843" s="6" t="str">
        <f>IF($D843="","",IF($F843&lt;&gt;"",$F843,IF(ISNA(MATCH($D843,'Paramètres'!$M:$M,0)),"⚠ Type inconnu",IFERROR(INDEX('Paramètres'!$P:$P,MATCH($D843,'Paramètres'!$M:$M,0))&amp;"",""))))</f>
        <v>Débit</v>
      </c>
      <c r="M843" s="6" t="str">
        <f>IF($D843="","",IF(ISNA(MATCH($D843,'Paramètres'!$M:$M,0)),"⚠ Type inconnu",IF($L843="Crédit","",IFERROR(INDEX('Paramètres'!$O:$O,MATCH($D843,'Paramètres'!$M:$M,0))&amp;"",""))))</f>
        <v>Dépense Fixe</v>
      </c>
      <c r="N843" s="6" t="str">
        <f>IF($D843="","",IFERROR(INDEX('Paramètres'!$Q:$Q,MATCH($D843,'Paramètres'!$M:$M,0))&amp;"",""))</f>
        <v>Transport</v>
      </c>
      <c r="O843" s="6">
        <f>IF($A843="","",IF(OR($J843&lt;&gt;"x",$A843&lt;=FinReleve),1,0))</f>
        <v>1</v>
      </c>
      <c r="P843" s="6">
        <f>IF($D843="","",IF(AND($L843="Crédit",OR(IFERROR(INDEX('Paramètres'!$O:$O,MATCH($D843,'Paramètres'!$M:$M,0))&amp;"","")&lt;&gt;"",ISNUMBER(SEARCH("remboursement",IFERROR(INDEX('Paramètres'!$N:$N,MATCH($D843,'Paramètres'!$M:$M,0))&amp;"",""))))),1,0))</f>
        <v>0</v>
      </c>
      <c r="Q843" s="6">
        <f>IF($K843="","",IF(ISNUMBER(SEARCH("transfert-interne",IFERROR(INDEX('Paramètres'!$N:$N,MATCH($D843,'Paramètres'!$M:$M,0))&amp;"",""))),0,IF($L843="Débit",$K843,IF($P843=1,-$K843,0))))</f>
        <v>88.8</v>
      </c>
      <c r="R843" s="6">
        <f>IF($K843="","",IF($L843="Crédit",$K843,-$K843))</f>
        <v>-88.8</v>
      </c>
      <c r="S843" s="6" t="str">
        <f>IF($C843="","",IFERROR(INDEX('Paramètres'!$H:$H,MATCH($C843,'Paramètres'!$D:$D,0))&amp;"",""))</f>
        <v/>
      </c>
      <c r="T843" s="6">
        <f>IF($K843="","",IF($S843="",0,IF(ISNUMBER(SEARCH("apport-exterieur",IFERROR(INDEX('Paramètres'!$N:$N,MATCH($D843,'Paramètres'!$M:$M,0))&amp;"",""))),0,IF(OR(IFERROR(INDEX('Paramètres'!$I:$I,MATCH($C843,'Paramètres'!$D:$D,0))&amp;"","")="Les deux",IFERROR(INDEX('Paramètres'!$I:$I,MATCH($C843,'Paramètres'!$D:$D,0))&amp;"","")=IF($P843=1,"Débit",$L843)),-IF($P843=1,-$K843,$K843),0))))</f>
        <v>0</v>
      </c>
      <c r="U843" s="6">
        <f>IF($K843="","",IF(ISNUMBER(SEARCH("sortie-epargne",IFERROR(INDEX('Paramètres'!$N:$N,MATCH($D843,'Paramètres'!$M:$M,0))&amp;"",""))),$K843,0))</f>
        <v>0</v>
      </c>
      <c r="V843" s="6" t="str">
        <f>IF(AND($A843&lt;&gt;"",$O843=1,$L843="Débit",N($Q843)&gt;0,$A843&gt;=Visualisation!$B$1,$A843&lt;Visualisation!$D$1),MAX($V$1:V842)+1,"")</f>
        <v/>
      </c>
    </row>
    <row r="844" spans="1:22" x14ac:dyDescent="0.25">
      <c r="A844" s="9">
        <v>46145</v>
      </c>
      <c r="B844" s="4" t="s">
        <v>76</v>
      </c>
      <c r="C844" s="4" t="s">
        <v>67</v>
      </c>
      <c r="D844" s="4" t="s">
        <v>77</v>
      </c>
      <c r="E844" s="10">
        <v>77.3</v>
      </c>
      <c r="G844" s="4" t="s">
        <v>78</v>
      </c>
      <c r="H844" s="4"/>
      <c r="I844" s="4" t="s">
        <v>73</v>
      </c>
      <c r="K844" s="11">
        <f>IF($E844="","",ROUND($E844*IF(ISNA(MATCH($C844,'Paramètres'!$D:$D,0)),1,IF(INDEX('Paramètres'!$J:$J,MATCH($C844,'Paramètres'!$D:$D,0))="",1,INDEX('Paramètres'!$J:$J,MATCH($C844,'Paramètres'!$D:$D,0)))),2))</f>
        <v>38.65</v>
      </c>
      <c r="L844" s="6" t="str">
        <f>IF($D844="","",IF($F844&lt;&gt;"",$F844,IF(ISNA(MATCH($D844,'Paramètres'!$M:$M,0)),"⚠ Type inconnu",IFERROR(INDEX('Paramètres'!$P:$P,MATCH($D844,'Paramètres'!$M:$M,0))&amp;"",""))))</f>
        <v>Débit</v>
      </c>
      <c r="M844" s="6" t="str">
        <f>IF($D844="","",IF(ISNA(MATCH($D844,'Paramètres'!$M:$M,0)),"⚠ Type inconnu",IF($L844="Crédit","",IFERROR(INDEX('Paramètres'!$O:$O,MATCH($D844,'Paramètres'!$M:$M,0))&amp;"",""))))</f>
        <v>Dépense Courante</v>
      </c>
      <c r="N844" s="6" t="str">
        <f>IF($D844="","",IFERROR(INDEX('Paramètres'!$Q:$Q,MATCH($D844,'Paramètres'!$M:$M,0))&amp;"",""))</f>
        <v>Alimentation</v>
      </c>
      <c r="O844" s="6">
        <f>IF($A844="","",IF(OR($J844&lt;&gt;"x",$A844&lt;=FinReleve),1,0))</f>
        <v>1</v>
      </c>
      <c r="P844" s="6">
        <f>IF($D844="","",IF(AND($L844="Crédit",OR(IFERROR(INDEX('Paramètres'!$O:$O,MATCH($D844,'Paramètres'!$M:$M,0))&amp;"","")&lt;&gt;"",ISNUMBER(SEARCH("remboursement",IFERROR(INDEX('Paramètres'!$N:$N,MATCH($D844,'Paramètres'!$M:$M,0))&amp;"",""))))),1,0))</f>
        <v>0</v>
      </c>
      <c r="Q844" s="6">
        <f>IF($K844="","",IF(ISNUMBER(SEARCH("transfert-interne",IFERROR(INDEX('Paramètres'!$N:$N,MATCH($D844,'Paramètres'!$M:$M,0))&amp;"",""))),0,IF($L844="Débit",$K844,IF($P844=1,-$K844,0))))</f>
        <v>38.65</v>
      </c>
      <c r="R844" s="6">
        <f>IF($K844="","",IF($L844="Crédit",$K844,-$K844))</f>
        <v>-38.65</v>
      </c>
      <c r="S844" s="6" t="str">
        <f>IF($C844="","",IFERROR(INDEX('Paramètres'!$H:$H,MATCH($C844,'Paramètres'!$D:$D,0))&amp;"",""))</f>
        <v>Banque A - Courant</v>
      </c>
      <c r="T844" s="6">
        <f>IF($K844="","",IF($S844="",0,IF(ISNUMBER(SEARCH("apport-exterieur",IFERROR(INDEX('Paramètres'!$N:$N,MATCH($D844,'Paramètres'!$M:$M,0))&amp;"",""))),0,IF(OR(IFERROR(INDEX('Paramètres'!$I:$I,MATCH($C844,'Paramètres'!$D:$D,0))&amp;"","")="Les deux",IFERROR(INDEX('Paramètres'!$I:$I,MATCH($C844,'Paramètres'!$D:$D,0))&amp;"","")=IF($P844=1,"Débit",$L844)),-IF($P844=1,-$K844,$K844),0))))</f>
        <v>0</v>
      </c>
      <c r="U844" s="6">
        <f>IF($K844="","",IF(ISNUMBER(SEARCH("sortie-epargne",IFERROR(INDEX('Paramètres'!$N:$N,MATCH($D844,'Paramètres'!$M:$M,0))&amp;"",""))),$K844,0))</f>
        <v>0</v>
      </c>
      <c r="V844" s="6" t="str">
        <f>IF(AND($A844&lt;&gt;"",$O844=1,$L844="Débit",N($Q844)&gt;0,$A844&gt;=Visualisation!$B$1,$A844&lt;Visualisation!$D$1),MAX($V$1:V843)+1,"")</f>
        <v/>
      </c>
    </row>
    <row r="845" spans="1:22" x14ac:dyDescent="0.25">
      <c r="A845" s="9">
        <v>46145</v>
      </c>
      <c r="B845" s="4" t="s">
        <v>90</v>
      </c>
      <c r="C845" s="4" t="s">
        <v>75</v>
      </c>
      <c r="D845" s="4" t="s">
        <v>91</v>
      </c>
      <c r="E845" s="10">
        <v>69.07</v>
      </c>
      <c r="G845" s="4" t="s">
        <v>136</v>
      </c>
      <c r="H845" s="4"/>
      <c r="I845" s="4" t="s">
        <v>79</v>
      </c>
      <c r="K845" s="11">
        <f>IF($E845="","",ROUND($E845*IF(ISNA(MATCH($C845,'Paramètres'!$D:$D,0)),1,IF(INDEX('Paramètres'!$J:$J,MATCH($C845,'Paramètres'!$D:$D,0))="",1,INDEX('Paramètres'!$J:$J,MATCH($C845,'Paramètres'!$D:$D,0)))),2))</f>
        <v>69.07</v>
      </c>
      <c r="L845" s="6" t="str">
        <f>IF($D845="","",IF($F845&lt;&gt;"",$F845,IF(ISNA(MATCH($D845,'Paramètres'!$M:$M,0)),"⚠ Type inconnu",IFERROR(INDEX('Paramètres'!$P:$P,MATCH($D845,'Paramètres'!$M:$M,0))&amp;"",""))))</f>
        <v>Débit</v>
      </c>
      <c r="M845" s="6" t="str">
        <f>IF($D845="","",IF(ISNA(MATCH($D845,'Paramètres'!$M:$M,0)),"⚠ Type inconnu",IF($L845="Crédit","",IFERROR(INDEX('Paramètres'!$O:$O,MATCH($D845,'Paramètres'!$M:$M,0))&amp;"",""))))</f>
        <v>Dépense Courante</v>
      </c>
      <c r="N845" s="6" t="str">
        <f>IF($D845="","",IFERROR(INDEX('Paramètres'!$Q:$Q,MATCH($D845,'Paramètres'!$M:$M,0))&amp;"",""))</f>
        <v>Transport</v>
      </c>
      <c r="O845" s="6">
        <f>IF($A845="","",IF(OR($J845&lt;&gt;"x",$A845&lt;=FinReleve),1,0))</f>
        <v>1</v>
      </c>
      <c r="P845" s="6">
        <f>IF($D845="","",IF(AND($L845="Crédit",OR(IFERROR(INDEX('Paramètres'!$O:$O,MATCH($D845,'Paramètres'!$M:$M,0))&amp;"","")&lt;&gt;"",ISNUMBER(SEARCH("remboursement",IFERROR(INDEX('Paramètres'!$N:$N,MATCH($D845,'Paramètres'!$M:$M,0))&amp;"",""))))),1,0))</f>
        <v>0</v>
      </c>
      <c r="Q845" s="6">
        <f>IF($K845="","",IF(ISNUMBER(SEARCH("transfert-interne",IFERROR(INDEX('Paramètres'!$N:$N,MATCH($D845,'Paramètres'!$M:$M,0))&amp;"",""))),0,IF($L845="Débit",$K845,IF($P845=1,-$K845,0))))</f>
        <v>69.07</v>
      </c>
      <c r="R845" s="6">
        <f>IF($K845="","",IF($L845="Crédit",$K845,-$K845))</f>
        <v>-69.07</v>
      </c>
      <c r="S845" s="6" t="str">
        <f>IF($C845="","",IFERROR(INDEX('Paramètres'!$H:$H,MATCH($C845,'Paramètres'!$D:$D,0))&amp;"",""))</f>
        <v/>
      </c>
      <c r="T845" s="6">
        <f>IF($K845="","",IF($S845="",0,IF(ISNUMBER(SEARCH("apport-exterieur",IFERROR(INDEX('Paramètres'!$N:$N,MATCH($D845,'Paramètres'!$M:$M,0))&amp;"",""))),0,IF(OR(IFERROR(INDEX('Paramètres'!$I:$I,MATCH($C845,'Paramètres'!$D:$D,0))&amp;"","")="Les deux",IFERROR(INDEX('Paramètres'!$I:$I,MATCH($C845,'Paramètres'!$D:$D,0))&amp;"","")=IF($P845=1,"Débit",$L845)),-IF($P845=1,-$K845,$K845),0))))</f>
        <v>0</v>
      </c>
      <c r="U845" s="6">
        <f>IF($K845="","",IF(ISNUMBER(SEARCH("sortie-epargne",IFERROR(INDEX('Paramètres'!$N:$N,MATCH($D845,'Paramètres'!$M:$M,0))&amp;"",""))),$K845,0))</f>
        <v>0</v>
      </c>
      <c r="V845" s="6" t="str">
        <f>IF(AND($A845&lt;&gt;"",$O845=1,$L845="Débit",N($Q845)&gt;0,$A845&gt;=Visualisation!$B$1,$A845&lt;Visualisation!$D$1),MAX($V$1:V844)+1,"")</f>
        <v/>
      </c>
    </row>
    <row r="846" spans="1:22" x14ac:dyDescent="0.25">
      <c r="A846" s="9">
        <v>46146</v>
      </c>
      <c r="B846" s="4" t="s">
        <v>80</v>
      </c>
      <c r="C846" s="4" t="s">
        <v>70</v>
      </c>
      <c r="D846" s="4" t="s">
        <v>81</v>
      </c>
      <c r="E846" s="10">
        <v>114.45</v>
      </c>
      <c r="G846" s="4"/>
      <c r="H846" s="4"/>
      <c r="I846" s="4"/>
      <c r="K846" s="11">
        <f>IF($E846="","",ROUND($E846*IF(ISNA(MATCH($C846,'Paramètres'!$D:$D,0)),1,IF(INDEX('Paramètres'!$J:$J,MATCH($C846,'Paramètres'!$D:$D,0))="",1,INDEX('Paramètres'!$J:$J,MATCH($C846,'Paramètres'!$D:$D,0)))),2))</f>
        <v>114.45</v>
      </c>
      <c r="L846" s="6" t="str">
        <f>IF($D846="","",IF($F846&lt;&gt;"",$F846,IF(ISNA(MATCH($D846,'Paramètres'!$M:$M,0)),"⚠ Type inconnu",IFERROR(INDEX('Paramètres'!$P:$P,MATCH($D846,'Paramètres'!$M:$M,0))&amp;"",""))))</f>
        <v>Crédit</v>
      </c>
      <c r="M846" s="6" t="str">
        <f>IF($D846="","",IF(ISNA(MATCH($D846,'Paramètres'!$M:$M,0)),"⚠ Type inconnu",IF($L846="Crédit","",IFERROR(INDEX('Paramètres'!$O:$O,MATCH($D846,'Paramètres'!$M:$M,0))&amp;"",""))))</f>
        <v/>
      </c>
      <c r="N846" s="6" t="str">
        <f>IF($D846="","",IFERROR(INDEX('Paramètres'!$Q:$Q,MATCH($D846,'Paramètres'!$M:$M,0))&amp;"",""))</f>
        <v>Comptes Bancaires</v>
      </c>
      <c r="O846" s="6">
        <f>IF($A846="","",IF(OR($J846&lt;&gt;"x",$A846&lt;=FinReleve),1,0))</f>
        <v>1</v>
      </c>
      <c r="P846" s="6">
        <f>IF($D846="","",IF(AND($L846="Crédit",OR(IFERROR(INDEX('Paramètres'!$O:$O,MATCH($D846,'Paramètres'!$M:$M,0))&amp;"","")&lt;&gt;"",ISNUMBER(SEARCH("remboursement",IFERROR(INDEX('Paramètres'!$N:$N,MATCH($D846,'Paramètres'!$M:$M,0))&amp;"",""))))),1,0))</f>
        <v>0</v>
      </c>
      <c r="Q846" s="6">
        <f>IF($K846="","",IF(ISNUMBER(SEARCH("transfert-interne",IFERROR(INDEX('Paramètres'!$N:$N,MATCH($D846,'Paramètres'!$M:$M,0))&amp;"",""))),0,IF($L846="Débit",$K846,IF($P846=1,-$K846,0))))</f>
        <v>0</v>
      </c>
      <c r="R846" s="6">
        <f>IF($K846="","",IF($L846="Crédit",$K846,-$K846))</f>
        <v>114.45</v>
      </c>
      <c r="S846" s="6" t="str">
        <f>IF($C846="","",IFERROR(INDEX('Paramètres'!$H:$H,MATCH($C846,'Paramètres'!$D:$D,0))&amp;"",""))</f>
        <v/>
      </c>
      <c r="T846" s="6">
        <f>IF($K846="","",IF($S846="",0,IF(ISNUMBER(SEARCH("apport-exterieur",IFERROR(INDEX('Paramètres'!$N:$N,MATCH($D846,'Paramètres'!$M:$M,0))&amp;"",""))),0,IF(OR(IFERROR(INDEX('Paramètres'!$I:$I,MATCH($C846,'Paramètres'!$D:$D,0))&amp;"","")="Les deux",IFERROR(INDEX('Paramètres'!$I:$I,MATCH($C846,'Paramètres'!$D:$D,0))&amp;"","")=IF($P846=1,"Débit",$L846)),-IF($P846=1,-$K846,$K846),0))))</f>
        <v>0</v>
      </c>
      <c r="U846" s="6">
        <f>IF($K846="","",IF(ISNUMBER(SEARCH("sortie-epargne",IFERROR(INDEX('Paramètres'!$N:$N,MATCH($D846,'Paramètres'!$M:$M,0))&amp;"",""))),$K846,0))</f>
        <v>0</v>
      </c>
      <c r="V846" s="6" t="str">
        <f>IF(AND($A846&lt;&gt;"",$O846=1,$L846="Débit",N($Q846)&gt;0,$A846&gt;=Visualisation!$B$1,$A846&lt;Visualisation!$D$1),MAX($V$1:V845)+1,"")</f>
        <v/>
      </c>
    </row>
    <row r="847" spans="1:22" x14ac:dyDescent="0.25">
      <c r="A847" s="9">
        <v>46147</v>
      </c>
      <c r="B847" s="4" t="s">
        <v>82</v>
      </c>
      <c r="C847" s="4" t="s">
        <v>65</v>
      </c>
      <c r="D847" s="4" t="s">
        <v>83</v>
      </c>
      <c r="E847" s="10">
        <v>665.16</v>
      </c>
      <c r="G847" s="4" t="s">
        <v>84</v>
      </c>
      <c r="H847" s="4"/>
      <c r="I847" s="4"/>
      <c r="K847" s="11">
        <f>IF($E847="","",ROUND($E847*IF(ISNA(MATCH($C847,'Paramètres'!$D:$D,0)),1,IF(INDEX('Paramètres'!$J:$J,MATCH($C847,'Paramètres'!$D:$D,0))="",1,INDEX('Paramètres'!$J:$J,MATCH($C847,'Paramètres'!$D:$D,0)))),2))</f>
        <v>665.16</v>
      </c>
      <c r="L847" s="6" t="str">
        <f>IF($D847="","",IF($F847&lt;&gt;"",$F847,IF(ISNA(MATCH($D847,'Paramètres'!$M:$M,0)),"⚠ Type inconnu",IFERROR(INDEX('Paramètres'!$P:$P,MATCH($D847,'Paramètres'!$M:$M,0))&amp;"",""))))</f>
        <v>Débit</v>
      </c>
      <c r="M847" s="6" t="str">
        <f>IF($D847="","",IF(ISNA(MATCH($D847,'Paramètres'!$M:$M,0)),"⚠ Type inconnu",IF($L847="Crédit","",IFERROR(INDEX('Paramètres'!$O:$O,MATCH($D847,'Paramètres'!$M:$M,0))&amp;"",""))))</f>
        <v/>
      </c>
      <c r="N847" s="6" t="str">
        <f>IF($D847="","",IFERROR(INDEX('Paramètres'!$Q:$Q,MATCH($D847,'Paramètres'!$M:$M,0))&amp;"",""))</f>
        <v>Immobilier</v>
      </c>
      <c r="O847" s="6">
        <f>IF($A847="","",IF(OR($J847&lt;&gt;"x",$A847&lt;=FinReleve),1,0))</f>
        <v>1</v>
      </c>
      <c r="P847" s="6">
        <f>IF($D847="","",IF(AND($L847="Crédit",OR(IFERROR(INDEX('Paramètres'!$O:$O,MATCH($D847,'Paramètres'!$M:$M,0))&amp;"","")&lt;&gt;"",ISNUMBER(SEARCH("remboursement",IFERROR(INDEX('Paramètres'!$N:$N,MATCH($D847,'Paramètres'!$M:$M,0))&amp;"",""))))),1,0))</f>
        <v>0</v>
      </c>
      <c r="Q847" s="6">
        <f>IF($K847="","",IF(ISNUMBER(SEARCH("transfert-interne",IFERROR(INDEX('Paramètres'!$N:$N,MATCH($D847,'Paramètres'!$M:$M,0))&amp;"",""))),0,IF($L847="Débit",$K847,IF($P847=1,-$K847,0))))</f>
        <v>665.16</v>
      </c>
      <c r="R847" s="6">
        <f>IF($K847="","",IF($L847="Crédit",$K847,-$K847))</f>
        <v>-665.16</v>
      </c>
      <c r="S847" s="6" t="str">
        <f>IF($C847="","",IFERROR(INDEX('Paramètres'!$H:$H,MATCH($C847,'Paramètres'!$D:$D,0))&amp;"",""))</f>
        <v>Banque A - Courant</v>
      </c>
      <c r="T847" s="6">
        <f>IF($K847="","",IF($S847="",0,IF(ISNUMBER(SEARCH("apport-exterieur",IFERROR(INDEX('Paramètres'!$N:$N,MATCH($D847,'Paramètres'!$M:$M,0))&amp;"",""))),0,IF(OR(IFERROR(INDEX('Paramètres'!$I:$I,MATCH($C847,'Paramètres'!$D:$D,0))&amp;"","")="Les deux",IFERROR(INDEX('Paramètres'!$I:$I,MATCH($C847,'Paramètres'!$D:$D,0))&amp;"","")=IF($P847=1,"Débit",$L847)),-IF($P847=1,-$K847,$K847),0))))</f>
        <v>0</v>
      </c>
      <c r="U847" s="6">
        <f>IF($K847="","",IF(ISNUMBER(SEARCH("sortie-epargne",IFERROR(INDEX('Paramètres'!$N:$N,MATCH($D847,'Paramètres'!$M:$M,0))&amp;"",""))),$K847,0))</f>
        <v>0</v>
      </c>
      <c r="V847" s="6" t="str">
        <f>IF(AND($A847&lt;&gt;"",$O847=1,$L847="Débit",N($Q847)&gt;0,$A847&gt;=Visualisation!$B$1,$A847&lt;Visualisation!$D$1),MAX($V$1:V846)+1,"")</f>
        <v/>
      </c>
    </row>
    <row r="848" spans="1:22" x14ac:dyDescent="0.25">
      <c r="A848" s="9">
        <v>46147</v>
      </c>
      <c r="B848" s="4" t="s">
        <v>85</v>
      </c>
      <c r="C848" s="4" t="s">
        <v>65</v>
      </c>
      <c r="D848" s="4" t="s">
        <v>86</v>
      </c>
      <c r="E848" s="10">
        <v>228.48</v>
      </c>
      <c r="G848" s="4" t="s">
        <v>87</v>
      </c>
      <c r="H848" s="4"/>
      <c r="I848" s="4"/>
      <c r="K848" s="11">
        <f>IF($E848="","",ROUND($E848*IF(ISNA(MATCH($C848,'Paramètres'!$D:$D,0)),1,IF(INDEX('Paramètres'!$J:$J,MATCH($C848,'Paramètres'!$D:$D,0))="",1,INDEX('Paramètres'!$J:$J,MATCH($C848,'Paramètres'!$D:$D,0)))),2))</f>
        <v>228.48</v>
      </c>
      <c r="L848" s="6" t="str">
        <f>IF($D848="","",IF($F848&lt;&gt;"",$F848,IF(ISNA(MATCH($D848,'Paramètres'!$M:$M,0)),"⚠ Type inconnu",IFERROR(INDEX('Paramètres'!$P:$P,MATCH($D848,'Paramètres'!$M:$M,0))&amp;"",""))))</f>
        <v>Débit</v>
      </c>
      <c r="M848" s="6" t="str">
        <f>IF($D848="","",IF(ISNA(MATCH($D848,'Paramètres'!$M:$M,0)),"⚠ Type inconnu",IF($L848="Crédit","",IFERROR(INDEX('Paramètres'!$O:$O,MATCH($D848,'Paramètres'!$M:$M,0))&amp;"",""))))</f>
        <v>Dépense Fixe</v>
      </c>
      <c r="N848" s="6" t="str">
        <f>IF($D848="","",IFERROR(INDEX('Paramètres'!$Q:$Q,MATCH($D848,'Paramètres'!$M:$M,0))&amp;"",""))</f>
        <v>Immobilier</v>
      </c>
      <c r="O848" s="6">
        <f>IF($A848="","",IF(OR($J848&lt;&gt;"x",$A848&lt;=FinReleve),1,0))</f>
        <v>1</v>
      </c>
      <c r="P848" s="6">
        <f>IF($D848="","",IF(AND($L848="Crédit",OR(IFERROR(INDEX('Paramètres'!$O:$O,MATCH($D848,'Paramètres'!$M:$M,0))&amp;"","")&lt;&gt;"",ISNUMBER(SEARCH("remboursement",IFERROR(INDEX('Paramètres'!$N:$N,MATCH($D848,'Paramètres'!$M:$M,0))&amp;"",""))))),1,0))</f>
        <v>0</v>
      </c>
      <c r="Q848" s="6">
        <f>IF($K848="","",IF(ISNUMBER(SEARCH("transfert-interne",IFERROR(INDEX('Paramètres'!$N:$N,MATCH($D848,'Paramètres'!$M:$M,0))&amp;"",""))),0,IF($L848="Débit",$K848,IF($P848=1,-$K848,0))))</f>
        <v>228.48</v>
      </c>
      <c r="R848" s="6">
        <f>IF($K848="","",IF($L848="Crédit",$K848,-$K848))</f>
        <v>-228.48</v>
      </c>
      <c r="S848" s="6" t="str">
        <f>IF($C848="","",IFERROR(INDEX('Paramètres'!$H:$H,MATCH($C848,'Paramètres'!$D:$D,0))&amp;"",""))</f>
        <v>Banque A - Courant</v>
      </c>
      <c r="T848" s="6">
        <f>IF($K848="","",IF($S848="",0,IF(ISNUMBER(SEARCH("apport-exterieur",IFERROR(INDEX('Paramètres'!$N:$N,MATCH($D848,'Paramètres'!$M:$M,0))&amp;"",""))),0,IF(OR(IFERROR(INDEX('Paramètres'!$I:$I,MATCH($C848,'Paramètres'!$D:$D,0))&amp;"","")="Les deux",IFERROR(INDEX('Paramètres'!$I:$I,MATCH($C848,'Paramètres'!$D:$D,0))&amp;"","")=IF($P848=1,"Débit",$L848)),-IF($P848=1,-$K848,$K848),0))))</f>
        <v>0</v>
      </c>
      <c r="U848" s="6">
        <f>IF($K848="","",IF(ISNUMBER(SEARCH("sortie-epargne",IFERROR(INDEX('Paramètres'!$N:$N,MATCH($D848,'Paramètres'!$M:$M,0))&amp;"",""))),$K848,0))</f>
        <v>0</v>
      </c>
      <c r="V848" s="6" t="str">
        <f>IF(AND($A848&lt;&gt;"",$O848=1,$L848="Débit",N($Q848)&gt;0,$A848&gt;=Visualisation!$B$1,$A848&lt;Visualisation!$D$1),MAX($V$1:V847)+1,"")</f>
        <v/>
      </c>
    </row>
    <row r="849" spans="1:22" x14ac:dyDescent="0.25">
      <c r="A849" s="9">
        <v>46147</v>
      </c>
      <c r="B849" s="4" t="s">
        <v>88</v>
      </c>
      <c r="C849" s="4" t="s">
        <v>65</v>
      </c>
      <c r="D849" s="4" t="s">
        <v>88</v>
      </c>
      <c r="E849" s="10">
        <v>31.2</v>
      </c>
      <c r="G849" s="4"/>
      <c r="H849" s="4"/>
      <c r="I849" s="4"/>
      <c r="K849" s="11">
        <f>IF($E849="","",ROUND($E849*IF(ISNA(MATCH($C849,'Paramètres'!$D:$D,0)),1,IF(INDEX('Paramètres'!$J:$J,MATCH($C849,'Paramètres'!$D:$D,0))="",1,INDEX('Paramètres'!$J:$J,MATCH($C849,'Paramètres'!$D:$D,0)))),2))</f>
        <v>31.2</v>
      </c>
      <c r="L849" s="6" t="str">
        <f>IF($D849="","",IF($F849&lt;&gt;"",$F849,IF(ISNA(MATCH($D849,'Paramètres'!$M:$M,0)),"⚠ Type inconnu",IFERROR(INDEX('Paramètres'!$P:$P,MATCH($D849,'Paramètres'!$M:$M,0))&amp;"",""))))</f>
        <v>Débit</v>
      </c>
      <c r="M849" s="6" t="str">
        <f>IF($D849="","",IF(ISNA(MATCH($D849,'Paramètres'!$M:$M,0)),"⚠ Type inconnu",IF($L849="Crédit","",IFERROR(INDEX('Paramètres'!$O:$O,MATCH($D849,'Paramètres'!$M:$M,0))&amp;"",""))))</f>
        <v>Dépense Fixe</v>
      </c>
      <c r="N849" s="6" t="str">
        <f>IF($D849="","",IFERROR(INDEX('Paramètres'!$Q:$Q,MATCH($D849,'Paramètres'!$M:$M,0))&amp;"",""))</f>
        <v>Assurances</v>
      </c>
      <c r="O849" s="6">
        <f>IF($A849="","",IF(OR($J849&lt;&gt;"x",$A849&lt;=FinReleve),1,0))</f>
        <v>1</v>
      </c>
      <c r="P849" s="6">
        <f>IF($D849="","",IF(AND($L849="Crédit",OR(IFERROR(INDEX('Paramètres'!$O:$O,MATCH($D849,'Paramètres'!$M:$M,0))&amp;"","")&lt;&gt;"",ISNUMBER(SEARCH("remboursement",IFERROR(INDEX('Paramètres'!$N:$N,MATCH($D849,'Paramètres'!$M:$M,0))&amp;"",""))))),1,0))</f>
        <v>0</v>
      </c>
      <c r="Q849" s="6">
        <f>IF($K849="","",IF(ISNUMBER(SEARCH("transfert-interne",IFERROR(INDEX('Paramètres'!$N:$N,MATCH($D849,'Paramètres'!$M:$M,0))&amp;"",""))),0,IF($L849="Débit",$K849,IF($P849=1,-$K849,0))))</f>
        <v>31.2</v>
      </c>
      <c r="R849" s="6">
        <f>IF($K849="","",IF($L849="Crédit",$K849,-$K849))</f>
        <v>-31.2</v>
      </c>
      <c r="S849" s="6" t="str">
        <f>IF($C849="","",IFERROR(INDEX('Paramètres'!$H:$H,MATCH($C849,'Paramètres'!$D:$D,0))&amp;"",""))</f>
        <v>Banque A - Courant</v>
      </c>
      <c r="T849" s="6">
        <f>IF($K849="","",IF($S849="",0,IF(ISNUMBER(SEARCH("apport-exterieur",IFERROR(INDEX('Paramètres'!$N:$N,MATCH($D849,'Paramètres'!$M:$M,0))&amp;"",""))),0,IF(OR(IFERROR(INDEX('Paramètres'!$I:$I,MATCH($C849,'Paramètres'!$D:$D,0))&amp;"","")="Les deux",IFERROR(INDEX('Paramètres'!$I:$I,MATCH($C849,'Paramètres'!$D:$D,0))&amp;"","")=IF($P849=1,"Débit",$L849)),-IF($P849=1,-$K849,$K849),0))))</f>
        <v>0</v>
      </c>
      <c r="U849" s="6">
        <f>IF($K849="","",IF(ISNUMBER(SEARCH("sortie-epargne",IFERROR(INDEX('Paramètres'!$N:$N,MATCH($D849,'Paramètres'!$M:$M,0))&amp;"",""))),$K849,0))</f>
        <v>0</v>
      </c>
      <c r="V849" s="6" t="str">
        <f>IF(AND($A849&lt;&gt;"",$O849=1,$L849="Débit",N($Q849)&gt;0,$A849&gt;=Visualisation!$B$1,$A849&lt;Visualisation!$D$1),MAX($V$1:V848)+1,"")</f>
        <v/>
      </c>
    </row>
    <row r="850" spans="1:22" x14ac:dyDescent="0.25">
      <c r="A850" s="9">
        <v>46147</v>
      </c>
      <c r="B850" s="4" t="s">
        <v>76</v>
      </c>
      <c r="C850" s="4" t="s">
        <v>67</v>
      </c>
      <c r="D850" s="4" t="s">
        <v>77</v>
      </c>
      <c r="E850" s="10">
        <v>88.2</v>
      </c>
      <c r="G850" s="4" t="s">
        <v>102</v>
      </c>
      <c r="H850" s="4"/>
      <c r="I850" s="4" t="s">
        <v>63</v>
      </c>
      <c r="K850" s="11">
        <f>IF($E850="","",ROUND($E850*IF(ISNA(MATCH($C850,'Paramètres'!$D:$D,0)),1,IF(INDEX('Paramètres'!$J:$J,MATCH($C850,'Paramètres'!$D:$D,0))="",1,INDEX('Paramètres'!$J:$J,MATCH($C850,'Paramètres'!$D:$D,0)))),2))</f>
        <v>44.1</v>
      </c>
      <c r="L850" s="6" t="str">
        <f>IF($D850="","",IF($F850&lt;&gt;"",$F850,IF(ISNA(MATCH($D850,'Paramètres'!$M:$M,0)),"⚠ Type inconnu",IFERROR(INDEX('Paramètres'!$P:$P,MATCH($D850,'Paramètres'!$M:$M,0))&amp;"",""))))</f>
        <v>Débit</v>
      </c>
      <c r="M850" s="6" t="str">
        <f>IF($D850="","",IF(ISNA(MATCH($D850,'Paramètres'!$M:$M,0)),"⚠ Type inconnu",IF($L850="Crédit","",IFERROR(INDEX('Paramètres'!$O:$O,MATCH($D850,'Paramètres'!$M:$M,0))&amp;"",""))))</f>
        <v>Dépense Courante</v>
      </c>
      <c r="N850" s="6" t="str">
        <f>IF($D850="","",IFERROR(INDEX('Paramètres'!$Q:$Q,MATCH($D850,'Paramètres'!$M:$M,0))&amp;"",""))</f>
        <v>Alimentation</v>
      </c>
      <c r="O850" s="6">
        <f>IF($A850="","",IF(OR($J850&lt;&gt;"x",$A850&lt;=FinReleve),1,0))</f>
        <v>1</v>
      </c>
      <c r="P850" s="6">
        <f>IF($D850="","",IF(AND($L850="Crédit",OR(IFERROR(INDEX('Paramètres'!$O:$O,MATCH($D850,'Paramètres'!$M:$M,0))&amp;"","")&lt;&gt;"",ISNUMBER(SEARCH("remboursement",IFERROR(INDEX('Paramètres'!$N:$N,MATCH($D850,'Paramètres'!$M:$M,0))&amp;"",""))))),1,0))</f>
        <v>0</v>
      </c>
      <c r="Q850" s="6">
        <f>IF($K850="","",IF(ISNUMBER(SEARCH("transfert-interne",IFERROR(INDEX('Paramètres'!$N:$N,MATCH($D850,'Paramètres'!$M:$M,0))&amp;"",""))),0,IF($L850="Débit",$K850,IF($P850=1,-$K850,0))))</f>
        <v>44.1</v>
      </c>
      <c r="R850" s="6">
        <f>IF($K850="","",IF($L850="Crédit",$K850,-$K850))</f>
        <v>-44.1</v>
      </c>
      <c r="S850" s="6" t="str">
        <f>IF($C850="","",IFERROR(INDEX('Paramètres'!$H:$H,MATCH($C850,'Paramètres'!$D:$D,0))&amp;"",""))</f>
        <v>Banque A - Courant</v>
      </c>
      <c r="T850" s="6">
        <f>IF($K850="","",IF($S850="",0,IF(ISNUMBER(SEARCH("apport-exterieur",IFERROR(INDEX('Paramètres'!$N:$N,MATCH($D850,'Paramètres'!$M:$M,0))&amp;"",""))),0,IF(OR(IFERROR(INDEX('Paramètres'!$I:$I,MATCH($C850,'Paramètres'!$D:$D,0))&amp;"","")="Les deux",IFERROR(INDEX('Paramètres'!$I:$I,MATCH($C850,'Paramètres'!$D:$D,0))&amp;"","")=IF($P850=1,"Débit",$L850)),-IF($P850=1,-$K850,$K850),0))))</f>
        <v>0</v>
      </c>
      <c r="U850" s="6">
        <f>IF($K850="","",IF(ISNUMBER(SEARCH("sortie-epargne",IFERROR(INDEX('Paramètres'!$N:$N,MATCH($D850,'Paramètres'!$M:$M,0))&amp;"",""))),$K850,0))</f>
        <v>0</v>
      </c>
      <c r="V850" s="6" t="str">
        <f>IF(AND($A850&lt;&gt;"",$O850=1,$L850="Débit",N($Q850)&gt;0,$A850&gt;=Visualisation!$B$1,$A850&lt;Visualisation!$D$1),MAX($V$1:V849)+1,"")</f>
        <v/>
      </c>
    </row>
    <row r="851" spans="1:22" x14ac:dyDescent="0.25">
      <c r="A851" s="9">
        <v>46147</v>
      </c>
      <c r="B851" s="4" t="s">
        <v>76</v>
      </c>
      <c r="C851" s="4" t="s">
        <v>60</v>
      </c>
      <c r="D851" s="4" t="s">
        <v>77</v>
      </c>
      <c r="E851" s="10">
        <v>190.74</v>
      </c>
      <c r="G851" s="4" t="s">
        <v>102</v>
      </c>
      <c r="H851" s="4"/>
      <c r="I851" s="4" t="s">
        <v>73</v>
      </c>
      <c r="K851" s="11">
        <f>IF($E851="","",ROUND($E851*IF(ISNA(MATCH($C851,'Paramètres'!$D:$D,0)),1,IF(INDEX('Paramètres'!$J:$J,MATCH($C851,'Paramètres'!$D:$D,0))="",1,INDEX('Paramètres'!$J:$J,MATCH($C851,'Paramètres'!$D:$D,0)))),2))</f>
        <v>95.37</v>
      </c>
      <c r="L851" s="6" t="str">
        <f>IF($D851="","",IF($F851&lt;&gt;"",$F851,IF(ISNA(MATCH($D851,'Paramètres'!$M:$M,0)),"⚠ Type inconnu",IFERROR(INDEX('Paramètres'!$P:$P,MATCH($D851,'Paramètres'!$M:$M,0))&amp;"",""))))</f>
        <v>Débit</v>
      </c>
      <c r="M851" s="6" t="str">
        <f>IF($D851="","",IF(ISNA(MATCH($D851,'Paramètres'!$M:$M,0)),"⚠ Type inconnu",IF($L851="Crédit","",IFERROR(INDEX('Paramètres'!$O:$O,MATCH($D851,'Paramètres'!$M:$M,0))&amp;"",""))))</f>
        <v>Dépense Courante</v>
      </c>
      <c r="N851" s="6" t="str">
        <f>IF($D851="","",IFERROR(INDEX('Paramètres'!$Q:$Q,MATCH($D851,'Paramètres'!$M:$M,0))&amp;"",""))</f>
        <v>Alimentation</v>
      </c>
      <c r="O851" s="6">
        <f>IF($A851="","",IF(OR($J851&lt;&gt;"x",$A851&lt;=FinReleve),1,0))</f>
        <v>1</v>
      </c>
      <c r="P851" s="6">
        <f>IF($D851="","",IF(AND($L851="Crédit",OR(IFERROR(INDEX('Paramètres'!$O:$O,MATCH($D851,'Paramètres'!$M:$M,0))&amp;"","")&lt;&gt;"",ISNUMBER(SEARCH("remboursement",IFERROR(INDEX('Paramètres'!$N:$N,MATCH($D851,'Paramètres'!$M:$M,0))&amp;"",""))))),1,0))</f>
        <v>0</v>
      </c>
      <c r="Q851" s="6">
        <f>IF($K851="","",IF(ISNUMBER(SEARCH("transfert-interne",IFERROR(INDEX('Paramètres'!$N:$N,MATCH($D851,'Paramètres'!$M:$M,0))&amp;"",""))),0,IF($L851="Débit",$K851,IF($P851=1,-$K851,0))))</f>
        <v>95.37</v>
      </c>
      <c r="R851" s="6">
        <f>IF($K851="","",IF($L851="Crédit",$K851,-$K851))</f>
        <v>-95.37</v>
      </c>
      <c r="S851" s="6" t="str">
        <f>IF($C851="","",IFERROR(INDEX('Paramètres'!$H:$H,MATCH($C851,'Paramètres'!$D:$D,0))&amp;"",""))</f>
        <v>Banque A - Courant</v>
      </c>
      <c r="T851" s="6">
        <f>IF($K851="","",IF($S851="",0,IF(ISNUMBER(SEARCH("apport-exterieur",IFERROR(INDEX('Paramètres'!$N:$N,MATCH($D851,'Paramètres'!$M:$M,0))&amp;"",""))),0,IF(OR(IFERROR(INDEX('Paramètres'!$I:$I,MATCH($C851,'Paramètres'!$D:$D,0))&amp;"","")="Les deux",IFERROR(INDEX('Paramètres'!$I:$I,MATCH($C851,'Paramètres'!$D:$D,0))&amp;"","")=IF($P851=1,"Débit",$L851)),-IF($P851=1,-$K851,$K851),0))))</f>
        <v>-95.37</v>
      </c>
      <c r="U851" s="6">
        <f>IF($K851="","",IF(ISNUMBER(SEARCH("sortie-epargne",IFERROR(INDEX('Paramètres'!$N:$N,MATCH($D851,'Paramètres'!$M:$M,0))&amp;"",""))),$K851,0))</f>
        <v>0</v>
      </c>
      <c r="V851" s="6" t="str">
        <f>IF(AND($A851&lt;&gt;"",$O851=1,$L851="Débit",N($Q851)&gt;0,$A851&gt;=Visualisation!$B$1,$A851&lt;Visualisation!$D$1),MAX($V$1:V850)+1,"")</f>
        <v/>
      </c>
    </row>
    <row r="852" spans="1:22" x14ac:dyDescent="0.25">
      <c r="A852" s="9">
        <v>46148</v>
      </c>
      <c r="B852" s="4" t="s">
        <v>89</v>
      </c>
      <c r="C852" s="4" t="s">
        <v>75</v>
      </c>
      <c r="D852" s="4" t="s">
        <v>89</v>
      </c>
      <c r="E852" s="10">
        <v>49.9</v>
      </c>
      <c r="G852" s="4"/>
      <c r="H852" s="4"/>
      <c r="I852" s="4"/>
      <c r="K852" s="11">
        <f>IF($E852="","",ROUND($E852*IF(ISNA(MATCH($C852,'Paramètres'!$D:$D,0)),1,IF(INDEX('Paramètres'!$J:$J,MATCH($C852,'Paramètres'!$D:$D,0))="",1,INDEX('Paramètres'!$J:$J,MATCH($C852,'Paramètres'!$D:$D,0)))),2))</f>
        <v>49.9</v>
      </c>
      <c r="L852" s="6" t="str">
        <f>IF($D852="","",IF($F852&lt;&gt;"",$F852,IF(ISNA(MATCH($D852,'Paramètres'!$M:$M,0)),"⚠ Type inconnu",IFERROR(INDEX('Paramètres'!$P:$P,MATCH($D852,'Paramètres'!$M:$M,0))&amp;"",""))))</f>
        <v>Débit</v>
      </c>
      <c r="M852" s="6" t="str">
        <f>IF($D852="","",IF(ISNA(MATCH($D852,'Paramètres'!$M:$M,0)),"⚠ Type inconnu",IF($L852="Crédit","",IFERROR(INDEX('Paramètres'!$O:$O,MATCH($D852,'Paramètres'!$M:$M,0))&amp;"",""))))</f>
        <v>Dépense Fixe</v>
      </c>
      <c r="N852" s="6" t="str">
        <f>IF($D852="","",IFERROR(INDEX('Paramètres'!$Q:$Q,MATCH($D852,'Paramètres'!$M:$M,0))&amp;"",""))</f>
        <v>Autre</v>
      </c>
      <c r="O852" s="6">
        <f>IF($A852="","",IF(OR($J852&lt;&gt;"x",$A852&lt;=FinReleve),1,0))</f>
        <v>1</v>
      </c>
      <c r="P852" s="6">
        <f>IF($D852="","",IF(AND($L852="Crédit",OR(IFERROR(INDEX('Paramètres'!$O:$O,MATCH($D852,'Paramètres'!$M:$M,0))&amp;"","")&lt;&gt;"",ISNUMBER(SEARCH("remboursement",IFERROR(INDEX('Paramètres'!$N:$N,MATCH($D852,'Paramètres'!$M:$M,0))&amp;"",""))))),1,0))</f>
        <v>0</v>
      </c>
      <c r="Q852" s="6">
        <f>IF($K852="","",IF(ISNUMBER(SEARCH("transfert-interne",IFERROR(INDEX('Paramètres'!$N:$N,MATCH($D852,'Paramètres'!$M:$M,0))&amp;"",""))),0,IF($L852="Débit",$K852,IF($P852=1,-$K852,0))))</f>
        <v>49.9</v>
      </c>
      <c r="R852" s="6">
        <f>IF($K852="","",IF($L852="Crédit",$K852,-$K852))</f>
        <v>-49.9</v>
      </c>
      <c r="S852" s="6" t="str">
        <f>IF($C852="","",IFERROR(INDEX('Paramètres'!$H:$H,MATCH($C852,'Paramètres'!$D:$D,0))&amp;"",""))</f>
        <v/>
      </c>
      <c r="T852" s="6">
        <f>IF($K852="","",IF($S852="",0,IF(ISNUMBER(SEARCH("apport-exterieur",IFERROR(INDEX('Paramètres'!$N:$N,MATCH($D852,'Paramètres'!$M:$M,0))&amp;"",""))),0,IF(OR(IFERROR(INDEX('Paramètres'!$I:$I,MATCH($C852,'Paramètres'!$D:$D,0))&amp;"","")="Les deux",IFERROR(INDEX('Paramètres'!$I:$I,MATCH($C852,'Paramètres'!$D:$D,0))&amp;"","")=IF($P852=1,"Débit",$L852)),-IF($P852=1,-$K852,$K852),0))))</f>
        <v>0</v>
      </c>
      <c r="U852" s="6">
        <f>IF($K852="","",IF(ISNUMBER(SEARCH("sortie-epargne",IFERROR(INDEX('Paramètres'!$N:$N,MATCH($D852,'Paramètres'!$M:$M,0))&amp;"",""))),$K852,0))</f>
        <v>0</v>
      </c>
      <c r="V852" s="6" t="str">
        <f>IF(AND($A852&lt;&gt;"",$O852=1,$L852="Débit",N($Q852)&gt;0,$A852&gt;=Visualisation!$B$1,$A852&lt;Visualisation!$D$1),MAX($V$1:V851)+1,"")</f>
        <v/>
      </c>
    </row>
    <row r="853" spans="1:22" x14ac:dyDescent="0.25">
      <c r="A853" s="9">
        <v>46150</v>
      </c>
      <c r="B853" s="4" t="s">
        <v>94</v>
      </c>
      <c r="C853" s="4" t="s">
        <v>65</v>
      </c>
      <c r="D853" s="4" t="s">
        <v>94</v>
      </c>
      <c r="E853" s="10">
        <v>168</v>
      </c>
      <c r="G853" s="4"/>
      <c r="H853" s="4"/>
      <c r="I853" s="4"/>
      <c r="K853" s="11">
        <f>IF($E853="","",ROUND($E853*IF(ISNA(MATCH($C853,'Paramètres'!$D:$D,0)),1,IF(INDEX('Paramètres'!$J:$J,MATCH($C853,'Paramètres'!$D:$D,0))="",1,INDEX('Paramètres'!$J:$J,MATCH($C853,'Paramètres'!$D:$D,0)))),2))</f>
        <v>168</v>
      </c>
      <c r="L853" s="6" t="str">
        <f>IF($D853="","",IF($F853&lt;&gt;"",$F853,IF(ISNA(MATCH($D853,'Paramètres'!$M:$M,0)),"⚠ Type inconnu",IFERROR(INDEX('Paramètres'!$P:$P,MATCH($D853,'Paramètres'!$M:$M,0))&amp;"",""))))</f>
        <v>Débit</v>
      </c>
      <c r="M853" s="6" t="str">
        <f>IF($D853="","",IF(ISNA(MATCH($D853,'Paramètres'!$M:$M,0)),"⚠ Type inconnu",IF($L853="Crédit","",IFERROR(INDEX('Paramètres'!$O:$O,MATCH($D853,'Paramètres'!$M:$M,0))&amp;"",""))))</f>
        <v>Dépense Fixe</v>
      </c>
      <c r="N853" s="6" t="str">
        <f>IF($D853="","",IFERROR(INDEX('Paramètres'!$Q:$Q,MATCH($D853,'Paramètres'!$M:$M,0))&amp;"",""))</f>
        <v>Immobilier</v>
      </c>
      <c r="O853" s="6">
        <f>IF($A853="","",IF(OR($J853&lt;&gt;"x",$A853&lt;=FinReleve),1,0))</f>
        <v>1</v>
      </c>
      <c r="P853" s="6">
        <f>IF($D853="","",IF(AND($L853="Crédit",OR(IFERROR(INDEX('Paramètres'!$O:$O,MATCH($D853,'Paramètres'!$M:$M,0))&amp;"","")&lt;&gt;"",ISNUMBER(SEARCH("remboursement",IFERROR(INDEX('Paramètres'!$N:$N,MATCH($D853,'Paramètres'!$M:$M,0))&amp;"",""))))),1,0))</f>
        <v>0</v>
      </c>
      <c r="Q853" s="6">
        <f>IF($K853="","",IF(ISNUMBER(SEARCH("transfert-interne",IFERROR(INDEX('Paramètres'!$N:$N,MATCH($D853,'Paramètres'!$M:$M,0))&amp;"",""))),0,IF($L853="Débit",$K853,IF($P853=1,-$K853,0))))</f>
        <v>168</v>
      </c>
      <c r="R853" s="6">
        <f>IF($K853="","",IF($L853="Crédit",$K853,-$K853))</f>
        <v>-168</v>
      </c>
      <c r="S853" s="6" t="str">
        <f>IF($C853="","",IFERROR(INDEX('Paramètres'!$H:$H,MATCH($C853,'Paramètres'!$D:$D,0))&amp;"",""))</f>
        <v>Banque A - Courant</v>
      </c>
      <c r="T853" s="6">
        <f>IF($K853="","",IF($S853="",0,IF(ISNUMBER(SEARCH("apport-exterieur",IFERROR(INDEX('Paramètres'!$N:$N,MATCH($D853,'Paramètres'!$M:$M,0))&amp;"",""))),0,IF(OR(IFERROR(INDEX('Paramètres'!$I:$I,MATCH($C853,'Paramètres'!$D:$D,0))&amp;"","")="Les deux",IFERROR(INDEX('Paramètres'!$I:$I,MATCH($C853,'Paramètres'!$D:$D,0))&amp;"","")=IF($P853=1,"Débit",$L853)),-IF($P853=1,-$K853,$K853),0))))</f>
        <v>0</v>
      </c>
      <c r="U853" s="6">
        <f>IF($K853="","",IF(ISNUMBER(SEARCH("sortie-epargne",IFERROR(INDEX('Paramètres'!$N:$N,MATCH($D853,'Paramètres'!$M:$M,0))&amp;"",""))),$K853,0))</f>
        <v>0</v>
      </c>
      <c r="V853" s="6" t="str">
        <f>IF(AND($A853&lt;&gt;"",$O853=1,$L853="Débit",N($Q853)&gt;0,$A853&gt;=Visualisation!$B$1,$A853&lt;Visualisation!$D$1),MAX($V$1:V852)+1,"")</f>
        <v/>
      </c>
    </row>
    <row r="854" spans="1:22" x14ac:dyDescent="0.25">
      <c r="A854" s="9">
        <v>46152</v>
      </c>
      <c r="B854" s="4" t="s">
        <v>96</v>
      </c>
      <c r="C854" s="4" t="s">
        <v>75</v>
      </c>
      <c r="D854" s="4" t="s">
        <v>96</v>
      </c>
      <c r="E854" s="10">
        <v>22.4</v>
      </c>
      <c r="G854" s="4"/>
      <c r="H854" s="4"/>
      <c r="I854" s="4"/>
      <c r="K854" s="11">
        <f>IF($E854="","",ROUND($E854*IF(ISNA(MATCH($C854,'Paramètres'!$D:$D,0)),1,IF(INDEX('Paramètres'!$J:$J,MATCH($C854,'Paramètres'!$D:$D,0))="",1,INDEX('Paramètres'!$J:$J,MATCH($C854,'Paramètres'!$D:$D,0)))),2))</f>
        <v>22.4</v>
      </c>
      <c r="L854" s="6" t="str">
        <f>IF($D854="","",IF($F854&lt;&gt;"",$F854,IF(ISNA(MATCH($D854,'Paramètres'!$M:$M,0)),"⚠ Type inconnu",IFERROR(INDEX('Paramètres'!$P:$P,MATCH($D854,'Paramètres'!$M:$M,0))&amp;"",""))))</f>
        <v>Débit</v>
      </c>
      <c r="M854" s="6" t="str">
        <f>IF($D854="","",IF(ISNA(MATCH($D854,'Paramètres'!$M:$M,0)),"⚠ Type inconnu",IF($L854="Crédit","",IFERROR(INDEX('Paramètres'!$O:$O,MATCH($D854,'Paramètres'!$M:$M,0))&amp;"",""))))</f>
        <v>Dépense Fixe</v>
      </c>
      <c r="N854" s="6" t="str">
        <f>IF($D854="","",IFERROR(INDEX('Paramètres'!$Q:$Q,MATCH($D854,'Paramètres'!$M:$M,0))&amp;"",""))</f>
        <v>Assurances</v>
      </c>
      <c r="O854" s="6">
        <f>IF($A854="","",IF(OR($J854&lt;&gt;"x",$A854&lt;=FinReleve),1,0))</f>
        <v>1</v>
      </c>
      <c r="P854" s="6">
        <f>IF($D854="","",IF(AND($L854="Crédit",OR(IFERROR(INDEX('Paramètres'!$O:$O,MATCH($D854,'Paramètres'!$M:$M,0))&amp;"","")&lt;&gt;"",ISNUMBER(SEARCH("remboursement",IFERROR(INDEX('Paramètres'!$N:$N,MATCH($D854,'Paramètres'!$M:$M,0))&amp;"",""))))),1,0))</f>
        <v>0</v>
      </c>
      <c r="Q854" s="6">
        <f>IF($K854="","",IF(ISNUMBER(SEARCH("transfert-interne",IFERROR(INDEX('Paramètres'!$N:$N,MATCH($D854,'Paramètres'!$M:$M,0))&amp;"",""))),0,IF($L854="Débit",$K854,IF($P854=1,-$K854,0))))</f>
        <v>22.4</v>
      </c>
      <c r="R854" s="6">
        <f>IF($K854="","",IF($L854="Crédit",$K854,-$K854))</f>
        <v>-22.4</v>
      </c>
      <c r="S854" s="6" t="str">
        <f>IF($C854="","",IFERROR(INDEX('Paramètres'!$H:$H,MATCH($C854,'Paramètres'!$D:$D,0))&amp;"",""))</f>
        <v/>
      </c>
      <c r="T854" s="6">
        <f>IF($K854="","",IF($S854="",0,IF(ISNUMBER(SEARCH("apport-exterieur",IFERROR(INDEX('Paramètres'!$N:$N,MATCH($D854,'Paramètres'!$M:$M,0))&amp;"",""))),0,IF(OR(IFERROR(INDEX('Paramètres'!$I:$I,MATCH($C854,'Paramètres'!$D:$D,0))&amp;"","")="Les deux",IFERROR(INDEX('Paramètres'!$I:$I,MATCH($C854,'Paramètres'!$D:$D,0))&amp;"","")=IF($P854=1,"Débit",$L854)),-IF($P854=1,-$K854,$K854),0))))</f>
        <v>0</v>
      </c>
      <c r="U854" s="6">
        <f>IF($K854="","",IF(ISNUMBER(SEARCH("sortie-epargne",IFERROR(INDEX('Paramètres'!$N:$N,MATCH($D854,'Paramètres'!$M:$M,0))&amp;"",""))),$K854,0))</f>
        <v>0</v>
      </c>
      <c r="V854" s="6" t="str">
        <f>IF(AND($A854&lt;&gt;"",$O854=1,$L854="Débit",N($Q854)&gt;0,$A854&gt;=Visualisation!$B$1,$A854&lt;Visualisation!$D$1),MAX($V$1:V853)+1,"")</f>
        <v/>
      </c>
    </row>
    <row r="855" spans="1:22" x14ac:dyDescent="0.25">
      <c r="A855" s="9">
        <v>46152</v>
      </c>
      <c r="B855" s="4" t="s">
        <v>59</v>
      </c>
      <c r="C855" s="4" t="s">
        <v>60</v>
      </c>
      <c r="D855" s="4" t="s">
        <v>59</v>
      </c>
      <c r="E855" s="10">
        <v>104.3</v>
      </c>
      <c r="G855" s="4" t="s">
        <v>99</v>
      </c>
      <c r="H855" s="4"/>
      <c r="I855" s="4" t="s">
        <v>73</v>
      </c>
      <c r="K855" s="11">
        <f>IF($E855="","",ROUND($E855*IF(ISNA(MATCH($C855,'Paramètres'!$D:$D,0)),1,IF(INDEX('Paramètres'!$J:$J,MATCH($C855,'Paramètres'!$D:$D,0))="",1,INDEX('Paramètres'!$J:$J,MATCH($C855,'Paramètres'!$D:$D,0)))),2))</f>
        <v>52.15</v>
      </c>
      <c r="L855" s="6" t="str">
        <f>IF($D855="","",IF($F855&lt;&gt;"",$F855,IF(ISNA(MATCH($D855,'Paramètres'!$M:$M,0)),"⚠ Type inconnu",IFERROR(INDEX('Paramètres'!$P:$P,MATCH($D855,'Paramètres'!$M:$M,0))&amp;"",""))))</f>
        <v>Débit</v>
      </c>
      <c r="M855" s="6" t="str">
        <f>IF($D855="","",IF(ISNA(MATCH($D855,'Paramètres'!$M:$M,0)),"⚠ Type inconnu",IF($L855="Crédit","",IFERROR(INDEX('Paramètres'!$O:$O,MATCH($D855,'Paramètres'!$M:$M,0))&amp;"",""))))</f>
        <v>Dépense Occasionnelle</v>
      </c>
      <c r="N855" s="6" t="str">
        <f>IF($D855="","",IFERROR(INDEX('Paramètres'!$Q:$Q,MATCH($D855,'Paramètres'!$M:$M,0))&amp;"",""))</f>
        <v>Loisir</v>
      </c>
      <c r="O855" s="6">
        <f>IF($A855="","",IF(OR($J855&lt;&gt;"x",$A855&lt;=FinReleve),1,0))</f>
        <v>1</v>
      </c>
      <c r="P855" s="6">
        <f>IF($D855="","",IF(AND($L855="Crédit",OR(IFERROR(INDEX('Paramètres'!$O:$O,MATCH($D855,'Paramètres'!$M:$M,0))&amp;"","")&lt;&gt;"",ISNUMBER(SEARCH("remboursement",IFERROR(INDEX('Paramètres'!$N:$N,MATCH($D855,'Paramètres'!$M:$M,0))&amp;"",""))))),1,0))</f>
        <v>0</v>
      </c>
      <c r="Q855" s="6">
        <f>IF($K855="","",IF(ISNUMBER(SEARCH("transfert-interne",IFERROR(INDEX('Paramètres'!$N:$N,MATCH($D855,'Paramètres'!$M:$M,0))&amp;"",""))),0,IF($L855="Débit",$K855,IF($P855=1,-$K855,0))))</f>
        <v>52.15</v>
      </c>
      <c r="R855" s="6">
        <f>IF($K855="","",IF($L855="Crédit",$K855,-$K855))</f>
        <v>-52.15</v>
      </c>
      <c r="S855" s="6" t="str">
        <f>IF($C855="","",IFERROR(INDEX('Paramètres'!$H:$H,MATCH($C855,'Paramètres'!$D:$D,0))&amp;"",""))</f>
        <v>Banque A - Courant</v>
      </c>
      <c r="T855" s="6">
        <f>IF($K855="","",IF($S855="",0,IF(ISNUMBER(SEARCH("apport-exterieur",IFERROR(INDEX('Paramètres'!$N:$N,MATCH($D855,'Paramètres'!$M:$M,0))&amp;"",""))),0,IF(OR(IFERROR(INDEX('Paramètres'!$I:$I,MATCH($C855,'Paramètres'!$D:$D,0))&amp;"","")="Les deux",IFERROR(INDEX('Paramètres'!$I:$I,MATCH($C855,'Paramètres'!$D:$D,0))&amp;"","")=IF($P855=1,"Débit",$L855)),-IF($P855=1,-$K855,$K855),0))))</f>
        <v>-52.15</v>
      </c>
      <c r="U855" s="6">
        <f>IF($K855="","",IF(ISNUMBER(SEARCH("sortie-epargne",IFERROR(INDEX('Paramètres'!$N:$N,MATCH($D855,'Paramètres'!$M:$M,0))&amp;"",""))),$K855,0))</f>
        <v>0</v>
      </c>
      <c r="V855" s="6" t="str">
        <f>IF(AND($A855&lt;&gt;"",$O855=1,$L855="Débit",N($Q855)&gt;0,$A855&gt;=Visualisation!$B$1,$A855&lt;Visualisation!$D$1),MAX($V$1:V854)+1,"")</f>
        <v/>
      </c>
    </row>
    <row r="856" spans="1:22" x14ac:dyDescent="0.25">
      <c r="A856" s="9">
        <v>46153</v>
      </c>
      <c r="B856" s="4" t="s">
        <v>69</v>
      </c>
      <c r="C856" s="4" t="s">
        <v>70</v>
      </c>
      <c r="D856" s="4" t="s">
        <v>71</v>
      </c>
      <c r="E856" s="10">
        <v>13.9</v>
      </c>
      <c r="G856" s="4" t="s">
        <v>72</v>
      </c>
      <c r="H856" s="4"/>
      <c r="I856" s="4"/>
      <c r="K856" s="11">
        <f>IF($E856="","",ROUND($E856*IF(ISNA(MATCH($C856,'Paramètres'!$D:$D,0)),1,IF(INDEX('Paramètres'!$J:$J,MATCH($C856,'Paramètres'!$D:$D,0))="",1,INDEX('Paramètres'!$J:$J,MATCH($C856,'Paramètres'!$D:$D,0)))),2))</f>
        <v>13.9</v>
      </c>
      <c r="L856" s="6" t="str">
        <f>IF($D856="","",IF($F856&lt;&gt;"",$F856,IF(ISNA(MATCH($D856,'Paramètres'!$M:$M,0)),"⚠ Type inconnu",IFERROR(INDEX('Paramètres'!$P:$P,MATCH($D856,'Paramètres'!$M:$M,0))&amp;"",""))))</f>
        <v>Débit</v>
      </c>
      <c r="M856" s="6" t="str">
        <f>IF($D856="","",IF(ISNA(MATCH($D856,'Paramètres'!$M:$M,0)),"⚠ Type inconnu",IF($L856="Crédit","",IFERROR(INDEX('Paramètres'!$O:$O,MATCH($D856,'Paramètres'!$M:$M,0))&amp;"",""))))</f>
        <v>Dépense Courante</v>
      </c>
      <c r="N856" s="6" t="str">
        <f>IF($D856="","",IFERROR(INDEX('Paramètres'!$Q:$Q,MATCH($D856,'Paramètres'!$M:$M,0))&amp;"",""))</f>
        <v>Alimentation</v>
      </c>
      <c r="O856" s="6">
        <f>IF($A856="","",IF(OR($J856&lt;&gt;"x",$A856&lt;=FinReleve),1,0))</f>
        <v>1</v>
      </c>
      <c r="P856" s="6">
        <f>IF($D856="","",IF(AND($L856="Crédit",OR(IFERROR(INDEX('Paramètres'!$O:$O,MATCH($D856,'Paramètres'!$M:$M,0))&amp;"","")&lt;&gt;"",ISNUMBER(SEARCH("remboursement",IFERROR(INDEX('Paramètres'!$N:$N,MATCH($D856,'Paramètres'!$M:$M,0))&amp;"",""))))),1,0))</f>
        <v>0</v>
      </c>
      <c r="Q856" s="6">
        <f>IF($K856="","",IF(ISNUMBER(SEARCH("transfert-interne",IFERROR(INDEX('Paramètres'!$N:$N,MATCH($D856,'Paramètres'!$M:$M,0))&amp;"",""))),0,IF($L856="Débit",$K856,IF($P856=1,-$K856,0))))</f>
        <v>13.9</v>
      </c>
      <c r="R856" s="6">
        <f>IF($K856="","",IF($L856="Crédit",$K856,-$K856))</f>
        <v>-13.9</v>
      </c>
      <c r="S856" s="6" t="str">
        <f>IF($C856="","",IFERROR(INDEX('Paramètres'!$H:$H,MATCH($C856,'Paramètres'!$D:$D,0))&amp;"",""))</f>
        <v/>
      </c>
      <c r="T856" s="6">
        <f>IF($K856="","",IF($S856="",0,IF(ISNUMBER(SEARCH("apport-exterieur",IFERROR(INDEX('Paramètres'!$N:$N,MATCH($D856,'Paramètres'!$M:$M,0))&amp;"",""))),0,IF(OR(IFERROR(INDEX('Paramètres'!$I:$I,MATCH($C856,'Paramètres'!$D:$D,0))&amp;"","")="Les deux",IFERROR(INDEX('Paramètres'!$I:$I,MATCH($C856,'Paramètres'!$D:$D,0))&amp;"","")=IF($P856=1,"Débit",$L856)),-IF($P856=1,-$K856,$K856),0))))</f>
        <v>0</v>
      </c>
      <c r="U856" s="6">
        <f>IF($K856="","",IF(ISNUMBER(SEARCH("sortie-epargne",IFERROR(INDEX('Paramètres'!$N:$N,MATCH($D856,'Paramètres'!$M:$M,0))&amp;"",""))),$K856,0))</f>
        <v>0</v>
      </c>
      <c r="V856" s="6" t="str">
        <f>IF(AND($A856&lt;&gt;"",$O856=1,$L856="Débit",N($Q856)&gt;0,$A856&gt;=Visualisation!$B$1,$A856&lt;Visualisation!$D$1),MAX($V$1:V855)+1,"")</f>
        <v/>
      </c>
    </row>
    <row r="857" spans="1:22" x14ac:dyDescent="0.25">
      <c r="A857" s="9">
        <v>46153</v>
      </c>
      <c r="B857" s="4" t="s">
        <v>90</v>
      </c>
      <c r="C857" s="4" t="s">
        <v>75</v>
      </c>
      <c r="D857" s="4" t="s">
        <v>91</v>
      </c>
      <c r="E857" s="10">
        <v>77.21</v>
      </c>
      <c r="G857" s="4" t="s">
        <v>136</v>
      </c>
      <c r="H857" s="4"/>
      <c r="I857" s="4" t="s">
        <v>73</v>
      </c>
      <c r="K857" s="11">
        <f>IF($E857="","",ROUND($E857*IF(ISNA(MATCH($C857,'Paramètres'!$D:$D,0)),1,IF(INDEX('Paramètres'!$J:$J,MATCH($C857,'Paramètres'!$D:$D,0))="",1,INDEX('Paramètres'!$J:$J,MATCH($C857,'Paramètres'!$D:$D,0)))),2))</f>
        <v>77.21</v>
      </c>
      <c r="L857" s="6" t="str">
        <f>IF($D857="","",IF($F857&lt;&gt;"",$F857,IF(ISNA(MATCH($D857,'Paramètres'!$M:$M,0)),"⚠ Type inconnu",IFERROR(INDEX('Paramètres'!$P:$P,MATCH($D857,'Paramètres'!$M:$M,0))&amp;"",""))))</f>
        <v>Débit</v>
      </c>
      <c r="M857" s="6" t="str">
        <f>IF($D857="","",IF(ISNA(MATCH($D857,'Paramètres'!$M:$M,0)),"⚠ Type inconnu",IF($L857="Crédit","",IFERROR(INDEX('Paramètres'!$O:$O,MATCH($D857,'Paramètres'!$M:$M,0))&amp;"",""))))</f>
        <v>Dépense Courante</v>
      </c>
      <c r="N857" s="6" t="str">
        <f>IF($D857="","",IFERROR(INDEX('Paramètres'!$Q:$Q,MATCH($D857,'Paramètres'!$M:$M,0))&amp;"",""))</f>
        <v>Transport</v>
      </c>
      <c r="O857" s="6">
        <f>IF($A857="","",IF(OR($J857&lt;&gt;"x",$A857&lt;=FinReleve),1,0))</f>
        <v>1</v>
      </c>
      <c r="P857" s="6">
        <f>IF($D857="","",IF(AND($L857="Crédit",OR(IFERROR(INDEX('Paramètres'!$O:$O,MATCH($D857,'Paramètres'!$M:$M,0))&amp;"","")&lt;&gt;"",ISNUMBER(SEARCH("remboursement",IFERROR(INDEX('Paramètres'!$N:$N,MATCH($D857,'Paramètres'!$M:$M,0))&amp;"",""))))),1,0))</f>
        <v>0</v>
      </c>
      <c r="Q857" s="6">
        <f>IF($K857="","",IF(ISNUMBER(SEARCH("transfert-interne",IFERROR(INDEX('Paramètres'!$N:$N,MATCH($D857,'Paramètres'!$M:$M,0))&amp;"",""))),0,IF($L857="Débit",$K857,IF($P857=1,-$K857,0))))</f>
        <v>77.21</v>
      </c>
      <c r="R857" s="6">
        <f>IF($K857="","",IF($L857="Crédit",$K857,-$K857))</f>
        <v>-77.21</v>
      </c>
      <c r="S857" s="6" t="str">
        <f>IF($C857="","",IFERROR(INDEX('Paramètres'!$H:$H,MATCH($C857,'Paramètres'!$D:$D,0))&amp;"",""))</f>
        <v/>
      </c>
      <c r="T857" s="6">
        <f>IF($K857="","",IF($S857="",0,IF(ISNUMBER(SEARCH("apport-exterieur",IFERROR(INDEX('Paramètres'!$N:$N,MATCH($D857,'Paramètres'!$M:$M,0))&amp;"",""))),0,IF(OR(IFERROR(INDEX('Paramètres'!$I:$I,MATCH($C857,'Paramètres'!$D:$D,0))&amp;"","")="Les deux",IFERROR(INDEX('Paramètres'!$I:$I,MATCH($C857,'Paramètres'!$D:$D,0))&amp;"","")=IF($P857=1,"Débit",$L857)),-IF($P857=1,-$K857,$K857),0))))</f>
        <v>0</v>
      </c>
      <c r="U857" s="6">
        <f>IF($K857="","",IF(ISNUMBER(SEARCH("sortie-epargne",IFERROR(INDEX('Paramètres'!$N:$N,MATCH($D857,'Paramètres'!$M:$M,0))&amp;"",""))),$K857,0))</f>
        <v>0</v>
      </c>
      <c r="V857" s="6" t="str">
        <f>IF(AND($A857&lt;&gt;"",$O857=1,$L857="Débit",N($Q857)&gt;0,$A857&gt;=Visualisation!$B$1,$A857&lt;Visualisation!$D$1),MAX($V$1:V856)+1,"")</f>
        <v/>
      </c>
    </row>
    <row r="858" spans="1:22" x14ac:dyDescent="0.25">
      <c r="A858" s="9">
        <v>46153</v>
      </c>
      <c r="B858" s="4" t="s">
        <v>123</v>
      </c>
      <c r="C858" s="4" t="s">
        <v>75</v>
      </c>
      <c r="D858" s="4" t="s">
        <v>124</v>
      </c>
      <c r="E858" s="10">
        <v>45.79</v>
      </c>
      <c r="G858" s="4" t="s">
        <v>125</v>
      </c>
      <c r="H858" s="4"/>
      <c r="I858" s="4"/>
      <c r="K858" s="11">
        <f>IF($E858="","",ROUND($E858*IF(ISNA(MATCH($C858,'Paramètres'!$D:$D,0)),1,IF(INDEX('Paramètres'!$J:$J,MATCH($C858,'Paramètres'!$D:$D,0))="",1,INDEX('Paramètres'!$J:$J,MATCH($C858,'Paramètres'!$D:$D,0)))),2))</f>
        <v>45.79</v>
      </c>
      <c r="L858" s="6" t="str">
        <f>IF($D858="","",IF($F858&lt;&gt;"",$F858,IF(ISNA(MATCH($D858,'Paramètres'!$M:$M,0)),"⚠ Type inconnu",IFERROR(INDEX('Paramètres'!$P:$P,MATCH($D858,'Paramètres'!$M:$M,0))&amp;"",""))))</f>
        <v>Débit</v>
      </c>
      <c r="M858" s="6" t="str">
        <f>IF($D858="","",IF(ISNA(MATCH($D858,'Paramètres'!$M:$M,0)),"⚠ Type inconnu",IF($L858="Crédit","",IFERROR(INDEX('Paramètres'!$O:$O,MATCH($D858,'Paramètres'!$M:$M,0))&amp;"",""))))</f>
        <v>Dépense Courante</v>
      </c>
      <c r="N858" s="6" t="str">
        <f>IF($D858="","",IFERROR(INDEX('Paramètres'!$Q:$Q,MATCH($D858,'Paramètres'!$M:$M,0))&amp;"",""))</f>
        <v>Habillement</v>
      </c>
      <c r="O858" s="6">
        <f>IF($A858="","",IF(OR($J858&lt;&gt;"x",$A858&lt;=FinReleve),1,0))</f>
        <v>1</v>
      </c>
      <c r="P858" s="6">
        <f>IF($D858="","",IF(AND($L858="Crédit",OR(IFERROR(INDEX('Paramètres'!$O:$O,MATCH($D858,'Paramètres'!$M:$M,0))&amp;"","")&lt;&gt;"",ISNUMBER(SEARCH("remboursement",IFERROR(INDEX('Paramètres'!$N:$N,MATCH($D858,'Paramètres'!$M:$M,0))&amp;"",""))))),1,0))</f>
        <v>0</v>
      </c>
      <c r="Q858" s="6">
        <f>IF($K858="","",IF(ISNUMBER(SEARCH("transfert-interne",IFERROR(INDEX('Paramètres'!$N:$N,MATCH($D858,'Paramètres'!$M:$M,0))&amp;"",""))),0,IF($L858="Débit",$K858,IF($P858=1,-$K858,0))))</f>
        <v>45.79</v>
      </c>
      <c r="R858" s="6">
        <f>IF($K858="","",IF($L858="Crédit",$K858,-$K858))</f>
        <v>-45.79</v>
      </c>
      <c r="S858" s="6" t="str">
        <f>IF($C858="","",IFERROR(INDEX('Paramètres'!$H:$H,MATCH($C858,'Paramètres'!$D:$D,0))&amp;"",""))</f>
        <v/>
      </c>
      <c r="T858" s="6">
        <f>IF($K858="","",IF($S858="",0,IF(ISNUMBER(SEARCH("apport-exterieur",IFERROR(INDEX('Paramètres'!$N:$N,MATCH($D858,'Paramètres'!$M:$M,0))&amp;"",""))),0,IF(OR(IFERROR(INDEX('Paramètres'!$I:$I,MATCH($C858,'Paramètres'!$D:$D,0))&amp;"","")="Les deux",IFERROR(INDEX('Paramètres'!$I:$I,MATCH($C858,'Paramètres'!$D:$D,0))&amp;"","")=IF($P858=1,"Débit",$L858)),-IF($P858=1,-$K858,$K858),0))))</f>
        <v>0</v>
      </c>
      <c r="U858" s="6">
        <f>IF($K858="","",IF(ISNUMBER(SEARCH("sortie-epargne",IFERROR(INDEX('Paramètres'!$N:$N,MATCH($D858,'Paramètres'!$M:$M,0))&amp;"",""))),$K858,0))</f>
        <v>0</v>
      </c>
      <c r="V858" s="6" t="str">
        <f>IF(AND($A858&lt;&gt;"",$O858=1,$L858="Débit",N($Q858)&gt;0,$A858&gt;=Visualisation!$B$1,$A858&lt;Visualisation!$D$1),MAX($V$1:V857)+1,"")</f>
        <v/>
      </c>
    </row>
    <row r="859" spans="1:22" x14ac:dyDescent="0.25">
      <c r="A859" s="9">
        <v>46154</v>
      </c>
      <c r="B859" s="4" t="s">
        <v>97</v>
      </c>
      <c r="C859" s="4" t="s">
        <v>75</v>
      </c>
      <c r="D859" s="4" t="s">
        <v>97</v>
      </c>
      <c r="E859" s="10">
        <v>47.9</v>
      </c>
      <c r="G859" s="4"/>
      <c r="H859" s="4"/>
      <c r="I859" s="4"/>
      <c r="K859" s="11">
        <f>IF($E859="","",ROUND($E859*IF(ISNA(MATCH($C859,'Paramètres'!$D:$D,0)),1,IF(INDEX('Paramètres'!$J:$J,MATCH($C859,'Paramètres'!$D:$D,0))="",1,INDEX('Paramètres'!$J:$J,MATCH($C859,'Paramètres'!$D:$D,0)))),2))</f>
        <v>47.9</v>
      </c>
      <c r="L859" s="6" t="str">
        <f>IF($D859="","",IF($F859&lt;&gt;"",$F859,IF(ISNA(MATCH($D859,'Paramètres'!$M:$M,0)),"⚠ Type inconnu",IFERROR(INDEX('Paramètres'!$P:$P,MATCH($D859,'Paramètres'!$M:$M,0))&amp;"",""))))</f>
        <v>Débit</v>
      </c>
      <c r="M859" s="6" t="str">
        <f>IF($D859="","",IF(ISNA(MATCH($D859,'Paramètres'!$M:$M,0)),"⚠ Type inconnu",IF($L859="Crédit","",IFERROR(INDEX('Paramètres'!$O:$O,MATCH($D859,'Paramètres'!$M:$M,0))&amp;"",""))))</f>
        <v>Dépense Fixe</v>
      </c>
      <c r="N859" s="6" t="str">
        <f>IF($D859="","",IFERROR(INDEX('Paramètres'!$Q:$Q,MATCH($D859,'Paramètres'!$M:$M,0))&amp;"",""))</f>
        <v>Assurances</v>
      </c>
      <c r="O859" s="6">
        <f>IF($A859="","",IF(OR($J859&lt;&gt;"x",$A859&lt;=FinReleve),1,0))</f>
        <v>1</v>
      </c>
      <c r="P859" s="6">
        <f>IF($D859="","",IF(AND($L859="Crédit",OR(IFERROR(INDEX('Paramètres'!$O:$O,MATCH($D859,'Paramètres'!$M:$M,0))&amp;"","")&lt;&gt;"",ISNUMBER(SEARCH("remboursement",IFERROR(INDEX('Paramètres'!$N:$N,MATCH($D859,'Paramètres'!$M:$M,0))&amp;"",""))))),1,0))</f>
        <v>0</v>
      </c>
      <c r="Q859" s="6">
        <f>IF($K859="","",IF(ISNUMBER(SEARCH("transfert-interne",IFERROR(INDEX('Paramètres'!$N:$N,MATCH($D859,'Paramètres'!$M:$M,0))&amp;"",""))),0,IF($L859="Débit",$K859,IF($P859=1,-$K859,0))))</f>
        <v>47.9</v>
      </c>
      <c r="R859" s="6">
        <f>IF($K859="","",IF($L859="Crédit",$K859,-$K859))</f>
        <v>-47.9</v>
      </c>
      <c r="S859" s="6" t="str">
        <f>IF($C859="","",IFERROR(INDEX('Paramètres'!$H:$H,MATCH($C859,'Paramètres'!$D:$D,0))&amp;"",""))</f>
        <v/>
      </c>
      <c r="T859" s="6">
        <f>IF($K859="","",IF($S859="",0,IF(ISNUMBER(SEARCH("apport-exterieur",IFERROR(INDEX('Paramètres'!$N:$N,MATCH($D859,'Paramètres'!$M:$M,0))&amp;"",""))),0,IF(OR(IFERROR(INDEX('Paramètres'!$I:$I,MATCH($C859,'Paramètres'!$D:$D,0))&amp;"","")="Les deux",IFERROR(INDEX('Paramètres'!$I:$I,MATCH($C859,'Paramètres'!$D:$D,0))&amp;"","")=IF($P859=1,"Débit",$L859)),-IF($P859=1,-$K859,$K859),0))))</f>
        <v>0</v>
      </c>
      <c r="U859" s="6">
        <f>IF($K859="","",IF(ISNUMBER(SEARCH("sortie-epargne",IFERROR(INDEX('Paramètres'!$N:$N,MATCH($D859,'Paramètres'!$M:$M,0))&amp;"",""))),$K859,0))</f>
        <v>0</v>
      </c>
      <c r="V859" s="6" t="str">
        <f>IF(AND($A859&lt;&gt;"",$O859=1,$L859="Débit",N($Q859)&gt;0,$A859&gt;=Visualisation!$B$1,$A859&lt;Visualisation!$D$1),MAX($V$1:V858)+1,"")</f>
        <v/>
      </c>
    </row>
    <row r="860" spans="1:22" x14ac:dyDescent="0.25">
      <c r="A860" s="9">
        <v>46157</v>
      </c>
      <c r="B860" s="4" t="s">
        <v>100</v>
      </c>
      <c r="C860" s="4" t="s">
        <v>65</v>
      </c>
      <c r="D860" s="4" t="s">
        <v>100</v>
      </c>
      <c r="E860" s="10">
        <v>101.66</v>
      </c>
      <c r="G860" s="4"/>
      <c r="H860" s="4"/>
      <c r="I860" s="4"/>
      <c r="K860" s="11">
        <f>IF($E860="","",ROUND($E860*IF(ISNA(MATCH($C860,'Paramètres'!$D:$D,0)),1,IF(INDEX('Paramètres'!$J:$J,MATCH($C860,'Paramètres'!$D:$D,0))="",1,INDEX('Paramètres'!$J:$J,MATCH($C860,'Paramètres'!$D:$D,0)))),2))</f>
        <v>101.66</v>
      </c>
      <c r="L860" s="6" t="str">
        <f>IF($D860="","",IF($F860&lt;&gt;"",$F860,IF(ISNA(MATCH($D860,'Paramètres'!$M:$M,0)),"⚠ Type inconnu",IFERROR(INDEX('Paramètres'!$P:$P,MATCH($D860,'Paramètres'!$M:$M,0))&amp;"",""))))</f>
        <v>Débit</v>
      </c>
      <c r="M860" s="6" t="str">
        <f>IF($D860="","",IF(ISNA(MATCH($D860,'Paramètres'!$M:$M,0)),"⚠ Type inconnu",IF($L860="Crédit","",IFERROR(INDEX('Paramètres'!$O:$O,MATCH($D860,'Paramètres'!$M:$M,0))&amp;"",""))))</f>
        <v>Dépense Fixe</v>
      </c>
      <c r="N860" s="6" t="str">
        <f>IF($D860="","",IFERROR(INDEX('Paramètres'!$Q:$Q,MATCH($D860,'Paramètres'!$M:$M,0))&amp;"",""))</f>
        <v>Immobilier</v>
      </c>
      <c r="O860" s="6">
        <f>IF($A860="","",IF(OR($J860&lt;&gt;"x",$A860&lt;=FinReleve),1,0))</f>
        <v>1</v>
      </c>
      <c r="P860" s="6">
        <f>IF($D860="","",IF(AND($L860="Crédit",OR(IFERROR(INDEX('Paramètres'!$O:$O,MATCH($D860,'Paramètres'!$M:$M,0))&amp;"","")&lt;&gt;"",ISNUMBER(SEARCH("remboursement",IFERROR(INDEX('Paramètres'!$N:$N,MATCH($D860,'Paramètres'!$M:$M,0))&amp;"",""))))),1,0))</f>
        <v>0</v>
      </c>
      <c r="Q860" s="6">
        <f>IF($K860="","",IF(ISNUMBER(SEARCH("transfert-interne",IFERROR(INDEX('Paramètres'!$N:$N,MATCH($D860,'Paramètres'!$M:$M,0))&amp;"",""))),0,IF($L860="Débit",$K860,IF($P860=1,-$K860,0))))</f>
        <v>101.66</v>
      </c>
      <c r="R860" s="6">
        <f>IF($K860="","",IF($L860="Crédit",$K860,-$K860))</f>
        <v>-101.66</v>
      </c>
      <c r="S860" s="6" t="str">
        <f>IF($C860="","",IFERROR(INDEX('Paramètres'!$H:$H,MATCH($C860,'Paramètres'!$D:$D,0))&amp;"",""))</f>
        <v>Banque A - Courant</v>
      </c>
      <c r="T860" s="6">
        <f>IF($K860="","",IF($S860="",0,IF(ISNUMBER(SEARCH("apport-exterieur",IFERROR(INDEX('Paramètres'!$N:$N,MATCH($D860,'Paramètres'!$M:$M,0))&amp;"",""))),0,IF(OR(IFERROR(INDEX('Paramètres'!$I:$I,MATCH($C860,'Paramètres'!$D:$D,0))&amp;"","")="Les deux",IFERROR(INDEX('Paramètres'!$I:$I,MATCH($C860,'Paramètres'!$D:$D,0))&amp;"","")=IF($P860=1,"Débit",$L860)),-IF($P860=1,-$K860,$K860),0))))</f>
        <v>0</v>
      </c>
      <c r="U860" s="6">
        <f>IF($K860="","",IF(ISNUMBER(SEARCH("sortie-epargne",IFERROR(INDEX('Paramètres'!$N:$N,MATCH($D860,'Paramètres'!$M:$M,0))&amp;"",""))),$K860,0))</f>
        <v>0</v>
      </c>
      <c r="V860" s="6" t="str">
        <f>IF(AND($A860&lt;&gt;"",$O860=1,$L860="Débit",N($Q860)&gt;0,$A860&gt;=Visualisation!$B$1,$A860&lt;Visualisation!$D$1),MAX($V$1:V859)+1,"")</f>
        <v/>
      </c>
    </row>
    <row r="861" spans="1:22" x14ac:dyDescent="0.25">
      <c r="A861" s="9">
        <v>46157</v>
      </c>
      <c r="B861" s="4" t="s">
        <v>76</v>
      </c>
      <c r="C861" s="4" t="s">
        <v>60</v>
      </c>
      <c r="D861" s="4" t="s">
        <v>77</v>
      </c>
      <c r="E861" s="10">
        <v>105.38</v>
      </c>
      <c r="G861" s="4" t="s">
        <v>102</v>
      </c>
      <c r="H861" s="4"/>
      <c r="I861" s="4" t="s">
        <v>73</v>
      </c>
      <c r="K861" s="11">
        <f>IF($E861="","",ROUND($E861*IF(ISNA(MATCH($C861,'Paramètres'!$D:$D,0)),1,IF(INDEX('Paramètres'!$J:$J,MATCH($C861,'Paramètres'!$D:$D,0))="",1,INDEX('Paramètres'!$J:$J,MATCH($C861,'Paramètres'!$D:$D,0)))),2))</f>
        <v>52.69</v>
      </c>
      <c r="L861" s="6" t="str">
        <f>IF($D861="","",IF($F861&lt;&gt;"",$F861,IF(ISNA(MATCH($D861,'Paramètres'!$M:$M,0)),"⚠ Type inconnu",IFERROR(INDEX('Paramètres'!$P:$P,MATCH($D861,'Paramètres'!$M:$M,0))&amp;"",""))))</f>
        <v>Débit</v>
      </c>
      <c r="M861" s="6" t="str">
        <f>IF($D861="","",IF(ISNA(MATCH($D861,'Paramètres'!$M:$M,0)),"⚠ Type inconnu",IF($L861="Crédit","",IFERROR(INDEX('Paramètres'!$O:$O,MATCH($D861,'Paramètres'!$M:$M,0))&amp;"",""))))</f>
        <v>Dépense Courante</v>
      </c>
      <c r="N861" s="6" t="str">
        <f>IF($D861="","",IFERROR(INDEX('Paramètres'!$Q:$Q,MATCH($D861,'Paramètres'!$M:$M,0))&amp;"",""))</f>
        <v>Alimentation</v>
      </c>
      <c r="O861" s="6">
        <f>IF($A861="","",IF(OR($J861&lt;&gt;"x",$A861&lt;=FinReleve),1,0))</f>
        <v>1</v>
      </c>
      <c r="P861" s="6">
        <f>IF($D861="","",IF(AND($L861="Crédit",OR(IFERROR(INDEX('Paramètres'!$O:$O,MATCH($D861,'Paramètres'!$M:$M,0))&amp;"","")&lt;&gt;"",ISNUMBER(SEARCH("remboursement",IFERROR(INDEX('Paramètres'!$N:$N,MATCH($D861,'Paramètres'!$M:$M,0))&amp;"",""))))),1,0))</f>
        <v>0</v>
      </c>
      <c r="Q861" s="6">
        <f>IF($K861="","",IF(ISNUMBER(SEARCH("transfert-interne",IFERROR(INDEX('Paramètres'!$N:$N,MATCH($D861,'Paramètres'!$M:$M,0))&amp;"",""))),0,IF($L861="Débit",$K861,IF($P861=1,-$K861,0))))</f>
        <v>52.69</v>
      </c>
      <c r="R861" s="6">
        <f>IF($K861="","",IF($L861="Crédit",$K861,-$K861))</f>
        <v>-52.69</v>
      </c>
      <c r="S861" s="6" t="str">
        <f>IF($C861="","",IFERROR(INDEX('Paramètres'!$H:$H,MATCH($C861,'Paramètres'!$D:$D,0))&amp;"",""))</f>
        <v>Banque A - Courant</v>
      </c>
      <c r="T861" s="6">
        <f>IF($K861="","",IF($S861="",0,IF(ISNUMBER(SEARCH("apport-exterieur",IFERROR(INDEX('Paramètres'!$N:$N,MATCH($D861,'Paramètres'!$M:$M,0))&amp;"",""))),0,IF(OR(IFERROR(INDEX('Paramètres'!$I:$I,MATCH($C861,'Paramètres'!$D:$D,0))&amp;"","")="Les deux",IFERROR(INDEX('Paramètres'!$I:$I,MATCH($C861,'Paramètres'!$D:$D,0))&amp;"","")=IF($P861=1,"Débit",$L861)),-IF($P861=1,-$K861,$K861),0))))</f>
        <v>-52.69</v>
      </c>
      <c r="U861" s="6">
        <f>IF($K861="","",IF(ISNUMBER(SEARCH("sortie-epargne",IFERROR(INDEX('Paramètres'!$N:$N,MATCH($D861,'Paramètres'!$M:$M,0))&amp;"",""))),$K861,0))</f>
        <v>0</v>
      </c>
      <c r="V861" s="6" t="str">
        <f>IF(AND($A861&lt;&gt;"",$O861=1,$L861="Débit",N($Q861)&gt;0,$A861&gt;=Visualisation!$B$1,$A861&lt;Visualisation!$D$1),MAX($V$1:V860)+1,"")</f>
        <v/>
      </c>
    </row>
    <row r="862" spans="1:22" x14ac:dyDescent="0.25">
      <c r="A862" s="9">
        <v>46157</v>
      </c>
      <c r="B862" s="4" t="s">
        <v>76</v>
      </c>
      <c r="C862" s="4" t="s">
        <v>60</v>
      </c>
      <c r="D862" s="4" t="s">
        <v>77</v>
      </c>
      <c r="E862" s="10">
        <v>155.2</v>
      </c>
      <c r="G862" s="4" t="s">
        <v>78</v>
      </c>
      <c r="H862" s="4"/>
      <c r="I862" s="4" t="s">
        <v>73</v>
      </c>
      <c r="K862" s="11">
        <f>IF($E862="","",ROUND($E862*IF(ISNA(MATCH($C862,'Paramètres'!$D:$D,0)),1,IF(INDEX('Paramètres'!$J:$J,MATCH($C862,'Paramètres'!$D:$D,0))="",1,INDEX('Paramètres'!$J:$J,MATCH($C862,'Paramètres'!$D:$D,0)))),2))</f>
        <v>77.6</v>
      </c>
      <c r="L862" s="6" t="str">
        <f>IF($D862="","",IF($F862&lt;&gt;"",$F862,IF(ISNA(MATCH($D862,'Paramètres'!$M:$M,0)),"⚠ Type inconnu",IFERROR(INDEX('Paramètres'!$P:$P,MATCH($D862,'Paramètres'!$M:$M,0))&amp;"",""))))</f>
        <v>Débit</v>
      </c>
      <c r="M862" s="6" t="str">
        <f>IF($D862="","",IF(ISNA(MATCH($D862,'Paramètres'!$M:$M,0)),"⚠ Type inconnu",IF($L862="Crédit","",IFERROR(INDEX('Paramètres'!$O:$O,MATCH($D862,'Paramètres'!$M:$M,0))&amp;"",""))))</f>
        <v>Dépense Courante</v>
      </c>
      <c r="N862" s="6" t="str">
        <f>IF($D862="","",IFERROR(INDEX('Paramètres'!$Q:$Q,MATCH($D862,'Paramètres'!$M:$M,0))&amp;"",""))</f>
        <v>Alimentation</v>
      </c>
      <c r="O862" s="6">
        <f>IF($A862="","",IF(OR($J862&lt;&gt;"x",$A862&lt;=FinReleve),1,0))</f>
        <v>1</v>
      </c>
      <c r="P862" s="6">
        <f>IF($D862="","",IF(AND($L862="Crédit",OR(IFERROR(INDEX('Paramètres'!$O:$O,MATCH($D862,'Paramètres'!$M:$M,0))&amp;"","")&lt;&gt;"",ISNUMBER(SEARCH("remboursement",IFERROR(INDEX('Paramètres'!$N:$N,MATCH($D862,'Paramètres'!$M:$M,0))&amp;"",""))))),1,0))</f>
        <v>0</v>
      </c>
      <c r="Q862" s="6">
        <f>IF($K862="","",IF(ISNUMBER(SEARCH("transfert-interne",IFERROR(INDEX('Paramètres'!$N:$N,MATCH($D862,'Paramètres'!$M:$M,0))&amp;"",""))),0,IF($L862="Débit",$K862,IF($P862=1,-$K862,0))))</f>
        <v>77.6</v>
      </c>
      <c r="R862" s="6">
        <f>IF($K862="","",IF($L862="Crédit",$K862,-$K862))</f>
        <v>-77.6</v>
      </c>
      <c r="S862" s="6" t="str">
        <f>IF($C862="","",IFERROR(INDEX('Paramètres'!$H:$H,MATCH($C862,'Paramètres'!$D:$D,0))&amp;"",""))</f>
        <v>Banque A - Courant</v>
      </c>
      <c r="T862" s="6">
        <f>IF($K862="","",IF($S862="",0,IF(ISNUMBER(SEARCH("apport-exterieur",IFERROR(INDEX('Paramètres'!$N:$N,MATCH($D862,'Paramètres'!$M:$M,0))&amp;"",""))),0,IF(OR(IFERROR(INDEX('Paramètres'!$I:$I,MATCH($C862,'Paramètres'!$D:$D,0))&amp;"","")="Les deux",IFERROR(INDEX('Paramètres'!$I:$I,MATCH($C862,'Paramètres'!$D:$D,0))&amp;"","")=IF($P862=1,"Débit",$L862)),-IF($P862=1,-$K862,$K862),0))))</f>
        <v>-77.6</v>
      </c>
      <c r="U862" s="6">
        <f>IF($K862="","",IF(ISNUMBER(SEARCH("sortie-epargne",IFERROR(INDEX('Paramètres'!$N:$N,MATCH($D862,'Paramètres'!$M:$M,0))&amp;"",""))),$K862,0))</f>
        <v>0</v>
      </c>
      <c r="V862" s="6" t="str">
        <f>IF(AND($A862&lt;&gt;"",$O862=1,$L862="Débit",N($Q862)&gt;0,$A862&gt;=Visualisation!$B$1,$A862&lt;Visualisation!$D$1),MAX($V$1:V861)+1,"")</f>
        <v/>
      </c>
    </row>
    <row r="863" spans="1:22" x14ac:dyDescent="0.25">
      <c r="A863" s="9">
        <v>46157</v>
      </c>
      <c r="B863" s="4" t="s">
        <v>59</v>
      </c>
      <c r="C863" s="4" t="s">
        <v>60</v>
      </c>
      <c r="D863" s="4" t="s">
        <v>59</v>
      </c>
      <c r="E863" s="10">
        <v>123.68</v>
      </c>
      <c r="G863" s="4" t="s">
        <v>128</v>
      </c>
      <c r="H863" s="4"/>
      <c r="I863" s="4" t="s">
        <v>79</v>
      </c>
      <c r="K863" s="11">
        <f>IF($E863="","",ROUND($E863*IF(ISNA(MATCH($C863,'Paramètres'!$D:$D,0)),1,IF(INDEX('Paramètres'!$J:$J,MATCH($C863,'Paramètres'!$D:$D,0))="",1,INDEX('Paramètres'!$J:$J,MATCH($C863,'Paramètres'!$D:$D,0)))),2))</f>
        <v>61.84</v>
      </c>
      <c r="L863" s="6" t="str">
        <f>IF($D863="","",IF($F863&lt;&gt;"",$F863,IF(ISNA(MATCH($D863,'Paramètres'!$M:$M,0)),"⚠ Type inconnu",IFERROR(INDEX('Paramètres'!$P:$P,MATCH($D863,'Paramètres'!$M:$M,0))&amp;"",""))))</f>
        <v>Débit</v>
      </c>
      <c r="M863" s="6" t="str">
        <f>IF($D863="","",IF(ISNA(MATCH($D863,'Paramètres'!$M:$M,0)),"⚠ Type inconnu",IF($L863="Crédit","",IFERROR(INDEX('Paramètres'!$O:$O,MATCH($D863,'Paramètres'!$M:$M,0))&amp;"",""))))</f>
        <v>Dépense Occasionnelle</v>
      </c>
      <c r="N863" s="6" t="str">
        <f>IF($D863="","",IFERROR(INDEX('Paramètres'!$Q:$Q,MATCH($D863,'Paramètres'!$M:$M,0))&amp;"",""))</f>
        <v>Loisir</v>
      </c>
      <c r="O863" s="6">
        <f>IF($A863="","",IF(OR($J863&lt;&gt;"x",$A863&lt;=FinReleve),1,0))</f>
        <v>1</v>
      </c>
      <c r="P863" s="6">
        <f>IF($D863="","",IF(AND($L863="Crédit",OR(IFERROR(INDEX('Paramètres'!$O:$O,MATCH($D863,'Paramètres'!$M:$M,0))&amp;"","")&lt;&gt;"",ISNUMBER(SEARCH("remboursement",IFERROR(INDEX('Paramètres'!$N:$N,MATCH($D863,'Paramètres'!$M:$M,0))&amp;"",""))))),1,0))</f>
        <v>0</v>
      </c>
      <c r="Q863" s="6">
        <f>IF($K863="","",IF(ISNUMBER(SEARCH("transfert-interne",IFERROR(INDEX('Paramètres'!$N:$N,MATCH($D863,'Paramètres'!$M:$M,0))&amp;"",""))),0,IF($L863="Débit",$K863,IF($P863=1,-$K863,0))))</f>
        <v>61.84</v>
      </c>
      <c r="R863" s="6">
        <f>IF($K863="","",IF($L863="Crédit",$K863,-$K863))</f>
        <v>-61.84</v>
      </c>
      <c r="S863" s="6" t="str">
        <f>IF($C863="","",IFERROR(INDEX('Paramètres'!$H:$H,MATCH($C863,'Paramètres'!$D:$D,0))&amp;"",""))</f>
        <v>Banque A - Courant</v>
      </c>
      <c r="T863" s="6">
        <f>IF($K863="","",IF($S863="",0,IF(ISNUMBER(SEARCH("apport-exterieur",IFERROR(INDEX('Paramètres'!$N:$N,MATCH($D863,'Paramètres'!$M:$M,0))&amp;"",""))),0,IF(OR(IFERROR(INDEX('Paramètres'!$I:$I,MATCH($C863,'Paramètres'!$D:$D,0))&amp;"","")="Les deux",IFERROR(INDEX('Paramètres'!$I:$I,MATCH($C863,'Paramètres'!$D:$D,0))&amp;"","")=IF($P863=1,"Débit",$L863)),-IF($P863=1,-$K863,$K863),0))))</f>
        <v>-61.84</v>
      </c>
      <c r="U863" s="6">
        <f>IF($K863="","",IF(ISNUMBER(SEARCH("sortie-epargne",IFERROR(INDEX('Paramètres'!$N:$N,MATCH($D863,'Paramètres'!$M:$M,0))&amp;"",""))),$K863,0))</f>
        <v>0</v>
      </c>
      <c r="V863" s="6" t="str">
        <f>IF(AND($A863&lt;&gt;"",$O863=1,$L863="Débit",N($Q863)&gt;0,$A863&gt;=Visualisation!$B$1,$A863&lt;Visualisation!$D$1),MAX($V$1:V862)+1,"")</f>
        <v/>
      </c>
    </row>
    <row r="864" spans="1:22" x14ac:dyDescent="0.25">
      <c r="A864" s="9">
        <v>46157</v>
      </c>
      <c r="B864" s="4" t="s">
        <v>116</v>
      </c>
      <c r="C864" s="4" t="s">
        <v>60</v>
      </c>
      <c r="D864" s="4" t="s">
        <v>116</v>
      </c>
      <c r="E864" s="10">
        <v>471.14</v>
      </c>
      <c r="G864" s="4" t="s">
        <v>141</v>
      </c>
      <c r="H864" s="4"/>
      <c r="I864" s="4"/>
      <c r="K864" s="11">
        <f>IF($E864="","",ROUND($E864*IF(ISNA(MATCH($C864,'Paramètres'!$D:$D,0)),1,IF(INDEX('Paramètres'!$J:$J,MATCH($C864,'Paramètres'!$D:$D,0))="",1,INDEX('Paramètres'!$J:$J,MATCH($C864,'Paramètres'!$D:$D,0)))),2))</f>
        <v>235.57</v>
      </c>
      <c r="L864" s="6" t="str">
        <f>IF($D864="","",IF($F864&lt;&gt;"",$F864,IF(ISNA(MATCH($D864,'Paramètres'!$M:$M,0)),"⚠ Type inconnu",IFERROR(INDEX('Paramètres'!$P:$P,MATCH($D864,'Paramètres'!$M:$M,0))&amp;"",""))))</f>
        <v>Débit</v>
      </c>
      <c r="M864" s="6" t="str">
        <f>IF($D864="","",IF(ISNA(MATCH($D864,'Paramètres'!$M:$M,0)),"⚠ Type inconnu",IF($L864="Crédit","",IFERROR(INDEX('Paramètres'!$O:$O,MATCH($D864,'Paramètres'!$M:$M,0))&amp;"",""))))</f>
        <v>Dépense Occasionnelle</v>
      </c>
      <c r="N864" s="6" t="str">
        <f>IF($D864="","",IFERROR(INDEX('Paramètres'!$Q:$Q,MATCH($D864,'Paramètres'!$M:$M,0))&amp;"",""))</f>
        <v>Autre</v>
      </c>
      <c r="O864" s="6">
        <f>IF($A864="","",IF(OR($J864&lt;&gt;"x",$A864&lt;=FinReleve),1,0))</f>
        <v>1</v>
      </c>
      <c r="P864" s="6">
        <f>IF($D864="","",IF(AND($L864="Crédit",OR(IFERROR(INDEX('Paramètres'!$O:$O,MATCH($D864,'Paramètres'!$M:$M,0))&amp;"","")&lt;&gt;"",ISNUMBER(SEARCH("remboursement",IFERROR(INDEX('Paramètres'!$N:$N,MATCH($D864,'Paramètres'!$M:$M,0))&amp;"",""))))),1,0))</f>
        <v>0</v>
      </c>
      <c r="Q864" s="6">
        <f>IF($K864="","",IF(ISNUMBER(SEARCH("transfert-interne",IFERROR(INDEX('Paramètres'!$N:$N,MATCH($D864,'Paramètres'!$M:$M,0))&amp;"",""))),0,IF($L864="Débit",$K864,IF($P864=1,-$K864,0))))</f>
        <v>235.57</v>
      </c>
      <c r="R864" s="6">
        <f>IF($K864="","",IF($L864="Crédit",$K864,-$K864))</f>
        <v>-235.57</v>
      </c>
      <c r="S864" s="6" t="str">
        <f>IF($C864="","",IFERROR(INDEX('Paramètres'!$H:$H,MATCH($C864,'Paramètres'!$D:$D,0))&amp;"",""))</f>
        <v>Banque A - Courant</v>
      </c>
      <c r="T864" s="6">
        <f>IF($K864="","",IF($S864="",0,IF(ISNUMBER(SEARCH("apport-exterieur",IFERROR(INDEX('Paramètres'!$N:$N,MATCH($D864,'Paramètres'!$M:$M,0))&amp;"",""))),0,IF(OR(IFERROR(INDEX('Paramètres'!$I:$I,MATCH($C864,'Paramètres'!$D:$D,0))&amp;"","")="Les deux",IFERROR(INDEX('Paramètres'!$I:$I,MATCH($C864,'Paramètres'!$D:$D,0))&amp;"","")=IF($P864=1,"Débit",$L864)),-IF($P864=1,-$K864,$K864),0))))</f>
        <v>-235.57</v>
      </c>
      <c r="U864" s="6">
        <f>IF($K864="","",IF(ISNUMBER(SEARCH("sortie-epargne",IFERROR(INDEX('Paramètres'!$N:$N,MATCH($D864,'Paramètres'!$M:$M,0))&amp;"",""))),$K864,0))</f>
        <v>0</v>
      </c>
      <c r="V864" s="6" t="str">
        <f>IF(AND($A864&lt;&gt;"",$O864=1,$L864="Débit",N($Q864)&gt;0,$A864&gt;=Visualisation!$B$1,$A864&lt;Visualisation!$D$1),MAX($V$1:V863)+1,"")</f>
        <v/>
      </c>
    </row>
    <row r="865" spans="1:22" x14ac:dyDescent="0.25">
      <c r="A865" s="9">
        <v>46158</v>
      </c>
      <c r="B865" s="4" t="s">
        <v>76</v>
      </c>
      <c r="C865" s="4" t="s">
        <v>67</v>
      </c>
      <c r="D865" s="4" t="s">
        <v>77</v>
      </c>
      <c r="E865" s="10">
        <v>30.34</v>
      </c>
      <c r="G865" s="4" t="s">
        <v>78</v>
      </c>
      <c r="H865" s="4"/>
      <c r="I865" s="4" t="s">
        <v>63</v>
      </c>
      <c r="K865" s="11">
        <f>IF($E865="","",ROUND($E865*IF(ISNA(MATCH($C865,'Paramètres'!$D:$D,0)),1,IF(INDEX('Paramètres'!$J:$J,MATCH($C865,'Paramètres'!$D:$D,0))="",1,INDEX('Paramètres'!$J:$J,MATCH($C865,'Paramètres'!$D:$D,0)))),2))</f>
        <v>15.17</v>
      </c>
      <c r="L865" s="6" t="str">
        <f>IF($D865="","",IF($F865&lt;&gt;"",$F865,IF(ISNA(MATCH($D865,'Paramètres'!$M:$M,0)),"⚠ Type inconnu",IFERROR(INDEX('Paramètres'!$P:$P,MATCH($D865,'Paramètres'!$M:$M,0))&amp;"",""))))</f>
        <v>Débit</v>
      </c>
      <c r="M865" s="6" t="str">
        <f>IF($D865="","",IF(ISNA(MATCH($D865,'Paramètres'!$M:$M,0)),"⚠ Type inconnu",IF($L865="Crédit","",IFERROR(INDEX('Paramètres'!$O:$O,MATCH($D865,'Paramètres'!$M:$M,0))&amp;"",""))))</f>
        <v>Dépense Courante</v>
      </c>
      <c r="N865" s="6" t="str">
        <f>IF($D865="","",IFERROR(INDEX('Paramètres'!$Q:$Q,MATCH($D865,'Paramètres'!$M:$M,0))&amp;"",""))</f>
        <v>Alimentation</v>
      </c>
      <c r="O865" s="6">
        <f>IF($A865="","",IF(OR($J865&lt;&gt;"x",$A865&lt;=FinReleve),1,0))</f>
        <v>1</v>
      </c>
      <c r="P865" s="6">
        <f>IF($D865="","",IF(AND($L865="Crédit",OR(IFERROR(INDEX('Paramètres'!$O:$O,MATCH($D865,'Paramètres'!$M:$M,0))&amp;"","")&lt;&gt;"",ISNUMBER(SEARCH("remboursement",IFERROR(INDEX('Paramètres'!$N:$N,MATCH($D865,'Paramètres'!$M:$M,0))&amp;"",""))))),1,0))</f>
        <v>0</v>
      </c>
      <c r="Q865" s="6">
        <f>IF($K865="","",IF(ISNUMBER(SEARCH("transfert-interne",IFERROR(INDEX('Paramètres'!$N:$N,MATCH($D865,'Paramètres'!$M:$M,0))&amp;"",""))),0,IF($L865="Débit",$K865,IF($P865=1,-$K865,0))))</f>
        <v>15.17</v>
      </c>
      <c r="R865" s="6">
        <f>IF($K865="","",IF($L865="Crédit",$K865,-$K865))</f>
        <v>-15.17</v>
      </c>
      <c r="S865" s="6" t="str">
        <f>IF($C865="","",IFERROR(INDEX('Paramètres'!$H:$H,MATCH($C865,'Paramètres'!$D:$D,0))&amp;"",""))</f>
        <v>Banque A - Courant</v>
      </c>
      <c r="T865" s="6">
        <f>IF($K865="","",IF($S865="",0,IF(ISNUMBER(SEARCH("apport-exterieur",IFERROR(INDEX('Paramètres'!$N:$N,MATCH($D865,'Paramètres'!$M:$M,0))&amp;"",""))),0,IF(OR(IFERROR(INDEX('Paramètres'!$I:$I,MATCH($C865,'Paramètres'!$D:$D,0))&amp;"","")="Les deux",IFERROR(INDEX('Paramètres'!$I:$I,MATCH($C865,'Paramètres'!$D:$D,0))&amp;"","")=IF($P865=1,"Débit",$L865)),-IF($P865=1,-$K865,$K865),0))))</f>
        <v>0</v>
      </c>
      <c r="U865" s="6">
        <f>IF($K865="","",IF(ISNUMBER(SEARCH("sortie-epargne",IFERROR(INDEX('Paramètres'!$N:$N,MATCH($D865,'Paramètres'!$M:$M,0))&amp;"",""))),$K865,0))</f>
        <v>0</v>
      </c>
      <c r="V865" s="6" t="str">
        <f>IF(AND($A865&lt;&gt;"",$O865=1,$L865="Débit",N($Q865)&gt;0,$A865&gt;=Visualisation!$B$1,$A865&lt;Visualisation!$D$1),MAX($V$1:V864)+1,"")</f>
        <v/>
      </c>
    </row>
    <row r="866" spans="1:22" x14ac:dyDescent="0.25">
      <c r="A866" s="9">
        <v>46158</v>
      </c>
      <c r="B866" s="4" t="s">
        <v>119</v>
      </c>
      <c r="C866" s="4" t="s">
        <v>126</v>
      </c>
      <c r="D866" s="4" t="s">
        <v>119</v>
      </c>
      <c r="E866" s="10">
        <v>158.5</v>
      </c>
      <c r="G866" s="4" t="s">
        <v>119</v>
      </c>
      <c r="H866" s="4"/>
      <c r="I866" s="4" t="s">
        <v>93</v>
      </c>
      <c r="K866" s="11">
        <f>IF($E866="","",ROUND($E866*IF(ISNA(MATCH($C866,'Paramètres'!$D:$D,0)),1,IF(INDEX('Paramètres'!$J:$J,MATCH($C866,'Paramètres'!$D:$D,0))="",1,INDEX('Paramètres'!$J:$J,MATCH($C866,'Paramètres'!$D:$D,0)))),2))</f>
        <v>79.25</v>
      </c>
      <c r="L866" s="6" t="str">
        <f>IF($D866="","",IF($F866&lt;&gt;"",$F866,IF(ISNA(MATCH($D866,'Paramètres'!$M:$M,0)),"⚠ Type inconnu",IFERROR(INDEX('Paramètres'!$P:$P,MATCH($D866,'Paramètres'!$M:$M,0))&amp;"",""))))</f>
        <v>Débit</v>
      </c>
      <c r="M866" s="6" t="str">
        <f>IF($D866="","",IF(ISNA(MATCH($D866,'Paramètres'!$M:$M,0)),"⚠ Type inconnu",IF($L866="Crédit","",IFERROR(INDEX('Paramètres'!$O:$O,MATCH($D866,'Paramètres'!$M:$M,0))&amp;"",""))))</f>
        <v>Dépense Occasionnelle</v>
      </c>
      <c r="N866" s="6" t="str">
        <f>IF($D866="","",IFERROR(INDEX('Paramètres'!$Q:$Q,MATCH($D866,'Paramètres'!$M:$M,0))&amp;"",""))</f>
        <v>Alimentation</v>
      </c>
      <c r="O866" s="6">
        <f>IF($A866="","",IF(OR($J866&lt;&gt;"x",$A866&lt;=FinReleve),1,0))</f>
        <v>1</v>
      </c>
      <c r="P866" s="6">
        <f>IF($D866="","",IF(AND($L866="Crédit",OR(IFERROR(INDEX('Paramètres'!$O:$O,MATCH($D866,'Paramètres'!$M:$M,0))&amp;"","")&lt;&gt;"",ISNUMBER(SEARCH("remboursement",IFERROR(INDEX('Paramètres'!$N:$N,MATCH($D866,'Paramètres'!$M:$M,0))&amp;"",""))))),1,0))</f>
        <v>0</v>
      </c>
      <c r="Q866" s="6">
        <f>IF($K866="","",IF(ISNUMBER(SEARCH("transfert-interne",IFERROR(INDEX('Paramètres'!$N:$N,MATCH($D866,'Paramètres'!$M:$M,0))&amp;"",""))),0,IF($L866="Débit",$K866,IF($P866=1,-$K866,0))))</f>
        <v>79.25</v>
      </c>
      <c r="R866" s="6">
        <f>IF($K866="","",IF($L866="Crédit",$K866,-$K866))</f>
        <v>-79.25</v>
      </c>
      <c r="S866" s="6" t="str">
        <f>IF($C866="","",IFERROR(INDEX('Paramètres'!$H:$H,MATCH($C866,'Paramètres'!$D:$D,0))&amp;"",""))</f>
        <v>Banque A - Courant</v>
      </c>
      <c r="T866" s="6">
        <f>IF($K866="","",IF($S866="",0,IF(ISNUMBER(SEARCH("apport-exterieur",IFERROR(INDEX('Paramètres'!$N:$N,MATCH($D866,'Paramètres'!$M:$M,0))&amp;"",""))),0,IF(OR(IFERROR(INDEX('Paramètres'!$I:$I,MATCH($C866,'Paramètres'!$D:$D,0))&amp;"","")="Les deux",IFERROR(INDEX('Paramètres'!$I:$I,MATCH($C866,'Paramètres'!$D:$D,0))&amp;"","")=IF($P866=1,"Débit",$L866)),-IF($P866=1,-$K866,$K866),0))))</f>
        <v>-79.25</v>
      </c>
      <c r="U866" s="6">
        <f>IF($K866="","",IF(ISNUMBER(SEARCH("sortie-epargne",IFERROR(INDEX('Paramètres'!$N:$N,MATCH($D866,'Paramètres'!$M:$M,0))&amp;"",""))),$K866,0))</f>
        <v>0</v>
      </c>
      <c r="V866" s="6" t="str">
        <f>IF(AND($A866&lt;&gt;"",$O866=1,$L866="Débit",N($Q866)&gt;0,$A866&gt;=Visualisation!$B$1,$A866&lt;Visualisation!$D$1),MAX($V$1:V865)+1,"")</f>
        <v/>
      </c>
    </row>
    <row r="867" spans="1:22" x14ac:dyDescent="0.25">
      <c r="A867" s="9">
        <v>46160</v>
      </c>
      <c r="B867" s="4" t="s">
        <v>103</v>
      </c>
      <c r="C867" s="4" t="s">
        <v>75</v>
      </c>
      <c r="D867" s="4" t="s">
        <v>103</v>
      </c>
      <c r="E867" s="10">
        <v>212</v>
      </c>
      <c r="G867" s="4"/>
      <c r="H867" s="4"/>
      <c r="I867" s="4"/>
      <c r="K867" s="11">
        <f>IF($E867="","",ROUND($E867*IF(ISNA(MATCH($C867,'Paramètres'!$D:$D,0)),1,IF(INDEX('Paramètres'!$J:$J,MATCH($C867,'Paramètres'!$D:$D,0))="",1,INDEX('Paramètres'!$J:$J,MATCH($C867,'Paramètres'!$D:$D,0)))),2))</f>
        <v>212</v>
      </c>
      <c r="L867" s="6" t="str">
        <f>IF($D867="","",IF($F867&lt;&gt;"",$F867,IF(ISNA(MATCH($D867,'Paramètres'!$M:$M,0)),"⚠ Type inconnu",IFERROR(INDEX('Paramètres'!$P:$P,MATCH($D867,'Paramètres'!$M:$M,0))&amp;"",""))))</f>
        <v>Débit</v>
      </c>
      <c r="M867" s="6" t="str">
        <f>IF($D867="","",IF(ISNA(MATCH($D867,'Paramètres'!$M:$M,0)),"⚠ Type inconnu",IF($L867="Crédit","",IFERROR(INDEX('Paramètres'!$O:$O,MATCH($D867,'Paramètres'!$M:$M,0))&amp;"",""))))</f>
        <v>Dépense Fixe</v>
      </c>
      <c r="N867" s="6" t="str">
        <f>IF($D867="","",IFERROR(INDEX('Paramètres'!$Q:$Q,MATCH($D867,'Paramètres'!$M:$M,0))&amp;"",""))</f>
        <v>Impots</v>
      </c>
      <c r="O867" s="6">
        <f>IF($A867="","",IF(OR($J867&lt;&gt;"x",$A867&lt;=FinReleve),1,0))</f>
        <v>1</v>
      </c>
      <c r="P867" s="6">
        <f>IF($D867="","",IF(AND($L867="Crédit",OR(IFERROR(INDEX('Paramètres'!$O:$O,MATCH($D867,'Paramètres'!$M:$M,0))&amp;"","")&lt;&gt;"",ISNUMBER(SEARCH("remboursement",IFERROR(INDEX('Paramètres'!$N:$N,MATCH($D867,'Paramètres'!$M:$M,0))&amp;"",""))))),1,0))</f>
        <v>0</v>
      </c>
      <c r="Q867" s="6">
        <f>IF($K867="","",IF(ISNUMBER(SEARCH("transfert-interne",IFERROR(INDEX('Paramètres'!$N:$N,MATCH($D867,'Paramètres'!$M:$M,0))&amp;"",""))),0,IF($L867="Débit",$K867,IF($P867=1,-$K867,0))))</f>
        <v>212</v>
      </c>
      <c r="R867" s="6">
        <f>IF($K867="","",IF($L867="Crédit",$K867,-$K867))</f>
        <v>-212</v>
      </c>
      <c r="S867" s="6" t="str">
        <f>IF($C867="","",IFERROR(INDEX('Paramètres'!$H:$H,MATCH($C867,'Paramètres'!$D:$D,0))&amp;"",""))</f>
        <v/>
      </c>
      <c r="T867" s="6">
        <f>IF($K867="","",IF($S867="",0,IF(ISNUMBER(SEARCH("apport-exterieur",IFERROR(INDEX('Paramètres'!$N:$N,MATCH($D867,'Paramètres'!$M:$M,0))&amp;"",""))),0,IF(OR(IFERROR(INDEX('Paramètres'!$I:$I,MATCH($C867,'Paramètres'!$D:$D,0))&amp;"","")="Les deux",IFERROR(INDEX('Paramètres'!$I:$I,MATCH($C867,'Paramètres'!$D:$D,0))&amp;"","")=IF($P867=1,"Débit",$L867)),-IF($P867=1,-$K867,$K867),0))))</f>
        <v>0</v>
      </c>
      <c r="U867" s="6">
        <f>IF($K867="","",IF(ISNUMBER(SEARCH("sortie-epargne",IFERROR(INDEX('Paramètres'!$N:$N,MATCH($D867,'Paramètres'!$M:$M,0))&amp;"",""))),$K867,0))</f>
        <v>0</v>
      </c>
      <c r="V867" s="6" t="str">
        <f>IF(AND($A867&lt;&gt;"",$O867=1,$L867="Débit",N($Q867)&gt;0,$A867&gt;=Visualisation!$B$1,$A867&lt;Visualisation!$D$1),MAX($V$1:V866)+1,"")</f>
        <v/>
      </c>
    </row>
    <row r="868" spans="1:22" x14ac:dyDescent="0.25">
      <c r="A868" s="9">
        <v>46160</v>
      </c>
      <c r="B868" s="4" t="s">
        <v>76</v>
      </c>
      <c r="C868" s="4" t="s">
        <v>60</v>
      </c>
      <c r="D868" s="4" t="s">
        <v>77</v>
      </c>
      <c r="E868" s="10">
        <v>26.06</v>
      </c>
      <c r="G868" s="4" t="s">
        <v>98</v>
      </c>
      <c r="H868" s="4"/>
      <c r="I868" s="4" t="s">
        <v>73</v>
      </c>
      <c r="K868" s="11">
        <f>IF($E868="","",ROUND($E868*IF(ISNA(MATCH($C868,'Paramètres'!$D:$D,0)),1,IF(INDEX('Paramètres'!$J:$J,MATCH($C868,'Paramètres'!$D:$D,0))="",1,INDEX('Paramètres'!$J:$J,MATCH($C868,'Paramètres'!$D:$D,0)))),2))</f>
        <v>13.03</v>
      </c>
      <c r="L868" s="6" t="str">
        <f>IF($D868="","",IF($F868&lt;&gt;"",$F868,IF(ISNA(MATCH($D868,'Paramètres'!$M:$M,0)),"⚠ Type inconnu",IFERROR(INDEX('Paramètres'!$P:$P,MATCH($D868,'Paramètres'!$M:$M,0))&amp;"",""))))</f>
        <v>Débit</v>
      </c>
      <c r="M868" s="6" t="str">
        <f>IF($D868="","",IF(ISNA(MATCH($D868,'Paramètres'!$M:$M,0)),"⚠ Type inconnu",IF($L868="Crédit","",IFERROR(INDEX('Paramètres'!$O:$O,MATCH($D868,'Paramètres'!$M:$M,0))&amp;"",""))))</f>
        <v>Dépense Courante</v>
      </c>
      <c r="N868" s="6" t="str">
        <f>IF($D868="","",IFERROR(INDEX('Paramètres'!$Q:$Q,MATCH($D868,'Paramètres'!$M:$M,0))&amp;"",""))</f>
        <v>Alimentation</v>
      </c>
      <c r="O868" s="6">
        <f>IF($A868="","",IF(OR($J868&lt;&gt;"x",$A868&lt;=FinReleve),1,0))</f>
        <v>1</v>
      </c>
      <c r="P868" s="6">
        <f>IF($D868="","",IF(AND($L868="Crédit",OR(IFERROR(INDEX('Paramètres'!$O:$O,MATCH($D868,'Paramètres'!$M:$M,0))&amp;"","")&lt;&gt;"",ISNUMBER(SEARCH("remboursement",IFERROR(INDEX('Paramètres'!$N:$N,MATCH($D868,'Paramètres'!$M:$M,0))&amp;"",""))))),1,0))</f>
        <v>0</v>
      </c>
      <c r="Q868" s="6">
        <f>IF($K868="","",IF(ISNUMBER(SEARCH("transfert-interne",IFERROR(INDEX('Paramètres'!$N:$N,MATCH($D868,'Paramètres'!$M:$M,0))&amp;"",""))),0,IF($L868="Débit",$K868,IF($P868=1,-$K868,0))))</f>
        <v>13.03</v>
      </c>
      <c r="R868" s="6">
        <f>IF($K868="","",IF($L868="Crédit",$K868,-$K868))</f>
        <v>-13.03</v>
      </c>
      <c r="S868" s="6" t="str">
        <f>IF($C868="","",IFERROR(INDEX('Paramètres'!$H:$H,MATCH($C868,'Paramètres'!$D:$D,0))&amp;"",""))</f>
        <v>Banque A - Courant</v>
      </c>
      <c r="T868" s="6">
        <f>IF($K868="","",IF($S868="",0,IF(ISNUMBER(SEARCH("apport-exterieur",IFERROR(INDEX('Paramètres'!$N:$N,MATCH($D868,'Paramètres'!$M:$M,0))&amp;"",""))),0,IF(OR(IFERROR(INDEX('Paramètres'!$I:$I,MATCH($C868,'Paramètres'!$D:$D,0))&amp;"","")="Les deux",IFERROR(INDEX('Paramètres'!$I:$I,MATCH($C868,'Paramètres'!$D:$D,0))&amp;"","")=IF($P868=1,"Débit",$L868)),-IF($P868=1,-$K868,$K868),0))))</f>
        <v>-13.03</v>
      </c>
      <c r="U868" s="6">
        <f>IF($K868="","",IF(ISNUMBER(SEARCH("sortie-epargne",IFERROR(INDEX('Paramètres'!$N:$N,MATCH($D868,'Paramètres'!$M:$M,0))&amp;"",""))),$K868,0))</f>
        <v>0</v>
      </c>
      <c r="V868" s="6" t="str">
        <f>IF(AND($A868&lt;&gt;"",$O868=1,$L868="Débit",N($Q868)&gt;0,$A868&gt;=Visualisation!$B$1,$A868&lt;Visualisation!$D$1),MAX($V$1:V867)+1,"")</f>
        <v/>
      </c>
    </row>
    <row r="869" spans="1:22" x14ac:dyDescent="0.25">
      <c r="A869" s="9">
        <v>46160</v>
      </c>
      <c r="B869" s="4" t="s">
        <v>69</v>
      </c>
      <c r="C869" s="4" t="s">
        <v>70</v>
      </c>
      <c r="D869" s="4" t="s">
        <v>71</v>
      </c>
      <c r="E869" s="10">
        <v>9.54</v>
      </c>
      <c r="G869" s="4" t="s">
        <v>72</v>
      </c>
      <c r="H869" s="4"/>
      <c r="I869" s="4" t="s">
        <v>79</v>
      </c>
      <c r="K869" s="11">
        <f>IF($E869="","",ROUND($E869*IF(ISNA(MATCH($C869,'Paramètres'!$D:$D,0)),1,IF(INDEX('Paramètres'!$J:$J,MATCH($C869,'Paramètres'!$D:$D,0))="",1,INDEX('Paramètres'!$J:$J,MATCH($C869,'Paramètres'!$D:$D,0)))),2))</f>
        <v>9.54</v>
      </c>
      <c r="L869" s="6" t="str">
        <f>IF($D869="","",IF($F869&lt;&gt;"",$F869,IF(ISNA(MATCH($D869,'Paramètres'!$M:$M,0)),"⚠ Type inconnu",IFERROR(INDEX('Paramètres'!$P:$P,MATCH($D869,'Paramètres'!$M:$M,0))&amp;"",""))))</f>
        <v>Débit</v>
      </c>
      <c r="M869" s="6" t="str">
        <f>IF($D869="","",IF(ISNA(MATCH($D869,'Paramètres'!$M:$M,0)),"⚠ Type inconnu",IF($L869="Crédit","",IFERROR(INDEX('Paramètres'!$O:$O,MATCH($D869,'Paramètres'!$M:$M,0))&amp;"",""))))</f>
        <v>Dépense Courante</v>
      </c>
      <c r="N869" s="6" t="str">
        <f>IF($D869="","",IFERROR(INDEX('Paramètres'!$Q:$Q,MATCH($D869,'Paramètres'!$M:$M,0))&amp;"",""))</f>
        <v>Alimentation</v>
      </c>
      <c r="O869" s="6">
        <f>IF($A869="","",IF(OR($J869&lt;&gt;"x",$A869&lt;=FinReleve),1,0))</f>
        <v>1</v>
      </c>
      <c r="P869" s="6">
        <f>IF($D869="","",IF(AND($L869="Crédit",OR(IFERROR(INDEX('Paramètres'!$O:$O,MATCH($D869,'Paramètres'!$M:$M,0))&amp;"","")&lt;&gt;"",ISNUMBER(SEARCH("remboursement",IFERROR(INDEX('Paramètres'!$N:$N,MATCH($D869,'Paramètres'!$M:$M,0))&amp;"",""))))),1,0))</f>
        <v>0</v>
      </c>
      <c r="Q869" s="6">
        <f>IF($K869="","",IF(ISNUMBER(SEARCH("transfert-interne",IFERROR(INDEX('Paramètres'!$N:$N,MATCH($D869,'Paramètres'!$M:$M,0))&amp;"",""))),0,IF($L869="Débit",$K869,IF($P869=1,-$K869,0))))</f>
        <v>9.54</v>
      </c>
      <c r="R869" s="6">
        <f>IF($K869="","",IF($L869="Crédit",$K869,-$K869))</f>
        <v>-9.54</v>
      </c>
      <c r="S869" s="6" t="str">
        <f>IF($C869="","",IFERROR(INDEX('Paramètres'!$H:$H,MATCH($C869,'Paramètres'!$D:$D,0))&amp;"",""))</f>
        <v/>
      </c>
      <c r="T869" s="6">
        <f>IF($K869="","",IF($S869="",0,IF(ISNUMBER(SEARCH("apport-exterieur",IFERROR(INDEX('Paramètres'!$N:$N,MATCH($D869,'Paramètres'!$M:$M,0))&amp;"",""))),0,IF(OR(IFERROR(INDEX('Paramètres'!$I:$I,MATCH($C869,'Paramètres'!$D:$D,0))&amp;"","")="Les deux",IFERROR(INDEX('Paramètres'!$I:$I,MATCH($C869,'Paramètres'!$D:$D,0))&amp;"","")=IF($P869=1,"Débit",$L869)),-IF($P869=1,-$K869,$K869),0))))</f>
        <v>0</v>
      </c>
      <c r="U869" s="6">
        <f>IF($K869="","",IF(ISNUMBER(SEARCH("sortie-epargne",IFERROR(INDEX('Paramètres'!$N:$N,MATCH($D869,'Paramètres'!$M:$M,0))&amp;"",""))),$K869,0))</f>
        <v>0</v>
      </c>
      <c r="V869" s="6" t="str">
        <f>IF(AND($A869&lt;&gt;"",$O869=1,$L869="Débit",N($Q869)&gt;0,$A869&gt;=Visualisation!$B$1,$A869&lt;Visualisation!$D$1),MAX($V$1:V868)+1,"")</f>
        <v/>
      </c>
    </row>
    <row r="870" spans="1:22" x14ac:dyDescent="0.25">
      <c r="A870" s="9">
        <v>46160</v>
      </c>
      <c r="B870" s="4" t="s">
        <v>119</v>
      </c>
      <c r="C870" s="4" t="s">
        <v>60</v>
      </c>
      <c r="D870" s="4" t="s">
        <v>119</v>
      </c>
      <c r="E870" s="10">
        <v>143.64</v>
      </c>
      <c r="G870" s="4" t="s">
        <v>119</v>
      </c>
      <c r="H870" s="4"/>
      <c r="I870" s="4" t="s">
        <v>63</v>
      </c>
      <c r="K870" s="11">
        <f>IF($E870="","",ROUND($E870*IF(ISNA(MATCH($C870,'Paramètres'!$D:$D,0)),1,IF(INDEX('Paramètres'!$J:$J,MATCH($C870,'Paramètres'!$D:$D,0))="",1,INDEX('Paramètres'!$J:$J,MATCH($C870,'Paramètres'!$D:$D,0)))),2))</f>
        <v>71.82</v>
      </c>
      <c r="L870" s="6" t="str">
        <f>IF($D870="","",IF($F870&lt;&gt;"",$F870,IF(ISNA(MATCH($D870,'Paramètres'!$M:$M,0)),"⚠ Type inconnu",IFERROR(INDEX('Paramètres'!$P:$P,MATCH($D870,'Paramètres'!$M:$M,0))&amp;"",""))))</f>
        <v>Débit</v>
      </c>
      <c r="M870" s="6" t="str">
        <f>IF($D870="","",IF(ISNA(MATCH($D870,'Paramètres'!$M:$M,0)),"⚠ Type inconnu",IF($L870="Crédit","",IFERROR(INDEX('Paramètres'!$O:$O,MATCH($D870,'Paramètres'!$M:$M,0))&amp;"",""))))</f>
        <v>Dépense Occasionnelle</v>
      </c>
      <c r="N870" s="6" t="str">
        <f>IF($D870="","",IFERROR(INDEX('Paramètres'!$Q:$Q,MATCH($D870,'Paramètres'!$M:$M,0))&amp;"",""))</f>
        <v>Alimentation</v>
      </c>
      <c r="O870" s="6">
        <f>IF($A870="","",IF(OR($J870&lt;&gt;"x",$A870&lt;=FinReleve),1,0))</f>
        <v>1</v>
      </c>
      <c r="P870" s="6">
        <f>IF($D870="","",IF(AND($L870="Crédit",OR(IFERROR(INDEX('Paramètres'!$O:$O,MATCH($D870,'Paramètres'!$M:$M,0))&amp;"","")&lt;&gt;"",ISNUMBER(SEARCH("remboursement",IFERROR(INDEX('Paramètres'!$N:$N,MATCH($D870,'Paramètres'!$M:$M,0))&amp;"",""))))),1,0))</f>
        <v>0</v>
      </c>
      <c r="Q870" s="6">
        <f>IF($K870="","",IF(ISNUMBER(SEARCH("transfert-interne",IFERROR(INDEX('Paramètres'!$N:$N,MATCH($D870,'Paramètres'!$M:$M,0))&amp;"",""))),0,IF($L870="Débit",$K870,IF($P870=1,-$K870,0))))</f>
        <v>71.82</v>
      </c>
      <c r="R870" s="6">
        <f>IF($K870="","",IF($L870="Crédit",$K870,-$K870))</f>
        <v>-71.82</v>
      </c>
      <c r="S870" s="6" t="str">
        <f>IF($C870="","",IFERROR(INDEX('Paramètres'!$H:$H,MATCH($C870,'Paramètres'!$D:$D,0))&amp;"",""))</f>
        <v>Banque A - Courant</v>
      </c>
      <c r="T870" s="6">
        <f>IF($K870="","",IF($S870="",0,IF(ISNUMBER(SEARCH("apport-exterieur",IFERROR(INDEX('Paramètres'!$N:$N,MATCH($D870,'Paramètres'!$M:$M,0))&amp;"",""))),0,IF(OR(IFERROR(INDEX('Paramètres'!$I:$I,MATCH($C870,'Paramètres'!$D:$D,0))&amp;"","")="Les deux",IFERROR(INDEX('Paramètres'!$I:$I,MATCH($C870,'Paramètres'!$D:$D,0))&amp;"","")=IF($P870=1,"Débit",$L870)),-IF($P870=1,-$K870,$K870),0))))</f>
        <v>-71.82</v>
      </c>
      <c r="U870" s="6">
        <f>IF($K870="","",IF(ISNUMBER(SEARCH("sortie-epargne",IFERROR(INDEX('Paramètres'!$N:$N,MATCH($D870,'Paramètres'!$M:$M,0))&amp;"",""))),$K870,0))</f>
        <v>0</v>
      </c>
      <c r="V870" s="6" t="str">
        <f>IF(AND($A870&lt;&gt;"",$O870=1,$L870="Débit",N($Q870)&gt;0,$A870&gt;=Visualisation!$B$1,$A870&lt;Visualisation!$D$1),MAX($V$1:V869)+1,"")</f>
        <v/>
      </c>
    </row>
    <row r="871" spans="1:22" x14ac:dyDescent="0.25">
      <c r="A871" s="9">
        <v>46161</v>
      </c>
      <c r="B871" s="4" t="s">
        <v>76</v>
      </c>
      <c r="C871" s="4" t="s">
        <v>67</v>
      </c>
      <c r="D871" s="4" t="s">
        <v>77</v>
      </c>
      <c r="E871" s="10">
        <v>25.34</v>
      </c>
      <c r="G871" s="4" t="s">
        <v>102</v>
      </c>
      <c r="H871" s="4"/>
      <c r="I871" s="4" t="s">
        <v>79</v>
      </c>
      <c r="K871" s="11">
        <f>IF($E871="","",ROUND($E871*IF(ISNA(MATCH($C871,'Paramètres'!$D:$D,0)),1,IF(INDEX('Paramètres'!$J:$J,MATCH($C871,'Paramètres'!$D:$D,0))="",1,INDEX('Paramètres'!$J:$J,MATCH($C871,'Paramètres'!$D:$D,0)))),2))</f>
        <v>12.67</v>
      </c>
      <c r="L871" s="6" t="str">
        <f>IF($D871="","",IF($F871&lt;&gt;"",$F871,IF(ISNA(MATCH($D871,'Paramètres'!$M:$M,0)),"⚠ Type inconnu",IFERROR(INDEX('Paramètres'!$P:$P,MATCH($D871,'Paramètres'!$M:$M,0))&amp;"",""))))</f>
        <v>Débit</v>
      </c>
      <c r="M871" s="6" t="str">
        <f>IF($D871="","",IF(ISNA(MATCH($D871,'Paramètres'!$M:$M,0)),"⚠ Type inconnu",IF($L871="Crédit","",IFERROR(INDEX('Paramètres'!$O:$O,MATCH($D871,'Paramètres'!$M:$M,0))&amp;"",""))))</f>
        <v>Dépense Courante</v>
      </c>
      <c r="N871" s="6" t="str">
        <f>IF($D871="","",IFERROR(INDEX('Paramètres'!$Q:$Q,MATCH($D871,'Paramètres'!$M:$M,0))&amp;"",""))</f>
        <v>Alimentation</v>
      </c>
      <c r="O871" s="6">
        <f>IF($A871="","",IF(OR($J871&lt;&gt;"x",$A871&lt;=FinReleve),1,0))</f>
        <v>1</v>
      </c>
      <c r="P871" s="6">
        <f>IF($D871="","",IF(AND($L871="Crédit",OR(IFERROR(INDEX('Paramètres'!$O:$O,MATCH($D871,'Paramètres'!$M:$M,0))&amp;"","")&lt;&gt;"",ISNUMBER(SEARCH("remboursement",IFERROR(INDEX('Paramètres'!$N:$N,MATCH($D871,'Paramètres'!$M:$M,0))&amp;"",""))))),1,0))</f>
        <v>0</v>
      </c>
      <c r="Q871" s="6">
        <f>IF($K871="","",IF(ISNUMBER(SEARCH("transfert-interne",IFERROR(INDEX('Paramètres'!$N:$N,MATCH($D871,'Paramètres'!$M:$M,0))&amp;"",""))),0,IF($L871="Débit",$K871,IF($P871=1,-$K871,0))))</f>
        <v>12.67</v>
      </c>
      <c r="R871" s="6">
        <f>IF($K871="","",IF($L871="Crédit",$K871,-$K871))</f>
        <v>-12.67</v>
      </c>
      <c r="S871" s="6" t="str">
        <f>IF($C871="","",IFERROR(INDEX('Paramètres'!$H:$H,MATCH($C871,'Paramètres'!$D:$D,0))&amp;"",""))</f>
        <v>Banque A - Courant</v>
      </c>
      <c r="T871" s="6">
        <f>IF($K871="","",IF($S871="",0,IF(ISNUMBER(SEARCH("apport-exterieur",IFERROR(INDEX('Paramètres'!$N:$N,MATCH($D871,'Paramètres'!$M:$M,0))&amp;"",""))),0,IF(OR(IFERROR(INDEX('Paramètres'!$I:$I,MATCH($C871,'Paramètres'!$D:$D,0))&amp;"","")="Les deux",IFERROR(INDEX('Paramètres'!$I:$I,MATCH($C871,'Paramètres'!$D:$D,0))&amp;"","")=IF($P871=1,"Débit",$L871)),-IF($P871=1,-$K871,$K871),0))))</f>
        <v>0</v>
      </c>
      <c r="U871" s="6">
        <f>IF($K871="","",IF(ISNUMBER(SEARCH("sortie-epargne",IFERROR(INDEX('Paramètres'!$N:$N,MATCH($D871,'Paramètres'!$M:$M,0))&amp;"",""))),$K871,0))</f>
        <v>0</v>
      </c>
      <c r="V871" s="6" t="str">
        <f>IF(AND($A871&lt;&gt;"",$O871=1,$L871="Débit",N($Q871)&gt;0,$A871&gt;=Visualisation!$B$1,$A871&lt;Visualisation!$D$1),MAX($V$1:V870)+1,"")</f>
        <v/>
      </c>
    </row>
    <row r="872" spans="1:22" x14ac:dyDescent="0.25">
      <c r="A872" s="9">
        <v>46162</v>
      </c>
      <c r="B872" s="4" t="s">
        <v>76</v>
      </c>
      <c r="C872" s="4" t="s">
        <v>60</v>
      </c>
      <c r="D872" s="4" t="s">
        <v>77</v>
      </c>
      <c r="E872" s="10">
        <v>96.38</v>
      </c>
      <c r="G872" s="4" t="s">
        <v>98</v>
      </c>
      <c r="H872" s="4"/>
      <c r="I872" s="4" t="s">
        <v>73</v>
      </c>
      <c r="K872" s="11">
        <f>IF($E872="","",ROUND($E872*IF(ISNA(MATCH($C872,'Paramètres'!$D:$D,0)),1,IF(INDEX('Paramètres'!$J:$J,MATCH($C872,'Paramètres'!$D:$D,0))="",1,INDEX('Paramètres'!$J:$J,MATCH($C872,'Paramètres'!$D:$D,0)))),2))</f>
        <v>48.19</v>
      </c>
      <c r="L872" s="6" t="str">
        <f>IF($D872="","",IF($F872&lt;&gt;"",$F872,IF(ISNA(MATCH($D872,'Paramètres'!$M:$M,0)),"⚠ Type inconnu",IFERROR(INDEX('Paramètres'!$P:$P,MATCH($D872,'Paramètres'!$M:$M,0))&amp;"",""))))</f>
        <v>Débit</v>
      </c>
      <c r="M872" s="6" t="str">
        <f>IF($D872="","",IF(ISNA(MATCH($D872,'Paramètres'!$M:$M,0)),"⚠ Type inconnu",IF($L872="Crédit","",IFERROR(INDEX('Paramètres'!$O:$O,MATCH($D872,'Paramètres'!$M:$M,0))&amp;"",""))))</f>
        <v>Dépense Courante</v>
      </c>
      <c r="N872" s="6" t="str">
        <f>IF($D872="","",IFERROR(INDEX('Paramètres'!$Q:$Q,MATCH($D872,'Paramètres'!$M:$M,0))&amp;"",""))</f>
        <v>Alimentation</v>
      </c>
      <c r="O872" s="6">
        <f>IF($A872="","",IF(OR($J872&lt;&gt;"x",$A872&lt;=FinReleve),1,0))</f>
        <v>1</v>
      </c>
      <c r="P872" s="6">
        <f>IF($D872="","",IF(AND($L872="Crédit",OR(IFERROR(INDEX('Paramètres'!$O:$O,MATCH($D872,'Paramètres'!$M:$M,0))&amp;"","")&lt;&gt;"",ISNUMBER(SEARCH("remboursement",IFERROR(INDEX('Paramètres'!$N:$N,MATCH($D872,'Paramètres'!$M:$M,0))&amp;"",""))))),1,0))</f>
        <v>0</v>
      </c>
      <c r="Q872" s="6">
        <f>IF($K872="","",IF(ISNUMBER(SEARCH("transfert-interne",IFERROR(INDEX('Paramètres'!$N:$N,MATCH($D872,'Paramètres'!$M:$M,0))&amp;"",""))),0,IF($L872="Débit",$K872,IF($P872=1,-$K872,0))))</f>
        <v>48.19</v>
      </c>
      <c r="R872" s="6">
        <f>IF($K872="","",IF($L872="Crédit",$K872,-$K872))</f>
        <v>-48.19</v>
      </c>
      <c r="S872" s="6" t="str">
        <f>IF($C872="","",IFERROR(INDEX('Paramètres'!$H:$H,MATCH($C872,'Paramètres'!$D:$D,0))&amp;"",""))</f>
        <v>Banque A - Courant</v>
      </c>
      <c r="T872" s="6">
        <f>IF($K872="","",IF($S872="",0,IF(ISNUMBER(SEARCH("apport-exterieur",IFERROR(INDEX('Paramètres'!$N:$N,MATCH($D872,'Paramètres'!$M:$M,0))&amp;"",""))),0,IF(OR(IFERROR(INDEX('Paramètres'!$I:$I,MATCH($C872,'Paramètres'!$D:$D,0))&amp;"","")="Les deux",IFERROR(INDEX('Paramètres'!$I:$I,MATCH($C872,'Paramètres'!$D:$D,0))&amp;"","")=IF($P872=1,"Débit",$L872)),-IF($P872=1,-$K872,$K872),0))))</f>
        <v>-48.19</v>
      </c>
      <c r="U872" s="6">
        <f>IF($K872="","",IF(ISNUMBER(SEARCH("sortie-epargne",IFERROR(INDEX('Paramètres'!$N:$N,MATCH($D872,'Paramètres'!$M:$M,0))&amp;"",""))),$K872,0))</f>
        <v>0</v>
      </c>
      <c r="V872" s="6" t="str">
        <f>IF(AND($A872&lt;&gt;"",$O872=1,$L872="Débit",N($Q872)&gt;0,$A872&gt;=Visualisation!$B$1,$A872&lt;Visualisation!$D$1),MAX($V$1:V871)+1,"")</f>
        <v/>
      </c>
    </row>
    <row r="873" spans="1:22" x14ac:dyDescent="0.25">
      <c r="A873" s="9">
        <v>46162</v>
      </c>
      <c r="B873" s="4" t="s">
        <v>69</v>
      </c>
      <c r="C873" s="4" t="s">
        <v>70</v>
      </c>
      <c r="D873" s="4" t="s">
        <v>71</v>
      </c>
      <c r="E873" s="10">
        <v>9.76</v>
      </c>
      <c r="G873" s="4" t="s">
        <v>72</v>
      </c>
      <c r="H873" s="4"/>
      <c r="I873" s="4" t="s">
        <v>63</v>
      </c>
      <c r="K873" s="11">
        <f>IF($E873="","",ROUND($E873*IF(ISNA(MATCH($C873,'Paramètres'!$D:$D,0)),1,IF(INDEX('Paramètres'!$J:$J,MATCH($C873,'Paramètres'!$D:$D,0))="",1,INDEX('Paramètres'!$J:$J,MATCH($C873,'Paramètres'!$D:$D,0)))),2))</f>
        <v>9.76</v>
      </c>
      <c r="L873" s="6" t="str">
        <f>IF($D873="","",IF($F873&lt;&gt;"",$F873,IF(ISNA(MATCH($D873,'Paramètres'!$M:$M,0)),"⚠ Type inconnu",IFERROR(INDEX('Paramètres'!$P:$P,MATCH($D873,'Paramètres'!$M:$M,0))&amp;"",""))))</f>
        <v>Débit</v>
      </c>
      <c r="M873" s="6" t="str">
        <f>IF($D873="","",IF(ISNA(MATCH($D873,'Paramètres'!$M:$M,0)),"⚠ Type inconnu",IF($L873="Crédit","",IFERROR(INDEX('Paramètres'!$O:$O,MATCH($D873,'Paramètres'!$M:$M,0))&amp;"",""))))</f>
        <v>Dépense Courante</v>
      </c>
      <c r="N873" s="6" t="str">
        <f>IF($D873="","",IFERROR(INDEX('Paramètres'!$Q:$Q,MATCH($D873,'Paramètres'!$M:$M,0))&amp;"",""))</f>
        <v>Alimentation</v>
      </c>
      <c r="O873" s="6">
        <f>IF($A873="","",IF(OR($J873&lt;&gt;"x",$A873&lt;=FinReleve),1,0))</f>
        <v>1</v>
      </c>
      <c r="P873" s="6">
        <f>IF($D873="","",IF(AND($L873="Crédit",OR(IFERROR(INDEX('Paramètres'!$O:$O,MATCH($D873,'Paramètres'!$M:$M,0))&amp;"","")&lt;&gt;"",ISNUMBER(SEARCH("remboursement",IFERROR(INDEX('Paramètres'!$N:$N,MATCH($D873,'Paramètres'!$M:$M,0))&amp;"",""))))),1,0))</f>
        <v>0</v>
      </c>
      <c r="Q873" s="6">
        <f>IF($K873="","",IF(ISNUMBER(SEARCH("transfert-interne",IFERROR(INDEX('Paramètres'!$N:$N,MATCH($D873,'Paramètres'!$M:$M,0))&amp;"",""))),0,IF($L873="Débit",$K873,IF($P873=1,-$K873,0))))</f>
        <v>9.76</v>
      </c>
      <c r="R873" s="6">
        <f>IF($K873="","",IF($L873="Crédit",$K873,-$K873))</f>
        <v>-9.76</v>
      </c>
      <c r="S873" s="6" t="str">
        <f>IF($C873="","",IFERROR(INDEX('Paramètres'!$H:$H,MATCH($C873,'Paramètres'!$D:$D,0))&amp;"",""))</f>
        <v/>
      </c>
      <c r="T873" s="6">
        <f>IF($K873="","",IF($S873="",0,IF(ISNUMBER(SEARCH("apport-exterieur",IFERROR(INDEX('Paramètres'!$N:$N,MATCH($D873,'Paramètres'!$M:$M,0))&amp;"",""))),0,IF(OR(IFERROR(INDEX('Paramètres'!$I:$I,MATCH($C873,'Paramètres'!$D:$D,0))&amp;"","")="Les deux",IFERROR(INDEX('Paramètres'!$I:$I,MATCH($C873,'Paramètres'!$D:$D,0))&amp;"","")=IF($P873=1,"Débit",$L873)),-IF($P873=1,-$K873,$K873),0))))</f>
        <v>0</v>
      </c>
      <c r="U873" s="6">
        <f>IF($K873="","",IF(ISNUMBER(SEARCH("sortie-epargne",IFERROR(INDEX('Paramètres'!$N:$N,MATCH($D873,'Paramètres'!$M:$M,0))&amp;"",""))),$K873,0))</f>
        <v>0</v>
      </c>
      <c r="V873" s="6" t="str">
        <f>IF(AND($A873&lt;&gt;"",$O873=1,$L873="Débit",N($Q873)&gt;0,$A873&gt;=Visualisation!$B$1,$A873&lt;Visualisation!$D$1),MAX($V$1:V872)+1,"")</f>
        <v/>
      </c>
    </row>
    <row r="874" spans="1:22" x14ac:dyDescent="0.25">
      <c r="A874" s="9">
        <v>46165</v>
      </c>
      <c r="B874" s="4" t="s">
        <v>76</v>
      </c>
      <c r="C874" s="4" t="s">
        <v>67</v>
      </c>
      <c r="D874" s="4" t="s">
        <v>77</v>
      </c>
      <c r="E874" s="10">
        <v>84.44</v>
      </c>
      <c r="G874" s="4" t="s">
        <v>95</v>
      </c>
      <c r="H874" s="4"/>
      <c r="I874" s="4"/>
      <c r="K874" s="11">
        <f>IF($E874="","",ROUND($E874*IF(ISNA(MATCH($C874,'Paramètres'!$D:$D,0)),1,IF(INDEX('Paramètres'!$J:$J,MATCH($C874,'Paramètres'!$D:$D,0))="",1,INDEX('Paramètres'!$J:$J,MATCH($C874,'Paramètres'!$D:$D,0)))),2))</f>
        <v>42.22</v>
      </c>
      <c r="L874" s="6" t="str">
        <f>IF($D874="","",IF($F874&lt;&gt;"",$F874,IF(ISNA(MATCH($D874,'Paramètres'!$M:$M,0)),"⚠ Type inconnu",IFERROR(INDEX('Paramètres'!$P:$P,MATCH($D874,'Paramètres'!$M:$M,0))&amp;"",""))))</f>
        <v>Débit</v>
      </c>
      <c r="M874" s="6" t="str">
        <f>IF($D874="","",IF(ISNA(MATCH($D874,'Paramètres'!$M:$M,0)),"⚠ Type inconnu",IF($L874="Crédit","",IFERROR(INDEX('Paramètres'!$O:$O,MATCH($D874,'Paramètres'!$M:$M,0))&amp;"",""))))</f>
        <v>Dépense Courante</v>
      </c>
      <c r="N874" s="6" t="str">
        <f>IF($D874="","",IFERROR(INDEX('Paramètres'!$Q:$Q,MATCH($D874,'Paramètres'!$M:$M,0))&amp;"",""))</f>
        <v>Alimentation</v>
      </c>
      <c r="O874" s="6">
        <f>IF($A874="","",IF(OR($J874&lt;&gt;"x",$A874&lt;=FinReleve),1,0))</f>
        <v>1</v>
      </c>
      <c r="P874" s="6">
        <f>IF($D874="","",IF(AND($L874="Crédit",OR(IFERROR(INDEX('Paramètres'!$O:$O,MATCH($D874,'Paramètres'!$M:$M,0))&amp;"","")&lt;&gt;"",ISNUMBER(SEARCH("remboursement",IFERROR(INDEX('Paramètres'!$N:$N,MATCH($D874,'Paramètres'!$M:$M,0))&amp;"",""))))),1,0))</f>
        <v>0</v>
      </c>
      <c r="Q874" s="6">
        <f>IF($K874="","",IF(ISNUMBER(SEARCH("transfert-interne",IFERROR(INDEX('Paramètres'!$N:$N,MATCH($D874,'Paramètres'!$M:$M,0))&amp;"",""))),0,IF($L874="Débit",$K874,IF($P874=1,-$K874,0))))</f>
        <v>42.22</v>
      </c>
      <c r="R874" s="6">
        <f>IF($K874="","",IF($L874="Crédit",$K874,-$K874))</f>
        <v>-42.22</v>
      </c>
      <c r="S874" s="6" t="str">
        <f>IF($C874="","",IFERROR(INDEX('Paramètres'!$H:$H,MATCH($C874,'Paramètres'!$D:$D,0))&amp;"",""))</f>
        <v>Banque A - Courant</v>
      </c>
      <c r="T874" s="6">
        <f>IF($K874="","",IF($S874="",0,IF(ISNUMBER(SEARCH("apport-exterieur",IFERROR(INDEX('Paramètres'!$N:$N,MATCH($D874,'Paramètres'!$M:$M,0))&amp;"",""))),0,IF(OR(IFERROR(INDEX('Paramètres'!$I:$I,MATCH($C874,'Paramètres'!$D:$D,0))&amp;"","")="Les deux",IFERROR(INDEX('Paramètres'!$I:$I,MATCH($C874,'Paramètres'!$D:$D,0))&amp;"","")=IF($P874=1,"Débit",$L874)),-IF($P874=1,-$K874,$K874),0))))</f>
        <v>0</v>
      </c>
      <c r="U874" s="6">
        <f>IF($K874="","",IF(ISNUMBER(SEARCH("sortie-epargne",IFERROR(INDEX('Paramètres'!$N:$N,MATCH($D874,'Paramètres'!$M:$M,0))&amp;"",""))),$K874,0))</f>
        <v>0</v>
      </c>
      <c r="V874" s="6" t="str">
        <f>IF(AND($A874&lt;&gt;"",$O874=1,$L874="Débit",N($Q874)&gt;0,$A874&gt;=Visualisation!$B$1,$A874&lt;Visualisation!$D$1),MAX($V$1:V873)+1,"")</f>
        <v/>
      </c>
    </row>
    <row r="875" spans="1:22" x14ac:dyDescent="0.25">
      <c r="A875" s="9">
        <v>46165</v>
      </c>
      <c r="B875" s="4" t="s">
        <v>69</v>
      </c>
      <c r="C875" s="4" t="s">
        <v>70</v>
      </c>
      <c r="D875" s="4" t="s">
        <v>71</v>
      </c>
      <c r="E875" s="10">
        <v>14.07</v>
      </c>
      <c r="G875" s="4" t="s">
        <v>72</v>
      </c>
      <c r="H875" s="4"/>
      <c r="I875" s="4" t="s">
        <v>93</v>
      </c>
      <c r="K875" s="11">
        <f>IF($E875="","",ROUND($E875*IF(ISNA(MATCH($C875,'Paramètres'!$D:$D,0)),1,IF(INDEX('Paramètres'!$J:$J,MATCH($C875,'Paramètres'!$D:$D,0))="",1,INDEX('Paramètres'!$J:$J,MATCH($C875,'Paramètres'!$D:$D,0)))),2))</f>
        <v>14.07</v>
      </c>
      <c r="L875" s="6" t="str">
        <f>IF($D875="","",IF($F875&lt;&gt;"",$F875,IF(ISNA(MATCH($D875,'Paramètres'!$M:$M,0)),"⚠ Type inconnu",IFERROR(INDEX('Paramètres'!$P:$P,MATCH($D875,'Paramètres'!$M:$M,0))&amp;"",""))))</f>
        <v>Débit</v>
      </c>
      <c r="M875" s="6" t="str">
        <f>IF($D875="","",IF(ISNA(MATCH($D875,'Paramètres'!$M:$M,0)),"⚠ Type inconnu",IF($L875="Crédit","",IFERROR(INDEX('Paramètres'!$O:$O,MATCH($D875,'Paramètres'!$M:$M,0))&amp;"",""))))</f>
        <v>Dépense Courante</v>
      </c>
      <c r="N875" s="6" t="str">
        <f>IF($D875="","",IFERROR(INDEX('Paramètres'!$Q:$Q,MATCH($D875,'Paramètres'!$M:$M,0))&amp;"",""))</f>
        <v>Alimentation</v>
      </c>
      <c r="O875" s="6">
        <f>IF($A875="","",IF(OR($J875&lt;&gt;"x",$A875&lt;=FinReleve),1,0))</f>
        <v>1</v>
      </c>
      <c r="P875" s="6">
        <f>IF($D875="","",IF(AND($L875="Crédit",OR(IFERROR(INDEX('Paramètres'!$O:$O,MATCH($D875,'Paramètres'!$M:$M,0))&amp;"","")&lt;&gt;"",ISNUMBER(SEARCH("remboursement",IFERROR(INDEX('Paramètres'!$N:$N,MATCH($D875,'Paramètres'!$M:$M,0))&amp;"",""))))),1,0))</f>
        <v>0</v>
      </c>
      <c r="Q875" s="6">
        <f>IF($K875="","",IF(ISNUMBER(SEARCH("transfert-interne",IFERROR(INDEX('Paramètres'!$N:$N,MATCH($D875,'Paramètres'!$M:$M,0))&amp;"",""))),0,IF($L875="Débit",$K875,IF($P875=1,-$K875,0))))</f>
        <v>14.07</v>
      </c>
      <c r="R875" s="6">
        <f>IF($K875="","",IF($L875="Crédit",$K875,-$K875))</f>
        <v>-14.07</v>
      </c>
      <c r="S875" s="6" t="str">
        <f>IF($C875="","",IFERROR(INDEX('Paramètres'!$H:$H,MATCH($C875,'Paramètres'!$D:$D,0))&amp;"",""))</f>
        <v/>
      </c>
      <c r="T875" s="6">
        <f>IF($K875="","",IF($S875="",0,IF(ISNUMBER(SEARCH("apport-exterieur",IFERROR(INDEX('Paramètres'!$N:$N,MATCH($D875,'Paramètres'!$M:$M,0))&amp;"",""))),0,IF(OR(IFERROR(INDEX('Paramètres'!$I:$I,MATCH($C875,'Paramètres'!$D:$D,0))&amp;"","")="Les deux",IFERROR(INDEX('Paramètres'!$I:$I,MATCH($C875,'Paramètres'!$D:$D,0))&amp;"","")=IF($P875=1,"Débit",$L875)),-IF($P875=1,-$K875,$K875),0))))</f>
        <v>0</v>
      </c>
      <c r="U875" s="6">
        <f>IF($K875="","",IF(ISNUMBER(SEARCH("sortie-epargne",IFERROR(INDEX('Paramètres'!$N:$N,MATCH($D875,'Paramètres'!$M:$M,0))&amp;"",""))),$K875,0))</f>
        <v>0</v>
      </c>
      <c r="V875" s="6" t="str">
        <f>IF(AND($A875&lt;&gt;"",$O875=1,$L875="Débit",N($Q875)&gt;0,$A875&gt;=Visualisation!$B$1,$A875&lt;Visualisation!$D$1),MAX($V$1:V874)+1,"")</f>
        <v/>
      </c>
    </row>
    <row r="876" spans="1:22" x14ac:dyDescent="0.25">
      <c r="A876" s="9">
        <v>46167</v>
      </c>
      <c r="B876" s="4" t="s">
        <v>76</v>
      </c>
      <c r="C876" s="4" t="s">
        <v>67</v>
      </c>
      <c r="D876" s="4" t="s">
        <v>77</v>
      </c>
      <c r="E876" s="10">
        <v>59.3</v>
      </c>
      <c r="G876" s="4" t="s">
        <v>78</v>
      </c>
      <c r="H876" s="4"/>
      <c r="I876" s="4" t="s">
        <v>79</v>
      </c>
      <c r="K876" s="11">
        <f>IF($E876="","",ROUND($E876*IF(ISNA(MATCH($C876,'Paramètres'!$D:$D,0)),1,IF(INDEX('Paramètres'!$J:$J,MATCH($C876,'Paramètres'!$D:$D,0))="",1,INDEX('Paramètres'!$J:$J,MATCH($C876,'Paramètres'!$D:$D,0)))),2))</f>
        <v>29.65</v>
      </c>
      <c r="L876" s="6" t="str">
        <f>IF($D876="","",IF($F876&lt;&gt;"",$F876,IF(ISNA(MATCH($D876,'Paramètres'!$M:$M,0)),"⚠ Type inconnu",IFERROR(INDEX('Paramètres'!$P:$P,MATCH($D876,'Paramètres'!$M:$M,0))&amp;"",""))))</f>
        <v>Débit</v>
      </c>
      <c r="M876" s="6" t="str">
        <f>IF($D876="","",IF(ISNA(MATCH($D876,'Paramètres'!$M:$M,0)),"⚠ Type inconnu",IF($L876="Crédit","",IFERROR(INDEX('Paramètres'!$O:$O,MATCH($D876,'Paramètres'!$M:$M,0))&amp;"",""))))</f>
        <v>Dépense Courante</v>
      </c>
      <c r="N876" s="6" t="str">
        <f>IF($D876="","",IFERROR(INDEX('Paramètres'!$Q:$Q,MATCH($D876,'Paramètres'!$M:$M,0))&amp;"",""))</f>
        <v>Alimentation</v>
      </c>
      <c r="O876" s="6">
        <f>IF($A876="","",IF(OR($J876&lt;&gt;"x",$A876&lt;=FinReleve),1,0))</f>
        <v>1</v>
      </c>
      <c r="P876" s="6">
        <f>IF($D876="","",IF(AND($L876="Crédit",OR(IFERROR(INDEX('Paramètres'!$O:$O,MATCH($D876,'Paramètres'!$M:$M,0))&amp;"","")&lt;&gt;"",ISNUMBER(SEARCH("remboursement",IFERROR(INDEX('Paramètres'!$N:$N,MATCH($D876,'Paramètres'!$M:$M,0))&amp;"",""))))),1,0))</f>
        <v>0</v>
      </c>
      <c r="Q876" s="6">
        <f>IF($K876="","",IF(ISNUMBER(SEARCH("transfert-interne",IFERROR(INDEX('Paramètres'!$N:$N,MATCH($D876,'Paramètres'!$M:$M,0))&amp;"",""))),0,IF($L876="Débit",$K876,IF($P876=1,-$K876,0))))</f>
        <v>29.65</v>
      </c>
      <c r="R876" s="6">
        <f>IF($K876="","",IF($L876="Crédit",$K876,-$K876))</f>
        <v>-29.65</v>
      </c>
      <c r="S876" s="6" t="str">
        <f>IF($C876="","",IFERROR(INDEX('Paramètres'!$H:$H,MATCH($C876,'Paramètres'!$D:$D,0))&amp;"",""))</f>
        <v>Banque A - Courant</v>
      </c>
      <c r="T876" s="6">
        <f>IF($K876="","",IF($S876="",0,IF(ISNUMBER(SEARCH("apport-exterieur",IFERROR(INDEX('Paramètres'!$N:$N,MATCH($D876,'Paramètres'!$M:$M,0))&amp;"",""))),0,IF(OR(IFERROR(INDEX('Paramètres'!$I:$I,MATCH($C876,'Paramètres'!$D:$D,0))&amp;"","")="Les deux",IFERROR(INDEX('Paramètres'!$I:$I,MATCH($C876,'Paramètres'!$D:$D,0))&amp;"","")=IF($P876=1,"Débit",$L876)),-IF($P876=1,-$K876,$K876),0))))</f>
        <v>0</v>
      </c>
      <c r="U876" s="6">
        <f>IF($K876="","",IF(ISNUMBER(SEARCH("sortie-epargne",IFERROR(INDEX('Paramètres'!$N:$N,MATCH($D876,'Paramètres'!$M:$M,0))&amp;"",""))),$K876,0))</f>
        <v>0</v>
      </c>
      <c r="V876" s="6" t="str">
        <f>IF(AND($A876&lt;&gt;"",$O876=1,$L876="Débit",N($Q876)&gt;0,$A876&gt;=Visualisation!$B$1,$A876&lt;Visualisation!$D$1),MAX($V$1:V875)+1,"")</f>
        <v/>
      </c>
    </row>
    <row r="877" spans="1:22" x14ac:dyDescent="0.25">
      <c r="A877" s="9">
        <v>46168</v>
      </c>
      <c r="B877" s="4" t="s">
        <v>76</v>
      </c>
      <c r="C877" s="4" t="s">
        <v>67</v>
      </c>
      <c r="D877" s="4" t="s">
        <v>77</v>
      </c>
      <c r="E877" s="10">
        <v>116.1</v>
      </c>
      <c r="G877" s="4" t="s">
        <v>98</v>
      </c>
      <c r="H877" s="4"/>
      <c r="I877" s="4" t="s">
        <v>93</v>
      </c>
      <c r="K877" s="11">
        <f>IF($E877="","",ROUND($E877*IF(ISNA(MATCH($C877,'Paramètres'!$D:$D,0)),1,IF(INDEX('Paramètres'!$J:$J,MATCH($C877,'Paramètres'!$D:$D,0))="",1,INDEX('Paramètres'!$J:$J,MATCH($C877,'Paramètres'!$D:$D,0)))),2))</f>
        <v>58.05</v>
      </c>
      <c r="L877" s="6" t="str">
        <f>IF($D877="","",IF($F877&lt;&gt;"",$F877,IF(ISNA(MATCH($D877,'Paramètres'!$M:$M,0)),"⚠ Type inconnu",IFERROR(INDEX('Paramètres'!$P:$P,MATCH($D877,'Paramètres'!$M:$M,0))&amp;"",""))))</f>
        <v>Débit</v>
      </c>
      <c r="M877" s="6" t="str">
        <f>IF($D877="","",IF(ISNA(MATCH($D877,'Paramètres'!$M:$M,0)),"⚠ Type inconnu",IF($L877="Crédit","",IFERROR(INDEX('Paramètres'!$O:$O,MATCH($D877,'Paramètres'!$M:$M,0))&amp;"",""))))</f>
        <v>Dépense Courante</v>
      </c>
      <c r="N877" s="6" t="str">
        <f>IF($D877="","",IFERROR(INDEX('Paramètres'!$Q:$Q,MATCH($D877,'Paramètres'!$M:$M,0))&amp;"",""))</f>
        <v>Alimentation</v>
      </c>
      <c r="O877" s="6">
        <f>IF($A877="","",IF(OR($J877&lt;&gt;"x",$A877&lt;=FinReleve),1,0))</f>
        <v>1</v>
      </c>
      <c r="P877" s="6">
        <f>IF($D877="","",IF(AND($L877="Crédit",OR(IFERROR(INDEX('Paramètres'!$O:$O,MATCH($D877,'Paramètres'!$M:$M,0))&amp;"","")&lt;&gt;"",ISNUMBER(SEARCH("remboursement",IFERROR(INDEX('Paramètres'!$N:$N,MATCH($D877,'Paramètres'!$M:$M,0))&amp;"",""))))),1,0))</f>
        <v>0</v>
      </c>
      <c r="Q877" s="6">
        <f>IF($K877="","",IF(ISNUMBER(SEARCH("transfert-interne",IFERROR(INDEX('Paramètres'!$N:$N,MATCH($D877,'Paramètres'!$M:$M,0))&amp;"",""))),0,IF($L877="Débit",$K877,IF($P877=1,-$K877,0))))</f>
        <v>58.05</v>
      </c>
      <c r="R877" s="6">
        <f>IF($K877="","",IF($L877="Crédit",$K877,-$K877))</f>
        <v>-58.05</v>
      </c>
      <c r="S877" s="6" t="str">
        <f>IF($C877="","",IFERROR(INDEX('Paramètres'!$H:$H,MATCH($C877,'Paramètres'!$D:$D,0))&amp;"",""))</f>
        <v>Banque A - Courant</v>
      </c>
      <c r="T877" s="6">
        <f>IF($K877="","",IF($S877="",0,IF(ISNUMBER(SEARCH("apport-exterieur",IFERROR(INDEX('Paramètres'!$N:$N,MATCH($D877,'Paramètres'!$M:$M,0))&amp;"",""))),0,IF(OR(IFERROR(INDEX('Paramètres'!$I:$I,MATCH($C877,'Paramètres'!$D:$D,0))&amp;"","")="Les deux",IFERROR(INDEX('Paramètres'!$I:$I,MATCH($C877,'Paramètres'!$D:$D,0))&amp;"","")=IF($P877=1,"Débit",$L877)),-IF($P877=1,-$K877,$K877),0))))</f>
        <v>0</v>
      </c>
      <c r="U877" s="6">
        <f>IF($K877="","",IF(ISNUMBER(SEARCH("sortie-epargne",IFERROR(INDEX('Paramètres'!$N:$N,MATCH($D877,'Paramètres'!$M:$M,0))&amp;"",""))),$K877,0))</f>
        <v>0</v>
      </c>
      <c r="V877" s="6" t="str">
        <f>IF(AND($A877&lt;&gt;"",$O877=1,$L877="Débit",N($Q877)&gt;0,$A877&gt;=Visualisation!$B$1,$A877&lt;Visualisation!$D$1),MAX($V$1:V876)+1,"")</f>
        <v/>
      </c>
    </row>
    <row r="878" spans="1:22" x14ac:dyDescent="0.25">
      <c r="A878" s="9">
        <v>46168</v>
      </c>
      <c r="B878" s="4" t="s">
        <v>69</v>
      </c>
      <c r="C878" s="4" t="s">
        <v>70</v>
      </c>
      <c r="D878" s="4" t="s">
        <v>71</v>
      </c>
      <c r="E878" s="10">
        <v>7.83</v>
      </c>
      <c r="G878" s="4" t="s">
        <v>72</v>
      </c>
      <c r="H878" s="4"/>
      <c r="I878" s="4" t="s">
        <v>63</v>
      </c>
      <c r="K878" s="11">
        <f>IF($E878="","",ROUND($E878*IF(ISNA(MATCH($C878,'Paramètres'!$D:$D,0)),1,IF(INDEX('Paramètres'!$J:$J,MATCH($C878,'Paramètres'!$D:$D,0))="",1,INDEX('Paramètres'!$J:$J,MATCH($C878,'Paramètres'!$D:$D,0)))),2))</f>
        <v>7.83</v>
      </c>
      <c r="L878" s="6" t="str">
        <f>IF($D878="","",IF($F878&lt;&gt;"",$F878,IF(ISNA(MATCH($D878,'Paramètres'!$M:$M,0)),"⚠ Type inconnu",IFERROR(INDEX('Paramètres'!$P:$P,MATCH($D878,'Paramètres'!$M:$M,0))&amp;"",""))))</f>
        <v>Débit</v>
      </c>
      <c r="M878" s="6" t="str">
        <f>IF($D878="","",IF(ISNA(MATCH($D878,'Paramètres'!$M:$M,0)),"⚠ Type inconnu",IF($L878="Crédit","",IFERROR(INDEX('Paramètres'!$O:$O,MATCH($D878,'Paramètres'!$M:$M,0))&amp;"",""))))</f>
        <v>Dépense Courante</v>
      </c>
      <c r="N878" s="6" t="str">
        <f>IF($D878="","",IFERROR(INDEX('Paramètres'!$Q:$Q,MATCH($D878,'Paramètres'!$M:$M,0))&amp;"",""))</f>
        <v>Alimentation</v>
      </c>
      <c r="O878" s="6">
        <f>IF($A878="","",IF(OR($J878&lt;&gt;"x",$A878&lt;=FinReleve),1,0))</f>
        <v>1</v>
      </c>
      <c r="P878" s="6">
        <f>IF($D878="","",IF(AND($L878="Crédit",OR(IFERROR(INDEX('Paramètres'!$O:$O,MATCH($D878,'Paramètres'!$M:$M,0))&amp;"","")&lt;&gt;"",ISNUMBER(SEARCH("remboursement",IFERROR(INDEX('Paramètres'!$N:$N,MATCH($D878,'Paramètres'!$M:$M,0))&amp;"",""))))),1,0))</f>
        <v>0</v>
      </c>
      <c r="Q878" s="6">
        <f>IF($K878="","",IF(ISNUMBER(SEARCH("transfert-interne",IFERROR(INDEX('Paramètres'!$N:$N,MATCH($D878,'Paramètres'!$M:$M,0))&amp;"",""))),0,IF($L878="Débit",$K878,IF($P878=1,-$K878,0))))</f>
        <v>7.83</v>
      </c>
      <c r="R878" s="6">
        <f>IF($K878="","",IF($L878="Crédit",$K878,-$K878))</f>
        <v>-7.83</v>
      </c>
      <c r="S878" s="6" t="str">
        <f>IF($C878="","",IFERROR(INDEX('Paramètres'!$H:$H,MATCH($C878,'Paramètres'!$D:$D,0))&amp;"",""))</f>
        <v/>
      </c>
      <c r="T878" s="6">
        <f>IF($K878="","",IF($S878="",0,IF(ISNUMBER(SEARCH("apport-exterieur",IFERROR(INDEX('Paramètres'!$N:$N,MATCH($D878,'Paramètres'!$M:$M,0))&amp;"",""))),0,IF(OR(IFERROR(INDEX('Paramètres'!$I:$I,MATCH($C878,'Paramètres'!$D:$D,0))&amp;"","")="Les deux",IFERROR(INDEX('Paramètres'!$I:$I,MATCH($C878,'Paramètres'!$D:$D,0))&amp;"","")=IF($P878=1,"Débit",$L878)),-IF($P878=1,-$K878,$K878),0))))</f>
        <v>0</v>
      </c>
      <c r="U878" s="6">
        <f>IF($K878="","",IF(ISNUMBER(SEARCH("sortie-epargne",IFERROR(INDEX('Paramètres'!$N:$N,MATCH($D878,'Paramètres'!$M:$M,0))&amp;"",""))),$K878,0))</f>
        <v>0</v>
      </c>
      <c r="V878" s="6" t="str">
        <f>IF(AND($A878&lt;&gt;"",$O878=1,$L878="Débit",N($Q878)&gt;0,$A878&gt;=Visualisation!$B$1,$A878&lt;Visualisation!$D$1),MAX($V$1:V877)+1,"")</f>
        <v/>
      </c>
    </row>
    <row r="879" spans="1:22" x14ac:dyDescent="0.25">
      <c r="A879" s="9">
        <v>46168</v>
      </c>
      <c r="B879" s="4" t="s">
        <v>105</v>
      </c>
      <c r="C879" s="4" t="s">
        <v>75</v>
      </c>
      <c r="D879" s="4" t="s">
        <v>110</v>
      </c>
      <c r="E879" s="10">
        <v>150</v>
      </c>
      <c r="G879" s="4"/>
      <c r="H879" s="4"/>
      <c r="I879" s="4"/>
      <c r="K879" s="11">
        <f>IF($E879="","",ROUND($E879*IF(ISNA(MATCH($C879,'Paramètres'!$D:$D,0)),1,IF(INDEX('Paramètres'!$J:$J,MATCH($C879,'Paramètres'!$D:$D,0))="",1,INDEX('Paramètres'!$J:$J,MATCH($C879,'Paramètres'!$D:$D,0)))),2))</f>
        <v>150</v>
      </c>
      <c r="L879" s="6" t="str">
        <f>IF($D879="","",IF($F879&lt;&gt;"",$F879,IF(ISNA(MATCH($D879,'Paramètres'!$M:$M,0)),"⚠ Type inconnu",IFERROR(INDEX('Paramètres'!$P:$P,MATCH($D879,'Paramètres'!$M:$M,0))&amp;"",""))))</f>
        <v>Débit</v>
      </c>
      <c r="M879" s="6" t="str">
        <f>IF($D879="","",IF(ISNA(MATCH($D879,'Paramètres'!$M:$M,0)),"⚠ Type inconnu",IF($L879="Crédit","",IFERROR(INDEX('Paramètres'!$O:$O,MATCH($D879,'Paramètres'!$M:$M,0))&amp;"",""))))</f>
        <v/>
      </c>
      <c r="N879" s="6" t="str">
        <f>IF($D879="","",IFERROR(INDEX('Paramètres'!$Q:$Q,MATCH($D879,'Paramètres'!$M:$M,0))&amp;"",""))</f>
        <v>Comptes Bancaires</v>
      </c>
      <c r="O879" s="6">
        <f>IF($A879="","",IF(OR($J879&lt;&gt;"x",$A879&lt;=FinReleve),1,0))</f>
        <v>1</v>
      </c>
      <c r="P879" s="6">
        <f>IF($D879="","",IF(AND($L879="Crédit",OR(IFERROR(INDEX('Paramètres'!$O:$O,MATCH($D879,'Paramètres'!$M:$M,0))&amp;"","")&lt;&gt;"",ISNUMBER(SEARCH("remboursement",IFERROR(INDEX('Paramètres'!$N:$N,MATCH($D879,'Paramètres'!$M:$M,0))&amp;"",""))))),1,0))</f>
        <v>0</v>
      </c>
      <c r="Q879" s="6">
        <f>IF($K879="","",IF(ISNUMBER(SEARCH("transfert-interne",IFERROR(INDEX('Paramètres'!$N:$N,MATCH($D879,'Paramètres'!$M:$M,0))&amp;"",""))),0,IF($L879="Débit",$K879,IF($P879=1,-$K879,0))))</f>
        <v>0</v>
      </c>
      <c r="R879" s="6">
        <f>IF($K879="","",IF($L879="Crédit",$K879,-$K879))</f>
        <v>-150</v>
      </c>
      <c r="S879" s="6" t="str">
        <f>IF($C879="","",IFERROR(INDEX('Paramètres'!$H:$H,MATCH($C879,'Paramètres'!$D:$D,0))&amp;"",""))</f>
        <v/>
      </c>
      <c r="T879" s="6">
        <f>IF($K879="","",IF($S879="",0,IF(ISNUMBER(SEARCH("apport-exterieur",IFERROR(INDEX('Paramètres'!$N:$N,MATCH($D879,'Paramètres'!$M:$M,0))&amp;"",""))),0,IF(OR(IFERROR(INDEX('Paramètres'!$I:$I,MATCH($C879,'Paramètres'!$D:$D,0))&amp;"","")="Les deux",IFERROR(INDEX('Paramètres'!$I:$I,MATCH($C879,'Paramètres'!$D:$D,0))&amp;"","")=IF($P879=1,"Débit",$L879)),-IF($P879=1,-$K879,$K879),0))))</f>
        <v>0</v>
      </c>
      <c r="U879" s="6">
        <f>IF($K879="","",IF(ISNUMBER(SEARCH("sortie-epargne",IFERROR(INDEX('Paramètres'!$N:$N,MATCH($D879,'Paramètres'!$M:$M,0))&amp;"",""))),$K879,0))</f>
        <v>0</v>
      </c>
      <c r="V879" s="6" t="str">
        <f>IF(AND($A879&lt;&gt;"",$O879=1,$L879="Débit",N($Q879)&gt;0,$A879&gt;=Visualisation!$B$1,$A879&lt;Visualisation!$D$1),MAX($V$1:V878)+1,"")</f>
        <v/>
      </c>
    </row>
    <row r="880" spans="1:22" x14ac:dyDescent="0.25">
      <c r="A880" s="9">
        <v>46168</v>
      </c>
      <c r="B880" s="4" t="s">
        <v>105</v>
      </c>
      <c r="C880" s="4" t="s">
        <v>75</v>
      </c>
      <c r="D880" s="4" t="s">
        <v>111</v>
      </c>
      <c r="E880" s="10">
        <v>200</v>
      </c>
      <c r="G880" s="4"/>
      <c r="H880" s="4"/>
      <c r="I880" s="4"/>
      <c r="K880" s="11">
        <f>IF($E880="","",ROUND($E880*IF(ISNA(MATCH($C880,'Paramètres'!$D:$D,0)),1,IF(INDEX('Paramètres'!$J:$J,MATCH($C880,'Paramètres'!$D:$D,0))="",1,INDEX('Paramètres'!$J:$J,MATCH($C880,'Paramètres'!$D:$D,0)))),2))</f>
        <v>200</v>
      </c>
      <c r="L880" s="6" t="str">
        <f>IF($D880="","",IF($F880&lt;&gt;"",$F880,IF(ISNA(MATCH($D880,'Paramètres'!$M:$M,0)),"⚠ Type inconnu",IFERROR(INDEX('Paramètres'!$P:$P,MATCH($D880,'Paramètres'!$M:$M,0))&amp;"",""))))</f>
        <v>Débit</v>
      </c>
      <c r="M880" s="6" t="str">
        <f>IF($D880="","",IF(ISNA(MATCH($D880,'Paramètres'!$M:$M,0)),"⚠ Type inconnu",IF($L880="Crédit","",IFERROR(INDEX('Paramètres'!$O:$O,MATCH($D880,'Paramètres'!$M:$M,0))&amp;"",""))))</f>
        <v/>
      </c>
      <c r="N880" s="6" t="str">
        <f>IF($D880="","",IFERROR(INDEX('Paramètres'!$Q:$Q,MATCH($D880,'Paramètres'!$M:$M,0))&amp;"",""))</f>
        <v>Comptes Bancaires</v>
      </c>
      <c r="O880" s="6">
        <f>IF($A880="","",IF(OR($J880&lt;&gt;"x",$A880&lt;=FinReleve),1,0))</f>
        <v>1</v>
      </c>
      <c r="P880" s="6">
        <f>IF($D880="","",IF(AND($L880="Crédit",OR(IFERROR(INDEX('Paramètres'!$O:$O,MATCH($D880,'Paramètres'!$M:$M,0))&amp;"","")&lt;&gt;"",ISNUMBER(SEARCH("remboursement",IFERROR(INDEX('Paramètres'!$N:$N,MATCH($D880,'Paramètres'!$M:$M,0))&amp;"",""))))),1,0))</f>
        <v>0</v>
      </c>
      <c r="Q880" s="6">
        <f>IF($K880="","",IF(ISNUMBER(SEARCH("transfert-interne",IFERROR(INDEX('Paramètres'!$N:$N,MATCH($D880,'Paramètres'!$M:$M,0))&amp;"",""))),0,IF($L880="Débit",$K880,IF($P880=1,-$K880,0))))</f>
        <v>200</v>
      </c>
      <c r="R880" s="6">
        <f>IF($K880="","",IF($L880="Crédit",$K880,-$K880))</f>
        <v>-200</v>
      </c>
      <c r="S880" s="6" t="str">
        <f>IF($C880="","",IFERROR(INDEX('Paramètres'!$H:$H,MATCH($C880,'Paramètres'!$D:$D,0))&amp;"",""))</f>
        <v/>
      </c>
      <c r="T880" s="6">
        <f>IF($K880="","",IF($S880="",0,IF(ISNUMBER(SEARCH("apport-exterieur",IFERROR(INDEX('Paramètres'!$N:$N,MATCH($D880,'Paramètres'!$M:$M,0))&amp;"",""))),0,IF(OR(IFERROR(INDEX('Paramètres'!$I:$I,MATCH($C880,'Paramètres'!$D:$D,0))&amp;"","")="Les deux",IFERROR(INDEX('Paramètres'!$I:$I,MATCH($C880,'Paramètres'!$D:$D,0))&amp;"","")=IF($P880=1,"Débit",$L880)),-IF($P880=1,-$K880,$K880),0))))</f>
        <v>0</v>
      </c>
      <c r="U880" s="6">
        <f>IF($K880="","",IF(ISNUMBER(SEARCH("sortie-epargne",IFERROR(INDEX('Paramètres'!$N:$N,MATCH($D880,'Paramètres'!$M:$M,0))&amp;"",""))),$K880,0))</f>
        <v>0</v>
      </c>
      <c r="V880" s="6" t="str">
        <f>IF(AND($A880&lt;&gt;"",$O880=1,$L880="Débit",N($Q880)&gt;0,$A880&gt;=Visualisation!$B$1,$A880&lt;Visualisation!$D$1),MAX($V$1:V879)+1,"")</f>
        <v/>
      </c>
    </row>
    <row r="881" spans="1:22" x14ac:dyDescent="0.25">
      <c r="A881" s="9">
        <v>46168</v>
      </c>
      <c r="B881" s="4" t="s">
        <v>112</v>
      </c>
      <c r="C881" s="4" t="s">
        <v>75</v>
      </c>
      <c r="D881" s="4" t="s">
        <v>113</v>
      </c>
      <c r="E881" s="10">
        <v>120</v>
      </c>
      <c r="G881" s="4"/>
      <c r="H881" s="4"/>
      <c r="I881" s="4"/>
      <c r="K881" s="11">
        <f>IF($E881="","",ROUND($E881*IF(ISNA(MATCH($C881,'Paramètres'!$D:$D,0)),1,IF(INDEX('Paramètres'!$J:$J,MATCH($C881,'Paramètres'!$D:$D,0))="",1,INDEX('Paramètres'!$J:$J,MATCH($C881,'Paramètres'!$D:$D,0)))),2))</f>
        <v>120</v>
      </c>
      <c r="L881" s="6" t="str">
        <f>IF($D881="","",IF($F881&lt;&gt;"",$F881,IF(ISNA(MATCH($D881,'Paramètres'!$M:$M,0)),"⚠ Type inconnu",IFERROR(INDEX('Paramètres'!$P:$P,MATCH($D881,'Paramètres'!$M:$M,0))&amp;"",""))))</f>
        <v>Débit</v>
      </c>
      <c r="M881" s="6" t="str">
        <f>IF($D881="","",IF(ISNA(MATCH($D881,'Paramètres'!$M:$M,0)),"⚠ Type inconnu",IF($L881="Crédit","",IFERROR(INDEX('Paramètres'!$O:$O,MATCH($D881,'Paramètres'!$M:$M,0))&amp;"",""))))</f>
        <v/>
      </c>
      <c r="N881" s="6" t="str">
        <f>IF($D881="","",IFERROR(INDEX('Paramètres'!$Q:$Q,MATCH($D881,'Paramètres'!$M:$M,0))&amp;"",""))</f>
        <v>Comptes Bancaires</v>
      </c>
      <c r="O881" s="6">
        <f>IF($A881="","",IF(OR($J881&lt;&gt;"x",$A881&lt;=FinReleve),1,0))</f>
        <v>1</v>
      </c>
      <c r="P881" s="6">
        <f>IF($D881="","",IF(AND($L881="Crédit",OR(IFERROR(INDEX('Paramètres'!$O:$O,MATCH($D881,'Paramètres'!$M:$M,0))&amp;"","")&lt;&gt;"",ISNUMBER(SEARCH("remboursement",IFERROR(INDEX('Paramètres'!$N:$N,MATCH($D881,'Paramètres'!$M:$M,0))&amp;"",""))))),1,0))</f>
        <v>0</v>
      </c>
      <c r="Q881" s="6">
        <f>IF($K881="","",IF(ISNUMBER(SEARCH("transfert-interne",IFERROR(INDEX('Paramètres'!$N:$N,MATCH($D881,'Paramètres'!$M:$M,0))&amp;"",""))),0,IF($L881="Débit",$K881,IF($P881=1,-$K881,0))))</f>
        <v>120</v>
      </c>
      <c r="R881" s="6">
        <f>IF($K881="","",IF($L881="Crédit",$K881,-$K881))</f>
        <v>-120</v>
      </c>
      <c r="S881" s="6" t="str">
        <f>IF($C881="","",IFERROR(INDEX('Paramètres'!$H:$H,MATCH($C881,'Paramètres'!$D:$D,0))&amp;"",""))</f>
        <v/>
      </c>
      <c r="T881" s="6">
        <f>IF($K881="","",IF($S881="",0,IF(ISNUMBER(SEARCH("apport-exterieur",IFERROR(INDEX('Paramètres'!$N:$N,MATCH($D881,'Paramètres'!$M:$M,0))&amp;"",""))),0,IF(OR(IFERROR(INDEX('Paramètres'!$I:$I,MATCH($C881,'Paramètres'!$D:$D,0))&amp;"","")="Les deux",IFERROR(INDEX('Paramètres'!$I:$I,MATCH($C881,'Paramètres'!$D:$D,0))&amp;"","")=IF($P881=1,"Débit",$L881)),-IF($P881=1,-$K881,$K881),0))))</f>
        <v>0</v>
      </c>
      <c r="U881" s="6">
        <f>IF($K881="","",IF(ISNUMBER(SEARCH("sortie-epargne",IFERROR(INDEX('Paramètres'!$N:$N,MATCH($D881,'Paramètres'!$M:$M,0))&amp;"",""))),$K881,0))</f>
        <v>0</v>
      </c>
      <c r="V881" s="6" t="str">
        <f>IF(AND($A881&lt;&gt;"",$O881=1,$L881="Débit",N($Q881)&gt;0,$A881&gt;=Visualisation!$B$1,$A881&lt;Visualisation!$D$1),MAX($V$1:V880)+1,"")</f>
        <v/>
      </c>
    </row>
    <row r="882" spans="1:22" x14ac:dyDescent="0.25">
      <c r="A882" s="9">
        <v>46169</v>
      </c>
      <c r="B882" s="4" t="s">
        <v>114</v>
      </c>
      <c r="C882" s="4" t="s">
        <v>75</v>
      </c>
      <c r="D882" s="4" t="s">
        <v>115</v>
      </c>
      <c r="E882" s="10">
        <v>2898.39</v>
      </c>
      <c r="G882" s="4" t="s">
        <v>115</v>
      </c>
      <c r="H882" s="4"/>
      <c r="I882" s="4"/>
      <c r="K882" s="11">
        <f>IF($E882="","",ROUND($E882*IF(ISNA(MATCH($C882,'Paramètres'!$D:$D,0)),1,IF(INDEX('Paramètres'!$J:$J,MATCH($C882,'Paramètres'!$D:$D,0))="",1,INDEX('Paramètres'!$J:$J,MATCH($C882,'Paramètres'!$D:$D,0)))),2))</f>
        <v>2898.39</v>
      </c>
      <c r="L882" s="6" t="str">
        <f>IF($D882="","",IF($F882&lt;&gt;"",$F882,IF(ISNA(MATCH($D882,'Paramètres'!$M:$M,0)),"⚠ Type inconnu",IFERROR(INDEX('Paramètres'!$P:$P,MATCH($D882,'Paramètres'!$M:$M,0))&amp;"",""))))</f>
        <v>Crédit</v>
      </c>
      <c r="M882" s="6" t="str">
        <f>IF($D882="","",IF(ISNA(MATCH($D882,'Paramètres'!$M:$M,0)),"⚠ Type inconnu",IF($L882="Crédit","",IFERROR(INDEX('Paramètres'!$O:$O,MATCH($D882,'Paramètres'!$M:$M,0))&amp;"",""))))</f>
        <v/>
      </c>
      <c r="N882" s="6" t="str">
        <f>IF($D882="","",IFERROR(INDEX('Paramètres'!$Q:$Q,MATCH($D882,'Paramètres'!$M:$M,0))&amp;"",""))</f>
        <v/>
      </c>
      <c r="O882" s="6">
        <f>IF($A882="","",IF(OR($J882&lt;&gt;"x",$A882&lt;=FinReleve),1,0))</f>
        <v>1</v>
      </c>
      <c r="P882" s="6">
        <f>IF($D882="","",IF(AND($L882="Crédit",OR(IFERROR(INDEX('Paramètres'!$O:$O,MATCH($D882,'Paramètres'!$M:$M,0))&amp;"","")&lt;&gt;"",ISNUMBER(SEARCH("remboursement",IFERROR(INDEX('Paramètres'!$N:$N,MATCH($D882,'Paramètres'!$M:$M,0))&amp;"",""))))),1,0))</f>
        <v>0</v>
      </c>
      <c r="Q882" s="6">
        <f>IF($K882="","",IF(ISNUMBER(SEARCH("transfert-interne",IFERROR(INDEX('Paramètres'!$N:$N,MATCH($D882,'Paramètres'!$M:$M,0))&amp;"",""))),0,IF($L882="Débit",$K882,IF($P882=1,-$K882,0))))</f>
        <v>0</v>
      </c>
      <c r="R882" s="6">
        <f>IF($K882="","",IF($L882="Crédit",$K882,-$K882))</f>
        <v>2898.39</v>
      </c>
      <c r="S882" s="6" t="str">
        <f>IF($C882="","",IFERROR(INDEX('Paramètres'!$H:$H,MATCH($C882,'Paramètres'!$D:$D,0))&amp;"",""))</f>
        <v/>
      </c>
      <c r="T882" s="6">
        <f>IF($K882="","",IF($S882="",0,IF(ISNUMBER(SEARCH("apport-exterieur",IFERROR(INDEX('Paramètres'!$N:$N,MATCH($D882,'Paramètres'!$M:$M,0))&amp;"",""))),0,IF(OR(IFERROR(INDEX('Paramètres'!$I:$I,MATCH($C882,'Paramètres'!$D:$D,0))&amp;"","")="Les deux",IFERROR(INDEX('Paramètres'!$I:$I,MATCH($C882,'Paramètres'!$D:$D,0))&amp;"","")=IF($P882=1,"Débit",$L882)),-IF($P882=1,-$K882,$K882),0))))</f>
        <v>0</v>
      </c>
      <c r="U882" s="6">
        <f>IF($K882="","",IF(ISNUMBER(SEARCH("sortie-epargne",IFERROR(INDEX('Paramètres'!$N:$N,MATCH($D882,'Paramètres'!$M:$M,0))&amp;"",""))),$K882,0))</f>
        <v>0</v>
      </c>
      <c r="V882" s="6" t="str">
        <f>IF(AND($A882&lt;&gt;"",$O882=1,$L882="Débit",N($Q882)&gt;0,$A882&gt;=Visualisation!$B$1,$A882&lt;Visualisation!$D$1),MAX($V$1:V881)+1,"")</f>
        <v/>
      </c>
    </row>
    <row r="883" spans="1:22" x14ac:dyDescent="0.25">
      <c r="A883" s="9">
        <v>46169</v>
      </c>
      <c r="B883" s="4" t="s">
        <v>76</v>
      </c>
      <c r="C883" s="4" t="s">
        <v>67</v>
      </c>
      <c r="D883" s="4" t="s">
        <v>77</v>
      </c>
      <c r="E883" s="10">
        <v>128.22</v>
      </c>
      <c r="G883" s="4" t="s">
        <v>98</v>
      </c>
      <c r="H883" s="4"/>
      <c r="I883" s="4" t="s">
        <v>93</v>
      </c>
      <c r="K883" s="11">
        <f>IF($E883="","",ROUND($E883*IF(ISNA(MATCH($C883,'Paramètres'!$D:$D,0)),1,IF(INDEX('Paramètres'!$J:$J,MATCH($C883,'Paramètres'!$D:$D,0))="",1,INDEX('Paramètres'!$J:$J,MATCH($C883,'Paramètres'!$D:$D,0)))),2))</f>
        <v>64.11</v>
      </c>
      <c r="L883" s="6" t="str">
        <f>IF($D883="","",IF($F883&lt;&gt;"",$F883,IF(ISNA(MATCH($D883,'Paramètres'!$M:$M,0)),"⚠ Type inconnu",IFERROR(INDEX('Paramètres'!$P:$P,MATCH($D883,'Paramètres'!$M:$M,0))&amp;"",""))))</f>
        <v>Débit</v>
      </c>
      <c r="M883" s="6" t="str">
        <f>IF($D883="","",IF(ISNA(MATCH($D883,'Paramètres'!$M:$M,0)),"⚠ Type inconnu",IF($L883="Crédit","",IFERROR(INDEX('Paramètres'!$O:$O,MATCH($D883,'Paramètres'!$M:$M,0))&amp;"",""))))</f>
        <v>Dépense Courante</v>
      </c>
      <c r="N883" s="6" t="str">
        <f>IF($D883="","",IFERROR(INDEX('Paramètres'!$Q:$Q,MATCH($D883,'Paramètres'!$M:$M,0))&amp;"",""))</f>
        <v>Alimentation</v>
      </c>
      <c r="O883" s="6">
        <f>IF($A883="","",IF(OR($J883&lt;&gt;"x",$A883&lt;=FinReleve),1,0))</f>
        <v>1</v>
      </c>
      <c r="P883" s="6">
        <f>IF($D883="","",IF(AND($L883="Crédit",OR(IFERROR(INDEX('Paramètres'!$O:$O,MATCH($D883,'Paramètres'!$M:$M,0))&amp;"","")&lt;&gt;"",ISNUMBER(SEARCH("remboursement",IFERROR(INDEX('Paramètres'!$N:$N,MATCH($D883,'Paramètres'!$M:$M,0))&amp;"",""))))),1,0))</f>
        <v>0</v>
      </c>
      <c r="Q883" s="6">
        <f>IF($K883="","",IF(ISNUMBER(SEARCH("transfert-interne",IFERROR(INDEX('Paramètres'!$N:$N,MATCH($D883,'Paramètres'!$M:$M,0))&amp;"",""))),0,IF($L883="Débit",$K883,IF($P883=1,-$K883,0))))</f>
        <v>64.11</v>
      </c>
      <c r="R883" s="6">
        <f>IF($K883="","",IF($L883="Crédit",$K883,-$K883))</f>
        <v>-64.11</v>
      </c>
      <c r="S883" s="6" t="str">
        <f>IF($C883="","",IFERROR(INDEX('Paramètres'!$H:$H,MATCH($C883,'Paramètres'!$D:$D,0))&amp;"",""))</f>
        <v>Banque A - Courant</v>
      </c>
      <c r="T883" s="6">
        <f>IF($K883="","",IF($S883="",0,IF(ISNUMBER(SEARCH("apport-exterieur",IFERROR(INDEX('Paramètres'!$N:$N,MATCH($D883,'Paramètres'!$M:$M,0))&amp;"",""))),0,IF(OR(IFERROR(INDEX('Paramètres'!$I:$I,MATCH($C883,'Paramètres'!$D:$D,0))&amp;"","")="Les deux",IFERROR(INDEX('Paramètres'!$I:$I,MATCH($C883,'Paramètres'!$D:$D,0))&amp;"","")=IF($P883=1,"Débit",$L883)),-IF($P883=1,-$K883,$K883),0))))</f>
        <v>0</v>
      </c>
      <c r="U883" s="6">
        <f>IF($K883="","",IF(ISNUMBER(SEARCH("sortie-epargne",IFERROR(INDEX('Paramètres'!$N:$N,MATCH($D883,'Paramètres'!$M:$M,0))&amp;"",""))),$K883,0))</f>
        <v>0</v>
      </c>
      <c r="V883" s="6" t="str">
        <f>IF(AND($A883&lt;&gt;"",$O883=1,$L883="Débit",N($Q883)&gt;0,$A883&gt;=Visualisation!$B$1,$A883&lt;Visualisation!$D$1),MAX($V$1:V882)+1,"")</f>
        <v/>
      </c>
    </row>
    <row r="884" spans="1:22" x14ac:dyDescent="0.25">
      <c r="A884" s="9">
        <v>46169</v>
      </c>
      <c r="B884" s="4" t="s">
        <v>69</v>
      </c>
      <c r="C884" s="4" t="s">
        <v>70</v>
      </c>
      <c r="D884" s="4" t="s">
        <v>71</v>
      </c>
      <c r="E884" s="10">
        <v>14.43</v>
      </c>
      <c r="G884" s="4" t="s">
        <v>72</v>
      </c>
      <c r="H884" s="4"/>
      <c r="I884" s="4" t="s">
        <v>93</v>
      </c>
      <c r="K884" s="11">
        <f>IF($E884="","",ROUND($E884*IF(ISNA(MATCH($C884,'Paramètres'!$D:$D,0)),1,IF(INDEX('Paramètres'!$J:$J,MATCH($C884,'Paramètres'!$D:$D,0))="",1,INDEX('Paramètres'!$J:$J,MATCH($C884,'Paramètres'!$D:$D,0)))),2))</f>
        <v>14.43</v>
      </c>
      <c r="L884" s="6" t="str">
        <f>IF($D884="","",IF($F884&lt;&gt;"",$F884,IF(ISNA(MATCH($D884,'Paramètres'!$M:$M,0)),"⚠ Type inconnu",IFERROR(INDEX('Paramètres'!$P:$P,MATCH($D884,'Paramètres'!$M:$M,0))&amp;"",""))))</f>
        <v>Débit</v>
      </c>
      <c r="M884" s="6" t="str">
        <f>IF($D884="","",IF(ISNA(MATCH($D884,'Paramètres'!$M:$M,0)),"⚠ Type inconnu",IF($L884="Crédit","",IFERROR(INDEX('Paramètres'!$O:$O,MATCH($D884,'Paramètres'!$M:$M,0))&amp;"",""))))</f>
        <v>Dépense Courante</v>
      </c>
      <c r="N884" s="6" t="str">
        <f>IF($D884="","",IFERROR(INDEX('Paramètres'!$Q:$Q,MATCH($D884,'Paramètres'!$M:$M,0))&amp;"",""))</f>
        <v>Alimentation</v>
      </c>
      <c r="O884" s="6">
        <f>IF($A884="","",IF(OR($J884&lt;&gt;"x",$A884&lt;=FinReleve),1,0))</f>
        <v>1</v>
      </c>
      <c r="P884" s="6">
        <f>IF($D884="","",IF(AND($L884="Crédit",OR(IFERROR(INDEX('Paramètres'!$O:$O,MATCH($D884,'Paramètres'!$M:$M,0))&amp;"","")&lt;&gt;"",ISNUMBER(SEARCH("remboursement",IFERROR(INDEX('Paramètres'!$N:$N,MATCH($D884,'Paramètres'!$M:$M,0))&amp;"",""))))),1,0))</f>
        <v>0</v>
      </c>
      <c r="Q884" s="6">
        <f>IF($K884="","",IF(ISNUMBER(SEARCH("transfert-interne",IFERROR(INDEX('Paramètres'!$N:$N,MATCH($D884,'Paramètres'!$M:$M,0))&amp;"",""))),0,IF($L884="Débit",$K884,IF($P884=1,-$K884,0))))</f>
        <v>14.43</v>
      </c>
      <c r="R884" s="6">
        <f>IF($K884="","",IF($L884="Crédit",$K884,-$K884))</f>
        <v>-14.43</v>
      </c>
      <c r="S884" s="6" t="str">
        <f>IF($C884="","",IFERROR(INDEX('Paramètres'!$H:$H,MATCH($C884,'Paramètres'!$D:$D,0))&amp;"",""))</f>
        <v/>
      </c>
      <c r="T884" s="6">
        <f>IF($K884="","",IF($S884="",0,IF(ISNUMBER(SEARCH("apport-exterieur",IFERROR(INDEX('Paramètres'!$N:$N,MATCH($D884,'Paramètres'!$M:$M,0))&amp;"",""))),0,IF(OR(IFERROR(INDEX('Paramètres'!$I:$I,MATCH($C884,'Paramètres'!$D:$D,0))&amp;"","")="Les deux",IFERROR(INDEX('Paramètres'!$I:$I,MATCH($C884,'Paramètres'!$D:$D,0))&amp;"","")=IF($P884=1,"Débit",$L884)),-IF($P884=1,-$K884,$K884),0))))</f>
        <v>0</v>
      </c>
      <c r="U884" s="6">
        <f>IF($K884="","",IF(ISNUMBER(SEARCH("sortie-epargne",IFERROR(INDEX('Paramètres'!$N:$N,MATCH($D884,'Paramètres'!$M:$M,0))&amp;"",""))),$K884,0))</f>
        <v>0</v>
      </c>
      <c r="V884" s="6" t="str">
        <f>IF(AND($A884&lt;&gt;"",$O884=1,$L884="Débit",N($Q884)&gt;0,$A884&gt;=Visualisation!$B$1,$A884&lt;Visualisation!$D$1),MAX($V$1:V883)+1,"")</f>
        <v/>
      </c>
    </row>
    <row r="885" spans="1:22" x14ac:dyDescent="0.25">
      <c r="A885" s="9">
        <v>46169</v>
      </c>
      <c r="B885" s="4" t="s">
        <v>59</v>
      </c>
      <c r="C885" s="4" t="s">
        <v>60</v>
      </c>
      <c r="D885" s="4" t="s">
        <v>59</v>
      </c>
      <c r="E885" s="10">
        <v>27.48</v>
      </c>
      <c r="G885" s="4" t="s">
        <v>61</v>
      </c>
      <c r="H885" s="4"/>
      <c r="I885" s="4" t="s">
        <v>63</v>
      </c>
      <c r="K885" s="11">
        <f>IF($E885="","",ROUND($E885*IF(ISNA(MATCH($C885,'Paramètres'!$D:$D,0)),1,IF(INDEX('Paramètres'!$J:$J,MATCH($C885,'Paramètres'!$D:$D,0))="",1,INDEX('Paramètres'!$J:$J,MATCH($C885,'Paramètres'!$D:$D,0)))),2))</f>
        <v>13.74</v>
      </c>
      <c r="L885" s="6" t="str">
        <f>IF($D885="","",IF($F885&lt;&gt;"",$F885,IF(ISNA(MATCH($D885,'Paramètres'!$M:$M,0)),"⚠ Type inconnu",IFERROR(INDEX('Paramètres'!$P:$P,MATCH($D885,'Paramètres'!$M:$M,0))&amp;"",""))))</f>
        <v>Débit</v>
      </c>
      <c r="M885" s="6" t="str">
        <f>IF($D885="","",IF(ISNA(MATCH($D885,'Paramètres'!$M:$M,0)),"⚠ Type inconnu",IF($L885="Crédit","",IFERROR(INDEX('Paramètres'!$O:$O,MATCH($D885,'Paramètres'!$M:$M,0))&amp;"",""))))</f>
        <v>Dépense Occasionnelle</v>
      </c>
      <c r="N885" s="6" t="str">
        <f>IF($D885="","",IFERROR(INDEX('Paramètres'!$Q:$Q,MATCH($D885,'Paramètres'!$M:$M,0))&amp;"",""))</f>
        <v>Loisir</v>
      </c>
      <c r="O885" s="6">
        <f>IF($A885="","",IF(OR($J885&lt;&gt;"x",$A885&lt;=FinReleve),1,0))</f>
        <v>1</v>
      </c>
      <c r="P885" s="6">
        <f>IF($D885="","",IF(AND($L885="Crédit",OR(IFERROR(INDEX('Paramètres'!$O:$O,MATCH($D885,'Paramètres'!$M:$M,0))&amp;"","")&lt;&gt;"",ISNUMBER(SEARCH("remboursement",IFERROR(INDEX('Paramètres'!$N:$N,MATCH($D885,'Paramètres'!$M:$M,0))&amp;"",""))))),1,0))</f>
        <v>0</v>
      </c>
      <c r="Q885" s="6">
        <f>IF($K885="","",IF(ISNUMBER(SEARCH("transfert-interne",IFERROR(INDEX('Paramètres'!$N:$N,MATCH($D885,'Paramètres'!$M:$M,0))&amp;"",""))),0,IF($L885="Débit",$K885,IF($P885=1,-$K885,0))))</f>
        <v>13.74</v>
      </c>
      <c r="R885" s="6">
        <f>IF($K885="","",IF($L885="Crédit",$K885,-$K885))</f>
        <v>-13.74</v>
      </c>
      <c r="S885" s="6" t="str">
        <f>IF($C885="","",IFERROR(INDEX('Paramètres'!$H:$H,MATCH($C885,'Paramètres'!$D:$D,0))&amp;"",""))</f>
        <v>Banque A - Courant</v>
      </c>
      <c r="T885" s="6">
        <f>IF($K885="","",IF($S885="",0,IF(ISNUMBER(SEARCH("apport-exterieur",IFERROR(INDEX('Paramètres'!$N:$N,MATCH($D885,'Paramètres'!$M:$M,0))&amp;"",""))),0,IF(OR(IFERROR(INDEX('Paramètres'!$I:$I,MATCH($C885,'Paramètres'!$D:$D,0))&amp;"","")="Les deux",IFERROR(INDEX('Paramètres'!$I:$I,MATCH($C885,'Paramètres'!$D:$D,0))&amp;"","")=IF($P885=1,"Débit",$L885)),-IF($P885=1,-$K885,$K885),0))))</f>
        <v>-13.74</v>
      </c>
      <c r="U885" s="6">
        <f>IF($K885="","",IF(ISNUMBER(SEARCH("sortie-epargne",IFERROR(INDEX('Paramètres'!$N:$N,MATCH($D885,'Paramètres'!$M:$M,0))&amp;"",""))),$K885,0))</f>
        <v>0</v>
      </c>
      <c r="V885" s="6" t="str">
        <f>IF(AND($A885&lt;&gt;"",$O885=1,$L885="Débit",N($Q885)&gt;0,$A885&gt;=Visualisation!$B$1,$A885&lt;Visualisation!$D$1),MAX($V$1:V884)+1,"")</f>
        <v/>
      </c>
    </row>
    <row r="886" spans="1:22" x14ac:dyDescent="0.25">
      <c r="A886" s="9">
        <v>46170</v>
      </c>
      <c r="B886" s="4" t="s">
        <v>118</v>
      </c>
      <c r="C886" s="4" t="s">
        <v>75</v>
      </c>
      <c r="D886" s="4" t="s">
        <v>118</v>
      </c>
      <c r="E886" s="10">
        <v>3</v>
      </c>
      <c r="G886" s="4"/>
      <c r="H886" s="4"/>
      <c r="I886" s="4"/>
      <c r="K886" s="11">
        <f>IF($E886="","",ROUND($E886*IF(ISNA(MATCH($C886,'Paramètres'!$D:$D,0)),1,IF(INDEX('Paramètres'!$J:$J,MATCH($C886,'Paramètres'!$D:$D,0))="",1,INDEX('Paramètres'!$J:$J,MATCH($C886,'Paramètres'!$D:$D,0)))),2))</f>
        <v>3</v>
      </c>
      <c r="L886" s="6" t="str">
        <f>IF($D886="","",IF($F886&lt;&gt;"",$F886,IF(ISNA(MATCH($D886,'Paramètres'!$M:$M,0)),"⚠ Type inconnu",IFERROR(INDEX('Paramètres'!$P:$P,MATCH($D886,'Paramètres'!$M:$M,0))&amp;"",""))))</f>
        <v>Débit</v>
      </c>
      <c r="M886" s="6" t="str">
        <f>IF($D886="","",IF(ISNA(MATCH($D886,'Paramètres'!$M:$M,0)),"⚠ Type inconnu",IF($L886="Crédit","",IFERROR(INDEX('Paramètres'!$O:$O,MATCH($D886,'Paramètres'!$M:$M,0))&amp;"",""))))</f>
        <v>Dépense Fixe</v>
      </c>
      <c r="N886" s="6" t="str">
        <f>IF($D886="","",IFERROR(INDEX('Paramètres'!$Q:$Q,MATCH($D886,'Paramètres'!$M:$M,0))&amp;"",""))</f>
        <v>Banque</v>
      </c>
      <c r="O886" s="6">
        <f>IF($A886="","",IF(OR($J886&lt;&gt;"x",$A886&lt;=FinReleve),1,0))</f>
        <v>1</v>
      </c>
      <c r="P886" s="6">
        <f>IF($D886="","",IF(AND($L886="Crédit",OR(IFERROR(INDEX('Paramètres'!$O:$O,MATCH($D886,'Paramètres'!$M:$M,0))&amp;"","")&lt;&gt;"",ISNUMBER(SEARCH("remboursement",IFERROR(INDEX('Paramètres'!$N:$N,MATCH($D886,'Paramètres'!$M:$M,0))&amp;"",""))))),1,0))</f>
        <v>0</v>
      </c>
      <c r="Q886" s="6">
        <f>IF($K886="","",IF(ISNUMBER(SEARCH("transfert-interne",IFERROR(INDEX('Paramètres'!$N:$N,MATCH($D886,'Paramètres'!$M:$M,0))&amp;"",""))),0,IF($L886="Débit",$K886,IF($P886=1,-$K886,0))))</f>
        <v>3</v>
      </c>
      <c r="R886" s="6">
        <f>IF($K886="","",IF($L886="Crédit",$K886,-$K886))</f>
        <v>-3</v>
      </c>
      <c r="S886" s="6" t="str">
        <f>IF($C886="","",IFERROR(INDEX('Paramètres'!$H:$H,MATCH($C886,'Paramètres'!$D:$D,0))&amp;"",""))</f>
        <v/>
      </c>
      <c r="T886" s="6">
        <f>IF($K886="","",IF($S886="",0,IF(ISNUMBER(SEARCH("apport-exterieur",IFERROR(INDEX('Paramètres'!$N:$N,MATCH($D886,'Paramètres'!$M:$M,0))&amp;"",""))),0,IF(OR(IFERROR(INDEX('Paramètres'!$I:$I,MATCH($C886,'Paramètres'!$D:$D,0))&amp;"","")="Les deux",IFERROR(INDEX('Paramètres'!$I:$I,MATCH($C886,'Paramètres'!$D:$D,0))&amp;"","")=IF($P886=1,"Débit",$L886)),-IF($P886=1,-$K886,$K886),0))))</f>
        <v>0</v>
      </c>
      <c r="U886" s="6">
        <f>IF($K886="","",IF(ISNUMBER(SEARCH("sortie-epargne",IFERROR(INDEX('Paramètres'!$N:$N,MATCH($D886,'Paramètres'!$M:$M,0))&amp;"",""))),$K886,0))</f>
        <v>0</v>
      </c>
      <c r="V886" s="6" t="str">
        <f>IF(AND($A886&lt;&gt;"",$O886=1,$L886="Débit",N($Q886)&gt;0,$A886&gt;=Visualisation!$B$1,$A886&lt;Visualisation!$D$1),MAX($V$1:V885)+1,"")</f>
        <v/>
      </c>
    </row>
    <row r="887" spans="1:22" x14ac:dyDescent="0.25">
      <c r="A887" s="9">
        <v>46170</v>
      </c>
      <c r="B887" s="4" t="s">
        <v>76</v>
      </c>
      <c r="C887" s="4" t="s">
        <v>67</v>
      </c>
      <c r="D887" s="4" t="s">
        <v>77</v>
      </c>
      <c r="E887" s="10">
        <v>127.46</v>
      </c>
      <c r="G887" s="4" t="s">
        <v>95</v>
      </c>
      <c r="H887" s="4"/>
      <c r="I887" s="4"/>
      <c r="K887" s="11">
        <f>IF($E887="","",ROUND($E887*IF(ISNA(MATCH($C887,'Paramètres'!$D:$D,0)),1,IF(INDEX('Paramètres'!$J:$J,MATCH($C887,'Paramètres'!$D:$D,0))="",1,INDEX('Paramètres'!$J:$J,MATCH($C887,'Paramètres'!$D:$D,0)))),2))</f>
        <v>63.73</v>
      </c>
      <c r="L887" s="6" t="str">
        <f>IF($D887="","",IF($F887&lt;&gt;"",$F887,IF(ISNA(MATCH($D887,'Paramètres'!$M:$M,0)),"⚠ Type inconnu",IFERROR(INDEX('Paramètres'!$P:$P,MATCH($D887,'Paramètres'!$M:$M,0))&amp;"",""))))</f>
        <v>Débit</v>
      </c>
      <c r="M887" s="6" t="str">
        <f>IF($D887="","",IF(ISNA(MATCH($D887,'Paramètres'!$M:$M,0)),"⚠ Type inconnu",IF($L887="Crédit","",IFERROR(INDEX('Paramètres'!$O:$O,MATCH($D887,'Paramètres'!$M:$M,0))&amp;"",""))))</f>
        <v>Dépense Courante</v>
      </c>
      <c r="N887" s="6" t="str">
        <f>IF($D887="","",IFERROR(INDEX('Paramètres'!$Q:$Q,MATCH($D887,'Paramètres'!$M:$M,0))&amp;"",""))</f>
        <v>Alimentation</v>
      </c>
      <c r="O887" s="6">
        <f>IF($A887="","",IF(OR($J887&lt;&gt;"x",$A887&lt;=FinReleve),1,0))</f>
        <v>1</v>
      </c>
      <c r="P887" s="6">
        <f>IF($D887="","",IF(AND($L887="Crédit",OR(IFERROR(INDEX('Paramètres'!$O:$O,MATCH($D887,'Paramètres'!$M:$M,0))&amp;"","")&lt;&gt;"",ISNUMBER(SEARCH("remboursement",IFERROR(INDEX('Paramètres'!$N:$N,MATCH($D887,'Paramètres'!$M:$M,0))&amp;"",""))))),1,0))</f>
        <v>0</v>
      </c>
      <c r="Q887" s="6">
        <f>IF($K887="","",IF(ISNUMBER(SEARCH("transfert-interne",IFERROR(INDEX('Paramètres'!$N:$N,MATCH($D887,'Paramètres'!$M:$M,0))&amp;"",""))),0,IF($L887="Débit",$K887,IF($P887=1,-$K887,0))))</f>
        <v>63.73</v>
      </c>
      <c r="R887" s="6">
        <f>IF($K887="","",IF($L887="Crédit",$K887,-$K887))</f>
        <v>-63.73</v>
      </c>
      <c r="S887" s="6" t="str">
        <f>IF($C887="","",IFERROR(INDEX('Paramètres'!$H:$H,MATCH($C887,'Paramètres'!$D:$D,0))&amp;"",""))</f>
        <v>Banque A - Courant</v>
      </c>
      <c r="T887" s="6">
        <f>IF($K887="","",IF($S887="",0,IF(ISNUMBER(SEARCH("apport-exterieur",IFERROR(INDEX('Paramètres'!$N:$N,MATCH($D887,'Paramètres'!$M:$M,0))&amp;"",""))),0,IF(OR(IFERROR(INDEX('Paramètres'!$I:$I,MATCH($C887,'Paramètres'!$D:$D,0))&amp;"","")="Les deux",IFERROR(INDEX('Paramètres'!$I:$I,MATCH($C887,'Paramètres'!$D:$D,0))&amp;"","")=IF($P887=1,"Débit",$L887)),-IF($P887=1,-$K887,$K887),0))))</f>
        <v>0</v>
      </c>
      <c r="U887" s="6">
        <f>IF($K887="","",IF(ISNUMBER(SEARCH("sortie-epargne",IFERROR(INDEX('Paramètres'!$N:$N,MATCH($D887,'Paramètres'!$M:$M,0))&amp;"",""))),$K887,0))</f>
        <v>0</v>
      </c>
      <c r="V887" s="6" t="str">
        <f>IF(AND($A887&lt;&gt;"",$O887=1,$L887="Débit",N($Q887)&gt;0,$A887&gt;=Visualisation!$B$1,$A887&lt;Visualisation!$D$1),MAX($V$1:V886)+1,"")</f>
        <v/>
      </c>
    </row>
    <row r="888" spans="1:22" x14ac:dyDescent="0.25">
      <c r="A888" s="9">
        <v>46175</v>
      </c>
      <c r="B888" s="4" t="s">
        <v>64</v>
      </c>
      <c r="C888" s="4" t="s">
        <v>65</v>
      </c>
      <c r="D888" s="4" t="s">
        <v>66</v>
      </c>
      <c r="E888" s="10">
        <v>1160</v>
      </c>
      <c r="G888" s="4"/>
      <c r="H888" s="4"/>
      <c r="I888" s="4"/>
      <c r="K888" s="11">
        <f>IF($E888="","",ROUND($E888*IF(ISNA(MATCH($C888,'Paramètres'!$D:$D,0)),1,IF(INDEX('Paramètres'!$J:$J,MATCH($C888,'Paramètres'!$D:$D,0))="",1,INDEX('Paramètres'!$J:$J,MATCH($C888,'Paramètres'!$D:$D,0)))),2))</f>
        <v>1160</v>
      </c>
      <c r="L888" s="6" t="str">
        <f>IF($D888="","",IF($F888&lt;&gt;"",$F888,IF(ISNA(MATCH($D888,'Paramètres'!$M:$M,0)),"⚠ Type inconnu",IFERROR(INDEX('Paramètres'!$P:$P,MATCH($D888,'Paramètres'!$M:$M,0))&amp;"",""))))</f>
        <v>Crédit</v>
      </c>
      <c r="M888" s="6" t="str">
        <f>IF($D888="","",IF(ISNA(MATCH($D888,'Paramètres'!$M:$M,0)),"⚠ Type inconnu",IF($L888="Crédit","",IFERROR(INDEX('Paramètres'!$O:$O,MATCH($D888,'Paramètres'!$M:$M,0))&amp;"",""))))</f>
        <v/>
      </c>
      <c r="N888" s="6" t="str">
        <f>IF($D888="","",IFERROR(INDEX('Paramètres'!$Q:$Q,MATCH($D888,'Paramètres'!$M:$M,0))&amp;"",""))</f>
        <v>Comptes Bancaires</v>
      </c>
      <c r="O888" s="6">
        <f>IF($A888="","",IF(OR($J888&lt;&gt;"x",$A888&lt;=FinReleve),1,0))</f>
        <v>1</v>
      </c>
      <c r="P888" s="6">
        <f>IF($D888="","",IF(AND($L888="Crédit",OR(IFERROR(INDEX('Paramètres'!$O:$O,MATCH($D888,'Paramètres'!$M:$M,0))&amp;"","")&lt;&gt;"",ISNUMBER(SEARCH("remboursement",IFERROR(INDEX('Paramètres'!$N:$N,MATCH($D888,'Paramètres'!$M:$M,0))&amp;"",""))))),1,0))</f>
        <v>0</v>
      </c>
      <c r="Q888" s="6">
        <f>IF($K888="","",IF(ISNUMBER(SEARCH("transfert-interne",IFERROR(INDEX('Paramètres'!$N:$N,MATCH($D888,'Paramètres'!$M:$M,0))&amp;"",""))),0,IF($L888="Débit",$K888,IF($P888=1,-$K888,0))))</f>
        <v>0</v>
      </c>
      <c r="R888" s="6">
        <f>IF($K888="","",IF($L888="Crédit",$K888,-$K888))</f>
        <v>1160</v>
      </c>
      <c r="S888" s="6" t="str">
        <f>IF($C888="","",IFERROR(INDEX('Paramètres'!$H:$H,MATCH($C888,'Paramètres'!$D:$D,0))&amp;"",""))</f>
        <v>Banque A - Courant</v>
      </c>
      <c r="T888" s="6">
        <f>IF($K888="","",IF($S888="",0,IF(ISNUMBER(SEARCH("apport-exterieur",IFERROR(INDEX('Paramètres'!$N:$N,MATCH($D888,'Paramètres'!$M:$M,0))&amp;"",""))),0,IF(OR(IFERROR(INDEX('Paramètres'!$I:$I,MATCH($C888,'Paramètres'!$D:$D,0))&amp;"","")="Les deux",IFERROR(INDEX('Paramètres'!$I:$I,MATCH($C888,'Paramètres'!$D:$D,0))&amp;"","")=IF($P888=1,"Débit",$L888)),-IF($P888=1,-$K888,$K888),0))))</f>
        <v>-1160</v>
      </c>
      <c r="U888" s="6">
        <f>IF($K888="","",IF(ISNUMBER(SEARCH("sortie-epargne",IFERROR(INDEX('Paramètres'!$N:$N,MATCH($D888,'Paramètres'!$M:$M,0))&amp;"",""))),$K888,0))</f>
        <v>0</v>
      </c>
      <c r="V888" s="6" t="str">
        <f>IF(AND($A888&lt;&gt;"",$O888=1,$L888="Débit",N($Q888)&gt;0,$A888&gt;=Visualisation!$B$1,$A888&lt;Visualisation!$D$1),MAX($V$1:V887)+1,"")</f>
        <v/>
      </c>
    </row>
    <row r="889" spans="1:22" x14ac:dyDescent="0.25">
      <c r="A889" s="9">
        <v>46175</v>
      </c>
      <c r="B889" s="4" t="s">
        <v>64</v>
      </c>
      <c r="C889" s="4" t="s">
        <v>67</v>
      </c>
      <c r="D889" s="4" t="s">
        <v>68</v>
      </c>
      <c r="E889" s="10">
        <v>600</v>
      </c>
      <c r="G889" s="4"/>
      <c r="H889" s="4"/>
      <c r="I889" s="4"/>
      <c r="K889" s="11">
        <f>IF($E889="","",ROUND($E889*IF(ISNA(MATCH($C889,'Paramètres'!$D:$D,0)),1,IF(INDEX('Paramètres'!$J:$J,MATCH($C889,'Paramètres'!$D:$D,0))="",1,INDEX('Paramètres'!$J:$J,MATCH($C889,'Paramètres'!$D:$D,0)))),2))</f>
        <v>300</v>
      </c>
      <c r="L889" s="6" t="str">
        <f>IF($D889="","",IF($F889&lt;&gt;"",$F889,IF(ISNA(MATCH($D889,'Paramètres'!$M:$M,0)),"⚠ Type inconnu",IFERROR(INDEX('Paramètres'!$P:$P,MATCH($D889,'Paramètres'!$M:$M,0))&amp;"",""))))</f>
        <v>Crédit</v>
      </c>
      <c r="M889" s="6" t="str">
        <f>IF($D889="","",IF(ISNA(MATCH($D889,'Paramètres'!$M:$M,0)),"⚠ Type inconnu",IF($L889="Crédit","",IFERROR(INDEX('Paramètres'!$O:$O,MATCH($D889,'Paramètres'!$M:$M,0))&amp;"",""))))</f>
        <v/>
      </c>
      <c r="N889" s="6" t="str">
        <f>IF($D889="","",IFERROR(INDEX('Paramètres'!$Q:$Q,MATCH($D889,'Paramètres'!$M:$M,0))&amp;"",""))</f>
        <v>Comptes Bancaires</v>
      </c>
      <c r="O889" s="6">
        <f>IF($A889="","",IF(OR($J889&lt;&gt;"x",$A889&lt;=FinReleve),1,0))</f>
        <v>1</v>
      </c>
      <c r="P889" s="6">
        <f>IF($D889="","",IF(AND($L889="Crédit",OR(IFERROR(INDEX('Paramètres'!$O:$O,MATCH($D889,'Paramètres'!$M:$M,0))&amp;"","")&lt;&gt;"",ISNUMBER(SEARCH("remboursement",IFERROR(INDEX('Paramètres'!$N:$N,MATCH($D889,'Paramètres'!$M:$M,0))&amp;"",""))))),1,0))</f>
        <v>0</v>
      </c>
      <c r="Q889" s="6">
        <f>IF($K889="","",IF(ISNUMBER(SEARCH("transfert-interne",IFERROR(INDEX('Paramètres'!$N:$N,MATCH($D889,'Paramètres'!$M:$M,0))&amp;"",""))),0,IF($L889="Débit",$K889,IF($P889=1,-$K889,0))))</f>
        <v>0</v>
      </c>
      <c r="R889" s="6">
        <f>IF($K889="","",IF($L889="Crédit",$K889,-$K889))</f>
        <v>300</v>
      </c>
      <c r="S889" s="6" t="str">
        <f>IF($C889="","",IFERROR(INDEX('Paramètres'!$H:$H,MATCH($C889,'Paramètres'!$D:$D,0))&amp;"",""))</f>
        <v>Banque A - Courant</v>
      </c>
      <c r="T889" s="6">
        <f>IF($K889="","",IF($S889="",0,IF(ISNUMBER(SEARCH("apport-exterieur",IFERROR(INDEX('Paramètres'!$N:$N,MATCH($D889,'Paramètres'!$M:$M,0))&amp;"",""))),0,IF(OR(IFERROR(INDEX('Paramètres'!$I:$I,MATCH($C889,'Paramètres'!$D:$D,0))&amp;"","")="Les deux",IFERROR(INDEX('Paramètres'!$I:$I,MATCH($C889,'Paramètres'!$D:$D,0))&amp;"","")=IF($P889=1,"Débit",$L889)),-IF($P889=1,-$K889,$K889),0))))</f>
        <v>-300</v>
      </c>
      <c r="U889" s="6">
        <f>IF($K889="","",IF(ISNUMBER(SEARCH("sortie-epargne",IFERROR(INDEX('Paramètres'!$N:$N,MATCH($D889,'Paramètres'!$M:$M,0))&amp;"",""))),$K889,0))</f>
        <v>0</v>
      </c>
      <c r="V889" s="6" t="str">
        <f>IF(AND($A889&lt;&gt;"",$O889=1,$L889="Débit",N($Q889)&gt;0,$A889&gt;=Visualisation!$B$1,$A889&lt;Visualisation!$D$1),MAX($V$1:V888)+1,"")</f>
        <v/>
      </c>
    </row>
    <row r="890" spans="1:22" x14ac:dyDescent="0.25">
      <c r="A890" s="9">
        <v>46176</v>
      </c>
      <c r="B890" s="4" t="s">
        <v>74</v>
      </c>
      <c r="C890" s="4" t="s">
        <v>75</v>
      </c>
      <c r="D890" s="4" t="s">
        <v>74</v>
      </c>
      <c r="E890" s="10">
        <v>88.8</v>
      </c>
      <c r="G890" s="4"/>
      <c r="H890" s="4"/>
      <c r="I890" s="4"/>
      <c r="K890" s="11">
        <f>IF($E890="","",ROUND($E890*IF(ISNA(MATCH($C890,'Paramètres'!$D:$D,0)),1,IF(INDEX('Paramètres'!$J:$J,MATCH($C890,'Paramètres'!$D:$D,0))="",1,INDEX('Paramètres'!$J:$J,MATCH($C890,'Paramètres'!$D:$D,0)))),2))</f>
        <v>88.8</v>
      </c>
      <c r="L890" s="6" t="str">
        <f>IF($D890="","",IF($F890&lt;&gt;"",$F890,IF(ISNA(MATCH($D890,'Paramètres'!$M:$M,0)),"⚠ Type inconnu",IFERROR(INDEX('Paramètres'!$P:$P,MATCH($D890,'Paramètres'!$M:$M,0))&amp;"",""))))</f>
        <v>Débit</v>
      </c>
      <c r="M890" s="6" t="str">
        <f>IF($D890="","",IF(ISNA(MATCH($D890,'Paramètres'!$M:$M,0)),"⚠ Type inconnu",IF($L890="Crédit","",IFERROR(INDEX('Paramètres'!$O:$O,MATCH($D890,'Paramètres'!$M:$M,0))&amp;"",""))))</f>
        <v>Dépense Fixe</v>
      </c>
      <c r="N890" s="6" t="str">
        <f>IF($D890="","",IFERROR(INDEX('Paramètres'!$Q:$Q,MATCH($D890,'Paramètres'!$M:$M,0))&amp;"",""))</f>
        <v>Transport</v>
      </c>
      <c r="O890" s="6">
        <f>IF($A890="","",IF(OR($J890&lt;&gt;"x",$A890&lt;=FinReleve),1,0))</f>
        <v>1</v>
      </c>
      <c r="P890" s="6">
        <f>IF($D890="","",IF(AND($L890="Crédit",OR(IFERROR(INDEX('Paramètres'!$O:$O,MATCH($D890,'Paramètres'!$M:$M,0))&amp;"","")&lt;&gt;"",ISNUMBER(SEARCH("remboursement",IFERROR(INDEX('Paramètres'!$N:$N,MATCH($D890,'Paramètres'!$M:$M,0))&amp;"",""))))),1,0))</f>
        <v>0</v>
      </c>
      <c r="Q890" s="6">
        <f>IF($K890="","",IF(ISNUMBER(SEARCH("transfert-interne",IFERROR(INDEX('Paramètres'!$N:$N,MATCH($D890,'Paramètres'!$M:$M,0))&amp;"",""))),0,IF($L890="Débit",$K890,IF($P890=1,-$K890,0))))</f>
        <v>88.8</v>
      </c>
      <c r="R890" s="6">
        <f>IF($K890="","",IF($L890="Crédit",$K890,-$K890))</f>
        <v>-88.8</v>
      </c>
      <c r="S890" s="6" t="str">
        <f>IF($C890="","",IFERROR(INDEX('Paramètres'!$H:$H,MATCH($C890,'Paramètres'!$D:$D,0))&amp;"",""))</f>
        <v/>
      </c>
      <c r="T890" s="6">
        <f>IF($K890="","",IF($S890="",0,IF(ISNUMBER(SEARCH("apport-exterieur",IFERROR(INDEX('Paramètres'!$N:$N,MATCH($D890,'Paramètres'!$M:$M,0))&amp;"",""))),0,IF(OR(IFERROR(INDEX('Paramètres'!$I:$I,MATCH($C890,'Paramètres'!$D:$D,0))&amp;"","")="Les deux",IFERROR(INDEX('Paramètres'!$I:$I,MATCH($C890,'Paramètres'!$D:$D,0))&amp;"","")=IF($P890=1,"Débit",$L890)),-IF($P890=1,-$K890,$K890),0))))</f>
        <v>0</v>
      </c>
      <c r="U890" s="6">
        <f>IF($K890="","",IF(ISNUMBER(SEARCH("sortie-epargne",IFERROR(INDEX('Paramètres'!$N:$N,MATCH($D890,'Paramètres'!$M:$M,0))&amp;"",""))),$K890,0))</f>
        <v>0</v>
      </c>
      <c r="V890" s="6" t="str">
        <f>IF(AND($A890&lt;&gt;"",$O890=1,$L890="Débit",N($Q890)&gt;0,$A890&gt;=Visualisation!$B$1,$A890&lt;Visualisation!$D$1),MAX($V$1:V889)+1,"")</f>
        <v/>
      </c>
    </row>
    <row r="891" spans="1:22" x14ac:dyDescent="0.25">
      <c r="A891" s="9">
        <v>46176</v>
      </c>
      <c r="B891" s="4" t="s">
        <v>90</v>
      </c>
      <c r="C891" s="4" t="s">
        <v>75</v>
      </c>
      <c r="D891" s="4" t="s">
        <v>91</v>
      </c>
      <c r="E891" s="10">
        <v>50.51</v>
      </c>
      <c r="G891" s="4" t="s">
        <v>135</v>
      </c>
      <c r="H891" s="4"/>
      <c r="I891" s="4" t="s">
        <v>79</v>
      </c>
      <c r="K891" s="11">
        <f>IF($E891="","",ROUND($E891*IF(ISNA(MATCH($C891,'Paramètres'!$D:$D,0)),1,IF(INDEX('Paramètres'!$J:$J,MATCH($C891,'Paramètres'!$D:$D,0))="",1,INDEX('Paramètres'!$J:$J,MATCH($C891,'Paramètres'!$D:$D,0)))),2))</f>
        <v>50.51</v>
      </c>
      <c r="L891" s="6" t="str">
        <f>IF($D891="","",IF($F891&lt;&gt;"",$F891,IF(ISNA(MATCH($D891,'Paramètres'!$M:$M,0)),"⚠ Type inconnu",IFERROR(INDEX('Paramètres'!$P:$P,MATCH($D891,'Paramètres'!$M:$M,0))&amp;"",""))))</f>
        <v>Débit</v>
      </c>
      <c r="M891" s="6" t="str">
        <f>IF($D891="","",IF(ISNA(MATCH($D891,'Paramètres'!$M:$M,0)),"⚠ Type inconnu",IF($L891="Crédit","",IFERROR(INDEX('Paramètres'!$O:$O,MATCH($D891,'Paramètres'!$M:$M,0))&amp;"",""))))</f>
        <v>Dépense Courante</v>
      </c>
      <c r="N891" s="6" t="str">
        <f>IF($D891="","",IFERROR(INDEX('Paramètres'!$Q:$Q,MATCH($D891,'Paramètres'!$M:$M,0))&amp;"",""))</f>
        <v>Transport</v>
      </c>
      <c r="O891" s="6">
        <f>IF($A891="","",IF(OR($J891&lt;&gt;"x",$A891&lt;=FinReleve),1,0))</f>
        <v>1</v>
      </c>
      <c r="P891" s="6">
        <f>IF($D891="","",IF(AND($L891="Crédit",OR(IFERROR(INDEX('Paramètres'!$O:$O,MATCH($D891,'Paramètres'!$M:$M,0))&amp;"","")&lt;&gt;"",ISNUMBER(SEARCH("remboursement",IFERROR(INDEX('Paramètres'!$N:$N,MATCH($D891,'Paramètres'!$M:$M,0))&amp;"",""))))),1,0))</f>
        <v>0</v>
      </c>
      <c r="Q891" s="6">
        <f>IF($K891="","",IF(ISNUMBER(SEARCH("transfert-interne",IFERROR(INDEX('Paramètres'!$N:$N,MATCH($D891,'Paramètres'!$M:$M,0))&amp;"",""))),0,IF($L891="Débit",$K891,IF($P891=1,-$K891,0))))</f>
        <v>50.51</v>
      </c>
      <c r="R891" s="6">
        <f>IF($K891="","",IF($L891="Crédit",$K891,-$K891))</f>
        <v>-50.51</v>
      </c>
      <c r="S891" s="6" t="str">
        <f>IF($C891="","",IFERROR(INDEX('Paramètres'!$H:$H,MATCH($C891,'Paramètres'!$D:$D,0))&amp;"",""))</f>
        <v/>
      </c>
      <c r="T891" s="6">
        <f>IF($K891="","",IF($S891="",0,IF(ISNUMBER(SEARCH("apport-exterieur",IFERROR(INDEX('Paramètres'!$N:$N,MATCH($D891,'Paramètres'!$M:$M,0))&amp;"",""))),0,IF(OR(IFERROR(INDEX('Paramètres'!$I:$I,MATCH($C891,'Paramètres'!$D:$D,0))&amp;"","")="Les deux",IFERROR(INDEX('Paramètres'!$I:$I,MATCH($C891,'Paramètres'!$D:$D,0))&amp;"","")=IF($P891=1,"Débit",$L891)),-IF($P891=1,-$K891,$K891),0))))</f>
        <v>0</v>
      </c>
      <c r="U891" s="6">
        <f>IF($K891="","",IF(ISNUMBER(SEARCH("sortie-epargne",IFERROR(INDEX('Paramètres'!$N:$N,MATCH($D891,'Paramètres'!$M:$M,0))&amp;"",""))),$K891,0))</f>
        <v>0</v>
      </c>
      <c r="V891" s="6" t="str">
        <f>IF(AND($A891&lt;&gt;"",$O891=1,$L891="Débit",N($Q891)&gt;0,$A891&gt;=Visualisation!$B$1,$A891&lt;Visualisation!$D$1),MAX($V$1:V890)+1,"")</f>
        <v/>
      </c>
    </row>
    <row r="892" spans="1:22" x14ac:dyDescent="0.25">
      <c r="A892" s="9">
        <v>46176</v>
      </c>
      <c r="B892" s="4" t="s">
        <v>121</v>
      </c>
      <c r="C892" s="4" t="s">
        <v>60</v>
      </c>
      <c r="D892" s="4" t="s">
        <v>121</v>
      </c>
      <c r="E892" s="10">
        <v>58.22</v>
      </c>
      <c r="G892" s="4" t="s">
        <v>119</v>
      </c>
      <c r="H892" s="4"/>
      <c r="I892" s="4" t="s">
        <v>79</v>
      </c>
      <c r="K892" s="11">
        <f>IF($E892="","",ROUND($E892*IF(ISNA(MATCH($C892,'Paramètres'!$D:$D,0)),1,IF(INDEX('Paramètres'!$J:$J,MATCH($C892,'Paramètres'!$D:$D,0))="",1,INDEX('Paramètres'!$J:$J,MATCH($C892,'Paramètres'!$D:$D,0)))),2))</f>
        <v>29.11</v>
      </c>
      <c r="L892" s="6" t="str">
        <f>IF($D892="","",IF($F892&lt;&gt;"",$F892,IF(ISNA(MATCH($D892,'Paramètres'!$M:$M,0)),"⚠ Type inconnu",IFERROR(INDEX('Paramètres'!$P:$P,MATCH($D892,'Paramètres'!$M:$M,0))&amp;"",""))))</f>
        <v>Débit</v>
      </c>
      <c r="M892" s="6" t="str">
        <f>IF($D892="","",IF(ISNA(MATCH($D892,'Paramètres'!$M:$M,0)),"⚠ Type inconnu",IF($L892="Crédit","",IFERROR(INDEX('Paramètres'!$O:$O,MATCH($D892,'Paramètres'!$M:$M,0))&amp;"",""))))</f>
        <v>Dépense Occasionnelle</v>
      </c>
      <c r="N892" s="6" t="str">
        <f>IF($D892="","",IFERROR(INDEX('Paramètres'!$Q:$Q,MATCH($D892,'Paramètres'!$M:$M,0))&amp;"",""))</f>
        <v>Autre</v>
      </c>
      <c r="O892" s="6">
        <f>IF($A892="","",IF(OR($J892&lt;&gt;"x",$A892&lt;=FinReleve),1,0))</f>
        <v>1</v>
      </c>
      <c r="P892" s="6">
        <f>IF($D892="","",IF(AND($L892="Crédit",OR(IFERROR(INDEX('Paramètres'!$O:$O,MATCH($D892,'Paramètres'!$M:$M,0))&amp;"","")&lt;&gt;"",ISNUMBER(SEARCH("remboursement",IFERROR(INDEX('Paramètres'!$N:$N,MATCH($D892,'Paramètres'!$M:$M,0))&amp;"",""))))),1,0))</f>
        <v>0</v>
      </c>
      <c r="Q892" s="6">
        <f>IF($K892="","",IF(ISNUMBER(SEARCH("transfert-interne",IFERROR(INDEX('Paramètres'!$N:$N,MATCH($D892,'Paramètres'!$M:$M,0))&amp;"",""))),0,IF($L892="Débit",$K892,IF($P892=1,-$K892,0))))</f>
        <v>29.11</v>
      </c>
      <c r="R892" s="6">
        <f>IF($K892="","",IF($L892="Crédit",$K892,-$K892))</f>
        <v>-29.11</v>
      </c>
      <c r="S892" s="6" t="str">
        <f>IF($C892="","",IFERROR(INDEX('Paramètres'!$H:$H,MATCH($C892,'Paramètres'!$D:$D,0))&amp;"",""))</f>
        <v>Banque A - Courant</v>
      </c>
      <c r="T892" s="6">
        <f>IF($K892="","",IF($S892="",0,IF(ISNUMBER(SEARCH("apport-exterieur",IFERROR(INDEX('Paramètres'!$N:$N,MATCH($D892,'Paramètres'!$M:$M,0))&amp;"",""))),0,IF(OR(IFERROR(INDEX('Paramètres'!$I:$I,MATCH($C892,'Paramètres'!$D:$D,0))&amp;"","")="Les deux",IFERROR(INDEX('Paramètres'!$I:$I,MATCH($C892,'Paramètres'!$D:$D,0))&amp;"","")=IF($P892=1,"Débit",$L892)),-IF($P892=1,-$K892,$K892),0))))</f>
        <v>-29.11</v>
      </c>
      <c r="U892" s="6">
        <f>IF($K892="","",IF(ISNUMBER(SEARCH("sortie-epargne",IFERROR(INDEX('Paramètres'!$N:$N,MATCH($D892,'Paramètres'!$M:$M,0))&amp;"",""))),$K892,0))</f>
        <v>0</v>
      </c>
      <c r="V892" s="6" t="str">
        <f>IF(AND($A892&lt;&gt;"",$O892=1,$L892="Débit",N($Q892)&gt;0,$A892&gt;=Visualisation!$B$1,$A892&lt;Visualisation!$D$1),MAX($V$1:V891)+1,"")</f>
        <v/>
      </c>
    </row>
    <row r="893" spans="1:22" x14ac:dyDescent="0.25">
      <c r="A893" s="9">
        <v>46177</v>
      </c>
      <c r="B893" s="4" t="s">
        <v>80</v>
      </c>
      <c r="C893" s="4" t="s">
        <v>70</v>
      </c>
      <c r="D893" s="4" t="s">
        <v>81</v>
      </c>
      <c r="E893" s="10">
        <v>116.52</v>
      </c>
      <c r="G893" s="4"/>
      <c r="H893" s="4"/>
      <c r="I893" s="4"/>
      <c r="K893" s="11">
        <f>IF($E893="","",ROUND($E893*IF(ISNA(MATCH($C893,'Paramètres'!$D:$D,0)),1,IF(INDEX('Paramètres'!$J:$J,MATCH($C893,'Paramètres'!$D:$D,0))="",1,INDEX('Paramètres'!$J:$J,MATCH($C893,'Paramètres'!$D:$D,0)))),2))</f>
        <v>116.52</v>
      </c>
      <c r="L893" s="6" t="str">
        <f>IF($D893="","",IF($F893&lt;&gt;"",$F893,IF(ISNA(MATCH($D893,'Paramètres'!$M:$M,0)),"⚠ Type inconnu",IFERROR(INDEX('Paramètres'!$P:$P,MATCH($D893,'Paramètres'!$M:$M,0))&amp;"",""))))</f>
        <v>Crédit</v>
      </c>
      <c r="M893" s="6" t="str">
        <f>IF($D893="","",IF(ISNA(MATCH($D893,'Paramètres'!$M:$M,0)),"⚠ Type inconnu",IF($L893="Crédit","",IFERROR(INDEX('Paramètres'!$O:$O,MATCH($D893,'Paramètres'!$M:$M,0))&amp;"",""))))</f>
        <v/>
      </c>
      <c r="N893" s="6" t="str">
        <f>IF($D893="","",IFERROR(INDEX('Paramètres'!$Q:$Q,MATCH($D893,'Paramètres'!$M:$M,0))&amp;"",""))</f>
        <v>Comptes Bancaires</v>
      </c>
      <c r="O893" s="6">
        <f>IF($A893="","",IF(OR($J893&lt;&gt;"x",$A893&lt;=FinReleve),1,0))</f>
        <v>1</v>
      </c>
      <c r="P893" s="6">
        <f>IF($D893="","",IF(AND($L893="Crédit",OR(IFERROR(INDEX('Paramètres'!$O:$O,MATCH($D893,'Paramètres'!$M:$M,0))&amp;"","")&lt;&gt;"",ISNUMBER(SEARCH("remboursement",IFERROR(INDEX('Paramètres'!$N:$N,MATCH($D893,'Paramètres'!$M:$M,0))&amp;"",""))))),1,0))</f>
        <v>0</v>
      </c>
      <c r="Q893" s="6">
        <f>IF($K893="","",IF(ISNUMBER(SEARCH("transfert-interne",IFERROR(INDEX('Paramètres'!$N:$N,MATCH($D893,'Paramètres'!$M:$M,0))&amp;"",""))),0,IF($L893="Débit",$K893,IF($P893=1,-$K893,0))))</f>
        <v>0</v>
      </c>
      <c r="R893" s="6">
        <f>IF($K893="","",IF($L893="Crédit",$K893,-$K893))</f>
        <v>116.52</v>
      </c>
      <c r="S893" s="6" t="str">
        <f>IF($C893="","",IFERROR(INDEX('Paramètres'!$H:$H,MATCH($C893,'Paramètres'!$D:$D,0))&amp;"",""))</f>
        <v/>
      </c>
      <c r="T893" s="6">
        <f>IF($K893="","",IF($S893="",0,IF(ISNUMBER(SEARCH("apport-exterieur",IFERROR(INDEX('Paramètres'!$N:$N,MATCH($D893,'Paramètres'!$M:$M,0))&amp;"",""))),0,IF(OR(IFERROR(INDEX('Paramètres'!$I:$I,MATCH($C893,'Paramètres'!$D:$D,0))&amp;"","")="Les deux",IFERROR(INDEX('Paramètres'!$I:$I,MATCH($C893,'Paramètres'!$D:$D,0))&amp;"","")=IF($P893=1,"Débit",$L893)),-IF($P893=1,-$K893,$K893),0))))</f>
        <v>0</v>
      </c>
      <c r="U893" s="6">
        <f>IF($K893="","",IF(ISNUMBER(SEARCH("sortie-epargne",IFERROR(INDEX('Paramètres'!$N:$N,MATCH($D893,'Paramètres'!$M:$M,0))&amp;"",""))),$K893,0))</f>
        <v>0</v>
      </c>
      <c r="V893" s="6" t="str">
        <f>IF(AND($A893&lt;&gt;"",$O893=1,$L893="Débit",N($Q893)&gt;0,$A893&gt;=Visualisation!$B$1,$A893&lt;Visualisation!$D$1),MAX($V$1:V892)+1,"")</f>
        <v/>
      </c>
    </row>
    <row r="894" spans="1:22" x14ac:dyDescent="0.25">
      <c r="A894" s="9">
        <v>46178</v>
      </c>
      <c r="B894" s="4" t="s">
        <v>82</v>
      </c>
      <c r="C894" s="4" t="s">
        <v>65</v>
      </c>
      <c r="D894" s="4" t="s">
        <v>83</v>
      </c>
      <c r="E894" s="10">
        <v>666.16</v>
      </c>
      <c r="G894" s="4" t="s">
        <v>84</v>
      </c>
      <c r="H894" s="4"/>
      <c r="I894" s="4"/>
      <c r="K894" s="11">
        <f>IF($E894="","",ROUND($E894*IF(ISNA(MATCH($C894,'Paramètres'!$D:$D,0)),1,IF(INDEX('Paramètres'!$J:$J,MATCH($C894,'Paramètres'!$D:$D,0))="",1,INDEX('Paramètres'!$J:$J,MATCH($C894,'Paramètres'!$D:$D,0)))),2))</f>
        <v>666.16</v>
      </c>
      <c r="L894" s="6" t="str">
        <f>IF($D894="","",IF($F894&lt;&gt;"",$F894,IF(ISNA(MATCH($D894,'Paramètres'!$M:$M,0)),"⚠ Type inconnu",IFERROR(INDEX('Paramètres'!$P:$P,MATCH($D894,'Paramètres'!$M:$M,0))&amp;"",""))))</f>
        <v>Débit</v>
      </c>
      <c r="M894" s="6" t="str">
        <f>IF($D894="","",IF(ISNA(MATCH($D894,'Paramètres'!$M:$M,0)),"⚠ Type inconnu",IF($L894="Crédit","",IFERROR(INDEX('Paramètres'!$O:$O,MATCH($D894,'Paramètres'!$M:$M,0))&amp;"",""))))</f>
        <v/>
      </c>
      <c r="N894" s="6" t="str">
        <f>IF($D894="","",IFERROR(INDEX('Paramètres'!$Q:$Q,MATCH($D894,'Paramètres'!$M:$M,0))&amp;"",""))</f>
        <v>Immobilier</v>
      </c>
      <c r="O894" s="6">
        <f>IF($A894="","",IF(OR($J894&lt;&gt;"x",$A894&lt;=FinReleve),1,0))</f>
        <v>1</v>
      </c>
      <c r="P894" s="6">
        <f>IF($D894="","",IF(AND($L894="Crédit",OR(IFERROR(INDEX('Paramètres'!$O:$O,MATCH($D894,'Paramètres'!$M:$M,0))&amp;"","")&lt;&gt;"",ISNUMBER(SEARCH("remboursement",IFERROR(INDEX('Paramètres'!$N:$N,MATCH($D894,'Paramètres'!$M:$M,0))&amp;"",""))))),1,0))</f>
        <v>0</v>
      </c>
      <c r="Q894" s="6">
        <f>IF($K894="","",IF(ISNUMBER(SEARCH("transfert-interne",IFERROR(INDEX('Paramètres'!$N:$N,MATCH($D894,'Paramètres'!$M:$M,0))&amp;"",""))),0,IF($L894="Débit",$K894,IF($P894=1,-$K894,0))))</f>
        <v>666.16</v>
      </c>
      <c r="R894" s="6">
        <f>IF($K894="","",IF($L894="Crédit",$K894,-$K894))</f>
        <v>-666.16</v>
      </c>
      <c r="S894" s="6" t="str">
        <f>IF($C894="","",IFERROR(INDEX('Paramètres'!$H:$H,MATCH($C894,'Paramètres'!$D:$D,0))&amp;"",""))</f>
        <v>Banque A - Courant</v>
      </c>
      <c r="T894" s="6">
        <f>IF($K894="","",IF($S894="",0,IF(ISNUMBER(SEARCH("apport-exterieur",IFERROR(INDEX('Paramètres'!$N:$N,MATCH($D894,'Paramètres'!$M:$M,0))&amp;"",""))),0,IF(OR(IFERROR(INDEX('Paramètres'!$I:$I,MATCH($C894,'Paramètres'!$D:$D,0))&amp;"","")="Les deux",IFERROR(INDEX('Paramètres'!$I:$I,MATCH($C894,'Paramètres'!$D:$D,0))&amp;"","")=IF($P894=1,"Débit",$L894)),-IF($P894=1,-$K894,$K894),0))))</f>
        <v>0</v>
      </c>
      <c r="U894" s="6">
        <f>IF($K894="","",IF(ISNUMBER(SEARCH("sortie-epargne",IFERROR(INDEX('Paramètres'!$N:$N,MATCH($D894,'Paramètres'!$M:$M,0))&amp;"",""))),$K894,0))</f>
        <v>0</v>
      </c>
      <c r="V894" s="6" t="str">
        <f>IF(AND($A894&lt;&gt;"",$O894=1,$L894="Débit",N($Q894)&gt;0,$A894&gt;=Visualisation!$B$1,$A894&lt;Visualisation!$D$1),MAX($V$1:V893)+1,"")</f>
        <v/>
      </c>
    </row>
    <row r="895" spans="1:22" x14ac:dyDescent="0.25">
      <c r="A895" s="9">
        <v>46178</v>
      </c>
      <c r="B895" s="4" t="s">
        <v>85</v>
      </c>
      <c r="C895" s="4" t="s">
        <v>65</v>
      </c>
      <c r="D895" s="4" t="s">
        <v>86</v>
      </c>
      <c r="E895" s="10">
        <v>227.48</v>
      </c>
      <c r="G895" s="4" t="s">
        <v>87</v>
      </c>
      <c r="H895" s="4"/>
      <c r="I895" s="4"/>
      <c r="K895" s="11">
        <f>IF($E895="","",ROUND($E895*IF(ISNA(MATCH($C895,'Paramètres'!$D:$D,0)),1,IF(INDEX('Paramètres'!$J:$J,MATCH($C895,'Paramètres'!$D:$D,0))="",1,INDEX('Paramètres'!$J:$J,MATCH($C895,'Paramètres'!$D:$D,0)))),2))</f>
        <v>227.48</v>
      </c>
      <c r="L895" s="6" t="str">
        <f>IF($D895="","",IF($F895&lt;&gt;"",$F895,IF(ISNA(MATCH($D895,'Paramètres'!$M:$M,0)),"⚠ Type inconnu",IFERROR(INDEX('Paramètres'!$P:$P,MATCH($D895,'Paramètres'!$M:$M,0))&amp;"",""))))</f>
        <v>Débit</v>
      </c>
      <c r="M895" s="6" t="str">
        <f>IF($D895="","",IF(ISNA(MATCH($D895,'Paramètres'!$M:$M,0)),"⚠ Type inconnu",IF($L895="Crédit","",IFERROR(INDEX('Paramètres'!$O:$O,MATCH($D895,'Paramètres'!$M:$M,0))&amp;"",""))))</f>
        <v>Dépense Fixe</v>
      </c>
      <c r="N895" s="6" t="str">
        <f>IF($D895="","",IFERROR(INDEX('Paramètres'!$Q:$Q,MATCH($D895,'Paramètres'!$M:$M,0))&amp;"",""))</f>
        <v>Immobilier</v>
      </c>
      <c r="O895" s="6">
        <f>IF($A895="","",IF(OR($J895&lt;&gt;"x",$A895&lt;=FinReleve),1,0))</f>
        <v>1</v>
      </c>
      <c r="P895" s="6">
        <f>IF($D895="","",IF(AND($L895="Crédit",OR(IFERROR(INDEX('Paramètres'!$O:$O,MATCH($D895,'Paramètres'!$M:$M,0))&amp;"","")&lt;&gt;"",ISNUMBER(SEARCH("remboursement",IFERROR(INDEX('Paramètres'!$N:$N,MATCH($D895,'Paramètres'!$M:$M,0))&amp;"",""))))),1,0))</f>
        <v>0</v>
      </c>
      <c r="Q895" s="6">
        <f>IF($K895="","",IF(ISNUMBER(SEARCH("transfert-interne",IFERROR(INDEX('Paramètres'!$N:$N,MATCH($D895,'Paramètres'!$M:$M,0))&amp;"",""))),0,IF($L895="Débit",$K895,IF($P895=1,-$K895,0))))</f>
        <v>227.48</v>
      </c>
      <c r="R895" s="6">
        <f>IF($K895="","",IF($L895="Crédit",$K895,-$K895))</f>
        <v>-227.48</v>
      </c>
      <c r="S895" s="6" t="str">
        <f>IF($C895="","",IFERROR(INDEX('Paramètres'!$H:$H,MATCH($C895,'Paramètres'!$D:$D,0))&amp;"",""))</f>
        <v>Banque A - Courant</v>
      </c>
      <c r="T895" s="6">
        <f>IF($K895="","",IF($S895="",0,IF(ISNUMBER(SEARCH("apport-exterieur",IFERROR(INDEX('Paramètres'!$N:$N,MATCH($D895,'Paramètres'!$M:$M,0))&amp;"",""))),0,IF(OR(IFERROR(INDEX('Paramètres'!$I:$I,MATCH($C895,'Paramètres'!$D:$D,0))&amp;"","")="Les deux",IFERROR(INDEX('Paramètres'!$I:$I,MATCH($C895,'Paramètres'!$D:$D,0))&amp;"","")=IF($P895=1,"Débit",$L895)),-IF($P895=1,-$K895,$K895),0))))</f>
        <v>0</v>
      </c>
      <c r="U895" s="6">
        <f>IF($K895="","",IF(ISNUMBER(SEARCH("sortie-epargne",IFERROR(INDEX('Paramètres'!$N:$N,MATCH($D895,'Paramètres'!$M:$M,0))&amp;"",""))),$K895,0))</f>
        <v>0</v>
      </c>
      <c r="V895" s="6" t="str">
        <f>IF(AND($A895&lt;&gt;"",$O895=1,$L895="Débit",N($Q895)&gt;0,$A895&gt;=Visualisation!$B$1,$A895&lt;Visualisation!$D$1),MAX($V$1:V894)+1,"")</f>
        <v/>
      </c>
    </row>
    <row r="896" spans="1:22" x14ac:dyDescent="0.25">
      <c r="A896" s="9">
        <v>46178</v>
      </c>
      <c r="B896" s="4" t="s">
        <v>88</v>
      </c>
      <c r="C896" s="4" t="s">
        <v>65</v>
      </c>
      <c r="D896" s="4" t="s">
        <v>88</v>
      </c>
      <c r="E896" s="10">
        <v>31.2</v>
      </c>
      <c r="G896" s="4"/>
      <c r="H896" s="4"/>
      <c r="I896" s="4"/>
      <c r="K896" s="11">
        <f>IF($E896="","",ROUND($E896*IF(ISNA(MATCH($C896,'Paramètres'!$D:$D,0)),1,IF(INDEX('Paramètres'!$J:$J,MATCH($C896,'Paramètres'!$D:$D,0))="",1,INDEX('Paramètres'!$J:$J,MATCH($C896,'Paramètres'!$D:$D,0)))),2))</f>
        <v>31.2</v>
      </c>
      <c r="L896" s="6" t="str">
        <f>IF($D896="","",IF($F896&lt;&gt;"",$F896,IF(ISNA(MATCH($D896,'Paramètres'!$M:$M,0)),"⚠ Type inconnu",IFERROR(INDEX('Paramètres'!$P:$P,MATCH($D896,'Paramètres'!$M:$M,0))&amp;"",""))))</f>
        <v>Débit</v>
      </c>
      <c r="M896" s="6" t="str">
        <f>IF($D896="","",IF(ISNA(MATCH($D896,'Paramètres'!$M:$M,0)),"⚠ Type inconnu",IF($L896="Crédit","",IFERROR(INDEX('Paramètres'!$O:$O,MATCH($D896,'Paramètres'!$M:$M,0))&amp;"",""))))</f>
        <v>Dépense Fixe</v>
      </c>
      <c r="N896" s="6" t="str">
        <f>IF($D896="","",IFERROR(INDEX('Paramètres'!$Q:$Q,MATCH($D896,'Paramètres'!$M:$M,0))&amp;"",""))</f>
        <v>Assurances</v>
      </c>
      <c r="O896" s="6">
        <f>IF($A896="","",IF(OR($J896&lt;&gt;"x",$A896&lt;=FinReleve),1,0))</f>
        <v>1</v>
      </c>
      <c r="P896" s="6">
        <f>IF($D896="","",IF(AND($L896="Crédit",OR(IFERROR(INDEX('Paramètres'!$O:$O,MATCH($D896,'Paramètres'!$M:$M,0))&amp;"","")&lt;&gt;"",ISNUMBER(SEARCH("remboursement",IFERROR(INDEX('Paramètres'!$N:$N,MATCH($D896,'Paramètres'!$M:$M,0))&amp;"",""))))),1,0))</f>
        <v>0</v>
      </c>
      <c r="Q896" s="6">
        <f>IF($K896="","",IF(ISNUMBER(SEARCH("transfert-interne",IFERROR(INDEX('Paramètres'!$N:$N,MATCH($D896,'Paramètres'!$M:$M,0))&amp;"",""))),0,IF($L896="Débit",$K896,IF($P896=1,-$K896,0))))</f>
        <v>31.2</v>
      </c>
      <c r="R896" s="6">
        <f>IF($K896="","",IF($L896="Crédit",$K896,-$K896))</f>
        <v>-31.2</v>
      </c>
      <c r="S896" s="6" t="str">
        <f>IF($C896="","",IFERROR(INDEX('Paramètres'!$H:$H,MATCH($C896,'Paramètres'!$D:$D,0))&amp;"",""))</f>
        <v>Banque A - Courant</v>
      </c>
      <c r="T896" s="6">
        <f>IF($K896="","",IF($S896="",0,IF(ISNUMBER(SEARCH("apport-exterieur",IFERROR(INDEX('Paramètres'!$N:$N,MATCH($D896,'Paramètres'!$M:$M,0))&amp;"",""))),0,IF(OR(IFERROR(INDEX('Paramètres'!$I:$I,MATCH($C896,'Paramètres'!$D:$D,0))&amp;"","")="Les deux",IFERROR(INDEX('Paramètres'!$I:$I,MATCH($C896,'Paramètres'!$D:$D,0))&amp;"","")=IF($P896=1,"Débit",$L896)),-IF($P896=1,-$K896,$K896),0))))</f>
        <v>0</v>
      </c>
      <c r="U896" s="6">
        <f>IF($K896="","",IF(ISNUMBER(SEARCH("sortie-epargne",IFERROR(INDEX('Paramètres'!$N:$N,MATCH($D896,'Paramètres'!$M:$M,0))&amp;"",""))),$K896,0))</f>
        <v>0</v>
      </c>
      <c r="V896" s="6" t="str">
        <f>IF(AND($A896&lt;&gt;"",$O896=1,$L896="Débit",N($Q896)&gt;0,$A896&gt;=Visualisation!$B$1,$A896&lt;Visualisation!$D$1),MAX($V$1:V895)+1,"")</f>
        <v/>
      </c>
    </row>
    <row r="897" spans="1:22" x14ac:dyDescent="0.25">
      <c r="A897" s="9">
        <v>46178</v>
      </c>
      <c r="B897" s="4" t="s">
        <v>76</v>
      </c>
      <c r="C897" s="4" t="s">
        <v>60</v>
      </c>
      <c r="D897" s="4" t="s">
        <v>77</v>
      </c>
      <c r="E897" s="10">
        <v>135.98</v>
      </c>
      <c r="G897" s="4" t="s">
        <v>98</v>
      </c>
      <c r="H897" s="4"/>
      <c r="I897" s="4" t="s">
        <v>63</v>
      </c>
      <c r="K897" s="11">
        <f>IF($E897="","",ROUND($E897*IF(ISNA(MATCH($C897,'Paramètres'!$D:$D,0)),1,IF(INDEX('Paramètres'!$J:$J,MATCH($C897,'Paramètres'!$D:$D,0))="",1,INDEX('Paramètres'!$J:$J,MATCH($C897,'Paramètres'!$D:$D,0)))),2))</f>
        <v>67.99</v>
      </c>
      <c r="L897" s="6" t="str">
        <f>IF($D897="","",IF($F897&lt;&gt;"",$F897,IF(ISNA(MATCH($D897,'Paramètres'!$M:$M,0)),"⚠ Type inconnu",IFERROR(INDEX('Paramètres'!$P:$P,MATCH($D897,'Paramètres'!$M:$M,0))&amp;"",""))))</f>
        <v>Débit</v>
      </c>
      <c r="M897" s="6" t="str">
        <f>IF($D897="","",IF(ISNA(MATCH($D897,'Paramètres'!$M:$M,0)),"⚠ Type inconnu",IF($L897="Crédit","",IFERROR(INDEX('Paramètres'!$O:$O,MATCH($D897,'Paramètres'!$M:$M,0))&amp;"",""))))</f>
        <v>Dépense Courante</v>
      </c>
      <c r="N897" s="6" t="str">
        <f>IF($D897="","",IFERROR(INDEX('Paramètres'!$Q:$Q,MATCH($D897,'Paramètres'!$M:$M,0))&amp;"",""))</f>
        <v>Alimentation</v>
      </c>
      <c r="O897" s="6">
        <f>IF($A897="","",IF(OR($J897&lt;&gt;"x",$A897&lt;=FinReleve),1,0))</f>
        <v>1</v>
      </c>
      <c r="P897" s="6">
        <f>IF($D897="","",IF(AND($L897="Crédit",OR(IFERROR(INDEX('Paramètres'!$O:$O,MATCH($D897,'Paramètres'!$M:$M,0))&amp;"","")&lt;&gt;"",ISNUMBER(SEARCH("remboursement",IFERROR(INDEX('Paramètres'!$N:$N,MATCH($D897,'Paramètres'!$M:$M,0))&amp;"",""))))),1,0))</f>
        <v>0</v>
      </c>
      <c r="Q897" s="6">
        <f>IF($K897="","",IF(ISNUMBER(SEARCH("transfert-interne",IFERROR(INDEX('Paramètres'!$N:$N,MATCH($D897,'Paramètres'!$M:$M,0))&amp;"",""))),0,IF($L897="Débit",$K897,IF($P897=1,-$K897,0))))</f>
        <v>67.99</v>
      </c>
      <c r="R897" s="6">
        <f>IF($K897="","",IF($L897="Crédit",$K897,-$K897))</f>
        <v>-67.99</v>
      </c>
      <c r="S897" s="6" t="str">
        <f>IF($C897="","",IFERROR(INDEX('Paramètres'!$H:$H,MATCH($C897,'Paramètres'!$D:$D,0))&amp;"",""))</f>
        <v>Banque A - Courant</v>
      </c>
      <c r="T897" s="6">
        <f>IF($K897="","",IF($S897="",0,IF(ISNUMBER(SEARCH("apport-exterieur",IFERROR(INDEX('Paramètres'!$N:$N,MATCH($D897,'Paramètres'!$M:$M,0))&amp;"",""))),0,IF(OR(IFERROR(INDEX('Paramètres'!$I:$I,MATCH($C897,'Paramètres'!$D:$D,0))&amp;"","")="Les deux",IFERROR(INDEX('Paramètres'!$I:$I,MATCH($C897,'Paramètres'!$D:$D,0))&amp;"","")=IF($P897=1,"Débit",$L897)),-IF($P897=1,-$K897,$K897),0))))</f>
        <v>-67.99</v>
      </c>
      <c r="U897" s="6">
        <f>IF($K897="","",IF(ISNUMBER(SEARCH("sortie-epargne",IFERROR(INDEX('Paramètres'!$N:$N,MATCH($D897,'Paramètres'!$M:$M,0))&amp;"",""))),$K897,0))</f>
        <v>0</v>
      </c>
      <c r="V897" s="6" t="str">
        <f>IF(AND($A897&lt;&gt;"",$O897=1,$L897="Débit",N($Q897)&gt;0,$A897&gt;=Visualisation!$B$1,$A897&lt;Visualisation!$D$1),MAX($V$1:V896)+1,"")</f>
        <v/>
      </c>
    </row>
    <row r="898" spans="1:22" x14ac:dyDescent="0.25">
      <c r="A898" s="9">
        <v>46178</v>
      </c>
      <c r="B898" s="4" t="s">
        <v>123</v>
      </c>
      <c r="C898" s="4" t="s">
        <v>75</v>
      </c>
      <c r="D898" s="4" t="s">
        <v>124</v>
      </c>
      <c r="E898" s="10">
        <v>77.16</v>
      </c>
      <c r="G898" s="4" t="s">
        <v>125</v>
      </c>
      <c r="H898" s="4"/>
      <c r="I898" s="4" t="s">
        <v>73</v>
      </c>
      <c r="K898" s="11">
        <f>IF($E898="","",ROUND($E898*IF(ISNA(MATCH($C898,'Paramètres'!$D:$D,0)),1,IF(INDEX('Paramètres'!$J:$J,MATCH($C898,'Paramètres'!$D:$D,0))="",1,INDEX('Paramètres'!$J:$J,MATCH($C898,'Paramètres'!$D:$D,0)))),2))</f>
        <v>77.16</v>
      </c>
      <c r="L898" s="6" t="str">
        <f>IF($D898="","",IF($F898&lt;&gt;"",$F898,IF(ISNA(MATCH($D898,'Paramètres'!$M:$M,0)),"⚠ Type inconnu",IFERROR(INDEX('Paramètres'!$P:$P,MATCH($D898,'Paramètres'!$M:$M,0))&amp;"",""))))</f>
        <v>Débit</v>
      </c>
      <c r="M898" s="6" t="str">
        <f>IF($D898="","",IF(ISNA(MATCH($D898,'Paramètres'!$M:$M,0)),"⚠ Type inconnu",IF($L898="Crédit","",IFERROR(INDEX('Paramètres'!$O:$O,MATCH($D898,'Paramètres'!$M:$M,0))&amp;"",""))))</f>
        <v>Dépense Courante</v>
      </c>
      <c r="N898" s="6" t="str">
        <f>IF($D898="","",IFERROR(INDEX('Paramètres'!$Q:$Q,MATCH($D898,'Paramètres'!$M:$M,0))&amp;"",""))</f>
        <v>Habillement</v>
      </c>
      <c r="O898" s="6">
        <f>IF($A898="","",IF(OR($J898&lt;&gt;"x",$A898&lt;=FinReleve),1,0))</f>
        <v>1</v>
      </c>
      <c r="P898" s="6">
        <f>IF($D898="","",IF(AND($L898="Crédit",OR(IFERROR(INDEX('Paramètres'!$O:$O,MATCH($D898,'Paramètres'!$M:$M,0))&amp;"","")&lt;&gt;"",ISNUMBER(SEARCH("remboursement",IFERROR(INDEX('Paramètres'!$N:$N,MATCH($D898,'Paramètres'!$M:$M,0))&amp;"",""))))),1,0))</f>
        <v>0</v>
      </c>
      <c r="Q898" s="6">
        <f>IF($K898="","",IF(ISNUMBER(SEARCH("transfert-interne",IFERROR(INDEX('Paramètres'!$N:$N,MATCH($D898,'Paramètres'!$M:$M,0))&amp;"",""))),0,IF($L898="Débit",$K898,IF($P898=1,-$K898,0))))</f>
        <v>77.16</v>
      </c>
      <c r="R898" s="6">
        <f>IF($K898="","",IF($L898="Crédit",$K898,-$K898))</f>
        <v>-77.16</v>
      </c>
      <c r="S898" s="6" t="str">
        <f>IF($C898="","",IFERROR(INDEX('Paramètres'!$H:$H,MATCH($C898,'Paramètres'!$D:$D,0))&amp;"",""))</f>
        <v/>
      </c>
      <c r="T898" s="6">
        <f>IF($K898="","",IF($S898="",0,IF(ISNUMBER(SEARCH("apport-exterieur",IFERROR(INDEX('Paramètres'!$N:$N,MATCH($D898,'Paramètres'!$M:$M,0))&amp;"",""))),0,IF(OR(IFERROR(INDEX('Paramètres'!$I:$I,MATCH($C898,'Paramètres'!$D:$D,0))&amp;"","")="Les deux",IFERROR(INDEX('Paramètres'!$I:$I,MATCH($C898,'Paramètres'!$D:$D,0))&amp;"","")=IF($P898=1,"Débit",$L898)),-IF($P898=1,-$K898,$K898),0))))</f>
        <v>0</v>
      </c>
      <c r="U898" s="6">
        <f>IF($K898="","",IF(ISNUMBER(SEARCH("sortie-epargne",IFERROR(INDEX('Paramètres'!$N:$N,MATCH($D898,'Paramètres'!$M:$M,0))&amp;"",""))),$K898,0))</f>
        <v>0</v>
      </c>
      <c r="V898" s="6" t="str">
        <f>IF(AND($A898&lt;&gt;"",$O898=1,$L898="Débit",N($Q898)&gt;0,$A898&gt;=Visualisation!$B$1,$A898&lt;Visualisation!$D$1),MAX($V$1:V897)+1,"")</f>
        <v/>
      </c>
    </row>
    <row r="899" spans="1:22" x14ac:dyDescent="0.25">
      <c r="A899" s="9">
        <v>46179</v>
      </c>
      <c r="B899" s="4" t="s">
        <v>89</v>
      </c>
      <c r="C899" s="4" t="s">
        <v>75</v>
      </c>
      <c r="D899" s="4" t="s">
        <v>89</v>
      </c>
      <c r="E899" s="10">
        <v>49.9</v>
      </c>
      <c r="G899" s="4"/>
      <c r="H899" s="4"/>
      <c r="I899" s="4"/>
      <c r="K899" s="11">
        <f>IF($E899="","",ROUND($E899*IF(ISNA(MATCH($C899,'Paramètres'!$D:$D,0)),1,IF(INDEX('Paramètres'!$J:$J,MATCH($C899,'Paramètres'!$D:$D,0))="",1,INDEX('Paramètres'!$J:$J,MATCH($C899,'Paramètres'!$D:$D,0)))),2))</f>
        <v>49.9</v>
      </c>
      <c r="L899" s="6" t="str">
        <f>IF($D899="","",IF($F899&lt;&gt;"",$F899,IF(ISNA(MATCH($D899,'Paramètres'!$M:$M,0)),"⚠ Type inconnu",IFERROR(INDEX('Paramètres'!$P:$P,MATCH($D899,'Paramètres'!$M:$M,0))&amp;"",""))))</f>
        <v>Débit</v>
      </c>
      <c r="M899" s="6" t="str">
        <f>IF($D899="","",IF(ISNA(MATCH($D899,'Paramètres'!$M:$M,0)),"⚠ Type inconnu",IF($L899="Crédit","",IFERROR(INDEX('Paramètres'!$O:$O,MATCH($D899,'Paramètres'!$M:$M,0))&amp;"",""))))</f>
        <v>Dépense Fixe</v>
      </c>
      <c r="N899" s="6" t="str">
        <f>IF($D899="","",IFERROR(INDEX('Paramètres'!$Q:$Q,MATCH($D899,'Paramètres'!$M:$M,0))&amp;"",""))</f>
        <v>Autre</v>
      </c>
      <c r="O899" s="6">
        <f>IF($A899="","",IF(OR($J899&lt;&gt;"x",$A899&lt;=FinReleve),1,0))</f>
        <v>1</v>
      </c>
      <c r="P899" s="6">
        <f>IF($D899="","",IF(AND($L899="Crédit",OR(IFERROR(INDEX('Paramètres'!$O:$O,MATCH($D899,'Paramètres'!$M:$M,0))&amp;"","")&lt;&gt;"",ISNUMBER(SEARCH("remboursement",IFERROR(INDEX('Paramètres'!$N:$N,MATCH($D899,'Paramètres'!$M:$M,0))&amp;"",""))))),1,0))</f>
        <v>0</v>
      </c>
      <c r="Q899" s="6">
        <f>IF($K899="","",IF(ISNUMBER(SEARCH("transfert-interne",IFERROR(INDEX('Paramètres'!$N:$N,MATCH($D899,'Paramètres'!$M:$M,0))&amp;"",""))),0,IF($L899="Débit",$K899,IF($P899=1,-$K899,0))))</f>
        <v>49.9</v>
      </c>
      <c r="R899" s="6">
        <f>IF($K899="","",IF($L899="Crédit",$K899,-$K899))</f>
        <v>-49.9</v>
      </c>
      <c r="S899" s="6" t="str">
        <f>IF($C899="","",IFERROR(INDEX('Paramètres'!$H:$H,MATCH($C899,'Paramètres'!$D:$D,0))&amp;"",""))</f>
        <v/>
      </c>
      <c r="T899" s="6">
        <f>IF($K899="","",IF($S899="",0,IF(ISNUMBER(SEARCH("apport-exterieur",IFERROR(INDEX('Paramètres'!$N:$N,MATCH($D899,'Paramètres'!$M:$M,0))&amp;"",""))),0,IF(OR(IFERROR(INDEX('Paramètres'!$I:$I,MATCH($C899,'Paramètres'!$D:$D,0))&amp;"","")="Les deux",IFERROR(INDEX('Paramètres'!$I:$I,MATCH($C899,'Paramètres'!$D:$D,0))&amp;"","")=IF($P899=1,"Débit",$L899)),-IF($P899=1,-$K899,$K899),0))))</f>
        <v>0</v>
      </c>
      <c r="U899" s="6">
        <f>IF($K899="","",IF(ISNUMBER(SEARCH("sortie-epargne",IFERROR(INDEX('Paramètres'!$N:$N,MATCH($D899,'Paramètres'!$M:$M,0))&amp;"",""))),$K899,0))</f>
        <v>0</v>
      </c>
      <c r="V899" s="6" t="str">
        <f>IF(AND($A899&lt;&gt;"",$O899=1,$L899="Débit",N($Q899)&gt;0,$A899&gt;=Visualisation!$B$1,$A899&lt;Visualisation!$D$1),MAX($V$1:V898)+1,"")</f>
        <v/>
      </c>
    </row>
    <row r="900" spans="1:22" x14ac:dyDescent="0.25">
      <c r="A900" s="9">
        <v>46179</v>
      </c>
      <c r="B900" s="4" t="s">
        <v>69</v>
      </c>
      <c r="C900" s="4" t="s">
        <v>70</v>
      </c>
      <c r="D900" s="4" t="s">
        <v>71</v>
      </c>
      <c r="E900" s="10">
        <v>11.55</v>
      </c>
      <c r="G900" s="4" t="s">
        <v>72</v>
      </c>
      <c r="H900" s="4"/>
      <c r="I900" s="4" t="s">
        <v>79</v>
      </c>
      <c r="K900" s="11">
        <f>IF($E900="","",ROUND($E900*IF(ISNA(MATCH($C900,'Paramètres'!$D:$D,0)),1,IF(INDEX('Paramètres'!$J:$J,MATCH($C900,'Paramètres'!$D:$D,0))="",1,INDEX('Paramètres'!$J:$J,MATCH($C900,'Paramètres'!$D:$D,0)))),2))</f>
        <v>11.55</v>
      </c>
      <c r="L900" s="6" t="str">
        <f>IF($D900="","",IF($F900&lt;&gt;"",$F900,IF(ISNA(MATCH($D900,'Paramètres'!$M:$M,0)),"⚠ Type inconnu",IFERROR(INDEX('Paramètres'!$P:$P,MATCH($D900,'Paramètres'!$M:$M,0))&amp;"",""))))</f>
        <v>Débit</v>
      </c>
      <c r="M900" s="6" t="str">
        <f>IF($D900="","",IF(ISNA(MATCH($D900,'Paramètres'!$M:$M,0)),"⚠ Type inconnu",IF($L900="Crédit","",IFERROR(INDEX('Paramètres'!$O:$O,MATCH($D900,'Paramètres'!$M:$M,0))&amp;"",""))))</f>
        <v>Dépense Courante</v>
      </c>
      <c r="N900" s="6" t="str">
        <f>IF($D900="","",IFERROR(INDEX('Paramètres'!$Q:$Q,MATCH($D900,'Paramètres'!$M:$M,0))&amp;"",""))</f>
        <v>Alimentation</v>
      </c>
      <c r="O900" s="6">
        <f>IF($A900="","",IF(OR($J900&lt;&gt;"x",$A900&lt;=FinReleve),1,0))</f>
        <v>1</v>
      </c>
      <c r="P900" s="6">
        <f>IF($D900="","",IF(AND($L900="Crédit",OR(IFERROR(INDEX('Paramètres'!$O:$O,MATCH($D900,'Paramètres'!$M:$M,0))&amp;"","")&lt;&gt;"",ISNUMBER(SEARCH("remboursement",IFERROR(INDEX('Paramètres'!$N:$N,MATCH($D900,'Paramètres'!$M:$M,0))&amp;"",""))))),1,0))</f>
        <v>0</v>
      </c>
      <c r="Q900" s="6">
        <f>IF($K900="","",IF(ISNUMBER(SEARCH("transfert-interne",IFERROR(INDEX('Paramètres'!$N:$N,MATCH($D900,'Paramètres'!$M:$M,0))&amp;"",""))),0,IF($L900="Débit",$K900,IF($P900=1,-$K900,0))))</f>
        <v>11.55</v>
      </c>
      <c r="R900" s="6">
        <f>IF($K900="","",IF($L900="Crédit",$K900,-$K900))</f>
        <v>-11.55</v>
      </c>
      <c r="S900" s="6" t="str">
        <f>IF($C900="","",IFERROR(INDEX('Paramètres'!$H:$H,MATCH($C900,'Paramètres'!$D:$D,0))&amp;"",""))</f>
        <v/>
      </c>
      <c r="T900" s="6">
        <f>IF($K900="","",IF($S900="",0,IF(ISNUMBER(SEARCH("apport-exterieur",IFERROR(INDEX('Paramètres'!$N:$N,MATCH($D900,'Paramètres'!$M:$M,0))&amp;"",""))),0,IF(OR(IFERROR(INDEX('Paramètres'!$I:$I,MATCH($C900,'Paramètres'!$D:$D,0))&amp;"","")="Les deux",IFERROR(INDEX('Paramètres'!$I:$I,MATCH($C900,'Paramètres'!$D:$D,0))&amp;"","")=IF($P900=1,"Débit",$L900)),-IF($P900=1,-$K900,$K900),0))))</f>
        <v>0</v>
      </c>
      <c r="U900" s="6">
        <f>IF($K900="","",IF(ISNUMBER(SEARCH("sortie-epargne",IFERROR(INDEX('Paramètres'!$N:$N,MATCH($D900,'Paramètres'!$M:$M,0))&amp;"",""))),$K900,0))</f>
        <v>0</v>
      </c>
      <c r="V900" s="6" t="str">
        <f>IF(AND($A900&lt;&gt;"",$O900=1,$L900="Débit",N($Q900)&gt;0,$A900&gt;=Visualisation!$B$1,$A900&lt;Visualisation!$D$1),MAX($V$1:V899)+1,"")</f>
        <v/>
      </c>
    </row>
    <row r="901" spans="1:22" x14ac:dyDescent="0.25">
      <c r="A901" s="9">
        <v>46179</v>
      </c>
      <c r="B901" s="4" t="s">
        <v>76</v>
      </c>
      <c r="C901" s="4" t="s">
        <v>107</v>
      </c>
      <c r="D901" s="4" t="s">
        <v>108</v>
      </c>
      <c r="E901" s="10">
        <v>69.6</v>
      </c>
      <c r="G901" s="4" t="s">
        <v>122</v>
      </c>
      <c r="H901" s="4"/>
      <c r="I901" s="4"/>
      <c r="K901" s="11">
        <f>IF($E901="","",ROUND($E901*IF(ISNA(MATCH($C901,'Paramètres'!$D:$D,0)),1,IF(INDEX('Paramètres'!$J:$J,MATCH($C901,'Paramètres'!$D:$D,0))="",1,INDEX('Paramètres'!$J:$J,MATCH($C901,'Paramètres'!$D:$D,0)))),2))</f>
        <v>69.6</v>
      </c>
      <c r="L901" s="6" t="str">
        <f>IF($D901="","",IF($F901&lt;&gt;"",$F901,IF(ISNA(MATCH($D901,'Paramètres'!$M:$M,0)),"⚠ Type inconnu",IFERROR(INDEX('Paramètres'!$P:$P,MATCH($D901,'Paramètres'!$M:$M,0))&amp;"",""))))</f>
        <v>Débit</v>
      </c>
      <c r="M901" s="6" t="str">
        <f>IF($D901="","",IF(ISNA(MATCH($D901,'Paramètres'!$M:$M,0)),"⚠ Type inconnu",IF($L901="Crédit","",IFERROR(INDEX('Paramètres'!$O:$O,MATCH($D901,'Paramètres'!$M:$M,0))&amp;"",""))))</f>
        <v>Dépense Occasionnelle</v>
      </c>
      <c r="N901" s="6" t="str">
        <f>IF($D901="","",IFERROR(INDEX('Paramètres'!$Q:$Q,MATCH($D901,'Paramètres'!$M:$M,0))&amp;"",""))</f>
        <v>Autre</v>
      </c>
      <c r="O901" s="6">
        <f>IF($A901="","",IF(OR($J901&lt;&gt;"x",$A901&lt;=FinReleve),1,0))</f>
        <v>1</v>
      </c>
      <c r="P901" s="6">
        <f>IF($D901="","",IF(AND($L901="Crédit",OR(IFERROR(INDEX('Paramètres'!$O:$O,MATCH($D901,'Paramètres'!$M:$M,0))&amp;"","")&lt;&gt;"",ISNUMBER(SEARCH("remboursement",IFERROR(INDEX('Paramètres'!$N:$N,MATCH($D901,'Paramètres'!$M:$M,0))&amp;"",""))))),1,0))</f>
        <v>0</v>
      </c>
      <c r="Q901" s="6">
        <f>IF($K901="","",IF(ISNUMBER(SEARCH("transfert-interne",IFERROR(INDEX('Paramètres'!$N:$N,MATCH($D901,'Paramètres'!$M:$M,0))&amp;"",""))),0,IF($L901="Débit",$K901,IF($P901=1,-$K901,0))))</f>
        <v>69.6</v>
      </c>
      <c r="R901" s="6">
        <f>IF($K901="","",IF($L901="Crédit",$K901,-$K901))</f>
        <v>-69.6</v>
      </c>
      <c r="S901" s="6" t="str">
        <f>IF($C901="","",IFERROR(INDEX('Paramètres'!$H:$H,MATCH($C901,'Paramètres'!$D:$D,0))&amp;"",""))</f>
        <v/>
      </c>
      <c r="T901" s="6">
        <f>IF($K901="","",IF($S901="",0,IF(ISNUMBER(SEARCH("apport-exterieur",IFERROR(INDEX('Paramètres'!$N:$N,MATCH($D901,'Paramètres'!$M:$M,0))&amp;"",""))),0,IF(OR(IFERROR(INDEX('Paramètres'!$I:$I,MATCH($C901,'Paramètres'!$D:$D,0))&amp;"","")="Les deux",IFERROR(INDEX('Paramètres'!$I:$I,MATCH($C901,'Paramètres'!$D:$D,0))&amp;"","")=IF($P901=1,"Débit",$L901)),-IF($P901=1,-$K901,$K901),0))))</f>
        <v>0</v>
      </c>
      <c r="U901" s="6">
        <f>IF($K901="","",IF(ISNUMBER(SEARCH("sortie-epargne",IFERROR(INDEX('Paramètres'!$N:$N,MATCH($D901,'Paramètres'!$M:$M,0))&amp;"",""))),$K901,0))</f>
        <v>0</v>
      </c>
      <c r="V901" s="6" t="str">
        <f>IF(AND($A901&lt;&gt;"",$O901=1,$L901="Débit",N($Q901)&gt;0,$A901&gt;=Visualisation!$B$1,$A901&lt;Visualisation!$D$1),MAX($V$1:V900)+1,"")</f>
        <v/>
      </c>
    </row>
    <row r="902" spans="1:22" x14ac:dyDescent="0.25">
      <c r="A902" s="9">
        <v>46180</v>
      </c>
      <c r="B902" s="4" t="s">
        <v>69</v>
      </c>
      <c r="C902" s="4" t="s">
        <v>70</v>
      </c>
      <c r="D902" s="4" t="s">
        <v>71</v>
      </c>
      <c r="E902" s="10">
        <v>9.21</v>
      </c>
      <c r="G902" s="4" t="s">
        <v>72</v>
      </c>
      <c r="H902" s="4"/>
      <c r="I902" s="4" t="s">
        <v>79</v>
      </c>
      <c r="K902" s="11">
        <f>IF($E902="","",ROUND($E902*IF(ISNA(MATCH($C902,'Paramètres'!$D:$D,0)),1,IF(INDEX('Paramètres'!$J:$J,MATCH($C902,'Paramètres'!$D:$D,0))="",1,INDEX('Paramètres'!$J:$J,MATCH($C902,'Paramètres'!$D:$D,0)))),2))</f>
        <v>9.21</v>
      </c>
      <c r="L902" s="6" t="str">
        <f>IF($D902="","",IF($F902&lt;&gt;"",$F902,IF(ISNA(MATCH($D902,'Paramètres'!$M:$M,0)),"⚠ Type inconnu",IFERROR(INDEX('Paramètres'!$P:$P,MATCH($D902,'Paramètres'!$M:$M,0))&amp;"",""))))</f>
        <v>Débit</v>
      </c>
      <c r="M902" s="6" t="str">
        <f>IF($D902="","",IF(ISNA(MATCH($D902,'Paramètres'!$M:$M,0)),"⚠ Type inconnu",IF($L902="Crédit","",IFERROR(INDEX('Paramètres'!$O:$O,MATCH($D902,'Paramètres'!$M:$M,0))&amp;"",""))))</f>
        <v>Dépense Courante</v>
      </c>
      <c r="N902" s="6" t="str">
        <f>IF($D902="","",IFERROR(INDEX('Paramètres'!$Q:$Q,MATCH($D902,'Paramètres'!$M:$M,0))&amp;"",""))</f>
        <v>Alimentation</v>
      </c>
      <c r="O902" s="6">
        <f>IF($A902="","",IF(OR($J902&lt;&gt;"x",$A902&lt;=FinReleve),1,0))</f>
        <v>1</v>
      </c>
      <c r="P902" s="6">
        <f>IF($D902="","",IF(AND($L902="Crédit",OR(IFERROR(INDEX('Paramètres'!$O:$O,MATCH($D902,'Paramètres'!$M:$M,0))&amp;"","")&lt;&gt;"",ISNUMBER(SEARCH("remboursement",IFERROR(INDEX('Paramètres'!$N:$N,MATCH($D902,'Paramètres'!$M:$M,0))&amp;"",""))))),1,0))</f>
        <v>0</v>
      </c>
      <c r="Q902" s="6">
        <f>IF($K902="","",IF(ISNUMBER(SEARCH("transfert-interne",IFERROR(INDEX('Paramètres'!$N:$N,MATCH($D902,'Paramètres'!$M:$M,0))&amp;"",""))),0,IF($L902="Débit",$K902,IF($P902=1,-$K902,0))))</f>
        <v>9.21</v>
      </c>
      <c r="R902" s="6">
        <f>IF($K902="","",IF($L902="Crédit",$K902,-$K902))</f>
        <v>-9.21</v>
      </c>
      <c r="S902" s="6" t="str">
        <f>IF($C902="","",IFERROR(INDEX('Paramètres'!$H:$H,MATCH($C902,'Paramètres'!$D:$D,0))&amp;"",""))</f>
        <v/>
      </c>
      <c r="T902" s="6">
        <f>IF($K902="","",IF($S902="",0,IF(ISNUMBER(SEARCH("apport-exterieur",IFERROR(INDEX('Paramètres'!$N:$N,MATCH($D902,'Paramètres'!$M:$M,0))&amp;"",""))),0,IF(OR(IFERROR(INDEX('Paramètres'!$I:$I,MATCH($C902,'Paramètres'!$D:$D,0))&amp;"","")="Les deux",IFERROR(INDEX('Paramètres'!$I:$I,MATCH($C902,'Paramètres'!$D:$D,0))&amp;"","")=IF($P902=1,"Débit",$L902)),-IF($P902=1,-$K902,$K902),0))))</f>
        <v>0</v>
      </c>
      <c r="U902" s="6">
        <f>IF($K902="","",IF(ISNUMBER(SEARCH("sortie-epargne",IFERROR(INDEX('Paramètres'!$N:$N,MATCH($D902,'Paramètres'!$M:$M,0))&amp;"",""))),$K902,0))</f>
        <v>0</v>
      </c>
      <c r="V902" s="6" t="str">
        <f>IF(AND($A902&lt;&gt;"",$O902=1,$L902="Débit",N($Q902)&gt;0,$A902&gt;=Visualisation!$B$1,$A902&lt;Visualisation!$D$1),MAX($V$1:V901)+1,"")</f>
        <v/>
      </c>
    </row>
    <row r="903" spans="1:22" x14ac:dyDescent="0.25">
      <c r="A903" s="9">
        <v>46180</v>
      </c>
      <c r="B903" s="4" t="s">
        <v>69</v>
      </c>
      <c r="C903" s="4" t="s">
        <v>70</v>
      </c>
      <c r="D903" s="4" t="s">
        <v>71</v>
      </c>
      <c r="E903" s="10">
        <v>12.39</v>
      </c>
      <c r="G903" s="4" t="s">
        <v>72</v>
      </c>
      <c r="H903" s="4"/>
      <c r="I903" s="4" t="s">
        <v>73</v>
      </c>
      <c r="K903" s="11">
        <f>IF($E903="","",ROUND($E903*IF(ISNA(MATCH($C903,'Paramètres'!$D:$D,0)),1,IF(INDEX('Paramètres'!$J:$J,MATCH($C903,'Paramètres'!$D:$D,0))="",1,INDEX('Paramètres'!$J:$J,MATCH($C903,'Paramètres'!$D:$D,0)))),2))</f>
        <v>12.39</v>
      </c>
      <c r="L903" s="6" t="str">
        <f>IF($D903="","",IF($F903&lt;&gt;"",$F903,IF(ISNA(MATCH($D903,'Paramètres'!$M:$M,0)),"⚠ Type inconnu",IFERROR(INDEX('Paramètres'!$P:$P,MATCH($D903,'Paramètres'!$M:$M,0))&amp;"",""))))</f>
        <v>Débit</v>
      </c>
      <c r="M903" s="6" t="str">
        <f>IF($D903="","",IF(ISNA(MATCH($D903,'Paramètres'!$M:$M,0)),"⚠ Type inconnu",IF($L903="Crédit","",IFERROR(INDEX('Paramètres'!$O:$O,MATCH($D903,'Paramètres'!$M:$M,0))&amp;"",""))))</f>
        <v>Dépense Courante</v>
      </c>
      <c r="N903" s="6" t="str">
        <f>IF($D903="","",IFERROR(INDEX('Paramètres'!$Q:$Q,MATCH($D903,'Paramètres'!$M:$M,0))&amp;"",""))</f>
        <v>Alimentation</v>
      </c>
      <c r="O903" s="6">
        <f>IF($A903="","",IF(OR($J903&lt;&gt;"x",$A903&lt;=FinReleve),1,0))</f>
        <v>1</v>
      </c>
      <c r="P903" s="6">
        <f>IF($D903="","",IF(AND($L903="Crédit",OR(IFERROR(INDEX('Paramètres'!$O:$O,MATCH($D903,'Paramètres'!$M:$M,0))&amp;"","")&lt;&gt;"",ISNUMBER(SEARCH("remboursement",IFERROR(INDEX('Paramètres'!$N:$N,MATCH($D903,'Paramètres'!$M:$M,0))&amp;"",""))))),1,0))</f>
        <v>0</v>
      </c>
      <c r="Q903" s="6">
        <f>IF($K903="","",IF(ISNUMBER(SEARCH("transfert-interne",IFERROR(INDEX('Paramètres'!$N:$N,MATCH($D903,'Paramètres'!$M:$M,0))&amp;"",""))),0,IF($L903="Débit",$K903,IF($P903=1,-$K903,0))))</f>
        <v>12.39</v>
      </c>
      <c r="R903" s="6">
        <f>IF($K903="","",IF($L903="Crédit",$K903,-$K903))</f>
        <v>-12.39</v>
      </c>
      <c r="S903" s="6" t="str">
        <f>IF($C903="","",IFERROR(INDEX('Paramètres'!$H:$H,MATCH($C903,'Paramètres'!$D:$D,0))&amp;"",""))</f>
        <v/>
      </c>
      <c r="T903" s="6">
        <f>IF($K903="","",IF($S903="",0,IF(ISNUMBER(SEARCH("apport-exterieur",IFERROR(INDEX('Paramètres'!$N:$N,MATCH($D903,'Paramètres'!$M:$M,0))&amp;"",""))),0,IF(OR(IFERROR(INDEX('Paramètres'!$I:$I,MATCH($C903,'Paramètres'!$D:$D,0))&amp;"","")="Les deux",IFERROR(INDEX('Paramètres'!$I:$I,MATCH($C903,'Paramètres'!$D:$D,0))&amp;"","")=IF($P903=1,"Débit",$L903)),-IF($P903=1,-$K903,$K903),0))))</f>
        <v>0</v>
      </c>
      <c r="U903" s="6">
        <f>IF($K903="","",IF(ISNUMBER(SEARCH("sortie-epargne",IFERROR(INDEX('Paramètres'!$N:$N,MATCH($D903,'Paramètres'!$M:$M,0))&amp;"",""))),$K903,0))</f>
        <v>0</v>
      </c>
      <c r="V903" s="6" t="str">
        <f>IF(AND($A903&lt;&gt;"",$O903=1,$L903="Débit",N($Q903)&gt;0,$A903&gt;=Visualisation!$B$1,$A903&lt;Visualisation!$D$1),MAX($V$1:V902)+1,"")</f>
        <v/>
      </c>
    </row>
    <row r="904" spans="1:22" x14ac:dyDescent="0.25">
      <c r="A904" s="9">
        <v>46181</v>
      </c>
      <c r="B904" s="4" t="s">
        <v>94</v>
      </c>
      <c r="C904" s="4" t="s">
        <v>65</v>
      </c>
      <c r="D904" s="4" t="s">
        <v>94</v>
      </c>
      <c r="E904" s="10">
        <v>168</v>
      </c>
      <c r="G904" s="4"/>
      <c r="H904" s="4"/>
      <c r="I904" s="4"/>
      <c r="K904" s="11">
        <f>IF($E904="","",ROUND($E904*IF(ISNA(MATCH($C904,'Paramètres'!$D:$D,0)),1,IF(INDEX('Paramètres'!$J:$J,MATCH($C904,'Paramètres'!$D:$D,0))="",1,INDEX('Paramètres'!$J:$J,MATCH($C904,'Paramètres'!$D:$D,0)))),2))</f>
        <v>168</v>
      </c>
      <c r="L904" s="6" t="str">
        <f>IF($D904="","",IF($F904&lt;&gt;"",$F904,IF(ISNA(MATCH($D904,'Paramètres'!$M:$M,0)),"⚠ Type inconnu",IFERROR(INDEX('Paramètres'!$P:$P,MATCH($D904,'Paramètres'!$M:$M,0))&amp;"",""))))</f>
        <v>Débit</v>
      </c>
      <c r="M904" s="6" t="str">
        <f>IF($D904="","",IF(ISNA(MATCH($D904,'Paramètres'!$M:$M,0)),"⚠ Type inconnu",IF($L904="Crédit","",IFERROR(INDEX('Paramètres'!$O:$O,MATCH($D904,'Paramètres'!$M:$M,0))&amp;"",""))))</f>
        <v>Dépense Fixe</v>
      </c>
      <c r="N904" s="6" t="str">
        <f>IF($D904="","",IFERROR(INDEX('Paramètres'!$Q:$Q,MATCH($D904,'Paramètres'!$M:$M,0))&amp;"",""))</f>
        <v>Immobilier</v>
      </c>
      <c r="O904" s="6">
        <f>IF($A904="","",IF(OR($J904&lt;&gt;"x",$A904&lt;=FinReleve),1,0))</f>
        <v>1</v>
      </c>
      <c r="P904" s="6">
        <f>IF($D904="","",IF(AND($L904="Crédit",OR(IFERROR(INDEX('Paramètres'!$O:$O,MATCH($D904,'Paramètres'!$M:$M,0))&amp;"","")&lt;&gt;"",ISNUMBER(SEARCH("remboursement",IFERROR(INDEX('Paramètres'!$N:$N,MATCH($D904,'Paramètres'!$M:$M,0))&amp;"",""))))),1,0))</f>
        <v>0</v>
      </c>
      <c r="Q904" s="6">
        <f>IF($K904="","",IF(ISNUMBER(SEARCH("transfert-interne",IFERROR(INDEX('Paramètres'!$N:$N,MATCH($D904,'Paramètres'!$M:$M,0))&amp;"",""))),0,IF($L904="Débit",$K904,IF($P904=1,-$K904,0))))</f>
        <v>168</v>
      </c>
      <c r="R904" s="6">
        <f>IF($K904="","",IF($L904="Crédit",$K904,-$K904))</f>
        <v>-168</v>
      </c>
      <c r="S904" s="6" t="str">
        <f>IF($C904="","",IFERROR(INDEX('Paramètres'!$H:$H,MATCH($C904,'Paramètres'!$D:$D,0))&amp;"",""))</f>
        <v>Banque A - Courant</v>
      </c>
      <c r="T904" s="6">
        <f>IF($K904="","",IF($S904="",0,IF(ISNUMBER(SEARCH("apport-exterieur",IFERROR(INDEX('Paramètres'!$N:$N,MATCH($D904,'Paramètres'!$M:$M,0))&amp;"",""))),0,IF(OR(IFERROR(INDEX('Paramètres'!$I:$I,MATCH($C904,'Paramètres'!$D:$D,0))&amp;"","")="Les deux",IFERROR(INDEX('Paramètres'!$I:$I,MATCH($C904,'Paramètres'!$D:$D,0))&amp;"","")=IF($P904=1,"Débit",$L904)),-IF($P904=1,-$K904,$K904),0))))</f>
        <v>0</v>
      </c>
      <c r="U904" s="6">
        <f>IF($K904="","",IF(ISNUMBER(SEARCH("sortie-epargne",IFERROR(INDEX('Paramètres'!$N:$N,MATCH($D904,'Paramètres'!$M:$M,0))&amp;"",""))),$K904,0))</f>
        <v>0</v>
      </c>
      <c r="V904" s="6" t="str">
        <f>IF(AND($A904&lt;&gt;"",$O904=1,$L904="Débit",N($Q904)&gt;0,$A904&gt;=Visualisation!$B$1,$A904&lt;Visualisation!$D$1),MAX($V$1:V903)+1,"")</f>
        <v/>
      </c>
    </row>
    <row r="905" spans="1:22" x14ac:dyDescent="0.25">
      <c r="A905" s="9">
        <v>46181</v>
      </c>
      <c r="B905" s="4" t="s">
        <v>76</v>
      </c>
      <c r="C905" s="4" t="s">
        <v>60</v>
      </c>
      <c r="D905" s="4" t="s">
        <v>77</v>
      </c>
      <c r="E905" s="10">
        <v>78.06</v>
      </c>
      <c r="G905" s="4" t="s">
        <v>98</v>
      </c>
      <c r="H905" s="4"/>
      <c r="I905" s="4" t="s">
        <v>73</v>
      </c>
      <c r="K905" s="11">
        <f>IF($E905="","",ROUND($E905*IF(ISNA(MATCH($C905,'Paramètres'!$D:$D,0)),1,IF(INDEX('Paramètres'!$J:$J,MATCH($C905,'Paramètres'!$D:$D,0))="",1,INDEX('Paramètres'!$J:$J,MATCH($C905,'Paramètres'!$D:$D,0)))),2))</f>
        <v>39.03</v>
      </c>
      <c r="L905" s="6" t="str">
        <f>IF($D905="","",IF($F905&lt;&gt;"",$F905,IF(ISNA(MATCH($D905,'Paramètres'!$M:$M,0)),"⚠ Type inconnu",IFERROR(INDEX('Paramètres'!$P:$P,MATCH($D905,'Paramètres'!$M:$M,0))&amp;"",""))))</f>
        <v>Débit</v>
      </c>
      <c r="M905" s="6" t="str">
        <f>IF($D905="","",IF(ISNA(MATCH($D905,'Paramètres'!$M:$M,0)),"⚠ Type inconnu",IF($L905="Crédit","",IFERROR(INDEX('Paramètres'!$O:$O,MATCH($D905,'Paramètres'!$M:$M,0))&amp;"",""))))</f>
        <v>Dépense Courante</v>
      </c>
      <c r="N905" s="6" t="str">
        <f>IF($D905="","",IFERROR(INDEX('Paramètres'!$Q:$Q,MATCH($D905,'Paramètres'!$M:$M,0))&amp;"",""))</f>
        <v>Alimentation</v>
      </c>
      <c r="O905" s="6">
        <f>IF($A905="","",IF(OR($J905&lt;&gt;"x",$A905&lt;=FinReleve),1,0))</f>
        <v>1</v>
      </c>
      <c r="P905" s="6">
        <f>IF($D905="","",IF(AND($L905="Crédit",OR(IFERROR(INDEX('Paramètres'!$O:$O,MATCH($D905,'Paramètres'!$M:$M,0))&amp;"","")&lt;&gt;"",ISNUMBER(SEARCH("remboursement",IFERROR(INDEX('Paramètres'!$N:$N,MATCH($D905,'Paramètres'!$M:$M,0))&amp;"",""))))),1,0))</f>
        <v>0</v>
      </c>
      <c r="Q905" s="6">
        <f>IF($K905="","",IF(ISNUMBER(SEARCH("transfert-interne",IFERROR(INDEX('Paramètres'!$N:$N,MATCH($D905,'Paramètres'!$M:$M,0))&amp;"",""))),0,IF($L905="Débit",$K905,IF($P905=1,-$K905,0))))</f>
        <v>39.03</v>
      </c>
      <c r="R905" s="6">
        <f>IF($K905="","",IF($L905="Crédit",$K905,-$K905))</f>
        <v>-39.03</v>
      </c>
      <c r="S905" s="6" t="str">
        <f>IF($C905="","",IFERROR(INDEX('Paramètres'!$H:$H,MATCH($C905,'Paramètres'!$D:$D,0))&amp;"",""))</f>
        <v>Banque A - Courant</v>
      </c>
      <c r="T905" s="6">
        <f>IF($K905="","",IF($S905="",0,IF(ISNUMBER(SEARCH("apport-exterieur",IFERROR(INDEX('Paramètres'!$N:$N,MATCH($D905,'Paramètres'!$M:$M,0))&amp;"",""))),0,IF(OR(IFERROR(INDEX('Paramètres'!$I:$I,MATCH($C905,'Paramètres'!$D:$D,0))&amp;"","")="Les deux",IFERROR(INDEX('Paramètres'!$I:$I,MATCH($C905,'Paramètres'!$D:$D,0))&amp;"","")=IF($P905=1,"Débit",$L905)),-IF($P905=1,-$K905,$K905),0))))</f>
        <v>-39.03</v>
      </c>
      <c r="U905" s="6">
        <f>IF($K905="","",IF(ISNUMBER(SEARCH("sortie-epargne",IFERROR(INDEX('Paramètres'!$N:$N,MATCH($D905,'Paramètres'!$M:$M,0))&amp;"",""))),$K905,0))</f>
        <v>0</v>
      </c>
      <c r="V905" s="6" t="str">
        <f>IF(AND($A905&lt;&gt;"",$O905=1,$L905="Débit",N($Q905)&gt;0,$A905&gt;=Visualisation!$B$1,$A905&lt;Visualisation!$D$1),MAX($V$1:V904)+1,"")</f>
        <v/>
      </c>
    </row>
    <row r="906" spans="1:22" x14ac:dyDescent="0.25">
      <c r="A906" s="9">
        <v>46182</v>
      </c>
      <c r="B906" s="4" t="s">
        <v>69</v>
      </c>
      <c r="C906" s="4" t="s">
        <v>70</v>
      </c>
      <c r="D906" s="4" t="s">
        <v>71</v>
      </c>
      <c r="E906" s="10">
        <v>12.16</v>
      </c>
      <c r="G906" s="4" t="s">
        <v>72</v>
      </c>
      <c r="H906" s="4"/>
      <c r="I906" s="4"/>
      <c r="K906" s="11">
        <f>IF($E906="","",ROUND($E906*IF(ISNA(MATCH($C906,'Paramètres'!$D:$D,0)),1,IF(INDEX('Paramètres'!$J:$J,MATCH($C906,'Paramètres'!$D:$D,0))="",1,INDEX('Paramètres'!$J:$J,MATCH($C906,'Paramètres'!$D:$D,0)))),2))</f>
        <v>12.16</v>
      </c>
      <c r="L906" s="6" t="str">
        <f>IF($D906="","",IF($F906&lt;&gt;"",$F906,IF(ISNA(MATCH($D906,'Paramètres'!$M:$M,0)),"⚠ Type inconnu",IFERROR(INDEX('Paramètres'!$P:$P,MATCH($D906,'Paramètres'!$M:$M,0))&amp;"",""))))</f>
        <v>Débit</v>
      </c>
      <c r="M906" s="6" t="str">
        <f>IF($D906="","",IF(ISNA(MATCH($D906,'Paramètres'!$M:$M,0)),"⚠ Type inconnu",IF($L906="Crédit","",IFERROR(INDEX('Paramètres'!$O:$O,MATCH($D906,'Paramètres'!$M:$M,0))&amp;"",""))))</f>
        <v>Dépense Courante</v>
      </c>
      <c r="N906" s="6" t="str">
        <f>IF($D906="","",IFERROR(INDEX('Paramètres'!$Q:$Q,MATCH($D906,'Paramètres'!$M:$M,0))&amp;"",""))</f>
        <v>Alimentation</v>
      </c>
      <c r="O906" s="6">
        <f>IF($A906="","",IF(OR($J906&lt;&gt;"x",$A906&lt;=FinReleve),1,0))</f>
        <v>1</v>
      </c>
      <c r="P906" s="6">
        <f>IF($D906="","",IF(AND($L906="Crédit",OR(IFERROR(INDEX('Paramètres'!$O:$O,MATCH($D906,'Paramètres'!$M:$M,0))&amp;"","")&lt;&gt;"",ISNUMBER(SEARCH("remboursement",IFERROR(INDEX('Paramètres'!$N:$N,MATCH($D906,'Paramètres'!$M:$M,0))&amp;"",""))))),1,0))</f>
        <v>0</v>
      </c>
      <c r="Q906" s="6">
        <f>IF($K906="","",IF(ISNUMBER(SEARCH("transfert-interne",IFERROR(INDEX('Paramètres'!$N:$N,MATCH($D906,'Paramètres'!$M:$M,0))&amp;"",""))),0,IF($L906="Débit",$K906,IF($P906=1,-$K906,0))))</f>
        <v>12.16</v>
      </c>
      <c r="R906" s="6">
        <f>IF($K906="","",IF($L906="Crédit",$K906,-$K906))</f>
        <v>-12.16</v>
      </c>
      <c r="S906" s="6" t="str">
        <f>IF($C906="","",IFERROR(INDEX('Paramètres'!$H:$H,MATCH($C906,'Paramètres'!$D:$D,0))&amp;"",""))</f>
        <v/>
      </c>
      <c r="T906" s="6">
        <f>IF($K906="","",IF($S906="",0,IF(ISNUMBER(SEARCH("apport-exterieur",IFERROR(INDEX('Paramètres'!$N:$N,MATCH($D906,'Paramètres'!$M:$M,0))&amp;"",""))),0,IF(OR(IFERROR(INDEX('Paramètres'!$I:$I,MATCH($C906,'Paramètres'!$D:$D,0))&amp;"","")="Les deux",IFERROR(INDEX('Paramètres'!$I:$I,MATCH($C906,'Paramètres'!$D:$D,0))&amp;"","")=IF($P906=1,"Débit",$L906)),-IF($P906=1,-$K906,$K906),0))))</f>
        <v>0</v>
      </c>
      <c r="U906" s="6">
        <f>IF($K906="","",IF(ISNUMBER(SEARCH("sortie-epargne",IFERROR(INDEX('Paramètres'!$N:$N,MATCH($D906,'Paramètres'!$M:$M,0))&amp;"",""))),$K906,0))</f>
        <v>0</v>
      </c>
      <c r="V906" s="6" t="str">
        <f>IF(AND($A906&lt;&gt;"",$O906=1,$L906="Débit",N($Q906)&gt;0,$A906&gt;=Visualisation!$B$1,$A906&lt;Visualisation!$D$1),MAX($V$1:V905)+1,"")</f>
        <v/>
      </c>
    </row>
    <row r="907" spans="1:22" x14ac:dyDescent="0.25">
      <c r="A907" s="9">
        <v>46182</v>
      </c>
      <c r="B907" s="4" t="s">
        <v>69</v>
      </c>
      <c r="C907" s="4" t="s">
        <v>70</v>
      </c>
      <c r="D907" s="4" t="s">
        <v>71</v>
      </c>
      <c r="E907" s="10">
        <v>13.28</v>
      </c>
      <c r="G907" s="4" t="s">
        <v>72</v>
      </c>
      <c r="H907" s="4"/>
      <c r="I907" s="4" t="s">
        <v>79</v>
      </c>
      <c r="K907" s="11">
        <f>IF($E907="","",ROUND($E907*IF(ISNA(MATCH($C907,'Paramètres'!$D:$D,0)),1,IF(INDEX('Paramètres'!$J:$J,MATCH($C907,'Paramètres'!$D:$D,0))="",1,INDEX('Paramètres'!$J:$J,MATCH($C907,'Paramètres'!$D:$D,0)))),2))</f>
        <v>13.28</v>
      </c>
      <c r="L907" s="6" t="str">
        <f>IF($D907="","",IF($F907&lt;&gt;"",$F907,IF(ISNA(MATCH($D907,'Paramètres'!$M:$M,0)),"⚠ Type inconnu",IFERROR(INDEX('Paramètres'!$P:$P,MATCH($D907,'Paramètres'!$M:$M,0))&amp;"",""))))</f>
        <v>Débit</v>
      </c>
      <c r="M907" s="6" t="str">
        <f>IF($D907="","",IF(ISNA(MATCH($D907,'Paramètres'!$M:$M,0)),"⚠ Type inconnu",IF($L907="Crédit","",IFERROR(INDEX('Paramètres'!$O:$O,MATCH($D907,'Paramètres'!$M:$M,0))&amp;"",""))))</f>
        <v>Dépense Courante</v>
      </c>
      <c r="N907" s="6" t="str">
        <f>IF($D907="","",IFERROR(INDEX('Paramètres'!$Q:$Q,MATCH($D907,'Paramètres'!$M:$M,0))&amp;"",""))</f>
        <v>Alimentation</v>
      </c>
      <c r="O907" s="6">
        <f>IF($A907="","",IF(OR($J907&lt;&gt;"x",$A907&lt;=FinReleve),1,0))</f>
        <v>1</v>
      </c>
      <c r="P907" s="6">
        <f>IF($D907="","",IF(AND($L907="Crédit",OR(IFERROR(INDEX('Paramètres'!$O:$O,MATCH($D907,'Paramètres'!$M:$M,0))&amp;"","")&lt;&gt;"",ISNUMBER(SEARCH("remboursement",IFERROR(INDEX('Paramètres'!$N:$N,MATCH($D907,'Paramètres'!$M:$M,0))&amp;"",""))))),1,0))</f>
        <v>0</v>
      </c>
      <c r="Q907" s="6">
        <f>IF($K907="","",IF(ISNUMBER(SEARCH("transfert-interne",IFERROR(INDEX('Paramètres'!$N:$N,MATCH($D907,'Paramètres'!$M:$M,0))&amp;"",""))),0,IF($L907="Débit",$K907,IF($P907=1,-$K907,0))))</f>
        <v>13.28</v>
      </c>
      <c r="R907" s="6">
        <f>IF($K907="","",IF($L907="Crédit",$K907,-$K907))</f>
        <v>-13.28</v>
      </c>
      <c r="S907" s="6" t="str">
        <f>IF($C907="","",IFERROR(INDEX('Paramètres'!$H:$H,MATCH($C907,'Paramètres'!$D:$D,0))&amp;"",""))</f>
        <v/>
      </c>
      <c r="T907" s="6">
        <f>IF($K907="","",IF($S907="",0,IF(ISNUMBER(SEARCH("apport-exterieur",IFERROR(INDEX('Paramètres'!$N:$N,MATCH($D907,'Paramètres'!$M:$M,0))&amp;"",""))),0,IF(OR(IFERROR(INDEX('Paramètres'!$I:$I,MATCH($C907,'Paramètres'!$D:$D,0))&amp;"","")="Les deux",IFERROR(INDEX('Paramètres'!$I:$I,MATCH($C907,'Paramètres'!$D:$D,0))&amp;"","")=IF($P907=1,"Débit",$L907)),-IF($P907=1,-$K907,$K907),0))))</f>
        <v>0</v>
      </c>
      <c r="U907" s="6">
        <f>IF($K907="","",IF(ISNUMBER(SEARCH("sortie-epargne",IFERROR(INDEX('Paramètres'!$N:$N,MATCH($D907,'Paramètres'!$M:$M,0))&amp;"",""))),$K907,0))</f>
        <v>0</v>
      </c>
      <c r="V907" s="6" t="str">
        <f>IF(AND($A907&lt;&gt;"",$O907=1,$L907="Débit",N($Q907)&gt;0,$A907&gt;=Visualisation!$B$1,$A907&lt;Visualisation!$D$1),MAX($V$1:V906)+1,"")</f>
        <v/>
      </c>
    </row>
    <row r="908" spans="1:22" x14ac:dyDescent="0.25">
      <c r="A908" s="9">
        <v>46183</v>
      </c>
      <c r="B908" s="4" t="s">
        <v>96</v>
      </c>
      <c r="C908" s="4" t="s">
        <v>75</v>
      </c>
      <c r="D908" s="4" t="s">
        <v>96</v>
      </c>
      <c r="E908" s="10">
        <v>22.4</v>
      </c>
      <c r="G908" s="4"/>
      <c r="H908" s="4"/>
      <c r="I908" s="4"/>
      <c r="K908" s="11">
        <f>IF($E908="","",ROUND($E908*IF(ISNA(MATCH($C908,'Paramètres'!$D:$D,0)),1,IF(INDEX('Paramètres'!$J:$J,MATCH($C908,'Paramètres'!$D:$D,0))="",1,INDEX('Paramètres'!$J:$J,MATCH($C908,'Paramètres'!$D:$D,0)))),2))</f>
        <v>22.4</v>
      </c>
      <c r="L908" s="6" t="str">
        <f>IF($D908="","",IF($F908&lt;&gt;"",$F908,IF(ISNA(MATCH($D908,'Paramètres'!$M:$M,0)),"⚠ Type inconnu",IFERROR(INDEX('Paramètres'!$P:$P,MATCH($D908,'Paramètres'!$M:$M,0))&amp;"",""))))</f>
        <v>Débit</v>
      </c>
      <c r="M908" s="6" t="str">
        <f>IF($D908="","",IF(ISNA(MATCH($D908,'Paramètres'!$M:$M,0)),"⚠ Type inconnu",IF($L908="Crédit","",IFERROR(INDEX('Paramètres'!$O:$O,MATCH($D908,'Paramètres'!$M:$M,0))&amp;"",""))))</f>
        <v>Dépense Fixe</v>
      </c>
      <c r="N908" s="6" t="str">
        <f>IF($D908="","",IFERROR(INDEX('Paramètres'!$Q:$Q,MATCH($D908,'Paramètres'!$M:$M,0))&amp;"",""))</f>
        <v>Assurances</v>
      </c>
      <c r="O908" s="6">
        <f>IF($A908="","",IF(OR($J908&lt;&gt;"x",$A908&lt;=FinReleve),1,0))</f>
        <v>1</v>
      </c>
      <c r="P908" s="6">
        <f>IF($D908="","",IF(AND($L908="Crédit",OR(IFERROR(INDEX('Paramètres'!$O:$O,MATCH($D908,'Paramètres'!$M:$M,0))&amp;"","")&lt;&gt;"",ISNUMBER(SEARCH("remboursement",IFERROR(INDEX('Paramètres'!$N:$N,MATCH($D908,'Paramètres'!$M:$M,0))&amp;"",""))))),1,0))</f>
        <v>0</v>
      </c>
      <c r="Q908" s="6">
        <f>IF($K908="","",IF(ISNUMBER(SEARCH("transfert-interne",IFERROR(INDEX('Paramètres'!$N:$N,MATCH($D908,'Paramètres'!$M:$M,0))&amp;"",""))),0,IF($L908="Débit",$K908,IF($P908=1,-$K908,0))))</f>
        <v>22.4</v>
      </c>
      <c r="R908" s="6">
        <f>IF($K908="","",IF($L908="Crédit",$K908,-$K908))</f>
        <v>-22.4</v>
      </c>
      <c r="S908" s="6" t="str">
        <f>IF($C908="","",IFERROR(INDEX('Paramètres'!$H:$H,MATCH($C908,'Paramètres'!$D:$D,0))&amp;"",""))</f>
        <v/>
      </c>
      <c r="T908" s="6">
        <f>IF($K908="","",IF($S908="",0,IF(ISNUMBER(SEARCH("apport-exterieur",IFERROR(INDEX('Paramètres'!$N:$N,MATCH($D908,'Paramètres'!$M:$M,0))&amp;"",""))),0,IF(OR(IFERROR(INDEX('Paramètres'!$I:$I,MATCH($C908,'Paramètres'!$D:$D,0))&amp;"","")="Les deux",IFERROR(INDEX('Paramètres'!$I:$I,MATCH($C908,'Paramètres'!$D:$D,0))&amp;"","")=IF($P908=1,"Débit",$L908)),-IF($P908=1,-$K908,$K908),0))))</f>
        <v>0</v>
      </c>
      <c r="U908" s="6">
        <f>IF($K908="","",IF(ISNUMBER(SEARCH("sortie-epargne",IFERROR(INDEX('Paramètres'!$N:$N,MATCH($D908,'Paramètres'!$M:$M,0))&amp;"",""))),$K908,0))</f>
        <v>0</v>
      </c>
      <c r="V908" s="6" t="str">
        <f>IF(AND($A908&lt;&gt;"",$O908=1,$L908="Débit",N($Q908)&gt;0,$A908&gt;=Visualisation!$B$1,$A908&lt;Visualisation!$D$1),MAX($V$1:V907)+1,"")</f>
        <v/>
      </c>
    </row>
    <row r="909" spans="1:22" x14ac:dyDescent="0.25">
      <c r="A909" s="9">
        <v>46183</v>
      </c>
      <c r="B909" s="4" t="s">
        <v>69</v>
      </c>
      <c r="C909" s="4" t="s">
        <v>70</v>
      </c>
      <c r="D909" s="4" t="s">
        <v>71</v>
      </c>
      <c r="E909" s="10">
        <v>10.64</v>
      </c>
      <c r="G909" s="4" t="s">
        <v>72</v>
      </c>
      <c r="H909" s="4"/>
      <c r="I909" s="4" t="s">
        <v>93</v>
      </c>
      <c r="K909" s="11">
        <f>IF($E909="","",ROUND($E909*IF(ISNA(MATCH($C909,'Paramètres'!$D:$D,0)),1,IF(INDEX('Paramètres'!$J:$J,MATCH($C909,'Paramètres'!$D:$D,0))="",1,INDEX('Paramètres'!$J:$J,MATCH($C909,'Paramètres'!$D:$D,0)))),2))</f>
        <v>10.64</v>
      </c>
      <c r="L909" s="6" t="str">
        <f>IF($D909="","",IF($F909&lt;&gt;"",$F909,IF(ISNA(MATCH($D909,'Paramètres'!$M:$M,0)),"⚠ Type inconnu",IFERROR(INDEX('Paramètres'!$P:$P,MATCH($D909,'Paramètres'!$M:$M,0))&amp;"",""))))</f>
        <v>Débit</v>
      </c>
      <c r="M909" s="6" t="str">
        <f>IF($D909="","",IF(ISNA(MATCH($D909,'Paramètres'!$M:$M,0)),"⚠ Type inconnu",IF($L909="Crédit","",IFERROR(INDEX('Paramètres'!$O:$O,MATCH($D909,'Paramètres'!$M:$M,0))&amp;"",""))))</f>
        <v>Dépense Courante</v>
      </c>
      <c r="N909" s="6" t="str">
        <f>IF($D909="","",IFERROR(INDEX('Paramètres'!$Q:$Q,MATCH($D909,'Paramètres'!$M:$M,0))&amp;"",""))</f>
        <v>Alimentation</v>
      </c>
      <c r="O909" s="6">
        <f>IF($A909="","",IF(OR($J909&lt;&gt;"x",$A909&lt;=FinReleve),1,0))</f>
        <v>1</v>
      </c>
      <c r="P909" s="6">
        <f>IF($D909="","",IF(AND($L909="Crédit",OR(IFERROR(INDEX('Paramètres'!$O:$O,MATCH($D909,'Paramètres'!$M:$M,0))&amp;"","")&lt;&gt;"",ISNUMBER(SEARCH("remboursement",IFERROR(INDEX('Paramètres'!$N:$N,MATCH($D909,'Paramètres'!$M:$M,0))&amp;"",""))))),1,0))</f>
        <v>0</v>
      </c>
      <c r="Q909" s="6">
        <f>IF($K909="","",IF(ISNUMBER(SEARCH("transfert-interne",IFERROR(INDEX('Paramètres'!$N:$N,MATCH($D909,'Paramètres'!$M:$M,0))&amp;"",""))),0,IF($L909="Débit",$K909,IF($P909=1,-$K909,0))))</f>
        <v>10.64</v>
      </c>
      <c r="R909" s="6">
        <f>IF($K909="","",IF($L909="Crédit",$K909,-$K909))</f>
        <v>-10.64</v>
      </c>
      <c r="S909" s="6" t="str">
        <f>IF($C909="","",IFERROR(INDEX('Paramètres'!$H:$H,MATCH($C909,'Paramètres'!$D:$D,0))&amp;"",""))</f>
        <v/>
      </c>
      <c r="T909" s="6">
        <f>IF($K909="","",IF($S909="",0,IF(ISNUMBER(SEARCH("apport-exterieur",IFERROR(INDEX('Paramètres'!$N:$N,MATCH($D909,'Paramètres'!$M:$M,0))&amp;"",""))),0,IF(OR(IFERROR(INDEX('Paramètres'!$I:$I,MATCH($C909,'Paramètres'!$D:$D,0))&amp;"","")="Les deux",IFERROR(INDEX('Paramètres'!$I:$I,MATCH($C909,'Paramètres'!$D:$D,0))&amp;"","")=IF($P909=1,"Débit",$L909)),-IF($P909=1,-$K909,$K909),0))))</f>
        <v>0</v>
      </c>
      <c r="U909" s="6">
        <f>IF($K909="","",IF(ISNUMBER(SEARCH("sortie-epargne",IFERROR(INDEX('Paramètres'!$N:$N,MATCH($D909,'Paramètres'!$M:$M,0))&amp;"",""))),$K909,0))</f>
        <v>0</v>
      </c>
      <c r="V909" s="6" t="str">
        <f>IF(AND($A909&lt;&gt;"",$O909=1,$L909="Débit",N($Q909)&gt;0,$A909&gt;=Visualisation!$B$1,$A909&lt;Visualisation!$D$1),MAX($V$1:V908)+1,"")</f>
        <v/>
      </c>
    </row>
    <row r="910" spans="1:22" x14ac:dyDescent="0.25">
      <c r="A910" s="9">
        <v>46185</v>
      </c>
      <c r="B910" s="4" t="s">
        <v>97</v>
      </c>
      <c r="C910" s="4" t="s">
        <v>75</v>
      </c>
      <c r="D910" s="4" t="s">
        <v>97</v>
      </c>
      <c r="E910" s="10">
        <v>47.9</v>
      </c>
      <c r="G910" s="4"/>
      <c r="H910" s="4"/>
      <c r="I910" s="4"/>
      <c r="K910" s="11">
        <f>IF($E910="","",ROUND($E910*IF(ISNA(MATCH($C910,'Paramètres'!$D:$D,0)),1,IF(INDEX('Paramètres'!$J:$J,MATCH($C910,'Paramètres'!$D:$D,0))="",1,INDEX('Paramètres'!$J:$J,MATCH($C910,'Paramètres'!$D:$D,0)))),2))</f>
        <v>47.9</v>
      </c>
      <c r="L910" s="6" t="str">
        <f>IF($D910="","",IF($F910&lt;&gt;"",$F910,IF(ISNA(MATCH($D910,'Paramètres'!$M:$M,0)),"⚠ Type inconnu",IFERROR(INDEX('Paramètres'!$P:$P,MATCH($D910,'Paramètres'!$M:$M,0))&amp;"",""))))</f>
        <v>Débit</v>
      </c>
      <c r="M910" s="6" t="str">
        <f>IF($D910="","",IF(ISNA(MATCH($D910,'Paramètres'!$M:$M,0)),"⚠ Type inconnu",IF($L910="Crédit","",IFERROR(INDEX('Paramètres'!$O:$O,MATCH($D910,'Paramètres'!$M:$M,0))&amp;"",""))))</f>
        <v>Dépense Fixe</v>
      </c>
      <c r="N910" s="6" t="str">
        <f>IF($D910="","",IFERROR(INDEX('Paramètres'!$Q:$Q,MATCH($D910,'Paramètres'!$M:$M,0))&amp;"",""))</f>
        <v>Assurances</v>
      </c>
      <c r="O910" s="6">
        <f>IF($A910="","",IF(OR($J910&lt;&gt;"x",$A910&lt;=FinReleve),1,0))</f>
        <v>1</v>
      </c>
      <c r="P910" s="6">
        <f>IF($D910="","",IF(AND($L910="Crédit",OR(IFERROR(INDEX('Paramètres'!$O:$O,MATCH($D910,'Paramètres'!$M:$M,0))&amp;"","")&lt;&gt;"",ISNUMBER(SEARCH("remboursement",IFERROR(INDEX('Paramètres'!$N:$N,MATCH($D910,'Paramètres'!$M:$M,0))&amp;"",""))))),1,0))</f>
        <v>0</v>
      </c>
      <c r="Q910" s="6">
        <f>IF($K910="","",IF(ISNUMBER(SEARCH("transfert-interne",IFERROR(INDEX('Paramètres'!$N:$N,MATCH($D910,'Paramètres'!$M:$M,0))&amp;"",""))),0,IF($L910="Débit",$K910,IF($P910=1,-$K910,0))))</f>
        <v>47.9</v>
      </c>
      <c r="R910" s="6">
        <f>IF($K910="","",IF($L910="Crédit",$K910,-$K910))</f>
        <v>-47.9</v>
      </c>
      <c r="S910" s="6" t="str">
        <f>IF($C910="","",IFERROR(INDEX('Paramètres'!$H:$H,MATCH($C910,'Paramètres'!$D:$D,0))&amp;"",""))</f>
        <v/>
      </c>
      <c r="T910" s="6">
        <f>IF($K910="","",IF($S910="",0,IF(ISNUMBER(SEARCH("apport-exterieur",IFERROR(INDEX('Paramètres'!$N:$N,MATCH($D910,'Paramètres'!$M:$M,0))&amp;"",""))),0,IF(OR(IFERROR(INDEX('Paramètres'!$I:$I,MATCH($C910,'Paramètres'!$D:$D,0))&amp;"","")="Les deux",IFERROR(INDEX('Paramètres'!$I:$I,MATCH($C910,'Paramètres'!$D:$D,0))&amp;"","")=IF($P910=1,"Débit",$L910)),-IF($P910=1,-$K910,$K910),0))))</f>
        <v>0</v>
      </c>
      <c r="U910" s="6">
        <f>IF($K910="","",IF(ISNUMBER(SEARCH("sortie-epargne",IFERROR(INDEX('Paramètres'!$N:$N,MATCH($D910,'Paramètres'!$M:$M,0))&amp;"",""))),$K910,0))</f>
        <v>0</v>
      </c>
      <c r="V910" s="6" t="str">
        <f>IF(AND($A910&lt;&gt;"",$O910=1,$L910="Débit",N($Q910)&gt;0,$A910&gt;=Visualisation!$B$1,$A910&lt;Visualisation!$D$1),MAX($V$1:V909)+1,"")</f>
        <v/>
      </c>
    </row>
    <row r="911" spans="1:22" x14ac:dyDescent="0.25">
      <c r="A911" s="9">
        <v>46185</v>
      </c>
      <c r="B911" s="4" t="s">
        <v>76</v>
      </c>
      <c r="C911" s="4" t="s">
        <v>67</v>
      </c>
      <c r="D911" s="4" t="s">
        <v>77</v>
      </c>
      <c r="E911" s="10">
        <v>170.76</v>
      </c>
      <c r="G911" s="4" t="s">
        <v>78</v>
      </c>
      <c r="H911" s="4"/>
      <c r="I911" s="4"/>
      <c r="K911" s="11">
        <f>IF($E911="","",ROUND($E911*IF(ISNA(MATCH($C911,'Paramètres'!$D:$D,0)),1,IF(INDEX('Paramètres'!$J:$J,MATCH($C911,'Paramètres'!$D:$D,0))="",1,INDEX('Paramètres'!$J:$J,MATCH($C911,'Paramètres'!$D:$D,0)))),2))</f>
        <v>85.38</v>
      </c>
      <c r="L911" s="6" t="str">
        <f>IF($D911="","",IF($F911&lt;&gt;"",$F911,IF(ISNA(MATCH($D911,'Paramètres'!$M:$M,0)),"⚠ Type inconnu",IFERROR(INDEX('Paramètres'!$P:$P,MATCH($D911,'Paramètres'!$M:$M,0))&amp;"",""))))</f>
        <v>Débit</v>
      </c>
      <c r="M911" s="6" t="str">
        <f>IF($D911="","",IF(ISNA(MATCH($D911,'Paramètres'!$M:$M,0)),"⚠ Type inconnu",IF($L911="Crédit","",IFERROR(INDEX('Paramètres'!$O:$O,MATCH($D911,'Paramètres'!$M:$M,0))&amp;"",""))))</f>
        <v>Dépense Courante</v>
      </c>
      <c r="N911" s="6" t="str">
        <f>IF($D911="","",IFERROR(INDEX('Paramètres'!$Q:$Q,MATCH($D911,'Paramètres'!$M:$M,0))&amp;"",""))</f>
        <v>Alimentation</v>
      </c>
      <c r="O911" s="6">
        <f>IF($A911="","",IF(OR($J911&lt;&gt;"x",$A911&lt;=FinReleve),1,0))</f>
        <v>1</v>
      </c>
      <c r="P911" s="6">
        <f>IF($D911="","",IF(AND($L911="Crédit",OR(IFERROR(INDEX('Paramètres'!$O:$O,MATCH($D911,'Paramètres'!$M:$M,0))&amp;"","")&lt;&gt;"",ISNUMBER(SEARCH("remboursement",IFERROR(INDEX('Paramètres'!$N:$N,MATCH($D911,'Paramètres'!$M:$M,0))&amp;"",""))))),1,0))</f>
        <v>0</v>
      </c>
      <c r="Q911" s="6">
        <f>IF($K911="","",IF(ISNUMBER(SEARCH("transfert-interne",IFERROR(INDEX('Paramètres'!$N:$N,MATCH($D911,'Paramètres'!$M:$M,0))&amp;"",""))),0,IF($L911="Débit",$K911,IF($P911=1,-$K911,0))))</f>
        <v>85.38</v>
      </c>
      <c r="R911" s="6">
        <f>IF($K911="","",IF($L911="Crédit",$K911,-$K911))</f>
        <v>-85.38</v>
      </c>
      <c r="S911" s="6" t="str">
        <f>IF($C911="","",IFERROR(INDEX('Paramètres'!$H:$H,MATCH($C911,'Paramètres'!$D:$D,0))&amp;"",""))</f>
        <v>Banque A - Courant</v>
      </c>
      <c r="T911" s="6">
        <f>IF($K911="","",IF($S911="",0,IF(ISNUMBER(SEARCH("apport-exterieur",IFERROR(INDEX('Paramètres'!$N:$N,MATCH($D911,'Paramètres'!$M:$M,0))&amp;"",""))),0,IF(OR(IFERROR(INDEX('Paramètres'!$I:$I,MATCH($C911,'Paramètres'!$D:$D,0))&amp;"","")="Les deux",IFERROR(INDEX('Paramètres'!$I:$I,MATCH($C911,'Paramètres'!$D:$D,0))&amp;"","")=IF($P911=1,"Débit",$L911)),-IF($P911=1,-$K911,$K911),0))))</f>
        <v>0</v>
      </c>
      <c r="U911" s="6">
        <f>IF($K911="","",IF(ISNUMBER(SEARCH("sortie-epargne",IFERROR(INDEX('Paramètres'!$N:$N,MATCH($D911,'Paramètres'!$M:$M,0))&amp;"",""))),$K911,0))</f>
        <v>0</v>
      </c>
      <c r="V911" s="6" t="str">
        <f>IF(AND($A911&lt;&gt;"",$O911=1,$L911="Débit",N($Q911)&gt;0,$A911&gt;=Visualisation!$B$1,$A911&lt;Visualisation!$D$1),MAX($V$1:V910)+1,"")</f>
        <v/>
      </c>
    </row>
    <row r="912" spans="1:22" x14ac:dyDescent="0.25">
      <c r="A912" s="9">
        <v>46186</v>
      </c>
      <c r="B912" s="4" t="s">
        <v>76</v>
      </c>
      <c r="C912" s="4" t="s">
        <v>67</v>
      </c>
      <c r="D912" s="4" t="s">
        <v>77</v>
      </c>
      <c r="E912" s="10">
        <v>107.54</v>
      </c>
      <c r="G912" s="4" t="s">
        <v>78</v>
      </c>
      <c r="H912" s="4"/>
      <c r="I912" s="4" t="s">
        <v>63</v>
      </c>
      <c r="K912" s="11">
        <f>IF($E912="","",ROUND($E912*IF(ISNA(MATCH($C912,'Paramètres'!$D:$D,0)),1,IF(INDEX('Paramètres'!$J:$J,MATCH($C912,'Paramètres'!$D:$D,0))="",1,INDEX('Paramètres'!$J:$J,MATCH($C912,'Paramètres'!$D:$D,0)))),2))</f>
        <v>53.77</v>
      </c>
      <c r="L912" s="6" t="str">
        <f>IF($D912="","",IF($F912&lt;&gt;"",$F912,IF(ISNA(MATCH($D912,'Paramètres'!$M:$M,0)),"⚠ Type inconnu",IFERROR(INDEX('Paramètres'!$P:$P,MATCH($D912,'Paramètres'!$M:$M,0))&amp;"",""))))</f>
        <v>Débit</v>
      </c>
      <c r="M912" s="6" t="str">
        <f>IF($D912="","",IF(ISNA(MATCH($D912,'Paramètres'!$M:$M,0)),"⚠ Type inconnu",IF($L912="Crédit","",IFERROR(INDEX('Paramètres'!$O:$O,MATCH($D912,'Paramètres'!$M:$M,0))&amp;"",""))))</f>
        <v>Dépense Courante</v>
      </c>
      <c r="N912" s="6" t="str">
        <f>IF($D912="","",IFERROR(INDEX('Paramètres'!$Q:$Q,MATCH($D912,'Paramètres'!$M:$M,0))&amp;"",""))</f>
        <v>Alimentation</v>
      </c>
      <c r="O912" s="6">
        <f>IF($A912="","",IF(OR($J912&lt;&gt;"x",$A912&lt;=FinReleve),1,0))</f>
        <v>1</v>
      </c>
      <c r="P912" s="6">
        <f>IF($D912="","",IF(AND($L912="Crédit",OR(IFERROR(INDEX('Paramètres'!$O:$O,MATCH($D912,'Paramètres'!$M:$M,0))&amp;"","")&lt;&gt;"",ISNUMBER(SEARCH("remboursement",IFERROR(INDEX('Paramètres'!$N:$N,MATCH($D912,'Paramètres'!$M:$M,0))&amp;"",""))))),1,0))</f>
        <v>0</v>
      </c>
      <c r="Q912" s="6">
        <f>IF($K912="","",IF(ISNUMBER(SEARCH("transfert-interne",IFERROR(INDEX('Paramètres'!$N:$N,MATCH($D912,'Paramètres'!$M:$M,0))&amp;"",""))),0,IF($L912="Débit",$K912,IF($P912=1,-$K912,0))))</f>
        <v>53.77</v>
      </c>
      <c r="R912" s="6">
        <f>IF($K912="","",IF($L912="Crédit",$K912,-$K912))</f>
        <v>-53.77</v>
      </c>
      <c r="S912" s="6" t="str">
        <f>IF($C912="","",IFERROR(INDEX('Paramètres'!$H:$H,MATCH($C912,'Paramètres'!$D:$D,0))&amp;"",""))</f>
        <v>Banque A - Courant</v>
      </c>
      <c r="T912" s="6">
        <f>IF($K912="","",IF($S912="",0,IF(ISNUMBER(SEARCH("apport-exterieur",IFERROR(INDEX('Paramètres'!$N:$N,MATCH($D912,'Paramètres'!$M:$M,0))&amp;"",""))),0,IF(OR(IFERROR(INDEX('Paramètres'!$I:$I,MATCH($C912,'Paramètres'!$D:$D,0))&amp;"","")="Les deux",IFERROR(INDEX('Paramètres'!$I:$I,MATCH($C912,'Paramètres'!$D:$D,0))&amp;"","")=IF($P912=1,"Débit",$L912)),-IF($P912=1,-$K912,$K912),0))))</f>
        <v>0</v>
      </c>
      <c r="U912" s="6">
        <f>IF($K912="","",IF(ISNUMBER(SEARCH("sortie-epargne",IFERROR(INDEX('Paramètres'!$N:$N,MATCH($D912,'Paramètres'!$M:$M,0))&amp;"",""))),$K912,0))</f>
        <v>0</v>
      </c>
      <c r="V912" s="6" t="str">
        <f>IF(AND($A912&lt;&gt;"",$O912=1,$L912="Débit",N($Q912)&gt;0,$A912&gt;=Visualisation!$B$1,$A912&lt;Visualisation!$D$1),MAX($V$1:V911)+1,"")</f>
        <v/>
      </c>
    </row>
    <row r="913" spans="1:22" x14ac:dyDescent="0.25">
      <c r="A913" s="9">
        <v>46187</v>
      </c>
      <c r="B913" s="4" t="s">
        <v>76</v>
      </c>
      <c r="C913" s="4" t="s">
        <v>67</v>
      </c>
      <c r="D913" s="4" t="s">
        <v>77</v>
      </c>
      <c r="E913" s="10">
        <v>75.24</v>
      </c>
      <c r="G913" s="4" t="s">
        <v>95</v>
      </c>
      <c r="H913" s="4"/>
      <c r="I913" s="4"/>
      <c r="K913" s="11">
        <f>IF($E913="","",ROUND($E913*IF(ISNA(MATCH($C913,'Paramètres'!$D:$D,0)),1,IF(INDEX('Paramètres'!$J:$J,MATCH($C913,'Paramètres'!$D:$D,0))="",1,INDEX('Paramètres'!$J:$J,MATCH($C913,'Paramètres'!$D:$D,0)))),2))</f>
        <v>37.62</v>
      </c>
      <c r="L913" s="6" t="str">
        <f>IF($D913="","",IF($F913&lt;&gt;"",$F913,IF(ISNA(MATCH($D913,'Paramètres'!$M:$M,0)),"⚠ Type inconnu",IFERROR(INDEX('Paramètres'!$P:$P,MATCH($D913,'Paramètres'!$M:$M,0))&amp;"",""))))</f>
        <v>Débit</v>
      </c>
      <c r="M913" s="6" t="str">
        <f>IF($D913="","",IF(ISNA(MATCH($D913,'Paramètres'!$M:$M,0)),"⚠ Type inconnu",IF($L913="Crédit","",IFERROR(INDEX('Paramètres'!$O:$O,MATCH($D913,'Paramètres'!$M:$M,0))&amp;"",""))))</f>
        <v>Dépense Courante</v>
      </c>
      <c r="N913" s="6" t="str">
        <f>IF($D913="","",IFERROR(INDEX('Paramètres'!$Q:$Q,MATCH($D913,'Paramètres'!$M:$M,0))&amp;"",""))</f>
        <v>Alimentation</v>
      </c>
      <c r="O913" s="6">
        <f>IF($A913="","",IF(OR($J913&lt;&gt;"x",$A913&lt;=FinReleve),1,0))</f>
        <v>1</v>
      </c>
      <c r="P913" s="6">
        <f>IF($D913="","",IF(AND($L913="Crédit",OR(IFERROR(INDEX('Paramètres'!$O:$O,MATCH($D913,'Paramètres'!$M:$M,0))&amp;"","")&lt;&gt;"",ISNUMBER(SEARCH("remboursement",IFERROR(INDEX('Paramètres'!$N:$N,MATCH($D913,'Paramètres'!$M:$M,0))&amp;"",""))))),1,0))</f>
        <v>0</v>
      </c>
      <c r="Q913" s="6">
        <f>IF($K913="","",IF(ISNUMBER(SEARCH("transfert-interne",IFERROR(INDEX('Paramètres'!$N:$N,MATCH($D913,'Paramètres'!$M:$M,0))&amp;"",""))),0,IF($L913="Débit",$K913,IF($P913=1,-$K913,0))))</f>
        <v>37.62</v>
      </c>
      <c r="R913" s="6">
        <f>IF($K913="","",IF($L913="Crédit",$K913,-$K913))</f>
        <v>-37.62</v>
      </c>
      <c r="S913" s="6" t="str">
        <f>IF($C913="","",IFERROR(INDEX('Paramètres'!$H:$H,MATCH($C913,'Paramètres'!$D:$D,0))&amp;"",""))</f>
        <v>Banque A - Courant</v>
      </c>
      <c r="T913" s="6">
        <f>IF($K913="","",IF($S913="",0,IF(ISNUMBER(SEARCH("apport-exterieur",IFERROR(INDEX('Paramètres'!$N:$N,MATCH($D913,'Paramètres'!$M:$M,0))&amp;"",""))),0,IF(OR(IFERROR(INDEX('Paramètres'!$I:$I,MATCH($C913,'Paramètres'!$D:$D,0))&amp;"","")="Les deux",IFERROR(INDEX('Paramètres'!$I:$I,MATCH($C913,'Paramètres'!$D:$D,0))&amp;"","")=IF($P913=1,"Débit",$L913)),-IF($P913=1,-$K913,$K913),0))))</f>
        <v>0</v>
      </c>
      <c r="U913" s="6">
        <f>IF($K913="","",IF(ISNUMBER(SEARCH("sortie-epargne",IFERROR(INDEX('Paramètres'!$N:$N,MATCH($D913,'Paramètres'!$M:$M,0))&amp;"",""))),$K913,0))</f>
        <v>0</v>
      </c>
      <c r="V913" s="6" t="str">
        <f>IF(AND($A913&lt;&gt;"",$O913=1,$L913="Débit",N($Q913)&gt;0,$A913&gt;=Visualisation!$B$1,$A913&lt;Visualisation!$D$1),MAX($V$1:V912)+1,"")</f>
        <v/>
      </c>
    </row>
    <row r="914" spans="1:22" x14ac:dyDescent="0.25">
      <c r="A914" s="9">
        <v>46187</v>
      </c>
      <c r="B914" s="4" t="s">
        <v>119</v>
      </c>
      <c r="C914" s="4" t="s">
        <v>126</v>
      </c>
      <c r="D914" s="4" t="s">
        <v>119</v>
      </c>
      <c r="E914" s="10">
        <v>74.9</v>
      </c>
      <c r="G914" s="4" t="s">
        <v>137</v>
      </c>
      <c r="H914" s="4"/>
      <c r="I914" s="4" t="s">
        <v>73</v>
      </c>
      <c r="K914" s="11">
        <f>IF($E914="","",ROUND($E914*IF(ISNA(MATCH($C914,'Paramètres'!$D:$D,0)),1,IF(INDEX('Paramètres'!$J:$J,MATCH($C914,'Paramètres'!$D:$D,0))="",1,INDEX('Paramètres'!$J:$J,MATCH($C914,'Paramètres'!$D:$D,0)))),2))</f>
        <v>37.45</v>
      </c>
      <c r="L914" s="6" t="str">
        <f>IF($D914="","",IF($F914&lt;&gt;"",$F914,IF(ISNA(MATCH($D914,'Paramètres'!$M:$M,0)),"⚠ Type inconnu",IFERROR(INDEX('Paramètres'!$P:$P,MATCH($D914,'Paramètres'!$M:$M,0))&amp;"",""))))</f>
        <v>Débit</v>
      </c>
      <c r="M914" s="6" t="str">
        <f>IF($D914="","",IF(ISNA(MATCH($D914,'Paramètres'!$M:$M,0)),"⚠ Type inconnu",IF($L914="Crédit","",IFERROR(INDEX('Paramètres'!$O:$O,MATCH($D914,'Paramètres'!$M:$M,0))&amp;"",""))))</f>
        <v>Dépense Occasionnelle</v>
      </c>
      <c r="N914" s="6" t="str">
        <f>IF($D914="","",IFERROR(INDEX('Paramètres'!$Q:$Q,MATCH($D914,'Paramètres'!$M:$M,0))&amp;"",""))</f>
        <v>Alimentation</v>
      </c>
      <c r="O914" s="6">
        <f>IF($A914="","",IF(OR($J914&lt;&gt;"x",$A914&lt;=FinReleve),1,0))</f>
        <v>1</v>
      </c>
      <c r="P914" s="6">
        <f>IF($D914="","",IF(AND($L914="Crédit",OR(IFERROR(INDEX('Paramètres'!$O:$O,MATCH($D914,'Paramètres'!$M:$M,0))&amp;"","")&lt;&gt;"",ISNUMBER(SEARCH("remboursement",IFERROR(INDEX('Paramètres'!$N:$N,MATCH($D914,'Paramètres'!$M:$M,0))&amp;"",""))))),1,0))</f>
        <v>0</v>
      </c>
      <c r="Q914" s="6">
        <f>IF($K914="","",IF(ISNUMBER(SEARCH("transfert-interne",IFERROR(INDEX('Paramètres'!$N:$N,MATCH($D914,'Paramètres'!$M:$M,0))&amp;"",""))),0,IF($L914="Débit",$K914,IF($P914=1,-$K914,0))))</f>
        <v>37.45</v>
      </c>
      <c r="R914" s="6">
        <f>IF($K914="","",IF($L914="Crédit",$K914,-$K914))</f>
        <v>-37.45</v>
      </c>
      <c r="S914" s="6" t="str">
        <f>IF($C914="","",IFERROR(INDEX('Paramètres'!$H:$H,MATCH($C914,'Paramètres'!$D:$D,0))&amp;"",""))</f>
        <v>Banque A - Courant</v>
      </c>
      <c r="T914" s="6">
        <f>IF($K914="","",IF($S914="",0,IF(ISNUMBER(SEARCH("apport-exterieur",IFERROR(INDEX('Paramètres'!$N:$N,MATCH($D914,'Paramètres'!$M:$M,0))&amp;"",""))),0,IF(OR(IFERROR(INDEX('Paramètres'!$I:$I,MATCH($C914,'Paramètres'!$D:$D,0))&amp;"","")="Les deux",IFERROR(INDEX('Paramètres'!$I:$I,MATCH($C914,'Paramètres'!$D:$D,0))&amp;"","")=IF($P914=1,"Débit",$L914)),-IF($P914=1,-$K914,$K914),0))))</f>
        <v>-37.45</v>
      </c>
      <c r="U914" s="6">
        <f>IF($K914="","",IF(ISNUMBER(SEARCH("sortie-epargne",IFERROR(INDEX('Paramètres'!$N:$N,MATCH($D914,'Paramètres'!$M:$M,0))&amp;"",""))),$K914,0))</f>
        <v>0</v>
      </c>
      <c r="V914" s="6" t="str">
        <f>IF(AND($A914&lt;&gt;"",$O914=1,$L914="Débit",N($Q914)&gt;0,$A914&gt;=Visualisation!$B$1,$A914&lt;Visualisation!$D$1),MAX($V$1:V913)+1,"")</f>
        <v/>
      </c>
    </row>
    <row r="915" spans="1:22" x14ac:dyDescent="0.25">
      <c r="A915" s="9">
        <v>46188</v>
      </c>
      <c r="B915" s="4" t="s">
        <v>100</v>
      </c>
      <c r="C915" s="4" t="s">
        <v>65</v>
      </c>
      <c r="D915" s="4" t="s">
        <v>100</v>
      </c>
      <c r="E915" s="10">
        <v>71.76</v>
      </c>
      <c r="G915" s="4"/>
      <c r="H915" s="4"/>
      <c r="I915" s="4"/>
      <c r="K915" s="11">
        <f>IF($E915="","",ROUND($E915*IF(ISNA(MATCH($C915,'Paramètres'!$D:$D,0)),1,IF(INDEX('Paramètres'!$J:$J,MATCH($C915,'Paramètres'!$D:$D,0))="",1,INDEX('Paramètres'!$J:$J,MATCH($C915,'Paramètres'!$D:$D,0)))),2))</f>
        <v>71.76</v>
      </c>
      <c r="L915" s="6" t="str">
        <f>IF($D915="","",IF($F915&lt;&gt;"",$F915,IF(ISNA(MATCH($D915,'Paramètres'!$M:$M,0)),"⚠ Type inconnu",IFERROR(INDEX('Paramètres'!$P:$P,MATCH($D915,'Paramètres'!$M:$M,0))&amp;"",""))))</f>
        <v>Débit</v>
      </c>
      <c r="M915" s="6" t="str">
        <f>IF($D915="","",IF(ISNA(MATCH($D915,'Paramètres'!$M:$M,0)),"⚠ Type inconnu",IF($L915="Crédit","",IFERROR(INDEX('Paramètres'!$O:$O,MATCH($D915,'Paramètres'!$M:$M,0))&amp;"",""))))</f>
        <v>Dépense Fixe</v>
      </c>
      <c r="N915" s="6" t="str">
        <f>IF($D915="","",IFERROR(INDEX('Paramètres'!$Q:$Q,MATCH($D915,'Paramètres'!$M:$M,0))&amp;"",""))</f>
        <v>Immobilier</v>
      </c>
      <c r="O915" s="6">
        <f>IF($A915="","",IF(OR($J915&lt;&gt;"x",$A915&lt;=FinReleve),1,0))</f>
        <v>1</v>
      </c>
      <c r="P915" s="6">
        <f>IF($D915="","",IF(AND($L915="Crédit",OR(IFERROR(INDEX('Paramètres'!$O:$O,MATCH($D915,'Paramètres'!$M:$M,0))&amp;"","")&lt;&gt;"",ISNUMBER(SEARCH("remboursement",IFERROR(INDEX('Paramètres'!$N:$N,MATCH($D915,'Paramètres'!$M:$M,0))&amp;"",""))))),1,0))</f>
        <v>0</v>
      </c>
      <c r="Q915" s="6">
        <f>IF($K915="","",IF(ISNUMBER(SEARCH("transfert-interne",IFERROR(INDEX('Paramètres'!$N:$N,MATCH($D915,'Paramètres'!$M:$M,0))&amp;"",""))),0,IF($L915="Débit",$K915,IF($P915=1,-$K915,0))))</f>
        <v>71.76</v>
      </c>
      <c r="R915" s="6">
        <f>IF($K915="","",IF($L915="Crédit",$K915,-$K915))</f>
        <v>-71.76</v>
      </c>
      <c r="S915" s="6" t="str">
        <f>IF($C915="","",IFERROR(INDEX('Paramètres'!$H:$H,MATCH($C915,'Paramètres'!$D:$D,0))&amp;"",""))</f>
        <v>Banque A - Courant</v>
      </c>
      <c r="T915" s="6">
        <f>IF($K915="","",IF($S915="",0,IF(ISNUMBER(SEARCH("apport-exterieur",IFERROR(INDEX('Paramètres'!$N:$N,MATCH($D915,'Paramètres'!$M:$M,0))&amp;"",""))),0,IF(OR(IFERROR(INDEX('Paramètres'!$I:$I,MATCH($C915,'Paramètres'!$D:$D,0))&amp;"","")="Les deux",IFERROR(INDEX('Paramètres'!$I:$I,MATCH($C915,'Paramètres'!$D:$D,0))&amp;"","")=IF($P915=1,"Débit",$L915)),-IF($P915=1,-$K915,$K915),0))))</f>
        <v>0</v>
      </c>
      <c r="U915" s="6">
        <f>IF($K915="","",IF(ISNUMBER(SEARCH("sortie-epargne",IFERROR(INDEX('Paramètres'!$N:$N,MATCH($D915,'Paramètres'!$M:$M,0))&amp;"",""))),$K915,0))</f>
        <v>0</v>
      </c>
      <c r="V915" s="6" t="str">
        <f>IF(AND($A915&lt;&gt;"",$O915=1,$L915="Débit",N($Q915)&gt;0,$A915&gt;=Visualisation!$B$1,$A915&lt;Visualisation!$D$1),MAX($V$1:V914)+1,"")</f>
        <v/>
      </c>
    </row>
    <row r="916" spans="1:22" x14ac:dyDescent="0.25">
      <c r="A916" s="9">
        <v>46191</v>
      </c>
      <c r="B916" s="4" t="s">
        <v>103</v>
      </c>
      <c r="C916" s="4" t="s">
        <v>75</v>
      </c>
      <c r="D916" s="4" t="s">
        <v>103</v>
      </c>
      <c r="E916" s="10">
        <v>212</v>
      </c>
      <c r="G916" s="4"/>
      <c r="H916" s="4"/>
      <c r="I916" s="4"/>
      <c r="K916" s="11">
        <f>IF($E916="","",ROUND($E916*IF(ISNA(MATCH($C916,'Paramètres'!$D:$D,0)),1,IF(INDEX('Paramètres'!$J:$J,MATCH($C916,'Paramètres'!$D:$D,0))="",1,INDEX('Paramètres'!$J:$J,MATCH($C916,'Paramètres'!$D:$D,0)))),2))</f>
        <v>212</v>
      </c>
      <c r="L916" s="6" t="str">
        <f>IF($D916="","",IF($F916&lt;&gt;"",$F916,IF(ISNA(MATCH($D916,'Paramètres'!$M:$M,0)),"⚠ Type inconnu",IFERROR(INDEX('Paramètres'!$P:$P,MATCH($D916,'Paramètres'!$M:$M,0))&amp;"",""))))</f>
        <v>Débit</v>
      </c>
      <c r="M916" s="6" t="str">
        <f>IF($D916="","",IF(ISNA(MATCH($D916,'Paramètres'!$M:$M,0)),"⚠ Type inconnu",IF($L916="Crédit","",IFERROR(INDEX('Paramètres'!$O:$O,MATCH($D916,'Paramètres'!$M:$M,0))&amp;"",""))))</f>
        <v>Dépense Fixe</v>
      </c>
      <c r="N916" s="6" t="str">
        <f>IF($D916="","",IFERROR(INDEX('Paramètres'!$Q:$Q,MATCH($D916,'Paramètres'!$M:$M,0))&amp;"",""))</f>
        <v>Impots</v>
      </c>
      <c r="O916" s="6">
        <f>IF($A916="","",IF(OR($J916&lt;&gt;"x",$A916&lt;=FinReleve),1,0))</f>
        <v>1</v>
      </c>
      <c r="P916" s="6">
        <f>IF($D916="","",IF(AND($L916="Crédit",OR(IFERROR(INDEX('Paramètres'!$O:$O,MATCH($D916,'Paramètres'!$M:$M,0))&amp;"","")&lt;&gt;"",ISNUMBER(SEARCH("remboursement",IFERROR(INDEX('Paramètres'!$N:$N,MATCH($D916,'Paramètres'!$M:$M,0))&amp;"",""))))),1,0))</f>
        <v>0</v>
      </c>
      <c r="Q916" s="6">
        <f>IF($K916="","",IF(ISNUMBER(SEARCH("transfert-interne",IFERROR(INDEX('Paramètres'!$N:$N,MATCH($D916,'Paramètres'!$M:$M,0))&amp;"",""))),0,IF($L916="Débit",$K916,IF($P916=1,-$K916,0))))</f>
        <v>212</v>
      </c>
      <c r="R916" s="6">
        <f>IF($K916="","",IF($L916="Crédit",$K916,-$K916))</f>
        <v>-212</v>
      </c>
      <c r="S916" s="6" t="str">
        <f>IF($C916="","",IFERROR(INDEX('Paramètres'!$H:$H,MATCH($C916,'Paramètres'!$D:$D,0))&amp;"",""))</f>
        <v/>
      </c>
      <c r="T916" s="6">
        <f>IF($K916="","",IF($S916="",0,IF(ISNUMBER(SEARCH("apport-exterieur",IFERROR(INDEX('Paramètres'!$N:$N,MATCH($D916,'Paramètres'!$M:$M,0))&amp;"",""))),0,IF(OR(IFERROR(INDEX('Paramètres'!$I:$I,MATCH($C916,'Paramètres'!$D:$D,0))&amp;"","")="Les deux",IFERROR(INDEX('Paramètres'!$I:$I,MATCH($C916,'Paramètres'!$D:$D,0))&amp;"","")=IF($P916=1,"Débit",$L916)),-IF($P916=1,-$K916,$K916),0))))</f>
        <v>0</v>
      </c>
      <c r="U916" s="6">
        <f>IF($K916="","",IF(ISNUMBER(SEARCH("sortie-epargne",IFERROR(INDEX('Paramètres'!$N:$N,MATCH($D916,'Paramètres'!$M:$M,0))&amp;"",""))),$K916,0))</f>
        <v>0</v>
      </c>
      <c r="V916" s="6" t="str">
        <f>IF(AND($A916&lt;&gt;"",$O916=1,$L916="Débit",N($Q916)&gt;0,$A916&gt;=Visualisation!$B$1,$A916&lt;Visualisation!$D$1),MAX($V$1:V915)+1,"")</f>
        <v/>
      </c>
    </row>
    <row r="917" spans="1:22" x14ac:dyDescent="0.25">
      <c r="A917" s="9">
        <v>46191</v>
      </c>
      <c r="B917" s="4" t="s">
        <v>76</v>
      </c>
      <c r="C917" s="4" t="s">
        <v>67</v>
      </c>
      <c r="D917" s="4" t="s">
        <v>77</v>
      </c>
      <c r="E917" s="10">
        <v>141.82</v>
      </c>
      <c r="G917" s="4" t="s">
        <v>95</v>
      </c>
      <c r="H917" s="4"/>
      <c r="I917" s="4" t="s">
        <v>93</v>
      </c>
      <c r="K917" s="11">
        <f>IF($E917="","",ROUND($E917*IF(ISNA(MATCH($C917,'Paramètres'!$D:$D,0)),1,IF(INDEX('Paramètres'!$J:$J,MATCH($C917,'Paramètres'!$D:$D,0))="",1,INDEX('Paramètres'!$J:$J,MATCH($C917,'Paramètres'!$D:$D,0)))),2))</f>
        <v>70.91</v>
      </c>
      <c r="L917" s="6" t="str">
        <f>IF($D917="","",IF($F917&lt;&gt;"",$F917,IF(ISNA(MATCH($D917,'Paramètres'!$M:$M,0)),"⚠ Type inconnu",IFERROR(INDEX('Paramètres'!$P:$P,MATCH($D917,'Paramètres'!$M:$M,0))&amp;"",""))))</f>
        <v>Débit</v>
      </c>
      <c r="M917" s="6" t="str">
        <f>IF($D917="","",IF(ISNA(MATCH($D917,'Paramètres'!$M:$M,0)),"⚠ Type inconnu",IF($L917="Crédit","",IFERROR(INDEX('Paramètres'!$O:$O,MATCH($D917,'Paramètres'!$M:$M,0))&amp;"",""))))</f>
        <v>Dépense Courante</v>
      </c>
      <c r="N917" s="6" t="str">
        <f>IF($D917="","",IFERROR(INDEX('Paramètres'!$Q:$Q,MATCH($D917,'Paramètres'!$M:$M,0))&amp;"",""))</f>
        <v>Alimentation</v>
      </c>
      <c r="O917" s="6">
        <f>IF($A917="","",IF(OR($J917&lt;&gt;"x",$A917&lt;=FinReleve),1,0))</f>
        <v>1</v>
      </c>
      <c r="P917" s="6">
        <f>IF($D917="","",IF(AND($L917="Crédit",OR(IFERROR(INDEX('Paramètres'!$O:$O,MATCH($D917,'Paramètres'!$M:$M,0))&amp;"","")&lt;&gt;"",ISNUMBER(SEARCH("remboursement",IFERROR(INDEX('Paramètres'!$N:$N,MATCH($D917,'Paramètres'!$M:$M,0))&amp;"",""))))),1,0))</f>
        <v>0</v>
      </c>
      <c r="Q917" s="6">
        <f>IF($K917="","",IF(ISNUMBER(SEARCH("transfert-interne",IFERROR(INDEX('Paramètres'!$N:$N,MATCH($D917,'Paramètres'!$M:$M,0))&amp;"",""))),0,IF($L917="Débit",$K917,IF($P917=1,-$K917,0))))</f>
        <v>70.91</v>
      </c>
      <c r="R917" s="6">
        <f>IF($K917="","",IF($L917="Crédit",$K917,-$K917))</f>
        <v>-70.91</v>
      </c>
      <c r="S917" s="6" t="str">
        <f>IF($C917="","",IFERROR(INDEX('Paramètres'!$H:$H,MATCH($C917,'Paramètres'!$D:$D,0))&amp;"",""))</f>
        <v>Banque A - Courant</v>
      </c>
      <c r="T917" s="6">
        <f>IF($K917="","",IF($S917="",0,IF(ISNUMBER(SEARCH("apport-exterieur",IFERROR(INDEX('Paramètres'!$N:$N,MATCH($D917,'Paramètres'!$M:$M,0))&amp;"",""))),0,IF(OR(IFERROR(INDEX('Paramètres'!$I:$I,MATCH($C917,'Paramètres'!$D:$D,0))&amp;"","")="Les deux",IFERROR(INDEX('Paramètres'!$I:$I,MATCH($C917,'Paramètres'!$D:$D,0))&amp;"","")=IF($P917=1,"Débit",$L917)),-IF($P917=1,-$K917,$K917),0))))</f>
        <v>0</v>
      </c>
      <c r="U917" s="6">
        <f>IF($K917="","",IF(ISNUMBER(SEARCH("sortie-epargne",IFERROR(INDEX('Paramètres'!$N:$N,MATCH($D917,'Paramètres'!$M:$M,0))&amp;"",""))),$K917,0))</f>
        <v>0</v>
      </c>
      <c r="V917" s="6" t="str">
        <f>IF(AND($A917&lt;&gt;"",$O917=1,$L917="Débit",N($Q917)&gt;0,$A917&gt;=Visualisation!$B$1,$A917&lt;Visualisation!$D$1),MAX($V$1:V916)+1,"")</f>
        <v/>
      </c>
    </row>
    <row r="918" spans="1:22" x14ac:dyDescent="0.25">
      <c r="A918" s="9">
        <v>46191</v>
      </c>
      <c r="B918" s="4" t="s">
        <v>119</v>
      </c>
      <c r="C918" s="4" t="s">
        <v>60</v>
      </c>
      <c r="D918" s="4" t="s">
        <v>119</v>
      </c>
      <c r="E918" s="10">
        <v>137.44</v>
      </c>
      <c r="G918" s="4" t="s">
        <v>109</v>
      </c>
      <c r="H918" s="4"/>
      <c r="I918" s="4" t="s">
        <v>79</v>
      </c>
      <c r="K918" s="11">
        <f>IF($E918="","",ROUND($E918*IF(ISNA(MATCH($C918,'Paramètres'!$D:$D,0)),1,IF(INDEX('Paramètres'!$J:$J,MATCH($C918,'Paramètres'!$D:$D,0))="",1,INDEX('Paramètres'!$J:$J,MATCH($C918,'Paramètres'!$D:$D,0)))),2))</f>
        <v>68.72</v>
      </c>
      <c r="L918" s="6" t="str">
        <f>IF($D918="","",IF($F918&lt;&gt;"",$F918,IF(ISNA(MATCH($D918,'Paramètres'!$M:$M,0)),"⚠ Type inconnu",IFERROR(INDEX('Paramètres'!$P:$P,MATCH($D918,'Paramètres'!$M:$M,0))&amp;"",""))))</f>
        <v>Débit</v>
      </c>
      <c r="M918" s="6" t="str">
        <f>IF($D918="","",IF(ISNA(MATCH($D918,'Paramètres'!$M:$M,0)),"⚠ Type inconnu",IF($L918="Crédit","",IFERROR(INDEX('Paramètres'!$O:$O,MATCH($D918,'Paramètres'!$M:$M,0))&amp;"",""))))</f>
        <v>Dépense Occasionnelle</v>
      </c>
      <c r="N918" s="6" t="str">
        <f>IF($D918="","",IFERROR(INDEX('Paramètres'!$Q:$Q,MATCH($D918,'Paramètres'!$M:$M,0))&amp;"",""))</f>
        <v>Alimentation</v>
      </c>
      <c r="O918" s="6">
        <f>IF($A918="","",IF(OR($J918&lt;&gt;"x",$A918&lt;=FinReleve),1,0))</f>
        <v>1</v>
      </c>
      <c r="P918" s="6">
        <f>IF($D918="","",IF(AND($L918="Crédit",OR(IFERROR(INDEX('Paramètres'!$O:$O,MATCH($D918,'Paramètres'!$M:$M,0))&amp;"","")&lt;&gt;"",ISNUMBER(SEARCH("remboursement",IFERROR(INDEX('Paramètres'!$N:$N,MATCH($D918,'Paramètres'!$M:$M,0))&amp;"",""))))),1,0))</f>
        <v>0</v>
      </c>
      <c r="Q918" s="6">
        <f>IF($K918="","",IF(ISNUMBER(SEARCH("transfert-interne",IFERROR(INDEX('Paramètres'!$N:$N,MATCH($D918,'Paramètres'!$M:$M,0))&amp;"",""))),0,IF($L918="Débit",$K918,IF($P918=1,-$K918,0))))</f>
        <v>68.72</v>
      </c>
      <c r="R918" s="6">
        <f>IF($K918="","",IF($L918="Crédit",$K918,-$K918))</f>
        <v>-68.72</v>
      </c>
      <c r="S918" s="6" t="str">
        <f>IF($C918="","",IFERROR(INDEX('Paramètres'!$H:$H,MATCH($C918,'Paramètres'!$D:$D,0))&amp;"",""))</f>
        <v>Banque A - Courant</v>
      </c>
      <c r="T918" s="6">
        <f>IF($K918="","",IF($S918="",0,IF(ISNUMBER(SEARCH("apport-exterieur",IFERROR(INDEX('Paramètres'!$N:$N,MATCH($D918,'Paramètres'!$M:$M,0))&amp;"",""))),0,IF(OR(IFERROR(INDEX('Paramètres'!$I:$I,MATCH($C918,'Paramètres'!$D:$D,0))&amp;"","")="Les deux",IFERROR(INDEX('Paramètres'!$I:$I,MATCH($C918,'Paramètres'!$D:$D,0))&amp;"","")=IF($P918=1,"Débit",$L918)),-IF($P918=1,-$K918,$K918),0))))</f>
        <v>-68.72</v>
      </c>
      <c r="U918" s="6">
        <f>IF($K918="","",IF(ISNUMBER(SEARCH("sortie-epargne",IFERROR(INDEX('Paramètres'!$N:$N,MATCH($D918,'Paramètres'!$M:$M,0))&amp;"",""))),$K918,0))</f>
        <v>0</v>
      </c>
      <c r="V918" s="6" t="str">
        <f>IF(AND($A918&lt;&gt;"",$O918=1,$L918="Débit",N($Q918)&gt;0,$A918&gt;=Visualisation!$B$1,$A918&lt;Visualisation!$D$1),MAX($V$1:V917)+1,"")</f>
        <v/>
      </c>
    </row>
    <row r="919" spans="1:22" x14ac:dyDescent="0.25">
      <c r="A919" s="9">
        <v>46192</v>
      </c>
      <c r="B919" s="4" t="s">
        <v>69</v>
      </c>
      <c r="C919" s="4" t="s">
        <v>70</v>
      </c>
      <c r="D919" s="4" t="s">
        <v>71</v>
      </c>
      <c r="E919" s="10">
        <v>9.68</v>
      </c>
      <c r="G919" s="4" t="s">
        <v>72</v>
      </c>
      <c r="H919" s="4"/>
      <c r="I919" s="4" t="s">
        <v>93</v>
      </c>
      <c r="K919" s="11">
        <f>IF($E919="","",ROUND($E919*IF(ISNA(MATCH($C919,'Paramètres'!$D:$D,0)),1,IF(INDEX('Paramètres'!$J:$J,MATCH($C919,'Paramètres'!$D:$D,0))="",1,INDEX('Paramètres'!$J:$J,MATCH($C919,'Paramètres'!$D:$D,0)))),2))</f>
        <v>9.68</v>
      </c>
      <c r="L919" s="6" t="str">
        <f>IF($D919="","",IF($F919&lt;&gt;"",$F919,IF(ISNA(MATCH($D919,'Paramètres'!$M:$M,0)),"⚠ Type inconnu",IFERROR(INDEX('Paramètres'!$P:$P,MATCH($D919,'Paramètres'!$M:$M,0))&amp;"",""))))</f>
        <v>Débit</v>
      </c>
      <c r="M919" s="6" t="str">
        <f>IF($D919="","",IF(ISNA(MATCH($D919,'Paramètres'!$M:$M,0)),"⚠ Type inconnu",IF($L919="Crédit","",IFERROR(INDEX('Paramètres'!$O:$O,MATCH($D919,'Paramètres'!$M:$M,0))&amp;"",""))))</f>
        <v>Dépense Courante</v>
      </c>
      <c r="N919" s="6" t="str">
        <f>IF($D919="","",IFERROR(INDEX('Paramètres'!$Q:$Q,MATCH($D919,'Paramètres'!$M:$M,0))&amp;"",""))</f>
        <v>Alimentation</v>
      </c>
      <c r="O919" s="6">
        <f>IF($A919="","",IF(OR($J919&lt;&gt;"x",$A919&lt;=FinReleve),1,0))</f>
        <v>1</v>
      </c>
      <c r="P919" s="6">
        <f>IF($D919="","",IF(AND($L919="Crédit",OR(IFERROR(INDEX('Paramètres'!$O:$O,MATCH($D919,'Paramètres'!$M:$M,0))&amp;"","")&lt;&gt;"",ISNUMBER(SEARCH("remboursement",IFERROR(INDEX('Paramètres'!$N:$N,MATCH($D919,'Paramètres'!$M:$M,0))&amp;"",""))))),1,0))</f>
        <v>0</v>
      </c>
      <c r="Q919" s="6">
        <f>IF($K919="","",IF(ISNUMBER(SEARCH("transfert-interne",IFERROR(INDEX('Paramètres'!$N:$N,MATCH($D919,'Paramètres'!$M:$M,0))&amp;"",""))),0,IF($L919="Débit",$K919,IF($P919=1,-$K919,0))))</f>
        <v>9.68</v>
      </c>
      <c r="R919" s="6">
        <f>IF($K919="","",IF($L919="Crédit",$K919,-$K919))</f>
        <v>-9.68</v>
      </c>
      <c r="S919" s="6" t="str">
        <f>IF($C919="","",IFERROR(INDEX('Paramètres'!$H:$H,MATCH($C919,'Paramètres'!$D:$D,0))&amp;"",""))</f>
        <v/>
      </c>
      <c r="T919" s="6">
        <f>IF($K919="","",IF($S919="",0,IF(ISNUMBER(SEARCH("apport-exterieur",IFERROR(INDEX('Paramètres'!$N:$N,MATCH($D919,'Paramètres'!$M:$M,0))&amp;"",""))),0,IF(OR(IFERROR(INDEX('Paramètres'!$I:$I,MATCH($C919,'Paramètres'!$D:$D,0))&amp;"","")="Les deux",IFERROR(INDEX('Paramètres'!$I:$I,MATCH($C919,'Paramètres'!$D:$D,0))&amp;"","")=IF($P919=1,"Débit",$L919)),-IF($P919=1,-$K919,$K919),0))))</f>
        <v>0</v>
      </c>
      <c r="U919" s="6">
        <f>IF($K919="","",IF(ISNUMBER(SEARCH("sortie-epargne",IFERROR(INDEX('Paramètres'!$N:$N,MATCH($D919,'Paramètres'!$M:$M,0))&amp;"",""))),$K919,0))</f>
        <v>0</v>
      </c>
      <c r="V919" s="6" t="str">
        <f>IF(AND($A919&lt;&gt;"",$O919=1,$L919="Débit",N($Q919)&gt;0,$A919&gt;=Visualisation!$B$1,$A919&lt;Visualisation!$D$1),MAX($V$1:V918)+1,"")</f>
        <v/>
      </c>
    </row>
    <row r="920" spans="1:22" x14ac:dyDescent="0.25">
      <c r="A920" s="9">
        <v>46193</v>
      </c>
      <c r="B920" s="4" t="s">
        <v>76</v>
      </c>
      <c r="C920" s="4" t="s">
        <v>60</v>
      </c>
      <c r="D920" s="4" t="s">
        <v>77</v>
      </c>
      <c r="E920" s="10">
        <v>66.28</v>
      </c>
      <c r="G920" s="4" t="s">
        <v>95</v>
      </c>
      <c r="H920" s="4"/>
      <c r="I920" s="4" t="s">
        <v>79</v>
      </c>
      <c r="K920" s="11">
        <f>IF($E920="","",ROUND($E920*IF(ISNA(MATCH($C920,'Paramètres'!$D:$D,0)),1,IF(INDEX('Paramètres'!$J:$J,MATCH($C920,'Paramètres'!$D:$D,0))="",1,INDEX('Paramètres'!$J:$J,MATCH($C920,'Paramètres'!$D:$D,0)))),2))</f>
        <v>33.14</v>
      </c>
      <c r="L920" s="6" t="str">
        <f>IF($D920="","",IF($F920&lt;&gt;"",$F920,IF(ISNA(MATCH($D920,'Paramètres'!$M:$M,0)),"⚠ Type inconnu",IFERROR(INDEX('Paramètres'!$P:$P,MATCH($D920,'Paramètres'!$M:$M,0))&amp;"",""))))</f>
        <v>Débit</v>
      </c>
      <c r="M920" s="6" t="str">
        <f>IF($D920="","",IF(ISNA(MATCH($D920,'Paramètres'!$M:$M,0)),"⚠ Type inconnu",IF($L920="Crédit","",IFERROR(INDEX('Paramètres'!$O:$O,MATCH($D920,'Paramètres'!$M:$M,0))&amp;"",""))))</f>
        <v>Dépense Courante</v>
      </c>
      <c r="N920" s="6" t="str">
        <f>IF($D920="","",IFERROR(INDEX('Paramètres'!$Q:$Q,MATCH($D920,'Paramètres'!$M:$M,0))&amp;"",""))</f>
        <v>Alimentation</v>
      </c>
      <c r="O920" s="6">
        <f>IF($A920="","",IF(OR($J920&lt;&gt;"x",$A920&lt;=FinReleve),1,0))</f>
        <v>1</v>
      </c>
      <c r="P920" s="6">
        <f>IF($D920="","",IF(AND($L920="Crédit",OR(IFERROR(INDEX('Paramètres'!$O:$O,MATCH($D920,'Paramètres'!$M:$M,0))&amp;"","")&lt;&gt;"",ISNUMBER(SEARCH("remboursement",IFERROR(INDEX('Paramètres'!$N:$N,MATCH($D920,'Paramètres'!$M:$M,0))&amp;"",""))))),1,0))</f>
        <v>0</v>
      </c>
      <c r="Q920" s="6">
        <f>IF($K920="","",IF(ISNUMBER(SEARCH("transfert-interne",IFERROR(INDEX('Paramètres'!$N:$N,MATCH($D920,'Paramètres'!$M:$M,0))&amp;"",""))),0,IF($L920="Débit",$K920,IF($P920=1,-$K920,0))))</f>
        <v>33.14</v>
      </c>
      <c r="R920" s="6">
        <f>IF($K920="","",IF($L920="Crédit",$K920,-$K920))</f>
        <v>-33.14</v>
      </c>
      <c r="S920" s="6" t="str">
        <f>IF($C920="","",IFERROR(INDEX('Paramètres'!$H:$H,MATCH($C920,'Paramètres'!$D:$D,0))&amp;"",""))</f>
        <v>Banque A - Courant</v>
      </c>
      <c r="T920" s="6">
        <f>IF($K920="","",IF($S920="",0,IF(ISNUMBER(SEARCH("apport-exterieur",IFERROR(INDEX('Paramètres'!$N:$N,MATCH($D920,'Paramètres'!$M:$M,0))&amp;"",""))),0,IF(OR(IFERROR(INDEX('Paramètres'!$I:$I,MATCH($C920,'Paramètres'!$D:$D,0))&amp;"","")="Les deux",IFERROR(INDEX('Paramètres'!$I:$I,MATCH($C920,'Paramètres'!$D:$D,0))&amp;"","")=IF($P920=1,"Débit",$L920)),-IF($P920=1,-$K920,$K920),0))))</f>
        <v>-33.14</v>
      </c>
      <c r="U920" s="6">
        <f>IF($K920="","",IF(ISNUMBER(SEARCH("sortie-epargne",IFERROR(INDEX('Paramètres'!$N:$N,MATCH($D920,'Paramètres'!$M:$M,0))&amp;"",""))),$K920,0))</f>
        <v>0</v>
      </c>
      <c r="V920" s="6" t="str">
        <f>IF(AND($A920&lt;&gt;"",$O920=1,$L920="Débit",N($Q920)&gt;0,$A920&gt;=Visualisation!$B$1,$A920&lt;Visualisation!$D$1),MAX($V$1:V919)+1,"")</f>
        <v/>
      </c>
    </row>
    <row r="921" spans="1:22" x14ac:dyDescent="0.25">
      <c r="A921" s="9">
        <v>46196</v>
      </c>
      <c r="B921" s="4" t="s">
        <v>69</v>
      </c>
      <c r="C921" s="4" t="s">
        <v>70</v>
      </c>
      <c r="D921" s="4" t="s">
        <v>71</v>
      </c>
      <c r="E921" s="10">
        <v>7.86</v>
      </c>
      <c r="G921" s="4" t="s">
        <v>72</v>
      </c>
      <c r="H921" s="4"/>
      <c r="I921" s="4" t="s">
        <v>79</v>
      </c>
      <c r="K921" s="11">
        <f>IF($E921="","",ROUND($E921*IF(ISNA(MATCH($C921,'Paramètres'!$D:$D,0)),1,IF(INDEX('Paramètres'!$J:$J,MATCH($C921,'Paramètres'!$D:$D,0))="",1,INDEX('Paramètres'!$J:$J,MATCH($C921,'Paramètres'!$D:$D,0)))),2))</f>
        <v>7.86</v>
      </c>
      <c r="L921" s="6" t="str">
        <f>IF($D921="","",IF($F921&lt;&gt;"",$F921,IF(ISNA(MATCH($D921,'Paramètres'!$M:$M,0)),"⚠ Type inconnu",IFERROR(INDEX('Paramètres'!$P:$P,MATCH($D921,'Paramètres'!$M:$M,0))&amp;"",""))))</f>
        <v>Débit</v>
      </c>
      <c r="M921" s="6" t="str">
        <f>IF($D921="","",IF(ISNA(MATCH($D921,'Paramètres'!$M:$M,0)),"⚠ Type inconnu",IF($L921="Crédit","",IFERROR(INDEX('Paramètres'!$O:$O,MATCH($D921,'Paramètres'!$M:$M,0))&amp;"",""))))</f>
        <v>Dépense Courante</v>
      </c>
      <c r="N921" s="6" t="str">
        <f>IF($D921="","",IFERROR(INDEX('Paramètres'!$Q:$Q,MATCH($D921,'Paramètres'!$M:$M,0))&amp;"",""))</f>
        <v>Alimentation</v>
      </c>
      <c r="O921" s="6">
        <f>IF($A921="","",IF(OR($J921&lt;&gt;"x",$A921&lt;=FinReleve),1,0))</f>
        <v>1</v>
      </c>
      <c r="P921" s="6">
        <f>IF($D921="","",IF(AND($L921="Crédit",OR(IFERROR(INDEX('Paramètres'!$O:$O,MATCH($D921,'Paramètres'!$M:$M,0))&amp;"","")&lt;&gt;"",ISNUMBER(SEARCH("remboursement",IFERROR(INDEX('Paramètres'!$N:$N,MATCH($D921,'Paramètres'!$M:$M,0))&amp;"",""))))),1,0))</f>
        <v>0</v>
      </c>
      <c r="Q921" s="6">
        <f>IF($K921="","",IF(ISNUMBER(SEARCH("transfert-interne",IFERROR(INDEX('Paramètres'!$N:$N,MATCH($D921,'Paramètres'!$M:$M,0))&amp;"",""))),0,IF($L921="Débit",$K921,IF($P921=1,-$K921,0))))</f>
        <v>7.86</v>
      </c>
      <c r="R921" s="6">
        <f>IF($K921="","",IF($L921="Crédit",$K921,-$K921))</f>
        <v>-7.86</v>
      </c>
      <c r="S921" s="6" t="str">
        <f>IF($C921="","",IFERROR(INDEX('Paramètres'!$H:$H,MATCH($C921,'Paramètres'!$D:$D,0))&amp;"",""))</f>
        <v/>
      </c>
      <c r="T921" s="6">
        <f>IF($K921="","",IF($S921="",0,IF(ISNUMBER(SEARCH("apport-exterieur",IFERROR(INDEX('Paramètres'!$N:$N,MATCH($D921,'Paramètres'!$M:$M,0))&amp;"",""))),0,IF(OR(IFERROR(INDEX('Paramètres'!$I:$I,MATCH($C921,'Paramètres'!$D:$D,0))&amp;"","")="Les deux",IFERROR(INDEX('Paramètres'!$I:$I,MATCH($C921,'Paramètres'!$D:$D,0))&amp;"","")=IF($P921=1,"Débit",$L921)),-IF($P921=1,-$K921,$K921),0))))</f>
        <v>0</v>
      </c>
      <c r="U921" s="6">
        <f>IF($K921="","",IF(ISNUMBER(SEARCH("sortie-epargne",IFERROR(INDEX('Paramètres'!$N:$N,MATCH($D921,'Paramètres'!$M:$M,0))&amp;"",""))),$K921,0))</f>
        <v>0</v>
      </c>
      <c r="V921" s="6" t="str">
        <f>IF(AND($A921&lt;&gt;"",$O921=1,$L921="Débit",N($Q921)&gt;0,$A921&gt;=Visualisation!$B$1,$A921&lt;Visualisation!$D$1),MAX($V$1:V920)+1,"")</f>
        <v/>
      </c>
    </row>
    <row r="922" spans="1:22" x14ac:dyDescent="0.25">
      <c r="A922" s="9">
        <v>46197</v>
      </c>
      <c r="B922" s="4" t="s">
        <v>76</v>
      </c>
      <c r="C922" s="4" t="s">
        <v>67</v>
      </c>
      <c r="D922" s="4" t="s">
        <v>77</v>
      </c>
      <c r="E922" s="10">
        <v>190.64</v>
      </c>
      <c r="G922" s="4" t="s">
        <v>102</v>
      </c>
      <c r="H922" s="4"/>
      <c r="I922" s="4" t="s">
        <v>93</v>
      </c>
      <c r="K922" s="11">
        <f>IF($E922="","",ROUND($E922*IF(ISNA(MATCH($C922,'Paramètres'!$D:$D,0)),1,IF(INDEX('Paramètres'!$J:$J,MATCH($C922,'Paramètres'!$D:$D,0))="",1,INDEX('Paramètres'!$J:$J,MATCH($C922,'Paramètres'!$D:$D,0)))),2))</f>
        <v>95.32</v>
      </c>
      <c r="L922" s="6" t="str">
        <f>IF($D922="","",IF($F922&lt;&gt;"",$F922,IF(ISNA(MATCH($D922,'Paramètres'!$M:$M,0)),"⚠ Type inconnu",IFERROR(INDEX('Paramètres'!$P:$P,MATCH($D922,'Paramètres'!$M:$M,0))&amp;"",""))))</f>
        <v>Débit</v>
      </c>
      <c r="M922" s="6" t="str">
        <f>IF($D922="","",IF(ISNA(MATCH($D922,'Paramètres'!$M:$M,0)),"⚠ Type inconnu",IF($L922="Crédit","",IFERROR(INDEX('Paramètres'!$O:$O,MATCH($D922,'Paramètres'!$M:$M,0))&amp;"",""))))</f>
        <v>Dépense Courante</v>
      </c>
      <c r="N922" s="6" t="str">
        <f>IF($D922="","",IFERROR(INDEX('Paramètres'!$Q:$Q,MATCH($D922,'Paramètres'!$M:$M,0))&amp;"",""))</f>
        <v>Alimentation</v>
      </c>
      <c r="O922" s="6">
        <f>IF($A922="","",IF(OR($J922&lt;&gt;"x",$A922&lt;=FinReleve),1,0))</f>
        <v>1</v>
      </c>
      <c r="P922" s="6">
        <f>IF($D922="","",IF(AND($L922="Crédit",OR(IFERROR(INDEX('Paramètres'!$O:$O,MATCH($D922,'Paramètres'!$M:$M,0))&amp;"","")&lt;&gt;"",ISNUMBER(SEARCH("remboursement",IFERROR(INDEX('Paramètres'!$N:$N,MATCH($D922,'Paramètres'!$M:$M,0))&amp;"",""))))),1,0))</f>
        <v>0</v>
      </c>
      <c r="Q922" s="6">
        <f>IF($K922="","",IF(ISNUMBER(SEARCH("transfert-interne",IFERROR(INDEX('Paramètres'!$N:$N,MATCH($D922,'Paramètres'!$M:$M,0))&amp;"",""))),0,IF($L922="Débit",$K922,IF($P922=1,-$K922,0))))</f>
        <v>95.32</v>
      </c>
      <c r="R922" s="6">
        <f>IF($K922="","",IF($L922="Crédit",$K922,-$K922))</f>
        <v>-95.32</v>
      </c>
      <c r="S922" s="6" t="str">
        <f>IF($C922="","",IFERROR(INDEX('Paramètres'!$H:$H,MATCH($C922,'Paramètres'!$D:$D,0))&amp;"",""))</f>
        <v>Banque A - Courant</v>
      </c>
      <c r="T922" s="6">
        <f>IF($K922="","",IF($S922="",0,IF(ISNUMBER(SEARCH("apport-exterieur",IFERROR(INDEX('Paramètres'!$N:$N,MATCH($D922,'Paramètres'!$M:$M,0))&amp;"",""))),0,IF(OR(IFERROR(INDEX('Paramètres'!$I:$I,MATCH($C922,'Paramètres'!$D:$D,0))&amp;"","")="Les deux",IFERROR(INDEX('Paramètres'!$I:$I,MATCH($C922,'Paramètres'!$D:$D,0))&amp;"","")=IF($P922=1,"Débit",$L922)),-IF($P922=1,-$K922,$K922),0))))</f>
        <v>0</v>
      </c>
      <c r="U922" s="6">
        <f>IF($K922="","",IF(ISNUMBER(SEARCH("sortie-epargne",IFERROR(INDEX('Paramètres'!$N:$N,MATCH($D922,'Paramètres'!$M:$M,0))&amp;"",""))),$K922,0))</f>
        <v>0</v>
      </c>
      <c r="V922" s="6" t="str">
        <f>IF(AND($A922&lt;&gt;"",$O922=1,$L922="Débit",N($Q922)&gt;0,$A922&gt;=Visualisation!$B$1,$A922&lt;Visualisation!$D$1),MAX($V$1:V921)+1,"")</f>
        <v/>
      </c>
    </row>
    <row r="923" spans="1:22" x14ac:dyDescent="0.25">
      <c r="A923" s="9">
        <v>46197</v>
      </c>
      <c r="B923" s="4" t="s">
        <v>69</v>
      </c>
      <c r="C923" s="4" t="s">
        <v>70</v>
      </c>
      <c r="D923" s="4" t="s">
        <v>71</v>
      </c>
      <c r="E923" s="10">
        <v>9.33</v>
      </c>
      <c r="G923" s="4" t="s">
        <v>72</v>
      </c>
      <c r="H923" s="4"/>
      <c r="I923" s="4" t="s">
        <v>93</v>
      </c>
      <c r="K923" s="11">
        <f>IF($E923="","",ROUND($E923*IF(ISNA(MATCH($C923,'Paramètres'!$D:$D,0)),1,IF(INDEX('Paramètres'!$J:$J,MATCH($C923,'Paramètres'!$D:$D,0))="",1,INDEX('Paramètres'!$J:$J,MATCH($C923,'Paramètres'!$D:$D,0)))),2))</f>
        <v>9.33</v>
      </c>
      <c r="L923" s="6" t="str">
        <f>IF($D923="","",IF($F923&lt;&gt;"",$F923,IF(ISNA(MATCH($D923,'Paramètres'!$M:$M,0)),"⚠ Type inconnu",IFERROR(INDEX('Paramètres'!$P:$P,MATCH($D923,'Paramètres'!$M:$M,0))&amp;"",""))))</f>
        <v>Débit</v>
      </c>
      <c r="M923" s="6" t="str">
        <f>IF($D923="","",IF(ISNA(MATCH($D923,'Paramètres'!$M:$M,0)),"⚠ Type inconnu",IF($L923="Crédit","",IFERROR(INDEX('Paramètres'!$O:$O,MATCH($D923,'Paramètres'!$M:$M,0))&amp;"",""))))</f>
        <v>Dépense Courante</v>
      </c>
      <c r="N923" s="6" t="str">
        <f>IF($D923="","",IFERROR(INDEX('Paramètres'!$Q:$Q,MATCH($D923,'Paramètres'!$M:$M,0))&amp;"",""))</f>
        <v>Alimentation</v>
      </c>
      <c r="O923" s="6">
        <f>IF($A923="","",IF(OR($J923&lt;&gt;"x",$A923&lt;=FinReleve),1,0))</f>
        <v>1</v>
      </c>
      <c r="P923" s="6">
        <f>IF($D923="","",IF(AND($L923="Crédit",OR(IFERROR(INDEX('Paramètres'!$O:$O,MATCH($D923,'Paramètres'!$M:$M,0))&amp;"","")&lt;&gt;"",ISNUMBER(SEARCH("remboursement",IFERROR(INDEX('Paramètres'!$N:$N,MATCH($D923,'Paramètres'!$M:$M,0))&amp;"",""))))),1,0))</f>
        <v>0</v>
      </c>
      <c r="Q923" s="6">
        <f>IF($K923="","",IF(ISNUMBER(SEARCH("transfert-interne",IFERROR(INDEX('Paramètres'!$N:$N,MATCH($D923,'Paramètres'!$M:$M,0))&amp;"",""))),0,IF($L923="Débit",$K923,IF($P923=1,-$K923,0))))</f>
        <v>9.33</v>
      </c>
      <c r="R923" s="6">
        <f>IF($K923="","",IF($L923="Crédit",$K923,-$K923))</f>
        <v>-9.33</v>
      </c>
      <c r="S923" s="6" t="str">
        <f>IF($C923="","",IFERROR(INDEX('Paramètres'!$H:$H,MATCH($C923,'Paramètres'!$D:$D,0))&amp;"",""))</f>
        <v/>
      </c>
      <c r="T923" s="6">
        <f>IF($K923="","",IF($S923="",0,IF(ISNUMBER(SEARCH("apport-exterieur",IFERROR(INDEX('Paramètres'!$N:$N,MATCH($D923,'Paramètres'!$M:$M,0))&amp;"",""))),0,IF(OR(IFERROR(INDEX('Paramètres'!$I:$I,MATCH($C923,'Paramètres'!$D:$D,0))&amp;"","")="Les deux",IFERROR(INDEX('Paramètres'!$I:$I,MATCH($C923,'Paramètres'!$D:$D,0))&amp;"","")=IF($P923=1,"Débit",$L923)),-IF($P923=1,-$K923,$K923),0))))</f>
        <v>0</v>
      </c>
      <c r="U923" s="6">
        <f>IF($K923="","",IF(ISNUMBER(SEARCH("sortie-epargne",IFERROR(INDEX('Paramètres'!$N:$N,MATCH($D923,'Paramètres'!$M:$M,0))&amp;"",""))),$K923,0))</f>
        <v>0</v>
      </c>
      <c r="V923" s="6" t="str">
        <f>IF(AND($A923&lt;&gt;"",$O923=1,$L923="Débit",N($Q923)&gt;0,$A923&gt;=Visualisation!$B$1,$A923&lt;Visualisation!$D$1),MAX($V$1:V922)+1,"")</f>
        <v/>
      </c>
    </row>
    <row r="924" spans="1:22" x14ac:dyDescent="0.25">
      <c r="A924" s="9">
        <v>46199</v>
      </c>
      <c r="B924" s="4" t="s">
        <v>59</v>
      </c>
      <c r="C924" s="4" t="s">
        <v>126</v>
      </c>
      <c r="D924" s="4" t="s">
        <v>59</v>
      </c>
      <c r="E924" s="10">
        <v>71.94</v>
      </c>
      <c r="G924" s="4" t="s">
        <v>99</v>
      </c>
      <c r="H924" s="4"/>
      <c r="I924" s="4" t="s">
        <v>73</v>
      </c>
      <c r="K924" s="11">
        <f>IF($E924="","",ROUND($E924*IF(ISNA(MATCH($C924,'Paramètres'!$D:$D,0)),1,IF(INDEX('Paramètres'!$J:$J,MATCH($C924,'Paramètres'!$D:$D,0))="",1,INDEX('Paramètres'!$J:$J,MATCH($C924,'Paramètres'!$D:$D,0)))),2))</f>
        <v>35.97</v>
      </c>
      <c r="L924" s="6" t="str">
        <f>IF($D924="","",IF($F924&lt;&gt;"",$F924,IF(ISNA(MATCH($D924,'Paramètres'!$M:$M,0)),"⚠ Type inconnu",IFERROR(INDEX('Paramètres'!$P:$P,MATCH($D924,'Paramètres'!$M:$M,0))&amp;"",""))))</f>
        <v>Débit</v>
      </c>
      <c r="M924" s="6" t="str">
        <f>IF($D924="","",IF(ISNA(MATCH($D924,'Paramètres'!$M:$M,0)),"⚠ Type inconnu",IF($L924="Crédit","",IFERROR(INDEX('Paramètres'!$O:$O,MATCH($D924,'Paramètres'!$M:$M,0))&amp;"",""))))</f>
        <v>Dépense Occasionnelle</v>
      </c>
      <c r="N924" s="6" t="str">
        <f>IF($D924="","",IFERROR(INDEX('Paramètres'!$Q:$Q,MATCH($D924,'Paramètres'!$M:$M,0))&amp;"",""))</f>
        <v>Loisir</v>
      </c>
      <c r="O924" s="6">
        <f>IF($A924="","",IF(OR($J924&lt;&gt;"x",$A924&lt;=FinReleve),1,0))</f>
        <v>1</v>
      </c>
      <c r="P924" s="6">
        <f>IF($D924="","",IF(AND($L924="Crédit",OR(IFERROR(INDEX('Paramètres'!$O:$O,MATCH($D924,'Paramètres'!$M:$M,0))&amp;"","")&lt;&gt;"",ISNUMBER(SEARCH("remboursement",IFERROR(INDEX('Paramètres'!$N:$N,MATCH($D924,'Paramètres'!$M:$M,0))&amp;"",""))))),1,0))</f>
        <v>0</v>
      </c>
      <c r="Q924" s="6">
        <f>IF($K924="","",IF(ISNUMBER(SEARCH("transfert-interne",IFERROR(INDEX('Paramètres'!$N:$N,MATCH($D924,'Paramètres'!$M:$M,0))&amp;"",""))),0,IF($L924="Débit",$K924,IF($P924=1,-$K924,0))))</f>
        <v>35.97</v>
      </c>
      <c r="R924" s="6">
        <f>IF($K924="","",IF($L924="Crédit",$K924,-$K924))</f>
        <v>-35.97</v>
      </c>
      <c r="S924" s="6" t="str">
        <f>IF($C924="","",IFERROR(INDEX('Paramètres'!$H:$H,MATCH($C924,'Paramètres'!$D:$D,0))&amp;"",""))</f>
        <v>Banque A - Courant</v>
      </c>
      <c r="T924" s="6">
        <f>IF($K924="","",IF($S924="",0,IF(ISNUMBER(SEARCH("apport-exterieur",IFERROR(INDEX('Paramètres'!$N:$N,MATCH($D924,'Paramètres'!$M:$M,0))&amp;"",""))),0,IF(OR(IFERROR(INDEX('Paramètres'!$I:$I,MATCH($C924,'Paramètres'!$D:$D,0))&amp;"","")="Les deux",IFERROR(INDEX('Paramètres'!$I:$I,MATCH($C924,'Paramètres'!$D:$D,0))&amp;"","")=IF($P924=1,"Débit",$L924)),-IF($P924=1,-$K924,$K924),0))))</f>
        <v>-35.97</v>
      </c>
      <c r="U924" s="6">
        <f>IF($K924="","",IF(ISNUMBER(SEARCH("sortie-epargne",IFERROR(INDEX('Paramètres'!$N:$N,MATCH($D924,'Paramètres'!$M:$M,0))&amp;"",""))),$K924,0))</f>
        <v>0</v>
      </c>
      <c r="V924" s="6" t="str">
        <f>IF(AND($A924&lt;&gt;"",$O924=1,$L924="Débit",N($Q924)&gt;0,$A924&gt;=Visualisation!$B$1,$A924&lt;Visualisation!$D$1),MAX($V$1:V923)+1,"")</f>
        <v/>
      </c>
    </row>
    <row r="925" spans="1:22" x14ac:dyDescent="0.25">
      <c r="A925" s="9">
        <v>46199</v>
      </c>
      <c r="B925" s="4" t="s">
        <v>105</v>
      </c>
      <c r="C925" s="4" t="s">
        <v>75</v>
      </c>
      <c r="D925" s="4" t="s">
        <v>110</v>
      </c>
      <c r="E925" s="10">
        <v>150</v>
      </c>
      <c r="G925" s="4"/>
      <c r="H925" s="4"/>
      <c r="I925" s="4"/>
      <c r="K925" s="11">
        <f>IF($E925="","",ROUND($E925*IF(ISNA(MATCH($C925,'Paramètres'!$D:$D,0)),1,IF(INDEX('Paramètres'!$J:$J,MATCH($C925,'Paramètres'!$D:$D,0))="",1,INDEX('Paramètres'!$J:$J,MATCH($C925,'Paramètres'!$D:$D,0)))),2))</f>
        <v>150</v>
      </c>
      <c r="L925" s="6" t="str">
        <f>IF($D925="","",IF($F925&lt;&gt;"",$F925,IF(ISNA(MATCH($D925,'Paramètres'!$M:$M,0)),"⚠ Type inconnu",IFERROR(INDEX('Paramètres'!$P:$P,MATCH($D925,'Paramètres'!$M:$M,0))&amp;"",""))))</f>
        <v>Débit</v>
      </c>
      <c r="M925" s="6" t="str">
        <f>IF($D925="","",IF(ISNA(MATCH($D925,'Paramètres'!$M:$M,0)),"⚠ Type inconnu",IF($L925="Crédit","",IFERROR(INDEX('Paramètres'!$O:$O,MATCH($D925,'Paramètres'!$M:$M,0))&amp;"",""))))</f>
        <v/>
      </c>
      <c r="N925" s="6" t="str">
        <f>IF($D925="","",IFERROR(INDEX('Paramètres'!$Q:$Q,MATCH($D925,'Paramètres'!$M:$M,0))&amp;"",""))</f>
        <v>Comptes Bancaires</v>
      </c>
      <c r="O925" s="6">
        <f>IF($A925="","",IF(OR($J925&lt;&gt;"x",$A925&lt;=FinReleve),1,0))</f>
        <v>1</v>
      </c>
      <c r="P925" s="6">
        <f>IF($D925="","",IF(AND($L925="Crédit",OR(IFERROR(INDEX('Paramètres'!$O:$O,MATCH($D925,'Paramètres'!$M:$M,0))&amp;"","")&lt;&gt;"",ISNUMBER(SEARCH("remboursement",IFERROR(INDEX('Paramètres'!$N:$N,MATCH($D925,'Paramètres'!$M:$M,0))&amp;"",""))))),1,0))</f>
        <v>0</v>
      </c>
      <c r="Q925" s="6">
        <f>IF($K925="","",IF(ISNUMBER(SEARCH("transfert-interne",IFERROR(INDEX('Paramètres'!$N:$N,MATCH($D925,'Paramètres'!$M:$M,0))&amp;"",""))),0,IF($L925="Débit",$K925,IF($P925=1,-$K925,0))))</f>
        <v>0</v>
      </c>
      <c r="R925" s="6">
        <f>IF($K925="","",IF($L925="Crédit",$K925,-$K925))</f>
        <v>-150</v>
      </c>
      <c r="S925" s="6" t="str">
        <f>IF($C925="","",IFERROR(INDEX('Paramètres'!$H:$H,MATCH($C925,'Paramètres'!$D:$D,0))&amp;"",""))</f>
        <v/>
      </c>
      <c r="T925" s="6">
        <f>IF($K925="","",IF($S925="",0,IF(ISNUMBER(SEARCH("apport-exterieur",IFERROR(INDEX('Paramètres'!$N:$N,MATCH($D925,'Paramètres'!$M:$M,0))&amp;"",""))),0,IF(OR(IFERROR(INDEX('Paramètres'!$I:$I,MATCH($C925,'Paramètres'!$D:$D,0))&amp;"","")="Les deux",IFERROR(INDEX('Paramètres'!$I:$I,MATCH($C925,'Paramètres'!$D:$D,0))&amp;"","")=IF($P925=1,"Débit",$L925)),-IF($P925=1,-$K925,$K925),0))))</f>
        <v>0</v>
      </c>
      <c r="U925" s="6">
        <f>IF($K925="","",IF(ISNUMBER(SEARCH("sortie-epargne",IFERROR(INDEX('Paramètres'!$N:$N,MATCH($D925,'Paramètres'!$M:$M,0))&amp;"",""))),$K925,0))</f>
        <v>0</v>
      </c>
      <c r="V925" s="6" t="str">
        <f>IF(AND($A925&lt;&gt;"",$O925=1,$L925="Débit",N($Q925)&gt;0,$A925&gt;=Visualisation!$B$1,$A925&lt;Visualisation!$D$1),MAX($V$1:V924)+1,"")</f>
        <v/>
      </c>
    </row>
    <row r="926" spans="1:22" x14ac:dyDescent="0.25">
      <c r="A926" s="9">
        <v>46199</v>
      </c>
      <c r="B926" s="4" t="s">
        <v>105</v>
      </c>
      <c r="C926" s="4" t="s">
        <v>75</v>
      </c>
      <c r="D926" s="4" t="s">
        <v>111</v>
      </c>
      <c r="E926" s="10">
        <v>200</v>
      </c>
      <c r="G926" s="4"/>
      <c r="H926" s="4"/>
      <c r="I926" s="4"/>
      <c r="K926" s="11">
        <f>IF($E926="","",ROUND($E926*IF(ISNA(MATCH($C926,'Paramètres'!$D:$D,0)),1,IF(INDEX('Paramètres'!$J:$J,MATCH($C926,'Paramètres'!$D:$D,0))="",1,INDEX('Paramètres'!$J:$J,MATCH($C926,'Paramètres'!$D:$D,0)))),2))</f>
        <v>200</v>
      </c>
      <c r="L926" s="6" t="str">
        <f>IF($D926="","",IF($F926&lt;&gt;"",$F926,IF(ISNA(MATCH($D926,'Paramètres'!$M:$M,0)),"⚠ Type inconnu",IFERROR(INDEX('Paramètres'!$P:$P,MATCH($D926,'Paramètres'!$M:$M,0))&amp;"",""))))</f>
        <v>Débit</v>
      </c>
      <c r="M926" s="6" t="str">
        <f>IF($D926="","",IF(ISNA(MATCH($D926,'Paramètres'!$M:$M,0)),"⚠ Type inconnu",IF($L926="Crédit","",IFERROR(INDEX('Paramètres'!$O:$O,MATCH($D926,'Paramètres'!$M:$M,0))&amp;"",""))))</f>
        <v/>
      </c>
      <c r="N926" s="6" t="str">
        <f>IF($D926="","",IFERROR(INDEX('Paramètres'!$Q:$Q,MATCH($D926,'Paramètres'!$M:$M,0))&amp;"",""))</f>
        <v>Comptes Bancaires</v>
      </c>
      <c r="O926" s="6">
        <f>IF($A926="","",IF(OR($J926&lt;&gt;"x",$A926&lt;=FinReleve),1,0))</f>
        <v>1</v>
      </c>
      <c r="P926" s="6">
        <f>IF($D926="","",IF(AND($L926="Crédit",OR(IFERROR(INDEX('Paramètres'!$O:$O,MATCH($D926,'Paramètres'!$M:$M,0))&amp;"","")&lt;&gt;"",ISNUMBER(SEARCH("remboursement",IFERROR(INDEX('Paramètres'!$N:$N,MATCH($D926,'Paramètres'!$M:$M,0))&amp;"",""))))),1,0))</f>
        <v>0</v>
      </c>
      <c r="Q926" s="6">
        <f>IF($K926="","",IF(ISNUMBER(SEARCH("transfert-interne",IFERROR(INDEX('Paramètres'!$N:$N,MATCH($D926,'Paramètres'!$M:$M,0))&amp;"",""))),0,IF($L926="Débit",$K926,IF($P926=1,-$K926,0))))</f>
        <v>200</v>
      </c>
      <c r="R926" s="6">
        <f>IF($K926="","",IF($L926="Crédit",$K926,-$K926))</f>
        <v>-200</v>
      </c>
      <c r="S926" s="6" t="str">
        <f>IF($C926="","",IFERROR(INDEX('Paramètres'!$H:$H,MATCH($C926,'Paramètres'!$D:$D,0))&amp;"",""))</f>
        <v/>
      </c>
      <c r="T926" s="6">
        <f>IF($K926="","",IF($S926="",0,IF(ISNUMBER(SEARCH("apport-exterieur",IFERROR(INDEX('Paramètres'!$N:$N,MATCH($D926,'Paramètres'!$M:$M,0))&amp;"",""))),0,IF(OR(IFERROR(INDEX('Paramètres'!$I:$I,MATCH($C926,'Paramètres'!$D:$D,0))&amp;"","")="Les deux",IFERROR(INDEX('Paramètres'!$I:$I,MATCH($C926,'Paramètres'!$D:$D,0))&amp;"","")=IF($P926=1,"Débit",$L926)),-IF($P926=1,-$K926,$K926),0))))</f>
        <v>0</v>
      </c>
      <c r="U926" s="6">
        <f>IF($K926="","",IF(ISNUMBER(SEARCH("sortie-epargne",IFERROR(INDEX('Paramètres'!$N:$N,MATCH($D926,'Paramètres'!$M:$M,0))&amp;"",""))),$K926,0))</f>
        <v>0</v>
      </c>
      <c r="V926" s="6" t="str">
        <f>IF(AND($A926&lt;&gt;"",$O926=1,$L926="Débit",N($Q926)&gt;0,$A926&gt;=Visualisation!$B$1,$A926&lt;Visualisation!$D$1),MAX($V$1:V925)+1,"")</f>
        <v/>
      </c>
    </row>
    <row r="927" spans="1:22" x14ac:dyDescent="0.25">
      <c r="A927" s="9">
        <v>46199</v>
      </c>
      <c r="B927" s="4" t="s">
        <v>112</v>
      </c>
      <c r="C927" s="4" t="s">
        <v>75</v>
      </c>
      <c r="D927" s="4" t="s">
        <v>113</v>
      </c>
      <c r="E927" s="10">
        <v>120</v>
      </c>
      <c r="G927" s="4"/>
      <c r="H927" s="4"/>
      <c r="I927" s="4"/>
      <c r="K927" s="11">
        <f>IF($E927="","",ROUND($E927*IF(ISNA(MATCH($C927,'Paramètres'!$D:$D,0)),1,IF(INDEX('Paramètres'!$J:$J,MATCH($C927,'Paramètres'!$D:$D,0))="",1,INDEX('Paramètres'!$J:$J,MATCH($C927,'Paramètres'!$D:$D,0)))),2))</f>
        <v>120</v>
      </c>
      <c r="L927" s="6" t="str">
        <f>IF($D927="","",IF($F927&lt;&gt;"",$F927,IF(ISNA(MATCH($D927,'Paramètres'!$M:$M,0)),"⚠ Type inconnu",IFERROR(INDEX('Paramètres'!$P:$P,MATCH($D927,'Paramètres'!$M:$M,0))&amp;"",""))))</f>
        <v>Débit</v>
      </c>
      <c r="M927" s="6" t="str">
        <f>IF($D927="","",IF(ISNA(MATCH($D927,'Paramètres'!$M:$M,0)),"⚠ Type inconnu",IF($L927="Crédit","",IFERROR(INDEX('Paramètres'!$O:$O,MATCH($D927,'Paramètres'!$M:$M,0))&amp;"",""))))</f>
        <v/>
      </c>
      <c r="N927" s="6" t="str">
        <f>IF($D927="","",IFERROR(INDEX('Paramètres'!$Q:$Q,MATCH($D927,'Paramètres'!$M:$M,0))&amp;"",""))</f>
        <v>Comptes Bancaires</v>
      </c>
      <c r="O927" s="6">
        <f>IF($A927="","",IF(OR($J927&lt;&gt;"x",$A927&lt;=FinReleve),1,0))</f>
        <v>1</v>
      </c>
      <c r="P927" s="6">
        <f>IF($D927="","",IF(AND($L927="Crédit",OR(IFERROR(INDEX('Paramètres'!$O:$O,MATCH($D927,'Paramètres'!$M:$M,0))&amp;"","")&lt;&gt;"",ISNUMBER(SEARCH("remboursement",IFERROR(INDEX('Paramètres'!$N:$N,MATCH($D927,'Paramètres'!$M:$M,0))&amp;"",""))))),1,0))</f>
        <v>0</v>
      </c>
      <c r="Q927" s="6">
        <f>IF($K927="","",IF(ISNUMBER(SEARCH("transfert-interne",IFERROR(INDEX('Paramètres'!$N:$N,MATCH($D927,'Paramètres'!$M:$M,0))&amp;"",""))),0,IF($L927="Débit",$K927,IF($P927=1,-$K927,0))))</f>
        <v>120</v>
      </c>
      <c r="R927" s="6">
        <f>IF($K927="","",IF($L927="Crédit",$K927,-$K927))</f>
        <v>-120</v>
      </c>
      <c r="S927" s="6" t="str">
        <f>IF($C927="","",IFERROR(INDEX('Paramètres'!$H:$H,MATCH($C927,'Paramètres'!$D:$D,0))&amp;"",""))</f>
        <v/>
      </c>
      <c r="T927" s="6">
        <f>IF($K927="","",IF($S927="",0,IF(ISNUMBER(SEARCH("apport-exterieur",IFERROR(INDEX('Paramètres'!$N:$N,MATCH($D927,'Paramètres'!$M:$M,0))&amp;"",""))),0,IF(OR(IFERROR(INDEX('Paramètres'!$I:$I,MATCH($C927,'Paramètres'!$D:$D,0))&amp;"","")="Les deux",IFERROR(INDEX('Paramètres'!$I:$I,MATCH($C927,'Paramètres'!$D:$D,0))&amp;"","")=IF($P927=1,"Débit",$L927)),-IF($P927=1,-$K927,$K927),0))))</f>
        <v>0</v>
      </c>
      <c r="U927" s="6">
        <f>IF($K927="","",IF(ISNUMBER(SEARCH("sortie-epargne",IFERROR(INDEX('Paramètres'!$N:$N,MATCH($D927,'Paramètres'!$M:$M,0))&amp;"",""))),$K927,0))</f>
        <v>0</v>
      </c>
      <c r="V927" s="6" t="str">
        <f>IF(AND($A927&lt;&gt;"",$O927=1,$L927="Débit",N($Q927)&gt;0,$A927&gt;=Visualisation!$B$1,$A927&lt;Visualisation!$D$1),MAX($V$1:V926)+1,"")</f>
        <v/>
      </c>
    </row>
    <row r="928" spans="1:22" x14ac:dyDescent="0.25">
      <c r="A928" s="9">
        <v>46200</v>
      </c>
      <c r="B928" s="4" t="s">
        <v>114</v>
      </c>
      <c r="C928" s="4" t="s">
        <v>75</v>
      </c>
      <c r="D928" s="4" t="s">
        <v>115</v>
      </c>
      <c r="E928" s="10">
        <v>3065.23</v>
      </c>
      <c r="G928" s="4" t="s">
        <v>115</v>
      </c>
      <c r="H928" s="4"/>
      <c r="I928" s="4"/>
      <c r="K928" s="11">
        <f>IF($E928="","",ROUND($E928*IF(ISNA(MATCH($C928,'Paramètres'!$D:$D,0)),1,IF(INDEX('Paramètres'!$J:$J,MATCH($C928,'Paramètres'!$D:$D,0))="",1,INDEX('Paramètres'!$J:$J,MATCH($C928,'Paramètres'!$D:$D,0)))),2))</f>
        <v>3065.23</v>
      </c>
      <c r="L928" s="6" t="str">
        <f>IF($D928="","",IF($F928&lt;&gt;"",$F928,IF(ISNA(MATCH($D928,'Paramètres'!$M:$M,0)),"⚠ Type inconnu",IFERROR(INDEX('Paramètres'!$P:$P,MATCH($D928,'Paramètres'!$M:$M,0))&amp;"",""))))</f>
        <v>Crédit</v>
      </c>
      <c r="M928" s="6" t="str">
        <f>IF($D928="","",IF(ISNA(MATCH($D928,'Paramètres'!$M:$M,0)),"⚠ Type inconnu",IF($L928="Crédit","",IFERROR(INDEX('Paramètres'!$O:$O,MATCH($D928,'Paramètres'!$M:$M,0))&amp;"",""))))</f>
        <v/>
      </c>
      <c r="N928" s="6" t="str">
        <f>IF($D928="","",IFERROR(INDEX('Paramètres'!$Q:$Q,MATCH($D928,'Paramètres'!$M:$M,0))&amp;"",""))</f>
        <v/>
      </c>
      <c r="O928" s="6">
        <f>IF($A928="","",IF(OR($J928&lt;&gt;"x",$A928&lt;=FinReleve),1,0))</f>
        <v>1</v>
      </c>
      <c r="P928" s="6">
        <f>IF($D928="","",IF(AND($L928="Crédit",OR(IFERROR(INDEX('Paramètres'!$O:$O,MATCH($D928,'Paramètres'!$M:$M,0))&amp;"","")&lt;&gt;"",ISNUMBER(SEARCH("remboursement",IFERROR(INDEX('Paramètres'!$N:$N,MATCH($D928,'Paramètres'!$M:$M,0))&amp;"",""))))),1,0))</f>
        <v>0</v>
      </c>
      <c r="Q928" s="6">
        <f>IF($K928="","",IF(ISNUMBER(SEARCH("transfert-interne",IFERROR(INDEX('Paramètres'!$N:$N,MATCH($D928,'Paramètres'!$M:$M,0))&amp;"",""))),0,IF($L928="Débit",$K928,IF($P928=1,-$K928,0))))</f>
        <v>0</v>
      </c>
      <c r="R928" s="6">
        <f>IF($K928="","",IF($L928="Crédit",$K928,-$K928))</f>
        <v>3065.23</v>
      </c>
      <c r="S928" s="6" t="str">
        <f>IF($C928="","",IFERROR(INDEX('Paramètres'!$H:$H,MATCH($C928,'Paramètres'!$D:$D,0))&amp;"",""))</f>
        <v/>
      </c>
      <c r="T928" s="6">
        <f>IF($K928="","",IF($S928="",0,IF(ISNUMBER(SEARCH("apport-exterieur",IFERROR(INDEX('Paramètres'!$N:$N,MATCH($D928,'Paramètres'!$M:$M,0))&amp;"",""))),0,IF(OR(IFERROR(INDEX('Paramètres'!$I:$I,MATCH($C928,'Paramètres'!$D:$D,0))&amp;"","")="Les deux",IFERROR(INDEX('Paramètres'!$I:$I,MATCH($C928,'Paramètres'!$D:$D,0))&amp;"","")=IF($P928=1,"Débit",$L928)),-IF($P928=1,-$K928,$K928),0))))</f>
        <v>0</v>
      </c>
      <c r="U928" s="6">
        <f>IF($K928="","",IF(ISNUMBER(SEARCH("sortie-epargne",IFERROR(INDEX('Paramètres'!$N:$N,MATCH($D928,'Paramètres'!$M:$M,0))&amp;"",""))),$K928,0))</f>
        <v>0</v>
      </c>
      <c r="V928" s="6" t="str">
        <f>IF(AND($A928&lt;&gt;"",$O928=1,$L928="Débit",N($Q928)&gt;0,$A928&gt;=Visualisation!$B$1,$A928&lt;Visualisation!$D$1),MAX($V$1:V927)+1,"")</f>
        <v/>
      </c>
    </row>
    <row r="929" spans="1:22" x14ac:dyDescent="0.25">
      <c r="A929" s="9">
        <v>46200</v>
      </c>
      <c r="B929" s="4" t="s">
        <v>76</v>
      </c>
      <c r="C929" s="4" t="s">
        <v>60</v>
      </c>
      <c r="D929" s="4" t="s">
        <v>77</v>
      </c>
      <c r="E929" s="10">
        <v>49.44</v>
      </c>
      <c r="G929" s="4" t="s">
        <v>95</v>
      </c>
      <c r="H929" s="4"/>
      <c r="I929" s="4" t="s">
        <v>63</v>
      </c>
      <c r="K929" s="11">
        <f>IF($E929="","",ROUND($E929*IF(ISNA(MATCH($C929,'Paramètres'!$D:$D,0)),1,IF(INDEX('Paramètres'!$J:$J,MATCH($C929,'Paramètres'!$D:$D,0))="",1,INDEX('Paramètres'!$J:$J,MATCH($C929,'Paramètres'!$D:$D,0)))),2))</f>
        <v>24.72</v>
      </c>
      <c r="L929" s="6" t="str">
        <f>IF($D929="","",IF($F929&lt;&gt;"",$F929,IF(ISNA(MATCH($D929,'Paramètres'!$M:$M,0)),"⚠ Type inconnu",IFERROR(INDEX('Paramètres'!$P:$P,MATCH($D929,'Paramètres'!$M:$M,0))&amp;"",""))))</f>
        <v>Débit</v>
      </c>
      <c r="M929" s="6" t="str">
        <f>IF($D929="","",IF(ISNA(MATCH($D929,'Paramètres'!$M:$M,0)),"⚠ Type inconnu",IF($L929="Crédit","",IFERROR(INDEX('Paramètres'!$O:$O,MATCH($D929,'Paramètres'!$M:$M,0))&amp;"",""))))</f>
        <v>Dépense Courante</v>
      </c>
      <c r="N929" s="6" t="str">
        <f>IF($D929="","",IFERROR(INDEX('Paramètres'!$Q:$Q,MATCH($D929,'Paramètres'!$M:$M,0))&amp;"",""))</f>
        <v>Alimentation</v>
      </c>
      <c r="O929" s="6">
        <f>IF($A929="","",IF(OR($J929&lt;&gt;"x",$A929&lt;=FinReleve),1,0))</f>
        <v>1</v>
      </c>
      <c r="P929" s="6">
        <f>IF($D929="","",IF(AND($L929="Crédit",OR(IFERROR(INDEX('Paramètres'!$O:$O,MATCH($D929,'Paramètres'!$M:$M,0))&amp;"","")&lt;&gt;"",ISNUMBER(SEARCH("remboursement",IFERROR(INDEX('Paramètres'!$N:$N,MATCH($D929,'Paramètres'!$M:$M,0))&amp;"",""))))),1,0))</f>
        <v>0</v>
      </c>
      <c r="Q929" s="6">
        <f>IF($K929="","",IF(ISNUMBER(SEARCH("transfert-interne",IFERROR(INDEX('Paramètres'!$N:$N,MATCH($D929,'Paramètres'!$M:$M,0))&amp;"",""))),0,IF($L929="Débit",$K929,IF($P929=1,-$K929,0))))</f>
        <v>24.72</v>
      </c>
      <c r="R929" s="6">
        <f>IF($K929="","",IF($L929="Crédit",$K929,-$K929))</f>
        <v>-24.72</v>
      </c>
      <c r="S929" s="6" t="str">
        <f>IF($C929="","",IFERROR(INDEX('Paramètres'!$H:$H,MATCH($C929,'Paramètres'!$D:$D,0))&amp;"",""))</f>
        <v>Banque A - Courant</v>
      </c>
      <c r="T929" s="6">
        <f>IF($K929="","",IF($S929="",0,IF(ISNUMBER(SEARCH("apport-exterieur",IFERROR(INDEX('Paramètres'!$N:$N,MATCH($D929,'Paramètres'!$M:$M,0))&amp;"",""))),0,IF(OR(IFERROR(INDEX('Paramètres'!$I:$I,MATCH($C929,'Paramètres'!$D:$D,0))&amp;"","")="Les deux",IFERROR(INDEX('Paramètres'!$I:$I,MATCH($C929,'Paramètres'!$D:$D,0))&amp;"","")=IF($P929=1,"Débit",$L929)),-IF($P929=1,-$K929,$K929),0))))</f>
        <v>-24.72</v>
      </c>
      <c r="U929" s="6">
        <f>IF($K929="","",IF(ISNUMBER(SEARCH("sortie-epargne",IFERROR(INDEX('Paramètres'!$N:$N,MATCH($D929,'Paramètres'!$M:$M,0))&amp;"",""))),$K929,0))</f>
        <v>0</v>
      </c>
      <c r="V929" s="6" t="str">
        <f>IF(AND($A929&lt;&gt;"",$O929=1,$L929="Débit",N($Q929)&gt;0,$A929&gt;=Visualisation!$B$1,$A929&lt;Visualisation!$D$1),MAX($V$1:V928)+1,"")</f>
        <v/>
      </c>
    </row>
    <row r="930" spans="1:22" x14ac:dyDescent="0.25">
      <c r="A930" s="9">
        <v>46200</v>
      </c>
      <c r="B930" s="4" t="s">
        <v>119</v>
      </c>
      <c r="C930" s="4" t="s">
        <v>60</v>
      </c>
      <c r="D930" s="4" t="s">
        <v>119</v>
      </c>
      <c r="E930" s="10">
        <v>125.52</v>
      </c>
      <c r="G930" s="4" t="s">
        <v>119</v>
      </c>
      <c r="H930" s="4"/>
      <c r="I930" s="4" t="s">
        <v>79</v>
      </c>
      <c r="K930" s="11">
        <f>IF($E930="","",ROUND($E930*IF(ISNA(MATCH($C930,'Paramètres'!$D:$D,0)),1,IF(INDEX('Paramètres'!$J:$J,MATCH($C930,'Paramètres'!$D:$D,0))="",1,INDEX('Paramètres'!$J:$J,MATCH($C930,'Paramètres'!$D:$D,0)))),2))</f>
        <v>62.76</v>
      </c>
      <c r="L930" s="6" t="str">
        <f>IF($D930="","",IF($F930&lt;&gt;"",$F930,IF(ISNA(MATCH($D930,'Paramètres'!$M:$M,0)),"⚠ Type inconnu",IFERROR(INDEX('Paramètres'!$P:$P,MATCH($D930,'Paramètres'!$M:$M,0))&amp;"",""))))</f>
        <v>Débit</v>
      </c>
      <c r="M930" s="6" t="str">
        <f>IF($D930="","",IF(ISNA(MATCH($D930,'Paramètres'!$M:$M,0)),"⚠ Type inconnu",IF($L930="Crédit","",IFERROR(INDEX('Paramètres'!$O:$O,MATCH($D930,'Paramètres'!$M:$M,0))&amp;"",""))))</f>
        <v>Dépense Occasionnelle</v>
      </c>
      <c r="N930" s="6" t="str">
        <f>IF($D930="","",IFERROR(INDEX('Paramètres'!$Q:$Q,MATCH($D930,'Paramètres'!$M:$M,0))&amp;"",""))</f>
        <v>Alimentation</v>
      </c>
      <c r="O930" s="6">
        <f>IF($A930="","",IF(OR($J930&lt;&gt;"x",$A930&lt;=FinReleve),1,0))</f>
        <v>1</v>
      </c>
      <c r="P930" s="6">
        <f>IF($D930="","",IF(AND($L930="Crédit",OR(IFERROR(INDEX('Paramètres'!$O:$O,MATCH($D930,'Paramètres'!$M:$M,0))&amp;"","")&lt;&gt;"",ISNUMBER(SEARCH("remboursement",IFERROR(INDEX('Paramètres'!$N:$N,MATCH($D930,'Paramètres'!$M:$M,0))&amp;"",""))))),1,0))</f>
        <v>0</v>
      </c>
      <c r="Q930" s="6">
        <f>IF($K930="","",IF(ISNUMBER(SEARCH("transfert-interne",IFERROR(INDEX('Paramètres'!$N:$N,MATCH($D930,'Paramètres'!$M:$M,0))&amp;"",""))),0,IF($L930="Débit",$K930,IF($P930=1,-$K930,0))))</f>
        <v>62.76</v>
      </c>
      <c r="R930" s="6">
        <f>IF($K930="","",IF($L930="Crédit",$K930,-$K930))</f>
        <v>-62.76</v>
      </c>
      <c r="S930" s="6" t="str">
        <f>IF($C930="","",IFERROR(INDEX('Paramètres'!$H:$H,MATCH($C930,'Paramètres'!$D:$D,0))&amp;"",""))</f>
        <v>Banque A - Courant</v>
      </c>
      <c r="T930" s="6">
        <f>IF($K930="","",IF($S930="",0,IF(ISNUMBER(SEARCH("apport-exterieur",IFERROR(INDEX('Paramètres'!$N:$N,MATCH($D930,'Paramètres'!$M:$M,0))&amp;"",""))),0,IF(OR(IFERROR(INDEX('Paramètres'!$I:$I,MATCH($C930,'Paramètres'!$D:$D,0))&amp;"","")="Les deux",IFERROR(INDEX('Paramètres'!$I:$I,MATCH($C930,'Paramètres'!$D:$D,0))&amp;"","")=IF($P930=1,"Débit",$L930)),-IF($P930=1,-$K930,$K930),0))))</f>
        <v>-62.76</v>
      </c>
      <c r="U930" s="6">
        <f>IF($K930="","",IF(ISNUMBER(SEARCH("sortie-epargne",IFERROR(INDEX('Paramètres'!$N:$N,MATCH($D930,'Paramètres'!$M:$M,0))&amp;"",""))),$K930,0))</f>
        <v>0</v>
      </c>
      <c r="V930" s="6" t="str">
        <f>IF(AND($A930&lt;&gt;"",$O930=1,$L930="Débit",N($Q930)&gt;0,$A930&gt;=Visualisation!$B$1,$A930&lt;Visualisation!$D$1),MAX($V$1:V929)+1,"")</f>
        <v/>
      </c>
    </row>
    <row r="931" spans="1:22" x14ac:dyDescent="0.25">
      <c r="A931" s="9">
        <v>46201</v>
      </c>
      <c r="B931" s="4" t="s">
        <v>118</v>
      </c>
      <c r="C931" s="4" t="s">
        <v>75</v>
      </c>
      <c r="D931" s="4" t="s">
        <v>118</v>
      </c>
      <c r="E931" s="10">
        <v>3</v>
      </c>
      <c r="G931" s="4"/>
      <c r="H931" s="4"/>
      <c r="I931" s="4"/>
      <c r="K931" s="11">
        <f>IF($E931="","",ROUND($E931*IF(ISNA(MATCH($C931,'Paramètres'!$D:$D,0)),1,IF(INDEX('Paramètres'!$J:$J,MATCH($C931,'Paramètres'!$D:$D,0))="",1,INDEX('Paramètres'!$J:$J,MATCH($C931,'Paramètres'!$D:$D,0)))),2))</f>
        <v>3</v>
      </c>
      <c r="L931" s="6" t="str">
        <f>IF($D931="","",IF($F931&lt;&gt;"",$F931,IF(ISNA(MATCH($D931,'Paramètres'!$M:$M,0)),"⚠ Type inconnu",IFERROR(INDEX('Paramètres'!$P:$P,MATCH($D931,'Paramètres'!$M:$M,0))&amp;"",""))))</f>
        <v>Débit</v>
      </c>
      <c r="M931" s="6" t="str">
        <f>IF($D931="","",IF(ISNA(MATCH($D931,'Paramètres'!$M:$M,0)),"⚠ Type inconnu",IF($L931="Crédit","",IFERROR(INDEX('Paramètres'!$O:$O,MATCH($D931,'Paramètres'!$M:$M,0))&amp;"",""))))</f>
        <v>Dépense Fixe</v>
      </c>
      <c r="N931" s="6" t="str">
        <f>IF($D931="","",IFERROR(INDEX('Paramètres'!$Q:$Q,MATCH($D931,'Paramètres'!$M:$M,0))&amp;"",""))</f>
        <v>Banque</v>
      </c>
      <c r="O931" s="6">
        <f>IF($A931="","",IF(OR($J931&lt;&gt;"x",$A931&lt;=FinReleve),1,0))</f>
        <v>1</v>
      </c>
      <c r="P931" s="6">
        <f>IF($D931="","",IF(AND($L931="Crédit",OR(IFERROR(INDEX('Paramètres'!$O:$O,MATCH($D931,'Paramètres'!$M:$M,0))&amp;"","")&lt;&gt;"",ISNUMBER(SEARCH("remboursement",IFERROR(INDEX('Paramètres'!$N:$N,MATCH($D931,'Paramètres'!$M:$M,0))&amp;"",""))))),1,0))</f>
        <v>0</v>
      </c>
      <c r="Q931" s="6">
        <f>IF($K931="","",IF(ISNUMBER(SEARCH("transfert-interne",IFERROR(INDEX('Paramètres'!$N:$N,MATCH($D931,'Paramètres'!$M:$M,0))&amp;"",""))),0,IF($L931="Débit",$K931,IF($P931=1,-$K931,0))))</f>
        <v>3</v>
      </c>
      <c r="R931" s="6">
        <f>IF($K931="","",IF($L931="Crédit",$K931,-$K931))</f>
        <v>-3</v>
      </c>
      <c r="S931" s="6" t="str">
        <f>IF($C931="","",IFERROR(INDEX('Paramètres'!$H:$H,MATCH($C931,'Paramètres'!$D:$D,0))&amp;"",""))</f>
        <v/>
      </c>
      <c r="T931" s="6">
        <f>IF($K931="","",IF($S931="",0,IF(ISNUMBER(SEARCH("apport-exterieur",IFERROR(INDEX('Paramètres'!$N:$N,MATCH($D931,'Paramètres'!$M:$M,0))&amp;"",""))),0,IF(OR(IFERROR(INDEX('Paramètres'!$I:$I,MATCH($C931,'Paramètres'!$D:$D,0))&amp;"","")="Les deux",IFERROR(INDEX('Paramètres'!$I:$I,MATCH($C931,'Paramètres'!$D:$D,0))&amp;"","")=IF($P931=1,"Débit",$L931)),-IF($P931=1,-$K931,$K931),0))))</f>
        <v>0</v>
      </c>
      <c r="U931" s="6">
        <f>IF($K931="","",IF(ISNUMBER(SEARCH("sortie-epargne",IFERROR(INDEX('Paramètres'!$N:$N,MATCH($D931,'Paramètres'!$M:$M,0))&amp;"",""))),$K931,0))</f>
        <v>0</v>
      </c>
      <c r="V931" s="6" t="str">
        <f>IF(AND($A931&lt;&gt;"",$O931=1,$L931="Débit",N($Q931)&gt;0,$A931&gt;=Visualisation!$B$1,$A931&lt;Visualisation!$D$1),MAX($V$1:V930)+1,"")</f>
        <v/>
      </c>
    </row>
    <row r="932" spans="1:22" x14ac:dyDescent="0.25">
      <c r="A932" s="9">
        <v>46201</v>
      </c>
      <c r="B932" s="4" t="s">
        <v>76</v>
      </c>
      <c r="C932" s="4" t="s">
        <v>60</v>
      </c>
      <c r="D932" s="4" t="s">
        <v>77</v>
      </c>
      <c r="E932" s="10">
        <v>99.32</v>
      </c>
      <c r="G932" s="4" t="s">
        <v>95</v>
      </c>
      <c r="H932" s="4"/>
      <c r="I932" s="4" t="s">
        <v>93</v>
      </c>
      <c r="K932" s="11">
        <f>IF($E932="","",ROUND($E932*IF(ISNA(MATCH($C932,'Paramètres'!$D:$D,0)),1,IF(INDEX('Paramètres'!$J:$J,MATCH($C932,'Paramètres'!$D:$D,0))="",1,INDEX('Paramètres'!$J:$J,MATCH($C932,'Paramètres'!$D:$D,0)))),2))</f>
        <v>49.66</v>
      </c>
      <c r="L932" s="6" t="str">
        <f>IF($D932="","",IF($F932&lt;&gt;"",$F932,IF(ISNA(MATCH($D932,'Paramètres'!$M:$M,0)),"⚠ Type inconnu",IFERROR(INDEX('Paramètres'!$P:$P,MATCH($D932,'Paramètres'!$M:$M,0))&amp;"",""))))</f>
        <v>Débit</v>
      </c>
      <c r="M932" s="6" t="str">
        <f>IF($D932="","",IF(ISNA(MATCH($D932,'Paramètres'!$M:$M,0)),"⚠ Type inconnu",IF($L932="Crédit","",IFERROR(INDEX('Paramètres'!$O:$O,MATCH($D932,'Paramètres'!$M:$M,0))&amp;"",""))))</f>
        <v>Dépense Courante</v>
      </c>
      <c r="N932" s="6" t="str">
        <f>IF($D932="","",IFERROR(INDEX('Paramètres'!$Q:$Q,MATCH($D932,'Paramètres'!$M:$M,0))&amp;"",""))</f>
        <v>Alimentation</v>
      </c>
      <c r="O932" s="6">
        <f>IF($A932="","",IF(OR($J932&lt;&gt;"x",$A932&lt;=FinReleve),1,0))</f>
        <v>1</v>
      </c>
      <c r="P932" s="6">
        <f>IF($D932="","",IF(AND($L932="Crédit",OR(IFERROR(INDEX('Paramètres'!$O:$O,MATCH($D932,'Paramètres'!$M:$M,0))&amp;"","")&lt;&gt;"",ISNUMBER(SEARCH("remboursement",IFERROR(INDEX('Paramètres'!$N:$N,MATCH($D932,'Paramètres'!$M:$M,0))&amp;"",""))))),1,0))</f>
        <v>0</v>
      </c>
      <c r="Q932" s="6">
        <f>IF($K932="","",IF(ISNUMBER(SEARCH("transfert-interne",IFERROR(INDEX('Paramètres'!$N:$N,MATCH($D932,'Paramètres'!$M:$M,0))&amp;"",""))),0,IF($L932="Débit",$K932,IF($P932=1,-$K932,0))))</f>
        <v>49.66</v>
      </c>
      <c r="R932" s="6">
        <f>IF($K932="","",IF($L932="Crédit",$K932,-$K932))</f>
        <v>-49.66</v>
      </c>
      <c r="S932" s="6" t="str">
        <f>IF($C932="","",IFERROR(INDEX('Paramètres'!$H:$H,MATCH($C932,'Paramètres'!$D:$D,0))&amp;"",""))</f>
        <v>Banque A - Courant</v>
      </c>
      <c r="T932" s="6">
        <f>IF($K932="","",IF($S932="",0,IF(ISNUMBER(SEARCH("apport-exterieur",IFERROR(INDEX('Paramètres'!$N:$N,MATCH($D932,'Paramètres'!$M:$M,0))&amp;"",""))),0,IF(OR(IFERROR(INDEX('Paramètres'!$I:$I,MATCH($C932,'Paramètres'!$D:$D,0))&amp;"","")="Les deux",IFERROR(INDEX('Paramètres'!$I:$I,MATCH($C932,'Paramètres'!$D:$D,0))&amp;"","")=IF($P932=1,"Débit",$L932)),-IF($P932=1,-$K932,$K932),0))))</f>
        <v>-49.66</v>
      </c>
      <c r="U932" s="6">
        <f>IF($K932="","",IF(ISNUMBER(SEARCH("sortie-epargne",IFERROR(INDEX('Paramètres'!$N:$N,MATCH($D932,'Paramètres'!$M:$M,0))&amp;"",""))),$K932,0))</f>
        <v>0</v>
      </c>
      <c r="V932" s="6" t="str">
        <f>IF(AND($A932&lt;&gt;"",$O932=1,$L932="Débit",N($Q932)&gt;0,$A932&gt;=Visualisation!$B$1,$A932&lt;Visualisation!$D$1),MAX($V$1:V931)+1,"")</f>
        <v/>
      </c>
    </row>
    <row r="933" spans="1:22" x14ac:dyDescent="0.25">
      <c r="A933" s="9">
        <v>46201</v>
      </c>
      <c r="B933" s="4" t="s">
        <v>119</v>
      </c>
      <c r="C933" s="4" t="s">
        <v>60</v>
      </c>
      <c r="D933" s="4" t="s">
        <v>119</v>
      </c>
      <c r="E933" s="10">
        <v>86.96</v>
      </c>
      <c r="G933" s="4" t="s">
        <v>146</v>
      </c>
      <c r="H933" s="4"/>
      <c r="I933" s="4" t="s">
        <v>73</v>
      </c>
      <c r="K933" s="11">
        <f>IF($E933="","",ROUND($E933*IF(ISNA(MATCH($C933,'Paramètres'!$D:$D,0)),1,IF(INDEX('Paramètres'!$J:$J,MATCH($C933,'Paramètres'!$D:$D,0))="",1,INDEX('Paramètres'!$J:$J,MATCH($C933,'Paramètres'!$D:$D,0)))),2))</f>
        <v>43.48</v>
      </c>
      <c r="L933" s="6" t="str">
        <f>IF($D933="","",IF($F933&lt;&gt;"",$F933,IF(ISNA(MATCH($D933,'Paramètres'!$M:$M,0)),"⚠ Type inconnu",IFERROR(INDEX('Paramètres'!$P:$P,MATCH($D933,'Paramètres'!$M:$M,0))&amp;"",""))))</f>
        <v>Débit</v>
      </c>
      <c r="M933" s="6" t="str">
        <f>IF($D933="","",IF(ISNA(MATCH($D933,'Paramètres'!$M:$M,0)),"⚠ Type inconnu",IF($L933="Crédit","",IFERROR(INDEX('Paramètres'!$O:$O,MATCH($D933,'Paramètres'!$M:$M,0))&amp;"",""))))</f>
        <v>Dépense Occasionnelle</v>
      </c>
      <c r="N933" s="6" t="str">
        <f>IF($D933="","",IFERROR(INDEX('Paramètres'!$Q:$Q,MATCH($D933,'Paramètres'!$M:$M,0))&amp;"",""))</f>
        <v>Alimentation</v>
      </c>
      <c r="O933" s="6">
        <f>IF($A933="","",IF(OR($J933&lt;&gt;"x",$A933&lt;=FinReleve),1,0))</f>
        <v>1</v>
      </c>
      <c r="P933" s="6">
        <f>IF($D933="","",IF(AND($L933="Crédit",OR(IFERROR(INDEX('Paramètres'!$O:$O,MATCH($D933,'Paramètres'!$M:$M,0))&amp;"","")&lt;&gt;"",ISNUMBER(SEARCH("remboursement",IFERROR(INDEX('Paramètres'!$N:$N,MATCH($D933,'Paramètres'!$M:$M,0))&amp;"",""))))),1,0))</f>
        <v>0</v>
      </c>
      <c r="Q933" s="6">
        <f>IF($K933="","",IF(ISNUMBER(SEARCH("transfert-interne",IFERROR(INDEX('Paramètres'!$N:$N,MATCH($D933,'Paramètres'!$M:$M,0))&amp;"",""))),0,IF($L933="Débit",$K933,IF($P933=1,-$K933,0))))</f>
        <v>43.48</v>
      </c>
      <c r="R933" s="6">
        <f>IF($K933="","",IF($L933="Crédit",$K933,-$K933))</f>
        <v>-43.48</v>
      </c>
      <c r="S933" s="6" t="str">
        <f>IF($C933="","",IFERROR(INDEX('Paramètres'!$H:$H,MATCH($C933,'Paramètres'!$D:$D,0))&amp;"",""))</f>
        <v>Banque A - Courant</v>
      </c>
      <c r="T933" s="6">
        <f>IF($K933="","",IF($S933="",0,IF(ISNUMBER(SEARCH("apport-exterieur",IFERROR(INDEX('Paramètres'!$N:$N,MATCH($D933,'Paramètres'!$M:$M,0))&amp;"",""))),0,IF(OR(IFERROR(INDEX('Paramètres'!$I:$I,MATCH($C933,'Paramètres'!$D:$D,0))&amp;"","")="Les deux",IFERROR(INDEX('Paramètres'!$I:$I,MATCH($C933,'Paramètres'!$D:$D,0))&amp;"","")=IF($P933=1,"Débit",$L933)),-IF($P933=1,-$K933,$K933),0))))</f>
        <v>-43.48</v>
      </c>
      <c r="U933" s="6">
        <f>IF($K933="","",IF(ISNUMBER(SEARCH("sortie-epargne",IFERROR(INDEX('Paramètres'!$N:$N,MATCH($D933,'Paramètres'!$M:$M,0))&amp;"",""))),$K933,0))</f>
        <v>0</v>
      </c>
      <c r="V933" s="6" t="str">
        <f>IF(AND($A933&lt;&gt;"",$O933=1,$L933="Débit",N($Q933)&gt;0,$A933&gt;=Visualisation!$B$1,$A933&lt;Visualisation!$D$1),MAX($V$1:V932)+1,"")</f>
        <v/>
      </c>
    </row>
    <row r="934" spans="1:22" x14ac:dyDescent="0.25">
      <c r="A934" s="9">
        <v>46204</v>
      </c>
      <c r="B934" s="4" t="s">
        <v>121</v>
      </c>
      <c r="C934" s="4" t="s">
        <v>60</v>
      </c>
      <c r="D934" s="4" t="s">
        <v>121</v>
      </c>
      <c r="E934" s="10">
        <v>98.7</v>
      </c>
      <c r="G934" s="4" t="s">
        <v>146</v>
      </c>
      <c r="H934" s="4"/>
      <c r="I934" s="4" t="s">
        <v>79</v>
      </c>
      <c r="K934" s="11">
        <f>IF($E934="","",ROUND($E934*IF(ISNA(MATCH($C934,'Paramètres'!$D:$D,0)),1,IF(INDEX('Paramètres'!$J:$J,MATCH($C934,'Paramètres'!$D:$D,0))="",1,INDEX('Paramètres'!$J:$J,MATCH($C934,'Paramètres'!$D:$D,0)))),2))</f>
        <v>49.35</v>
      </c>
      <c r="L934" s="6" t="str">
        <f>IF($D934="","",IF($F934&lt;&gt;"",$F934,IF(ISNA(MATCH($D934,'Paramètres'!$M:$M,0)),"⚠ Type inconnu",IFERROR(INDEX('Paramètres'!$P:$P,MATCH($D934,'Paramètres'!$M:$M,0))&amp;"",""))))</f>
        <v>Débit</v>
      </c>
      <c r="M934" s="6" t="str">
        <f>IF($D934="","",IF(ISNA(MATCH($D934,'Paramètres'!$M:$M,0)),"⚠ Type inconnu",IF($L934="Crédit","",IFERROR(INDEX('Paramètres'!$O:$O,MATCH($D934,'Paramètres'!$M:$M,0))&amp;"",""))))</f>
        <v>Dépense Occasionnelle</v>
      </c>
      <c r="N934" s="6" t="str">
        <f>IF($D934="","",IFERROR(INDEX('Paramètres'!$Q:$Q,MATCH($D934,'Paramètres'!$M:$M,0))&amp;"",""))</f>
        <v>Autre</v>
      </c>
      <c r="O934" s="6">
        <f>IF($A934="","",IF(OR($J934&lt;&gt;"x",$A934&lt;=FinReleve),1,0))</f>
        <v>1</v>
      </c>
      <c r="P934" s="6">
        <f>IF($D934="","",IF(AND($L934="Crédit",OR(IFERROR(INDEX('Paramètres'!$O:$O,MATCH($D934,'Paramètres'!$M:$M,0))&amp;"","")&lt;&gt;"",ISNUMBER(SEARCH("remboursement",IFERROR(INDEX('Paramètres'!$N:$N,MATCH($D934,'Paramètres'!$M:$M,0))&amp;"",""))))),1,0))</f>
        <v>0</v>
      </c>
      <c r="Q934" s="6">
        <f>IF($K934="","",IF(ISNUMBER(SEARCH("transfert-interne",IFERROR(INDEX('Paramètres'!$N:$N,MATCH($D934,'Paramètres'!$M:$M,0))&amp;"",""))),0,IF($L934="Débit",$K934,IF($P934=1,-$K934,0))))</f>
        <v>49.35</v>
      </c>
      <c r="R934" s="6">
        <f>IF($K934="","",IF($L934="Crédit",$K934,-$K934))</f>
        <v>-49.35</v>
      </c>
      <c r="S934" s="6" t="str">
        <f>IF($C934="","",IFERROR(INDEX('Paramètres'!$H:$H,MATCH($C934,'Paramètres'!$D:$D,0))&amp;"",""))</f>
        <v>Banque A - Courant</v>
      </c>
      <c r="T934" s="6">
        <f>IF($K934="","",IF($S934="",0,IF(ISNUMBER(SEARCH("apport-exterieur",IFERROR(INDEX('Paramètres'!$N:$N,MATCH($D934,'Paramètres'!$M:$M,0))&amp;"",""))),0,IF(OR(IFERROR(INDEX('Paramètres'!$I:$I,MATCH($C934,'Paramètres'!$D:$D,0))&amp;"","")="Les deux",IFERROR(INDEX('Paramètres'!$I:$I,MATCH($C934,'Paramètres'!$D:$D,0))&amp;"","")=IF($P934=1,"Débit",$L934)),-IF($P934=1,-$K934,$K934),0))))</f>
        <v>-49.35</v>
      </c>
      <c r="U934" s="6">
        <f>IF($K934="","",IF(ISNUMBER(SEARCH("sortie-epargne",IFERROR(INDEX('Paramètres'!$N:$N,MATCH($D934,'Paramètres'!$M:$M,0))&amp;"",""))),$K934,0))</f>
        <v>0</v>
      </c>
      <c r="V934" s="6" t="str">
        <f>IF(AND($A934&lt;&gt;"",$O934=1,$L934="Débit",N($Q934)&gt;0,$A934&gt;=Visualisation!$B$1,$A934&lt;Visualisation!$D$1),MAX($V$1:V933)+1,"")</f>
        <v/>
      </c>
    </row>
    <row r="935" spans="1:22" x14ac:dyDescent="0.25">
      <c r="A935" s="9">
        <v>46205</v>
      </c>
      <c r="B935" s="4" t="s">
        <v>64</v>
      </c>
      <c r="C935" s="4" t="s">
        <v>65</v>
      </c>
      <c r="D935" s="4" t="s">
        <v>66</v>
      </c>
      <c r="E935" s="10">
        <v>1160</v>
      </c>
      <c r="G935" s="4"/>
      <c r="H935" s="4"/>
      <c r="I935" s="4"/>
      <c r="K935" s="11">
        <f>IF($E935="","",ROUND($E935*IF(ISNA(MATCH($C935,'Paramètres'!$D:$D,0)),1,IF(INDEX('Paramètres'!$J:$J,MATCH($C935,'Paramètres'!$D:$D,0))="",1,INDEX('Paramètres'!$J:$J,MATCH($C935,'Paramètres'!$D:$D,0)))),2))</f>
        <v>1160</v>
      </c>
      <c r="L935" s="6" t="str">
        <f>IF($D935="","",IF($F935&lt;&gt;"",$F935,IF(ISNA(MATCH($D935,'Paramètres'!$M:$M,0)),"⚠ Type inconnu",IFERROR(INDEX('Paramètres'!$P:$P,MATCH($D935,'Paramètres'!$M:$M,0))&amp;"",""))))</f>
        <v>Crédit</v>
      </c>
      <c r="M935" s="6" t="str">
        <f>IF($D935="","",IF(ISNA(MATCH($D935,'Paramètres'!$M:$M,0)),"⚠ Type inconnu",IF($L935="Crédit","",IFERROR(INDEX('Paramètres'!$O:$O,MATCH($D935,'Paramètres'!$M:$M,0))&amp;"",""))))</f>
        <v/>
      </c>
      <c r="N935" s="6" t="str">
        <f>IF($D935="","",IFERROR(INDEX('Paramètres'!$Q:$Q,MATCH($D935,'Paramètres'!$M:$M,0))&amp;"",""))</f>
        <v>Comptes Bancaires</v>
      </c>
      <c r="O935" s="6">
        <f>IF($A935="","",IF(OR($J935&lt;&gt;"x",$A935&lt;=FinReleve),1,0))</f>
        <v>1</v>
      </c>
      <c r="P935" s="6">
        <f>IF($D935="","",IF(AND($L935="Crédit",OR(IFERROR(INDEX('Paramètres'!$O:$O,MATCH($D935,'Paramètres'!$M:$M,0))&amp;"","")&lt;&gt;"",ISNUMBER(SEARCH("remboursement",IFERROR(INDEX('Paramètres'!$N:$N,MATCH($D935,'Paramètres'!$M:$M,0))&amp;"",""))))),1,0))</f>
        <v>0</v>
      </c>
      <c r="Q935" s="6">
        <f>IF($K935="","",IF(ISNUMBER(SEARCH("transfert-interne",IFERROR(INDEX('Paramètres'!$N:$N,MATCH($D935,'Paramètres'!$M:$M,0))&amp;"",""))),0,IF($L935="Débit",$K935,IF($P935=1,-$K935,0))))</f>
        <v>0</v>
      </c>
      <c r="R935" s="6">
        <f>IF($K935="","",IF($L935="Crédit",$K935,-$K935))</f>
        <v>1160</v>
      </c>
      <c r="S935" s="6" t="str">
        <f>IF($C935="","",IFERROR(INDEX('Paramètres'!$H:$H,MATCH($C935,'Paramètres'!$D:$D,0))&amp;"",""))</f>
        <v>Banque A - Courant</v>
      </c>
      <c r="T935" s="6">
        <f>IF($K935="","",IF($S935="",0,IF(ISNUMBER(SEARCH("apport-exterieur",IFERROR(INDEX('Paramètres'!$N:$N,MATCH($D935,'Paramètres'!$M:$M,0))&amp;"",""))),0,IF(OR(IFERROR(INDEX('Paramètres'!$I:$I,MATCH($C935,'Paramètres'!$D:$D,0))&amp;"","")="Les deux",IFERROR(INDEX('Paramètres'!$I:$I,MATCH($C935,'Paramètres'!$D:$D,0))&amp;"","")=IF($P935=1,"Débit",$L935)),-IF($P935=1,-$K935,$K935),0))))</f>
        <v>-1160</v>
      </c>
      <c r="U935" s="6">
        <f>IF($K935="","",IF(ISNUMBER(SEARCH("sortie-epargne",IFERROR(INDEX('Paramètres'!$N:$N,MATCH($D935,'Paramètres'!$M:$M,0))&amp;"",""))),$K935,0))</f>
        <v>0</v>
      </c>
      <c r="V935" s="6" t="str">
        <f>IF(AND($A935&lt;&gt;"",$O935=1,$L935="Débit",N($Q935)&gt;0,$A935&gt;=Visualisation!$B$1,$A935&lt;Visualisation!$D$1),MAX($V$1:V934)+1,"")</f>
        <v/>
      </c>
    </row>
    <row r="936" spans="1:22" x14ac:dyDescent="0.25">
      <c r="A936" s="9">
        <v>46205</v>
      </c>
      <c r="B936" s="4" t="s">
        <v>64</v>
      </c>
      <c r="C936" s="4" t="s">
        <v>67</v>
      </c>
      <c r="D936" s="4" t="s">
        <v>68</v>
      </c>
      <c r="E936" s="10">
        <v>600</v>
      </c>
      <c r="G936" s="4"/>
      <c r="H936" s="4"/>
      <c r="I936" s="4"/>
      <c r="K936" s="11">
        <f>IF($E936="","",ROUND($E936*IF(ISNA(MATCH($C936,'Paramètres'!$D:$D,0)),1,IF(INDEX('Paramètres'!$J:$J,MATCH($C936,'Paramètres'!$D:$D,0))="",1,INDEX('Paramètres'!$J:$J,MATCH($C936,'Paramètres'!$D:$D,0)))),2))</f>
        <v>300</v>
      </c>
      <c r="L936" s="6" t="str">
        <f>IF($D936="","",IF($F936&lt;&gt;"",$F936,IF(ISNA(MATCH($D936,'Paramètres'!$M:$M,0)),"⚠ Type inconnu",IFERROR(INDEX('Paramètres'!$P:$P,MATCH($D936,'Paramètres'!$M:$M,0))&amp;"",""))))</f>
        <v>Crédit</v>
      </c>
      <c r="M936" s="6" t="str">
        <f>IF($D936="","",IF(ISNA(MATCH($D936,'Paramètres'!$M:$M,0)),"⚠ Type inconnu",IF($L936="Crédit","",IFERROR(INDEX('Paramètres'!$O:$O,MATCH($D936,'Paramètres'!$M:$M,0))&amp;"",""))))</f>
        <v/>
      </c>
      <c r="N936" s="6" t="str">
        <f>IF($D936="","",IFERROR(INDEX('Paramètres'!$Q:$Q,MATCH($D936,'Paramètres'!$M:$M,0))&amp;"",""))</f>
        <v>Comptes Bancaires</v>
      </c>
      <c r="O936" s="6">
        <f>IF($A936="","",IF(OR($J936&lt;&gt;"x",$A936&lt;=FinReleve),1,0))</f>
        <v>1</v>
      </c>
      <c r="P936" s="6">
        <f>IF($D936="","",IF(AND($L936="Crédit",OR(IFERROR(INDEX('Paramètres'!$O:$O,MATCH($D936,'Paramètres'!$M:$M,0))&amp;"","")&lt;&gt;"",ISNUMBER(SEARCH("remboursement",IFERROR(INDEX('Paramètres'!$N:$N,MATCH($D936,'Paramètres'!$M:$M,0))&amp;"",""))))),1,0))</f>
        <v>0</v>
      </c>
      <c r="Q936" s="6">
        <f>IF($K936="","",IF(ISNUMBER(SEARCH("transfert-interne",IFERROR(INDEX('Paramètres'!$N:$N,MATCH($D936,'Paramètres'!$M:$M,0))&amp;"",""))),0,IF($L936="Débit",$K936,IF($P936=1,-$K936,0))))</f>
        <v>0</v>
      </c>
      <c r="R936" s="6">
        <f>IF($K936="","",IF($L936="Crédit",$K936,-$K936))</f>
        <v>300</v>
      </c>
      <c r="S936" s="6" t="str">
        <f>IF($C936="","",IFERROR(INDEX('Paramètres'!$H:$H,MATCH($C936,'Paramètres'!$D:$D,0))&amp;"",""))</f>
        <v>Banque A - Courant</v>
      </c>
      <c r="T936" s="6">
        <f>IF($K936="","",IF($S936="",0,IF(ISNUMBER(SEARCH("apport-exterieur",IFERROR(INDEX('Paramètres'!$N:$N,MATCH($D936,'Paramètres'!$M:$M,0))&amp;"",""))),0,IF(OR(IFERROR(INDEX('Paramètres'!$I:$I,MATCH($C936,'Paramètres'!$D:$D,0))&amp;"","")="Les deux",IFERROR(INDEX('Paramètres'!$I:$I,MATCH($C936,'Paramètres'!$D:$D,0))&amp;"","")=IF($P936=1,"Débit",$L936)),-IF($P936=1,-$K936,$K936),0))))</f>
        <v>-300</v>
      </c>
      <c r="U936" s="6">
        <f>IF($K936="","",IF(ISNUMBER(SEARCH("sortie-epargne",IFERROR(INDEX('Paramètres'!$N:$N,MATCH($D936,'Paramètres'!$M:$M,0))&amp;"",""))),$K936,0))</f>
        <v>0</v>
      </c>
      <c r="V936" s="6" t="str">
        <f>IF(AND($A936&lt;&gt;"",$O936=1,$L936="Débit",N($Q936)&gt;0,$A936&gt;=Visualisation!$B$1,$A936&lt;Visualisation!$D$1),MAX($V$1:V935)+1,"")</f>
        <v/>
      </c>
    </row>
    <row r="937" spans="1:22" x14ac:dyDescent="0.25">
      <c r="A937" s="9">
        <v>46206</v>
      </c>
      <c r="B937" s="4" t="s">
        <v>74</v>
      </c>
      <c r="C937" s="4" t="s">
        <v>75</v>
      </c>
      <c r="D937" s="4" t="s">
        <v>74</v>
      </c>
      <c r="E937" s="10">
        <v>88.8</v>
      </c>
      <c r="G937" s="4"/>
      <c r="H937" s="4"/>
      <c r="I937" s="4"/>
      <c r="K937" s="11">
        <f>IF($E937="","",ROUND($E937*IF(ISNA(MATCH($C937,'Paramètres'!$D:$D,0)),1,IF(INDEX('Paramètres'!$J:$J,MATCH($C937,'Paramètres'!$D:$D,0))="",1,INDEX('Paramètres'!$J:$J,MATCH($C937,'Paramètres'!$D:$D,0)))),2))</f>
        <v>88.8</v>
      </c>
      <c r="L937" s="6" t="str">
        <f>IF($D937="","",IF($F937&lt;&gt;"",$F937,IF(ISNA(MATCH($D937,'Paramètres'!$M:$M,0)),"⚠ Type inconnu",IFERROR(INDEX('Paramètres'!$P:$P,MATCH($D937,'Paramètres'!$M:$M,0))&amp;"",""))))</f>
        <v>Débit</v>
      </c>
      <c r="M937" s="6" t="str">
        <f>IF($D937="","",IF(ISNA(MATCH($D937,'Paramètres'!$M:$M,0)),"⚠ Type inconnu",IF($L937="Crédit","",IFERROR(INDEX('Paramètres'!$O:$O,MATCH($D937,'Paramètres'!$M:$M,0))&amp;"",""))))</f>
        <v>Dépense Fixe</v>
      </c>
      <c r="N937" s="6" t="str">
        <f>IF($D937="","",IFERROR(INDEX('Paramètres'!$Q:$Q,MATCH($D937,'Paramètres'!$M:$M,0))&amp;"",""))</f>
        <v>Transport</v>
      </c>
      <c r="O937" s="6">
        <f>IF($A937="","",IF(OR($J937&lt;&gt;"x",$A937&lt;=FinReleve),1,0))</f>
        <v>1</v>
      </c>
      <c r="P937" s="6">
        <f>IF($D937="","",IF(AND($L937="Crédit",OR(IFERROR(INDEX('Paramètres'!$O:$O,MATCH($D937,'Paramètres'!$M:$M,0))&amp;"","")&lt;&gt;"",ISNUMBER(SEARCH("remboursement",IFERROR(INDEX('Paramètres'!$N:$N,MATCH($D937,'Paramètres'!$M:$M,0))&amp;"",""))))),1,0))</f>
        <v>0</v>
      </c>
      <c r="Q937" s="6">
        <f>IF($K937="","",IF(ISNUMBER(SEARCH("transfert-interne",IFERROR(INDEX('Paramètres'!$N:$N,MATCH($D937,'Paramètres'!$M:$M,0))&amp;"",""))),0,IF($L937="Débit",$K937,IF($P937=1,-$K937,0))))</f>
        <v>88.8</v>
      </c>
      <c r="R937" s="6">
        <f>IF($K937="","",IF($L937="Crédit",$K937,-$K937))</f>
        <v>-88.8</v>
      </c>
      <c r="S937" s="6" t="str">
        <f>IF($C937="","",IFERROR(INDEX('Paramètres'!$H:$H,MATCH($C937,'Paramètres'!$D:$D,0))&amp;"",""))</f>
        <v/>
      </c>
      <c r="T937" s="6">
        <f>IF($K937="","",IF($S937="",0,IF(ISNUMBER(SEARCH("apport-exterieur",IFERROR(INDEX('Paramètres'!$N:$N,MATCH($D937,'Paramètres'!$M:$M,0))&amp;"",""))),0,IF(OR(IFERROR(INDEX('Paramètres'!$I:$I,MATCH($C937,'Paramètres'!$D:$D,0))&amp;"","")="Les deux",IFERROR(INDEX('Paramètres'!$I:$I,MATCH($C937,'Paramètres'!$D:$D,0))&amp;"","")=IF($P937=1,"Débit",$L937)),-IF($P937=1,-$K937,$K937),0))))</f>
        <v>0</v>
      </c>
      <c r="U937" s="6">
        <f>IF($K937="","",IF(ISNUMBER(SEARCH("sortie-epargne",IFERROR(INDEX('Paramètres'!$N:$N,MATCH($D937,'Paramètres'!$M:$M,0))&amp;"",""))),$K937,0))</f>
        <v>0</v>
      </c>
      <c r="V937" s="6" t="str">
        <f>IF(AND($A937&lt;&gt;"",$O937=1,$L937="Débit",N($Q937)&gt;0,$A937&gt;=Visualisation!$B$1,$A937&lt;Visualisation!$D$1),MAX($V$1:V936)+1,"")</f>
        <v/>
      </c>
    </row>
    <row r="938" spans="1:22" x14ac:dyDescent="0.25">
      <c r="A938" s="9">
        <v>46207</v>
      </c>
      <c r="B938" s="4" t="s">
        <v>76</v>
      </c>
      <c r="C938" s="4" t="s">
        <v>60</v>
      </c>
      <c r="D938" s="4" t="s">
        <v>77</v>
      </c>
      <c r="E938" s="10">
        <v>49.88</v>
      </c>
      <c r="G938" s="4" t="s">
        <v>78</v>
      </c>
      <c r="H938" s="4" t="s">
        <v>148</v>
      </c>
      <c r="I938" s="4"/>
      <c r="K938" s="11">
        <f>IF($E938="","",ROUND($E938*IF(ISNA(MATCH($C938,'Paramètres'!$D:$D,0)),1,IF(INDEX('Paramètres'!$J:$J,MATCH($C938,'Paramètres'!$D:$D,0))="",1,INDEX('Paramètres'!$J:$J,MATCH($C938,'Paramètres'!$D:$D,0)))),2))</f>
        <v>24.94</v>
      </c>
      <c r="L938" s="6" t="str">
        <f>IF($D938="","",IF($F938&lt;&gt;"",$F938,IF(ISNA(MATCH($D938,'Paramètres'!$M:$M,0)),"⚠ Type inconnu",IFERROR(INDEX('Paramètres'!$P:$P,MATCH($D938,'Paramètres'!$M:$M,0))&amp;"",""))))</f>
        <v>Débit</v>
      </c>
      <c r="M938" s="6" t="str">
        <f>IF($D938="","",IF(ISNA(MATCH($D938,'Paramètres'!$M:$M,0)),"⚠ Type inconnu",IF($L938="Crédit","",IFERROR(INDEX('Paramètres'!$O:$O,MATCH($D938,'Paramètres'!$M:$M,0))&amp;"",""))))</f>
        <v>Dépense Courante</v>
      </c>
      <c r="N938" s="6" t="str">
        <f>IF($D938="","",IFERROR(INDEX('Paramètres'!$Q:$Q,MATCH($D938,'Paramètres'!$M:$M,0))&amp;"",""))</f>
        <v>Alimentation</v>
      </c>
      <c r="O938" s="6">
        <f>IF($A938="","",IF(OR($J938&lt;&gt;"x",$A938&lt;=FinReleve),1,0))</f>
        <v>1</v>
      </c>
      <c r="P938" s="6">
        <f>IF($D938="","",IF(AND($L938="Crédit",OR(IFERROR(INDEX('Paramètres'!$O:$O,MATCH($D938,'Paramètres'!$M:$M,0))&amp;"","")&lt;&gt;"",ISNUMBER(SEARCH("remboursement",IFERROR(INDEX('Paramètres'!$N:$N,MATCH($D938,'Paramètres'!$M:$M,0))&amp;"",""))))),1,0))</f>
        <v>0</v>
      </c>
      <c r="Q938" s="6">
        <f>IF($K938="","",IF(ISNUMBER(SEARCH("transfert-interne",IFERROR(INDEX('Paramètres'!$N:$N,MATCH($D938,'Paramètres'!$M:$M,0))&amp;"",""))),0,IF($L938="Débit",$K938,IF($P938=1,-$K938,0))))</f>
        <v>24.94</v>
      </c>
      <c r="R938" s="6">
        <f>IF($K938="","",IF($L938="Crédit",$K938,-$K938))</f>
        <v>-24.94</v>
      </c>
      <c r="S938" s="6" t="str">
        <f>IF($C938="","",IFERROR(INDEX('Paramètres'!$H:$H,MATCH($C938,'Paramètres'!$D:$D,0))&amp;"",""))</f>
        <v>Banque A - Courant</v>
      </c>
      <c r="T938" s="6">
        <f>IF($K938="","",IF($S938="",0,IF(ISNUMBER(SEARCH("apport-exterieur",IFERROR(INDEX('Paramètres'!$N:$N,MATCH($D938,'Paramètres'!$M:$M,0))&amp;"",""))),0,IF(OR(IFERROR(INDEX('Paramètres'!$I:$I,MATCH($C938,'Paramètres'!$D:$D,0))&amp;"","")="Les deux",IFERROR(INDEX('Paramètres'!$I:$I,MATCH($C938,'Paramètres'!$D:$D,0))&amp;"","")=IF($P938=1,"Débit",$L938)),-IF($P938=1,-$K938,$K938),0))))</f>
        <v>-24.94</v>
      </c>
      <c r="U938" s="6">
        <f>IF($K938="","",IF(ISNUMBER(SEARCH("sortie-epargne",IFERROR(INDEX('Paramètres'!$N:$N,MATCH($D938,'Paramètres'!$M:$M,0))&amp;"",""))),$K938,0))</f>
        <v>0</v>
      </c>
      <c r="V938" s="6" t="str">
        <f>IF(AND($A938&lt;&gt;"",$O938=1,$L938="Débit",N($Q938)&gt;0,$A938&gt;=Visualisation!$B$1,$A938&lt;Visualisation!$D$1),MAX($V$1:V937)+1,"")</f>
        <v/>
      </c>
    </row>
    <row r="939" spans="1:22" x14ac:dyDescent="0.25">
      <c r="A939" s="9">
        <v>46207</v>
      </c>
      <c r="B939" s="4" t="s">
        <v>76</v>
      </c>
      <c r="C939" s="4" t="s">
        <v>107</v>
      </c>
      <c r="D939" s="4" t="s">
        <v>108</v>
      </c>
      <c r="E939" s="10">
        <v>34.1</v>
      </c>
      <c r="G939" s="4" t="s">
        <v>127</v>
      </c>
      <c r="H939" s="4"/>
      <c r="I939" s="4" t="s">
        <v>63</v>
      </c>
      <c r="K939" s="11">
        <f>IF($E939="","",ROUND($E939*IF(ISNA(MATCH($C939,'Paramètres'!$D:$D,0)),1,IF(INDEX('Paramètres'!$J:$J,MATCH($C939,'Paramètres'!$D:$D,0))="",1,INDEX('Paramètres'!$J:$J,MATCH($C939,'Paramètres'!$D:$D,0)))),2))</f>
        <v>34.1</v>
      </c>
      <c r="L939" s="6" t="str">
        <f>IF($D939="","",IF($F939&lt;&gt;"",$F939,IF(ISNA(MATCH($D939,'Paramètres'!$M:$M,0)),"⚠ Type inconnu",IFERROR(INDEX('Paramètres'!$P:$P,MATCH($D939,'Paramètres'!$M:$M,0))&amp;"",""))))</f>
        <v>Débit</v>
      </c>
      <c r="M939" s="6" t="str">
        <f>IF($D939="","",IF(ISNA(MATCH($D939,'Paramètres'!$M:$M,0)),"⚠ Type inconnu",IF($L939="Crédit","",IFERROR(INDEX('Paramètres'!$O:$O,MATCH($D939,'Paramètres'!$M:$M,0))&amp;"",""))))</f>
        <v>Dépense Occasionnelle</v>
      </c>
      <c r="N939" s="6" t="str">
        <f>IF($D939="","",IFERROR(INDEX('Paramètres'!$Q:$Q,MATCH($D939,'Paramètres'!$M:$M,0))&amp;"",""))</f>
        <v>Autre</v>
      </c>
      <c r="O939" s="6">
        <f>IF($A939="","",IF(OR($J939&lt;&gt;"x",$A939&lt;=FinReleve),1,0))</f>
        <v>1</v>
      </c>
      <c r="P939" s="6">
        <f>IF($D939="","",IF(AND($L939="Crédit",OR(IFERROR(INDEX('Paramètres'!$O:$O,MATCH($D939,'Paramètres'!$M:$M,0))&amp;"","")&lt;&gt;"",ISNUMBER(SEARCH("remboursement",IFERROR(INDEX('Paramètres'!$N:$N,MATCH($D939,'Paramètres'!$M:$M,0))&amp;"",""))))),1,0))</f>
        <v>0</v>
      </c>
      <c r="Q939" s="6">
        <f>IF($K939="","",IF(ISNUMBER(SEARCH("transfert-interne",IFERROR(INDEX('Paramètres'!$N:$N,MATCH($D939,'Paramètres'!$M:$M,0))&amp;"",""))),0,IF($L939="Débit",$K939,IF($P939=1,-$K939,0))))</f>
        <v>34.1</v>
      </c>
      <c r="R939" s="6">
        <f>IF($K939="","",IF($L939="Crédit",$K939,-$K939))</f>
        <v>-34.1</v>
      </c>
      <c r="S939" s="6" t="str">
        <f>IF($C939="","",IFERROR(INDEX('Paramètres'!$H:$H,MATCH($C939,'Paramètres'!$D:$D,0))&amp;"",""))</f>
        <v/>
      </c>
      <c r="T939" s="6">
        <f>IF($K939="","",IF($S939="",0,IF(ISNUMBER(SEARCH("apport-exterieur",IFERROR(INDEX('Paramètres'!$N:$N,MATCH($D939,'Paramètres'!$M:$M,0))&amp;"",""))),0,IF(OR(IFERROR(INDEX('Paramètres'!$I:$I,MATCH($C939,'Paramètres'!$D:$D,0))&amp;"","")="Les deux",IFERROR(INDEX('Paramètres'!$I:$I,MATCH($C939,'Paramètres'!$D:$D,0))&amp;"","")=IF($P939=1,"Débit",$L939)),-IF($P939=1,-$K939,$K939),0))))</f>
        <v>0</v>
      </c>
      <c r="U939" s="6">
        <f>IF($K939="","",IF(ISNUMBER(SEARCH("sortie-epargne",IFERROR(INDEX('Paramètres'!$N:$N,MATCH($D939,'Paramètres'!$M:$M,0))&amp;"",""))),$K939,0))</f>
        <v>0</v>
      </c>
      <c r="V939" s="6" t="str">
        <f>IF(AND($A939&lt;&gt;"",$O939=1,$L939="Débit",N($Q939)&gt;0,$A939&gt;=Visualisation!$B$1,$A939&lt;Visualisation!$D$1),MAX($V$1:V938)+1,"")</f>
        <v/>
      </c>
    </row>
    <row r="940" spans="1:22" x14ac:dyDescent="0.25">
      <c r="A940" s="9">
        <v>46207</v>
      </c>
      <c r="B940" s="4" t="s">
        <v>80</v>
      </c>
      <c r="C940" s="4" t="s">
        <v>70</v>
      </c>
      <c r="D940" s="4" t="s">
        <v>81</v>
      </c>
      <c r="E940" s="10">
        <v>113.85</v>
      </c>
      <c r="G940" s="4"/>
      <c r="H940" s="4"/>
      <c r="I940" s="4"/>
      <c r="K940" s="11">
        <f>IF($E940="","",ROUND($E940*IF(ISNA(MATCH($C940,'Paramètres'!$D:$D,0)),1,IF(INDEX('Paramètres'!$J:$J,MATCH($C940,'Paramètres'!$D:$D,0))="",1,INDEX('Paramètres'!$J:$J,MATCH($C940,'Paramètres'!$D:$D,0)))),2))</f>
        <v>113.85</v>
      </c>
      <c r="L940" s="6" t="str">
        <f>IF($D940="","",IF($F940&lt;&gt;"",$F940,IF(ISNA(MATCH($D940,'Paramètres'!$M:$M,0)),"⚠ Type inconnu",IFERROR(INDEX('Paramètres'!$P:$P,MATCH($D940,'Paramètres'!$M:$M,0))&amp;"",""))))</f>
        <v>Crédit</v>
      </c>
      <c r="M940" s="6" t="str">
        <f>IF($D940="","",IF(ISNA(MATCH($D940,'Paramètres'!$M:$M,0)),"⚠ Type inconnu",IF($L940="Crédit","",IFERROR(INDEX('Paramètres'!$O:$O,MATCH($D940,'Paramètres'!$M:$M,0))&amp;"",""))))</f>
        <v/>
      </c>
      <c r="N940" s="6" t="str">
        <f>IF($D940="","",IFERROR(INDEX('Paramètres'!$Q:$Q,MATCH($D940,'Paramètres'!$M:$M,0))&amp;"",""))</f>
        <v>Comptes Bancaires</v>
      </c>
      <c r="O940" s="6">
        <f>IF($A940="","",IF(OR($J940&lt;&gt;"x",$A940&lt;=FinReleve),1,0))</f>
        <v>1</v>
      </c>
      <c r="P940" s="6">
        <f>IF($D940="","",IF(AND($L940="Crédit",OR(IFERROR(INDEX('Paramètres'!$O:$O,MATCH($D940,'Paramètres'!$M:$M,0))&amp;"","")&lt;&gt;"",ISNUMBER(SEARCH("remboursement",IFERROR(INDEX('Paramètres'!$N:$N,MATCH($D940,'Paramètres'!$M:$M,0))&amp;"",""))))),1,0))</f>
        <v>0</v>
      </c>
      <c r="Q940" s="6">
        <f>IF($K940="","",IF(ISNUMBER(SEARCH("transfert-interne",IFERROR(INDEX('Paramètres'!$N:$N,MATCH($D940,'Paramètres'!$M:$M,0))&amp;"",""))),0,IF($L940="Débit",$K940,IF($P940=1,-$K940,0))))</f>
        <v>0</v>
      </c>
      <c r="R940" s="6">
        <f>IF($K940="","",IF($L940="Crédit",$K940,-$K940))</f>
        <v>113.85</v>
      </c>
      <c r="S940" s="6" t="str">
        <f>IF($C940="","",IFERROR(INDEX('Paramètres'!$H:$H,MATCH($C940,'Paramètres'!$D:$D,0))&amp;"",""))</f>
        <v/>
      </c>
      <c r="T940" s="6">
        <f>IF($K940="","",IF($S940="",0,IF(ISNUMBER(SEARCH("apport-exterieur",IFERROR(INDEX('Paramètres'!$N:$N,MATCH($D940,'Paramètres'!$M:$M,0))&amp;"",""))),0,IF(OR(IFERROR(INDEX('Paramètres'!$I:$I,MATCH($C940,'Paramètres'!$D:$D,0))&amp;"","")="Les deux",IFERROR(INDEX('Paramètres'!$I:$I,MATCH($C940,'Paramètres'!$D:$D,0))&amp;"","")=IF($P940=1,"Débit",$L940)),-IF($P940=1,-$K940,$K940),0))))</f>
        <v>0</v>
      </c>
      <c r="U940" s="6">
        <f>IF($K940="","",IF(ISNUMBER(SEARCH("sortie-epargne",IFERROR(INDEX('Paramètres'!$N:$N,MATCH($D940,'Paramètres'!$M:$M,0))&amp;"",""))),$K940,0))</f>
        <v>0</v>
      </c>
      <c r="V940" s="6" t="str">
        <f>IF(AND($A940&lt;&gt;"",$O940=1,$L940="Débit",N($Q940)&gt;0,$A940&gt;=Visualisation!$B$1,$A940&lt;Visualisation!$D$1),MAX($V$1:V939)+1,"")</f>
        <v/>
      </c>
    </row>
    <row r="941" spans="1:22" x14ac:dyDescent="0.25">
      <c r="A941" s="9">
        <v>46208</v>
      </c>
      <c r="B941" s="4" t="s">
        <v>82</v>
      </c>
      <c r="C941" s="4" t="s">
        <v>65</v>
      </c>
      <c r="D941" s="4" t="s">
        <v>83</v>
      </c>
      <c r="E941" s="10">
        <v>667.16</v>
      </c>
      <c r="G941" s="4" t="s">
        <v>84</v>
      </c>
      <c r="H941" s="4"/>
      <c r="I941" s="4"/>
      <c r="K941" s="11">
        <f>IF($E941="","",ROUND($E941*IF(ISNA(MATCH($C941,'Paramètres'!$D:$D,0)),1,IF(INDEX('Paramètres'!$J:$J,MATCH($C941,'Paramètres'!$D:$D,0))="",1,INDEX('Paramètres'!$J:$J,MATCH($C941,'Paramètres'!$D:$D,0)))),2))</f>
        <v>667.16</v>
      </c>
      <c r="L941" s="6" t="str">
        <f>IF($D941="","",IF($F941&lt;&gt;"",$F941,IF(ISNA(MATCH($D941,'Paramètres'!$M:$M,0)),"⚠ Type inconnu",IFERROR(INDEX('Paramètres'!$P:$P,MATCH($D941,'Paramètres'!$M:$M,0))&amp;"",""))))</f>
        <v>Débit</v>
      </c>
      <c r="M941" s="6" t="str">
        <f>IF($D941="","",IF(ISNA(MATCH($D941,'Paramètres'!$M:$M,0)),"⚠ Type inconnu",IF($L941="Crédit","",IFERROR(INDEX('Paramètres'!$O:$O,MATCH($D941,'Paramètres'!$M:$M,0))&amp;"",""))))</f>
        <v/>
      </c>
      <c r="N941" s="6" t="str">
        <f>IF($D941="","",IFERROR(INDEX('Paramètres'!$Q:$Q,MATCH($D941,'Paramètres'!$M:$M,0))&amp;"",""))</f>
        <v>Immobilier</v>
      </c>
      <c r="O941" s="6">
        <f>IF($A941="","",IF(OR($J941&lt;&gt;"x",$A941&lt;=FinReleve),1,0))</f>
        <v>1</v>
      </c>
      <c r="P941" s="6">
        <f>IF($D941="","",IF(AND($L941="Crédit",OR(IFERROR(INDEX('Paramètres'!$O:$O,MATCH($D941,'Paramètres'!$M:$M,0))&amp;"","")&lt;&gt;"",ISNUMBER(SEARCH("remboursement",IFERROR(INDEX('Paramètres'!$N:$N,MATCH($D941,'Paramètres'!$M:$M,0))&amp;"",""))))),1,0))</f>
        <v>0</v>
      </c>
      <c r="Q941" s="6">
        <f>IF($K941="","",IF(ISNUMBER(SEARCH("transfert-interne",IFERROR(INDEX('Paramètres'!$N:$N,MATCH($D941,'Paramètres'!$M:$M,0))&amp;"",""))),0,IF($L941="Débit",$K941,IF($P941=1,-$K941,0))))</f>
        <v>667.16</v>
      </c>
      <c r="R941" s="6">
        <f>IF($K941="","",IF($L941="Crédit",$K941,-$K941))</f>
        <v>-667.16</v>
      </c>
      <c r="S941" s="6" t="str">
        <f>IF($C941="","",IFERROR(INDEX('Paramètres'!$H:$H,MATCH($C941,'Paramètres'!$D:$D,0))&amp;"",""))</f>
        <v>Banque A - Courant</v>
      </c>
      <c r="T941" s="6">
        <f>IF($K941="","",IF($S941="",0,IF(ISNUMBER(SEARCH("apport-exterieur",IFERROR(INDEX('Paramètres'!$N:$N,MATCH($D941,'Paramètres'!$M:$M,0))&amp;"",""))),0,IF(OR(IFERROR(INDEX('Paramètres'!$I:$I,MATCH($C941,'Paramètres'!$D:$D,0))&amp;"","")="Les deux",IFERROR(INDEX('Paramètres'!$I:$I,MATCH($C941,'Paramètres'!$D:$D,0))&amp;"","")=IF($P941=1,"Débit",$L941)),-IF($P941=1,-$K941,$K941),0))))</f>
        <v>0</v>
      </c>
      <c r="U941" s="6">
        <f>IF($K941="","",IF(ISNUMBER(SEARCH("sortie-epargne",IFERROR(INDEX('Paramètres'!$N:$N,MATCH($D941,'Paramètres'!$M:$M,0))&amp;"",""))),$K941,0))</f>
        <v>0</v>
      </c>
      <c r="V941" s="6" t="str">
        <f>IF(AND($A941&lt;&gt;"",$O941=1,$L941="Débit",N($Q941)&gt;0,$A941&gt;=Visualisation!$B$1,$A941&lt;Visualisation!$D$1),MAX($V$1:V940)+1,"")</f>
        <v/>
      </c>
    </row>
    <row r="942" spans="1:22" x14ac:dyDescent="0.25">
      <c r="A942" s="9">
        <v>46208</v>
      </c>
      <c r="B942" s="4" t="s">
        <v>85</v>
      </c>
      <c r="C942" s="4" t="s">
        <v>65</v>
      </c>
      <c r="D942" s="4" t="s">
        <v>86</v>
      </c>
      <c r="E942" s="10">
        <v>226.48</v>
      </c>
      <c r="G942" s="4" t="s">
        <v>87</v>
      </c>
      <c r="H942" s="4"/>
      <c r="I942" s="4"/>
      <c r="K942" s="11">
        <f>IF($E942="","",ROUND($E942*IF(ISNA(MATCH($C942,'Paramètres'!$D:$D,0)),1,IF(INDEX('Paramètres'!$J:$J,MATCH($C942,'Paramètres'!$D:$D,0))="",1,INDEX('Paramètres'!$J:$J,MATCH($C942,'Paramètres'!$D:$D,0)))),2))</f>
        <v>226.48</v>
      </c>
      <c r="L942" s="6" t="str">
        <f>IF($D942="","",IF($F942&lt;&gt;"",$F942,IF(ISNA(MATCH($D942,'Paramètres'!$M:$M,0)),"⚠ Type inconnu",IFERROR(INDEX('Paramètres'!$P:$P,MATCH($D942,'Paramètres'!$M:$M,0))&amp;"",""))))</f>
        <v>Débit</v>
      </c>
      <c r="M942" s="6" t="str">
        <f>IF($D942="","",IF(ISNA(MATCH($D942,'Paramètres'!$M:$M,0)),"⚠ Type inconnu",IF($L942="Crédit","",IFERROR(INDEX('Paramètres'!$O:$O,MATCH($D942,'Paramètres'!$M:$M,0))&amp;"",""))))</f>
        <v>Dépense Fixe</v>
      </c>
      <c r="N942" s="6" t="str">
        <f>IF($D942="","",IFERROR(INDEX('Paramètres'!$Q:$Q,MATCH($D942,'Paramètres'!$M:$M,0))&amp;"",""))</f>
        <v>Immobilier</v>
      </c>
      <c r="O942" s="6">
        <f>IF($A942="","",IF(OR($J942&lt;&gt;"x",$A942&lt;=FinReleve),1,0))</f>
        <v>1</v>
      </c>
      <c r="P942" s="6">
        <f>IF($D942="","",IF(AND($L942="Crédit",OR(IFERROR(INDEX('Paramètres'!$O:$O,MATCH($D942,'Paramètres'!$M:$M,0))&amp;"","")&lt;&gt;"",ISNUMBER(SEARCH("remboursement",IFERROR(INDEX('Paramètres'!$N:$N,MATCH($D942,'Paramètres'!$M:$M,0))&amp;"",""))))),1,0))</f>
        <v>0</v>
      </c>
      <c r="Q942" s="6">
        <f>IF($K942="","",IF(ISNUMBER(SEARCH("transfert-interne",IFERROR(INDEX('Paramètres'!$N:$N,MATCH($D942,'Paramètres'!$M:$M,0))&amp;"",""))),0,IF($L942="Débit",$K942,IF($P942=1,-$K942,0))))</f>
        <v>226.48</v>
      </c>
      <c r="R942" s="6">
        <f>IF($K942="","",IF($L942="Crédit",$K942,-$K942))</f>
        <v>-226.48</v>
      </c>
      <c r="S942" s="6" t="str">
        <f>IF($C942="","",IFERROR(INDEX('Paramètres'!$H:$H,MATCH($C942,'Paramètres'!$D:$D,0))&amp;"",""))</f>
        <v>Banque A - Courant</v>
      </c>
      <c r="T942" s="6">
        <f>IF($K942="","",IF($S942="",0,IF(ISNUMBER(SEARCH("apport-exterieur",IFERROR(INDEX('Paramètres'!$N:$N,MATCH($D942,'Paramètres'!$M:$M,0))&amp;"",""))),0,IF(OR(IFERROR(INDEX('Paramètres'!$I:$I,MATCH($C942,'Paramètres'!$D:$D,0))&amp;"","")="Les deux",IFERROR(INDEX('Paramètres'!$I:$I,MATCH($C942,'Paramètres'!$D:$D,0))&amp;"","")=IF($P942=1,"Débit",$L942)),-IF($P942=1,-$K942,$K942),0))))</f>
        <v>0</v>
      </c>
      <c r="U942" s="6">
        <f>IF($K942="","",IF(ISNUMBER(SEARCH("sortie-epargne",IFERROR(INDEX('Paramètres'!$N:$N,MATCH($D942,'Paramètres'!$M:$M,0))&amp;"",""))),$K942,0))</f>
        <v>0</v>
      </c>
      <c r="V942" s="6" t="str">
        <f>IF(AND($A942&lt;&gt;"",$O942=1,$L942="Débit",N($Q942)&gt;0,$A942&gt;=Visualisation!$B$1,$A942&lt;Visualisation!$D$1),MAX($V$1:V941)+1,"")</f>
        <v/>
      </c>
    </row>
    <row r="943" spans="1:22" x14ac:dyDescent="0.25">
      <c r="A943" s="9">
        <v>46208</v>
      </c>
      <c r="B943" s="4" t="s">
        <v>88</v>
      </c>
      <c r="C943" s="4" t="s">
        <v>65</v>
      </c>
      <c r="D943" s="4" t="s">
        <v>88</v>
      </c>
      <c r="E943" s="10">
        <v>31.2</v>
      </c>
      <c r="G943" s="4"/>
      <c r="H943" s="4"/>
      <c r="I943" s="4"/>
      <c r="K943" s="11">
        <f>IF($E943="","",ROUND($E943*IF(ISNA(MATCH($C943,'Paramètres'!$D:$D,0)),1,IF(INDEX('Paramètres'!$J:$J,MATCH($C943,'Paramètres'!$D:$D,0))="",1,INDEX('Paramètres'!$J:$J,MATCH($C943,'Paramètres'!$D:$D,0)))),2))</f>
        <v>31.2</v>
      </c>
      <c r="L943" s="6" t="str">
        <f>IF($D943="","",IF($F943&lt;&gt;"",$F943,IF(ISNA(MATCH($D943,'Paramètres'!$M:$M,0)),"⚠ Type inconnu",IFERROR(INDEX('Paramètres'!$P:$P,MATCH($D943,'Paramètres'!$M:$M,0))&amp;"",""))))</f>
        <v>Débit</v>
      </c>
      <c r="M943" s="6" t="str">
        <f>IF($D943="","",IF(ISNA(MATCH($D943,'Paramètres'!$M:$M,0)),"⚠ Type inconnu",IF($L943="Crédit","",IFERROR(INDEX('Paramètres'!$O:$O,MATCH($D943,'Paramètres'!$M:$M,0))&amp;"",""))))</f>
        <v>Dépense Fixe</v>
      </c>
      <c r="N943" s="6" t="str">
        <f>IF($D943="","",IFERROR(INDEX('Paramètres'!$Q:$Q,MATCH($D943,'Paramètres'!$M:$M,0))&amp;"",""))</f>
        <v>Assurances</v>
      </c>
      <c r="O943" s="6">
        <f>IF($A943="","",IF(OR($J943&lt;&gt;"x",$A943&lt;=FinReleve),1,0))</f>
        <v>1</v>
      </c>
      <c r="P943" s="6">
        <f>IF($D943="","",IF(AND($L943="Crédit",OR(IFERROR(INDEX('Paramètres'!$O:$O,MATCH($D943,'Paramètres'!$M:$M,0))&amp;"","")&lt;&gt;"",ISNUMBER(SEARCH("remboursement",IFERROR(INDEX('Paramètres'!$N:$N,MATCH($D943,'Paramètres'!$M:$M,0))&amp;"",""))))),1,0))</f>
        <v>0</v>
      </c>
      <c r="Q943" s="6">
        <f>IF($K943="","",IF(ISNUMBER(SEARCH("transfert-interne",IFERROR(INDEX('Paramètres'!$N:$N,MATCH($D943,'Paramètres'!$M:$M,0))&amp;"",""))),0,IF($L943="Débit",$K943,IF($P943=1,-$K943,0))))</f>
        <v>31.2</v>
      </c>
      <c r="R943" s="6">
        <f>IF($K943="","",IF($L943="Crédit",$K943,-$K943))</f>
        <v>-31.2</v>
      </c>
      <c r="S943" s="6" t="str">
        <f>IF($C943="","",IFERROR(INDEX('Paramètres'!$H:$H,MATCH($C943,'Paramètres'!$D:$D,0))&amp;"",""))</f>
        <v>Banque A - Courant</v>
      </c>
      <c r="T943" s="6">
        <f>IF($K943="","",IF($S943="",0,IF(ISNUMBER(SEARCH("apport-exterieur",IFERROR(INDEX('Paramètres'!$N:$N,MATCH($D943,'Paramètres'!$M:$M,0))&amp;"",""))),0,IF(OR(IFERROR(INDEX('Paramètres'!$I:$I,MATCH($C943,'Paramètres'!$D:$D,0))&amp;"","")="Les deux",IFERROR(INDEX('Paramètres'!$I:$I,MATCH($C943,'Paramètres'!$D:$D,0))&amp;"","")=IF($P943=1,"Débit",$L943)),-IF($P943=1,-$K943,$K943),0))))</f>
        <v>0</v>
      </c>
      <c r="U943" s="6">
        <f>IF($K943="","",IF(ISNUMBER(SEARCH("sortie-epargne",IFERROR(INDEX('Paramètres'!$N:$N,MATCH($D943,'Paramètres'!$M:$M,0))&amp;"",""))),$K943,0))</f>
        <v>0</v>
      </c>
      <c r="V943" s="6" t="str">
        <f>IF(AND($A943&lt;&gt;"",$O943=1,$L943="Débit",N($Q943)&gt;0,$A943&gt;=Visualisation!$B$1,$A943&lt;Visualisation!$D$1),MAX($V$1:V942)+1,"")</f>
        <v/>
      </c>
    </row>
    <row r="944" spans="1:22" x14ac:dyDescent="0.25">
      <c r="A944" s="9">
        <v>46208</v>
      </c>
      <c r="B944" s="4" t="s">
        <v>69</v>
      </c>
      <c r="C944" s="4" t="s">
        <v>70</v>
      </c>
      <c r="D944" s="4" t="s">
        <v>71</v>
      </c>
      <c r="E944" s="10">
        <v>9.28</v>
      </c>
      <c r="G944" s="4" t="s">
        <v>72</v>
      </c>
      <c r="H944" s="4"/>
      <c r="I944" s="4" t="s">
        <v>73</v>
      </c>
      <c r="K944" s="11">
        <f>IF($E944="","",ROUND($E944*IF(ISNA(MATCH($C944,'Paramètres'!$D:$D,0)),1,IF(INDEX('Paramètres'!$J:$J,MATCH($C944,'Paramètres'!$D:$D,0))="",1,INDEX('Paramètres'!$J:$J,MATCH($C944,'Paramètres'!$D:$D,0)))),2))</f>
        <v>9.28</v>
      </c>
      <c r="L944" s="6" t="str">
        <f>IF($D944="","",IF($F944&lt;&gt;"",$F944,IF(ISNA(MATCH($D944,'Paramètres'!$M:$M,0)),"⚠ Type inconnu",IFERROR(INDEX('Paramètres'!$P:$P,MATCH($D944,'Paramètres'!$M:$M,0))&amp;"",""))))</f>
        <v>Débit</v>
      </c>
      <c r="M944" s="6" t="str">
        <f>IF($D944="","",IF(ISNA(MATCH($D944,'Paramètres'!$M:$M,0)),"⚠ Type inconnu",IF($L944="Crédit","",IFERROR(INDEX('Paramètres'!$O:$O,MATCH($D944,'Paramètres'!$M:$M,0))&amp;"",""))))</f>
        <v>Dépense Courante</v>
      </c>
      <c r="N944" s="6" t="str">
        <f>IF($D944="","",IFERROR(INDEX('Paramètres'!$Q:$Q,MATCH($D944,'Paramètres'!$M:$M,0))&amp;"",""))</f>
        <v>Alimentation</v>
      </c>
      <c r="O944" s="6">
        <f>IF($A944="","",IF(OR($J944&lt;&gt;"x",$A944&lt;=FinReleve),1,0))</f>
        <v>1</v>
      </c>
      <c r="P944" s="6">
        <f>IF($D944="","",IF(AND($L944="Crédit",OR(IFERROR(INDEX('Paramètres'!$O:$O,MATCH($D944,'Paramètres'!$M:$M,0))&amp;"","")&lt;&gt;"",ISNUMBER(SEARCH("remboursement",IFERROR(INDEX('Paramètres'!$N:$N,MATCH($D944,'Paramètres'!$M:$M,0))&amp;"",""))))),1,0))</f>
        <v>0</v>
      </c>
      <c r="Q944" s="6">
        <f>IF($K944="","",IF(ISNUMBER(SEARCH("transfert-interne",IFERROR(INDEX('Paramètres'!$N:$N,MATCH($D944,'Paramètres'!$M:$M,0))&amp;"",""))),0,IF($L944="Débit",$K944,IF($P944=1,-$K944,0))))</f>
        <v>9.28</v>
      </c>
      <c r="R944" s="6">
        <f>IF($K944="","",IF($L944="Crédit",$K944,-$K944))</f>
        <v>-9.28</v>
      </c>
      <c r="S944" s="6" t="str">
        <f>IF($C944="","",IFERROR(INDEX('Paramètres'!$H:$H,MATCH($C944,'Paramètres'!$D:$D,0))&amp;"",""))</f>
        <v/>
      </c>
      <c r="T944" s="6">
        <f>IF($K944="","",IF($S944="",0,IF(ISNUMBER(SEARCH("apport-exterieur",IFERROR(INDEX('Paramètres'!$N:$N,MATCH($D944,'Paramètres'!$M:$M,0))&amp;"",""))),0,IF(OR(IFERROR(INDEX('Paramètres'!$I:$I,MATCH($C944,'Paramètres'!$D:$D,0))&amp;"","")="Les deux",IFERROR(INDEX('Paramètres'!$I:$I,MATCH($C944,'Paramètres'!$D:$D,0))&amp;"","")=IF($P944=1,"Débit",$L944)),-IF($P944=1,-$K944,$K944),0))))</f>
        <v>0</v>
      </c>
      <c r="U944" s="6">
        <f>IF($K944="","",IF(ISNUMBER(SEARCH("sortie-epargne",IFERROR(INDEX('Paramètres'!$N:$N,MATCH($D944,'Paramètres'!$M:$M,0))&amp;"",""))),$K944,0))</f>
        <v>0</v>
      </c>
      <c r="V944" s="6" t="str">
        <f>IF(AND($A944&lt;&gt;"",$O944=1,$L944="Débit",N($Q944)&gt;0,$A944&gt;=Visualisation!$B$1,$A944&lt;Visualisation!$D$1),MAX($V$1:V943)+1,"")</f>
        <v/>
      </c>
    </row>
    <row r="945" spans="1:22" x14ac:dyDescent="0.25">
      <c r="A945" s="9">
        <v>46208</v>
      </c>
      <c r="B945" s="4" t="s">
        <v>90</v>
      </c>
      <c r="C945" s="4" t="s">
        <v>75</v>
      </c>
      <c r="D945" s="4" t="s">
        <v>91</v>
      </c>
      <c r="E945" s="10">
        <v>57.87</v>
      </c>
      <c r="G945" s="4" t="s">
        <v>135</v>
      </c>
      <c r="H945" s="4" t="s">
        <v>148</v>
      </c>
      <c r="I945" s="4" t="s">
        <v>63</v>
      </c>
      <c r="K945" s="11">
        <f>IF($E945="","",ROUND($E945*IF(ISNA(MATCH($C945,'Paramètres'!$D:$D,0)),1,IF(INDEX('Paramètres'!$J:$J,MATCH($C945,'Paramètres'!$D:$D,0))="",1,INDEX('Paramètres'!$J:$J,MATCH($C945,'Paramètres'!$D:$D,0)))),2))</f>
        <v>57.87</v>
      </c>
      <c r="L945" s="6" t="str">
        <f>IF($D945="","",IF($F945&lt;&gt;"",$F945,IF(ISNA(MATCH($D945,'Paramètres'!$M:$M,0)),"⚠ Type inconnu",IFERROR(INDEX('Paramètres'!$P:$P,MATCH($D945,'Paramètres'!$M:$M,0))&amp;"",""))))</f>
        <v>Débit</v>
      </c>
      <c r="M945" s="6" t="str">
        <f>IF($D945="","",IF(ISNA(MATCH($D945,'Paramètres'!$M:$M,0)),"⚠ Type inconnu",IF($L945="Crédit","",IFERROR(INDEX('Paramètres'!$O:$O,MATCH($D945,'Paramètres'!$M:$M,0))&amp;"",""))))</f>
        <v>Dépense Courante</v>
      </c>
      <c r="N945" s="6" t="str">
        <f>IF($D945="","",IFERROR(INDEX('Paramètres'!$Q:$Q,MATCH($D945,'Paramètres'!$M:$M,0))&amp;"",""))</f>
        <v>Transport</v>
      </c>
      <c r="O945" s="6">
        <f>IF($A945="","",IF(OR($J945&lt;&gt;"x",$A945&lt;=FinReleve),1,0))</f>
        <v>1</v>
      </c>
      <c r="P945" s="6">
        <f>IF($D945="","",IF(AND($L945="Crédit",OR(IFERROR(INDEX('Paramètres'!$O:$O,MATCH($D945,'Paramètres'!$M:$M,0))&amp;"","")&lt;&gt;"",ISNUMBER(SEARCH("remboursement",IFERROR(INDEX('Paramètres'!$N:$N,MATCH($D945,'Paramètres'!$M:$M,0))&amp;"",""))))),1,0))</f>
        <v>0</v>
      </c>
      <c r="Q945" s="6">
        <f>IF($K945="","",IF(ISNUMBER(SEARCH("transfert-interne",IFERROR(INDEX('Paramètres'!$N:$N,MATCH($D945,'Paramètres'!$M:$M,0))&amp;"",""))),0,IF($L945="Débit",$K945,IF($P945=1,-$K945,0))))</f>
        <v>57.87</v>
      </c>
      <c r="R945" s="6">
        <f>IF($K945="","",IF($L945="Crédit",$K945,-$K945))</f>
        <v>-57.87</v>
      </c>
      <c r="S945" s="6" t="str">
        <f>IF($C945="","",IFERROR(INDEX('Paramètres'!$H:$H,MATCH($C945,'Paramètres'!$D:$D,0))&amp;"",""))</f>
        <v/>
      </c>
      <c r="T945" s="6">
        <f>IF($K945="","",IF($S945="",0,IF(ISNUMBER(SEARCH("apport-exterieur",IFERROR(INDEX('Paramètres'!$N:$N,MATCH($D945,'Paramètres'!$M:$M,0))&amp;"",""))),0,IF(OR(IFERROR(INDEX('Paramètres'!$I:$I,MATCH($C945,'Paramètres'!$D:$D,0))&amp;"","")="Les deux",IFERROR(INDEX('Paramètres'!$I:$I,MATCH($C945,'Paramètres'!$D:$D,0))&amp;"","")=IF($P945=1,"Débit",$L945)),-IF($P945=1,-$K945,$K945),0))))</f>
        <v>0</v>
      </c>
      <c r="U945" s="6">
        <f>IF($K945="","",IF(ISNUMBER(SEARCH("sortie-epargne",IFERROR(INDEX('Paramètres'!$N:$N,MATCH($D945,'Paramètres'!$M:$M,0))&amp;"",""))),$K945,0))</f>
        <v>0</v>
      </c>
      <c r="V945" s="6" t="str">
        <f>IF(AND($A945&lt;&gt;"",$O945=1,$L945="Débit",N($Q945)&gt;0,$A945&gt;=Visualisation!$B$1,$A945&lt;Visualisation!$D$1),MAX($V$1:V944)+1,"")</f>
        <v/>
      </c>
    </row>
    <row r="946" spans="1:22" x14ac:dyDescent="0.25">
      <c r="A946" s="9">
        <v>46209</v>
      </c>
      <c r="B946" s="4" t="s">
        <v>89</v>
      </c>
      <c r="C946" s="4" t="s">
        <v>75</v>
      </c>
      <c r="D946" s="4" t="s">
        <v>89</v>
      </c>
      <c r="E946" s="10">
        <v>49.9</v>
      </c>
      <c r="G946" s="4"/>
      <c r="H946" s="4"/>
      <c r="I946" s="4"/>
      <c r="K946" s="11">
        <f>IF($E946="","",ROUND($E946*IF(ISNA(MATCH($C946,'Paramètres'!$D:$D,0)),1,IF(INDEX('Paramètres'!$J:$J,MATCH($C946,'Paramètres'!$D:$D,0))="",1,INDEX('Paramètres'!$J:$J,MATCH($C946,'Paramètres'!$D:$D,0)))),2))</f>
        <v>49.9</v>
      </c>
      <c r="L946" s="6" t="str">
        <f>IF($D946="","",IF($F946&lt;&gt;"",$F946,IF(ISNA(MATCH($D946,'Paramètres'!$M:$M,0)),"⚠ Type inconnu",IFERROR(INDEX('Paramètres'!$P:$P,MATCH($D946,'Paramètres'!$M:$M,0))&amp;"",""))))</f>
        <v>Débit</v>
      </c>
      <c r="M946" s="6" t="str">
        <f>IF($D946="","",IF(ISNA(MATCH($D946,'Paramètres'!$M:$M,0)),"⚠ Type inconnu",IF($L946="Crédit","",IFERROR(INDEX('Paramètres'!$O:$O,MATCH($D946,'Paramètres'!$M:$M,0))&amp;"",""))))</f>
        <v>Dépense Fixe</v>
      </c>
      <c r="N946" s="6" t="str">
        <f>IF($D946="","",IFERROR(INDEX('Paramètres'!$Q:$Q,MATCH($D946,'Paramètres'!$M:$M,0))&amp;"",""))</f>
        <v>Autre</v>
      </c>
      <c r="O946" s="6">
        <f>IF($A946="","",IF(OR($J946&lt;&gt;"x",$A946&lt;=FinReleve),1,0))</f>
        <v>1</v>
      </c>
      <c r="P946" s="6">
        <f>IF($D946="","",IF(AND($L946="Crédit",OR(IFERROR(INDEX('Paramètres'!$O:$O,MATCH($D946,'Paramètres'!$M:$M,0))&amp;"","")&lt;&gt;"",ISNUMBER(SEARCH("remboursement",IFERROR(INDEX('Paramètres'!$N:$N,MATCH($D946,'Paramètres'!$M:$M,0))&amp;"",""))))),1,0))</f>
        <v>0</v>
      </c>
      <c r="Q946" s="6">
        <f>IF($K946="","",IF(ISNUMBER(SEARCH("transfert-interne",IFERROR(INDEX('Paramètres'!$N:$N,MATCH($D946,'Paramètres'!$M:$M,0))&amp;"",""))),0,IF($L946="Débit",$K946,IF($P946=1,-$K946,0))))</f>
        <v>49.9</v>
      </c>
      <c r="R946" s="6">
        <f>IF($K946="","",IF($L946="Crédit",$K946,-$K946))</f>
        <v>-49.9</v>
      </c>
      <c r="S946" s="6" t="str">
        <f>IF($C946="","",IFERROR(INDEX('Paramètres'!$H:$H,MATCH($C946,'Paramètres'!$D:$D,0))&amp;"",""))</f>
        <v/>
      </c>
      <c r="T946" s="6">
        <f>IF($K946="","",IF($S946="",0,IF(ISNUMBER(SEARCH("apport-exterieur",IFERROR(INDEX('Paramètres'!$N:$N,MATCH($D946,'Paramètres'!$M:$M,0))&amp;"",""))),0,IF(OR(IFERROR(INDEX('Paramètres'!$I:$I,MATCH($C946,'Paramètres'!$D:$D,0))&amp;"","")="Les deux",IFERROR(INDEX('Paramètres'!$I:$I,MATCH($C946,'Paramètres'!$D:$D,0))&amp;"","")=IF($P946=1,"Débit",$L946)),-IF($P946=1,-$K946,$K946),0))))</f>
        <v>0</v>
      </c>
      <c r="U946" s="6">
        <f>IF($K946="","",IF(ISNUMBER(SEARCH("sortie-epargne",IFERROR(INDEX('Paramètres'!$N:$N,MATCH($D946,'Paramètres'!$M:$M,0))&amp;"",""))),$K946,0))</f>
        <v>0</v>
      </c>
      <c r="V946" s="6" t="str">
        <f>IF(AND($A946&lt;&gt;"",$O946=1,$L946="Débit",N($Q946)&gt;0,$A946&gt;=Visualisation!$B$1,$A946&lt;Visualisation!$D$1),MAX($V$1:V945)+1,"")</f>
        <v/>
      </c>
    </row>
    <row r="947" spans="1:22" x14ac:dyDescent="0.25">
      <c r="A947" s="9">
        <v>46211</v>
      </c>
      <c r="B947" s="4" t="s">
        <v>94</v>
      </c>
      <c r="C947" s="4" t="s">
        <v>65</v>
      </c>
      <c r="D947" s="4" t="s">
        <v>94</v>
      </c>
      <c r="E947" s="10">
        <v>168</v>
      </c>
      <c r="G947" s="4"/>
      <c r="H947" s="4"/>
      <c r="I947" s="4"/>
      <c r="K947" s="11">
        <f>IF($E947="","",ROUND($E947*IF(ISNA(MATCH($C947,'Paramètres'!$D:$D,0)),1,IF(INDEX('Paramètres'!$J:$J,MATCH($C947,'Paramètres'!$D:$D,0))="",1,INDEX('Paramètres'!$J:$J,MATCH($C947,'Paramètres'!$D:$D,0)))),2))</f>
        <v>168</v>
      </c>
      <c r="L947" s="6" t="str">
        <f>IF($D947="","",IF($F947&lt;&gt;"",$F947,IF(ISNA(MATCH($D947,'Paramètres'!$M:$M,0)),"⚠ Type inconnu",IFERROR(INDEX('Paramètres'!$P:$P,MATCH($D947,'Paramètres'!$M:$M,0))&amp;"",""))))</f>
        <v>Débit</v>
      </c>
      <c r="M947" s="6" t="str">
        <f>IF($D947="","",IF(ISNA(MATCH($D947,'Paramètres'!$M:$M,0)),"⚠ Type inconnu",IF($L947="Crédit","",IFERROR(INDEX('Paramètres'!$O:$O,MATCH($D947,'Paramètres'!$M:$M,0))&amp;"",""))))</f>
        <v>Dépense Fixe</v>
      </c>
      <c r="N947" s="6" t="str">
        <f>IF($D947="","",IFERROR(INDEX('Paramètres'!$Q:$Q,MATCH($D947,'Paramètres'!$M:$M,0))&amp;"",""))</f>
        <v>Immobilier</v>
      </c>
      <c r="O947" s="6">
        <f>IF($A947="","",IF(OR($J947&lt;&gt;"x",$A947&lt;=FinReleve),1,0))</f>
        <v>1</v>
      </c>
      <c r="P947" s="6">
        <f>IF($D947="","",IF(AND($L947="Crédit",OR(IFERROR(INDEX('Paramètres'!$O:$O,MATCH($D947,'Paramètres'!$M:$M,0))&amp;"","")&lt;&gt;"",ISNUMBER(SEARCH("remboursement",IFERROR(INDEX('Paramètres'!$N:$N,MATCH($D947,'Paramètres'!$M:$M,0))&amp;"",""))))),1,0))</f>
        <v>0</v>
      </c>
      <c r="Q947" s="6">
        <f>IF($K947="","",IF(ISNUMBER(SEARCH("transfert-interne",IFERROR(INDEX('Paramètres'!$N:$N,MATCH($D947,'Paramètres'!$M:$M,0))&amp;"",""))),0,IF($L947="Débit",$K947,IF($P947=1,-$K947,0))))</f>
        <v>168</v>
      </c>
      <c r="R947" s="6">
        <f>IF($K947="","",IF($L947="Crédit",$K947,-$K947))</f>
        <v>-168</v>
      </c>
      <c r="S947" s="6" t="str">
        <f>IF($C947="","",IFERROR(INDEX('Paramètres'!$H:$H,MATCH($C947,'Paramètres'!$D:$D,0))&amp;"",""))</f>
        <v>Banque A - Courant</v>
      </c>
      <c r="T947" s="6">
        <f>IF($K947="","",IF($S947="",0,IF(ISNUMBER(SEARCH("apport-exterieur",IFERROR(INDEX('Paramètres'!$N:$N,MATCH($D947,'Paramètres'!$M:$M,0))&amp;"",""))),0,IF(OR(IFERROR(INDEX('Paramètres'!$I:$I,MATCH($C947,'Paramètres'!$D:$D,0))&amp;"","")="Les deux",IFERROR(INDEX('Paramètres'!$I:$I,MATCH($C947,'Paramètres'!$D:$D,0))&amp;"","")=IF($P947=1,"Débit",$L947)),-IF($P947=1,-$K947,$K947),0))))</f>
        <v>0</v>
      </c>
      <c r="U947" s="6">
        <f>IF($K947="","",IF(ISNUMBER(SEARCH("sortie-epargne",IFERROR(INDEX('Paramètres'!$N:$N,MATCH($D947,'Paramètres'!$M:$M,0))&amp;"",""))),$K947,0))</f>
        <v>0</v>
      </c>
      <c r="V947" s="6" t="str">
        <f>IF(AND($A947&lt;&gt;"",$O947=1,$L947="Débit",N($Q947)&gt;0,$A947&gt;=Visualisation!$B$1,$A947&lt;Visualisation!$D$1),MAX($V$1:V946)+1,"")</f>
        <v/>
      </c>
    </row>
    <row r="948" spans="1:22" x14ac:dyDescent="0.25">
      <c r="A948" s="9">
        <v>46212</v>
      </c>
      <c r="B948" s="4" t="s">
        <v>76</v>
      </c>
      <c r="C948" s="4" t="s">
        <v>67</v>
      </c>
      <c r="D948" s="4" t="s">
        <v>77</v>
      </c>
      <c r="E948" s="10">
        <v>163.28</v>
      </c>
      <c r="G948" s="4" t="s">
        <v>102</v>
      </c>
      <c r="H948" s="4" t="s">
        <v>148</v>
      </c>
      <c r="I948" s="4" t="s">
        <v>79</v>
      </c>
      <c r="K948" s="11">
        <f>IF($E948="","",ROUND($E948*IF(ISNA(MATCH($C948,'Paramètres'!$D:$D,0)),1,IF(INDEX('Paramètres'!$J:$J,MATCH($C948,'Paramètres'!$D:$D,0))="",1,INDEX('Paramètres'!$J:$J,MATCH($C948,'Paramètres'!$D:$D,0)))),2))</f>
        <v>81.64</v>
      </c>
      <c r="L948" s="6" t="str">
        <f>IF($D948="","",IF($F948&lt;&gt;"",$F948,IF(ISNA(MATCH($D948,'Paramètres'!$M:$M,0)),"⚠ Type inconnu",IFERROR(INDEX('Paramètres'!$P:$P,MATCH($D948,'Paramètres'!$M:$M,0))&amp;"",""))))</f>
        <v>Débit</v>
      </c>
      <c r="M948" s="6" t="str">
        <f>IF($D948="","",IF(ISNA(MATCH($D948,'Paramètres'!$M:$M,0)),"⚠ Type inconnu",IF($L948="Crédit","",IFERROR(INDEX('Paramètres'!$O:$O,MATCH($D948,'Paramètres'!$M:$M,0))&amp;"",""))))</f>
        <v>Dépense Courante</v>
      </c>
      <c r="N948" s="6" t="str">
        <f>IF($D948="","",IFERROR(INDEX('Paramètres'!$Q:$Q,MATCH($D948,'Paramètres'!$M:$M,0))&amp;"",""))</f>
        <v>Alimentation</v>
      </c>
      <c r="O948" s="6">
        <f>IF($A948="","",IF(OR($J948&lt;&gt;"x",$A948&lt;=FinReleve),1,0))</f>
        <v>1</v>
      </c>
      <c r="P948" s="6">
        <f>IF($D948="","",IF(AND($L948="Crédit",OR(IFERROR(INDEX('Paramètres'!$O:$O,MATCH($D948,'Paramètres'!$M:$M,0))&amp;"","")&lt;&gt;"",ISNUMBER(SEARCH("remboursement",IFERROR(INDEX('Paramètres'!$N:$N,MATCH($D948,'Paramètres'!$M:$M,0))&amp;"",""))))),1,0))</f>
        <v>0</v>
      </c>
      <c r="Q948" s="6">
        <f>IF($K948="","",IF(ISNUMBER(SEARCH("transfert-interne",IFERROR(INDEX('Paramètres'!$N:$N,MATCH($D948,'Paramètres'!$M:$M,0))&amp;"",""))),0,IF($L948="Débit",$K948,IF($P948=1,-$K948,0))))</f>
        <v>81.64</v>
      </c>
      <c r="R948" s="6">
        <f>IF($K948="","",IF($L948="Crédit",$K948,-$K948))</f>
        <v>-81.64</v>
      </c>
      <c r="S948" s="6" t="str">
        <f>IF($C948="","",IFERROR(INDEX('Paramètres'!$H:$H,MATCH($C948,'Paramètres'!$D:$D,0))&amp;"",""))</f>
        <v>Banque A - Courant</v>
      </c>
      <c r="T948" s="6">
        <f>IF($K948="","",IF($S948="",0,IF(ISNUMBER(SEARCH("apport-exterieur",IFERROR(INDEX('Paramètres'!$N:$N,MATCH($D948,'Paramètres'!$M:$M,0))&amp;"",""))),0,IF(OR(IFERROR(INDEX('Paramètres'!$I:$I,MATCH($C948,'Paramètres'!$D:$D,0))&amp;"","")="Les deux",IFERROR(INDEX('Paramètres'!$I:$I,MATCH($C948,'Paramètres'!$D:$D,0))&amp;"","")=IF($P948=1,"Débit",$L948)),-IF($P948=1,-$K948,$K948),0))))</f>
        <v>0</v>
      </c>
      <c r="U948" s="6">
        <f>IF($K948="","",IF(ISNUMBER(SEARCH("sortie-epargne",IFERROR(INDEX('Paramètres'!$N:$N,MATCH($D948,'Paramètres'!$M:$M,0))&amp;"",""))),$K948,0))</f>
        <v>0</v>
      </c>
      <c r="V948" s="6" t="str">
        <f>IF(AND($A948&lt;&gt;"",$O948=1,$L948="Débit",N($Q948)&gt;0,$A948&gt;=Visualisation!$B$1,$A948&lt;Visualisation!$D$1),MAX($V$1:V947)+1,"")</f>
        <v/>
      </c>
    </row>
    <row r="949" spans="1:22" x14ac:dyDescent="0.25">
      <c r="A949" s="9">
        <v>46212</v>
      </c>
      <c r="B949" s="4" t="s">
        <v>69</v>
      </c>
      <c r="C949" s="4" t="s">
        <v>70</v>
      </c>
      <c r="D949" s="4" t="s">
        <v>71</v>
      </c>
      <c r="E949" s="10">
        <v>13.55</v>
      </c>
      <c r="G949" s="4" t="s">
        <v>72</v>
      </c>
      <c r="H949" s="4"/>
      <c r="I949" s="4" t="s">
        <v>73</v>
      </c>
      <c r="K949" s="11">
        <f>IF($E949="","",ROUND($E949*IF(ISNA(MATCH($C949,'Paramètres'!$D:$D,0)),1,IF(INDEX('Paramètres'!$J:$J,MATCH($C949,'Paramètres'!$D:$D,0))="",1,INDEX('Paramètres'!$J:$J,MATCH($C949,'Paramètres'!$D:$D,0)))),2))</f>
        <v>13.55</v>
      </c>
      <c r="L949" s="6" t="str">
        <f>IF($D949="","",IF($F949&lt;&gt;"",$F949,IF(ISNA(MATCH($D949,'Paramètres'!$M:$M,0)),"⚠ Type inconnu",IFERROR(INDEX('Paramètres'!$P:$P,MATCH($D949,'Paramètres'!$M:$M,0))&amp;"",""))))</f>
        <v>Débit</v>
      </c>
      <c r="M949" s="6" t="str">
        <f>IF($D949="","",IF(ISNA(MATCH($D949,'Paramètres'!$M:$M,0)),"⚠ Type inconnu",IF($L949="Crédit","",IFERROR(INDEX('Paramètres'!$O:$O,MATCH($D949,'Paramètres'!$M:$M,0))&amp;"",""))))</f>
        <v>Dépense Courante</v>
      </c>
      <c r="N949" s="6" t="str">
        <f>IF($D949="","",IFERROR(INDEX('Paramètres'!$Q:$Q,MATCH($D949,'Paramètres'!$M:$M,0))&amp;"",""))</f>
        <v>Alimentation</v>
      </c>
      <c r="O949" s="6">
        <f>IF($A949="","",IF(OR($J949&lt;&gt;"x",$A949&lt;=FinReleve),1,0))</f>
        <v>1</v>
      </c>
      <c r="P949" s="6">
        <f>IF($D949="","",IF(AND($L949="Crédit",OR(IFERROR(INDEX('Paramètres'!$O:$O,MATCH($D949,'Paramètres'!$M:$M,0))&amp;"","")&lt;&gt;"",ISNUMBER(SEARCH("remboursement",IFERROR(INDEX('Paramètres'!$N:$N,MATCH($D949,'Paramètres'!$M:$M,0))&amp;"",""))))),1,0))</f>
        <v>0</v>
      </c>
      <c r="Q949" s="6">
        <f>IF($K949="","",IF(ISNUMBER(SEARCH("transfert-interne",IFERROR(INDEX('Paramètres'!$N:$N,MATCH($D949,'Paramètres'!$M:$M,0))&amp;"",""))),0,IF($L949="Débit",$K949,IF($P949=1,-$K949,0))))</f>
        <v>13.55</v>
      </c>
      <c r="R949" s="6">
        <f>IF($K949="","",IF($L949="Crédit",$K949,-$K949))</f>
        <v>-13.55</v>
      </c>
      <c r="S949" s="6" t="str">
        <f>IF($C949="","",IFERROR(INDEX('Paramètres'!$H:$H,MATCH($C949,'Paramètres'!$D:$D,0))&amp;"",""))</f>
        <v/>
      </c>
      <c r="T949" s="6">
        <f>IF($K949="","",IF($S949="",0,IF(ISNUMBER(SEARCH("apport-exterieur",IFERROR(INDEX('Paramètres'!$N:$N,MATCH($D949,'Paramètres'!$M:$M,0))&amp;"",""))),0,IF(OR(IFERROR(INDEX('Paramètres'!$I:$I,MATCH($C949,'Paramètres'!$D:$D,0))&amp;"","")="Les deux",IFERROR(INDEX('Paramètres'!$I:$I,MATCH($C949,'Paramètres'!$D:$D,0))&amp;"","")=IF($P949=1,"Débit",$L949)),-IF($P949=1,-$K949,$K949),0))))</f>
        <v>0</v>
      </c>
      <c r="U949" s="6">
        <f>IF($K949="","",IF(ISNUMBER(SEARCH("sortie-epargne",IFERROR(INDEX('Paramètres'!$N:$N,MATCH($D949,'Paramètres'!$M:$M,0))&amp;"",""))),$K949,0))</f>
        <v>0</v>
      </c>
      <c r="V949" s="6" t="str">
        <f>IF(AND($A949&lt;&gt;"",$O949=1,$L949="Débit",N($Q949)&gt;0,$A949&gt;=Visualisation!$B$1,$A949&lt;Visualisation!$D$1),MAX($V$1:V948)+1,"")</f>
        <v/>
      </c>
    </row>
    <row r="950" spans="1:22" x14ac:dyDescent="0.25">
      <c r="A950" s="9">
        <v>46213</v>
      </c>
      <c r="B950" s="4" t="s">
        <v>96</v>
      </c>
      <c r="C950" s="4" t="s">
        <v>75</v>
      </c>
      <c r="D950" s="4" t="s">
        <v>96</v>
      </c>
      <c r="E950" s="10">
        <v>22.4</v>
      </c>
      <c r="G950" s="4"/>
      <c r="H950" s="4"/>
      <c r="I950" s="4"/>
      <c r="K950" s="11">
        <f>IF($E950="","",ROUND($E950*IF(ISNA(MATCH($C950,'Paramètres'!$D:$D,0)),1,IF(INDEX('Paramètres'!$J:$J,MATCH($C950,'Paramètres'!$D:$D,0))="",1,INDEX('Paramètres'!$J:$J,MATCH($C950,'Paramètres'!$D:$D,0)))),2))</f>
        <v>22.4</v>
      </c>
      <c r="L950" s="6" t="str">
        <f>IF($D950="","",IF($F950&lt;&gt;"",$F950,IF(ISNA(MATCH($D950,'Paramètres'!$M:$M,0)),"⚠ Type inconnu",IFERROR(INDEX('Paramètres'!$P:$P,MATCH($D950,'Paramètres'!$M:$M,0))&amp;"",""))))</f>
        <v>Débit</v>
      </c>
      <c r="M950" s="6" t="str">
        <f>IF($D950="","",IF(ISNA(MATCH($D950,'Paramètres'!$M:$M,0)),"⚠ Type inconnu",IF($L950="Crédit","",IFERROR(INDEX('Paramètres'!$O:$O,MATCH($D950,'Paramètres'!$M:$M,0))&amp;"",""))))</f>
        <v>Dépense Fixe</v>
      </c>
      <c r="N950" s="6" t="str">
        <f>IF($D950="","",IFERROR(INDEX('Paramètres'!$Q:$Q,MATCH($D950,'Paramètres'!$M:$M,0))&amp;"",""))</f>
        <v>Assurances</v>
      </c>
      <c r="O950" s="6">
        <f>IF($A950="","",IF(OR($J950&lt;&gt;"x",$A950&lt;=FinReleve),1,0))</f>
        <v>1</v>
      </c>
      <c r="P950" s="6">
        <f>IF($D950="","",IF(AND($L950="Crédit",OR(IFERROR(INDEX('Paramètres'!$O:$O,MATCH($D950,'Paramètres'!$M:$M,0))&amp;"","")&lt;&gt;"",ISNUMBER(SEARCH("remboursement",IFERROR(INDEX('Paramètres'!$N:$N,MATCH($D950,'Paramètres'!$M:$M,0))&amp;"",""))))),1,0))</f>
        <v>0</v>
      </c>
      <c r="Q950" s="6">
        <f>IF($K950="","",IF(ISNUMBER(SEARCH("transfert-interne",IFERROR(INDEX('Paramètres'!$N:$N,MATCH($D950,'Paramètres'!$M:$M,0))&amp;"",""))),0,IF($L950="Débit",$K950,IF($P950=1,-$K950,0))))</f>
        <v>22.4</v>
      </c>
      <c r="R950" s="6">
        <f>IF($K950="","",IF($L950="Crédit",$K950,-$K950))</f>
        <v>-22.4</v>
      </c>
      <c r="S950" s="6" t="str">
        <f>IF($C950="","",IFERROR(INDEX('Paramètres'!$H:$H,MATCH($C950,'Paramètres'!$D:$D,0))&amp;"",""))</f>
        <v/>
      </c>
      <c r="T950" s="6">
        <f>IF($K950="","",IF($S950="",0,IF(ISNUMBER(SEARCH("apport-exterieur",IFERROR(INDEX('Paramètres'!$N:$N,MATCH($D950,'Paramètres'!$M:$M,0))&amp;"",""))),0,IF(OR(IFERROR(INDEX('Paramètres'!$I:$I,MATCH($C950,'Paramètres'!$D:$D,0))&amp;"","")="Les deux",IFERROR(INDEX('Paramètres'!$I:$I,MATCH($C950,'Paramètres'!$D:$D,0))&amp;"","")=IF($P950=1,"Débit",$L950)),-IF($P950=1,-$K950,$K950),0))))</f>
        <v>0</v>
      </c>
      <c r="U950" s="6">
        <f>IF($K950="","",IF(ISNUMBER(SEARCH("sortie-epargne",IFERROR(INDEX('Paramètres'!$N:$N,MATCH($D950,'Paramètres'!$M:$M,0))&amp;"",""))),$K950,0))</f>
        <v>0</v>
      </c>
      <c r="V950" s="6" t="str">
        <f>IF(AND($A950&lt;&gt;"",$O950=1,$L950="Débit",N($Q950)&gt;0,$A950&gt;=Visualisation!$B$1,$A950&lt;Visualisation!$D$1),MAX($V$1:V949)+1,"")</f>
        <v/>
      </c>
    </row>
    <row r="951" spans="1:22" x14ac:dyDescent="0.25">
      <c r="A951" s="9">
        <v>46215</v>
      </c>
      <c r="B951" s="4" t="s">
        <v>97</v>
      </c>
      <c r="C951" s="4" t="s">
        <v>75</v>
      </c>
      <c r="D951" s="4" t="s">
        <v>97</v>
      </c>
      <c r="E951" s="10">
        <v>47.9</v>
      </c>
      <c r="G951" s="4"/>
      <c r="H951" s="4"/>
      <c r="I951" s="4"/>
      <c r="K951" s="11">
        <f>IF($E951="","",ROUND($E951*IF(ISNA(MATCH($C951,'Paramètres'!$D:$D,0)),1,IF(INDEX('Paramètres'!$J:$J,MATCH($C951,'Paramètres'!$D:$D,0))="",1,INDEX('Paramètres'!$J:$J,MATCH($C951,'Paramètres'!$D:$D,0)))),2))</f>
        <v>47.9</v>
      </c>
      <c r="L951" s="6" t="str">
        <f>IF($D951="","",IF($F951&lt;&gt;"",$F951,IF(ISNA(MATCH($D951,'Paramètres'!$M:$M,0)),"⚠ Type inconnu",IFERROR(INDEX('Paramètres'!$P:$P,MATCH($D951,'Paramètres'!$M:$M,0))&amp;"",""))))</f>
        <v>Débit</v>
      </c>
      <c r="M951" s="6" t="str">
        <f>IF($D951="","",IF(ISNA(MATCH($D951,'Paramètres'!$M:$M,0)),"⚠ Type inconnu",IF($L951="Crédit","",IFERROR(INDEX('Paramètres'!$O:$O,MATCH($D951,'Paramètres'!$M:$M,0))&amp;"",""))))</f>
        <v>Dépense Fixe</v>
      </c>
      <c r="N951" s="6" t="str">
        <f>IF($D951="","",IFERROR(INDEX('Paramètres'!$Q:$Q,MATCH($D951,'Paramètres'!$M:$M,0))&amp;"",""))</f>
        <v>Assurances</v>
      </c>
      <c r="O951" s="6">
        <f>IF($A951="","",IF(OR($J951&lt;&gt;"x",$A951&lt;=FinReleve),1,0))</f>
        <v>1</v>
      </c>
      <c r="P951" s="6">
        <f>IF($D951="","",IF(AND($L951="Crédit",OR(IFERROR(INDEX('Paramètres'!$O:$O,MATCH($D951,'Paramètres'!$M:$M,0))&amp;"","")&lt;&gt;"",ISNUMBER(SEARCH("remboursement",IFERROR(INDEX('Paramètres'!$N:$N,MATCH($D951,'Paramètres'!$M:$M,0))&amp;"",""))))),1,0))</f>
        <v>0</v>
      </c>
      <c r="Q951" s="6">
        <f>IF($K951="","",IF(ISNUMBER(SEARCH("transfert-interne",IFERROR(INDEX('Paramètres'!$N:$N,MATCH($D951,'Paramètres'!$M:$M,0))&amp;"",""))),0,IF($L951="Débit",$K951,IF($P951=1,-$K951,0))))</f>
        <v>47.9</v>
      </c>
      <c r="R951" s="6">
        <f>IF($K951="","",IF($L951="Crédit",$K951,-$K951))</f>
        <v>-47.9</v>
      </c>
      <c r="S951" s="6" t="str">
        <f>IF($C951="","",IFERROR(INDEX('Paramètres'!$H:$H,MATCH($C951,'Paramètres'!$D:$D,0))&amp;"",""))</f>
        <v/>
      </c>
      <c r="T951" s="6">
        <f>IF($K951="","",IF($S951="",0,IF(ISNUMBER(SEARCH("apport-exterieur",IFERROR(INDEX('Paramètres'!$N:$N,MATCH($D951,'Paramètres'!$M:$M,0))&amp;"",""))),0,IF(OR(IFERROR(INDEX('Paramètres'!$I:$I,MATCH($C951,'Paramètres'!$D:$D,0))&amp;"","")="Les deux",IFERROR(INDEX('Paramètres'!$I:$I,MATCH($C951,'Paramètres'!$D:$D,0))&amp;"","")=IF($P951=1,"Débit",$L951)),-IF($P951=1,-$K951,$K951),0))))</f>
        <v>0</v>
      </c>
      <c r="U951" s="6">
        <f>IF($K951="","",IF(ISNUMBER(SEARCH("sortie-epargne",IFERROR(INDEX('Paramètres'!$N:$N,MATCH($D951,'Paramètres'!$M:$M,0))&amp;"",""))),$K951,0))</f>
        <v>0</v>
      </c>
      <c r="V951" s="6" t="str">
        <f>IF(AND($A951&lt;&gt;"",$O951=1,$L951="Débit",N($Q951)&gt;0,$A951&gt;=Visualisation!$B$1,$A951&lt;Visualisation!$D$1),MAX($V$1:V950)+1,"")</f>
        <v/>
      </c>
    </row>
    <row r="952" spans="1:22" x14ac:dyDescent="0.25">
      <c r="A952" s="9">
        <v>46215</v>
      </c>
      <c r="B952" s="4" t="s">
        <v>76</v>
      </c>
      <c r="C952" s="4" t="s">
        <v>67</v>
      </c>
      <c r="D952" s="4" t="s">
        <v>77</v>
      </c>
      <c r="E952" s="10">
        <v>24.86</v>
      </c>
      <c r="G952" s="4" t="s">
        <v>102</v>
      </c>
      <c r="H952" s="4" t="s">
        <v>148</v>
      </c>
      <c r="I952" s="4" t="s">
        <v>63</v>
      </c>
      <c r="K952" s="11">
        <f>IF($E952="","",ROUND($E952*IF(ISNA(MATCH($C952,'Paramètres'!$D:$D,0)),1,IF(INDEX('Paramètres'!$J:$J,MATCH($C952,'Paramètres'!$D:$D,0))="",1,INDEX('Paramètres'!$J:$J,MATCH($C952,'Paramètres'!$D:$D,0)))),2))</f>
        <v>12.43</v>
      </c>
      <c r="L952" s="6" t="str">
        <f>IF($D952="","",IF($F952&lt;&gt;"",$F952,IF(ISNA(MATCH($D952,'Paramètres'!$M:$M,0)),"⚠ Type inconnu",IFERROR(INDEX('Paramètres'!$P:$P,MATCH($D952,'Paramètres'!$M:$M,0))&amp;"",""))))</f>
        <v>Débit</v>
      </c>
      <c r="M952" s="6" t="str">
        <f>IF($D952="","",IF(ISNA(MATCH($D952,'Paramètres'!$M:$M,0)),"⚠ Type inconnu",IF($L952="Crédit","",IFERROR(INDEX('Paramètres'!$O:$O,MATCH($D952,'Paramètres'!$M:$M,0))&amp;"",""))))</f>
        <v>Dépense Courante</v>
      </c>
      <c r="N952" s="6" t="str">
        <f>IF($D952="","",IFERROR(INDEX('Paramètres'!$Q:$Q,MATCH($D952,'Paramètres'!$M:$M,0))&amp;"",""))</f>
        <v>Alimentation</v>
      </c>
      <c r="O952" s="6">
        <f>IF($A952="","",IF(OR($J952&lt;&gt;"x",$A952&lt;=FinReleve),1,0))</f>
        <v>1</v>
      </c>
      <c r="P952" s="6">
        <f>IF($D952="","",IF(AND($L952="Crédit",OR(IFERROR(INDEX('Paramètres'!$O:$O,MATCH($D952,'Paramètres'!$M:$M,0))&amp;"","")&lt;&gt;"",ISNUMBER(SEARCH("remboursement",IFERROR(INDEX('Paramètres'!$N:$N,MATCH($D952,'Paramètres'!$M:$M,0))&amp;"",""))))),1,0))</f>
        <v>0</v>
      </c>
      <c r="Q952" s="6">
        <f>IF($K952="","",IF(ISNUMBER(SEARCH("transfert-interne",IFERROR(INDEX('Paramètres'!$N:$N,MATCH($D952,'Paramètres'!$M:$M,0))&amp;"",""))),0,IF($L952="Débit",$K952,IF($P952=1,-$K952,0))))</f>
        <v>12.43</v>
      </c>
      <c r="R952" s="6">
        <f>IF($K952="","",IF($L952="Crédit",$K952,-$K952))</f>
        <v>-12.43</v>
      </c>
      <c r="S952" s="6" t="str">
        <f>IF($C952="","",IFERROR(INDEX('Paramètres'!$H:$H,MATCH($C952,'Paramètres'!$D:$D,0))&amp;"",""))</f>
        <v>Banque A - Courant</v>
      </c>
      <c r="T952" s="6">
        <f>IF($K952="","",IF($S952="",0,IF(ISNUMBER(SEARCH("apport-exterieur",IFERROR(INDEX('Paramètres'!$N:$N,MATCH($D952,'Paramètres'!$M:$M,0))&amp;"",""))),0,IF(OR(IFERROR(INDEX('Paramètres'!$I:$I,MATCH($C952,'Paramètres'!$D:$D,0))&amp;"","")="Les deux",IFERROR(INDEX('Paramètres'!$I:$I,MATCH($C952,'Paramètres'!$D:$D,0))&amp;"","")=IF($P952=1,"Débit",$L952)),-IF($P952=1,-$K952,$K952),0))))</f>
        <v>0</v>
      </c>
      <c r="U952" s="6">
        <f>IF($K952="","",IF(ISNUMBER(SEARCH("sortie-epargne",IFERROR(INDEX('Paramètres'!$N:$N,MATCH($D952,'Paramètres'!$M:$M,0))&amp;"",""))),$K952,0))</f>
        <v>0</v>
      </c>
      <c r="V952" s="6" t="str">
        <f>IF(AND($A952&lt;&gt;"",$O952=1,$L952="Débit",N($Q952)&gt;0,$A952&gt;=Visualisation!$B$1,$A952&lt;Visualisation!$D$1),MAX($V$1:V951)+1,"")</f>
        <v/>
      </c>
    </row>
    <row r="953" spans="1:22" x14ac:dyDescent="0.25">
      <c r="A953" s="9">
        <v>46218</v>
      </c>
      <c r="B953" s="4" t="s">
        <v>100</v>
      </c>
      <c r="C953" s="4" t="s">
        <v>65</v>
      </c>
      <c r="D953" s="4" t="s">
        <v>100</v>
      </c>
      <c r="E953" s="10">
        <v>109.22</v>
      </c>
      <c r="G953" s="4"/>
      <c r="H953" s="4"/>
      <c r="I953" s="4"/>
      <c r="K953" s="11">
        <f>IF($E953="","",ROUND($E953*IF(ISNA(MATCH($C953,'Paramètres'!$D:$D,0)),1,IF(INDEX('Paramètres'!$J:$J,MATCH($C953,'Paramètres'!$D:$D,0))="",1,INDEX('Paramètres'!$J:$J,MATCH($C953,'Paramètres'!$D:$D,0)))),2))</f>
        <v>109.22</v>
      </c>
      <c r="L953" s="6" t="str">
        <f>IF($D953="","",IF($F953&lt;&gt;"",$F953,IF(ISNA(MATCH($D953,'Paramètres'!$M:$M,0)),"⚠ Type inconnu",IFERROR(INDEX('Paramètres'!$P:$P,MATCH($D953,'Paramètres'!$M:$M,0))&amp;"",""))))</f>
        <v>Débit</v>
      </c>
      <c r="M953" s="6" t="str">
        <f>IF($D953="","",IF(ISNA(MATCH($D953,'Paramètres'!$M:$M,0)),"⚠ Type inconnu",IF($L953="Crédit","",IFERROR(INDEX('Paramètres'!$O:$O,MATCH($D953,'Paramètres'!$M:$M,0))&amp;"",""))))</f>
        <v>Dépense Fixe</v>
      </c>
      <c r="N953" s="6" t="str">
        <f>IF($D953="","",IFERROR(INDEX('Paramètres'!$Q:$Q,MATCH($D953,'Paramètres'!$M:$M,0))&amp;"",""))</f>
        <v>Immobilier</v>
      </c>
      <c r="O953" s="6">
        <f>IF($A953="","",IF(OR($J953&lt;&gt;"x",$A953&lt;=FinReleve),1,0))</f>
        <v>1</v>
      </c>
      <c r="P953" s="6">
        <f>IF($D953="","",IF(AND($L953="Crédit",OR(IFERROR(INDEX('Paramètres'!$O:$O,MATCH($D953,'Paramètres'!$M:$M,0))&amp;"","")&lt;&gt;"",ISNUMBER(SEARCH("remboursement",IFERROR(INDEX('Paramètres'!$N:$N,MATCH($D953,'Paramètres'!$M:$M,0))&amp;"",""))))),1,0))</f>
        <v>0</v>
      </c>
      <c r="Q953" s="6">
        <f>IF($K953="","",IF(ISNUMBER(SEARCH("transfert-interne",IFERROR(INDEX('Paramètres'!$N:$N,MATCH($D953,'Paramètres'!$M:$M,0))&amp;"",""))),0,IF($L953="Débit",$K953,IF($P953=1,-$K953,0))))</f>
        <v>109.22</v>
      </c>
      <c r="R953" s="6">
        <f>IF($K953="","",IF($L953="Crédit",$K953,-$K953))</f>
        <v>-109.22</v>
      </c>
      <c r="S953" s="6" t="str">
        <f>IF($C953="","",IFERROR(INDEX('Paramètres'!$H:$H,MATCH($C953,'Paramètres'!$D:$D,0))&amp;"",""))</f>
        <v>Banque A - Courant</v>
      </c>
      <c r="T953" s="6">
        <f>IF($K953="","",IF($S953="",0,IF(ISNUMBER(SEARCH("apport-exterieur",IFERROR(INDEX('Paramètres'!$N:$N,MATCH($D953,'Paramètres'!$M:$M,0))&amp;"",""))),0,IF(OR(IFERROR(INDEX('Paramètres'!$I:$I,MATCH($C953,'Paramètres'!$D:$D,0))&amp;"","")="Les deux",IFERROR(INDEX('Paramètres'!$I:$I,MATCH($C953,'Paramètres'!$D:$D,0))&amp;"","")=IF($P953=1,"Débit",$L953)),-IF($P953=1,-$K953,$K953),0))))</f>
        <v>0</v>
      </c>
      <c r="U953" s="6">
        <f>IF($K953="","",IF(ISNUMBER(SEARCH("sortie-epargne",IFERROR(INDEX('Paramètres'!$N:$N,MATCH($D953,'Paramètres'!$M:$M,0))&amp;"",""))),$K953,0))</f>
        <v>0</v>
      </c>
      <c r="V953" s="6" t="str">
        <f>IF(AND($A953&lt;&gt;"",$O953=1,$L953="Débit",N($Q953)&gt;0,$A953&gt;=Visualisation!$B$1,$A953&lt;Visualisation!$D$1),MAX($V$1:V952)+1,"")</f>
        <v/>
      </c>
    </row>
    <row r="954" spans="1:22" x14ac:dyDescent="0.25">
      <c r="A954" s="9">
        <v>46219</v>
      </c>
      <c r="B954" s="4" t="s">
        <v>76</v>
      </c>
      <c r="C954" s="4" t="s">
        <v>60</v>
      </c>
      <c r="D954" s="4" t="s">
        <v>77</v>
      </c>
      <c r="E954" s="10">
        <v>97.82</v>
      </c>
      <c r="G954" s="4" t="s">
        <v>102</v>
      </c>
      <c r="H954" s="4" t="s">
        <v>148</v>
      </c>
      <c r="I954" s="4" t="s">
        <v>79</v>
      </c>
      <c r="K954" s="11">
        <f>IF($E954="","",ROUND($E954*IF(ISNA(MATCH($C954,'Paramètres'!$D:$D,0)),1,IF(INDEX('Paramètres'!$J:$J,MATCH($C954,'Paramètres'!$D:$D,0))="",1,INDEX('Paramètres'!$J:$J,MATCH($C954,'Paramètres'!$D:$D,0)))),2))</f>
        <v>48.91</v>
      </c>
      <c r="L954" s="6" t="str">
        <f>IF($D954="","",IF($F954&lt;&gt;"",$F954,IF(ISNA(MATCH($D954,'Paramètres'!$M:$M,0)),"⚠ Type inconnu",IFERROR(INDEX('Paramètres'!$P:$P,MATCH($D954,'Paramètres'!$M:$M,0))&amp;"",""))))</f>
        <v>Débit</v>
      </c>
      <c r="M954" s="6" t="str">
        <f>IF($D954="","",IF(ISNA(MATCH($D954,'Paramètres'!$M:$M,0)),"⚠ Type inconnu",IF($L954="Crédit","",IFERROR(INDEX('Paramètres'!$O:$O,MATCH($D954,'Paramètres'!$M:$M,0))&amp;"",""))))</f>
        <v>Dépense Courante</v>
      </c>
      <c r="N954" s="6" t="str">
        <f>IF($D954="","",IFERROR(INDEX('Paramètres'!$Q:$Q,MATCH($D954,'Paramètres'!$M:$M,0))&amp;"",""))</f>
        <v>Alimentation</v>
      </c>
      <c r="O954" s="6">
        <f>IF($A954="","",IF(OR($J954&lt;&gt;"x",$A954&lt;=FinReleve),1,0))</f>
        <v>1</v>
      </c>
      <c r="P954" s="6">
        <f>IF($D954="","",IF(AND($L954="Crédit",OR(IFERROR(INDEX('Paramètres'!$O:$O,MATCH($D954,'Paramètres'!$M:$M,0))&amp;"","")&lt;&gt;"",ISNUMBER(SEARCH("remboursement",IFERROR(INDEX('Paramètres'!$N:$N,MATCH($D954,'Paramètres'!$M:$M,0))&amp;"",""))))),1,0))</f>
        <v>0</v>
      </c>
      <c r="Q954" s="6">
        <f>IF($K954="","",IF(ISNUMBER(SEARCH("transfert-interne",IFERROR(INDEX('Paramètres'!$N:$N,MATCH($D954,'Paramètres'!$M:$M,0))&amp;"",""))),0,IF($L954="Débit",$K954,IF($P954=1,-$K954,0))))</f>
        <v>48.91</v>
      </c>
      <c r="R954" s="6">
        <f>IF($K954="","",IF($L954="Crédit",$K954,-$K954))</f>
        <v>-48.91</v>
      </c>
      <c r="S954" s="6" t="str">
        <f>IF($C954="","",IFERROR(INDEX('Paramètres'!$H:$H,MATCH($C954,'Paramètres'!$D:$D,0))&amp;"",""))</f>
        <v>Banque A - Courant</v>
      </c>
      <c r="T954" s="6">
        <f>IF($K954="","",IF($S954="",0,IF(ISNUMBER(SEARCH("apport-exterieur",IFERROR(INDEX('Paramètres'!$N:$N,MATCH($D954,'Paramètres'!$M:$M,0))&amp;"",""))),0,IF(OR(IFERROR(INDEX('Paramètres'!$I:$I,MATCH($C954,'Paramètres'!$D:$D,0))&amp;"","")="Les deux",IFERROR(INDEX('Paramètres'!$I:$I,MATCH($C954,'Paramètres'!$D:$D,0))&amp;"","")=IF($P954=1,"Débit",$L954)),-IF($P954=1,-$K954,$K954),0))))</f>
        <v>-48.91</v>
      </c>
      <c r="U954" s="6">
        <f>IF($K954="","",IF(ISNUMBER(SEARCH("sortie-epargne",IFERROR(INDEX('Paramètres'!$N:$N,MATCH($D954,'Paramètres'!$M:$M,0))&amp;"",""))),$K954,0))</f>
        <v>0</v>
      </c>
      <c r="V954" s="6" t="str">
        <f>IF(AND($A954&lt;&gt;"",$O954=1,$L954="Débit",N($Q954)&gt;0,$A954&gt;=Visualisation!$B$1,$A954&lt;Visualisation!$D$1),MAX($V$1:V953)+1,"")</f>
        <v/>
      </c>
    </row>
    <row r="955" spans="1:22" x14ac:dyDescent="0.25">
      <c r="A955" s="9">
        <v>46219</v>
      </c>
      <c r="B955" s="4" t="s">
        <v>69</v>
      </c>
      <c r="C955" s="4" t="s">
        <v>70</v>
      </c>
      <c r="D955" s="4" t="s">
        <v>71</v>
      </c>
      <c r="E955" s="10">
        <v>8.43</v>
      </c>
      <c r="G955" s="4" t="s">
        <v>72</v>
      </c>
      <c r="H955" s="4"/>
      <c r="I955" s="4" t="s">
        <v>79</v>
      </c>
      <c r="K955" s="11">
        <f>IF($E955="","",ROUND($E955*IF(ISNA(MATCH($C955,'Paramètres'!$D:$D,0)),1,IF(INDEX('Paramètres'!$J:$J,MATCH($C955,'Paramètres'!$D:$D,0))="",1,INDEX('Paramètres'!$J:$J,MATCH($C955,'Paramètres'!$D:$D,0)))),2))</f>
        <v>8.43</v>
      </c>
      <c r="L955" s="6" t="str">
        <f>IF($D955="","",IF($F955&lt;&gt;"",$F955,IF(ISNA(MATCH($D955,'Paramètres'!$M:$M,0)),"⚠ Type inconnu",IFERROR(INDEX('Paramètres'!$P:$P,MATCH($D955,'Paramètres'!$M:$M,0))&amp;"",""))))</f>
        <v>Débit</v>
      </c>
      <c r="M955" s="6" t="str">
        <f>IF($D955="","",IF(ISNA(MATCH($D955,'Paramètres'!$M:$M,0)),"⚠ Type inconnu",IF($L955="Crédit","",IFERROR(INDEX('Paramètres'!$O:$O,MATCH($D955,'Paramètres'!$M:$M,0))&amp;"",""))))</f>
        <v>Dépense Courante</v>
      </c>
      <c r="N955" s="6" t="str">
        <f>IF($D955="","",IFERROR(INDEX('Paramètres'!$Q:$Q,MATCH($D955,'Paramètres'!$M:$M,0))&amp;"",""))</f>
        <v>Alimentation</v>
      </c>
      <c r="O955" s="6">
        <f>IF($A955="","",IF(OR($J955&lt;&gt;"x",$A955&lt;=FinReleve),1,0))</f>
        <v>1</v>
      </c>
      <c r="P955" s="6">
        <f>IF($D955="","",IF(AND($L955="Crédit",OR(IFERROR(INDEX('Paramètres'!$O:$O,MATCH($D955,'Paramètres'!$M:$M,0))&amp;"","")&lt;&gt;"",ISNUMBER(SEARCH("remboursement",IFERROR(INDEX('Paramètres'!$N:$N,MATCH($D955,'Paramètres'!$M:$M,0))&amp;"",""))))),1,0))</f>
        <v>0</v>
      </c>
      <c r="Q955" s="6">
        <f>IF($K955="","",IF(ISNUMBER(SEARCH("transfert-interne",IFERROR(INDEX('Paramètres'!$N:$N,MATCH($D955,'Paramètres'!$M:$M,0))&amp;"",""))),0,IF($L955="Débit",$K955,IF($P955=1,-$K955,0))))</f>
        <v>8.43</v>
      </c>
      <c r="R955" s="6">
        <f>IF($K955="","",IF($L955="Crédit",$K955,-$K955))</f>
        <v>-8.43</v>
      </c>
      <c r="S955" s="6" t="str">
        <f>IF($C955="","",IFERROR(INDEX('Paramètres'!$H:$H,MATCH($C955,'Paramètres'!$D:$D,0))&amp;"",""))</f>
        <v/>
      </c>
      <c r="T955" s="6">
        <f>IF($K955="","",IF($S955="",0,IF(ISNUMBER(SEARCH("apport-exterieur",IFERROR(INDEX('Paramètres'!$N:$N,MATCH($D955,'Paramètres'!$M:$M,0))&amp;"",""))),0,IF(OR(IFERROR(INDEX('Paramètres'!$I:$I,MATCH($C955,'Paramètres'!$D:$D,0))&amp;"","")="Les deux",IFERROR(INDEX('Paramètres'!$I:$I,MATCH($C955,'Paramètres'!$D:$D,0))&amp;"","")=IF($P955=1,"Débit",$L955)),-IF($P955=1,-$K955,$K955),0))))</f>
        <v>0</v>
      </c>
      <c r="U955" s="6">
        <f>IF($K955="","",IF(ISNUMBER(SEARCH("sortie-epargne",IFERROR(INDEX('Paramètres'!$N:$N,MATCH($D955,'Paramètres'!$M:$M,0))&amp;"",""))),$K955,0))</f>
        <v>0</v>
      </c>
      <c r="V955" s="6" t="str">
        <f>IF(AND($A955&lt;&gt;"",$O955=1,$L955="Débit",N($Q955)&gt;0,$A955&gt;=Visualisation!$B$1,$A955&lt;Visualisation!$D$1),MAX($V$1:V954)+1,"")</f>
        <v/>
      </c>
    </row>
    <row r="956" spans="1:22" x14ac:dyDescent="0.25">
      <c r="A956" s="9">
        <v>46220</v>
      </c>
      <c r="B956" s="4" t="s">
        <v>76</v>
      </c>
      <c r="C956" s="4" t="s">
        <v>67</v>
      </c>
      <c r="D956" s="4" t="s">
        <v>77</v>
      </c>
      <c r="E956" s="10">
        <v>96.86</v>
      </c>
      <c r="G956" s="4" t="s">
        <v>102</v>
      </c>
      <c r="H956" s="4" t="s">
        <v>148</v>
      </c>
      <c r="I956" s="4"/>
      <c r="K956" s="11">
        <f>IF($E956="","",ROUND($E956*IF(ISNA(MATCH($C956,'Paramètres'!$D:$D,0)),1,IF(INDEX('Paramètres'!$J:$J,MATCH($C956,'Paramètres'!$D:$D,0))="",1,INDEX('Paramètres'!$J:$J,MATCH($C956,'Paramètres'!$D:$D,0)))),2))</f>
        <v>48.43</v>
      </c>
      <c r="L956" s="6" t="str">
        <f>IF($D956="","",IF($F956&lt;&gt;"",$F956,IF(ISNA(MATCH($D956,'Paramètres'!$M:$M,0)),"⚠ Type inconnu",IFERROR(INDEX('Paramètres'!$P:$P,MATCH($D956,'Paramètres'!$M:$M,0))&amp;"",""))))</f>
        <v>Débit</v>
      </c>
      <c r="M956" s="6" t="str">
        <f>IF($D956="","",IF(ISNA(MATCH($D956,'Paramètres'!$M:$M,0)),"⚠ Type inconnu",IF($L956="Crédit","",IFERROR(INDEX('Paramètres'!$O:$O,MATCH($D956,'Paramètres'!$M:$M,0))&amp;"",""))))</f>
        <v>Dépense Courante</v>
      </c>
      <c r="N956" s="6" t="str">
        <f>IF($D956="","",IFERROR(INDEX('Paramètres'!$Q:$Q,MATCH($D956,'Paramètres'!$M:$M,0))&amp;"",""))</f>
        <v>Alimentation</v>
      </c>
      <c r="O956" s="6">
        <f>IF($A956="","",IF(OR($J956&lt;&gt;"x",$A956&lt;=FinReleve),1,0))</f>
        <v>1</v>
      </c>
      <c r="P956" s="6">
        <f>IF($D956="","",IF(AND($L956="Crédit",OR(IFERROR(INDEX('Paramètres'!$O:$O,MATCH($D956,'Paramètres'!$M:$M,0))&amp;"","")&lt;&gt;"",ISNUMBER(SEARCH("remboursement",IFERROR(INDEX('Paramètres'!$N:$N,MATCH($D956,'Paramètres'!$M:$M,0))&amp;"",""))))),1,0))</f>
        <v>0</v>
      </c>
      <c r="Q956" s="6">
        <f>IF($K956="","",IF(ISNUMBER(SEARCH("transfert-interne",IFERROR(INDEX('Paramètres'!$N:$N,MATCH($D956,'Paramètres'!$M:$M,0))&amp;"",""))),0,IF($L956="Débit",$K956,IF($P956=1,-$K956,0))))</f>
        <v>48.43</v>
      </c>
      <c r="R956" s="6">
        <f>IF($K956="","",IF($L956="Crédit",$K956,-$K956))</f>
        <v>-48.43</v>
      </c>
      <c r="S956" s="6" t="str">
        <f>IF($C956="","",IFERROR(INDEX('Paramètres'!$H:$H,MATCH($C956,'Paramètres'!$D:$D,0))&amp;"",""))</f>
        <v>Banque A - Courant</v>
      </c>
      <c r="T956" s="6">
        <f>IF($K956="","",IF($S956="",0,IF(ISNUMBER(SEARCH("apport-exterieur",IFERROR(INDEX('Paramètres'!$N:$N,MATCH($D956,'Paramètres'!$M:$M,0))&amp;"",""))),0,IF(OR(IFERROR(INDEX('Paramètres'!$I:$I,MATCH($C956,'Paramètres'!$D:$D,0))&amp;"","")="Les deux",IFERROR(INDEX('Paramètres'!$I:$I,MATCH($C956,'Paramètres'!$D:$D,0))&amp;"","")=IF($P956=1,"Débit",$L956)),-IF($P956=1,-$K956,$K956),0))))</f>
        <v>0</v>
      </c>
      <c r="U956" s="6">
        <f>IF($K956="","",IF(ISNUMBER(SEARCH("sortie-epargne",IFERROR(INDEX('Paramètres'!$N:$N,MATCH($D956,'Paramètres'!$M:$M,0))&amp;"",""))),$K956,0))</f>
        <v>0</v>
      </c>
      <c r="V956" s="6" t="str">
        <f>IF(AND($A956&lt;&gt;"",$O956=1,$L956="Débit",N($Q956)&gt;0,$A956&gt;=Visualisation!$B$1,$A956&lt;Visualisation!$D$1),MAX($V$1:V955)+1,"")</f>
        <v/>
      </c>
    </row>
    <row r="957" spans="1:22" x14ac:dyDescent="0.25">
      <c r="A957" s="9">
        <v>46221</v>
      </c>
      <c r="B957" s="4" t="s">
        <v>103</v>
      </c>
      <c r="C957" s="4" t="s">
        <v>75</v>
      </c>
      <c r="D957" s="4" t="s">
        <v>103</v>
      </c>
      <c r="E957" s="10">
        <v>212</v>
      </c>
      <c r="G957" s="4"/>
      <c r="H957" s="4"/>
      <c r="I957" s="4"/>
      <c r="K957" s="11">
        <f>IF($E957="","",ROUND($E957*IF(ISNA(MATCH($C957,'Paramètres'!$D:$D,0)),1,IF(INDEX('Paramètres'!$J:$J,MATCH($C957,'Paramètres'!$D:$D,0))="",1,INDEX('Paramètres'!$J:$J,MATCH($C957,'Paramètres'!$D:$D,0)))),2))</f>
        <v>212</v>
      </c>
      <c r="L957" s="6" t="str">
        <f>IF($D957="","",IF($F957&lt;&gt;"",$F957,IF(ISNA(MATCH($D957,'Paramètres'!$M:$M,0)),"⚠ Type inconnu",IFERROR(INDEX('Paramètres'!$P:$P,MATCH($D957,'Paramètres'!$M:$M,0))&amp;"",""))))</f>
        <v>Débit</v>
      </c>
      <c r="M957" s="6" t="str">
        <f>IF($D957="","",IF(ISNA(MATCH($D957,'Paramètres'!$M:$M,0)),"⚠ Type inconnu",IF($L957="Crédit","",IFERROR(INDEX('Paramètres'!$O:$O,MATCH($D957,'Paramètres'!$M:$M,0))&amp;"",""))))</f>
        <v>Dépense Fixe</v>
      </c>
      <c r="N957" s="6" t="str">
        <f>IF($D957="","",IFERROR(INDEX('Paramètres'!$Q:$Q,MATCH($D957,'Paramètres'!$M:$M,0))&amp;"",""))</f>
        <v>Impots</v>
      </c>
      <c r="O957" s="6">
        <f>IF($A957="","",IF(OR($J957&lt;&gt;"x",$A957&lt;=FinReleve),1,0))</f>
        <v>1</v>
      </c>
      <c r="P957" s="6">
        <f>IF($D957="","",IF(AND($L957="Crédit",OR(IFERROR(INDEX('Paramètres'!$O:$O,MATCH($D957,'Paramètres'!$M:$M,0))&amp;"","")&lt;&gt;"",ISNUMBER(SEARCH("remboursement",IFERROR(INDEX('Paramètres'!$N:$N,MATCH($D957,'Paramètres'!$M:$M,0))&amp;"",""))))),1,0))</f>
        <v>0</v>
      </c>
      <c r="Q957" s="6">
        <f>IF($K957="","",IF(ISNUMBER(SEARCH("transfert-interne",IFERROR(INDEX('Paramètres'!$N:$N,MATCH($D957,'Paramètres'!$M:$M,0))&amp;"",""))),0,IF($L957="Débit",$K957,IF($P957=1,-$K957,0))))</f>
        <v>212</v>
      </c>
      <c r="R957" s="6">
        <f>IF($K957="","",IF($L957="Crédit",$K957,-$K957))</f>
        <v>-212</v>
      </c>
      <c r="S957" s="6" t="str">
        <f>IF($C957="","",IFERROR(INDEX('Paramètres'!$H:$H,MATCH($C957,'Paramètres'!$D:$D,0))&amp;"",""))</f>
        <v/>
      </c>
      <c r="T957" s="6">
        <f>IF($K957="","",IF($S957="",0,IF(ISNUMBER(SEARCH("apport-exterieur",IFERROR(INDEX('Paramètres'!$N:$N,MATCH($D957,'Paramètres'!$M:$M,0))&amp;"",""))),0,IF(OR(IFERROR(INDEX('Paramètres'!$I:$I,MATCH($C957,'Paramètres'!$D:$D,0))&amp;"","")="Les deux",IFERROR(INDEX('Paramètres'!$I:$I,MATCH($C957,'Paramètres'!$D:$D,0))&amp;"","")=IF($P957=1,"Débit",$L957)),-IF($P957=1,-$K957,$K957),0))))</f>
        <v>0</v>
      </c>
      <c r="U957" s="6">
        <f>IF($K957="","",IF(ISNUMBER(SEARCH("sortie-epargne",IFERROR(INDEX('Paramètres'!$N:$N,MATCH($D957,'Paramètres'!$M:$M,0))&amp;"",""))),$K957,0))</f>
        <v>0</v>
      </c>
      <c r="V957" s="6" t="str">
        <f>IF(AND($A957&lt;&gt;"",$O957=1,$L957="Débit",N($Q957)&gt;0,$A957&gt;=Visualisation!$B$1,$A957&lt;Visualisation!$D$1),MAX($V$1:V956)+1,"")</f>
        <v/>
      </c>
    </row>
    <row r="958" spans="1:22" x14ac:dyDescent="0.25">
      <c r="A958" s="9">
        <v>46223</v>
      </c>
      <c r="B958" s="4" t="s">
        <v>76</v>
      </c>
      <c r="C958" s="4" t="s">
        <v>67</v>
      </c>
      <c r="D958" s="4" t="s">
        <v>77</v>
      </c>
      <c r="E958" s="10">
        <v>26.16</v>
      </c>
      <c r="G958" s="4" t="s">
        <v>102</v>
      </c>
      <c r="H958" s="4" t="s">
        <v>148</v>
      </c>
      <c r="I958" s="4" t="s">
        <v>63</v>
      </c>
      <c r="K958" s="11">
        <f>IF($E958="","",ROUND($E958*IF(ISNA(MATCH($C958,'Paramètres'!$D:$D,0)),1,IF(INDEX('Paramètres'!$J:$J,MATCH($C958,'Paramètres'!$D:$D,0))="",1,INDEX('Paramètres'!$J:$J,MATCH($C958,'Paramètres'!$D:$D,0)))),2))</f>
        <v>13.08</v>
      </c>
      <c r="L958" s="6" t="str">
        <f>IF($D958="","",IF($F958&lt;&gt;"",$F958,IF(ISNA(MATCH($D958,'Paramètres'!$M:$M,0)),"⚠ Type inconnu",IFERROR(INDEX('Paramètres'!$P:$P,MATCH($D958,'Paramètres'!$M:$M,0))&amp;"",""))))</f>
        <v>Débit</v>
      </c>
      <c r="M958" s="6" t="str">
        <f>IF($D958="","",IF(ISNA(MATCH($D958,'Paramètres'!$M:$M,0)),"⚠ Type inconnu",IF($L958="Crédit","",IFERROR(INDEX('Paramètres'!$O:$O,MATCH($D958,'Paramètres'!$M:$M,0))&amp;"",""))))</f>
        <v>Dépense Courante</v>
      </c>
      <c r="N958" s="6" t="str">
        <f>IF($D958="","",IFERROR(INDEX('Paramètres'!$Q:$Q,MATCH($D958,'Paramètres'!$M:$M,0))&amp;"",""))</f>
        <v>Alimentation</v>
      </c>
      <c r="O958" s="6">
        <f>IF($A958="","",IF(OR($J958&lt;&gt;"x",$A958&lt;=FinReleve),1,0))</f>
        <v>1</v>
      </c>
      <c r="P958" s="6">
        <f>IF($D958="","",IF(AND($L958="Crédit",OR(IFERROR(INDEX('Paramètres'!$O:$O,MATCH($D958,'Paramètres'!$M:$M,0))&amp;"","")&lt;&gt;"",ISNUMBER(SEARCH("remboursement",IFERROR(INDEX('Paramètres'!$N:$N,MATCH($D958,'Paramètres'!$M:$M,0))&amp;"",""))))),1,0))</f>
        <v>0</v>
      </c>
      <c r="Q958" s="6">
        <f>IF($K958="","",IF(ISNUMBER(SEARCH("transfert-interne",IFERROR(INDEX('Paramètres'!$N:$N,MATCH($D958,'Paramètres'!$M:$M,0))&amp;"",""))),0,IF($L958="Débit",$K958,IF($P958=1,-$K958,0))))</f>
        <v>13.08</v>
      </c>
      <c r="R958" s="6">
        <f>IF($K958="","",IF($L958="Crédit",$K958,-$K958))</f>
        <v>-13.08</v>
      </c>
      <c r="S958" s="6" t="str">
        <f>IF($C958="","",IFERROR(INDEX('Paramètres'!$H:$H,MATCH($C958,'Paramètres'!$D:$D,0))&amp;"",""))</f>
        <v>Banque A - Courant</v>
      </c>
      <c r="T958" s="6">
        <f>IF($K958="","",IF($S958="",0,IF(ISNUMBER(SEARCH("apport-exterieur",IFERROR(INDEX('Paramètres'!$N:$N,MATCH($D958,'Paramètres'!$M:$M,0))&amp;"",""))),0,IF(OR(IFERROR(INDEX('Paramètres'!$I:$I,MATCH($C958,'Paramètres'!$D:$D,0))&amp;"","")="Les deux",IFERROR(INDEX('Paramètres'!$I:$I,MATCH($C958,'Paramètres'!$D:$D,0))&amp;"","")=IF($P958=1,"Débit",$L958)),-IF($P958=1,-$K958,$K958),0))))</f>
        <v>0</v>
      </c>
      <c r="U958" s="6">
        <f>IF($K958="","",IF(ISNUMBER(SEARCH("sortie-epargne",IFERROR(INDEX('Paramètres'!$N:$N,MATCH($D958,'Paramètres'!$M:$M,0))&amp;"",""))),$K958,0))</f>
        <v>0</v>
      </c>
      <c r="V958" s="6" t="str">
        <f>IF(AND($A958&lt;&gt;"",$O958=1,$L958="Débit",N($Q958)&gt;0,$A958&gt;=Visualisation!$B$1,$A958&lt;Visualisation!$D$1),MAX($V$1:V957)+1,"")</f>
        <v/>
      </c>
    </row>
    <row r="959" spans="1:22" x14ac:dyDescent="0.25">
      <c r="A959" s="9">
        <v>46224</v>
      </c>
      <c r="B959" s="4" t="s">
        <v>76</v>
      </c>
      <c r="C959" s="4" t="s">
        <v>67</v>
      </c>
      <c r="D959" s="4" t="s">
        <v>77</v>
      </c>
      <c r="E959" s="10">
        <v>68.36</v>
      </c>
      <c r="G959" s="4" t="s">
        <v>78</v>
      </c>
      <c r="H959" s="4" t="s">
        <v>148</v>
      </c>
      <c r="I959" s="4" t="s">
        <v>73</v>
      </c>
      <c r="K959" s="11">
        <f>IF($E959="","",ROUND($E959*IF(ISNA(MATCH($C959,'Paramètres'!$D:$D,0)),1,IF(INDEX('Paramètres'!$J:$J,MATCH($C959,'Paramètres'!$D:$D,0))="",1,INDEX('Paramètres'!$J:$J,MATCH($C959,'Paramètres'!$D:$D,0)))),2))</f>
        <v>34.18</v>
      </c>
      <c r="L959" s="6" t="str">
        <f>IF($D959="","",IF($F959&lt;&gt;"",$F959,IF(ISNA(MATCH($D959,'Paramètres'!$M:$M,0)),"⚠ Type inconnu",IFERROR(INDEX('Paramètres'!$P:$P,MATCH($D959,'Paramètres'!$M:$M,0))&amp;"",""))))</f>
        <v>Débit</v>
      </c>
      <c r="M959" s="6" t="str">
        <f>IF($D959="","",IF(ISNA(MATCH($D959,'Paramètres'!$M:$M,0)),"⚠ Type inconnu",IF($L959="Crédit","",IFERROR(INDEX('Paramètres'!$O:$O,MATCH($D959,'Paramètres'!$M:$M,0))&amp;"",""))))</f>
        <v>Dépense Courante</v>
      </c>
      <c r="N959" s="6" t="str">
        <f>IF($D959="","",IFERROR(INDEX('Paramètres'!$Q:$Q,MATCH($D959,'Paramètres'!$M:$M,0))&amp;"",""))</f>
        <v>Alimentation</v>
      </c>
      <c r="O959" s="6">
        <f>IF($A959="","",IF(OR($J959&lt;&gt;"x",$A959&lt;=FinReleve),1,0))</f>
        <v>1</v>
      </c>
      <c r="P959" s="6">
        <f>IF($D959="","",IF(AND($L959="Crédit",OR(IFERROR(INDEX('Paramètres'!$O:$O,MATCH($D959,'Paramètres'!$M:$M,0))&amp;"","")&lt;&gt;"",ISNUMBER(SEARCH("remboursement",IFERROR(INDEX('Paramètres'!$N:$N,MATCH($D959,'Paramètres'!$M:$M,0))&amp;"",""))))),1,0))</f>
        <v>0</v>
      </c>
      <c r="Q959" s="6">
        <f>IF($K959="","",IF(ISNUMBER(SEARCH("transfert-interne",IFERROR(INDEX('Paramètres'!$N:$N,MATCH($D959,'Paramètres'!$M:$M,0))&amp;"",""))),0,IF($L959="Débit",$K959,IF($P959=1,-$K959,0))))</f>
        <v>34.18</v>
      </c>
      <c r="R959" s="6">
        <f>IF($K959="","",IF($L959="Crédit",$K959,-$K959))</f>
        <v>-34.18</v>
      </c>
      <c r="S959" s="6" t="str">
        <f>IF($C959="","",IFERROR(INDEX('Paramètres'!$H:$H,MATCH($C959,'Paramètres'!$D:$D,0))&amp;"",""))</f>
        <v>Banque A - Courant</v>
      </c>
      <c r="T959" s="6">
        <f>IF($K959="","",IF($S959="",0,IF(ISNUMBER(SEARCH("apport-exterieur",IFERROR(INDEX('Paramètres'!$N:$N,MATCH($D959,'Paramètres'!$M:$M,0))&amp;"",""))),0,IF(OR(IFERROR(INDEX('Paramètres'!$I:$I,MATCH($C959,'Paramètres'!$D:$D,0))&amp;"","")="Les deux",IFERROR(INDEX('Paramètres'!$I:$I,MATCH($C959,'Paramètres'!$D:$D,0))&amp;"","")=IF($P959=1,"Débit",$L959)),-IF($P959=1,-$K959,$K959),0))))</f>
        <v>0</v>
      </c>
      <c r="U959" s="6">
        <f>IF($K959="","",IF(ISNUMBER(SEARCH("sortie-epargne",IFERROR(INDEX('Paramètres'!$N:$N,MATCH($D959,'Paramètres'!$M:$M,0))&amp;"",""))),$K959,0))</f>
        <v>0</v>
      </c>
      <c r="V959" s="6" t="str">
        <f>IF(AND($A959&lt;&gt;"",$O959=1,$L959="Débit",N($Q959)&gt;0,$A959&gt;=Visualisation!$B$1,$A959&lt;Visualisation!$D$1),MAX($V$1:V958)+1,"")</f>
        <v/>
      </c>
    </row>
    <row r="960" spans="1:22" x14ac:dyDescent="0.25">
      <c r="A960" s="9">
        <v>46224</v>
      </c>
      <c r="B960" s="4" t="s">
        <v>116</v>
      </c>
      <c r="C960" s="4" t="s">
        <v>60</v>
      </c>
      <c r="D960" s="4" t="s">
        <v>116</v>
      </c>
      <c r="E960" s="10">
        <v>181.44</v>
      </c>
      <c r="G960" s="4" t="s">
        <v>139</v>
      </c>
      <c r="H960" s="4"/>
      <c r="I960" s="4" t="s">
        <v>79</v>
      </c>
      <c r="K960" s="11">
        <f>IF($E960="","",ROUND($E960*IF(ISNA(MATCH($C960,'Paramètres'!$D:$D,0)),1,IF(INDEX('Paramètres'!$J:$J,MATCH($C960,'Paramètres'!$D:$D,0))="",1,INDEX('Paramètres'!$J:$J,MATCH($C960,'Paramètres'!$D:$D,0)))),2))</f>
        <v>90.72</v>
      </c>
      <c r="L960" s="6" t="str">
        <f>IF($D960="","",IF($F960&lt;&gt;"",$F960,IF(ISNA(MATCH($D960,'Paramètres'!$M:$M,0)),"⚠ Type inconnu",IFERROR(INDEX('Paramètres'!$P:$P,MATCH($D960,'Paramètres'!$M:$M,0))&amp;"",""))))</f>
        <v>Débit</v>
      </c>
      <c r="M960" s="6" t="str">
        <f>IF($D960="","",IF(ISNA(MATCH($D960,'Paramètres'!$M:$M,0)),"⚠ Type inconnu",IF($L960="Crédit","",IFERROR(INDEX('Paramètres'!$O:$O,MATCH($D960,'Paramètres'!$M:$M,0))&amp;"",""))))</f>
        <v>Dépense Occasionnelle</v>
      </c>
      <c r="N960" s="6" t="str">
        <f>IF($D960="","",IFERROR(INDEX('Paramètres'!$Q:$Q,MATCH($D960,'Paramètres'!$M:$M,0))&amp;"",""))</f>
        <v>Autre</v>
      </c>
      <c r="O960" s="6">
        <f>IF($A960="","",IF(OR($J960&lt;&gt;"x",$A960&lt;=FinReleve),1,0))</f>
        <v>1</v>
      </c>
      <c r="P960" s="6">
        <f>IF($D960="","",IF(AND($L960="Crédit",OR(IFERROR(INDEX('Paramètres'!$O:$O,MATCH($D960,'Paramètres'!$M:$M,0))&amp;"","")&lt;&gt;"",ISNUMBER(SEARCH("remboursement",IFERROR(INDEX('Paramètres'!$N:$N,MATCH($D960,'Paramètres'!$M:$M,0))&amp;"",""))))),1,0))</f>
        <v>0</v>
      </c>
      <c r="Q960" s="6">
        <f>IF($K960="","",IF(ISNUMBER(SEARCH("transfert-interne",IFERROR(INDEX('Paramètres'!$N:$N,MATCH($D960,'Paramètres'!$M:$M,0))&amp;"",""))),0,IF($L960="Débit",$K960,IF($P960=1,-$K960,0))))</f>
        <v>90.72</v>
      </c>
      <c r="R960" s="6">
        <f>IF($K960="","",IF($L960="Crédit",$K960,-$K960))</f>
        <v>-90.72</v>
      </c>
      <c r="S960" s="6" t="str">
        <f>IF($C960="","",IFERROR(INDEX('Paramètres'!$H:$H,MATCH($C960,'Paramètres'!$D:$D,0))&amp;"",""))</f>
        <v>Banque A - Courant</v>
      </c>
      <c r="T960" s="6">
        <f>IF($K960="","",IF($S960="",0,IF(ISNUMBER(SEARCH("apport-exterieur",IFERROR(INDEX('Paramètres'!$N:$N,MATCH($D960,'Paramètres'!$M:$M,0))&amp;"",""))),0,IF(OR(IFERROR(INDEX('Paramètres'!$I:$I,MATCH($C960,'Paramètres'!$D:$D,0))&amp;"","")="Les deux",IFERROR(INDEX('Paramètres'!$I:$I,MATCH($C960,'Paramètres'!$D:$D,0))&amp;"","")=IF($P960=1,"Débit",$L960)),-IF($P960=1,-$K960,$K960),0))))</f>
        <v>-90.72</v>
      </c>
      <c r="U960" s="6">
        <f>IF($K960="","",IF(ISNUMBER(SEARCH("sortie-epargne",IFERROR(INDEX('Paramètres'!$N:$N,MATCH($D960,'Paramètres'!$M:$M,0))&amp;"",""))),$K960,0))</f>
        <v>0</v>
      </c>
      <c r="V960" s="6" t="str">
        <f>IF(AND($A960&lt;&gt;"",$O960=1,$L960="Débit",N($Q960)&gt;0,$A960&gt;=Visualisation!$B$1,$A960&lt;Visualisation!$D$1),MAX($V$1:V959)+1,"")</f>
        <v/>
      </c>
    </row>
    <row r="961" spans="1:22" x14ac:dyDescent="0.25">
      <c r="A961" s="9">
        <v>46224</v>
      </c>
      <c r="B961" s="4" t="s">
        <v>121</v>
      </c>
      <c r="C961" s="4" t="s">
        <v>60</v>
      </c>
      <c r="D961" s="4" t="s">
        <v>121</v>
      </c>
      <c r="E961" s="10">
        <v>181.38</v>
      </c>
      <c r="G961" s="4" t="s">
        <v>146</v>
      </c>
      <c r="H961" s="4"/>
      <c r="I961" s="4"/>
      <c r="K961" s="11">
        <f>IF($E961="","",ROUND($E961*IF(ISNA(MATCH($C961,'Paramètres'!$D:$D,0)),1,IF(INDEX('Paramètres'!$J:$J,MATCH($C961,'Paramètres'!$D:$D,0))="",1,INDEX('Paramètres'!$J:$J,MATCH($C961,'Paramètres'!$D:$D,0)))),2))</f>
        <v>90.69</v>
      </c>
      <c r="L961" s="6" t="str">
        <f>IF($D961="","",IF($F961&lt;&gt;"",$F961,IF(ISNA(MATCH($D961,'Paramètres'!$M:$M,0)),"⚠ Type inconnu",IFERROR(INDEX('Paramètres'!$P:$P,MATCH($D961,'Paramètres'!$M:$M,0))&amp;"",""))))</f>
        <v>Débit</v>
      </c>
      <c r="M961" s="6" t="str">
        <f>IF($D961="","",IF(ISNA(MATCH($D961,'Paramètres'!$M:$M,0)),"⚠ Type inconnu",IF($L961="Crédit","",IFERROR(INDEX('Paramètres'!$O:$O,MATCH($D961,'Paramètres'!$M:$M,0))&amp;"",""))))</f>
        <v>Dépense Occasionnelle</v>
      </c>
      <c r="N961" s="6" t="str">
        <f>IF($D961="","",IFERROR(INDEX('Paramètres'!$Q:$Q,MATCH($D961,'Paramètres'!$M:$M,0))&amp;"",""))</f>
        <v>Autre</v>
      </c>
      <c r="O961" s="6">
        <f>IF($A961="","",IF(OR($J961&lt;&gt;"x",$A961&lt;=FinReleve),1,0))</f>
        <v>1</v>
      </c>
      <c r="P961" s="6">
        <f>IF($D961="","",IF(AND($L961="Crédit",OR(IFERROR(INDEX('Paramètres'!$O:$O,MATCH($D961,'Paramètres'!$M:$M,0))&amp;"","")&lt;&gt;"",ISNUMBER(SEARCH("remboursement",IFERROR(INDEX('Paramètres'!$N:$N,MATCH($D961,'Paramètres'!$M:$M,0))&amp;"",""))))),1,0))</f>
        <v>0</v>
      </c>
      <c r="Q961" s="6">
        <f>IF($K961="","",IF(ISNUMBER(SEARCH("transfert-interne",IFERROR(INDEX('Paramètres'!$N:$N,MATCH($D961,'Paramètres'!$M:$M,0))&amp;"",""))),0,IF($L961="Débit",$K961,IF($P961=1,-$K961,0))))</f>
        <v>90.69</v>
      </c>
      <c r="R961" s="6">
        <f>IF($K961="","",IF($L961="Crédit",$K961,-$K961))</f>
        <v>-90.69</v>
      </c>
      <c r="S961" s="6" t="str">
        <f>IF($C961="","",IFERROR(INDEX('Paramètres'!$H:$H,MATCH($C961,'Paramètres'!$D:$D,0))&amp;"",""))</f>
        <v>Banque A - Courant</v>
      </c>
      <c r="T961" s="6">
        <f>IF($K961="","",IF($S961="",0,IF(ISNUMBER(SEARCH("apport-exterieur",IFERROR(INDEX('Paramètres'!$N:$N,MATCH($D961,'Paramètres'!$M:$M,0))&amp;"",""))),0,IF(OR(IFERROR(INDEX('Paramètres'!$I:$I,MATCH($C961,'Paramètres'!$D:$D,0))&amp;"","")="Les deux",IFERROR(INDEX('Paramètres'!$I:$I,MATCH($C961,'Paramètres'!$D:$D,0))&amp;"","")=IF($P961=1,"Débit",$L961)),-IF($P961=1,-$K961,$K961),0))))</f>
        <v>-90.69</v>
      </c>
      <c r="U961" s="6">
        <f>IF($K961="","",IF(ISNUMBER(SEARCH("sortie-epargne",IFERROR(INDEX('Paramètres'!$N:$N,MATCH($D961,'Paramètres'!$M:$M,0))&amp;"",""))),$K961,0))</f>
        <v>0</v>
      </c>
      <c r="V961" s="6" t="str">
        <f>IF(AND($A961&lt;&gt;"",$O961=1,$L961="Débit",N($Q961)&gt;0,$A961&gt;=Visualisation!$B$1,$A961&lt;Visualisation!$D$1),MAX($V$1:V960)+1,"")</f>
        <v/>
      </c>
    </row>
    <row r="962" spans="1:22" x14ac:dyDescent="0.25">
      <c r="A962" s="9">
        <v>46225</v>
      </c>
      <c r="B962" s="4" t="s">
        <v>76</v>
      </c>
      <c r="C962" s="4" t="s">
        <v>60</v>
      </c>
      <c r="D962" s="4" t="s">
        <v>77</v>
      </c>
      <c r="E962" s="10">
        <v>53.52</v>
      </c>
      <c r="G962" s="4" t="s">
        <v>102</v>
      </c>
      <c r="H962" s="4" t="s">
        <v>148</v>
      </c>
      <c r="I962" s="4" t="s">
        <v>63</v>
      </c>
      <c r="K962" s="11">
        <f>IF($E962="","",ROUND($E962*IF(ISNA(MATCH($C962,'Paramètres'!$D:$D,0)),1,IF(INDEX('Paramètres'!$J:$J,MATCH($C962,'Paramètres'!$D:$D,0))="",1,INDEX('Paramètres'!$J:$J,MATCH($C962,'Paramètres'!$D:$D,0)))),2))</f>
        <v>26.76</v>
      </c>
      <c r="L962" s="6" t="str">
        <f>IF($D962="","",IF($F962&lt;&gt;"",$F962,IF(ISNA(MATCH($D962,'Paramètres'!$M:$M,0)),"⚠ Type inconnu",IFERROR(INDEX('Paramètres'!$P:$P,MATCH($D962,'Paramètres'!$M:$M,0))&amp;"",""))))</f>
        <v>Débit</v>
      </c>
      <c r="M962" s="6" t="str">
        <f>IF($D962="","",IF(ISNA(MATCH($D962,'Paramètres'!$M:$M,0)),"⚠ Type inconnu",IF($L962="Crédit","",IFERROR(INDEX('Paramètres'!$O:$O,MATCH($D962,'Paramètres'!$M:$M,0))&amp;"",""))))</f>
        <v>Dépense Courante</v>
      </c>
      <c r="N962" s="6" t="str">
        <f>IF($D962="","",IFERROR(INDEX('Paramètres'!$Q:$Q,MATCH($D962,'Paramètres'!$M:$M,0))&amp;"",""))</f>
        <v>Alimentation</v>
      </c>
      <c r="O962" s="6">
        <f>IF($A962="","",IF(OR($J962&lt;&gt;"x",$A962&lt;=FinReleve),1,0))</f>
        <v>1</v>
      </c>
      <c r="P962" s="6">
        <f>IF($D962="","",IF(AND($L962="Crédit",OR(IFERROR(INDEX('Paramètres'!$O:$O,MATCH($D962,'Paramètres'!$M:$M,0))&amp;"","")&lt;&gt;"",ISNUMBER(SEARCH("remboursement",IFERROR(INDEX('Paramètres'!$N:$N,MATCH($D962,'Paramètres'!$M:$M,0))&amp;"",""))))),1,0))</f>
        <v>0</v>
      </c>
      <c r="Q962" s="6">
        <f>IF($K962="","",IF(ISNUMBER(SEARCH("transfert-interne",IFERROR(INDEX('Paramètres'!$N:$N,MATCH($D962,'Paramètres'!$M:$M,0))&amp;"",""))),0,IF($L962="Débit",$K962,IF($P962=1,-$K962,0))))</f>
        <v>26.76</v>
      </c>
      <c r="R962" s="6">
        <f>IF($K962="","",IF($L962="Crédit",$K962,-$K962))</f>
        <v>-26.76</v>
      </c>
      <c r="S962" s="6" t="str">
        <f>IF($C962="","",IFERROR(INDEX('Paramètres'!$H:$H,MATCH($C962,'Paramètres'!$D:$D,0))&amp;"",""))</f>
        <v>Banque A - Courant</v>
      </c>
      <c r="T962" s="6">
        <f>IF($K962="","",IF($S962="",0,IF(ISNUMBER(SEARCH("apport-exterieur",IFERROR(INDEX('Paramètres'!$N:$N,MATCH($D962,'Paramètres'!$M:$M,0))&amp;"",""))),0,IF(OR(IFERROR(INDEX('Paramètres'!$I:$I,MATCH($C962,'Paramètres'!$D:$D,0))&amp;"","")="Les deux",IFERROR(INDEX('Paramètres'!$I:$I,MATCH($C962,'Paramètres'!$D:$D,0))&amp;"","")=IF($P962=1,"Débit",$L962)),-IF($P962=1,-$K962,$K962),0))))</f>
        <v>-26.76</v>
      </c>
      <c r="U962" s="6">
        <f>IF($K962="","",IF(ISNUMBER(SEARCH("sortie-epargne",IFERROR(INDEX('Paramètres'!$N:$N,MATCH($D962,'Paramètres'!$M:$M,0))&amp;"",""))),$K962,0))</f>
        <v>0</v>
      </c>
      <c r="V962" s="6" t="str">
        <f>IF(AND($A962&lt;&gt;"",$O962=1,$L962="Débit",N($Q962)&gt;0,$A962&gt;=Visualisation!$B$1,$A962&lt;Visualisation!$D$1),MAX($V$1:V961)+1,"")</f>
        <v/>
      </c>
    </row>
    <row r="963" spans="1:22" x14ac:dyDescent="0.25">
      <c r="A963" s="9">
        <v>46225</v>
      </c>
      <c r="B963" s="4" t="s">
        <v>105</v>
      </c>
      <c r="C963" s="4" t="s">
        <v>75</v>
      </c>
      <c r="D963" s="4" t="s">
        <v>106</v>
      </c>
      <c r="E963" s="10">
        <v>256.19</v>
      </c>
      <c r="G963" s="4"/>
      <c r="H963" s="4"/>
      <c r="I963" s="4"/>
      <c r="K963" s="11">
        <f>IF($E963="","",ROUND($E963*IF(ISNA(MATCH($C963,'Paramètres'!$D:$D,0)),1,IF(INDEX('Paramètres'!$J:$J,MATCH($C963,'Paramètres'!$D:$D,0))="",1,INDEX('Paramètres'!$J:$J,MATCH($C963,'Paramètres'!$D:$D,0)))),2))</f>
        <v>256.19</v>
      </c>
      <c r="L963" s="6" t="str">
        <f>IF($D963="","",IF($F963&lt;&gt;"",$F963,IF(ISNA(MATCH($D963,'Paramètres'!$M:$M,0)),"⚠ Type inconnu",IFERROR(INDEX('Paramètres'!$P:$P,MATCH($D963,'Paramètres'!$M:$M,0))&amp;"",""))))</f>
        <v>Débit</v>
      </c>
      <c r="M963" s="6" t="str">
        <f>IF($D963="","",IF(ISNA(MATCH($D963,'Paramètres'!$M:$M,0)),"⚠ Type inconnu",IF($L963="Crédit","",IFERROR(INDEX('Paramètres'!$O:$O,MATCH($D963,'Paramètres'!$M:$M,0))&amp;"",""))))</f>
        <v/>
      </c>
      <c r="N963" s="6" t="str">
        <f>IF($D963="","",IFERROR(INDEX('Paramètres'!$Q:$Q,MATCH($D963,'Paramètres'!$M:$M,0))&amp;"",""))</f>
        <v>Comptes Bancaires</v>
      </c>
      <c r="O963" s="6">
        <f>IF($A963="","",IF(OR($J963&lt;&gt;"x",$A963&lt;=FinReleve),1,0))</f>
        <v>1</v>
      </c>
      <c r="P963" s="6">
        <f>IF($D963="","",IF(AND($L963="Crédit",OR(IFERROR(INDEX('Paramètres'!$O:$O,MATCH($D963,'Paramètres'!$M:$M,0))&amp;"","")&lt;&gt;"",ISNUMBER(SEARCH("remboursement",IFERROR(INDEX('Paramètres'!$N:$N,MATCH($D963,'Paramètres'!$M:$M,0))&amp;"",""))))),1,0))</f>
        <v>0</v>
      </c>
      <c r="Q963" s="6">
        <f>IF($K963="","",IF(ISNUMBER(SEARCH("transfert-interne",IFERROR(INDEX('Paramètres'!$N:$N,MATCH($D963,'Paramètres'!$M:$M,0))&amp;"",""))),0,IF($L963="Débit",$K963,IF($P963=1,-$K963,0))))</f>
        <v>256.19</v>
      </c>
      <c r="R963" s="6">
        <f>IF($K963="","",IF($L963="Crédit",$K963,-$K963))</f>
        <v>-256.19</v>
      </c>
      <c r="S963" s="6" t="str">
        <f>IF($C963="","",IFERROR(INDEX('Paramètres'!$H:$H,MATCH($C963,'Paramètres'!$D:$D,0))&amp;"",""))</f>
        <v/>
      </c>
      <c r="T963" s="6">
        <f>IF($K963="","",IF($S963="",0,IF(ISNUMBER(SEARCH("apport-exterieur",IFERROR(INDEX('Paramètres'!$N:$N,MATCH($D963,'Paramètres'!$M:$M,0))&amp;"",""))),0,IF(OR(IFERROR(INDEX('Paramètres'!$I:$I,MATCH($C963,'Paramètres'!$D:$D,0))&amp;"","")="Les deux",IFERROR(INDEX('Paramètres'!$I:$I,MATCH($C963,'Paramètres'!$D:$D,0))&amp;"","")=IF($P963=1,"Débit",$L963)),-IF($P963=1,-$K963,$K963),0))))</f>
        <v>0</v>
      </c>
      <c r="U963" s="6">
        <f>IF($K963="","",IF(ISNUMBER(SEARCH("sortie-epargne",IFERROR(INDEX('Paramètres'!$N:$N,MATCH($D963,'Paramètres'!$M:$M,0))&amp;"",""))),$K963,0))</f>
        <v>0</v>
      </c>
      <c r="V963" s="6" t="str">
        <f>IF(AND($A963&lt;&gt;"",$O963=1,$L963="Débit",N($Q963)&gt;0,$A963&gt;=Visualisation!$B$1,$A963&lt;Visualisation!$D$1),MAX($V$1:V962)+1,"")</f>
        <v/>
      </c>
    </row>
    <row r="964" spans="1:22" x14ac:dyDescent="0.25">
      <c r="A964" s="9">
        <v>46226</v>
      </c>
      <c r="B964" s="4" t="s">
        <v>69</v>
      </c>
      <c r="C964" s="4" t="s">
        <v>70</v>
      </c>
      <c r="D964" s="4" t="s">
        <v>71</v>
      </c>
      <c r="E964" s="10">
        <v>14.48</v>
      </c>
      <c r="G964" s="4" t="s">
        <v>72</v>
      </c>
      <c r="H964" s="4"/>
      <c r="I964" s="4" t="s">
        <v>63</v>
      </c>
      <c r="K964" s="11">
        <f>IF($E964="","",ROUND($E964*IF(ISNA(MATCH($C964,'Paramètres'!$D:$D,0)),1,IF(INDEX('Paramètres'!$J:$J,MATCH($C964,'Paramètres'!$D:$D,0))="",1,INDEX('Paramètres'!$J:$J,MATCH($C964,'Paramètres'!$D:$D,0)))),2))</f>
        <v>14.48</v>
      </c>
      <c r="L964" s="6" t="str">
        <f>IF($D964="","",IF($F964&lt;&gt;"",$F964,IF(ISNA(MATCH($D964,'Paramètres'!$M:$M,0)),"⚠ Type inconnu",IFERROR(INDEX('Paramètres'!$P:$P,MATCH($D964,'Paramètres'!$M:$M,0))&amp;"",""))))</f>
        <v>Débit</v>
      </c>
      <c r="M964" s="6" t="str">
        <f>IF($D964="","",IF(ISNA(MATCH($D964,'Paramètres'!$M:$M,0)),"⚠ Type inconnu",IF($L964="Crédit","",IFERROR(INDEX('Paramètres'!$O:$O,MATCH($D964,'Paramètres'!$M:$M,0))&amp;"",""))))</f>
        <v>Dépense Courante</v>
      </c>
      <c r="N964" s="6" t="str">
        <f>IF($D964="","",IFERROR(INDEX('Paramètres'!$Q:$Q,MATCH($D964,'Paramètres'!$M:$M,0))&amp;"",""))</f>
        <v>Alimentation</v>
      </c>
      <c r="O964" s="6">
        <f>IF($A964="","",IF(OR($J964&lt;&gt;"x",$A964&lt;=FinReleve),1,0))</f>
        <v>1</v>
      </c>
      <c r="P964" s="6">
        <f>IF($D964="","",IF(AND($L964="Crédit",OR(IFERROR(INDEX('Paramètres'!$O:$O,MATCH($D964,'Paramètres'!$M:$M,0))&amp;"","")&lt;&gt;"",ISNUMBER(SEARCH("remboursement",IFERROR(INDEX('Paramètres'!$N:$N,MATCH($D964,'Paramètres'!$M:$M,0))&amp;"",""))))),1,0))</f>
        <v>0</v>
      </c>
      <c r="Q964" s="6">
        <f>IF($K964="","",IF(ISNUMBER(SEARCH("transfert-interne",IFERROR(INDEX('Paramètres'!$N:$N,MATCH($D964,'Paramètres'!$M:$M,0))&amp;"",""))),0,IF($L964="Débit",$K964,IF($P964=1,-$K964,0))))</f>
        <v>14.48</v>
      </c>
      <c r="R964" s="6">
        <f>IF($K964="","",IF($L964="Crédit",$K964,-$K964))</f>
        <v>-14.48</v>
      </c>
      <c r="S964" s="6" t="str">
        <f>IF($C964="","",IFERROR(INDEX('Paramètres'!$H:$H,MATCH($C964,'Paramètres'!$D:$D,0))&amp;"",""))</f>
        <v/>
      </c>
      <c r="T964" s="6">
        <f>IF($K964="","",IF($S964="",0,IF(ISNUMBER(SEARCH("apport-exterieur",IFERROR(INDEX('Paramètres'!$N:$N,MATCH($D964,'Paramètres'!$M:$M,0))&amp;"",""))),0,IF(OR(IFERROR(INDEX('Paramètres'!$I:$I,MATCH($C964,'Paramètres'!$D:$D,0))&amp;"","")="Les deux",IFERROR(INDEX('Paramètres'!$I:$I,MATCH($C964,'Paramètres'!$D:$D,0))&amp;"","")=IF($P964=1,"Débit",$L964)),-IF($P964=1,-$K964,$K964),0))))</f>
        <v>0</v>
      </c>
      <c r="U964" s="6">
        <f>IF($K964="","",IF(ISNUMBER(SEARCH("sortie-epargne",IFERROR(INDEX('Paramètres'!$N:$N,MATCH($D964,'Paramètres'!$M:$M,0))&amp;"",""))),$K964,0))</f>
        <v>0</v>
      </c>
      <c r="V964" s="6" t="str">
        <f>IF(AND($A964&lt;&gt;"",$O964=1,$L964="Débit",N($Q964)&gt;0,$A964&gt;=Visualisation!$B$1,$A964&lt;Visualisation!$D$1),MAX($V$1:V963)+1,"")</f>
        <v/>
      </c>
    </row>
    <row r="965" spans="1:22" x14ac:dyDescent="0.25">
      <c r="A965" s="9">
        <v>46229</v>
      </c>
      <c r="B965" s="4" t="s">
        <v>76</v>
      </c>
      <c r="C965" s="4" t="s">
        <v>60</v>
      </c>
      <c r="D965" s="4" t="s">
        <v>77</v>
      </c>
      <c r="E965" s="10">
        <v>35.04</v>
      </c>
      <c r="G965" s="4" t="s">
        <v>95</v>
      </c>
      <c r="H965" s="4" t="s">
        <v>148</v>
      </c>
      <c r="I965" s="4" t="s">
        <v>79</v>
      </c>
      <c r="K965" s="11">
        <f>IF($E965="","",ROUND($E965*IF(ISNA(MATCH($C965,'Paramètres'!$D:$D,0)),1,IF(INDEX('Paramètres'!$J:$J,MATCH($C965,'Paramètres'!$D:$D,0))="",1,INDEX('Paramètres'!$J:$J,MATCH($C965,'Paramètres'!$D:$D,0)))),2))</f>
        <v>17.52</v>
      </c>
      <c r="L965" s="6" t="str">
        <f>IF($D965="","",IF($F965&lt;&gt;"",$F965,IF(ISNA(MATCH($D965,'Paramètres'!$M:$M,0)),"⚠ Type inconnu",IFERROR(INDEX('Paramètres'!$P:$P,MATCH($D965,'Paramètres'!$M:$M,0))&amp;"",""))))</f>
        <v>Débit</v>
      </c>
      <c r="M965" s="6" t="str">
        <f>IF($D965="","",IF(ISNA(MATCH($D965,'Paramètres'!$M:$M,0)),"⚠ Type inconnu",IF($L965="Crédit","",IFERROR(INDEX('Paramètres'!$O:$O,MATCH($D965,'Paramètres'!$M:$M,0))&amp;"",""))))</f>
        <v>Dépense Courante</v>
      </c>
      <c r="N965" s="6" t="str">
        <f>IF($D965="","",IFERROR(INDEX('Paramètres'!$Q:$Q,MATCH($D965,'Paramètres'!$M:$M,0))&amp;"",""))</f>
        <v>Alimentation</v>
      </c>
      <c r="O965" s="6">
        <f>IF($A965="","",IF(OR($J965&lt;&gt;"x",$A965&lt;=FinReleve),1,0))</f>
        <v>1</v>
      </c>
      <c r="P965" s="6">
        <f>IF($D965="","",IF(AND($L965="Crédit",OR(IFERROR(INDEX('Paramètres'!$O:$O,MATCH($D965,'Paramètres'!$M:$M,0))&amp;"","")&lt;&gt;"",ISNUMBER(SEARCH("remboursement",IFERROR(INDEX('Paramètres'!$N:$N,MATCH($D965,'Paramètres'!$M:$M,0))&amp;"",""))))),1,0))</f>
        <v>0</v>
      </c>
      <c r="Q965" s="6">
        <f>IF($K965="","",IF(ISNUMBER(SEARCH("transfert-interne",IFERROR(INDEX('Paramètres'!$N:$N,MATCH($D965,'Paramètres'!$M:$M,0))&amp;"",""))),0,IF($L965="Débit",$K965,IF($P965=1,-$K965,0))))</f>
        <v>17.52</v>
      </c>
      <c r="R965" s="6">
        <f>IF($K965="","",IF($L965="Crédit",$K965,-$K965))</f>
        <v>-17.52</v>
      </c>
      <c r="S965" s="6" t="str">
        <f>IF($C965="","",IFERROR(INDEX('Paramètres'!$H:$H,MATCH($C965,'Paramètres'!$D:$D,0))&amp;"",""))</f>
        <v>Banque A - Courant</v>
      </c>
      <c r="T965" s="6">
        <f>IF($K965="","",IF($S965="",0,IF(ISNUMBER(SEARCH("apport-exterieur",IFERROR(INDEX('Paramètres'!$N:$N,MATCH($D965,'Paramètres'!$M:$M,0))&amp;"",""))),0,IF(OR(IFERROR(INDEX('Paramètres'!$I:$I,MATCH($C965,'Paramètres'!$D:$D,0))&amp;"","")="Les deux",IFERROR(INDEX('Paramètres'!$I:$I,MATCH($C965,'Paramètres'!$D:$D,0))&amp;"","")=IF($P965=1,"Débit",$L965)),-IF($P965=1,-$K965,$K965),0))))</f>
        <v>-17.52</v>
      </c>
      <c r="U965" s="6">
        <f>IF($K965="","",IF(ISNUMBER(SEARCH("sortie-epargne",IFERROR(INDEX('Paramètres'!$N:$N,MATCH($D965,'Paramètres'!$M:$M,0))&amp;"",""))),$K965,0))</f>
        <v>0</v>
      </c>
      <c r="V965" s="6" t="str">
        <f>IF(AND($A965&lt;&gt;"",$O965=1,$L965="Débit",N($Q965)&gt;0,$A965&gt;=Visualisation!$B$1,$A965&lt;Visualisation!$D$1),MAX($V$1:V964)+1,"")</f>
        <v/>
      </c>
    </row>
    <row r="966" spans="1:22" x14ac:dyDescent="0.25">
      <c r="A966" s="9">
        <v>46229</v>
      </c>
      <c r="B966" s="4" t="s">
        <v>69</v>
      </c>
      <c r="C966" s="4" t="s">
        <v>70</v>
      </c>
      <c r="D966" s="4" t="s">
        <v>71</v>
      </c>
      <c r="E966" s="10">
        <v>7.6</v>
      </c>
      <c r="G966" s="4" t="s">
        <v>72</v>
      </c>
      <c r="H966" s="4"/>
      <c r="I966" s="4" t="s">
        <v>93</v>
      </c>
      <c r="K966" s="11">
        <f>IF($E966="","",ROUND($E966*IF(ISNA(MATCH($C966,'Paramètres'!$D:$D,0)),1,IF(INDEX('Paramètres'!$J:$J,MATCH($C966,'Paramètres'!$D:$D,0))="",1,INDEX('Paramètres'!$J:$J,MATCH($C966,'Paramètres'!$D:$D,0)))),2))</f>
        <v>7.6</v>
      </c>
      <c r="L966" s="6" t="str">
        <f>IF($D966="","",IF($F966&lt;&gt;"",$F966,IF(ISNA(MATCH($D966,'Paramètres'!$M:$M,0)),"⚠ Type inconnu",IFERROR(INDEX('Paramètres'!$P:$P,MATCH($D966,'Paramètres'!$M:$M,0))&amp;"",""))))</f>
        <v>Débit</v>
      </c>
      <c r="M966" s="6" t="str">
        <f>IF($D966="","",IF(ISNA(MATCH($D966,'Paramètres'!$M:$M,0)),"⚠ Type inconnu",IF($L966="Crédit","",IFERROR(INDEX('Paramètres'!$O:$O,MATCH($D966,'Paramètres'!$M:$M,0))&amp;"",""))))</f>
        <v>Dépense Courante</v>
      </c>
      <c r="N966" s="6" t="str">
        <f>IF($D966="","",IFERROR(INDEX('Paramètres'!$Q:$Q,MATCH($D966,'Paramètres'!$M:$M,0))&amp;"",""))</f>
        <v>Alimentation</v>
      </c>
      <c r="O966" s="6">
        <f>IF($A966="","",IF(OR($J966&lt;&gt;"x",$A966&lt;=FinReleve),1,0))</f>
        <v>1</v>
      </c>
      <c r="P966" s="6">
        <f>IF($D966="","",IF(AND($L966="Crédit",OR(IFERROR(INDEX('Paramètres'!$O:$O,MATCH($D966,'Paramètres'!$M:$M,0))&amp;"","")&lt;&gt;"",ISNUMBER(SEARCH("remboursement",IFERROR(INDEX('Paramètres'!$N:$N,MATCH($D966,'Paramètres'!$M:$M,0))&amp;"",""))))),1,0))</f>
        <v>0</v>
      </c>
      <c r="Q966" s="6">
        <f>IF($K966="","",IF(ISNUMBER(SEARCH("transfert-interne",IFERROR(INDEX('Paramètres'!$N:$N,MATCH($D966,'Paramètres'!$M:$M,0))&amp;"",""))),0,IF($L966="Débit",$K966,IF($P966=1,-$K966,0))))</f>
        <v>7.6</v>
      </c>
      <c r="R966" s="6">
        <f>IF($K966="","",IF($L966="Crédit",$K966,-$K966))</f>
        <v>-7.6</v>
      </c>
      <c r="S966" s="6" t="str">
        <f>IF($C966="","",IFERROR(INDEX('Paramètres'!$H:$H,MATCH($C966,'Paramètres'!$D:$D,0))&amp;"",""))</f>
        <v/>
      </c>
      <c r="T966" s="6">
        <f>IF($K966="","",IF($S966="",0,IF(ISNUMBER(SEARCH("apport-exterieur",IFERROR(INDEX('Paramètres'!$N:$N,MATCH($D966,'Paramètres'!$M:$M,0))&amp;"",""))),0,IF(OR(IFERROR(INDEX('Paramètres'!$I:$I,MATCH($C966,'Paramètres'!$D:$D,0))&amp;"","")="Les deux",IFERROR(INDEX('Paramètres'!$I:$I,MATCH($C966,'Paramètres'!$D:$D,0))&amp;"","")=IF($P966=1,"Débit",$L966)),-IF($P966=1,-$K966,$K966),0))))</f>
        <v>0</v>
      </c>
      <c r="U966" s="6">
        <f>IF($K966="","",IF(ISNUMBER(SEARCH("sortie-epargne",IFERROR(INDEX('Paramètres'!$N:$N,MATCH($D966,'Paramètres'!$M:$M,0))&amp;"",""))),$K966,0))</f>
        <v>0</v>
      </c>
      <c r="V966" s="6" t="str">
        <f>IF(AND($A966&lt;&gt;"",$O966=1,$L966="Débit",N($Q966)&gt;0,$A966&gt;=Visualisation!$B$1,$A966&lt;Visualisation!$D$1),MAX($V$1:V965)+1,"")</f>
        <v/>
      </c>
    </row>
    <row r="967" spans="1:22" x14ac:dyDescent="0.25">
      <c r="A967" s="9">
        <v>46229</v>
      </c>
      <c r="B967" s="4" t="s">
        <v>69</v>
      </c>
      <c r="C967" s="4" t="s">
        <v>70</v>
      </c>
      <c r="D967" s="4" t="s">
        <v>71</v>
      </c>
      <c r="E967" s="10">
        <v>12.62</v>
      </c>
      <c r="G967" s="4" t="s">
        <v>72</v>
      </c>
      <c r="H967" s="4"/>
      <c r="I967" s="4" t="s">
        <v>73</v>
      </c>
      <c r="K967" s="11">
        <f>IF($E967="","",ROUND($E967*IF(ISNA(MATCH($C967,'Paramètres'!$D:$D,0)),1,IF(INDEX('Paramètres'!$J:$J,MATCH($C967,'Paramètres'!$D:$D,0))="",1,INDEX('Paramètres'!$J:$J,MATCH($C967,'Paramètres'!$D:$D,0)))),2))</f>
        <v>12.62</v>
      </c>
      <c r="L967" s="6" t="str">
        <f>IF($D967="","",IF($F967&lt;&gt;"",$F967,IF(ISNA(MATCH($D967,'Paramètres'!$M:$M,0)),"⚠ Type inconnu",IFERROR(INDEX('Paramètres'!$P:$P,MATCH($D967,'Paramètres'!$M:$M,0))&amp;"",""))))</f>
        <v>Débit</v>
      </c>
      <c r="M967" s="6" t="str">
        <f>IF($D967="","",IF(ISNA(MATCH($D967,'Paramètres'!$M:$M,0)),"⚠ Type inconnu",IF($L967="Crédit","",IFERROR(INDEX('Paramètres'!$O:$O,MATCH($D967,'Paramètres'!$M:$M,0))&amp;"",""))))</f>
        <v>Dépense Courante</v>
      </c>
      <c r="N967" s="6" t="str">
        <f>IF($D967="","",IFERROR(INDEX('Paramètres'!$Q:$Q,MATCH($D967,'Paramètres'!$M:$M,0))&amp;"",""))</f>
        <v>Alimentation</v>
      </c>
      <c r="O967" s="6">
        <f>IF($A967="","",IF(OR($J967&lt;&gt;"x",$A967&lt;=FinReleve),1,0))</f>
        <v>1</v>
      </c>
      <c r="P967" s="6">
        <f>IF($D967="","",IF(AND($L967="Crédit",OR(IFERROR(INDEX('Paramètres'!$O:$O,MATCH($D967,'Paramètres'!$M:$M,0))&amp;"","")&lt;&gt;"",ISNUMBER(SEARCH("remboursement",IFERROR(INDEX('Paramètres'!$N:$N,MATCH($D967,'Paramètres'!$M:$M,0))&amp;"",""))))),1,0))</f>
        <v>0</v>
      </c>
      <c r="Q967" s="6">
        <f>IF($K967="","",IF(ISNUMBER(SEARCH("transfert-interne",IFERROR(INDEX('Paramètres'!$N:$N,MATCH($D967,'Paramètres'!$M:$M,0))&amp;"",""))),0,IF($L967="Débit",$K967,IF($P967=1,-$K967,0))))</f>
        <v>12.62</v>
      </c>
      <c r="R967" s="6">
        <f>IF($K967="","",IF($L967="Crédit",$K967,-$K967))</f>
        <v>-12.62</v>
      </c>
      <c r="S967" s="6" t="str">
        <f>IF($C967="","",IFERROR(INDEX('Paramètres'!$H:$H,MATCH($C967,'Paramètres'!$D:$D,0))&amp;"",""))</f>
        <v/>
      </c>
      <c r="T967" s="6">
        <f>IF($K967="","",IF($S967="",0,IF(ISNUMBER(SEARCH("apport-exterieur",IFERROR(INDEX('Paramètres'!$N:$N,MATCH($D967,'Paramètres'!$M:$M,0))&amp;"",""))),0,IF(OR(IFERROR(INDEX('Paramètres'!$I:$I,MATCH($C967,'Paramètres'!$D:$D,0))&amp;"","")="Les deux",IFERROR(INDEX('Paramètres'!$I:$I,MATCH($C967,'Paramètres'!$D:$D,0))&amp;"","")=IF($P967=1,"Débit",$L967)),-IF($P967=1,-$K967,$K967),0))))</f>
        <v>0</v>
      </c>
      <c r="U967" s="6">
        <f>IF($K967="","",IF(ISNUMBER(SEARCH("sortie-epargne",IFERROR(INDEX('Paramètres'!$N:$N,MATCH($D967,'Paramètres'!$M:$M,0))&amp;"",""))),$K967,0))</f>
        <v>0</v>
      </c>
      <c r="V967" s="6" t="str">
        <f>IF(AND($A967&lt;&gt;"",$O967=1,$L967="Débit",N($Q967)&gt;0,$A967&gt;=Visualisation!$B$1,$A967&lt;Visualisation!$D$1),MAX($V$1:V966)+1,"")</f>
        <v/>
      </c>
    </row>
    <row r="968" spans="1:22" x14ac:dyDescent="0.25">
      <c r="A968" s="9">
        <v>46229</v>
      </c>
      <c r="B968" s="4" t="s">
        <v>121</v>
      </c>
      <c r="C968" s="4" t="s">
        <v>60</v>
      </c>
      <c r="D968" s="4" t="s">
        <v>121</v>
      </c>
      <c r="E968" s="10">
        <v>199.1</v>
      </c>
      <c r="G968" s="4" t="s">
        <v>109</v>
      </c>
      <c r="H968" s="4"/>
      <c r="I968" s="4" t="s">
        <v>63</v>
      </c>
      <c r="K968" s="11">
        <f>IF($E968="","",ROUND($E968*IF(ISNA(MATCH($C968,'Paramètres'!$D:$D,0)),1,IF(INDEX('Paramètres'!$J:$J,MATCH($C968,'Paramètres'!$D:$D,0))="",1,INDEX('Paramètres'!$J:$J,MATCH($C968,'Paramètres'!$D:$D,0)))),2))</f>
        <v>99.55</v>
      </c>
      <c r="L968" s="6" t="str">
        <f>IF($D968="","",IF($F968&lt;&gt;"",$F968,IF(ISNA(MATCH($D968,'Paramètres'!$M:$M,0)),"⚠ Type inconnu",IFERROR(INDEX('Paramètres'!$P:$P,MATCH($D968,'Paramètres'!$M:$M,0))&amp;"",""))))</f>
        <v>Débit</v>
      </c>
      <c r="M968" s="6" t="str">
        <f>IF($D968="","",IF(ISNA(MATCH($D968,'Paramètres'!$M:$M,0)),"⚠ Type inconnu",IF($L968="Crédit","",IFERROR(INDEX('Paramètres'!$O:$O,MATCH($D968,'Paramètres'!$M:$M,0))&amp;"",""))))</f>
        <v>Dépense Occasionnelle</v>
      </c>
      <c r="N968" s="6" t="str">
        <f>IF($D968="","",IFERROR(INDEX('Paramètres'!$Q:$Q,MATCH($D968,'Paramètres'!$M:$M,0))&amp;"",""))</f>
        <v>Autre</v>
      </c>
      <c r="O968" s="6">
        <f>IF($A968="","",IF(OR($J968&lt;&gt;"x",$A968&lt;=FinReleve),1,0))</f>
        <v>1</v>
      </c>
      <c r="P968" s="6">
        <f>IF($D968="","",IF(AND($L968="Crédit",OR(IFERROR(INDEX('Paramètres'!$O:$O,MATCH($D968,'Paramètres'!$M:$M,0))&amp;"","")&lt;&gt;"",ISNUMBER(SEARCH("remboursement",IFERROR(INDEX('Paramètres'!$N:$N,MATCH($D968,'Paramètres'!$M:$M,0))&amp;"",""))))),1,0))</f>
        <v>0</v>
      </c>
      <c r="Q968" s="6">
        <f>IF($K968="","",IF(ISNUMBER(SEARCH("transfert-interne",IFERROR(INDEX('Paramètres'!$N:$N,MATCH($D968,'Paramètres'!$M:$M,0))&amp;"",""))),0,IF($L968="Débit",$K968,IF($P968=1,-$K968,0))))</f>
        <v>99.55</v>
      </c>
      <c r="R968" s="6">
        <f>IF($K968="","",IF($L968="Crédit",$K968,-$K968))</f>
        <v>-99.55</v>
      </c>
      <c r="S968" s="6" t="str">
        <f>IF($C968="","",IFERROR(INDEX('Paramètres'!$H:$H,MATCH($C968,'Paramètres'!$D:$D,0))&amp;"",""))</f>
        <v>Banque A - Courant</v>
      </c>
      <c r="T968" s="6">
        <f>IF($K968="","",IF($S968="",0,IF(ISNUMBER(SEARCH("apport-exterieur",IFERROR(INDEX('Paramètres'!$N:$N,MATCH($D968,'Paramètres'!$M:$M,0))&amp;"",""))),0,IF(OR(IFERROR(INDEX('Paramètres'!$I:$I,MATCH($C968,'Paramètres'!$D:$D,0))&amp;"","")="Les deux",IFERROR(INDEX('Paramètres'!$I:$I,MATCH($C968,'Paramètres'!$D:$D,0))&amp;"","")=IF($P968=1,"Débit",$L968)),-IF($P968=1,-$K968,$K968),0))))</f>
        <v>-99.55</v>
      </c>
      <c r="U968" s="6">
        <f>IF($K968="","",IF(ISNUMBER(SEARCH("sortie-epargne",IFERROR(INDEX('Paramètres'!$N:$N,MATCH($D968,'Paramètres'!$M:$M,0))&amp;"",""))),$K968,0))</f>
        <v>0</v>
      </c>
      <c r="V968" s="6" t="str">
        <f>IF(AND($A968&lt;&gt;"",$O968=1,$L968="Débit",N($Q968)&gt;0,$A968&gt;=Visualisation!$B$1,$A968&lt;Visualisation!$D$1),MAX($V$1:V967)+1,"")</f>
        <v/>
      </c>
    </row>
    <row r="969" spans="1:22" x14ac:dyDescent="0.25">
      <c r="A969" s="9">
        <v>46229</v>
      </c>
      <c r="B969" s="4" t="s">
        <v>119</v>
      </c>
      <c r="C969" s="4" t="s">
        <v>60</v>
      </c>
      <c r="D969" s="4" t="s">
        <v>119</v>
      </c>
      <c r="E969" s="10">
        <v>64.94</v>
      </c>
      <c r="G969" s="4" t="s">
        <v>119</v>
      </c>
      <c r="H969" s="4" t="s">
        <v>148</v>
      </c>
      <c r="I969" s="4" t="s">
        <v>79</v>
      </c>
      <c r="K969" s="11">
        <f>IF($E969="","",ROUND($E969*IF(ISNA(MATCH($C969,'Paramètres'!$D:$D,0)),1,IF(INDEX('Paramètres'!$J:$J,MATCH($C969,'Paramètres'!$D:$D,0))="",1,INDEX('Paramètres'!$J:$J,MATCH($C969,'Paramètres'!$D:$D,0)))),2))</f>
        <v>32.47</v>
      </c>
      <c r="L969" s="6" t="str">
        <f>IF($D969="","",IF($F969&lt;&gt;"",$F969,IF(ISNA(MATCH($D969,'Paramètres'!$M:$M,0)),"⚠ Type inconnu",IFERROR(INDEX('Paramètres'!$P:$P,MATCH($D969,'Paramètres'!$M:$M,0))&amp;"",""))))</f>
        <v>Débit</v>
      </c>
      <c r="M969" s="6" t="str">
        <f>IF($D969="","",IF(ISNA(MATCH($D969,'Paramètres'!$M:$M,0)),"⚠ Type inconnu",IF($L969="Crédit","",IFERROR(INDEX('Paramètres'!$O:$O,MATCH($D969,'Paramètres'!$M:$M,0))&amp;"",""))))</f>
        <v>Dépense Occasionnelle</v>
      </c>
      <c r="N969" s="6" t="str">
        <f>IF($D969="","",IFERROR(INDEX('Paramètres'!$Q:$Q,MATCH($D969,'Paramètres'!$M:$M,0))&amp;"",""))</f>
        <v>Alimentation</v>
      </c>
      <c r="O969" s="6">
        <f>IF($A969="","",IF(OR($J969&lt;&gt;"x",$A969&lt;=FinReleve),1,0))</f>
        <v>1</v>
      </c>
      <c r="P969" s="6">
        <f>IF($D969="","",IF(AND($L969="Crédit",OR(IFERROR(INDEX('Paramètres'!$O:$O,MATCH($D969,'Paramètres'!$M:$M,0))&amp;"","")&lt;&gt;"",ISNUMBER(SEARCH("remboursement",IFERROR(INDEX('Paramètres'!$N:$N,MATCH($D969,'Paramètres'!$M:$M,0))&amp;"",""))))),1,0))</f>
        <v>0</v>
      </c>
      <c r="Q969" s="6">
        <f>IF($K969="","",IF(ISNUMBER(SEARCH("transfert-interne",IFERROR(INDEX('Paramètres'!$N:$N,MATCH($D969,'Paramètres'!$M:$M,0))&amp;"",""))),0,IF($L969="Débit",$K969,IF($P969=1,-$K969,0))))</f>
        <v>32.47</v>
      </c>
      <c r="R969" s="6">
        <f>IF($K969="","",IF($L969="Crédit",$K969,-$K969))</f>
        <v>-32.47</v>
      </c>
      <c r="S969" s="6" t="str">
        <f>IF($C969="","",IFERROR(INDEX('Paramètres'!$H:$H,MATCH($C969,'Paramètres'!$D:$D,0))&amp;"",""))</f>
        <v>Banque A - Courant</v>
      </c>
      <c r="T969" s="6">
        <f>IF($K969="","",IF($S969="",0,IF(ISNUMBER(SEARCH("apport-exterieur",IFERROR(INDEX('Paramètres'!$N:$N,MATCH($D969,'Paramètres'!$M:$M,0))&amp;"",""))),0,IF(OR(IFERROR(INDEX('Paramètres'!$I:$I,MATCH($C969,'Paramètres'!$D:$D,0))&amp;"","")="Les deux",IFERROR(INDEX('Paramètres'!$I:$I,MATCH($C969,'Paramètres'!$D:$D,0))&amp;"","")=IF($P969=1,"Débit",$L969)),-IF($P969=1,-$K969,$K969),0))))</f>
        <v>-32.47</v>
      </c>
      <c r="U969" s="6">
        <f>IF($K969="","",IF(ISNUMBER(SEARCH("sortie-epargne",IFERROR(INDEX('Paramètres'!$N:$N,MATCH($D969,'Paramètres'!$M:$M,0))&amp;"",""))),$K969,0))</f>
        <v>0</v>
      </c>
      <c r="V969" s="6" t="str">
        <f>IF(AND($A969&lt;&gt;"",$O969=1,$L969="Débit",N($Q969)&gt;0,$A969&gt;=Visualisation!$B$1,$A969&lt;Visualisation!$D$1),MAX($V$1:V968)+1,"")</f>
        <v/>
      </c>
    </row>
    <row r="970" spans="1:22" x14ac:dyDescent="0.25">
      <c r="A970" s="9">
        <v>46229</v>
      </c>
      <c r="B970" s="4" t="s">
        <v>105</v>
      </c>
      <c r="C970" s="4" t="s">
        <v>75</v>
      </c>
      <c r="D970" s="4" t="s">
        <v>110</v>
      </c>
      <c r="E970" s="10">
        <v>150</v>
      </c>
      <c r="G970" s="4"/>
      <c r="H970" s="4"/>
      <c r="I970" s="4"/>
      <c r="K970" s="11">
        <f>IF($E970="","",ROUND($E970*IF(ISNA(MATCH($C970,'Paramètres'!$D:$D,0)),1,IF(INDEX('Paramètres'!$J:$J,MATCH($C970,'Paramètres'!$D:$D,0))="",1,INDEX('Paramètres'!$J:$J,MATCH($C970,'Paramètres'!$D:$D,0)))),2))</f>
        <v>150</v>
      </c>
      <c r="L970" s="6" t="str">
        <f>IF($D970="","",IF($F970&lt;&gt;"",$F970,IF(ISNA(MATCH($D970,'Paramètres'!$M:$M,0)),"⚠ Type inconnu",IFERROR(INDEX('Paramètres'!$P:$P,MATCH($D970,'Paramètres'!$M:$M,0))&amp;"",""))))</f>
        <v>Débit</v>
      </c>
      <c r="M970" s="6" t="str">
        <f>IF($D970="","",IF(ISNA(MATCH($D970,'Paramètres'!$M:$M,0)),"⚠ Type inconnu",IF($L970="Crédit","",IFERROR(INDEX('Paramètres'!$O:$O,MATCH($D970,'Paramètres'!$M:$M,0))&amp;"",""))))</f>
        <v/>
      </c>
      <c r="N970" s="6" t="str">
        <f>IF($D970="","",IFERROR(INDEX('Paramètres'!$Q:$Q,MATCH($D970,'Paramètres'!$M:$M,0))&amp;"",""))</f>
        <v>Comptes Bancaires</v>
      </c>
      <c r="O970" s="6">
        <f>IF($A970="","",IF(OR($J970&lt;&gt;"x",$A970&lt;=FinReleve),1,0))</f>
        <v>1</v>
      </c>
      <c r="P970" s="6">
        <f>IF($D970="","",IF(AND($L970="Crédit",OR(IFERROR(INDEX('Paramètres'!$O:$O,MATCH($D970,'Paramètres'!$M:$M,0))&amp;"","")&lt;&gt;"",ISNUMBER(SEARCH("remboursement",IFERROR(INDEX('Paramètres'!$N:$N,MATCH($D970,'Paramètres'!$M:$M,0))&amp;"",""))))),1,0))</f>
        <v>0</v>
      </c>
      <c r="Q970" s="6">
        <f>IF($K970="","",IF(ISNUMBER(SEARCH("transfert-interne",IFERROR(INDEX('Paramètres'!$N:$N,MATCH($D970,'Paramètres'!$M:$M,0))&amp;"",""))),0,IF($L970="Débit",$K970,IF($P970=1,-$K970,0))))</f>
        <v>0</v>
      </c>
      <c r="R970" s="6">
        <f>IF($K970="","",IF($L970="Crédit",$K970,-$K970))</f>
        <v>-150</v>
      </c>
      <c r="S970" s="6" t="str">
        <f>IF($C970="","",IFERROR(INDEX('Paramètres'!$H:$H,MATCH($C970,'Paramètres'!$D:$D,0))&amp;"",""))</f>
        <v/>
      </c>
      <c r="T970" s="6">
        <f>IF($K970="","",IF($S970="",0,IF(ISNUMBER(SEARCH("apport-exterieur",IFERROR(INDEX('Paramètres'!$N:$N,MATCH($D970,'Paramètres'!$M:$M,0))&amp;"",""))),0,IF(OR(IFERROR(INDEX('Paramètres'!$I:$I,MATCH($C970,'Paramètres'!$D:$D,0))&amp;"","")="Les deux",IFERROR(INDEX('Paramètres'!$I:$I,MATCH($C970,'Paramètres'!$D:$D,0))&amp;"","")=IF($P970=1,"Débit",$L970)),-IF($P970=1,-$K970,$K970),0))))</f>
        <v>0</v>
      </c>
      <c r="U970" s="6">
        <f>IF($K970="","",IF(ISNUMBER(SEARCH("sortie-epargne",IFERROR(INDEX('Paramètres'!$N:$N,MATCH($D970,'Paramètres'!$M:$M,0))&amp;"",""))),$K970,0))</f>
        <v>0</v>
      </c>
      <c r="V970" s="6" t="str">
        <f>IF(AND($A970&lt;&gt;"",$O970=1,$L970="Débit",N($Q970)&gt;0,$A970&gt;=Visualisation!$B$1,$A970&lt;Visualisation!$D$1),MAX($V$1:V969)+1,"")</f>
        <v/>
      </c>
    </row>
    <row r="971" spans="1:22" x14ac:dyDescent="0.25">
      <c r="A971" s="9">
        <v>46229</v>
      </c>
      <c r="B971" s="4" t="s">
        <v>105</v>
      </c>
      <c r="C971" s="4" t="s">
        <v>75</v>
      </c>
      <c r="D971" s="4" t="s">
        <v>111</v>
      </c>
      <c r="E971" s="10">
        <v>200</v>
      </c>
      <c r="G971" s="4"/>
      <c r="H971" s="4"/>
      <c r="I971" s="4"/>
      <c r="K971" s="11">
        <f>IF($E971="","",ROUND($E971*IF(ISNA(MATCH($C971,'Paramètres'!$D:$D,0)),1,IF(INDEX('Paramètres'!$J:$J,MATCH($C971,'Paramètres'!$D:$D,0))="",1,INDEX('Paramètres'!$J:$J,MATCH($C971,'Paramètres'!$D:$D,0)))),2))</f>
        <v>200</v>
      </c>
      <c r="L971" s="6" t="str">
        <f>IF($D971="","",IF($F971&lt;&gt;"",$F971,IF(ISNA(MATCH($D971,'Paramètres'!$M:$M,0)),"⚠ Type inconnu",IFERROR(INDEX('Paramètres'!$P:$P,MATCH($D971,'Paramètres'!$M:$M,0))&amp;"",""))))</f>
        <v>Débit</v>
      </c>
      <c r="M971" s="6" t="str">
        <f>IF($D971="","",IF(ISNA(MATCH($D971,'Paramètres'!$M:$M,0)),"⚠ Type inconnu",IF($L971="Crédit","",IFERROR(INDEX('Paramètres'!$O:$O,MATCH($D971,'Paramètres'!$M:$M,0))&amp;"",""))))</f>
        <v/>
      </c>
      <c r="N971" s="6" t="str">
        <f>IF($D971="","",IFERROR(INDEX('Paramètres'!$Q:$Q,MATCH($D971,'Paramètres'!$M:$M,0))&amp;"",""))</f>
        <v>Comptes Bancaires</v>
      </c>
      <c r="O971" s="6">
        <f>IF($A971="","",IF(OR($J971&lt;&gt;"x",$A971&lt;=FinReleve),1,0))</f>
        <v>1</v>
      </c>
      <c r="P971" s="6">
        <f>IF($D971="","",IF(AND($L971="Crédit",OR(IFERROR(INDEX('Paramètres'!$O:$O,MATCH($D971,'Paramètres'!$M:$M,0))&amp;"","")&lt;&gt;"",ISNUMBER(SEARCH("remboursement",IFERROR(INDEX('Paramètres'!$N:$N,MATCH($D971,'Paramètres'!$M:$M,0))&amp;"",""))))),1,0))</f>
        <v>0</v>
      </c>
      <c r="Q971" s="6">
        <f>IF($K971="","",IF(ISNUMBER(SEARCH("transfert-interne",IFERROR(INDEX('Paramètres'!$N:$N,MATCH($D971,'Paramètres'!$M:$M,0))&amp;"",""))),0,IF($L971="Débit",$K971,IF($P971=1,-$K971,0))))</f>
        <v>200</v>
      </c>
      <c r="R971" s="6">
        <f>IF($K971="","",IF($L971="Crédit",$K971,-$K971))</f>
        <v>-200</v>
      </c>
      <c r="S971" s="6" t="str">
        <f>IF($C971="","",IFERROR(INDEX('Paramètres'!$H:$H,MATCH($C971,'Paramètres'!$D:$D,0))&amp;"",""))</f>
        <v/>
      </c>
      <c r="T971" s="6">
        <f>IF($K971="","",IF($S971="",0,IF(ISNUMBER(SEARCH("apport-exterieur",IFERROR(INDEX('Paramètres'!$N:$N,MATCH($D971,'Paramètres'!$M:$M,0))&amp;"",""))),0,IF(OR(IFERROR(INDEX('Paramètres'!$I:$I,MATCH($C971,'Paramètres'!$D:$D,0))&amp;"","")="Les deux",IFERROR(INDEX('Paramètres'!$I:$I,MATCH($C971,'Paramètres'!$D:$D,0))&amp;"","")=IF($P971=1,"Débit",$L971)),-IF($P971=1,-$K971,$K971),0))))</f>
        <v>0</v>
      </c>
      <c r="U971" s="6">
        <f>IF($K971="","",IF(ISNUMBER(SEARCH("sortie-epargne",IFERROR(INDEX('Paramètres'!$N:$N,MATCH($D971,'Paramètres'!$M:$M,0))&amp;"",""))),$K971,0))</f>
        <v>0</v>
      </c>
      <c r="V971" s="6" t="str">
        <f>IF(AND($A971&lt;&gt;"",$O971=1,$L971="Débit",N($Q971)&gt;0,$A971&gt;=Visualisation!$B$1,$A971&lt;Visualisation!$D$1),MAX($V$1:V970)+1,"")</f>
        <v/>
      </c>
    </row>
    <row r="972" spans="1:22" x14ac:dyDescent="0.25">
      <c r="A972" s="9">
        <v>46229</v>
      </c>
      <c r="B972" s="4" t="s">
        <v>112</v>
      </c>
      <c r="C972" s="4" t="s">
        <v>75</v>
      </c>
      <c r="D972" s="4" t="s">
        <v>113</v>
      </c>
      <c r="E972" s="10">
        <v>120</v>
      </c>
      <c r="G972" s="4"/>
      <c r="H972" s="4"/>
      <c r="I972" s="4"/>
      <c r="K972" s="11">
        <f>IF($E972="","",ROUND($E972*IF(ISNA(MATCH($C972,'Paramètres'!$D:$D,0)),1,IF(INDEX('Paramètres'!$J:$J,MATCH($C972,'Paramètres'!$D:$D,0))="",1,INDEX('Paramètres'!$J:$J,MATCH($C972,'Paramètres'!$D:$D,0)))),2))</f>
        <v>120</v>
      </c>
      <c r="L972" s="6" t="str">
        <f>IF($D972="","",IF($F972&lt;&gt;"",$F972,IF(ISNA(MATCH($D972,'Paramètres'!$M:$M,0)),"⚠ Type inconnu",IFERROR(INDEX('Paramètres'!$P:$P,MATCH($D972,'Paramètres'!$M:$M,0))&amp;"",""))))</f>
        <v>Débit</v>
      </c>
      <c r="M972" s="6" t="str">
        <f>IF($D972="","",IF(ISNA(MATCH($D972,'Paramètres'!$M:$M,0)),"⚠ Type inconnu",IF($L972="Crédit","",IFERROR(INDEX('Paramètres'!$O:$O,MATCH($D972,'Paramètres'!$M:$M,0))&amp;"",""))))</f>
        <v/>
      </c>
      <c r="N972" s="6" t="str">
        <f>IF($D972="","",IFERROR(INDEX('Paramètres'!$Q:$Q,MATCH($D972,'Paramètres'!$M:$M,0))&amp;"",""))</f>
        <v>Comptes Bancaires</v>
      </c>
      <c r="O972" s="6">
        <f>IF($A972="","",IF(OR($J972&lt;&gt;"x",$A972&lt;=FinReleve),1,0))</f>
        <v>1</v>
      </c>
      <c r="P972" s="6">
        <f>IF($D972="","",IF(AND($L972="Crédit",OR(IFERROR(INDEX('Paramètres'!$O:$O,MATCH($D972,'Paramètres'!$M:$M,0))&amp;"","")&lt;&gt;"",ISNUMBER(SEARCH("remboursement",IFERROR(INDEX('Paramètres'!$N:$N,MATCH($D972,'Paramètres'!$M:$M,0))&amp;"",""))))),1,0))</f>
        <v>0</v>
      </c>
      <c r="Q972" s="6">
        <f>IF($K972="","",IF(ISNUMBER(SEARCH("transfert-interne",IFERROR(INDEX('Paramètres'!$N:$N,MATCH($D972,'Paramètres'!$M:$M,0))&amp;"",""))),0,IF($L972="Débit",$K972,IF($P972=1,-$K972,0))))</f>
        <v>120</v>
      </c>
      <c r="R972" s="6">
        <f>IF($K972="","",IF($L972="Crédit",$K972,-$K972))</f>
        <v>-120</v>
      </c>
      <c r="S972" s="6" t="str">
        <f>IF($C972="","",IFERROR(INDEX('Paramètres'!$H:$H,MATCH($C972,'Paramètres'!$D:$D,0))&amp;"",""))</f>
        <v/>
      </c>
      <c r="T972" s="6">
        <f>IF($K972="","",IF($S972="",0,IF(ISNUMBER(SEARCH("apport-exterieur",IFERROR(INDEX('Paramètres'!$N:$N,MATCH($D972,'Paramètres'!$M:$M,0))&amp;"",""))),0,IF(OR(IFERROR(INDEX('Paramètres'!$I:$I,MATCH($C972,'Paramètres'!$D:$D,0))&amp;"","")="Les deux",IFERROR(INDEX('Paramètres'!$I:$I,MATCH($C972,'Paramètres'!$D:$D,0))&amp;"","")=IF($P972=1,"Débit",$L972)),-IF($P972=1,-$K972,$K972),0))))</f>
        <v>0</v>
      </c>
      <c r="U972" s="6">
        <f>IF($K972="","",IF(ISNUMBER(SEARCH("sortie-epargne",IFERROR(INDEX('Paramètres'!$N:$N,MATCH($D972,'Paramètres'!$M:$M,0))&amp;"",""))),$K972,0))</f>
        <v>0</v>
      </c>
      <c r="V972" s="6" t="str">
        <f>IF(AND($A972&lt;&gt;"",$O972=1,$L972="Débit",N($Q972)&gt;0,$A972&gt;=Visualisation!$B$1,$A972&lt;Visualisation!$D$1),MAX($V$1:V971)+1,"")</f>
        <v/>
      </c>
    </row>
    <row r="973" spans="1:22" x14ac:dyDescent="0.25">
      <c r="A973" s="9">
        <v>46230</v>
      </c>
      <c r="B973" s="4" t="s">
        <v>114</v>
      </c>
      <c r="C973" s="4" t="s">
        <v>75</v>
      </c>
      <c r="D973" s="4" t="s">
        <v>115</v>
      </c>
      <c r="E973" s="10">
        <v>2889.87</v>
      </c>
      <c r="G973" s="4" t="s">
        <v>115</v>
      </c>
      <c r="H973" s="4"/>
      <c r="I973" s="4"/>
      <c r="K973" s="11">
        <f>IF($E973="","",ROUND($E973*IF(ISNA(MATCH($C973,'Paramètres'!$D:$D,0)),1,IF(INDEX('Paramètres'!$J:$J,MATCH($C973,'Paramètres'!$D:$D,0))="",1,INDEX('Paramètres'!$J:$J,MATCH($C973,'Paramètres'!$D:$D,0)))),2))</f>
        <v>2889.87</v>
      </c>
      <c r="L973" s="6" t="str">
        <f>IF($D973="","",IF($F973&lt;&gt;"",$F973,IF(ISNA(MATCH($D973,'Paramètres'!$M:$M,0)),"⚠ Type inconnu",IFERROR(INDEX('Paramètres'!$P:$P,MATCH($D973,'Paramètres'!$M:$M,0))&amp;"",""))))</f>
        <v>Crédit</v>
      </c>
      <c r="M973" s="6" t="str">
        <f>IF($D973="","",IF(ISNA(MATCH($D973,'Paramètres'!$M:$M,0)),"⚠ Type inconnu",IF($L973="Crédit","",IFERROR(INDEX('Paramètres'!$O:$O,MATCH($D973,'Paramètres'!$M:$M,0))&amp;"",""))))</f>
        <v/>
      </c>
      <c r="N973" s="6" t="str">
        <f>IF($D973="","",IFERROR(INDEX('Paramètres'!$Q:$Q,MATCH($D973,'Paramètres'!$M:$M,0))&amp;"",""))</f>
        <v/>
      </c>
      <c r="O973" s="6">
        <f>IF($A973="","",IF(OR($J973&lt;&gt;"x",$A973&lt;=FinReleve),1,0))</f>
        <v>1</v>
      </c>
      <c r="P973" s="6">
        <f>IF($D973="","",IF(AND($L973="Crédit",OR(IFERROR(INDEX('Paramètres'!$O:$O,MATCH($D973,'Paramètres'!$M:$M,0))&amp;"","")&lt;&gt;"",ISNUMBER(SEARCH("remboursement",IFERROR(INDEX('Paramètres'!$N:$N,MATCH($D973,'Paramètres'!$M:$M,0))&amp;"",""))))),1,0))</f>
        <v>0</v>
      </c>
      <c r="Q973" s="6">
        <f>IF($K973="","",IF(ISNUMBER(SEARCH("transfert-interne",IFERROR(INDEX('Paramètres'!$N:$N,MATCH($D973,'Paramètres'!$M:$M,0))&amp;"",""))),0,IF($L973="Débit",$K973,IF($P973=1,-$K973,0))))</f>
        <v>0</v>
      </c>
      <c r="R973" s="6">
        <f>IF($K973="","",IF($L973="Crédit",$K973,-$K973))</f>
        <v>2889.87</v>
      </c>
      <c r="S973" s="6" t="str">
        <f>IF($C973="","",IFERROR(INDEX('Paramètres'!$H:$H,MATCH($C973,'Paramètres'!$D:$D,0))&amp;"",""))</f>
        <v/>
      </c>
      <c r="T973" s="6">
        <f>IF($K973="","",IF($S973="",0,IF(ISNUMBER(SEARCH("apport-exterieur",IFERROR(INDEX('Paramètres'!$N:$N,MATCH($D973,'Paramètres'!$M:$M,0))&amp;"",""))),0,IF(OR(IFERROR(INDEX('Paramètres'!$I:$I,MATCH($C973,'Paramètres'!$D:$D,0))&amp;"","")="Les deux",IFERROR(INDEX('Paramètres'!$I:$I,MATCH($C973,'Paramètres'!$D:$D,0))&amp;"","")=IF($P973=1,"Débit",$L973)),-IF($P973=1,-$K973,$K973),0))))</f>
        <v>0</v>
      </c>
      <c r="U973" s="6">
        <f>IF($K973="","",IF(ISNUMBER(SEARCH("sortie-epargne",IFERROR(INDEX('Paramètres'!$N:$N,MATCH($D973,'Paramètres'!$M:$M,0))&amp;"",""))),$K973,0))</f>
        <v>0</v>
      </c>
      <c r="V973" s="6" t="str">
        <f>IF(AND($A973&lt;&gt;"",$O973=1,$L973="Débit",N($Q973)&gt;0,$A973&gt;=Visualisation!$B$1,$A973&lt;Visualisation!$D$1),MAX($V$1:V972)+1,"")</f>
        <v/>
      </c>
    </row>
    <row r="974" spans="1:22" x14ac:dyDescent="0.25">
      <c r="A974" s="9">
        <v>46230</v>
      </c>
      <c r="B974" s="4" t="s">
        <v>121</v>
      </c>
      <c r="C974" s="4" t="s">
        <v>126</v>
      </c>
      <c r="D974" s="4" t="s">
        <v>121</v>
      </c>
      <c r="E974" s="10">
        <v>30.66</v>
      </c>
      <c r="G974" s="4" t="s">
        <v>137</v>
      </c>
      <c r="H974" s="4"/>
      <c r="I974" s="4" t="s">
        <v>93</v>
      </c>
      <c r="K974" s="11">
        <f>IF($E974="","",ROUND($E974*IF(ISNA(MATCH($C974,'Paramètres'!$D:$D,0)),1,IF(INDEX('Paramètres'!$J:$J,MATCH($C974,'Paramètres'!$D:$D,0))="",1,INDEX('Paramètres'!$J:$J,MATCH($C974,'Paramètres'!$D:$D,0)))),2))</f>
        <v>15.33</v>
      </c>
      <c r="L974" s="6" t="str">
        <f>IF($D974="","",IF($F974&lt;&gt;"",$F974,IF(ISNA(MATCH($D974,'Paramètres'!$M:$M,0)),"⚠ Type inconnu",IFERROR(INDEX('Paramètres'!$P:$P,MATCH($D974,'Paramètres'!$M:$M,0))&amp;"",""))))</f>
        <v>Débit</v>
      </c>
      <c r="M974" s="6" t="str">
        <f>IF($D974="","",IF(ISNA(MATCH($D974,'Paramètres'!$M:$M,0)),"⚠ Type inconnu",IF($L974="Crédit","",IFERROR(INDEX('Paramètres'!$O:$O,MATCH($D974,'Paramètres'!$M:$M,0))&amp;"",""))))</f>
        <v>Dépense Occasionnelle</v>
      </c>
      <c r="N974" s="6" t="str">
        <f>IF($D974="","",IFERROR(INDEX('Paramètres'!$Q:$Q,MATCH($D974,'Paramètres'!$M:$M,0))&amp;"",""))</f>
        <v>Autre</v>
      </c>
      <c r="O974" s="6">
        <f>IF($A974="","",IF(OR($J974&lt;&gt;"x",$A974&lt;=FinReleve),1,0))</f>
        <v>1</v>
      </c>
      <c r="P974" s="6">
        <f>IF($D974="","",IF(AND($L974="Crédit",OR(IFERROR(INDEX('Paramètres'!$O:$O,MATCH($D974,'Paramètres'!$M:$M,0))&amp;"","")&lt;&gt;"",ISNUMBER(SEARCH("remboursement",IFERROR(INDEX('Paramètres'!$N:$N,MATCH($D974,'Paramètres'!$M:$M,0))&amp;"",""))))),1,0))</f>
        <v>0</v>
      </c>
      <c r="Q974" s="6">
        <f>IF($K974="","",IF(ISNUMBER(SEARCH("transfert-interne",IFERROR(INDEX('Paramètres'!$N:$N,MATCH($D974,'Paramètres'!$M:$M,0))&amp;"",""))),0,IF($L974="Débit",$K974,IF($P974=1,-$K974,0))))</f>
        <v>15.33</v>
      </c>
      <c r="R974" s="6">
        <f>IF($K974="","",IF($L974="Crédit",$K974,-$K974))</f>
        <v>-15.33</v>
      </c>
      <c r="S974" s="6" t="str">
        <f>IF($C974="","",IFERROR(INDEX('Paramètres'!$H:$H,MATCH($C974,'Paramètres'!$D:$D,0))&amp;"",""))</f>
        <v>Banque A - Courant</v>
      </c>
      <c r="T974" s="6">
        <f>IF($K974="","",IF($S974="",0,IF(ISNUMBER(SEARCH("apport-exterieur",IFERROR(INDEX('Paramètres'!$N:$N,MATCH($D974,'Paramètres'!$M:$M,0))&amp;"",""))),0,IF(OR(IFERROR(INDEX('Paramètres'!$I:$I,MATCH($C974,'Paramètres'!$D:$D,0))&amp;"","")="Les deux",IFERROR(INDEX('Paramètres'!$I:$I,MATCH($C974,'Paramètres'!$D:$D,0))&amp;"","")=IF($P974=1,"Débit",$L974)),-IF($P974=1,-$K974,$K974),0))))</f>
        <v>-15.33</v>
      </c>
      <c r="U974" s="6">
        <f>IF($K974="","",IF(ISNUMBER(SEARCH("sortie-epargne",IFERROR(INDEX('Paramètres'!$N:$N,MATCH($D974,'Paramètres'!$M:$M,0))&amp;"",""))),$K974,0))</f>
        <v>0</v>
      </c>
      <c r="V974" s="6" t="str">
        <f>IF(AND($A974&lt;&gt;"",$O974=1,$L974="Débit",N($Q974)&gt;0,$A974&gt;=Visualisation!$B$1,$A974&lt;Visualisation!$D$1),MAX($V$1:V973)+1,"")</f>
        <v/>
      </c>
    </row>
    <row r="975" spans="1:22" x14ac:dyDescent="0.25">
      <c r="A975" s="9">
        <v>46231</v>
      </c>
      <c r="B975" s="4" t="s">
        <v>118</v>
      </c>
      <c r="C975" s="4" t="s">
        <v>75</v>
      </c>
      <c r="D975" s="4" t="s">
        <v>118</v>
      </c>
      <c r="E975" s="10">
        <v>3</v>
      </c>
      <c r="G975" s="4"/>
      <c r="H975" s="4"/>
      <c r="I975" s="4"/>
      <c r="K975" s="11">
        <f>IF($E975="","",ROUND($E975*IF(ISNA(MATCH($C975,'Paramètres'!$D:$D,0)),1,IF(INDEX('Paramètres'!$J:$J,MATCH($C975,'Paramètres'!$D:$D,0))="",1,INDEX('Paramètres'!$J:$J,MATCH($C975,'Paramètres'!$D:$D,0)))),2))</f>
        <v>3</v>
      </c>
      <c r="L975" s="6" t="str">
        <f>IF($D975="","",IF($F975&lt;&gt;"",$F975,IF(ISNA(MATCH($D975,'Paramètres'!$M:$M,0)),"⚠ Type inconnu",IFERROR(INDEX('Paramètres'!$P:$P,MATCH($D975,'Paramètres'!$M:$M,0))&amp;"",""))))</f>
        <v>Débit</v>
      </c>
      <c r="M975" s="6" t="str">
        <f>IF($D975="","",IF(ISNA(MATCH($D975,'Paramètres'!$M:$M,0)),"⚠ Type inconnu",IF($L975="Crédit","",IFERROR(INDEX('Paramètres'!$O:$O,MATCH($D975,'Paramètres'!$M:$M,0))&amp;"",""))))</f>
        <v>Dépense Fixe</v>
      </c>
      <c r="N975" s="6" t="str">
        <f>IF($D975="","",IFERROR(INDEX('Paramètres'!$Q:$Q,MATCH($D975,'Paramètres'!$M:$M,0))&amp;"",""))</f>
        <v>Banque</v>
      </c>
      <c r="O975" s="6">
        <f>IF($A975="","",IF(OR($J975&lt;&gt;"x",$A975&lt;=FinReleve),1,0))</f>
        <v>1</v>
      </c>
      <c r="P975" s="6">
        <f>IF($D975="","",IF(AND($L975="Crédit",OR(IFERROR(INDEX('Paramètres'!$O:$O,MATCH($D975,'Paramètres'!$M:$M,0))&amp;"","")&lt;&gt;"",ISNUMBER(SEARCH("remboursement",IFERROR(INDEX('Paramètres'!$N:$N,MATCH($D975,'Paramètres'!$M:$M,0))&amp;"",""))))),1,0))</f>
        <v>0</v>
      </c>
      <c r="Q975" s="6">
        <f>IF($K975="","",IF(ISNUMBER(SEARCH("transfert-interne",IFERROR(INDEX('Paramètres'!$N:$N,MATCH($D975,'Paramètres'!$M:$M,0))&amp;"",""))),0,IF($L975="Débit",$K975,IF($P975=1,-$K975,0))))</f>
        <v>3</v>
      </c>
      <c r="R975" s="6">
        <f>IF($K975="","",IF($L975="Crédit",$K975,-$K975))</f>
        <v>-3</v>
      </c>
      <c r="S975" s="6" t="str">
        <f>IF($C975="","",IFERROR(INDEX('Paramètres'!$H:$H,MATCH($C975,'Paramètres'!$D:$D,0))&amp;"",""))</f>
        <v/>
      </c>
      <c r="T975" s="6">
        <f>IF($K975="","",IF($S975="",0,IF(ISNUMBER(SEARCH("apport-exterieur",IFERROR(INDEX('Paramètres'!$N:$N,MATCH($D975,'Paramètres'!$M:$M,0))&amp;"",""))),0,IF(OR(IFERROR(INDEX('Paramètres'!$I:$I,MATCH($C975,'Paramètres'!$D:$D,0))&amp;"","")="Les deux",IFERROR(INDEX('Paramètres'!$I:$I,MATCH($C975,'Paramètres'!$D:$D,0))&amp;"","")=IF($P975=1,"Débit",$L975)),-IF($P975=1,-$K975,$K975),0))))</f>
        <v>0</v>
      </c>
      <c r="U975" s="6">
        <f>IF($K975="","",IF(ISNUMBER(SEARCH("sortie-epargne",IFERROR(INDEX('Paramètres'!$N:$N,MATCH($D975,'Paramètres'!$M:$M,0))&amp;"",""))),$K975,0))</f>
        <v>0</v>
      </c>
      <c r="V975" s="6" t="str">
        <f>IF(AND($A975&lt;&gt;"",$O975=1,$L975="Débit",N($Q975)&gt;0,$A975&gt;=Visualisation!$B$1,$A975&lt;Visualisation!$D$1),MAX($V$1:V974)+1,"")</f>
        <v/>
      </c>
    </row>
    <row r="976" spans="1:22" x14ac:dyDescent="0.25">
      <c r="A976" s="9">
        <v>46231</v>
      </c>
      <c r="B976" s="4" t="s">
        <v>76</v>
      </c>
      <c r="C976" s="4" t="s">
        <v>67</v>
      </c>
      <c r="D976" s="4" t="s">
        <v>77</v>
      </c>
      <c r="E976" s="10">
        <v>60.46</v>
      </c>
      <c r="G976" s="4" t="s">
        <v>78</v>
      </c>
      <c r="H976" s="4" t="s">
        <v>148</v>
      </c>
      <c r="I976" s="4" t="s">
        <v>73</v>
      </c>
      <c r="K976" s="11">
        <f>IF($E976="","",ROUND($E976*IF(ISNA(MATCH($C976,'Paramètres'!$D:$D,0)),1,IF(INDEX('Paramètres'!$J:$J,MATCH($C976,'Paramètres'!$D:$D,0))="",1,INDEX('Paramètres'!$J:$J,MATCH($C976,'Paramètres'!$D:$D,0)))),2))</f>
        <v>30.23</v>
      </c>
      <c r="L976" s="6" t="str">
        <f>IF($D976="","",IF($F976&lt;&gt;"",$F976,IF(ISNA(MATCH($D976,'Paramètres'!$M:$M,0)),"⚠ Type inconnu",IFERROR(INDEX('Paramètres'!$P:$P,MATCH($D976,'Paramètres'!$M:$M,0))&amp;"",""))))</f>
        <v>Débit</v>
      </c>
      <c r="M976" s="6" t="str">
        <f>IF($D976="","",IF(ISNA(MATCH($D976,'Paramètres'!$M:$M,0)),"⚠ Type inconnu",IF($L976="Crédit","",IFERROR(INDEX('Paramètres'!$O:$O,MATCH($D976,'Paramètres'!$M:$M,0))&amp;"",""))))</f>
        <v>Dépense Courante</v>
      </c>
      <c r="N976" s="6" t="str">
        <f>IF($D976="","",IFERROR(INDEX('Paramètres'!$Q:$Q,MATCH($D976,'Paramètres'!$M:$M,0))&amp;"",""))</f>
        <v>Alimentation</v>
      </c>
      <c r="O976" s="6">
        <f>IF($A976="","",IF(OR($J976&lt;&gt;"x",$A976&lt;=FinReleve),1,0))</f>
        <v>1</v>
      </c>
      <c r="P976" s="6">
        <f>IF($D976="","",IF(AND($L976="Crédit",OR(IFERROR(INDEX('Paramètres'!$O:$O,MATCH($D976,'Paramètres'!$M:$M,0))&amp;"","")&lt;&gt;"",ISNUMBER(SEARCH("remboursement",IFERROR(INDEX('Paramètres'!$N:$N,MATCH($D976,'Paramètres'!$M:$M,0))&amp;"",""))))),1,0))</f>
        <v>0</v>
      </c>
      <c r="Q976" s="6">
        <f>IF($K976="","",IF(ISNUMBER(SEARCH("transfert-interne",IFERROR(INDEX('Paramètres'!$N:$N,MATCH($D976,'Paramètres'!$M:$M,0))&amp;"",""))),0,IF($L976="Débit",$K976,IF($P976=1,-$K976,0))))</f>
        <v>30.23</v>
      </c>
      <c r="R976" s="6">
        <f>IF($K976="","",IF($L976="Crédit",$K976,-$K976))</f>
        <v>-30.23</v>
      </c>
      <c r="S976" s="6" t="str">
        <f>IF($C976="","",IFERROR(INDEX('Paramètres'!$H:$H,MATCH($C976,'Paramètres'!$D:$D,0))&amp;"",""))</f>
        <v>Banque A - Courant</v>
      </c>
      <c r="T976" s="6">
        <f>IF($K976="","",IF($S976="",0,IF(ISNUMBER(SEARCH("apport-exterieur",IFERROR(INDEX('Paramètres'!$N:$N,MATCH($D976,'Paramètres'!$M:$M,0))&amp;"",""))),0,IF(OR(IFERROR(INDEX('Paramètres'!$I:$I,MATCH($C976,'Paramètres'!$D:$D,0))&amp;"","")="Les deux",IFERROR(INDEX('Paramètres'!$I:$I,MATCH($C976,'Paramètres'!$D:$D,0))&amp;"","")=IF($P976=1,"Débit",$L976)),-IF($P976=1,-$K976,$K976),0))))</f>
        <v>0</v>
      </c>
      <c r="U976" s="6">
        <f>IF($K976="","",IF(ISNUMBER(SEARCH("sortie-epargne",IFERROR(INDEX('Paramètres'!$N:$N,MATCH($D976,'Paramètres'!$M:$M,0))&amp;"",""))),$K976,0))</f>
        <v>0</v>
      </c>
      <c r="V976" s="6" t="str">
        <f>IF(AND($A976&lt;&gt;"",$O976=1,$L976="Débit",N($Q976)&gt;0,$A976&gt;=Visualisation!$B$1,$A976&lt;Visualisation!$D$1),MAX($V$1:V975)+1,"")</f>
        <v/>
      </c>
    </row>
    <row r="977" spans="1:22" x14ac:dyDescent="0.25">
      <c r="A977" s="9">
        <v>46231</v>
      </c>
      <c r="B977" s="4" t="s">
        <v>121</v>
      </c>
      <c r="C977" s="4" t="s">
        <v>60</v>
      </c>
      <c r="D977" s="4" t="s">
        <v>121</v>
      </c>
      <c r="E977" s="10">
        <v>162.92</v>
      </c>
      <c r="G977" s="4" t="s">
        <v>127</v>
      </c>
      <c r="H977" s="4"/>
      <c r="I977" s="4"/>
      <c r="K977" s="11">
        <f>IF($E977="","",ROUND($E977*IF(ISNA(MATCH($C977,'Paramètres'!$D:$D,0)),1,IF(INDEX('Paramètres'!$J:$J,MATCH($C977,'Paramètres'!$D:$D,0))="",1,INDEX('Paramètres'!$J:$J,MATCH($C977,'Paramètres'!$D:$D,0)))),2))</f>
        <v>81.46</v>
      </c>
      <c r="L977" s="6" t="str">
        <f>IF($D977="","",IF($F977&lt;&gt;"",$F977,IF(ISNA(MATCH($D977,'Paramètres'!$M:$M,0)),"⚠ Type inconnu",IFERROR(INDEX('Paramètres'!$P:$P,MATCH($D977,'Paramètres'!$M:$M,0))&amp;"",""))))</f>
        <v>Débit</v>
      </c>
      <c r="M977" s="6" t="str">
        <f>IF($D977="","",IF(ISNA(MATCH($D977,'Paramètres'!$M:$M,0)),"⚠ Type inconnu",IF($L977="Crédit","",IFERROR(INDEX('Paramètres'!$O:$O,MATCH($D977,'Paramètres'!$M:$M,0))&amp;"",""))))</f>
        <v>Dépense Occasionnelle</v>
      </c>
      <c r="N977" s="6" t="str">
        <f>IF($D977="","",IFERROR(INDEX('Paramètres'!$Q:$Q,MATCH($D977,'Paramètres'!$M:$M,0))&amp;"",""))</f>
        <v>Autre</v>
      </c>
      <c r="O977" s="6">
        <f>IF($A977="","",IF(OR($J977&lt;&gt;"x",$A977&lt;=FinReleve),1,0))</f>
        <v>1</v>
      </c>
      <c r="P977" s="6">
        <f>IF($D977="","",IF(AND($L977="Crédit",OR(IFERROR(INDEX('Paramètres'!$O:$O,MATCH($D977,'Paramètres'!$M:$M,0))&amp;"","")&lt;&gt;"",ISNUMBER(SEARCH("remboursement",IFERROR(INDEX('Paramètres'!$N:$N,MATCH($D977,'Paramètres'!$M:$M,0))&amp;"",""))))),1,0))</f>
        <v>0</v>
      </c>
      <c r="Q977" s="6">
        <f>IF($K977="","",IF(ISNUMBER(SEARCH("transfert-interne",IFERROR(INDEX('Paramètres'!$N:$N,MATCH($D977,'Paramètres'!$M:$M,0))&amp;"",""))),0,IF($L977="Débit",$K977,IF($P977=1,-$K977,0))))</f>
        <v>81.46</v>
      </c>
      <c r="R977" s="6">
        <f>IF($K977="","",IF($L977="Crédit",$K977,-$K977))</f>
        <v>-81.46</v>
      </c>
      <c r="S977" s="6" t="str">
        <f>IF($C977="","",IFERROR(INDEX('Paramètres'!$H:$H,MATCH($C977,'Paramètres'!$D:$D,0))&amp;"",""))</f>
        <v>Banque A - Courant</v>
      </c>
      <c r="T977" s="6">
        <f>IF($K977="","",IF($S977="",0,IF(ISNUMBER(SEARCH("apport-exterieur",IFERROR(INDEX('Paramètres'!$N:$N,MATCH($D977,'Paramètres'!$M:$M,0))&amp;"",""))),0,IF(OR(IFERROR(INDEX('Paramètres'!$I:$I,MATCH($C977,'Paramètres'!$D:$D,0))&amp;"","")="Les deux",IFERROR(INDEX('Paramètres'!$I:$I,MATCH($C977,'Paramètres'!$D:$D,0))&amp;"","")=IF($P977=1,"Débit",$L977)),-IF($P977=1,-$K977,$K977),0))))</f>
        <v>-81.46</v>
      </c>
      <c r="U977" s="6">
        <f>IF($K977="","",IF(ISNUMBER(SEARCH("sortie-epargne",IFERROR(INDEX('Paramètres'!$N:$N,MATCH($D977,'Paramètres'!$M:$M,0))&amp;"",""))),$K977,0))</f>
        <v>0</v>
      </c>
      <c r="V977" s="6" t="str">
        <f>IF(AND($A977&lt;&gt;"",$O977=1,$L977="Débit",N($Q977)&gt;0,$A977&gt;=Visualisation!$B$1,$A977&lt;Visualisation!$D$1),MAX($V$1:V976)+1,"")</f>
        <v/>
      </c>
    </row>
    <row r="978" spans="1:22" x14ac:dyDescent="0.25">
      <c r="A978" s="9">
        <v>46236</v>
      </c>
      <c r="B978" s="4" t="s">
        <v>64</v>
      </c>
      <c r="C978" s="4" t="s">
        <v>65</v>
      </c>
      <c r="D978" s="4" t="s">
        <v>66</v>
      </c>
      <c r="E978" s="10">
        <v>1160</v>
      </c>
      <c r="G978" s="4"/>
      <c r="H978" s="4"/>
      <c r="I978" s="4"/>
      <c r="K978" s="11">
        <f>IF($E978="","",ROUND($E978*IF(ISNA(MATCH($C978,'Paramètres'!$D:$D,0)),1,IF(INDEX('Paramètres'!$J:$J,MATCH($C978,'Paramètres'!$D:$D,0))="",1,INDEX('Paramètres'!$J:$J,MATCH($C978,'Paramètres'!$D:$D,0)))),2))</f>
        <v>1160</v>
      </c>
      <c r="L978" s="6" t="str">
        <f>IF($D978="","",IF($F978&lt;&gt;"",$F978,IF(ISNA(MATCH($D978,'Paramètres'!$M:$M,0)),"⚠ Type inconnu",IFERROR(INDEX('Paramètres'!$P:$P,MATCH($D978,'Paramètres'!$M:$M,0))&amp;"",""))))</f>
        <v>Crédit</v>
      </c>
      <c r="M978" s="6" t="str">
        <f>IF($D978="","",IF(ISNA(MATCH($D978,'Paramètres'!$M:$M,0)),"⚠ Type inconnu",IF($L978="Crédit","",IFERROR(INDEX('Paramètres'!$O:$O,MATCH($D978,'Paramètres'!$M:$M,0))&amp;"",""))))</f>
        <v/>
      </c>
      <c r="N978" s="6" t="str">
        <f>IF($D978="","",IFERROR(INDEX('Paramètres'!$Q:$Q,MATCH($D978,'Paramètres'!$M:$M,0))&amp;"",""))</f>
        <v>Comptes Bancaires</v>
      </c>
      <c r="O978" s="6">
        <f>IF($A978="","",IF(OR($J978&lt;&gt;"x",$A978&lt;=FinReleve),1,0))</f>
        <v>1</v>
      </c>
      <c r="P978" s="6">
        <f>IF($D978="","",IF(AND($L978="Crédit",OR(IFERROR(INDEX('Paramètres'!$O:$O,MATCH($D978,'Paramètres'!$M:$M,0))&amp;"","")&lt;&gt;"",ISNUMBER(SEARCH("remboursement",IFERROR(INDEX('Paramètres'!$N:$N,MATCH($D978,'Paramètres'!$M:$M,0))&amp;"",""))))),1,0))</f>
        <v>0</v>
      </c>
      <c r="Q978" s="6">
        <f>IF($K978="","",IF(ISNUMBER(SEARCH("transfert-interne",IFERROR(INDEX('Paramètres'!$N:$N,MATCH($D978,'Paramètres'!$M:$M,0))&amp;"",""))),0,IF($L978="Débit",$K978,IF($P978=1,-$K978,0))))</f>
        <v>0</v>
      </c>
      <c r="R978" s="6">
        <f>IF($K978="","",IF($L978="Crédit",$K978,-$K978))</f>
        <v>1160</v>
      </c>
      <c r="S978" s="6" t="str">
        <f>IF($C978="","",IFERROR(INDEX('Paramètres'!$H:$H,MATCH($C978,'Paramètres'!$D:$D,0))&amp;"",""))</f>
        <v>Banque A - Courant</v>
      </c>
      <c r="T978" s="6">
        <f>IF($K978="","",IF($S978="",0,IF(ISNUMBER(SEARCH("apport-exterieur",IFERROR(INDEX('Paramètres'!$N:$N,MATCH($D978,'Paramètres'!$M:$M,0))&amp;"",""))),0,IF(OR(IFERROR(INDEX('Paramètres'!$I:$I,MATCH($C978,'Paramètres'!$D:$D,0))&amp;"","")="Les deux",IFERROR(INDEX('Paramètres'!$I:$I,MATCH($C978,'Paramètres'!$D:$D,0))&amp;"","")=IF($P978=1,"Débit",$L978)),-IF($P978=1,-$K978,$K978),0))))</f>
        <v>-1160</v>
      </c>
      <c r="U978" s="6">
        <f>IF($K978="","",IF(ISNUMBER(SEARCH("sortie-epargne",IFERROR(INDEX('Paramètres'!$N:$N,MATCH($D978,'Paramètres'!$M:$M,0))&amp;"",""))),$K978,0))</f>
        <v>0</v>
      </c>
      <c r="V978" s="6" t="str">
        <f>IF(AND($A978&lt;&gt;"",$O978=1,$L978="Débit",N($Q978)&gt;0,$A978&gt;=Visualisation!$B$1,$A978&lt;Visualisation!$D$1),MAX($V$1:V977)+1,"")</f>
        <v/>
      </c>
    </row>
    <row r="979" spans="1:22" x14ac:dyDescent="0.25">
      <c r="A979" s="9">
        <v>46236</v>
      </c>
      <c r="B979" s="4" t="s">
        <v>64</v>
      </c>
      <c r="C979" s="4" t="s">
        <v>67</v>
      </c>
      <c r="D979" s="4" t="s">
        <v>68</v>
      </c>
      <c r="E979" s="10">
        <v>600</v>
      </c>
      <c r="G979" s="4"/>
      <c r="H979" s="4"/>
      <c r="I979" s="4"/>
      <c r="K979" s="11">
        <f>IF($E979="","",ROUND($E979*IF(ISNA(MATCH($C979,'Paramètres'!$D:$D,0)),1,IF(INDEX('Paramètres'!$J:$J,MATCH($C979,'Paramètres'!$D:$D,0))="",1,INDEX('Paramètres'!$J:$J,MATCH($C979,'Paramètres'!$D:$D,0)))),2))</f>
        <v>300</v>
      </c>
      <c r="L979" s="6" t="str">
        <f>IF($D979="","",IF($F979&lt;&gt;"",$F979,IF(ISNA(MATCH($D979,'Paramètres'!$M:$M,0)),"⚠ Type inconnu",IFERROR(INDEX('Paramètres'!$P:$P,MATCH($D979,'Paramètres'!$M:$M,0))&amp;"",""))))</f>
        <v>Crédit</v>
      </c>
      <c r="M979" s="6" t="str">
        <f>IF($D979="","",IF(ISNA(MATCH($D979,'Paramètres'!$M:$M,0)),"⚠ Type inconnu",IF($L979="Crédit","",IFERROR(INDEX('Paramètres'!$O:$O,MATCH($D979,'Paramètres'!$M:$M,0))&amp;"",""))))</f>
        <v/>
      </c>
      <c r="N979" s="6" t="str">
        <f>IF($D979="","",IFERROR(INDEX('Paramètres'!$Q:$Q,MATCH($D979,'Paramètres'!$M:$M,0))&amp;"",""))</f>
        <v>Comptes Bancaires</v>
      </c>
      <c r="O979" s="6">
        <f>IF($A979="","",IF(OR($J979&lt;&gt;"x",$A979&lt;=FinReleve),1,0))</f>
        <v>1</v>
      </c>
      <c r="P979" s="6">
        <f>IF($D979="","",IF(AND($L979="Crédit",OR(IFERROR(INDEX('Paramètres'!$O:$O,MATCH($D979,'Paramètres'!$M:$M,0))&amp;"","")&lt;&gt;"",ISNUMBER(SEARCH("remboursement",IFERROR(INDEX('Paramètres'!$N:$N,MATCH($D979,'Paramètres'!$M:$M,0))&amp;"",""))))),1,0))</f>
        <v>0</v>
      </c>
      <c r="Q979" s="6">
        <f>IF($K979="","",IF(ISNUMBER(SEARCH("transfert-interne",IFERROR(INDEX('Paramètres'!$N:$N,MATCH($D979,'Paramètres'!$M:$M,0))&amp;"",""))),0,IF($L979="Débit",$K979,IF($P979=1,-$K979,0))))</f>
        <v>0</v>
      </c>
      <c r="R979" s="6">
        <f>IF($K979="","",IF($L979="Crédit",$K979,-$K979))</f>
        <v>300</v>
      </c>
      <c r="S979" s="6" t="str">
        <f>IF($C979="","",IFERROR(INDEX('Paramètres'!$H:$H,MATCH($C979,'Paramètres'!$D:$D,0))&amp;"",""))</f>
        <v>Banque A - Courant</v>
      </c>
      <c r="T979" s="6">
        <f>IF($K979="","",IF($S979="",0,IF(ISNUMBER(SEARCH("apport-exterieur",IFERROR(INDEX('Paramètres'!$N:$N,MATCH($D979,'Paramètres'!$M:$M,0))&amp;"",""))),0,IF(OR(IFERROR(INDEX('Paramètres'!$I:$I,MATCH($C979,'Paramètres'!$D:$D,0))&amp;"","")="Les deux",IFERROR(INDEX('Paramètres'!$I:$I,MATCH($C979,'Paramètres'!$D:$D,0))&amp;"","")=IF($P979=1,"Débit",$L979)),-IF($P979=1,-$K979,$K979),0))))</f>
        <v>-300</v>
      </c>
      <c r="U979" s="6">
        <f>IF($K979="","",IF(ISNUMBER(SEARCH("sortie-epargne",IFERROR(INDEX('Paramètres'!$N:$N,MATCH($D979,'Paramètres'!$M:$M,0))&amp;"",""))),$K979,0))</f>
        <v>0</v>
      </c>
      <c r="V979" s="6" t="str">
        <f>IF(AND($A979&lt;&gt;"",$O979=1,$L979="Débit",N($Q979)&gt;0,$A979&gt;=Visualisation!$B$1,$A979&lt;Visualisation!$D$1),MAX($V$1:V978)+1,"")</f>
        <v/>
      </c>
    </row>
    <row r="980" spans="1:22" x14ac:dyDescent="0.25">
      <c r="A980" s="9">
        <v>46236</v>
      </c>
      <c r="B980" s="4" t="s">
        <v>76</v>
      </c>
      <c r="C980" s="4" t="s">
        <v>67</v>
      </c>
      <c r="D980" s="4" t="s">
        <v>77</v>
      </c>
      <c r="E980" s="10">
        <v>51.3</v>
      </c>
      <c r="G980" s="4" t="s">
        <v>102</v>
      </c>
      <c r="H980" s="4"/>
      <c r="I980" s="4"/>
      <c r="K980" s="11">
        <f>IF($E980="","",ROUND($E980*IF(ISNA(MATCH($C980,'Paramètres'!$D:$D,0)),1,IF(INDEX('Paramètres'!$J:$J,MATCH($C980,'Paramètres'!$D:$D,0))="",1,INDEX('Paramètres'!$J:$J,MATCH($C980,'Paramètres'!$D:$D,0)))),2))</f>
        <v>25.65</v>
      </c>
      <c r="L980" s="6" t="str">
        <f>IF($D980="","",IF($F980&lt;&gt;"",$F980,IF(ISNA(MATCH($D980,'Paramètres'!$M:$M,0)),"⚠ Type inconnu",IFERROR(INDEX('Paramètres'!$P:$P,MATCH($D980,'Paramètres'!$M:$M,0))&amp;"",""))))</f>
        <v>Débit</v>
      </c>
      <c r="M980" s="6" t="str">
        <f>IF($D980="","",IF(ISNA(MATCH($D980,'Paramètres'!$M:$M,0)),"⚠ Type inconnu",IF($L980="Crédit","",IFERROR(INDEX('Paramètres'!$O:$O,MATCH($D980,'Paramètres'!$M:$M,0))&amp;"",""))))</f>
        <v>Dépense Courante</v>
      </c>
      <c r="N980" s="6" t="str">
        <f>IF($D980="","",IFERROR(INDEX('Paramètres'!$Q:$Q,MATCH($D980,'Paramètres'!$M:$M,0))&amp;"",""))</f>
        <v>Alimentation</v>
      </c>
      <c r="O980" s="6">
        <f>IF($A980="","",IF(OR($J980&lt;&gt;"x",$A980&lt;=FinReleve),1,0))</f>
        <v>1</v>
      </c>
      <c r="P980" s="6">
        <f>IF($D980="","",IF(AND($L980="Crédit",OR(IFERROR(INDEX('Paramètres'!$O:$O,MATCH($D980,'Paramètres'!$M:$M,0))&amp;"","")&lt;&gt;"",ISNUMBER(SEARCH("remboursement",IFERROR(INDEX('Paramètres'!$N:$N,MATCH($D980,'Paramètres'!$M:$M,0))&amp;"",""))))),1,0))</f>
        <v>0</v>
      </c>
      <c r="Q980" s="6">
        <f>IF($K980="","",IF(ISNUMBER(SEARCH("transfert-interne",IFERROR(INDEX('Paramètres'!$N:$N,MATCH($D980,'Paramètres'!$M:$M,0))&amp;"",""))),0,IF($L980="Débit",$K980,IF($P980=1,-$K980,0))))</f>
        <v>25.65</v>
      </c>
      <c r="R980" s="6">
        <f>IF($K980="","",IF($L980="Crédit",$K980,-$K980))</f>
        <v>-25.65</v>
      </c>
      <c r="S980" s="6" t="str">
        <f>IF($C980="","",IFERROR(INDEX('Paramètres'!$H:$H,MATCH($C980,'Paramètres'!$D:$D,0))&amp;"",""))</f>
        <v>Banque A - Courant</v>
      </c>
      <c r="T980" s="6">
        <f>IF($K980="","",IF($S980="",0,IF(ISNUMBER(SEARCH("apport-exterieur",IFERROR(INDEX('Paramètres'!$N:$N,MATCH($D980,'Paramètres'!$M:$M,0))&amp;"",""))),0,IF(OR(IFERROR(INDEX('Paramètres'!$I:$I,MATCH($C980,'Paramètres'!$D:$D,0))&amp;"","")="Les deux",IFERROR(INDEX('Paramètres'!$I:$I,MATCH($C980,'Paramètres'!$D:$D,0))&amp;"","")=IF($P980=1,"Débit",$L980)),-IF($P980=1,-$K980,$K980),0))))</f>
        <v>0</v>
      </c>
      <c r="U980" s="6">
        <f>IF($K980="","",IF(ISNUMBER(SEARCH("sortie-epargne",IFERROR(INDEX('Paramètres'!$N:$N,MATCH($D980,'Paramètres'!$M:$M,0))&amp;"",""))),$K980,0))</f>
        <v>0</v>
      </c>
      <c r="V980" s="6">
        <f>IF(AND($A980&lt;&gt;"",$O980=1,$L980="Débit",N($Q980)&gt;0,$A980&gt;=Visualisation!$B$1,$A980&lt;Visualisation!$D$1),MAX($V$1:V979)+1,"")</f>
        <v>1</v>
      </c>
    </row>
    <row r="981" spans="1:22" x14ac:dyDescent="0.25">
      <c r="A981" s="9">
        <v>46236</v>
      </c>
      <c r="B981" s="4" t="s">
        <v>69</v>
      </c>
      <c r="C981" s="4" t="s">
        <v>70</v>
      </c>
      <c r="D981" s="4" t="s">
        <v>71</v>
      </c>
      <c r="E981" s="10">
        <v>13.58</v>
      </c>
      <c r="G981" s="4" t="s">
        <v>72</v>
      </c>
      <c r="H981" s="4"/>
      <c r="I981" s="4" t="s">
        <v>63</v>
      </c>
      <c r="K981" s="11">
        <f>IF($E981="","",ROUND($E981*IF(ISNA(MATCH($C981,'Paramètres'!$D:$D,0)),1,IF(INDEX('Paramètres'!$J:$J,MATCH($C981,'Paramètres'!$D:$D,0))="",1,INDEX('Paramètres'!$J:$J,MATCH($C981,'Paramètres'!$D:$D,0)))),2))</f>
        <v>13.58</v>
      </c>
      <c r="L981" s="6" t="str">
        <f>IF($D981="","",IF($F981&lt;&gt;"",$F981,IF(ISNA(MATCH($D981,'Paramètres'!$M:$M,0)),"⚠ Type inconnu",IFERROR(INDEX('Paramètres'!$P:$P,MATCH($D981,'Paramètres'!$M:$M,0))&amp;"",""))))</f>
        <v>Débit</v>
      </c>
      <c r="M981" s="6" t="str">
        <f>IF($D981="","",IF(ISNA(MATCH($D981,'Paramètres'!$M:$M,0)),"⚠ Type inconnu",IF($L981="Crédit","",IFERROR(INDEX('Paramètres'!$O:$O,MATCH($D981,'Paramètres'!$M:$M,0))&amp;"",""))))</f>
        <v>Dépense Courante</v>
      </c>
      <c r="N981" s="6" t="str">
        <f>IF($D981="","",IFERROR(INDEX('Paramètres'!$Q:$Q,MATCH($D981,'Paramètres'!$M:$M,0))&amp;"",""))</f>
        <v>Alimentation</v>
      </c>
      <c r="O981" s="6">
        <f>IF($A981="","",IF(OR($J981&lt;&gt;"x",$A981&lt;=FinReleve),1,0))</f>
        <v>1</v>
      </c>
      <c r="P981" s="6">
        <f>IF($D981="","",IF(AND($L981="Crédit",OR(IFERROR(INDEX('Paramètres'!$O:$O,MATCH($D981,'Paramètres'!$M:$M,0))&amp;"","")&lt;&gt;"",ISNUMBER(SEARCH("remboursement",IFERROR(INDEX('Paramètres'!$N:$N,MATCH($D981,'Paramètres'!$M:$M,0))&amp;"",""))))),1,0))</f>
        <v>0</v>
      </c>
      <c r="Q981" s="6">
        <f>IF($K981="","",IF(ISNUMBER(SEARCH("transfert-interne",IFERROR(INDEX('Paramètres'!$N:$N,MATCH($D981,'Paramètres'!$M:$M,0))&amp;"",""))),0,IF($L981="Débit",$K981,IF($P981=1,-$K981,0))))</f>
        <v>13.58</v>
      </c>
      <c r="R981" s="6">
        <f>IF($K981="","",IF($L981="Crédit",$K981,-$K981))</f>
        <v>-13.58</v>
      </c>
      <c r="S981" s="6" t="str">
        <f>IF($C981="","",IFERROR(INDEX('Paramètres'!$H:$H,MATCH($C981,'Paramètres'!$D:$D,0))&amp;"",""))</f>
        <v/>
      </c>
      <c r="T981" s="6">
        <f>IF($K981="","",IF($S981="",0,IF(ISNUMBER(SEARCH("apport-exterieur",IFERROR(INDEX('Paramètres'!$N:$N,MATCH($D981,'Paramètres'!$M:$M,0))&amp;"",""))),0,IF(OR(IFERROR(INDEX('Paramètres'!$I:$I,MATCH($C981,'Paramètres'!$D:$D,0))&amp;"","")="Les deux",IFERROR(INDEX('Paramètres'!$I:$I,MATCH($C981,'Paramètres'!$D:$D,0))&amp;"","")=IF($P981=1,"Débit",$L981)),-IF($P981=1,-$K981,$K981),0))))</f>
        <v>0</v>
      </c>
      <c r="U981" s="6">
        <f>IF($K981="","",IF(ISNUMBER(SEARCH("sortie-epargne",IFERROR(INDEX('Paramètres'!$N:$N,MATCH($D981,'Paramètres'!$M:$M,0))&amp;"",""))),$K981,0))</f>
        <v>0</v>
      </c>
      <c r="V981" s="6">
        <f>IF(AND($A981&lt;&gt;"",$O981=1,$L981="Débit",N($Q981)&gt;0,$A981&gt;=Visualisation!$B$1,$A981&lt;Visualisation!$D$1),MAX($V$1:V980)+1,"")</f>
        <v>2</v>
      </c>
    </row>
    <row r="982" spans="1:22" x14ac:dyDescent="0.25">
      <c r="A982" s="9">
        <v>46237</v>
      </c>
      <c r="B982" s="4" t="s">
        <v>74</v>
      </c>
      <c r="C982" s="4" t="s">
        <v>75</v>
      </c>
      <c r="D982" s="4" t="s">
        <v>74</v>
      </c>
      <c r="E982" s="10">
        <v>88.8</v>
      </c>
      <c r="G982" s="4"/>
      <c r="H982" s="4"/>
      <c r="I982" s="4"/>
      <c r="K982" s="11">
        <f>IF($E982="","",ROUND($E982*IF(ISNA(MATCH($C982,'Paramètres'!$D:$D,0)),1,IF(INDEX('Paramètres'!$J:$J,MATCH($C982,'Paramètres'!$D:$D,0))="",1,INDEX('Paramètres'!$J:$J,MATCH($C982,'Paramètres'!$D:$D,0)))),2))</f>
        <v>88.8</v>
      </c>
      <c r="L982" s="6" t="str">
        <f>IF($D982="","",IF($F982&lt;&gt;"",$F982,IF(ISNA(MATCH($D982,'Paramètres'!$M:$M,0)),"⚠ Type inconnu",IFERROR(INDEX('Paramètres'!$P:$P,MATCH($D982,'Paramètres'!$M:$M,0))&amp;"",""))))</f>
        <v>Débit</v>
      </c>
      <c r="M982" s="6" t="str">
        <f>IF($D982="","",IF(ISNA(MATCH($D982,'Paramètres'!$M:$M,0)),"⚠ Type inconnu",IF($L982="Crédit","",IFERROR(INDEX('Paramètres'!$O:$O,MATCH($D982,'Paramètres'!$M:$M,0))&amp;"",""))))</f>
        <v>Dépense Fixe</v>
      </c>
      <c r="N982" s="6" t="str">
        <f>IF($D982="","",IFERROR(INDEX('Paramètres'!$Q:$Q,MATCH($D982,'Paramètres'!$M:$M,0))&amp;"",""))</f>
        <v>Transport</v>
      </c>
      <c r="O982" s="6">
        <f>IF($A982="","",IF(OR($J982&lt;&gt;"x",$A982&lt;=FinReleve),1,0))</f>
        <v>1</v>
      </c>
      <c r="P982" s="6">
        <f>IF($D982="","",IF(AND($L982="Crédit",OR(IFERROR(INDEX('Paramètres'!$O:$O,MATCH($D982,'Paramètres'!$M:$M,0))&amp;"","")&lt;&gt;"",ISNUMBER(SEARCH("remboursement",IFERROR(INDEX('Paramètres'!$N:$N,MATCH($D982,'Paramètres'!$M:$M,0))&amp;"",""))))),1,0))</f>
        <v>0</v>
      </c>
      <c r="Q982" s="6">
        <f>IF($K982="","",IF(ISNUMBER(SEARCH("transfert-interne",IFERROR(INDEX('Paramètres'!$N:$N,MATCH($D982,'Paramètres'!$M:$M,0))&amp;"",""))),0,IF($L982="Débit",$K982,IF($P982=1,-$K982,0))))</f>
        <v>88.8</v>
      </c>
      <c r="R982" s="6">
        <f>IF($K982="","",IF($L982="Crédit",$K982,-$K982))</f>
        <v>-88.8</v>
      </c>
      <c r="S982" s="6" t="str">
        <f>IF($C982="","",IFERROR(INDEX('Paramètres'!$H:$H,MATCH($C982,'Paramètres'!$D:$D,0))&amp;"",""))</f>
        <v/>
      </c>
      <c r="T982" s="6">
        <f>IF($K982="","",IF($S982="",0,IF(ISNUMBER(SEARCH("apport-exterieur",IFERROR(INDEX('Paramètres'!$N:$N,MATCH($D982,'Paramètres'!$M:$M,0))&amp;"",""))),0,IF(OR(IFERROR(INDEX('Paramètres'!$I:$I,MATCH($C982,'Paramètres'!$D:$D,0))&amp;"","")="Les deux",IFERROR(INDEX('Paramètres'!$I:$I,MATCH($C982,'Paramètres'!$D:$D,0))&amp;"","")=IF($P982=1,"Débit",$L982)),-IF($P982=1,-$K982,$K982),0))))</f>
        <v>0</v>
      </c>
      <c r="U982" s="6">
        <f>IF($K982="","",IF(ISNUMBER(SEARCH("sortie-epargne",IFERROR(INDEX('Paramètres'!$N:$N,MATCH($D982,'Paramètres'!$M:$M,0))&amp;"",""))),$K982,0))</f>
        <v>0</v>
      </c>
      <c r="V982" s="6">
        <f>IF(AND($A982&lt;&gt;"",$O982=1,$L982="Débit",N($Q982)&gt;0,$A982&gt;=Visualisation!$B$1,$A982&lt;Visualisation!$D$1),MAX($V$1:V981)+1,"")</f>
        <v>3</v>
      </c>
    </row>
    <row r="983" spans="1:22" x14ac:dyDescent="0.25">
      <c r="A983" s="9">
        <v>46238</v>
      </c>
      <c r="B983" s="4" t="s">
        <v>76</v>
      </c>
      <c r="C983" s="4" t="s">
        <v>67</v>
      </c>
      <c r="D983" s="4" t="s">
        <v>77</v>
      </c>
      <c r="E983" s="10">
        <v>22.34</v>
      </c>
      <c r="G983" s="4" t="s">
        <v>98</v>
      </c>
      <c r="H983" s="4"/>
      <c r="I983" s="4" t="s">
        <v>73</v>
      </c>
      <c r="K983" s="11">
        <f>IF($E983="","",ROUND($E983*IF(ISNA(MATCH($C983,'Paramètres'!$D:$D,0)),1,IF(INDEX('Paramètres'!$J:$J,MATCH($C983,'Paramètres'!$D:$D,0))="",1,INDEX('Paramètres'!$J:$J,MATCH($C983,'Paramètres'!$D:$D,0)))),2))</f>
        <v>11.17</v>
      </c>
      <c r="L983" s="6" t="str">
        <f>IF($D983="","",IF($F983&lt;&gt;"",$F983,IF(ISNA(MATCH($D983,'Paramètres'!$M:$M,0)),"⚠ Type inconnu",IFERROR(INDEX('Paramètres'!$P:$P,MATCH($D983,'Paramètres'!$M:$M,0))&amp;"",""))))</f>
        <v>Débit</v>
      </c>
      <c r="M983" s="6" t="str">
        <f>IF($D983="","",IF(ISNA(MATCH($D983,'Paramètres'!$M:$M,0)),"⚠ Type inconnu",IF($L983="Crédit","",IFERROR(INDEX('Paramètres'!$O:$O,MATCH($D983,'Paramètres'!$M:$M,0))&amp;"",""))))</f>
        <v>Dépense Courante</v>
      </c>
      <c r="N983" s="6" t="str">
        <f>IF($D983="","",IFERROR(INDEX('Paramètres'!$Q:$Q,MATCH($D983,'Paramètres'!$M:$M,0))&amp;"",""))</f>
        <v>Alimentation</v>
      </c>
      <c r="O983" s="6">
        <f>IF($A983="","",IF(OR($J983&lt;&gt;"x",$A983&lt;=FinReleve),1,0))</f>
        <v>1</v>
      </c>
      <c r="P983" s="6">
        <f>IF($D983="","",IF(AND($L983="Crédit",OR(IFERROR(INDEX('Paramètres'!$O:$O,MATCH($D983,'Paramètres'!$M:$M,0))&amp;"","")&lt;&gt;"",ISNUMBER(SEARCH("remboursement",IFERROR(INDEX('Paramètres'!$N:$N,MATCH($D983,'Paramètres'!$M:$M,0))&amp;"",""))))),1,0))</f>
        <v>0</v>
      </c>
      <c r="Q983" s="6">
        <f>IF($K983="","",IF(ISNUMBER(SEARCH("transfert-interne",IFERROR(INDEX('Paramètres'!$N:$N,MATCH($D983,'Paramètres'!$M:$M,0))&amp;"",""))),0,IF($L983="Débit",$K983,IF($P983=1,-$K983,0))))</f>
        <v>11.17</v>
      </c>
      <c r="R983" s="6">
        <f>IF($K983="","",IF($L983="Crédit",$K983,-$K983))</f>
        <v>-11.17</v>
      </c>
      <c r="S983" s="6" t="str">
        <f>IF($C983="","",IFERROR(INDEX('Paramètres'!$H:$H,MATCH($C983,'Paramètres'!$D:$D,0))&amp;"",""))</f>
        <v>Banque A - Courant</v>
      </c>
      <c r="T983" s="6">
        <f>IF($K983="","",IF($S983="",0,IF(ISNUMBER(SEARCH("apport-exterieur",IFERROR(INDEX('Paramètres'!$N:$N,MATCH($D983,'Paramètres'!$M:$M,0))&amp;"",""))),0,IF(OR(IFERROR(INDEX('Paramètres'!$I:$I,MATCH($C983,'Paramètres'!$D:$D,0))&amp;"","")="Les deux",IFERROR(INDEX('Paramètres'!$I:$I,MATCH($C983,'Paramètres'!$D:$D,0))&amp;"","")=IF($P983=1,"Débit",$L983)),-IF($P983=1,-$K983,$K983),0))))</f>
        <v>0</v>
      </c>
      <c r="U983" s="6">
        <f>IF($K983="","",IF(ISNUMBER(SEARCH("sortie-epargne",IFERROR(INDEX('Paramètres'!$N:$N,MATCH($D983,'Paramètres'!$M:$M,0))&amp;"",""))),$K983,0))</f>
        <v>0</v>
      </c>
      <c r="V983" s="6">
        <f>IF(AND($A983&lt;&gt;"",$O983=1,$L983="Débit",N($Q983)&gt;0,$A983&gt;=Visualisation!$B$1,$A983&lt;Visualisation!$D$1),MAX($V$1:V982)+1,"")</f>
        <v>4</v>
      </c>
    </row>
    <row r="984" spans="1:22" x14ac:dyDescent="0.25">
      <c r="A984" s="9">
        <v>46238</v>
      </c>
      <c r="B984" s="4" t="s">
        <v>90</v>
      </c>
      <c r="C984" s="4" t="s">
        <v>75</v>
      </c>
      <c r="D984" s="4" t="s">
        <v>91</v>
      </c>
      <c r="E984" s="10">
        <v>53.4</v>
      </c>
      <c r="G984" s="4" t="s">
        <v>92</v>
      </c>
      <c r="H984" s="4"/>
      <c r="I984" s="4" t="s">
        <v>93</v>
      </c>
      <c r="K984" s="11">
        <f>IF($E984="","",ROUND($E984*IF(ISNA(MATCH($C984,'Paramètres'!$D:$D,0)),1,IF(INDEX('Paramètres'!$J:$J,MATCH($C984,'Paramètres'!$D:$D,0))="",1,INDEX('Paramètres'!$J:$J,MATCH($C984,'Paramètres'!$D:$D,0)))),2))</f>
        <v>53.4</v>
      </c>
      <c r="L984" s="6" t="str">
        <f>IF($D984="","",IF($F984&lt;&gt;"",$F984,IF(ISNA(MATCH($D984,'Paramètres'!$M:$M,0)),"⚠ Type inconnu",IFERROR(INDEX('Paramètres'!$P:$P,MATCH($D984,'Paramètres'!$M:$M,0))&amp;"",""))))</f>
        <v>Débit</v>
      </c>
      <c r="M984" s="6" t="str">
        <f>IF($D984="","",IF(ISNA(MATCH($D984,'Paramètres'!$M:$M,0)),"⚠ Type inconnu",IF($L984="Crédit","",IFERROR(INDEX('Paramètres'!$O:$O,MATCH($D984,'Paramètres'!$M:$M,0))&amp;"",""))))</f>
        <v>Dépense Courante</v>
      </c>
      <c r="N984" s="6" t="str">
        <f>IF($D984="","",IFERROR(INDEX('Paramètres'!$Q:$Q,MATCH($D984,'Paramètres'!$M:$M,0))&amp;"",""))</f>
        <v>Transport</v>
      </c>
      <c r="O984" s="6">
        <f>IF($A984="","",IF(OR($J984&lt;&gt;"x",$A984&lt;=FinReleve),1,0))</f>
        <v>1</v>
      </c>
      <c r="P984" s="6">
        <f>IF($D984="","",IF(AND($L984="Crédit",OR(IFERROR(INDEX('Paramètres'!$O:$O,MATCH($D984,'Paramètres'!$M:$M,0))&amp;"","")&lt;&gt;"",ISNUMBER(SEARCH("remboursement",IFERROR(INDEX('Paramètres'!$N:$N,MATCH($D984,'Paramètres'!$M:$M,0))&amp;"",""))))),1,0))</f>
        <v>0</v>
      </c>
      <c r="Q984" s="6">
        <f>IF($K984="","",IF(ISNUMBER(SEARCH("transfert-interne",IFERROR(INDEX('Paramètres'!$N:$N,MATCH($D984,'Paramètres'!$M:$M,0))&amp;"",""))),0,IF($L984="Débit",$K984,IF($P984=1,-$K984,0))))</f>
        <v>53.4</v>
      </c>
      <c r="R984" s="6">
        <f>IF($K984="","",IF($L984="Crédit",$K984,-$K984))</f>
        <v>-53.4</v>
      </c>
      <c r="S984" s="6" t="str">
        <f>IF($C984="","",IFERROR(INDEX('Paramètres'!$H:$H,MATCH($C984,'Paramètres'!$D:$D,0))&amp;"",""))</f>
        <v/>
      </c>
      <c r="T984" s="6">
        <f>IF($K984="","",IF($S984="",0,IF(ISNUMBER(SEARCH("apport-exterieur",IFERROR(INDEX('Paramètres'!$N:$N,MATCH($D984,'Paramètres'!$M:$M,0))&amp;"",""))),0,IF(OR(IFERROR(INDEX('Paramètres'!$I:$I,MATCH($C984,'Paramètres'!$D:$D,0))&amp;"","")="Les deux",IFERROR(INDEX('Paramètres'!$I:$I,MATCH($C984,'Paramètres'!$D:$D,0))&amp;"","")=IF($P984=1,"Débit",$L984)),-IF($P984=1,-$K984,$K984),0))))</f>
        <v>0</v>
      </c>
      <c r="U984" s="6">
        <f>IF($K984="","",IF(ISNUMBER(SEARCH("sortie-epargne",IFERROR(INDEX('Paramètres'!$N:$N,MATCH($D984,'Paramètres'!$M:$M,0))&amp;"",""))),$K984,0))</f>
        <v>0</v>
      </c>
      <c r="V984" s="6">
        <f>IF(AND($A984&lt;&gt;"",$O984=1,$L984="Débit",N($Q984)&gt;0,$A984&gt;=Visualisation!$B$1,$A984&lt;Visualisation!$D$1),MAX($V$1:V983)+1,"")</f>
        <v>5</v>
      </c>
    </row>
    <row r="985" spans="1:22" x14ac:dyDescent="0.25">
      <c r="A985" s="9">
        <v>46238</v>
      </c>
      <c r="B985" s="4" t="s">
        <v>80</v>
      </c>
      <c r="C985" s="4" t="s">
        <v>70</v>
      </c>
      <c r="D985" s="4" t="s">
        <v>81</v>
      </c>
      <c r="E985" s="10">
        <v>117.64</v>
      </c>
      <c r="G985" s="4"/>
      <c r="H985" s="4"/>
      <c r="I985" s="4"/>
      <c r="K985" s="11">
        <f>IF($E985="","",ROUND($E985*IF(ISNA(MATCH($C985,'Paramètres'!$D:$D,0)),1,IF(INDEX('Paramètres'!$J:$J,MATCH($C985,'Paramètres'!$D:$D,0))="",1,INDEX('Paramètres'!$J:$J,MATCH($C985,'Paramètres'!$D:$D,0)))),2))</f>
        <v>117.64</v>
      </c>
      <c r="L985" s="6" t="str">
        <f>IF($D985="","",IF($F985&lt;&gt;"",$F985,IF(ISNA(MATCH($D985,'Paramètres'!$M:$M,0)),"⚠ Type inconnu",IFERROR(INDEX('Paramètres'!$P:$P,MATCH($D985,'Paramètres'!$M:$M,0))&amp;"",""))))</f>
        <v>Crédit</v>
      </c>
      <c r="M985" s="6" t="str">
        <f>IF($D985="","",IF(ISNA(MATCH($D985,'Paramètres'!$M:$M,0)),"⚠ Type inconnu",IF($L985="Crédit","",IFERROR(INDEX('Paramètres'!$O:$O,MATCH($D985,'Paramètres'!$M:$M,0))&amp;"",""))))</f>
        <v/>
      </c>
      <c r="N985" s="6" t="str">
        <f>IF($D985="","",IFERROR(INDEX('Paramètres'!$Q:$Q,MATCH($D985,'Paramètres'!$M:$M,0))&amp;"",""))</f>
        <v>Comptes Bancaires</v>
      </c>
      <c r="O985" s="6">
        <f>IF($A985="","",IF(OR($J985&lt;&gt;"x",$A985&lt;=FinReleve),1,0))</f>
        <v>1</v>
      </c>
      <c r="P985" s="6">
        <f>IF($D985="","",IF(AND($L985="Crédit",OR(IFERROR(INDEX('Paramètres'!$O:$O,MATCH($D985,'Paramètres'!$M:$M,0))&amp;"","")&lt;&gt;"",ISNUMBER(SEARCH("remboursement",IFERROR(INDEX('Paramètres'!$N:$N,MATCH($D985,'Paramètres'!$M:$M,0))&amp;"",""))))),1,0))</f>
        <v>0</v>
      </c>
      <c r="Q985" s="6">
        <f>IF($K985="","",IF(ISNUMBER(SEARCH("transfert-interne",IFERROR(INDEX('Paramètres'!$N:$N,MATCH($D985,'Paramètres'!$M:$M,0))&amp;"",""))),0,IF($L985="Débit",$K985,IF($P985=1,-$K985,0))))</f>
        <v>0</v>
      </c>
      <c r="R985" s="6">
        <f>IF($K985="","",IF($L985="Crédit",$K985,-$K985))</f>
        <v>117.64</v>
      </c>
      <c r="S985" s="6" t="str">
        <f>IF($C985="","",IFERROR(INDEX('Paramètres'!$H:$H,MATCH($C985,'Paramètres'!$D:$D,0))&amp;"",""))</f>
        <v/>
      </c>
      <c r="T985" s="6">
        <f>IF($K985="","",IF($S985="",0,IF(ISNUMBER(SEARCH("apport-exterieur",IFERROR(INDEX('Paramètres'!$N:$N,MATCH($D985,'Paramètres'!$M:$M,0))&amp;"",""))),0,IF(OR(IFERROR(INDEX('Paramètres'!$I:$I,MATCH($C985,'Paramètres'!$D:$D,0))&amp;"","")="Les deux",IFERROR(INDEX('Paramètres'!$I:$I,MATCH($C985,'Paramètres'!$D:$D,0))&amp;"","")=IF($P985=1,"Débit",$L985)),-IF($P985=1,-$K985,$K985),0))))</f>
        <v>0</v>
      </c>
      <c r="U985" s="6">
        <f>IF($K985="","",IF(ISNUMBER(SEARCH("sortie-epargne",IFERROR(INDEX('Paramètres'!$N:$N,MATCH($D985,'Paramètres'!$M:$M,0))&amp;"",""))),$K985,0))</f>
        <v>0</v>
      </c>
      <c r="V985" s="6" t="str">
        <f>IF(AND($A985&lt;&gt;"",$O985=1,$L985="Débit",N($Q985)&gt;0,$A985&gt;=Visualisation!$B$1,$A985&lt;Visualisation!$D$1),MAX($V$1:V984)+1,"")</f>
        <v/>
      </c>
    </row>
    <row r="986" spans="1:22" x14ac:dyDescent="0.25">
      <c r="A986" s="9">
        <v>46239</v>
      </c>
      <c r="B986" s="4" t="s">
        <v>82</v>
      </c>
      <c r="C986" s="4" t="s">
        <v>65</v>
      </c>
      <c r="D986" s="4" t="s">
        <v>83</v>
      </c>
      <c r="E986" s="10">
        <v>668.16</v>
      </c>
      <c r="G986" s="4" t="s">
        <v>84</v>
      </c>
      <c r="H986" s="4"/>
      <c r="I986" s="4"/>
      <c r="K986" s="11">
        <f>IF($E986="","",ROUND($E986*IF(ISNA(MATCH($C986,'Paramètres'!$D:$D,0)),1,IF(INDEX('Paramètres'!$J:$J,MATCH($C986,'Paramètres'!$D:$D,0))="",1,INDEX('Paramètres'!$J:$J,MATCH($C986,'Paramètres'!$D:$D,0)))),2))</f>
        <v>668.16</v>
      </c>
      <c r="L986" s="6" t="str">
        <f>IF($D986="","",IF($F986&lt;&gt;"",$F986,IF(ISNA(MATCH($D986,'Paramètres'!$M:$M,0)),"⚠ Type inconnu",IFERROR(INDEX('Paramètres'!$P:$P,MATCH($D986,'Paramètres'!$M:$M,0))&amp;"",""))))</f>
        <v>Débit</v>
      </c>
      <c r="M986" s="6" t="str">
        <f>IF($D986="","",IF(ISNA(MATCH($D986,'Paramètres'!$M:$M,0)),"⚠ Type inconnu",IF($L986="Crédit","",IFERROR(INDEX('Paramètres'!$O:$O,MATCH($D986,'Paramètres'!$M:$M,0))&amp;"",""))))</f>
        <v/>
      </c>
      <c r="N986" s="6" t="str">
        <f>IF($D986="","",IFERROR(INDEX('Paramètres'!$Q:$Q,MATCH($D986,'Paramètres'!$M:$M,0))&amp;"",""))</f>
        <v>Immobilier</v>
      </c>
      <c r="O986" s="6">
        <f>IF($A986="","",IF(OR($J986&lt;&gt;"x",$A986&lt;=FinReleve),1,0))</f>
        <v>1</v>
      </c>
      <c r="P986" s="6">
        <f>IF($D986="","",IF(AND($L986="Crédit",OR(IFERROR(INDEX('Paramètres'!$O:$O,MATCH($D986,'Paramètres'!$M:$M,0))&amp;"","")&lt;&gt;"",ISNUMBER(SEARCH("remboursement",IFERROR(INDEX('Paramètres'!$N:$N,MATCH($D986,'Paramètres'!$M:$M,0))&amp;"",""))))),1,0))</f>
        <v>0</v>
      </c>
      <c r="Q986" s="6">
        <f>IF($K986="","",IF(ISNUMBER(SEARCH("transfert-interne",IFERROR(INDEX('Paramètres'!$N:$N,MATCH($D986,'Paramètres'!$M:$M,0))&amp;"",""))),0,IF($L986="Débit",$K986,IF($P986=1,-$K986,0))))</f>
        <v>668.16</v>
      </c>
      <c r="R986" s="6">
        <f>IF($K986="","",IF($L986="Crédit",$K986,-$K986))</f>
        <v>-668.16</v>
      </c>
      <c r="S986" s="6" t="str">
        <f>IF($C986="","",IFERROR(INDEX('Paramètres'!$H:$H,MATCH($C986,'Paramètres'!$D:$D,0))&amp;"",""))</f>
        <v>Banque A - Courant</v>
      </c>
      <c r="T986" s="6">
        <f>IF($K986="","",IF($S986="",0,IF(ISNUMBER(SEARCH("apport-exterieur",IFERROR(INDEX('Paramètres'!$N:$N,MATCH($D986,'Paramètres'!$M:$M,0))&amp;"",""))),0,IF(OR(IFERROR(INDEX('Paramètres'!$I:$I,MATCH($C986,'Paramètres'!$D:$D,0))&amp;"","")="Les deux",IFERROR(INDEX('Paramètres'!$I:$I,MATCH($C986,'Paramètres'!$D:$D,0))&amp;"","")=IF($P986=1,"Débit",$L986)),-IF($P986=1,-$K986,$K986),0))))</f>
        <v>0</v>
      </c>
      <c r="U986" s="6">
        <f>IF($K986="","",IF(ISNUMBER(SEARCH("sortie-epargne",IFERROR(INDEX('Paramètres'!$N:$N,MATCH($D986,'Paramètres'!$M:$M,0))&amp;"",""))),$K986,0))</f>
        <v>0</v>
      </c>
      <c r="V986" s="6">
        <f>IF(AND($A986&lt;&gt;"",$O986=1,$L986="Débit",N($Q986)&gt;0,$A986&gt;=Visualisation!$B$1,$A986&lt;Visualisation!$D$1),MAX($V$1:V985)+1,"")</f>
        <v>6</v>
      </c>
    </row>
    <row r="987" spans="1:22" x14ac:dyDescent="0.25">
      <c r="A987" s="9">
        <v>46239</v>
      </c>
      <c r="B987" s="4" t="s">
        <v>85</v>
      </c>
      <c r="C987" s="4" t="s">
        <v>65</v>
      </c>
      <c r="D987" s="4" t="s">
        <v>86</v>
      </c>
      <c r="E987" s="10">
        <v>225.48</v>
      </c>
      <c r="G987" s="4" t="s">
        <v>87</v>
      </c>
      <c r="H987" s="4"/>
      <c r="I987" s="4"/>
      <c r="K987" s="11">
        <f>IF($E987="","",ROUND($E987*IF(ISNA(MATCH($C987,'Paramètres'!$D:$D,0)),1,IF(INDEX('Paramètres'!$J:$J,MATCH($C987,'Paramètres'!$D:$D,0))="",1,INDEX('Paramètres'!$J:$J,MATCH($C987,'Paramètres'!$D:$D,0)))),2))</f>
        <v>225.48</v>
      </c>
      <c r="L987" s="6" t="str">
        <f>IF($D987="","",IF($F987&lt;&gt;"",$F987,IF(ISNA(MATCH($D987,'Paramètres'!$M:$M,0)),"⚠ Type inconnu",IFERROR(INDEX('Paramètres'!$P:$P,MATCH($D987,'Paramètres'!$M:$M,0))&amp;"",""))))</f>
        <v>Débit</v>
      </c>
      <c r="M987" s="6" t="str">
        <f>IF($D987="","",IF(ISNA(MATCH($D987,'Paramètres'!$M:$M,0)),"⚠ Type inconnu",IF($L987="Crédit","",IFERROR(INDEX('Paramètres'!$O:$O,MATCH($D987,'Paramètres'!$M:$M,0))&amp;"",""))))</f>
        <v>Dépense Fixe</v>
      </c>
      <c r="N987" s="6" t="str">
        <f>IF($D987="","",IFERROR(INDEX('Paramètres'!$Q:$Q,MATCH($D987,'Paramètres'!$M:$M,0))&amp;"",""))</f>
        <v>Immobilier</v>
      </c>
      <c r="O987" s="6">
        <f>IF($A987="","",IF(OR($J987&lt;&gt;"x",$A987&lt;=FinReleve),1,0))</f>
        <v>1</v>
      </c>
      <c r="P987" s="6">
        <f>IF($D987="","",IF(AND($L987="Crédit",OR(IFERROR(INDEX('Paramètres'!$O:$O,MATCH($D987,'Paramètres'!$M:$M,0))&amp;"","")&lt;&gt;"",ISNUMBER(SEARCH("remboursement",IFERROR(INDEX('Paramètres'!$N:$N,MATCH($D987,'Paramètres'!$M:$M,0))&amp;"",""))))),1,0))</f>
        <v>0</v>
      </c>
      <c r="Q987" s="6">
        <f>IF($K987="","",IF(ISNUMBER(SEARCH("transfert-interne",IFERROR(INDEX('Paramètres'!$N:$N,MATCH($D987,'Paramètres'!$M:$M,0))&amp;"",""))),0,IF($L987="Débit",$K987,IF($P987=1,-$K987,0))))</f>
        <v>225.48</v>
      </c>
      <c r="R987" s="6">
        <f>IF($K987="","",IF($L987="Crédit",$K987,-$K987))</f>
        <v>-225.48</v>
      </c>
      <c r="S987" s="6" t="str">
        <f>IF($C987="","",IFERROR(INDEX('Paramètres'!$H:$H,MATCH($C987,'Paramètres'!$D:$D,0))&amp;"",""))</f>
        <v>Banque A - Courant</v>
      </c>
      <c r="T987" s="6">
        <f>IF($K987="","",IF($S987="",0,IF(ISNUMBER(SEARCH("apport-exterieur",IFERROR(INDEX('Paramètres'!$N:$N,MATCH($D987,'Paramètres'!$M:$M,0))&amp;"",""))),0,IF(OR(IFERROR(INDEX('Paramètres'!$I:$I,MATCH($C987,'Paramètres'!$D:$D,0))&amp;"","")="Les deux",IFERROR(INDEX('Paramètres'!$I:$I,MATCH($C987,'Paramètres'!$D:$D,0))&amp;"","")=IF($P987=1,"Débit",$L987)),-IF($P987=1,-$K987,$K987),0))))</f>
        <v>0</v>
      </c>
      <c r="U987" s="6">
        <f>IF($K987="","",IF(ISNUMBER(SEARCH("sortie-epargne",IFERROR(INDEX('Paramètres'!$N:$N,MATCH($D987,'Paramètres'!$M:$M,0))&amp;"",""))),$K987,0))</f>
        <v>0</v>
      </c>
      <c r="V987" s="6">
        <f>IF(AND($A987&lt;&gt;"",$O987=1,$L987="Débit",N($Q987)&gt;0,$A987&gt;=Visualisation!$B$1,$A987&lt;Visualisation!$D$1),MAX($V$1:V986)+1,"")</f>
        <v>7</v>
      </c>
    </row>
    <row r="988" spans="1:22" x14ac:dyDescent="0.25">
      <c r="A988" s="9">
        <v>46239</v>
      </c>
      <c r="B988" s="4" t="s">
        <v>88</v>
      </c>
      <c r="C988" s="4" t="s">
        <v>65</v>
      </c>
      <c r="D988" s="4" t="s">
        <v>88</v>
      </c>
      <c r="E988" s="10">
        <v>31.2</v>
      </c>
      <c r="G988" s="4"/>
      <c r="H988" s="4"/>
      <c r="I988" s="4"/>
      <c r="K988" s="11">
        <f>IF($E988="","",ROUND($E988*IF(ISNA(MATCH($C988,'Paramètres'!$D:$D,0)),1,IF(INDEX('Paramètres'!$J:$J,MATCH($C988,'Paramètres'!$D:$D,0))="",1,INDEX('Paramètres'!$J:$J,MATCH($C988,'Paramètres'!$D:$D,0)))),2))</f>
        <v>31.2</v>
      </c>
      <c r="L988" s="6" t="str">
        <f>IF($D988="","",IF($F988&lt;&gt;"",$F988,IF(ISNA(MATCH($D988,'Paramètres'!$M:$M,0)),"⚠ Type inconnu",IFERROR(INDEX('Paramètres'!$P:$P,MATCH($D988,'Paramètres'!$M:$M,0))&amp;"",""))))</f>
        <v>Débit</v>
      </c>
      <c r="M988" s="6" t="str">
        <f>IF($D988="","",IF(ISNA(MATCH($D988,'Paramètres'!$M:$M,0)),"⚠ Type inconnu",IF($L988="Crédit","",IFERROR(INDEX('Paramètres'!$O:$O,MATCH($D988,'Paramètres'!$M:$M,0))&amp;"",""))))</f>
        <v>Dépense Fixe</v>
      </c>
      <c r="N988" s="6" t="str">
        <f>IF($D988="","",IFERROR(INDEX('Paramètres'!$Q:$Q,MATCH($D988,'Paramètres'!$M:$M,0))&amp;"",""))</f>
        <v>Assurances</v>
      </c>
      <c r="O988" s="6">
        <f>IF($A988="","",IF(OR($J988&lt;&gt;"x",$A988&lt;=FinReleve),1,0))</f>
        <v>1</v>
      </c>
      <c r="P988" s="6">
        <f>IF($D988="","",IF(AND($L988="Crédit",OR(IFERROR(INDEX('Paramètres'!$O:$O,MATCH($D988,'Paramètres'!$M:$M,0))&amp;"","")&lt;&gt;"",ISNUMBER(SEARCH("remboursement",IFERROR(INDEX('Paramètres'!$N:$N,MATCH($D988,'Paramètres'!$M:$M,0))&amp;"",""))))),1,0))</f>
        <v>0</v>
      </c>
      <c r="Q988" s="6">
        <f>IF($K988="","",IF(ISNUMBER(SEARCH("transfert-interne",IFERROR(INDEX('Paramètres'!$N:$N,MATCH($D988,'Paramètres'!$M:$M,0))&amp;"",""))),0,IF($L988="Débit",$K988,IF($P988=1,-$K988,0))))</f>
        <v>31.2</v>
      </c>
      <c r="R988" s="6">
        <f>IF($K988="","",IF($L988="Crédit",$K988,-$K988))</f>
        <v>-31.2</v>
      </c>
      <c r="S988" s="6" t="str">
        <f>IF($C988="","",IFERROR(INDEX('Paramètres'!$H:$H,MATCH($C988,'Paramètres'!$D:$D,0))&amp;"",""))</f>
        <v>Banque A - Courant</v>
      </c>
      <c r="T988" s="6">
        <f>IF($K988="","",IF($S988="",0,IF(ISNUMBER(SEARCH("apport-exterieur",IFERROR(INDEX('Paramètres'!$N:$N,MATCH($D988,'Paramètres'!$M:$M,0))&amp;"",""))),0,IF(OR(IFERROR(INDEX('Paramètres'!$I:$I,MATCH($C988,'Paramètres'!$D:$D,0))&amp;"","")="Les deux",IFERROR(INDEX('Paramètres'!$I:$I,MATCH($C988,'Paramètres'!$D:$D,0))&amp;"","")=IF($P988=1,"Débit",$L988)),-IF($P988=1,-$K988,$K988),0))))</f>
        <v>0</v>
      </c>
      <c r="U988" s="6">
        <f>IF($K988="","",IF(ISNUMBER(SEARCH("sortie-epargne",IFERROR(INDEX('Paramètres'!$N:$N,MATCH($D988,'Paramètres'!$M:$M,0))&amp;"",""))),$K988,0))</f>
        <v>0</v>
      </c>
      <c r="V988" s="6">
        <f>IF(AND($A988&lt;&gt;"",$O988=1,$L988="Débit",N($Q988)&gt;0,$A988&gt;=Visualisation!$B$1,$A988&lt;Visualisation!$D$1),MAX($V$1:V987)+1,"")</f>
        <v>8</v>
      </c>
    </row>
    <row r="989" spans="1:22" x14ac:dyDescent="0.25">
      <c r="A989" s="9">
        <v>46240</v>
      </c>
      <c r="B989" s="4" t="s">
        <v>89</v>
      </c>
      <c r="C989" s="4" t="s">
        <v>75</v>
      </c>
      <c r="D989" s="4" t="s">
        <v>89</v>
      </c>
      <c r="E989" s="10">
        <v>49.9</v>
      </c>
      <c r="G989" s="4"/>
      <c r="H989" s="4"/>
      <c r="I989" s="4"/>
      <c r="K989" s="11">
        <f>IF($E989="","",ROUND($E989*IF(ISNA(MATCH($C989,'Paramètres'!$D:$D,0)),1,IF(INDEX('Paramètres'!$J:$J,MATCH($C989,'Paramètres'!$D:$D,0))="",1,INDEX('Paramètres'!$J:$J,MATCH($C989,'Paramètres'!$D:$D,0)))),2))</f>
        <v>49.9</v>
      </c>
      <c r="L989" s="6" t="str">
        <f>IF($D989="","",IF($F989&lt;&gt;"",$F989,IF(ISNA(MATCH($D989,'Paramètres'!$M:$M,0)),"⚠ Type inconnu",IFERROR(INDEX('Paramètres'!$P:$P,MATCH($D989,'Paramètres'!$M:$M,0))&amp;"",""))))</f>
        <v>Débit</v>
      </c>
      <c r="M989" s="6" t="str">
        <f>IF($D989="","",IF(ISNA(MATCH($D989,'Paramètres'!$M:$M,0)),"⚠ Type inconnu",IF($L989="Crédit","",IFERROR(INDEX('Paramètres'!$O:$O,MATCH($D989,'Paramètres'!$M:$M,0))&amp;"",""))))</f>
        <v>Dépense Fixe</v>
      </c>
      <c r="N989" s="6" t="str">
        <f>IF($D989="","",IFERROR(INDEX('Paramètres'!$Q:$Q,MATCH($D989,'Paramètres'!$M:$M,0))&amp;"",""))</f>
        <v>Autre</v>
      </c>
      <c r="O989" s="6">
        <f>IF($A989="","",IF(OR($J989&lt;&gt;"x",$A989&lt;=FinReleve),1,0))</f>
        <v>1</v>
      </c>
      <c r="P989" s="6">
        <f>IF($D989="","",IF(AND($L989="Crédit",OR(IFERROR(INDEX('Paramètres'!$O:$O,MATCH($D989,'Paramètres'!$M:$M,0))&amp;"","")&lt;&gt;"",ISNUMBER(SEARCH("remboursement",IFERROR(INDEX('Paramètres'!$N:$N,MATCH($D989,'Paramètres'!$M:$M,0))&amp;"",""))))),1,0))</f>
        <v>0</v>
      </c>
      <c r="Q989" s="6">
        <f>IF($K989="","",IF(ISNUMBER(SEARCH("transfert-interne",IFERROR(INDEX('Paramètres'!$N:$N,MATCH($D989,'Paramètres'!$M:$M,0))&amp;"",""))),0,IF($L989="Débit",$K989,IF($P989=1,-$K989,0))))</f>
        <v>49.9</v>
      </c>
      <c r="R989" s="6">
        <f>IF($K989="","",IF($L989="Crédit",$K989,-$K989))</f>
        <v>-49.9</v>
      </c>
      <c r="S989" s="6" t="str">
        <f>IF($C989="","",IFERROR(INDEX('Paramètres'!$H:$H,MATCH($C989,'Paramètres'!$D:$D,0))&amp;"",""))</f>
        <v/>
      </c>
      <c r="T989" s="6">
        <f>IF($K989="","",IF($S989="",0,IF(ISNUMBER(SEARCH("apport-exterieur",IFERROR(INDEX('Paramètres'!$N:$N,MATCH($D989,'Paramètres'!$M:$M,0))&amp;"",""))),0,IF(OR(IFERROR(INDEX('Paramètres'!$I:$I,MATCH($C989,'Paramètres'!$D:$D,0))&amp;"","")="Les deux",IFERROR(INDEX('Paramètres'!$I:$I,MATCH($C989,'Paramètres'!$D:$D,0))&amp;"","")=IF($P989=1,"Débit",$L989)),-IF($P989=1,-$K989,$K989),0))))</f>
        <v>0</v>
      </c>
      <c r="U989" s="6">
        <f>IF($K989="","",IF(ISNUMBER(SEARCH("sortie-epargne",IFERROR(INDEX('Paramètres'!$N:$N,MATCH($D989,'Paramètres'!$M:$M,0))&amp;"",""))),$K989,0))</f>
        <v>0</v>
      </c>
      <c r="V989" s="6">
        <f>IF(AND($A989&lt;&gt;"",$O989=1,$L989="Débit",N($Q989)&gt;0,$A989&gt;=Visualisation!$B$1,$A989&lt;Visualisation!$D$1),MAX($V$1:V988)+1,"")</f>
        <v>9</v>
      </c>
    </row>
    <row r="990" spans="1:22" x14ac:dyDescent="0.25">
      <c r="A990" s="9">
        <v>46240</v>
      </c>
      <c r="B990" s="4" t="s">
        <v>69</v>
      </c>
      <c r="C990" s="4" t="s">
        <v>70</v>
      </c>
      <c r="D990" s="4" t="s">
        <v>71</v>
      </c>
      <c r="E990" s="10">
        <v>13.58</v>
      </c>
      <c r="G990" s="4" t="s">
        <v>72</v>
      </c>
      <c r="H990" s="4"/>
      <c r="I990" s="4" t="s">
        <v>63</v>
      </c>
      <c r="K990" s="11">
        <f>IF($E990="","",ROUND($E990*IF(ISNA(MATCH($C990,'Paramètres'!$D:$D,0)),1,IF(INDEX('Paramètres'!$J:$J,MATCH($C990,'Paramètres'!$D:$D,0))="",1,INDEX('Paramètres'!$J:$J,MATCH($C990,'Paramètres'!$D:$D,0)))),2))</f>
        <v>13.58</v>
      </c>
      <c r="L990" s="6" t="str">
        <f>IF($D990="","",IF($F990&lt;&gt;"",$F990,IF(ISNA(MATCH($D990,'Paramètres'!$M:$M,0)),"⚠ Type inconnu",IFERROR(INDEX('Paramètres'!$P:$P,MATCH($D990,'Paramètres'!$M:$M,0))&amp;"",""))))</f>
        <v>Débit</v>
      </c>
      <c r="M990" s="6" t="str">
        <f>IF($D990="","",IF(ISNA(MATCH($D990,'Paramètres'!$M:$M,0)),"⚠ Type inconnu",IF($L990="Crédit","",IFERROR(INDEX('Paramètres'!$O:$O,MATCH($D990,'Paramètres'!$M:$M,0))&amp;"",""))))</f>
        <v>Dépense Courante</v>
      </c>
      <c r="N990" s="6" t="str">
        <f>IF($D990="","",IFERROR(INDEX('Paramètres'!$Q:$Q,MATCH($D990,'Paramètres'!$M:$M,0))&amp;"",""))</f>
        <v>Alimentation</v>
      </c>
      <c r="O990" s="6">
        <f>IF($A990="","",IF(OR($J990&lt;&gt;"x",$A990&lt;=FinReleve),1,0))</f>
        <v>1</v>
      </c>
      <c r="P990" s="6">
        <f>IF($D990="","",IF(AND($L990="Crédit",OR(IFERROR(INDEX('Paramètres'!$O:$O,MATCH($D990,'Paramètres'!$M:$M,0))&amp;"","")&lt;&gt;"",ISNUMBER(SEARCH("remboursement",IFERROR(INDEX('Paramètres'!$N:$N,MATCH($D990,'Paramètres'!$M:$M,0))&amp;"",""))))),1,0))</f>
        <v>0</v>
      </c>
      <c r="Q990" s="6">
        <f>IF($K990="","",IF(ISNUMBER(SEARCH("transfert-interne",IFERROR(INDEX('Paramètres'!$N:$N,MATCH($D990,'Paramètres'!$M:$M,0))&amp;"",""))),0,IF($L990="Débit",$K990,IF($P990=1,-$K990,0))))</f>
        <v>13.58</v>
      </c>
      <c r="R990" s="6">
        <f>IF($K990="","",IF($L990="Crédit",$K990,-$K990))</f>
        <v>-13.58</v>
      </c>
      <c r="S990" s="6" t="str">
        <f>IF($C990="","",IFERROR(INDEX('Paramètres'!$H:$H,MATCH($C990,'Paramètres'!$D:$D,0))&amp;"",""))</f>
        <v/>
      </c>
      <c r="T990" s="6">
        <f>IF($K990="","",IF($S990="",0,IF(ISNUMBER(SEARCH("apport-exterieur",IFERROR(INDEX('Paramètres'!$N:$N,MATCH($D990,'Paramètres'!$M:$M,0))&amp;"",""))),0,IF(OR(IFERROR(INDEX('Paramètres'!$I:$I,MATCH($C990,'Paramètres'!$D:$D,0))&amp;"","")="Les deux",IFERROR(INDEX('Paramètres'!$I:$I,MATCH($C990,'Paramètres'!$D:$D,0))&amp;"","")=IF($P990=1,"Débit",$L990)),-IF($P990=1,-$K990,$K990),0))))</f>
        <v>0</v>
      </c>
      <c r="U990" s="6">
        <f>IF($K990="","",IF(ISNUMBER(SEARCH("sortie-epargne",IFERROR(INDEX('Paramètres'!$N:$N,MATCH($D990,'Paramètres'!$M:$M,0))&amp;"",""))),$K990,0))</f>
        <v>0</v>
      </c>
      <c r="V990" s="6">
        <f>IF(AND($A990&lt;&gt;"",$O990=1,$L990="Débit",N($Q990)&gt;0,$A990&gt;=Visualisation!$B$1,$A990&lt;Visualisation!$D$1),MAX($V$1:V989)+1,"")</f>
        <v>10</v>
      </c>
    </row>
    <row r="991" spans="1:22" x14ac:dyDescent="0.25">
      <c r="A991" s="9">
        <v>46242</v>
      </c>
      <c r="B991" s="4" t="s">
        <v>94</v>
      </c>
      <c r="C991" s="4" t="s">
        <v>65</v>
      </c>
      <c r="D991" s="4" t="s">
        <v>94</v>
      </c>
      <c r="E991" s="10">
        <v>168</v>
      </c>
      <c r="G991" s="4"/>
      <c r="H991" s="4"/>
      <c r="I991" s="4"/>
      <c r="K991" s="11">
        <f>IF($E991="","",ROUND($E991*IF(ISNA(MATCH($C991,'Paramètres'!$D:$D,0)),1,IF(INDEX('Paramètres'!$J:$J,MATCH($C991,'Paramètres'!$D:$D,0))="",1,INDEX('Paramètres'!$J:$J,MATCH($C991,'Paramètres'!$D:$D,0)))),2))</f>
        <v>168</v>
      </c>
      <c r="L991" s="6" t="str">
        <f>IF($D991="","",IF($F991&lt;&gt;"",$F991,IF(ISNA(MATCH($D991,'Paramètres'!$M:$M,0)),"⚠ Type inconnu",IFERROR(INDEX('Paramètres'!$P:$P,MATCH($D991,'Paramètres'!$M:$M,0))&amp;"",""))))</f>
        <v>Débit</v>
      </c>
      <c r="M991" s="6" t="str">
        <f>IF($D991="","",IF(ISNA(MATCH($D991,'Paramètres'!$M:$M,0)),"⚠ Type inconnu",IF($L991="Crédit","",IFERROR(INDEX('Paramètres'!$O:$O,MATCH($D991,'Paramètres'!$M:$M,0))&amp;"",""))))</f>
        <v>Dépense Fixe</v>
      </c>
      <c r="N991" s="6" t="str">
        <f>IF($D991="","",IFERROR(INDEX('Paramètres'!$Q:$Q,MATCH($D991,'Paramètres'!$M:$M,0))&amp;"",""))</f>
        <v>Immobilier</v>
      </c>
      <c r="O991" s="6">
        <f>IF($A991="","",IF(OR($J991&lt;&gt;"x",$A991&lt;=FinReleve),1,0))</f>
        <v>1</v>
      </c>
      <c r="P991" s="6">
        <f>IF($D991="","",IF(AND($L991="Crédit",OR(IFERROR(INDEX('Paramètres'!$O:$O,MATCH($D991,'Paramètres'!$M:$M,0))&amp;"","")&lt;&gt;"",ISNUMBER(SEARCH("remboursement",IFERROR(INDEX('Paramètres'!$N:$N,MATCH($D991,'Paramètres'!$M:$M,0))&amp;"",""))))),1,0))</f>
        <v>0</v>
      </c>
      <c r="Q991" s="6">
        <f>IF($K991="","",IF(ISNUMBER(SEARCH("transfert-interne",IFERROR(INDEX('Paramètres'!$N:$N,MATCH($D991,'Paramètres'!$M:$M,0))&amp;"",""))),0,IF($L991="Débit",$K991,IF($P991=1,-$K991,0))))</f>
        <v>168</v>
      </c>
      <c r="R991" s="6">
        <f>IF($K991="","",IF($L991="Crédit",$K991,-$K991))</f>
        <v>-168</v>
      </c>
      <c r="S991" s="6" t="str">
        <f>IF($C991="","",IFERROR(INDEX('Paramètres'!$H:$H,MATCH($C991,'Paramètres'!$D:$D,0))&amp;"",""))</f>
        <v>Banque A - Courant</v>
      </c>
      <c r="T991" s="6">
        <f>IF($K991="","",IF($S991="",0,IF(ISNUMBER(SEARCH("apport-exterieur",IFERROR(INDEX('Paramètres'!$N:$N,MATCH($D991,'Paramètres'!$M:$M,0))&amp;"",""))),0,IF(OR(IFERROR(INDEX('Paramètres'!$I:$I,MATCH($C991,'Paramètres'!$D:$D,0))&amp;"","")="Les deux",IFERROR(INDEX('Paramètres'!$I:$I,MATCH($C991,'Paramètres'!$D:$D,0))&amp;"","")=IF($P991=1,"Débit",$L991)),-IF($P991=1,-$K991,$K991),0))))</f>
        <v>0</v>
      </c>
      <c r="U991" s="6">
        <f>IF($K991="","",IF(ISNUMBER(SEARCH("sortie-epargne",IFERROR(INDEX('Paramètres'!$N:$N,MATCH($D991,'Paramètres'!$M:$M,0))&amp;"",""))),$K991,0))</f>
        <v>0</v>
      </c>
      <c r="V991" s="6">
        <f>IF(AND($A991&lt;&gt;"",$O991=1,$L991="Débit",N($Q991)&gt;0,$A991&gt;=Visualisation!$B$1,$A991&lt;Visualisation!$D$1),MAX($V$1:V990)+1,"")</f>
        <v>11</v>
      </c>
    </row>
    <row r="992" spans="1:22" x14ac:dyDescent="0.25">
      <c r="A992" s="9">
        <v>46243</v>
      </c>
      <c r="B992" s="4" t="s">
        <v>69</v>
      </c>
      <c r="C992" s="4" t="s">
        <v>70</v>
      </c>
      <c r="D992" s="4" t="s">
        <v>71</v>
      </c>
      <c r="E992" s="10">
        <v>12.29</v>
      </c>
      <c r="G992" s="4" t="s">
        <v>72</v>
      </c>
      <c r="H992" s="4"/>
      <c r="I992" s="4" t="s">
        <v>79</v>
      </c>
      <c r="K992" s="11">
        <f>IF($E992="","",ROUND($E992*IF(ISNA(MATCH($C992,'Paramètres'!$D:$D,0)),1,IF(INDEX('Paramètres'!$J:$J,MATCH($C992,'Paramètres'!$D:$D,0))="",1,INDEX('Paramètres'!$J:$J,MATCH($C992,'Paramètres'!$D:$D,0)))),2))</f>
        <v>12.29</v>
      </c>
      <c r="L992" s="6" t="str">
        <f>IF($D992="","",IF($F992&lt;&gt;"",$F992,IF(ISNA(MATCH($D992,'Paramètres'!$M:$M,0)),"⚠ Type inconnu",IFERROR(INDEX('Paramètres'!$P:$P,MATCH($D992,'Paramètres'!$M:$M,0))&amp;"",""))))</f>
        <v>Débit</v>
      </c>
      <c r="M992" s="6" t="str">
        <f>IF($D992="","",IF(ISNA(MATCH($D992,'Paramètres'!$M:$M,0)),"⚠ Type inconnu",IF($L992="Crédit","",IFERROR(INDEX('Paramètres'!$O:$O,MATCH($D992,'Paramètres'!$M:$M,0))&amp;"",""))))</f>
        <v>Dépense Courante</v>
      </c>
      <c r="N992" s="6" t="str">
        <f>IF($D992="","",IFERROR(INDEX('Paramètres'!$Q:$Q,MATCH($D992,'Paramètres'!$M:$M,0))&amp;"",""))</f>
        <v>Alimentation</v>
      </c>
      <c r="O992" s="6">
        <f>IF($A992="","",IF(OR($J992&lt;&gt;"x",$A992&lt;=FinReleve),1,0))</f>
        <v>1</v>
      </c>
      <c r="P992" s="6">
        <f>IF($D992="","",IF(AND($L992="Crédit",OR(IFERROR(INDEX('Paramètres'!$O:$O,MATCH($D992,'Paramètres'!$M:$M,0))&amp;"","")&lt;&gt;"",ISNUMBER(SEARCH("remboursement",IFERROR(INDEX('Paramètres'!$N:$N,MATCH($D992,'Paramètres'!$M:$M,0))&amp;"",""))))),1,0))</f>
        <v>0</v>
      </c>
      <c r="Q992" s="6">
        <f>IF($K992="","",IF(ISNUMBER(SEARCH("transfert-interne",IFERROR(INDEX('Paramètres'!$N:$N,MATCH($D992,'Paramètres'!$M:$M,0))&amp;"",""))),0,IF($L992="Débit",$K992,IF($P992=1,-$K992,0))))</f>
        <v>12.29</v>
      </c>
      <c r="R992" s="6">
        <f>IF($K992="","",IF($L992="Crédit",$K992,-$K992))</f>
        <v>-12.29</v>
      </c>
      <c r="S992" s="6" t="str">
        <f>IF($C992="","",IFERROR(INDEX('Paramètres'!$H:$H,MATCH($C992,'Paramètres'!$D:$D,0))&amp;"",""))</f>
        <v/>
      </c>
      <c r="T992" s="6">
        <f>IF($K992="","",IF($S992="",0,IF(ISNUMBER(SEARCH("apport-exterieur",IFERROR(INDEX('Paramètres'!$N:$N,MATCH($D992,'Paramètres'!$M:$M,0))&amp;"",""))),0,IF(OR(IFERROR(INDEX('Paramètres'!$I:$I,MATCH($C992,'Paramètres'!$D:$D,0))&amp;"","")="Les deux",IFERROR(INDEX('Paramètres'!$I:$I,MATCH($C992,'Paramètres'!$D:$D,0))&amp;"","")=IF($P992=1,"Débit",$L992)),-IF($P992=1,-$K992,$K992),0))))</f>
        <v>0</v>
      </c>
      <c r="U992" s="6">
        <f>IF($K992="","",IF(ISNUMBER(SEARCH("sortie-epargne",IFERROR(INDEX('Paramètres'!$N:$N,MATCH($D992,'Paramètres'!$M:$M,0))&amp;"",""))),$K992,0))</f>
        <v>0</v>
      </c>
      <c r="V992" s="6">
        <f>IF(AND($A992&lt;&gt;"",$O992=1,$L992="Débit",N($Q992)&gt;0,$A992&gt;=Visualisation!$B$1,$A992&lt;Visualisation!$D$1),MAX($V$1:V991)+1,"")</f>
        <v>12</v>
      </c>
    </row>
    <row r="993" spans="1:22" x14ac:dyDescent="0.25">
      <c r="A993" s="9">
        <v>46244</v>
      </c>
      <c r="B993" s="4" t="s">
        <v>96</v>
      </c>
      <c r="C993" s="4" t="s">
        <v>75</v>
      </c>
      <c r="D993" s="4" t="s">
        <v>96</v>
      </c>
      <c r="E993" s="10">
        <v>22.4</v>
      </c>
      <c r="G993" s="4"/>
      <c r="H993" s="4"/>
      <c r="I993" s="4"/>
      <c r="K993" s="11">
        <f>IF($E993="","",ROUND($E993*IF(ISNA(MATCH($C993,'Paramètres'!$D:$D,0)),1,IF(INDEX('Paramètres'!$J:$J,MATCH($C993,'Paramètres'!$D:$D,0))="",1,INDEX('Paramètres'!$J:$J,MATCH($C993,'Paramètres'!$D:$D,0)))),2))</f>
        <v>22.4</v>
      </c>
      <c r="L993" s="6" t="str">
        <f>IF($D993="","",IF($F993&lt;&gt;"",$F993,IF(ISNA(MATCH($D993,'Paramètres'!$M:$M,0)),"⚠ Type inconnu",IFERROR(INDEX('Paramètres'!$P:$P,MATCH($D993,'Paramètres'!$M:$M,0))&amp;"",""))))</f>
        <v>Débit</v>
      </c>
      <c r="M993" s="6" t="str">
        <f>IF($D993="","",IF(ISNA(MATCH($D993,'Paramètres'!$M:$M,0)),"⚠ Type inconnu",IF($L993="Crédit","",IFERROR(INDEX('Paramètres'!$O:$O,MATCH($D993,'Paramètres'!$M:$M,0))&amp;"",""))))</f>
        <v>Dépense Fixe</v>
      </c>
      <c r="N993" s="6" t="str">
        <f>IF($D993="","",IFERROR(INDEX('Paramètres'!$Q:$Q,MATCH($D993,'Paramètres'!$M:$M,0))&amp;"",""))</f>
        <v>Assurances</v>
      </c>
      <c r="O993" s="6">
        <f>IF($A993="","",IF(OR($J993&lt;&gt;"x",$A993&lt;=FinReleve),1,0))</f>
        <v>1</v>
      </c>
      <c r="P993" s="6">
        <f>IF($D993="","",IF(AND($L993="Crédit",OR(IFERROR(INDEX('Paramètres'!$O:$O,MATCH($D993,'Paramètres'!$M:$M,0))&amp;"","")&lt;&gt;"",ISNUMBER(SEARCH("remboursement",IFERROR(INDEX('Paramètres'!$N:$N,MATCH($D993,'Paramètres'!$M:$M,0))&amp;"",""))))),1,0))</f>
        <v>0</v>
      </c>
      <c r="Q993" s="6">
        <f>IF($K993="","",IF(ISNUMBER(SEARCH("transfert-interne",IFERROR(INDEX('Paramètres'!$N:$N,MATCH($D993,'Paramètres'!$M:$M,0))&amp;"",""))),0,IF($L993="Débit",$K993,IF($P993=1,-$K993,0))))</f>
        <v>22.4</v>
      </c>
      <c r="R993" s="6">
        <f>IF($K993="","",IF($L993="Crédit",$K993,-$K993))</f>
        <v>-22.4</v>
      </c>
      <c r="S993" s="6" t="str">
        <f>IF($C993="","",IFERROR(INDEX('Paramètres'!$H:$H,MATCH($C993,'Paramètres'!$D:$D,0))&amp;"",""))</f>
        <v/>
      </c>
      <c r="T993" s="6">
        <f>IF($K993="","",IF($S993="",0,IF(ISNUMBER(SEARCH("apport-exterieur",IFERROR(INDEX('Paramètres'!$N:$N,MATCH($D993,'Paramètres'!$M:$M,0))&amp;"",""))),0,IF(OR(IFERROR(INDEX('Paramètres'!$I:$I,MATCH($C993,'Paramètres'!$D:$D,0))&amp;"","")="Les deux",IFERROR(INDEX('Paramètres'!$I:$I,MATCH($C993,'Paramètres'!$D:$D,0))&amp;"","")=IF($P993=1,"Débit",$L993)),-IF($P993=1,-$K993,$K993),0))))</f>
        <v>0</v>
      </c>
      <c r="U993" s="6">
        <f>IF($K993="","",IF(ISNUMBER(SEARCH("sortie-epargne",IFERROR(INDEX('Paramètres'!$N:$N,MATCH($D993,'Paramètres'!$M:$M,0))&amp;"",""))),$K993,0))</f>
        <v>0</v>
      </c>
      <c r="V993" s="6">
        <f>IF(AND($A993&lt;&gt;"",$O993=1,$L993="Débit",N($Q993)&gt;0,$A993&gt;=Visualisation!$B$1,$A993&lt;Visualisation!$D$1),MAX($V$1:V992)+1,"")</f>
        <v>13</v>
      </c>
    </row>
    <row r="994" spans="1:22" x14ac:dyDescent="0.25">
      <c r="A994" s="9">
        <v>46244</v>
      </c>
      <c r="B994" s="4" t="s">
        <v>76</v>
      </c>
      <c r="C994" s="4" t="s">
        <v>60</v>
      </c>
      <c r="D994" s="4" t="s">
        <v>77</v>
      </c>
      <c r="E994" s="10">
        <v>57</v>
      </c>
      <c r="G994" s="4" t="s">
        <v>102</v>
      </c>
      <c r="H994" s="4"/>
      <c r="I994" s="4" t="s">
        <v>93</v>
      </c>
      <c r="K994" s="11">
        <f>IF($E994="","",ROUND($E994*IF(ISNA(MATCH($C994,'Paramètres'!$D:$D,0)),1,IF(INDEX('Paramètres'!$J:$J,MATCH($C994,'Paramètres'!$D:$D,0))="",1,INDEX('Paramètres'!$J:$J,MATCH($C994,'Paramètres'!$D:$D,0)))),2))</f>
        <v>28.5</v>
      </c>
      <c r="L994" s="6" t="str">
        <f>IF($D994="","",IF($F994&lt;&gt;"",$F994,IF(ISNA(MATCH($D994,'Paramètres'!$M:$M,0)),"⚠ Type inconnu",IFERROR(INDEX('Paramètres'!$P:$P,MATCH($D994,'Paramètres'!$M:$M,0))&amp;"",""))))</f>
        <v>Débit</v>
      </c>
      <c r="M994" s="6" t="str">
        <f>IF($D994="","",IF(ISNA(MATCH($D994,'Paramètres'!$M:$M,0)),"⚠ Type inconnu",IF($L994="Crédit","",IFERROR(INDEX('Paramètres'!$O:$O,MATCH($D994,'Paramètres'!$M:$M,0))&amp;"",""))))</f>
        <v>Dépense Courante</v>
      </c>
      <c r="N994" s="6" t="str">
        <f>IF($D994="","",IFERROR(INDEX('Paramètres'!$Q:$Q,MATCH($D994,'Paramètres'!$M:$M,0))&amp;"",""))</f>
        <v>Alimentation</v>
      </c>
      <c r="O994" s="6">
        <f>IF($A994="","",IF(OR($J994&lt;&gt;"x",$A994&lt;=FinReleve),1,0))</f>
        <v>1</v>
      </c>
      <c r="P994" s="6">
        <f>IF($D994="","",IF(AND($L994="Crédit",OR(IFERROR(INDEX('Paramètres'!$O:$O,MATCH($D994,'Paramètres'!$M:$M,0))&amp;"","")&lt;&gt;"",ISNUMBER(SEARCH("remboursement",IFERROR(INDEX('Paramètres'!$N:$N,MATCH($D994,'Paramètres'!$M:$M,0))&amp;"",""))))),1,0))</f>
        <v>0</v>
      </c>
      <c r="Q994" s="6">
        <f>IF($K994="","",IF(ISNUMBER(SEARCH("transfert-interne",IFERROR(INDEX('Paramètres'!$N:$N,MATCH($D994,'Paramètres'!$M:$M,0))&amp;"",""))),0,IF($L994="Débit",$K994,IF($P994=1,-$K994,0))))</f>
        <v>28.5</v>
      </c>
      <c r="R994" s="6">
        <f>IF($K994="","",IF($L994="Crédit",$K994,-$K994))</f>
        <v>-28.5</v>
      </c>
      <c r="S994" s="6" t="str">
        <f>IF($C994="","",IFERROR(INDEX('Paramètres'!$H:$H,MATCH($C994,'Paramètres'!$D:$D,0))&amp;"",""))</f>
        <v>Banque A - Courant</v>
      </c>
      <c r="T994" s="6">
        <f>IF($K994="","",IF($S994="",0,IF(ISNUMBER(SEARCH("apport-exterieur",IFERROR(INDEX('Paramètres'!$N:$N,MATCH($D994,'Paramètres'!$M:$M,0))&amp;"",""))),0,IF(OR(IFERROR(INDEX('Paramètres'!$I:$I,MATCH($C994,'Paramètres'!$D:$D,0))&amp;"","")="Les deux",IFERROR(INDEX('Paramètres'!$I:$I,MATCH($C994,'Paramètres'!$D:$D,0))&amp;"","")=IF($P994=1,"Débit",$L994)),-IF($P994=1,-$K994,$K994),0))))</f>
        <v>-28.5</v>
      </c>
      <c r="U994" s="6">
        <f>IF($K994="","",IF(ISNUMBER(SEARCH("sortie-epargne",IFERROR(INDEX('Paramètres'!$N:$N,MATCH($D994,'Paramètres'!$M:$M,0))&amp;"",""))),$K994,0))</f>
        <v>0</v>
      </c>
      <c r="V994" s="6">
        <f>IF(AND($A994&lt;&gt;"",$O994=1,$L994="Débit",N($Q994)&gt;0,$A994&gt;=Visualisation!$B$1,$A994&lt;Visualisation!$D$1),MAX($V$1:V993)+1,"")</f>
        <v>14</v>
      </c>
    </row>
    <row r="995" spans="1:22" x14ac:dyDescent="0.25">
      <c r="A995" s="9">
        <v>46245</v>
      </c>
      <c r="B995" s="4" t="s">
        <v>131</v>
      </c>
      <c r="C995" s="4" t="s">
        <v>75</v>
      </c>
      <c r="D995" s="4" t="s">
        <v>143</v>
      </c>
      <c r="E995" s="10">
        <v>64.08</v>
      </c>
      <c r="G995" s="4" t="s">
        <v>143</v>
      </c>
      <c r="H995" s="4"/>
      <c r="I995" s="4" t="s">
        <v>73</v>
      </c>
      <c r="K995" s="11">
        <f>IF($E995="","",ROUND($E995*IF(ISNA(MATCH($C995,'Paramètres'!$D:$D,0)),1,IF(INDEX('Paramètres'!$J:$J,MATCH($C995,'Paramètres'!$D:$D,0))="",1,INDEX('Paramètres'!$J:$J,MATCH($C995,'Paramètres'!$D:$D,0)))),2))</f>
        <v>64.08</v>
      </c>
      <c r="L995" s="6" t="str">
        <f>IF($D995="","",IF($F995&lt;&gt;"",$F995,IF(ISNA(MATCH($D995,'Paramètres'!$M:$M,0)),"⚠ Type inconnu",IFERROR(INDEX('Paramètres'!$P:$P,MATCH($D995,'Paramètres'!$M:$M,0))&amp;"",""))))</f>
        <v>Débit</v>
      </c>
      <c r="M995" s="6" t="str">
        <f>IF($D995="","",IF(ISNA(MATCH($D995,'Paramètres'!$M:$M,0)),"⚠ Type inconnu",IF($L995="Crédit","",IFERROR(INDEX('Paramètres'!$O:$O,MATCH($D995,'Paramètres'!$M:$M,0))&amp;"",""))))</f>
        <v>Dépense Courante</v>
      </c>
      <c r="N995" s="6" t="str">
        <f>IF($D995="","",IFERROR(INDEX('Paramètres'!$Q:$Q,MATCH($D995,'Paramètres'!$M:$M,0))&amp;"",""))</f>
        <v>Santé</v>
      </c>
      <c r="O995" s="6">
        <f>IF($A995="","",IF(OR($J995&lt;&gt;"x",$A995&lt;=FinReleve),1,0))</f>
        <v>1</v>
      </c>
      <c r="P995" s="6">
        <f>IF($D995="","",IF(AND($L995="Crédit",OR(IFERROR(INDEX('Paramètres'!$O:$O,MATCH($D995,'Paramètres'!$M:$M,0))&amp;"","")&lt;&gt;"",ISNUMBER(SEARCH("remboursement",IFERROR(INDEX('Paramètres'!$N:$N,MATCH($D995,'Paramètres'!$M:$M,0))&amp;"",""))))),1,0))</f>
        <v>0</v>
      </c>
      <c r="Q995" s="6">
        <f>IF($K995="","",IF(ISNUMBER(SEARCH("transfert-interne",IFERROR(INDEX('Paramètres'!$N:$N,MATCH($D995,'Paramètres'!$M:$M,0))&amp;"",""))),0,IF($L995="Débit",$K995,IF($P995=1,-$K995,0))))</f>
        <v>64.08</v>
      </c>
      <c r="R995" s="6">
        <f>IF($K995="","",IF($L995="Crédit",$K995,-$K995))</f>
        <v>-64.08</v>
      </c>
      <c r="S995" s="6" t="str">
        <f>IF($C995="","",IFERROR(INDEX('Paramètres'!$H:$H,MATCH($C995,'Paramètres'!$D:$D,0))&amp;"",""))</f>
        <v/>
      </c>
      <c r="T995" s="6">
        <f>IF($K995="","",IF($S995="",0,IF(ISNUMBER(SEARCH("apport-exterieur",IFERROR(INDEX('Paramètres'!$N:$N,MATCH($D995,'Paramètres'!$M:$M,0))&amp;"",""))),0,IF(OR(IFERROR(INDEX('Paramètres'!$I:$I,MATCH($C995,'Paramètres'!$D:$D,0))&amp;"","")="Les deux",IFERROR(INDEX('Paramètres'!$I:$I,MATCH($C995,'Paramètres'!$D:$D,0))&amp;"","")=IF($P995=1,"Débit",$L995)),-IF($P995=1,-$K995,$K995),0))))</f>
        <v>0</v>
      </c>
      <c r="U995" s="6">
        <f>IF($K995="","",IF(ISNUMBER(SEARCH("sortie-epargne",IFERROR(INDEX('Paramètres'!$N:$N,MATCH($D995,'Paramètres'!$M:$M,0))&amp;"",""))),$K995,0))</f>
        <v>0</v>
      </c>
      <c r="V995" s="6">
        <f>IF(AND($A995&lt;&gt;"",$O995=1,$L995="Débit",N($Q995)&gt;0,$A995&gt;=Visualisation!$B$1,$A995&lt;Visualisation!$D$1),MAX($V$1:V994)+1,"")</f>
        <v>15</v>
      </c>
    </row>
    <row r="996" spans="1:22" x14ac:dyDescent="0.25">
      <c r="A996" s="9">
        <v>46245</v>
      </c>
      <c r="B996" s="4" t="s">
        <v>116</v>
      </c>
      <c r="C996" s="4" t="s">
        <v>60</v>
      </c>
      <c r="D996" s="4" t="s">
        <v>116</v>
      </c>
      <c r="E996" s="10">
        <v>100.56</v>
      </c>
      <c r="G996" s="4" t="s">
        <v>139</v>
      </c>
      <c r="H996" s="4"/>
      <c r="I996" s="4" t="s">
        <v>63</v>
      </c>
      <c r="K996" s="11">
        <f>IF($E996="","",ROUND($E996*IF(ISNA(MATCH($C996,'Paramètres'!$D:$D,0)),1,IF(INDEX('Paramètres'!$J:$J,MATCH($C996,'Paramètres'!$D:$D,0))="",1,INDEX('Paramètres'!$J:$J,MATCH($C996,'Paramètres'!$D:$D,0)))),2))</f>
        <v>50.28</v>
      </c>
      <c r="L996" s="6" t="str">
        <f>IF($D996="","",IF($F996&lt;&gt;"",$F996,IF(ISNA(MATCH($D996,'Paramètres'!$M:$M,0)),"⚠ Type inconnu",IFERROR(INDEX('Paramètres'!$P:$P,MATCH($D996,'Paramètres'!$M:$M,0))&amp;"",""))))</f>
        <v>Débit</v>
      </c>
      <c r="M996" s="6" t="str">
        <f>IF($D996="","",IF(ISNA(MATCH($D996,'Paramètres'!$M:$M,0)),"⚠ Type inconnu",IF($L996="Crédit","",IFERROR(INDEX('Paramètres'!$O:$O,MATCH($D996,'Paramètres'!$M:$M,0))&amp;"",""))))</f>
        <v>Dépense Occasionnelle</v>
      </c>
      <c r="N996" s="6" t="str">
        <f>IF($D996="","",IFERROR(INDEX('Paramètres'!$Q:$Q,MATCH($D996,'Paramètres'!$M:$M,0))&amp;"",""))</f>
        <v>Autre</v>
      </c>
      <c r="O996" s="6">
        <f>IF($A996="","",IF(OR($J996&lt;&gt;"x",$A996&lt;=FinReleve),1,0))</f>
        <v>1</v>
      </c>
      <c r="P996" s="6">
        <f>IF($D996="","",IF(AND($L996="Crédit",OR(IFERROR(INDEX('Paramètres'!$O:$O,MATCH($D996,'Paramètres'!$M:$M,0))&amp;"","")&lt;&gt;"",ISNUMBER(SEARCH("remboursement",IFERROR(INDEX('Paramètres'!$N:$N,MATCH($D996,'Paramètres'!$M:$M,0))&amp;"",""))))),1,0))</f>
        <v>0</v>
      </c>
      <c r="Q996" s="6">
        <f>IF($K996="","",IF(ISNUMBER(SEARCH("transfert-interne",IFERROR(INDEX('Paramètres'!$N:$N,MATCH($D996,'Paramètres'!$M:$M,0))&amp;"",""))),0,IF($L996="Débit",$K996,IF($P996=1,-$K996,0))))</f>
        <v>50.28</v>
      </c>
      <c r="R996" s="6">
        <f>IF($K996="","",IF($L996="Crédit",$K996,-$K996))</f>
        <v>-50.28</v>
      </c>
      <c r="S996" s="6" t="str">
        <f>IF($C996="","",IFERROR(INDEX('Paramètres'!$H:$H,MATCH($C996,'Paramètres'!$D:$D,0))&amp;"",""))</f>
        <v>Banque A - Courant</v>
      </c>
      <c r="T996" s="6">
        <f>IF($K996="","",IF($S996="",0,IF(ISNUMBER(SEARCH("apport-exterieur",IFERROR(INDEX('Paramètres'!$N:$N,MATCH($D996,'Paramètres'!$M:$M,0))&amp;"",""))),0,IF(OR(IFERROR(INDEX('Paramètres'!$I:$I,MATCH($C996,'Paramètres'!$D:$D,0))&amp;"","")="Les deux",IFERROR(INDEX('Paramètres'!$I:$I,MATCH($C996,'Paramètres'!$D:$D,0))&amp;"","")=IF($P996=1,"Débit",$L996)),-IF($P996=1,-$K996,$K996),0))))</f>
        <v>-50.28</v>
      </c>
      <c r="U996" s="6">
        <f>IF($K996="","",IF(ISNUMBER(SEARCH("sortie-epargne",IFERROR(INDEX('Paramètres'!$N:$N,MATCH($D996,'Paramètres'!$M:$M,0))&amp;"",""))),$K996,0))</f>
        <v>0</v>
      </c>
      <c r="V996" s="6">
        <f>IF(AND($A996&lt;&gt;"",$O996=1,$L996="Débit",N($Q996)&gt;0,$A996&gt;=Visualisation!$B$1,$A996&lt;Visualisation!$D$1),MAX($V$1:V995)+1,"")</f>
        <v>16</v>
      </c>
    </row>
    <row r="997" spans="1:22" x14ac:dyDescent="0.25">
      <c r="A997" s="9">
        <v>46246</v>
      </c>
      <c r="B997" s="4" t="s">
        <v>97</v>
      </c>
      <c r="C997" s="4" t="s">
        <v>75</v>
      </c>
      <c r="D997" s="4" t="s">
        <v>97</v>
      </c>
      <c r="E997" s="10">
        <v>47.9</v>
      </c>
      <c r="G997" s="4"/>
      <c r="H997" s="4"/>
      <c r="I997" s="4"/>
      <c r="K997" s="11">
        <f>IF($E997="","",ROUND($E997*IF(ISNA(MATCH($C997,'Paramètres'!$D:$D,0)),1,IF(INDEX('Paramètres'!$J:$J,MATCH($C997,'Paramètres'!$D:$D,0))="",1,INDEX('Paramètres'!$J:$J,MATCH($C997,'Paramètres'!$D:$D,0)))),2))</f>
        <v>47.9</v>
      </c>
      <c r="L997" s="6" t="str">
        <f>IF($D997="","",IF($F997&lt;&gt;"",$F997,IF(ISNA(MATCH($D997,'Paramètres'!$M:$M,0)),"⚠ Type inconnu",IFERROR(INDEX('Paramètres'!$P:$P,MATCH($D997,'Paramètres'!$M:$M,0))&amp;"",""))))</f>
        <v>Débit</v>
      </c>
      <c r="M997" s="6" t="str">
        <f>IF($D997="","",IF(ISNA(MATCH($D997,'Paramètres'!$M:$M,0)),"⚠ Type inconnu",IF($L997="Crédit","",IFERROR(INDEX('Paramètres'!$O:$O,MATCH($D997,'Paramètres'!$M:$M,0))&amp;"",""))))</f>
        <v>Dépense Fixe</v>
      </c>
      <c r="N997" s="6" t="str">
        <f>IF($D997="","",IFERROR(INDEX('Paramètres'!$Q:$Q,MATCH($D997,'Paramètres'!$M:$M,0))&amp;"",""))</f>
        <v>Assurances</v>
      </c>
      <c r="O997" s="6">
        <f>IF($A997="","",IF(OR($J997&lt;&gt;"x",$A997&lt;=FinReleve),1,0))</f>
        <v>1</v>
      </c>
      <c r="P997" s="6">
        <f>IF($D997="","",IF(AND($L997="Crédit",OR(IFERROR(INDEX('Paramètres'!$O:$O,MATCH($D997,'Paramètres'!$M:$M,0))&amp;"","")&lt;&gt;"",ISNUMBER(SEARCH("remboursement",IFERROR(INDEX('Paramètres'!$N:$N,MATCH($D997,'Paramètres'!$M:$M,0))&amp;"",""))))),1,0))</f>
        <v>0</v>
      </c>
      <c r="Q997" s="6">
        <f>IF($K997="","",IF(ISNUMBER(SEARCH("transfert-interne",IFERROR(INDEX('Paramètres'!$N:$N,MATCH($D997,'Paramètres'!$M:$M,0))&amp;"",""))),0,IF($L997="Débit",$K997,IF($P997=1,-$K997,0))))</f>
        <v>47.9</v>
      </c>
      <c r="R997" s="6">
        <f>IF($K997="","",IF($L997="Crédit",$K997,-$K997))</f>
        <v>-47.9</v>
      </c>
      <c r="S997" s="6" t="str">
        <f>IF($C997="","",IFERROR(INDEX('Paramètres'!$H:$H,MATCH($C997,'Paramètres'!$D:$D,0))&amp;"",""))</f>
        <v/>
      </c>
      <c r="T997" s="6">
        <f>IF($K997="","",IF($S997="",0,IF(ISNUMBER(SEARCH("apport-exterieur",IFERROR(INDEX('Paramètres'!$N:$N,MATCH($D997,'Paramètres'!$M:$M,0))&amp;"",""))),0,IF(OR(IFERROR(INDEX('Paramètres'!$I:$I,MATCH($C997,'Paramètres'!$D:$D,0))&amp;"","")="Les deux",IFERROR(INDEX('Paramètres'!$I:$I,MATCH($C997,'Paramètres'!$D:$D,0))&amp;"","")=IF($P997=1,"Débit",$L997)),-IF($P997=1,-$K997,$K997),0))))</f>
        <v>0</v>
      </c>
      <c r="U997" s="6">
        <f>IF($K997="","",IF(ISNUMBER(SEARCH("sortie-epargne",IFERROR(INDEX('Paramètres'!$N:$N,MATCH($D997,'Paramètres'!$M:$M,0))&amp;"",""))),$K997,0))</f>
        <v>0</v>
      </c>
      <c r="V997" s="6">
        <f>IF(AND($A997&lt;&gt;"",$O997=1,$L997="Débit",N($Q997)&gt;0,$A997&gt;=Visualisation!$B$1,$A997&lt;Visualisation!$D$1),MAX($V$1:V996)+1,"")</f>
        <v>17</v>
      </c>
    </row>
    <row r="998" spans="1:22" x14ac:dyDescent="0.25">
      <c r="A998" s="9">
        <v>46246</v>
      </c>
      <c r="B998" s="4" t="s">
        <v>76</v>
      </c>
      <c r="C998" s="4" t="s">
        <v>67</v>
      </c>
      <c r="D998" s="4" t="s">
        <v>77</v>
      </c>
      <c r="E998" s="10">
        <v>114.9</v>
      </c>
      <c r="G998" s="4" t="s">
        <v>95</v>
      </c>
      <c r="H998" s="4"/>
      <c r="I998" s="4" t="s">
        <v>73</v>
      </c>
      <c r="K998" s="11">
        <f>IF($E998="","",ROUND($E998*IF(ISNA(MATCH($C998,'Paramètres'!$D:$D,0)),1,IF(INDEX('Paramètres'!$J:$J,MATCH($C998,'Paramètres'!$D:$D,0))="",1,INDEX('Paramètres'!$J:$J,MATCH($C998,'Paramètres'!$D:$D,0)))),2))</f>
        <v>57.45</v>
      </c>
      <c r="L998" s="6" t="str">
        <f>IF($D998="","",IF($F998&lt;&gt;"",$F998,IF(ISNA(MATCH($D998,'Paramètres'!$M:$M,0)),"⚠ Type inconnu",IFERROR(INDEX('Paramètres'!$P:$P,MATCH($D998,'Paramètres'!$M:$M,0))&amp;"",""))))</f>
        <v>Débit</v>
      </c>
      <c r="M998" s="6" t="str">
        <f>IF($D998="","",IF(ISNA(MATCH($D998,'Paramètres'!$M:$M,0)),"⚠ Type inconnu",IF($L998="Crédit","",IFERROR(INDEX('Paramètres'!$O:$O,MATCH($D998,'Paramètres'!$M:$M,0))&amp;"",""))))</f>
        <v>Dépense Courante</v>
      </c>
      <c r="N998" s="6" t="str">
        <f>IF($D998="","",IFERROR(INDEX('Paramètres'!$Q:$Q,MATCH($D998,'Paramètres'!$M:$M,0))&amp;"",""))</f>
        <v>Alimentation</v>
      </c>
      <c r="O998" s="6">
        <f>IF($A998="","",IF(OR($J998&lt;&gt;"x",$A998&lt;=FinReleve),1,0))</f>
        <v>1</v>
      </c>
      <c r="P998" s="6">
        <f>IF($D998="","",IF(AND($L998="Crédit",OR(IFERROR(INDEX('Paramètres'!$O:$O,MATCH($D998,'Paramètres'!$M:$M,0))&amp;"","")&lt;&gt;"",ISNUMBER(SEARCH("remboursement",IFERROR(INDEX('Paramètres'!$N:$N,MATCH($D998,'Paramètres'!$M:$M,0))&amp;"",""))))),1,0))</f>
        <v>0</v>
      </c>
      <c r="Q998" s="6">
        <f>IF($K998="","",IF(ISNUMBER(SEARCH("transfert-interne",IFERROR(INDEX('Paramètres'!$N:$N,MATCH($D998,'Paramètres'!$M:$M,0))&amp;"",""))),0,IF($L998="Débit",$K998,IF($P998=1,-$K998,0))))</f>
        <v>57.45</v>
      </c>
      <c r="R998" s="6">
        <f>IF($K998="","",IF($L998="Crédit",$K998,-$K998))</f>
        <v>-57.45</v>
      </c>
      <c r="S998" s="6" t="str">
        <f>IF($C998="","",IFERROR(INDEX('Paramètres'!$H:$H,MATCH($C998,'Paramètres'!$D:$D,0))&amp;"",""))</f>
        <v>Banque A - Courant</v>
      </c>
      <c r="T998" s="6">
        <f>IF($K998="","",IF($S998="",0,IF(ISNUMBER(SEARCH("apport-exterieur",IFERROR(INDEX('Paramètres'!$N:$N,MATCH($D998,'Paramètres'!$M:$M,0))&amp;"",""))),0,IF(OR(IFERROR(INDEX('Paramètres'!$I:$I,MATCH($C998,'Paramètres'!$D:$D,0))&amp;"","")="Les deux",IFERROR(INDEX('Paramètres'!$I:$I,MATCH($C998,'Paramètres'!$D:$D,0))&amp;"","")=IF($P998=1,"Débit",$L998)),-IF($P998=1,-$K998,$K998),0))))</f>
        <v>0</v>
      </c>
      <c r="U998" s="6">
        <f>IF($K998="","",IF(ISNUMBER(SEARCH("sortie-epargne",IFERROR(INDEX('Paramètres'!$N:$N,MATCH($D998,'Paramètres'!$M:$M,0))&amp;"",""))),$K998,0))</f>
        <v>0</v>
      </c>
      <c r="V998" s="6">
        <f>IF(AND($A998&lt;&gt;"",$O998=1,$L998="Débit",N($Q998)&gt;0,$A998&gt;=Visualisation!$B$1,$A998&lt;Visualisation!$D$1),MAX($V$1:V997)+1,"")</f>
        <v>18</v>
      </c>
    </row>
    <row r="999" spans="1:22" x14ac:dyDescent="0.25">
      <c r="A999" s="9">
        <v>46247</v>
      </c>
      <c r="B999" s="4" t="s">
        <v>76</v>
      </c>
      <c r="C999" s="4" t="s">
        <v>67</v>
      </c>
      <c r="D999" s="4" t="s">
        <v>77</v>
      </c>
      <c r="E999" s="10">
        <v>103.16</v>
      </c>
      <c r="G999" s="4" t="s">
        <v>95</v>
      </c>
      <c r="H999" s="4"/>
      <c r="I999" s="4" t="s">
        <v>73</v>
      </c>
      <c r="K999" s="11">
        <f>IF($E999="","",ROUND($E999*IF(ISNA(MATCH($C999,'Paramètres'!$D:$D,0)),1,IF(INDEX('Paramètres'!$J:$J,MATCH($C999,'Paramètres'!$D:$D,0))="",1,INDEX('Paramètres'!$J:$J,MATCH($C999,'Paramètres'!$D:$D,0)))),2))</f>
        <v>51.58</v>
      </c>
      <c r="L999" s="6" t="str">
        <f>IF($D999="","",IF($F999&lt;&gt;"",$F999,IF(ISNA(MATCH($D999,'Paramètres'!$M:$M,0)),"⚠ Type inconnu",IFERROR(INDEX('Paramètres'!$P:$P,MATCH($D999,'Paramètres'!$M:$M,0))&amp;"",""))))</f>
        <v>Débit</v>
      </c>
      <c r="M999" s="6" t="str">
        <f>IF($D999="","",IF(ISNA(MATCH($D999,'Paramètres'!$M:$M,0)),"⚠ Type inconnu",IF($L999="Crédit","",IFERROR(INDEX('Paramètres'!$O:$O,MATCH($D999,'Paramètres'!$M:$M,0))&amp;"",""))))</f>
        <v>Dépense Courante</v>
      </c>
      <c r="N999" s="6" t="str">
        <f>IF($D999="","",IFERROR(INDEX('Paramètres'!$Q:$Q,MATCH($D999,'Paramètres'!$M:$M,0))&amp;"",""))</f>
        <v>Alimentation</v>
      </c>
      <c r="O999" s="6">
        <f>IF($A999="","",IF(OR($J999&lt;&gt;"x",$A999&lt;=FinReleve),1,0))</f>
        <v>1</v>
      </c>
      <c r="P999" s="6">
        <f>IF($D999="","",IF(AND($L999="Crédit",OR(IFERROR(INDEX('Paramètres'!$O:$O,MATCH($D999,'Paramètres'!$M:$M,0))&amp;"","")&lt;&gt;"",ISNUMBER(SEARCH("remboursement",IFERROR(INDEX('Paramètres'!$N:$N,MATCH($D999,'Paramètres'!$M:$M,0))&amp;"",""))))),1,0))</f>
        <v>0</v>
      </c>
      <c r="Q999" s="6">
        <f>IF($K999="","",IF(ISNUMBER(SEARCH("transfert-interne",IFERROR(INDEX('Paramètres'!$N:$N,MATCH($D999,'Paramètres'!$M:$M,0))&amp;"",""))),0,IF($L999="Débit",$K999,IF($P999=1,-$K999,0))))</f>
        <v>51.58</v>
      </c>
      <c r="R999" s="6">
        <f>IF($K999="","",IF($L999="Crédit",$K999,-$K999))</f>
        <v>-51.58</v>
      </c>
      <c r="S999" s="6" t="str">
        <f>IF($C999="","",IFERROR(INDEX('Paramètres'!$H:$H,MATCH($C999,'Paramètres'!$D:$D,0))&amp;"",""))</f>
        <v>Banque A - Courant</v>
      </c>
      <c r="T999" s="6">
        <f>IF($K999="","",IF($S999="",0,IF(ISNUMBER(SEARCH("apport-exterieur",IFERROR(INDEX('Paramètres'!$N:$N,MATCH($D999,'Paramètres'!$M:$M,0))&amp;"",""))),0,IF(OR(IFERROR(INDEX('Paramètres'!$I:$I,MATCH($C999,'Paramètres'!$D:$D,0))&amp;"","")="Les deux",IFERROR(INDEX('Paramètres'!$I:$I,MATCH($C999,'Paramètres'!$D:$D,0))&amp;"","")=IF($P999=1,"Débit",$L999)),-IF($P999=1,-$K999,$K999),0))))</f>
        <v>0</v>
      </c>
      <c r="U999" s="6">
        <f>IF($K999="","",IF(ISNUMBER(SEARCH("sortie-epargne",IFERROR(INDEX('Paramètres'!$N:$N,MATCH($D999,'Paramètres'!$M:$M,0))&amp;"",""))),$K999,0))</f>
        <v>0</v>
      </c>
      <c r="V999" s="6">
        <f>IF(AND($A999&lt;&gt;"",$O999=1,$L999="Débit",N($Q999)&gt;0,$A999&gt;=Visualisation!$B$1,$A999&lt;Visualisation!$D$1),MAX($V$1:V998)+1,"")</f>
        <v>19</v>
      </c>
    </row>
    <row r="1000" spans="1:22" x14ac:dyDescent="0.25">
      <c r="A1000" s="9">
        <v>46247</v>
      </c>
      <c r="B1000" s="4" t="s">
        <v>69</v>
      </c>
      <c r="C1000" s="4" t="s">
        <v>70</v>
      </c>
      <c r="D1000" s="4" t="s">
        <v>71</v>
      </c>
      <c r="E1000" s="10">
        <v>8.49</v>
      </c>
      <c r="G1000" s="4" t="s">
        <v>72</v>
      </c>
      <c r="H1000" s="4"/>
      <c r="I1000" s="4" t="s">
        <v>79</v>
      </c>
      <c r="K1000" s="11">
        <f>IF($E1000="","",ROUND($E1000*IF(ISNA(MATCH($C1000,'Paramètres'!$D:$D,0)),1,IF(INDEX('Paramètres'!$J:$J,MATCH($C1000,'Paramètres'!$D:$D,0))="",1,INDEX('Paramètres'!$J:$J,MATCH($C1000,'Paramètres'!$D:$D,0)))),2))</f>
        <v>8.49</v>
      </c>
      <c r="L1000" s="6" t="str">
        <f>IF($D1000="","",IF($F1000&lt;&gt;"",$F1000,IF(ISNA(MATCH($D1000,'Paramètres'!$M:$M,0)),"⚠ Type inconnu",IFERROR(INDEX('Paramètres'!$P:$P,MATCH($D1000,'Paramètres'!$M:$M,0))&amp;"",""))))</f>
        <v>Débit</v>
      </c>
      <c r="M1000" s="6" t="str">
        <f>IF($D1000="","",IF(ISNA(MATCH($D1000,'Paramètres'!$M:$M,0)),"⚠ Type inconnu",IF($L1000="Crédit","",IFERROR(INDEX('Paramètres'!$O:$O,MATCH($D1000,'Paramètres'!$M:$M,0))&amp;"",""))))</f>
        <v>Dépense Courante</v>
      </c>
      <c r="N1000" s="6" t="str">
        <f>IF($D1000="","",IFERROR(INDEX('Paramètres'!$Q:$Q,MATCH($D1000,'Paramètres'!$M:$M,0))&amp;"",""))</f>
        <v>Alimentation</v>
      </c>
      <c r="O1000" s="6">
        <f>IF($A1000="","",IF(OR($J1000&lt;&gt;"x",$A1000&lt;=FinReleve),1,0))</f>
        <v>1</v>
      </c>
      <c r="P1000" s="6">
        <f>IF($D1000="","",IF(AND($L1000="Crédit",OR(IFERROR(INDEX('Paramètres'!$O:$O,MATCH($D1000,'Paramètres'!$M:$M,0))&amp;"","")&lt;&gt;"",ISNUMBER(SEARCH("remboursement",IFERROR(INDEX('Paramètres'!$N:$N,MATCH($D1000,'Paramètres'!$M:$M,0))&amp;"",""))))),1,0))</f>
        <v>0</v>
      </c>
      <c r="Q1000" s="6">
        <f>IF($K1000="","",IF(ISNUMBER(SEARCH("transfert-interne",IFERROR(INDEX('Paramètres'!$N:$N,MATCH($D1000,'Paramètres'!$M:$M,0))&amp;"",""))),0,IF($L1000="Débit",$K1000,IF($P1000=1,-$K1000,0))))</f>
        <v>8.49</v>
      </c>
      <c r="R1000" s="6">
        <f>IF($K1000="","",IF($L1000="Crédit",$K1000,-$K1000))</f>
        <v>-8.49</v>
      </c>
      <c r="S1000" s="6" t="str">
        <f>IF($C1000="","",IFERROR(INDEX('Paramètres'!$H:$H,MATCH($C1000,'Paramètres'!$D:$D,0))&amp;"",""))</f>
        <v/>
      </c>
      <c r="T1000" s="6">
        <f>IF($K1000="","",IF($S1000="",0,IF(ISNUMBER(SEARCH("apport-exterieur",IFERROR(INDEX('Paramètres'!$N:$N,MATCH($D1000,'Paramètres'!$M:$M,0))&amp;"",""))),0,IF(OR(IFERROR(INDEX('Paramètres'!$I:$I,MATCH($C1000,'Paramètres'!$D:$D,0))&amp;"","")="Les deux",IFERROR(INDEX('Paramètres'!$I:$I,MATCH($C1000,'Paramètres'!$D:$D,0))&amp;"","")=IF($P1000=1,"Débit",$L1000)),-IF($P1000=1,-$K1000,$K1000),0))))</f>
        <v>0</v>
      </c>
      <c r="U1000" s="6">
        <f>IF($K1000="","",IF(ISNUMBER(SEARCH("sortie-epargne",IFERROR(INDEX('Paramètres'!$N:$N,MATCH($D1000,'Paramètres'!$M:$M,0))&amp;"",""))),$K1000,0))</f>
        <v>0</v>
      </c>
      <c r="V1000" s="6">
        <f>IF(AND($A1000&lt;&gt;"",$O1000=1,$L1000="Débit",N($Q1000)&gt;0,$A1000&gt;=Visualisation!$B$1,$A1000&lt;Visualisation!$D$1),MAX($V$1:V999)+1,"")</f>
        <v>20</v>
      </c>
    </row>
    <row r="1001" spans="1:22" x14ac:dyDescent="0.25">
      <c r="A1001" s="9">
        <v>46249</v>
      </c>
      <c r="B1001" s="4" t="s">
        <v>100</v>
      </c>
      <c r="C1001" s="4" t="s">
        <v>65</v>
      </c>
      <c r="D1001" s="4" t="s">
        <v>100</v>
      </c>
      <c r="E1001" s="10">
        <v>105.95</v>
      </c>
      <c r="G1001" s="4"/>
      <c r="H1001" s="4"/>
      <c r="I1001" s="4"/>
      <c r="K1001" s="11">
        <f>IF($E1001="","",ROUND($E1001*IF(ISNA(MATCH($C1001,'Paramètres'!$D:$D,0)),1,IF(INDEX('Paramètres'!$J:$J,MATCH($C1001,'Paramètres'!$D:$D,0))="",1,INDEX('Paramètres'!$J:$J,MATCH($C1001,'Paramètres'!$D:$D,0)))),2))</f>
        <v>105.95</v>
      </c>
      <c r="L1001" s="6" t="str">
        <f>IF($D1001="","",IF($F1001&lt;&gt;"",$F1001,IF(ISNA(MATCH($D1001,'Paramètres'!$M:$M,0)),"⚠ Type inconnu",IFERROR(INDEX('Paramètres'!$P:$P,MATCH($D1001,'Paramètres'!$M:$M,0))&amp;"",""))))</f>
        <v>Débit</v>
      </c>
      <c r="M1001" s="6" t="str">
        <f>IF($D1001="","",IF(ISNA(MATCH($D1001,'Paramètres'!$M:$M,0)),"⚠ Type inconnu",IF($L1001="Crédit","",IFERROR(INDEX('Paramètres'!$O:$O,MATCH($D1001,'Paramètres'!$M:$M,0))&amp;"",""))))</f>
        <v>Dépense Fixe</v>
      </c>
      <c r="N1001" s="6" t="str">
        <f>IF($D1001="","",IFERROR(INDEX('Paramètres'!$Q:$Q,MATCH($D1001,'Paramètres'!$M:$M,0))&amp;"",""))</f>
        <v>Immobilier</v>
      </c>
      <c r="O1001" s="6">
        <f>IF($A1001="","",IF(OR($J1001&lt;&gt;"x",$A1001&lt;=FinReleve),1,0))</f>
        <v>1</v>
      </c>
      <c r="P1001" s="6">
        <f>IF($D1001="","",IF(AND($L1001="Crédit",OR(IFERROR(INDEX('Paramètres'!$O:$O,MATCH($D1001,'Paramètres'!$M:$M,0))&amp;"","")&lt;&gt;"",ISNUMBER(SEARCH("remboursement",IFERROR(INDEX('Paramètres'!$N:$N,MATCH($D1001,'Paramètres'!$M:$M,0))&amp;"",""))))),1,0))</f>
        <v>0</v>
      </c>
      <c r="Q1001" s="6">
        <f>IF($K1001="","",IF(ISNUMBER(SEARCH("transfert-interne",IFERROR(INDEX('Paramètres'!$N:$N,MATCH($D1001,'Paramètres'!$M:$M,0))&amp;"",""))),0,IF($L1001="Débit",$K1001,IF($P1001=1,-$K1001,0))))</f>
        <v>105.95</v>
      </c>
      <c r="R1001" s="6">
        <f>IF($K1001="","",IF($L1001="Crédit",$K1001,-$K1001))</f>
        <v>-105.95</v>
      </c>
      <c r="S1001" s="6" t="str">
        <f>IF($C1001="","",IFERROR(INDEX('Paramètres'!$H:$H,MATCH($C1001,'Paramètres'!$D:$D,0))&amp;"",""))</f>
        <v>Banque A - Courant</v>
      </c>
      <c r="T1001" s="6">
        <f>IF($K1001="","",IF($S1001="",0,IF(ISNUMBER(SEARCH("apport-exterieur",IFERROR(INDEX('Paramètres'!$N:$N,MATCH($D1001,'Paramètres'!$M:$M,0))&amp;"",""))),0,IF(OR(IFERROR(INDEX('Paramètres'!$I:$I,MATCH($C1001,'Paramètres'!$D:$D,0))&amp;"","")="Les deux",IFERROR(INDEX('Paramètres'!$I:$I,MATCH($C1001,'Paramètres'!$D:$D,0))&amp;"","")=IF($P1001=1,"Débit",$L1001)),-IF($P1001=1,-$K1001,$K1001),0))))</f>
        <v>0</v>
      </c>
      <c r="U1001" s="6">
        <f>IF($K1001="","",IF(ISNUMBER(SEARCH("sortie-epargne",IFERROR(INDEX('Paramètres'!$N:$N,MATCH($D1001,'Paramètres'!$M:$M,0))&amp;"",""))),$K1001,0))</f>
        <v>0</v>
      </c>
      <c r="V1001" s="6">
        <f>IF(AND($A1001&lt;&gt;"",$O1001=1,$L1001="Débit",N($Q1001)&gt;0,$A1001&gt;=Visualisation!$B$1,$A1001&lt;Visualisation!$D$1),MAX($V$1:V1000)+1,"")</f>
        <v>21</v>
      </c>
    </row>
    <row r="1002" spans="1:22" x14ac:dyDescent="0.25">
      <c r="A1002" s="9">
        <v>46249</v>
      </c>
      <c r="B1002" s="4" t="s">
        <v>123</v>
      </c>
      <c r="C1002" s="4" t="s">
        <v>75</v>
      </c>
      <c r="D1002" s="4" t="s">
        <v>124</v>
      </c>
      <c r="E1002" s="10">
        <v>65.91</v>
      </c>
      <c r="G1002" s="4" t="s">
        <v>125</v>
      </c>
      <c r="H1002" s="4"/>
      <c r="I1002" s="4" t="s">
        <v>73</v>
      </c>
      <c r="K1002" s="11">
        <f>IF($E1002="","",ROUND($E1002*IF(ISNA(MATCH($C1002,'Paramètres'!$D:$D,0)),1,IF(INDEX('Paramètres'!$J:$J,MATCH($C1002,'Paramètres'!$D:$D,0))="",1,INDEX('Paramètres'!$J:$J,MATCH($C1002,'Paramètres'!$D:$D,0)))),2))</f>
        <v>65.91</v>
      </c>
      <c r="L1002" s="6" t="str">
        <f>IF($D1002="","",IF($F1002&lt;&gt;"",$F1002,IF(ISNA(MATCH($D1002,'Paramètres'!$M:$M,0)),"⚠ Type inconnu",IFERROR(INDEX('Paramètres'!$P:$P,MATCH($D1002,'Paramètres'!$M:$M,0))&amp;"",""))))</f>
        <v>Débit</v>
      </c>
      <c r="M1002" s="6" t="str">
        <f>IF($D1002="","",IF(ISNA(MATCH($D1002,'Paramètres'!$M:$M,0)),"⚠ Type inconnu",IF($L1002="Crédit","",IFERROR(INDEX('Paramètres'!$O:$O,MATCH($D1002,'Paramètres'!$M:$M,0))&amp;"",""))))</f>
        <v>Dépense Courante</v>
      </c>
      <c r="N1002" s="6" t="str">
        <f>IF($D1002="","",IFERROR(INDEX('Paramètres'!$Q:$Q,MATCH($D1002,'Paramètres'!$M:$M,0))&amp;"",""))</f>
        <v>Habillement</v>
      </c>
      <c r="O1002" s="6">
        <f>IF($A1002="","",IF(OR($J1002&lt;&gt;"x",$A1002&lt;=FinReleve),1,0))</f>
        <v>1</v>
      </c>
      <c r="P1002" s="6">
        <f>IF($D1002="","",IF(AND($L1002="Crédit",OR(IFERROR(INDEX('Paramètres'!$O:$O,MATCH($D1002,'Paramètres'!$M:$M,0))&amp;"","")&lt;&gt;"",ISNUMBER(SEARCH("remboursement",IFERROR(INDEX('Paramètres'!$N:$N,MATCH($D1002,'Paramètres'!$M:$M,0))&amp;"",""))))),1,0))</f>
        <v>0</v>
      </c>
      <c r="Q1002" s="6">
        <f>IF($K1002="","",IF(ISNUMBER(SEARCH("transfert-interne",IFERROR(INDEX('Paramètres'!$N:$N,MATCH($D1002,'Paramètres'!$M:$M,0))&amp;"",""))),0,IF($L1002="Débit",$K1002,IF($P1002=1,-$K1002,0))))</f>
        <v>65.91</v>
      </c>
      <c r="R1002" s="6">
        <f>IF($K1002="","",IF($L1002="Crédit",$K1002,-$K1002))</f>
        <v>-65.91</v>
      </c>
      <c r="S1002" s="6" t="str">
        <f>IF($C1002="","",IFERROR(INDEX('Paramètres'!$H:$H,MATCH($C1002,'Paramètres'!$D:$D,0))&amp;"",""))</f>
        <v/>
      </c>
      <c r="T1002" s="6">
        <f>IF($K1002="","",IF($S1002="",0,IF(ISNUMBER(SEARCH("apport-exterieur",IFERROR(INDEX('Paramètres'!$N:$N,MATCH($D1002,'Paramètres'!$M:$M,0))&amp;"",""))),0,IF(OR(IFERROR(INDEX('Paramètres'!$I:$I,MATCH($C1002,'Paramètres'!$D:$D,0))&amp;"","")="Les deux",IFERROR(INDEX('Paramètres'!$I:$I,MATCH($C1002,'Paramètres'!$D:$D,0))&amp;"","")=IF($P1002=1,"Débit",$L1002)),-IF($P1002=1,-$K1002,$K1002),0))))</f>
        <v>0</v>
      </c>
      <c r="U1002" s="6">
        <f>IF($K1002="","",IF(ISNUMBER(SEARCH("sortie-epargne",IFERROR(INDEX('Paramètres'!$N:$N,MATCH($D1002,'Paramètres'!$M:$M,0))&amp;"",""))),$K1002,0))</f>
        <v>0</v>
      </c>
      <c r="V1002" s="6">
        <f>IF(AND($A1002&lt;&gt;"",$O1002=1,$L1002="Débit",N($Q1002)&gt;0,$A1002&gt;=Visualisation!$B$1,$A1002&lt;Visualisation!$D$1),MAX($V$1:V1001)+1,"")</f>
        <v>22</v>
      </c>
    </row>
    <row r="1003" spans="1:22" x14ac:dyDescent="0.25">
      <c r="A1003" s="9">
        <v>46251</v>
      </c>
      <c r="B1003" s="4" t="s">
        <v>69</v>
      </c>
      <c r="C1003" s="4" t="s">
        <v>70</v>
      </c>
      <c r="D1003" s="4" t="s">
        <v>71</v>
      </c>
      <c r="E1003" s="10">
        <v>13.92</v>
      </c>
      <c r="G1003" s="4" t="s">
        <v>72</v>
      </c>
      <c r="H1003" s="4"/>
      <c r="I1003" s="4" t="s">
        <v>73</v>
      </c>
      <c r="K1003" s="11">
        <f>IF($E1003="","",ROUND($E1003*IF(ISNA(MATCH($C1003,'Paramètres'!$D:$D,0)),1,IF(INDEX('Paramètres'!$J:$J,MATCH($C1003,'Paramètres'!$D:$D,0))="",1,INDEX('Paramètres'!$J:$J,MATCH($C1003,'Paramètres'!$D:$D,0)))),2))</f>
        <v>13.92</v>
      </c>
      <c r="L1003" s="6" t="str">
        <f>IF($D1003="","",IF($F1003&lt;&gt;"",$F1003,IF(ISNA(MATCH($D1003,'Paramètres'!$M:$M,0)),"⚠ Type inconnu",IFERROR(INDEX('Paramètres'!$P:$P,MATCH($D1003,'Paramètres'!$M:$M,0))&amp;"",""))))</f>
        <v>Débit</v>
      </c>
      <c r="M1003" s="6" t="str">
        <f>IF($D1003="","",IF(ISNA(MATCH($D1003,'Paramètres'!$M:$M,0)),"⚠ Type inconnu",IF($L1003="Crédit","",IFERROR(INDEX('Paramètres'!$O:$O,MATCH($D1003,'Paramètres'!$M:$M,0))&amp;"",""))))</f>
        <v>Dépense Courante</v>
      </c>
      <c r="N1003" s="6" t="str">
        <f>IF($D1003="","",IFERROR(INDEX('Paramètres'!$Q:$Q,MATCH($D1003,'Paramètres'!$M:$M,0))&amp;"",""))</f>
        <v>Alimentation</v>
      </c>
      <c r="O1003" s="6">
        <f>IF($A1003="","",IF(OR($J1003&lt;&gt;"x",$A1003&lt;=FinReleve),1,0))</f>
        <v>1</v>
      </c>
      <c r="P1003" s="6">
        <f>IF($D1003="","",IF(AND($L1003="Crédit",OR(IFERROR(INDEX('Paramètres'!$O:$O,MATCH($D1003,'Paramètres'!$M:$M,0))&amp;"","")&lt;&gt;"",ISNUMBER(SEARCH("remboursement",IFERROR(INDEX('Paramètres'!$N:$N,MATCH($D1003,'Paramètres'!$M:$M,0))&amp;"",""))))),1,0))</f>
        <v>0</v>
      </c>
      <c r="Q1003" s="6">
        <f>IF($K1003="","",IF(ISNUMBER(SEARCH("transfert-interne",IFERROR(INDEX('Paramètres'!$N:$N,MATCH($D1003,'Paramètres'!$M:$M,0))&amp;"",""))),0,IF($L1003="Débit",$K1003,IF($P1003=1,-$K1003,0))))</f>
        <v>13.92</v>
      </c>
      <c r="R1003" s="6">
        <f>IF($K1003="","",IF($L1003="Crédit",$K1003,-$K1003))</f>
        <v>-13.92</v>
      </c>
      <c r="S1003" s="6" t="str">
        <f>IF($C1003="","",IFERROR(INDEX('Paramètres'!$H:$H,MATCH($C1003,'Paramètres'!$D:$D,0))&amp;"",""))</f>
        <v/>
      </c>
      <c r="T1003" s="6">
        <f>IF($K1003="","",IF($S1003="",0,IF(ISNUMBER(SEARCH("apport-exterieur",IFERROR(INDEX('Paramètres'!$N:$N,MATCH($D1003,'Paramètres'!$M:$M,0))&amp;"",""))),0,IF(OR(IFERROR(INDEX('Paramètres'!$I:$I,MATCH($C1003,'Paramètres'!$D:$D,0))&amp;"","")="Les deux",IFERROR(INDEX('Paramètres'!$I:$I,MATCH($C1003,'Paramètres'!$D:$D,0))&amp;"","")=IF($P1003=1,"Débit",$L1003)),-IF($P1003=1,-$K1003,$K1003),0))))</f>
        <v>0</v>
      </c>
      <c r="U1003" s="6">
        <f>IF($K1003="","",IF(ISNUMBER(SEARCH("sortie-epargne",IFERROR(INDEX('Paramètres'!$N:$N,MATCH($D1003,'Paramètres'!$M:$M,0))&amp;"",""))),$K1003,0))</f>
        <v>0</v>
      </c>
      <c r="V1003" s="6">
        <f>IF(AND($A1003&lt;&gt;"",$O1003=1,$L1003="Débit",N($Q1003)&gt;0,$A1003&gt;=Visualisation!$B$1,$A1003&lt;Visualisation!$D$1),MAX($V$1:V1002)+1,"")</f>
        <v>23</v>
      </c>
    </row>
    <row r="1004" spans="1:22" x14ac:dyDescent="0.25">
      <c r="A1004" s="9">
        <v>46251</v>
      </c>
      <c r="B1004" s="4" t="s">
        <v>69</v>
      </c>
      <c r="C1004" s="4" t="s">
        <v>70</v>
      </c>
      <c r="D1004" s="4" t="s">
        <v>71</v>
      </c>
      <c r="E1004" s="10">
        <v>12.8</v>
      </c>
      <c r="G1004" s="4" t="s">
        <v>72</v>
      </c>
      <c r="H1004" s="4"/>
      <c r="I1004" s="4"/>
      <c r="K1004" s="11">
        <f>IF($E1004="","",ROUND($E1004*IF(ISNA(MATCH($C1004,'Paramètres'!$D:$D,0)),1,IF(INDEX('Paramètres'!$J:$J,MATCH($C1004,'Paramètres'!$D:$D,0))="",1,INDEX('Paramètres'!$J:$J,MATCH($C1004,'Paramètres'!$D:$D,0)))),2))</f>
        <v>12.8</v>
      </c>
      <c r="L1004" s="6" t="str">
        <f>IF($D1004="","",IF($F1004&lt;&gt;"",$F1004,IF(ISNA(MATCH($D1004,'Paramètres'!$M:$M,0)),"⚠ Type inconnu",IFERROR(INDEX('Paramètres'!$P:$P,MATCH($D1004,'Paramètres'!$M:$M,0))&amp;"",""))))</f>
        <v>Débit</v>
      </c>
      <c r="M1004" s="6" t="str">
        <f>IF($D1004="","",IF(ISNA(MATCH($D1004,'Paramètres'!$M:$M,0)),"⚠ Type inconnu",IF($L1004="Crédit","",IFERROR(INDEX('Paramètres'!$O:$O,MATCH($D1004,'Paramètres'!$M:$M,0))&amp;"",""))))</f>
        <v>Dépense Courante</v>
      </c>
      <c r="N1004" s="6" t="str">
        <f>IF($D1004="","",IFERROR(INDEX('Paramètres'!$Q:$Q,MATCH($D1004,'Paramètres'!$M:$M,0))&amp;"",""))</f>
        <v>Alimentation</v>
      </c>
      <c r="O1004" s="6">
        <f>IF($A1004="","",IF(OR($J1004&lt;&gt;"x",$A1004&lt;=FinReleve),1,0))</f>
        <v>1</v>
      </c>
      <c r="P1004" s="6">
        <f>IF($D1004="","",IF(AND($L1004="Crédit",OR(IFERROR(INDEX('Paramètres'!$O:$O,MATCH($D1004,'Paramètres'!$M:$M,0))&amp;"","")&lt;&gt;"",ISNUMBER(SEARCH("remboursement",IFERROR(INDEX('Paramètres'!$N:$N,MATCH($D1004,'Paramètres'!$M:$M,0))&amp;"",""))))),1,0))</f>
        <v>0</v>
      </c>
      <c r="Q1004" s="6">
        <f>IF($K1004="","",IF(ISNUMBER(SEARCH("transfert-interne",IFERROR(INDEX('Paramètres'!$N:$N,MATCH($D1004,'Paramètres'!$M:$M,0))&amp;"",""))),0,IF($L1004="Débit",$K1004,IF($P1004=1,-$K1004,0))))</f>
        <v>12.8</v>
      </c>
      <c r="R1004" s="6">
        <f>IF($K1004="","",IF($L1004="Crédit",$K1004,-$K1004))</f>
        <v>-12.8</v>
      </c>
      <c r="S1004" s="6" t="str">
        <f>IF($C1004="","",IFERROR(INDEX('Paramètres'!$H:$H,MATCH($C1004,'Paramètres'!$D:$D,0))&amp;"",""))</f>
        <v/>
      </c>
      <c r="T1004" s="6">
        <f>IF($K1004="","",IF($S1004="",0,IF(ISNUMBER(SEARCH("apport-exterieur",IFERROR(INDEX('Paramètres'!$N:$N,MATCH($D1004,'Paramètres'!$M:$M,0))&amp;"",""))),0,IF(OR(IFERROR(INDEX('Paramètres'!$I:$I,MATCH($C1004,'Paramètres'!$D:$D,0))&amp;"","")="Les deux",IFERROR(INDEX('Paramètres'!$I:$I,MATCH($C1004,'Paramètres'!$D:$D,0))&amp;"","")=IF($P1004=1,"Débit",$L1004)),-IF($P1004=1,-$K1004,$K1004),0))))</f>
        <v>0</v>
      </c>
      <c r="U1004" s="6">
        <f>IF($K1004="","",IF(ISNUMBER(SEARCH("sortie-epargne",IFERROR(INDEX('Paramètres'!$N:$N,MATCH($D1004,'Paramètres'!$M:$M,0))&amp;"",""))),$K1004,0))</f>
        <v>0</v>
      </c>
      <c r="V1004" s="6">
        <f>IF(AND($A1004&lt;&gt;"",$O1004=1,$L1004="Débit",N($Q1004)&gt;0,$A1004&gt;=Visualisation!$B$1,$A1004&lt;Visualisation!$D$1),MAX($V$1:V1003)+1,"")</f>
        <v>24</v>
      </c>
    </row>
    <row r="1005" spans="1:22" x14ac:dyDescent="0.25">
      <c r="A1005" s="9">
        <v>46252</v>
      </c>
      <c r="B1005" s="4" t="s">
        <v>103</v>
      </c>
      <c r="C1005" s="4" t="s">
        <v>75</v>
      </c>
      <c r="D1005" s="4" t="s">
        <v>103</v>
      </c>
      <c r="E1005" s="10">
        <v>212</v>
      </c>
      <c r="G1005" s="4"/>
      <c r="H1005" s="4"/>
      <c r="I1005" s="4"/>
      <c r="K1005" s="11">
        <f>IF($E1005="","",ROUND($E1005*IF(ISNA(MATCH($C1005,'Paramètres'!$D:$D,0)),1,IF(INDEX('Paramètres'!$J:$J,MATCH($C1005,'Paramètres'!$D:$D,0))="",1,INDEX('Paramètres'!$J:$J,MATCH($C1005,'Paramètres'!$D:$D,0)))),2))</f>
        <v>212</v>
      </c>
      <c r="L1005" s="6" t="str">
        <f>IF($D1005="","",IF($F1005&lt;&gt;"",$F1005,IF(ISNA(MATCH($D1005,'Paramètres'!$M:$M,0)),"⚠ Type inconnu",IFERROR(INDEX('Paramètres'!$P:$P,MATCH($D1005,'Paramètres'!$M:$M,0))&amp;"",""))))</f>
        <v>Débit</v>
      </c>
      <c r="M1005" s="6" t="str">
        <f>IF($D1005="","",IF(ISNA(MATCH($D1005,'Paramètres'!$M:$M,0)),"⚠ Type inconnu",IF($L1005="Crédit","",IFERROR(INDEX('Paramètres'!$O:$O,MATCH($D1005,'Paramètres'!$M:$M,0))&amp;"",""))))</f>
        <v>Dépense Fixe</v>
      </c>
      <c r="N1005" s="6" t="str">
        <f>IF($D1005="","",IFERROR(INDEX('Paramètres'!$Q:$Q,MATCH($D1005,'Paramètres'!$M:$M,0))&amp;"",""))</f>
        <v>Impots</v>
      </c>
      <c r="O1005" s="6">
        <f>IF($A1005="","",IF(OR($J1005&lt;&gt;"x",$A1005&lt;=FinReleve),1,0))</f>
        <v>1</v>
      </c>
      <c r="P1005" s="6">
        <f>IF($D1005="","",IF(AND($L1005="Crédit",OR(IFERROR(INDEX('Paramètres'!$O:$O,MATCH($D1005,'Paramètres'!$M:$M,0))&amp;"","")&lt;&gt;"",ISNUMBER(SEARCH("remboursement",IFERROR(INDEX('Paramètres'!$N:$N,MATCH($D1005,'Paramètres'!$M:$M,0))&amp;"",""))))),1,0))</f>
        <v>0</v>
      </c>
      <c r="Q1005" s="6">
        <f>IF($K1005="","",IF(ISNUMBER(SEARCH("transfert-interne",IFERROR(INDEX('Paramètres'!$N:$N,MATCH($D1005,'Paramètres'!$M:$M,0))&amp;"",""))),0,IF($L1005="Débit",$K1005,IF($P1005=1,-$K1005,0))))</f>
        <v>212</v>
      </c>
      <c r="R1005" s="6">
        <f>IF($K1005="","",IF($L1005="Crédit",$K1005,-$K1005))</f>
        <v>-212</v>
      </c>
      <c r="S1005" s="6" t="str">
        <f>IF($C1005="","",IFERROR(INDEX('Paramètres'!$H:$H,MATCH($C1005,'Paramètres'!$D:$D,0))&amp;"",""))</f>
        <v/>
      </c>
      <c r="T1005" s="6">
        <f>IF($K1005="","",IF($S1005="",0,IF(ISNUMBER(SEARCH("apport-exterieur",IFERROR(INDEX('Paramètres'!$N:$N,MATCH($D1005,'Paramètres'!$M:$M,0))&amp;"",""))),0,IF(OR(IFERROR(INDEX('Paramètres'!$I:$I,MATCH($C1005,'Paramètres'!$D:$D,0))&amp;"","")="Les deux",IFERROR(INDEX('Paramètres'!$I:$I,MATCH($C1005,'Paramètres'!$D:$D,0))&amp;"","")=IF($P1005=1,"Débit",$L1005)),-IF($P1005=1,-$K1005,$K1005),0))))</f>
        <v>0</v>
      </c>
      <c r="U1005" s="6">
        <f>IF($K1005="","",IF(ISNUMBER(SEARCH("sortie-epargne",IFERROR(INDEX('Paramètres'!$N:$N,MATCH($D1005,'Paramètres'!$M:$M,0))&amp;"",""))),$K1005,0))</f>
        <v>0</v>
      </c>
      <c r="V1005" s="6">
        <f>IF(AND($A1005&lt;&gt;"",$O1005=1,$L1005="Débit",N($Q1005)&gt;0,$A1005&gt;=Visualisation!$B$1,$A1005&lt;Visualisation!$D$1),MAX($V$1:V1004)+1,"")</f>
        <v>25</v>
      </c>
    </row>
    <row r="1006" spans="1:22" x14ac:dyDescent="0.25">
      <c r="A1006" s="9">
        <v>46252</v>
      </c>
      <c r="B1006" s="4" t="s">
        <v>69</v>
      </c>
      <c r="C1006" s="4" t="s">
        <v>70</v>
      </c>
      <c r="D1006" s="4" t="s">
        <v>71</v>
      </c>
      <c r="E1006" s="10">
        <v>9.03</v>
      </c>
      <c r="G1006" s="4" t="s">
        <v>72</v>
      </c>
      <c r="H1006" s="4"/>
      <c r="I1006" s="4" t="s">
        <v>79</v>
      </c>
      <c r="K1006" s="11">
        <f>IF($E1006="","",ROUND($E1006*IF(ISNA(MATCH($C1006,'Paramètres'!$D:$D,0)),1,IF(INDEX('Paramètres'!$J:$J,MATCH($C1006,'Paramètres'!$D:$D,0))="",1,INDEX('Paramètres'!$J:$J,MATCH($C1006,'Paramètres'!$D:$D,0)))),2))</f>
        <v>9.03</v>
      </c>
      <c r="L1006" s="6" t="str">
        <f>IF($D1006="","",IF($F1006&lt;&gt;"",$F1006,IF(ISNA(MATCH($D1006,'Paramètres'!$M:$M,0)),"⚠ Type inconnu",IFERROR(INDEX('Paramètres'!$P:$P,MATCH($D1006,'Paramètres'!$M:$M,0))&amp;"",""))))</f>
        <v>Débit</v>
      </c>
      <c r="M1006" s="6" t="str">
        <f>IF($D1006="","",IF(ISNA(MATCH($D1006,'Paramètres'!$M:$M,0)),"⚠ Type inconnu",IF($L1006="Crédit","",IFERROR(INDEX('Paramètres'!$O:$O,MATCH($D1006,'Paramètres'!$M:$M,0))&amp;"",""))))</f>
        <v>Dépense Courante</v>
      </c>
      <c r="N1006" s="6" t="str">
        <f>IF($D1006="","",IFERROR(INDEX('Paramètres'!$Q:$Q,MATCH($D1006,'Paramètres'!$M:$M,0))&amp;"",""))</f>
        <v>Alimentation</v>
      </c>
      <c r="O1006" s="6">
        <f>IF($A1006="","",IF(OR($J1006&lt;&gt;"x",$A1006&lt;=FinReleve),1,0))</f>
        <v>1</v>
      </c>
      <c r="P1006" s="6">
        <f>IF($D1006="","",IF(AND($L1006="Crédit",OR(IFERROR(INDEX('Paramètres'!$O:$O,MATCH($D1006,'Paramètres'!$M:$M,0))&amp;"","")&lt;&gt;"",ISNUMBER(SEARCH("remboursement",IFERROR(INDEX('Paramètres'!$N:$N,MATCH($D1006,'Paramètres'!$M:$M,0))&amp;"",""))))),1,0))</f>
        <v>0</v>
      </c>
      <c r="Q1006" s="6">
        <f>IF($K1006="","",IF(ISNUMBER(SEARCH("transfert-interne",IFERROR(INDEX('Paramètres'!$N:$N,MATCH($D1006,'Paramètres'!$M:$M,0))&amp;"",""))),0,IF($L1006="Débit",$K1006,IF($P1006=1,-$K1006,0))))</f>
        <v>9.03</v>
      </c>
      <c r="R1006" s="6">
        <f>IF($K1006="","",IF($L1006="Crédit",$K1006,-$K1006))</f>
        <v>-9.03</v>
      </c>
      <c r="S1006" s="6" t="str">
        <f>IF($C1006="","",IFERROR(INDEX('Paramètres'!$H:$H,MATCH($C1006,'Paramètres'!$D:$D,0))&amp;"",""))</f>
        <v/>
      </c>
      <c r="T1006" s="6">
        <f>IF($K1006="","",IF($S1006="",0,IF(ISNUMBER(SEARCH("apport-exterieur",IFERROR(INDEX('Paramètres'!$N:$N,MATCH($D1006,'Paramètres'!$M:$M,0))&amp;"",""))),0,IF(OR(IFERROR(INDEX('Paramètres'!$I:$I,MATCH($C1006,'Paramètres'!$D:$D,0))&amp;"","")="Les deux",IFERROR(INDEX('Paramètres'!$I:$I,MATCH($C1006,'Paramètres'!$D:$D,0))&amp;"","")=IF($P1006=1,"Débit",$L1006)),-IF($P1006=1,-$K1006,$K1006),0))))</f>
        <v>0</v>
      </c>
      <c r="U1006" s="6">
        <f>IF($K1006="","",IF(ISNUMBER(SEARCH("sortie-epargne",IFERROR(INDEX('Paramètres'!$N:$N,MATCH($D1006,'Paramètres'!$M:$M,0))&amp;"",""))),$K1006,0))</f>
        <v>0</v>
      </c>
      <c r="V1006" s="6">
        <f>IF(AND($A1006&lt;&gt;"",$O1006=1,$L1006="Débit",N($Q1006)&gt;0,$A1006&gt;=Visualisation!$B$1,$A1006&lt;Visualisation!$D$1),MAX($V$1:V1005)+1,"")</f>
        <v>26</v>
      </c>
    </row>
    <row r="1007" spans="1:22" x14ac:dyDescent="0.25">
      <c r="A1007" s="9">
        <v>46253</v>
      </c>
      <c r="B1007" s="4" t="s">
        <v>76</v>
      </c>
      <c r="C1007" s="4" t="s">
        <v>60</v>
      </c>
      <c r="D1007" s="4" t="s">
        <v>77</v>
      </c>
      <c r="E1007" s="10">
        <v>40.3</v>
      </c>
      <c r="G1007" s="4" t="s">
        <v>78</v>
      </c>
      <c r="H1007" s="4"/>
      <c r="I1007" s="4" t="s">
        <v>93</v>
      </c>
      <c r="K1007" s="11">
        <f>IF($E1007="","",ROUND($E1007*IF(ISNA(MATCH($C1007,'Paramètres'!$D:$D,0)),1,IF(INDEX('Paramètres'!$J:$J,MATCH($C1007,'Paramètres'!$D:$D,0))="",1,INDEX('Paramètres'!$J:$J,MATCH($C1007,'Paramètres'!$D:$D,0)))),2))</f>
        <v>20.15</v>
      </c>
      <c r="L1007" s="6" t="str">
        <f>IF($D1007="","",IF($F1007&lt;&gt;"",$F1007,IF(ISNA(MATCH($D1007,'Paramètres'!$M:$M,0)),"⚠ Type inconnu",IFERROR(INDEX('Paramètres'!$P:$P,MATCH($D1007,'Paramètres'!$M:$M,0))&amp;"",""))))</f>
        <v>Débit</v>
      </c>
      <c r="M1007" s="6" t="str">
        <f>IF($D1007="","",IF(ISNA(MATCH($D1007,'Paramètres'!$M:$M,0)),"⚠ Type inconnu",IF($L1007="Crédit","",IFERROR(INDEX('Paramètres'!$O:$O,MATCH($D1007,'Paramètres'!$M:$M,0))&amp;"",""))))</f>
        <v>Dépense Courante</v>
      </c>
      <c r="N1007" s="6" t="str">
        <f>IF($D1007="","",IFERROR(INDEX('Paramètres'!$Q:$Q,MATCH($D1007,'Paramètres'!$M:$M,0))&amp;"",""))</f>
        <v>Alimentation</v>
      </c>
      <c r="O1007" s="6">
        <f>IF($A1007="","",IF(OR($J1007&lt;&gt;"x",$A1007&lt;=FinReleve),1,0))</f>
        <v>1</v>
      </c>
      <c r="P1007" s="6">
        <f>IF($D1007="","",IF(AND($L1007="Crédit",OR(IFERROR(INDEX('Paramètres'!$O:$O,MATCH($D1007,'Paramètres'!$M:$M,0))&amp;"","")&lt;&gt;"",ISNUMBER(SEARCH("remboursement",IFERROR(INDEX('Paramètres'!$N:$N,MATCH($D1007,'Paramètres'!$M:$M,0))&amp;"",""))))),1,0))</f>
        <v>0</v>
      </c>
      <c r="Q1007" s="6">
        <f>IF($K1007="","",IF(ISNUMBER(SEARCH("transfert-interne",IFERROR(INDEX('Paramètres'!$N:$N,MATCH($D1007,'Paramètres'!$M:$M,0))&amp;"",""))),0,IF($L1007="Débit",$K1007,IF($P1007=1,-$K1007,0))))</f>
        <v>20.15</v>
      </c>
      <c r="R1007" s="6">
        <f>IF($K1007="","",IF($L1007="Crédit",$K1007,-$K1007))</f>
        <v>-20.15</v>
      </c>
      <c r="S1007" s="6" t="str">
        <f>IF($C1007="","",IFERROR(INDEX('Paramètres'!$H:$H,MATCH($C1007,'Paramètres'!$D:$D,0))&amp;"",""))</f>
        <v>Banque A - Courant</v>
      </c>
      <c r="T1007" s="6">
        <f>IF($K1007="","",IF($S1007="",0,IF(ISNUMBER(SEARCH("apport-exterieur",IFERROR(INDEX('Paramètres'!$N:$N,MATCH($D1007,'Paramètres'!$M:$M,0))&amp;"",""))),0,IF(OR(IFERROR(INDEX('Paramètres'!$I:$I,MATCH($C1007,'Paramètres'!$D:$D,0))&amp;"","")="Les deux",IFERROR(INDEX('Paramètres'!$I:$I,MATCH($C1007,'Paramètres'!$D:$D,0))&amp;"","")=IF($P1007=1,"Débit",$L1007)),-IF($P1007=1,-$K1007,$K1007),0))))</f>
        <v>-20.15</v>
      </c>
      <c r="U1007" s="6">
        <f>IF($K1007="","",IF(ISNUMBER(SEARCH("sortie-epargne",IFERROR(INDEX('Paramètres'!$N:$N,MATCH($D1007,'Paramètres'!$M:$M,0))&amp;"",""))),$K1007,0))</f>
        <v>0</v>
      </c>
      <c r="V1007" s="6">
        <f>IF(AND($A1007&lt;&gt;"",$O1007=1,$L1007="Débit",N($Q1007)&gt;0,$A1007&gt;=Visualisation!$B$1,$A1007&lt;Visualisation!$D$1),MAX($V$1:V1006)+1,"")</f>
        <v>27</v>
      </c>
    </row>
    <row r="1008" spans="1:22" x14ac:dyDescent="0.25">
      <c r="A1008" s="9">
        <v>46253</v>
      </c>
      <c r="B1008" s="4" t="s">
        <v>90</v>
      </c>
      <c r="C1008" s="4" t="s">
        <v>75</v>
      </c>
      <c r="D1008" s="4" t="s">
        <v>91</v>
      </c>
      <c r="E1008" s="10">
        <v>63.57</v>
      </c>
      <c r="G1008" s="4" t="s">
        <v>136</v>
      </c>
      <c r="H1008" s="4"/>
      <c r="I1008" s="4" t="s">
        <v>73</v>
      </c>
      <c r="K1008" s="11">
        <f>IF($E1008="","",ROUND($E1008*IF(ISNA(MATCH($C1008,'Paramètres'!$D:$D,0)),1,IF(INDEX('Paramètres'!$J:$J,MATCH($C1008,'Paramètres'!$D:$D,0))="",1,INDEX('Paramètres'!$J:$J,MATCH($C1008,'Paramètres'!$D:$D,0)))),2))</f>
        <v>63.57</v>
      </c>
      <c r="L1008" s="6" t="str">
        <f>IF($D1008="","",IF($F1008&lt;&gt;"",$F1008,IF(ISNA(MATCH($D1008,'Paramètres'!$M:$M,0)),"⚠ Type inconnu",IFERROR(INDEX('Paramètres'!$P:$P,MATCH($D1008,'Paramètres'!$M:$M,0))&amp;"",""))))</f>
        <v>Débit</v>
      </c>
      <c r="M1008" s="6" t="str">
        <f>IF($D1008="","",IF(ISNA(MATCH($D1008,'Paramètres'!$M:$M,0)),"⚠ Type inconnu",IF($L1008="Crédit","",IFERROR(INDEX('Paramètres'!$O:$O,MATCH($D1008,'Paramètres'!$M:$M,0))&amp;"",""))))</f>
        <v>Dépense Courante</v>
      </c>
      <c r="N1008" s="6" t="str">
        <f>IF($D1008="","",IFERROR(INDEX('Paramètres'!$Q:$Q,MATCH($D1008,'Paramètres'!$M:$M,0))&amp;"",""))</f>
        <v>Transport</v>
      </c>
      <c r="O1008" s="6">
        <f>IF($A1008="","",IF(OR($J1008&lt;&gt;"x",$A1008&lt;=FinReleve),1,0))</f>
        <v>1</v>
      </c>
      <c r="P1008" s="6">
        <f>IF($D1008="","",IF(AND($L1008="Crédit",OR(IFERROR(INDEX('Paramètres'!$O:$O,MATCH($D1008,'Paramètres'!$M:$M,0))&amp;"","")&lt;&gt;"",ISNUMBER(SEARCH("remboursement",IFERROR(INDEX('Paramètres'!$N:$N,MATCH($D1008,'Paramètres'!$M:$M,0))&amp;"",""))))),1,0))</f>
        <v>0</v>
      </c>
      <c r="Q1008" s="6">
        <f>IF($K1008="","",IF(ISNUMBER(SEARCH("transfert-interne",IFERROR(INDEX('Paramètres'!$N:$N,MATCH($D1008,'Paramètres'!$M:$M,0))&amp;"",""))),0,IF($L1008="Débit",$K1008,IF($P1008=1,-$K1008,0))))</f>
        <v>63.57</v>
      </c>
      <c r="R1008" s="6">
        <f>IF($K1008="","",IF($L1008="Crédit",$K1008,-$K1008))</f>
        <v>-63.57</v>
      </c>
      <c r="S1008" s="6" t="str">
        <f>IF($C1008="","",IFERROR(INDEX('Paramètres'!$H:$H,MATCH($C1008,'Paramètres'!$D:$D,0))&amp;"",""))</f>
        <v/>
      </c>
      <c r="T1008" s="6">
        <f>IF($K1008="","",IF($S1008="",0,IF(ISNUMBER(SEARCH("apport-exterieur",IFERROR(INDEX('Paramètres'!$N:$N,MATCH($D1008,'Paramètres'!$M:$M,0))&amp;"",""))),0,IF(OR(IFERROR(INDEX('Paramètres'!$I:$I,MATCH($C1008,'Paramètres'!$D:$D,0))&amp;"","")="Les deux",IFERROR(INDEX('Paramètres'!$I:$I,MATCH($C1008,'Paramètres'!$D:$D,0))&amp;"","")=IF($P1008=1,"Débit",$L1008)),-IF($P1008=1,-$K1008,$K1008),0))))</f>
        <v>0</v>
      </c>
      <c r="U1008" s="6">
        <f>IF($K1008="","",IF(ISNUMBER(SEARCH("sortie-epargne",IFERROR(INDEX('Paramètres'!$N:$N,MATCH($D1008,'Paramètres'!$M:$M,0))&amp;"",""))),$K1008,0))</f>
        <v>0</v>
      </c>
      <c r="V1008" s="6">
        <f>IF(AND($A1008&lt;&gt;"",$O1008=1,$L1008="Débit",N($Q1008)&gt;0,$A1008&gt;=Visualisation!$B$1,$A1008&lt;Visualisation!$D$1),MAX($V$1:V1007)+1,"")</f>
        <v>28</v>
      </c>
    </row>
    <row r="1009" spans="1:22" x14ac:dyDescent="0.25">
      <c r="A1009" s="9">
        <v>46257</v>
      </c>
      <c r="B1009" s="4" t="s">
        <v>69</v>
      </c>
      <c r="C1009" s="4" t="s">
        <v>70</v>
      </c>
      <c r="D1009" s="4" t="s">
        <v>71</v>
      </c>
      <c r="E1009" s="10">
        <v>9.9</v>
      </c>
      <c r="G1009" s="4" t="s">
        <v>72</v>
      </c>
      <c r="H1009" s="4"/>
      <c r="I1009" s="4" t="s">
        <v>93</v>
      </c>
      <c r="K1009" s="11">
        <f>IF($E1009="","",ROUND($E1009*IF(ISNA(MATCH($C1009,'Paramètres'!$D:$D,0)),1,IF(INDEX('Paramètres'!$J:$J,MATCH($C1009,'Paramètres'!$D:$D,0))="",1,INDEX('Paramètres'!$J:$J,MATCH($C1009,'Paramètres'!$D:$D,0)))),2))</f>
        <v>9.9</v>
      </c>
      <c r="L1009" s="6" t="str">
        <f>IF($D1009="","",IF($F1009&lt;&gt;"",$F1009,IF(ISNA(MATCH($D1009,'Paramètres'!$M:$M,0)),"⚠ Type inconnu",IFERROR(INDEX('Paramètres'!$P:$P,MATCH($D1009,'Paramètres'!$M:$M,0))&amp;"",""))))</f>
        <v>Débit</v>
      </c>
      <c r="M1009" s="6" t="str">
        <f>IF($D1009="","",IF(ISNA(MATCH($D1009,'Paramètres'!$M:$M,0)),"⚠ Type inconnu",IF($L1009="Crédit","",IFERROR(INDEX('Paramètres'!$O:$O,MATCH($D1009,'Paramètres'!$M:$M,0))&amp;"",""))))</f>
        <v>Dépense Courante</v>
      </c>
      <c r="N1009" s="6" t="str">
        <f>IF($D1009="","",IFERROR(INDEX('Paramètres'!$Q:$Q,MATCH($D1009,'Paramètres'!$M:$M,0))&amp;"",""))</f>
        <v>Alimentation</v>
      </c>
      <c r="O1009" s="6">
        <f>IF($A1009="","",IF(OR($J1009&lt;&gt;"x",$A1009&lt;=FinReleve),1,0))</f>
        <v>1</v>
      </c>
      <c r="P1009" s="6">
        <f>IF($D1009="","",IF(AND($L1009="Crédit",OR(IFERROR(INDEX('Paramètres'!$O:$O,MATCH($D1009,'Paramètres'!$M:$M,0))&amp;"","")&lt;&gt;"",ISNUMBER(SEARCH("remboursement",IFERROR(INDEX('Paramètres'!$N:$N,MATCH($D1009,'Paramètres'!$M:$M,0))&amp;"",""))))),1,0))</f>
        <v>0</v>
      </c>
      <c r="Q1009" s="6">
        <f>IF($K1009="","",IF(ISNUMBER(SEARCH("transfert-interne",IFERROR(INDEX('Paramètres'!$N:$N,MATCH($D1009,'Paramètres'!$M:$M,0))&amp;"",""))),0,IF($L1009="Débit",$K1009,IF($P1009=1,-$K1009,0))))</f>
        <v>9.9</v>
      </c>
      <c r="R1009" s="6">
        <f>IF($K1009="","",IF($L1009="Crédit",$K1009,-$K1009))</f>
        <v>-9.9</v>
      </c>
      <c r="S1009" s="6" t="str">
        <f>IF($C1009="","",IFERROR(INDEX('Paramètres'!$H:$H,MATCH($C1009,'Paramètres'!$D:$D,0))&amp;"",""))</f>
        <v/>
      </c>
      <c r="T1009" s="6">
        <f>IF($K1009="","",IF($S1009="",0,IF(ISNUMBER(SEARCH("apport-exterieur",IFERROR(INDEX('Paramètres'!$N:$N,MATCH($D1009,'Paramètres'!$M:$M,0))&amp;"",""))),0,IF(OR(IFERROR(INDEX('Paramètres'!$I:$I,MATCH($C1009,'Paramètres'!$D:$D,0))&amp;"","")="Les deux",IFERROR(INDEX('Paramètres'!$I:$I,MATCH($C1009,'Paramètres'!$D:$D,0))&amp;"","")=IF($P1009=1,"Débit",$L1009)),-IF($P1009=1,-$K1009,$K1009),0))))</f>
        <v>0</v>
      </c>
      <c r="U1009" s="6">
        <f>IF($K1009="","",IF(ISNUMBER(SEARCH("sortie-epargne",IFERROR(INDEX('Paramètres'!$N:$N,MATCH($D1009,'Paramètres'!$M:$M,0))&amp;"",""))),$K1009,0))</f>
        <v>0</v>
      </c>
      <c r="V1009" s="6">
        <f>IF(AND($A1009&lt;&gt;"",$O1009=1,$L1009="Débit",N($Q1009)&gt;0,$A1009&gt;=Visualisation!$B$1,$A1009&lt;Visualisation!$D$1),MAX($V$1:V1008)+1,"")</f>
        <v>29</v>
      </c>
    </row>
    <row r="1010" spans="1:22" x14ac:dyDescent="0.25">
      <c r="A1010" s="9">
        <v>46258</v>
      </c>
      <c r="B1010" s="4" t="s">
        <v>121</v>
      </c>
      <c r="C1010" s="4" t="s">
        <v>126</v>
      </c>
      <c r="D1010" s="4" t="s">
        <v>121</v>
      </c>
      <c r="E1010" s="10">
        <v>50.5</v>
      </c>
      <c r="G1010" s="4" t="s">
        <v>127</v>
      </c>
      <c r="H1010" s="4"/>
      <c r="I1010" s="4" t="s">
        <v>79</v>
      </c>
      <c r="K1010" s="11">
        <f>IF($E1010="","",ROUND($E1010*IF(ISNA(MATCH($C1010,'Paramètres'!$D:$D,0)),1,IF(INDEX('Paramètres'!$J:$J,MATCH($C1010,'Paramètres'!$D:$D,0))="",1,INDEX('Paramètres'!$J:$J,MATCH($C1010,'Paramètres'!$D:$D,0)))),2))</f>
        <v>25.25</v>
      </c>
      <c r="L1010" s="6" t="str">
        <f>IF($D1010="","",IF($F1010&lt;&gt;"",$F1010,IF(ISNA(MATCH($D1010,'Paramètres'!$M:$M,0)),"⚠ Type inconnu",IFERROR(INDEX('Paramètres'!$P:$P,MATCH($D1010,'Paramètres'!$M:$M,0))&amp;"",""))))</f>
        <v>Débit</v>
      </c>
      <c r="M1010" s="6" t="str">
        <f>IF($D1010="","",IF(ISNA(MATCH($D1010,'Paramètres'!$M:$M,0)),"⚠ Type inconnu",IF($L1010="Crédit","",IFERROR(INDEX('Paramètres'!$O:$O,MATCH($D1010,'Paramètres'!$M:$M,0))&amp;"",""))))</f>
        <v>Dépense Occasionnelle</v>
      </c>
      <c r="N1010" s="6" t="str">
        <f>IF($D1010="","",IFERROR(INDEX('Paramètres'!$Q:$Q,MATCH($D1010,'Paramètres'!$M:$M,0))&amp;"",""))</f>
        <v>Autre</v>
      </c>
      <c r="O1010" s="6">
        <f>IF($A1010="","",IF(OR($J1010&lt;&gt;"x",$A1010&lt;=FinReleve),1,0))</f>
        <v>1</v>
      </c>
      <c r="P1010" s="6">
        <f>IF($D1010="","",IF(AND($L1010="Crédit",OR(IFERROR(INDEX('Paramètres'!$O:$O,MATCH($D1010,'Paramètres'!$M:$M,0))&amp;"","")&lt;&gt;"",ISNUMBER(SEARCH("remboursement",IFERROR(INDEX('Paramètres'!$N:$N,MATCH($D1010,'Paramètres'!$M:$M,0))&amp;"",""))))),1,0))</f>
        <v>0</v>
      </c>
      <c r="Q1010" s="6">
        <f>IF($K1010="","",IF(ISNUMBER(SEARCH("transfert-interne",IFERROR(INDEX('Paramètres'!$N:$N,MATCH($D1010,'Paramètres'!$M:$M,0))&amp;"",""))),0,IF($L1010="Débit",$K1010,IF($P1010=1,-$K1010,0))))</f>
        <v>25.25</v>
      </c>
      <c r="R1010" s="6">
        <f>IF($K1010="","",IF($L1010="Crédit",$K1010,-$K1010))</f>
        <v>-25.25</v>
      </c>
      <c r="S1010" s="6" t="str">
        <f>IF($C1010="","",IFERROR(INDEX('Paramètres'!$H:$H,MATCH($C1010,'Paramètres'!$D:$D,0))&amp;"",""))</f>
        <v>Banque A - Courant</v>
      </c>
      <c r="T1010" s="6">
        <f>IF($K1010="","",IF($S1010="",0,IF(ISNUMBER(SEARCH("apport-exterieur",IFERROR(INDEX('Paramètres'!$N:$N,MATCH($D1010,'Paramètres'!$M:$M,0))&amp;"",""))),0,IF(OR(IFERROR(INDEX('Paramètres'!$I:$I,MATCH($C1010,'Paramètres'!$D:$D,0))&amp;"","")="Les deux",IFERROR(INDEX('Paramètres'!$I:$I,MATCH($C1010,'Paramètres'!$D:$D,0))&amp;"","")=IF($P1010=1,"Débit",$L1010)),-IF($P1010=1,-$K1010,$K1010),0))))</f>
        <v>-25.25</v>
      </c>
      <c r="U1010" s="6">
        <f>IF($K1010="","",IF(ISNUMBER(SEARCH("sortie-epargne",IFERROR(INDEX('Paramètres'!$N:$N,MATCH($D1010,'Paramètres'!$M:$M,0))&amp;"",""))),$K1010,0))</f>
        <v>0</v>
      </c>
      <c r="V1010" s="6">
        <f>IF(AND($A1010&lt;&gt;"",$O1010=1,$L1010="Débit",N($Q1010)&gt;0,$A1010&gt;=Visualisation!$B$1,$A1010&lt;Visualisation!$D$1),MAX($V$1:V1009)+1,"")</f>
        <v>30</v>
      </c>
    </row>
    <row r="1011" spans="1:22" x14ac:dyDescent="0.25">
      <c r="A1011" s="9">
        <v>46260</v>
      </c>
      <c r="B1011" s="4" t="s">
        <v>76</v>
      </c>
      <c r="C1011" s="4" t="s">
        <v>60</v>
      </c>
      <c r="D1011" s="4" t="s">
        <v>77</v>
      </c>
      <c r="E1011" s="10">
        <v>157.08</v>
      </c>
      <c r="G1011" s="4" t="s">
        <v>102</v>
      </c>
      <c r="H1011" s="4"/>
      <c r="I1011" s="4" t="s">
        <v>79</v>
      </c>
      <c r="K1011" s="11">
        <f>IF($E1011="","",ROUND($E1011*IF(ISNA(MATCH($C1011,'Paramètres'!$D:$D,0)),1,IF(INDEX('Paramètres'!$J:$J,MATCH($C1011,'Paramètres'!$D:$D,0))="",1,INDEX('Paramètres'!$J:$J,MATCH($C1011,'Paramètres'!$D:$D,0)))),2))</f>
        <v>78.54</v>
      </c>
      <c r="L1011" s="6" t="str">
        <f>IF($D1011="","",IF($F1011&lt;&gt;"",$F1011,IF(ISNA(MATCH($D1011,'Paramètres'!$M:$M,0)),"⚠ Type inconnu",IFERROR(INDEX('Paramètres'!$P:$P,MATCH($D1011,'Paramètres'!$M:$M,0))&amp;"",""))))</f>
        <v>Débit</v>
      </c>
      <c r="M1011" s="6" t="str">
        <f>IF($D1011="","",IF(ISNA(MATCH($D1011,'Paramètres'!$M:$M,0)),"⚠ Type inconnu",IF($L1011="Crédit","",IFERROR(INDEX('Paramètres'!$O:$O,MATCH($D1011,'Paramètres'!$M:$M,0))&amp;"",""))))</f>
        <v>Dépense Courante</v>
      </c>
      <c r="N1011" s="6" t="str">
        <f>IF($D1011="","",IFERROR(INDEX('Paramètres'!$Q:$Q,MATCH($D1011,'Paramètres'!$M:$M,0))&amp;"",""))</f>
        <v>Alimentation</v>
      </c>
      <c r="O1011" s="6">
        <f>IF($A1011="","",IF(OR($J1011&lt;&gt;"x",$A1011&lt;=FinReleve),1,0))</f>
        <v>1</v>
      </c>
      <c r="P1011" s="6">
        <f>IF($D1011="","",IF(AND($L1011="Crédit",OR(IFERROR(INDEX('Paramètres'!$O:$O,MATCH($D1011,'Paramètres'!$M:$M,0))&amp;"","")&lt;&gt;"",ISNUMBER(SEARCH("remboursement",IFERROR(INDEX('Paramètres'!$N:$N,MATCH($D1011,'Paramètres'!$M:$M,0))&amp;"",""))))),1,0))</f>
        <v>0</v>
      </c>
      <c r="Q1011" s="6">
        <f>IF($K1011="","",IF(ISNUMBER(SEARCH("transfert-interne",IFERROR(INDEX('Paramètres'!$N:$N,MATCH($D1011,'Paramètres'!$M:$M,0))&amp;"",""))),0,IF($L1011="Débit",$K1011,IF($P1011=1,-$K1011,0))))</f>
        <v>78.54</v>
      </c>
      <c r="R1011" s="6">
        <f>IF($K1011="","",IF($L1011="Crédit",$K1011,-$K1011))</f>
        <v>-78.54</v>
      </c>
      <c r="S1011" s="6" t="str">
        <f>IF($C1011="","",IFERROR(INDEX('Paramètres'!$H:$H,MATCH($C1011,'Paramètres'!$D:$D,0))&amp;"",""))</f>
        <v>Banque A - Courant</v>
      </c>
      <c r="T1011" s="6">
        <f>IF($K1011="","",IF($S1011="",0,IF(ISNUMBER(SEARCH("apport-exterieur",IFERROR(INDEX('Paramètres'!$N:$N,MATCH($D1011,'Paramètres'!$M:$M,0))&amp;"",""))),0,IF(OR(IFERROR(INDEX('Paramètres'!$I:$I,MATCH($C1011,'Paramètres'!$D:$D,0))&amp;"","")="Les deux",IFERROR(INDEX('Paramètres'!$I:$I,MATCH($C1011,'Paramètres'!$D:$D,0))&amp;"","")=IF($P1011=1,"Débit",$L1011)),-IF($P1011=1,-$K1011,$K1011),0))))</f>
        <v>-78.54</v>
      </c>
      <c r="U1011" s="6">
        <f>IF($K1011="","",IF(ISNUMBER(SEARCH("sortie-epargne",IFERROR(INDEX('Paramètres'!$N:$N,MATCH($D1011,'Paramètres'!$M:$M,0))&amp;"",""))),$K1011,0))</f>
        <v>0</v>
      </c>
      <c r="V1011" s="6">
        <f>IF(AND($A1011&lt;&gt;"",$O1011=1,$L1011="Débit",N($Q1011)&gt;0,$A1011&gt;=Visualisation!$B$1,$A1011&lt;Visualisation!$D$1),MAX($V$1:V1010)+1,"")</f>
        <v>31</v>
      </c>
    </row>
    <row r="1012" spans="1:22" x14ac:dyDescent="0.25">
      <c r="A1012" s="9">
        <v>46260</v>
      </c>
      <c r="B1012" s="4" t="s">
        <v>105</v>
      </c>
      <c r="C1012" s="4" t="s">
        <v>75</v>
      </c>
      <c r="D1012" s="4" t="s">
        <v>110</v>
      </c>
      <c r="E1012" s="10">
        <v>150</v>
      </c>
      <c r="G1012" s="4"/>
      <c r="H1012" s="4"/>
      <c r="I1012" s="4"/>
      <c r="K1012" s="11">
        <f>IF($E1012="","",ROUND($E1012*IF(ISNA(MATCH($C1012,'Paramètres'!$D:$D,0)),1,IF(INDEX('Paramètres'!$J:$J,MATCH($C1012,'Paramètres'!$D:$D,0))="",1,INDEX('Paramètres'!$J:$J,MATCH($C1012,'Paramètres'!$D:$D,0)))),2))</f>
        <v>150</v>
      </c>
      <c r="L1012" s="6" t="str">
        <f>IF($D1012="","",IF($F1012&lt;&gt;"",$F1012,IF(ISNA(MATCH($D1012,'Paramètres'!$M:$M,0)),"⚠ Type inconnu",IFERROR(INDEX('Paramètres'!$P:$P,MATCH($D1012,'Paramètres'!$M:$M,0))&amp;"",""))))</f>
        <v>Débit</v>
      </c>
      <c r="M1012" s="6" t="str">
        <f>IF($D1012="","",IF(ISNA(MATCH($D1012,'Paramètres'!$M:$M,0)),"⚠ Type inconnu",IF($L1012="Crédit","",IFERROR(INDEX('Paramètres'!$O:$O,MATCH($D1012,'Paramètres'!$M:$M,0))&amp;"",""))))</f>
        <v/>
      </c>
      <c r="N1012" s="6" t="str">
        <f>IF($D1012="","",IFERROR(INDEX('Paramètres'!$Q:$Q,MATCH($D1012,'Paramètres'!$M:$M,0))&amp;"",""))</f>
        <v>Comptes Bancaires</v>
      </c>
      <c r="O1012" s="6">
        <f>IF($A1012="","",IF(OR($J1012&lt;&gt;"x",$A1012&lt;=FinReleve),1,0))</f>
        <v>1</v>
      </c>
      <c r="P1012" s="6">
        <f>IF($D1012="","",IF(AND($L1012="Crédit",OR(IFERROR(INDEX('Paramètres'!$O:$O,MATCH($D1012,'Paramètres'!$M:$M,0))&amp;"","")&lt;&gt;"",ISNUMBER(SEARCH("remboursement",IFERROR(INDEX('Paramètres'!$N:$N,MATCH($D1012,'Paramètres'!$M:$M,0))&amp;"",""))))),1,0))</f>
        <v>0</v>
      </c>
      <c r="Q1012" s="6">
        <f>IF($K1012="","",IF(ISNUMBER(SEARCH("transfert-interne",IFERROR(INDEX('Paramètres'!$N:$N,MATCH($D1012,'Paramètres'!$M:$M,0))&amp;"",""))),0,IF($L1012="Débit",$K1012,IF($P1012=1,-$K1012,0))))</f>
        <v>0</v>
      </c>
      <c r="R1012" s="6">
        <f>IF($K1012="","",IF($L1012="Crédit",$K1012,-$K1012))</f>
        <v>-150</v>
      </c>
      <c r="S1012" s="6" t="str">
        <f>IF($C1012="","",IFERROR(INDEX('Paramètres'!$H:$H,MATCH($C1012,'Paramètres'!$D:$D,0))&amp;"",""))</f>
        <v/>
      </c>
      <c r="T1012" s="6">
        <f>IF($K1012="","",IF($S1012="",0,IF(ISNUMBER(SEARCH("apport-exterieur",IFERROR(INDEX('Paramètres'!$N:$N,MATCH($D1012,'Paramètres'!$M:$M,0))&amp;"",""))),0,IF(OR(IFERROR(INDEX('Paramètres'!$I:$I,MATCH($C1012,'Paramètres'!$D:$D,0))&amp;"","")="Les deux",IFERROR(INDEX('Paramètres'!$I:$I,MATCH($C1012,'Paramètres'!$D:$D,0))&amp;"","")=IF($P1012=1,"Débit",$L1012)),-IF($P1012=1,-$K1012,$K1012),0))))</f>
        <v>0</v>
      </c>
      <c r="U1012" s="6">
        <f>IF($K1012="","",IF(ISNUMBER(SEARCH("sortie-epargne",IFERROR(INDEX('Paramètres'!$N:$N,MATCH($D1012,'Paramètres'!$M:$M,0))&amp;"",""))),$K1012,0))</f>
        <v>0</v>
      </c>
      <c r="V1012" s="6" t="str">
        <f>IF(AND($A1012&lt;&gt;"",$O1012=1,$L1012="Débit",N($Q1012)&gt;0,$A1012&gt;=Visualisation!$B$1,$A1012&lt;Visualisation!$D$1),MAX($V$1:V1011)+1,"")</f>
        <v/>
      </c>
    </row>
    <row r="1013" spans="1:22" x14ac:dyDescent="0.25">
      <c r="A1013" s="9">
        <v>46260</v>
      </c>
      <c r="B1013" s="4" t="s">
        <v>105</v>
      </c>
      <c r="C1013" s="4" t="s">
        <v>75</v>
      </c>
      <c r="D1013" s="4" t="s">
        <v>111</v>
      </c>
      <c r="E1013" s="10">
        <v>200</v>
      </c>
      <c r="G1013" s="4"/>
      <c r="H1013" s="4"/>
      <c r="I1013" s="4"/>
      <c r="K1013" s="11">
        <f>IF($E1013="","",ROUND($E1013*IF(ISNA(MATCH($C1013,'Paramètres'!$D:$D,0)),1,IF(INDEX('Paramètres'!$J:$J,MATCH($C1013,'Paramètres'!$D:$D,0))="",1,INDEX('Paramètres'!$J:$J,MATCH($C1013,'Paramètres'!$D:$D,0)))),2))</f>
        <v>200</v>
      </c>
      <c r="L1013" s="6" t="str">
        <f>IF($D1013="","",IF($F1013&lt;&gt;"",$F1013,IF(ISNA(MATCH($D1013,'Paramètres'!$M:$M,0)),"⚠ Type inconnu",IFERROR(INDEX('Paramètres'!$P:$P,MATCH($D1013,'Paramètres'!$M:$M,0))&amp;"",""))))</f>
        <v>Débit</v>
      </c>
      <c r="M1013" s="6" t="str">
        <f>IF($D1013="","",IF(ISNA(MATCH($D1013,'Paramètres'!$M:$M,0)),"⚠ Type inconnu",IF($L1013="Crédit","",IFERROR(INDEX('Paramètres'!$O:$O,MATCH($D1013,'Paramètres'!$M:$M,0))&amp;"",""))))</f>
        <v/>
      </c>
      <c r="N1013" s="6" t="str">
        <f>IF($D1013="","",IFERROR(INDEX('Paramètres'!$Q:$Q,MATCH($D1013,'Paramètres'!$M:$M,0))&amp;"",""))</f>
        <v>Comptes Bancaires</v>
      </c>
      <c r="O1013" s="6">
        <f>IF($A1013="","",IF(OR($J1013&lt;&gt;"x",$A1013&lt;=FinReleve),1,0))</f>
        <v>1</v>
      </c>
      <c r="P1013" s="6">
        <f>IF($D1013="","",IF(AND($L1013="Crédit",OR(IFERROR(INDEX('Paramètres'!$O:$O,MATCH($D1013,'Paramètres'!$M:$M,0))&amp;"","")&lt;&gt;"",ISNUMBER(SEARCH("remboursement",IFERROR(INDEX('Paramètres'!$N:$N,MATCH($D1013,'Paramètres'!$M:$M,0))&amp;"",""))))),1,0))</f>
        <v>0</v>
      </c>
      <c r="Q1013" s="6">
        <f>IF($K1013="","",IF(ISNUMBER(SEARCH("transfert-interne",IFERROR(INDEX('Paramètres'!$N:$N,MATCH($D1013,'Paramètres'!$M:$M,0))&amp;"",""))),0,IF($L1013="Débit",$K1013,IF($P1013=1,-$K1013,0))))</f>
        <v>200</v>
      </c>
      <c r="R1013" s="6">
        <f>IF($K1013="","",IF($L1013="Crédit",$K1013,-$K1013))</f>
        <v>-200</v>
      </c>
      <c r="S1013" s="6" t="str">
        <f>IF($C1013="","",IFERROR(INDEX('Paramètres'!$H:$H,MATCH($C1013,'Paramètres'!$D:$D,0))&amp;"",""))</f>
        <v/>
      </c>
      <c r="T1013" s="6">
        <f>IF($K1013="","",IF($S1013="",0,IF(ISNUMBER(SEARCH("apport-exterieur",IFERROR(INDEX('Paramètres'!$N:$N,MATCH($D1013,'Paramètres'!$M:$M,0))&amp;"",""))),0,IF(OR(IFERROR(INDEX('Paramètres'!$I:$I,MATCH($C1013,'Paramètres'!$D:$D,0))&amp;"","")="Les deux",IFERROR(INDEX('Paramètres'!$I:$I,MATCH($C1013,'Paramètres'!$D:$D,0))&amp;"","")=IF($P1013=1,"Débit",$L1013)),-IF($P1013=1,-$K1013,$K1013),0))))</f>
        <v>0</v>
      </c>
      <c r="U1013" s="6">
        <f>IF($K1013="","",IF(ISNUMBER(SEARCH("sortie-epargne",IFERROR(INDEX('Paramètres'!$N:$N,MATCH($D1013,'Paramètres'!$M:$M,0))&amp;"",""))),$K1013,0))</f>
        <v>0</v>
      </c>
      <c r="V1013" s="6">
        <f>IF(AND($A1013&lt;&gt;"",$O1013=1,$L1013="Débit",N($Q1013)&gt;0,$A1013&gt;=Visualisation!$B$1,$A1013&lt;Visualisation!$D$1),MAX($V$1:V1012)+1,"")</f>
        <v>32</v>
      </c>
    </row>
    <row r="1014" spans="1:22" x14ac:dyDescent="0.25">
      <c r="A1014" s="9">
        <v>46260</v>
      </c>
      <c r="B1014" s="4" t="s">
        <v>112</v>
      </c>
      <c r="C1014" s="4" t="s">
        <v>75</v>
      </c>
      <c r="D1014" s="4" t="s">
        <v>113</v>
      </c>
      <c r="E1014" s="10">
        <v>120</v>
      </c>
      <c r="G1014" s="4"/>
      <c r="H1014" s="4"/>
      <c r="I1014" s="4"/>
      <c r="K1014" s="11">
        <f>IF($E1014="","",ROUND($E1014*IF(ISNA(MATCH($C1014,'Paramètres'!$D:$D,0)),1,IF(INDEX('Paramètres'!$J:$J,MATCH($C1014,'Paramètres'!$D:$D,0))="",1,INDEX('Paramètres'!$J:$J,MATCH($C1014,'Paramètres'!$D:$D,0)))),2))</f>
        <v>120</v>
      </c>
      <c r="L1014" s="6" t="str">
        <f>IF($D1014="","",IF($F1014&lt;&gt;"",$F1014,IF(ISNA(MATCH($D1014,'Paramètres'!$M:$M,0)),"⚠ Type inconnu",IFERROR(INDEX('Paramètres'!$P:$P,MATCH($D1014,'Paramètres'!$M:$M,0))&amp;"",""))))</f>
        <v>Débit</v>
      </c>
      <c r="M1014" s="6" t="str">
        <f>IF($D1014="","",IF(ISNA(MATCH($D1014,'Paramètres'!$M:$M,0)),"⚠ Type inconnu",IF($L1014="Crédit","",IFERROR(INDEX('Paramètres'!$O:$O,MATCH($D1014,'Paramètres'!$M:$M,0))&amp;"",""))))</f>
        <v/>
      </c>
      <c r="N1014" s="6" t="str">
        <f>IF($D1014="","",IFERROR(INDEX('Paramètres'!$Q:$Q,MATCH($D1014,'Paramètres'!$M:$M,0))&amp;"",""))</f>
        <v>Comptes Bancaires</v>
      </c>
      <c r="O1014" s="6">
        <f>IF($A1014="","",IF(OR($J1014&lt;&gt;"x",$A1014&lt;=FinReleve),1,0))</f>
        <v>1</v>
      </c>
      <c r="P1014" s="6">
        <f>IF($D1014="","",IF(AND($L1014="Crédit",OR(IFERROR(INDEX('Paramètres'!$O:$O,MATCH($D1014,'Paramètres'!$M:$M,0))&amp;"","")&lt;&gt;"",ISNUMBER(SEARCH("remboursement",IFERROR(INDEX('Paramètres'!$N:$N,MATCH($D1014,'Paramètres'!$M:$M,0))&amp;"",""))))),1,0))</f>
        <v>0</v>
      </c>
      <c r="Q1014" s="6">
        <f>IF($K1014="","",IF(ISNUMBER(SEARCH("transfert-interne",IFERROR(INDEX('Paramètres'!$N:$N,MATCH($D1014,'Paramètres'!$M:$M,0))&amp;"",""))),0,IF($L1014="Débit",$K1014,IF($P1014=1,-$K1014,0))))</f>
        <v>120</v>
      </c>
      <c r="R1014" s="6">
        <f>IF($K1014="","",IF($L1014="Crédit",$K1014,-$K1014))</f>
        <v>-120</v>
      </c>
      <c r="S1014" s="6" t="str">
        <f>IF($C1014="","",IFERROR(INDEX('Paramètres'!$H:$H,MATCH($C1014,'Paramètres'!$D:$D,0))&amp;"",""))</f>
        <v/>
      </c>
      <c r="T1014" s="6">
        <f>IF($K1014="","",IF($S1014="",0,IF(ISNUMBER(SEARCH("apport-exterieur",IFERROR(INDEX('Paramètres'!$N:$N,MATCH($D1014,'Paramètres'!$M:$M,0))&amp;"",""))),0,IF(OR(IFERROR(INDEX('Paramètres'!$I:$I,MATCH($C1014,'Paramètres'!$D:$D,0))&amp;"","")="Les deux",IFERROR(INDEX('Paramètres'!$I:$I,MATCH($C1014,'Paramètres'!$D:$D,0))&amp;"","")=IF($P1014=1,"Débit",$L1014)),-IF($P1014=1,-$K1014,$K1014),0))))</f>
        <v>0</v>
      </c>
      <c r="U1014" s="6">
        <f>IF($K1014="","",IF(ISNUMBER(SEARCH("sortie-epargne",IFERROR(INDEX('Paramètres'!$N:$N,MATCH($D1014,'Paramètres'!$M:$M,0))&amp;"",""))),$K1014,0))</f>
        <v>0</v>
      </c>
      <c r="V1014" s="6">
        <f>IF(AND($A1014&lt;&gt;"",$O1014=1,$L1014="Débit",N($Q1014)&gt;0,$A1014&gt;=Visualisation!$B$1,$A1014&lt;Visualisation!$D$1),MAX($V$1:V1013)+1,"")</f>
        <v>33</v>
      </c>
    </row>
    <row r="1015" spans="1:22" x14ac:dyDescent="0.25">
      <c r="A1015" s="9">
        <v>46261</v>
      </c>
      <c r="B1015" s="4" t="s">
        <v>114</v>
      </c>
      <c r="C1015" s="4" t="s">
        <v>75</v>
      </c>
      <c r="D1015" s="4" t="s">
        <v>115</v>
      </c>
      <c r="E1015" s="10">
        <v>2938.78</v>
      </c>
      <c r="G1015" s="4" t="s">
        <v>115</v>
      </c>
      <c r="H1015" s="4"/>
      <c r="I1015" s="4"/>
      <c r="K1015" s="11">
        <f>IF($E1015="","",ROUND($E1015*IF(ISNA(MATCH($C1015,'Paramètres'!$D:$D,0)),1,IF(INDEX('Paramètres'!$J:$J,MATCH($C1015,'Paramètres'!$D:$D,0))="",1,INDEX('Paramètres'!$J:$J,MATCH($C1015,'Paramètres'!$D:$D,0)))),2))</f>
        <v>2938.78</v>
      </c>
      <c r="L1015" s="6" t="str">
        <f>IF($D1015="","",IF($F1015&lt;&gt;"",$F1015,IF(ISNA(MATCH($D1015,'Paramètres'!$M:$M,0)),"⚠ Type inconnu",IFERROR(INDEX('Paramètres'!$P:$P,MATCH($D1015,'Paramètres'!$M:$M,0))&amp;"",""))))</f>
        <v>Crédit</v>
      </c>
      <c r="M1015" s="6" t="str">
        <f>IF($D1015="","",IF(ISNA(MATCH($D1015,'Paramètres'!$M:$M,0)),"⚠ Type inconnu",IF($L1015="Crédit","",IFERROR(INDEX('Paramètres'!$O:$O,MATCH($D1015,'Paramètres'!$M:$M,0))&amp;"",""))))</f>
        <v/>
      </c>
      <c r="N1015" s="6" t="str">
        <f>IF($D1015="","",IFERROR(INDEX('Paramètres'!$Q:$Q,MATCH($D1015,'Paramètres'!$M:$M,0))&amp;"",""))</f>
        <v/>
      </c>
      <c r="O1015" s="6">
        <f>IF($A1015="","",IF(OR($J1015&lt;&gt;"x",$A1015&lt;=FinReleve),1,0))</f>
        <v>1</v>
      </c>
      <c r="P1015" s="6">
        <f>IF($D1015="","",IF(AND($L1015="Crédit",OR(IFERROR(INDEX('Paramètres'!$O:$O,MATCH($D1015,'Paramètres'!$M:$M,0))&amp;"","")&lt;&gt;"",ISNUMBER(SEARCH("remboursement",IFERROR(INDEX('Paramètres'!$N:$N,MATCH($D1015,'Paramètres'!$M:$M,0))&amp;"",""))))),1,0))</f>
        <v>0</v>
      </c>
      <c r="Q1015" s="6">
        <f>IF($K1015="","",IF(ISNUMBER(SEARCH("transfert-interne",IFERROR(INDEX('Paramètres'!$N:$N,MATCH($D1015,'Paramètres'!$M:$M,0))&amp;"",""))),0,IF($L1015="Débit",$K1015,IF($P1015=1,-$K1015,0))))</f>
        <v>0</v>
      </c>
      <c r="R1015" s="6">
        <f>IF($K1015="","",IF($L1015="Crédit",$K1015,-$K1015))</f>
        <v>2938.78</v>
      </c>
      <c r="S1015" s="6" t="str">
        <f>IF($C1015="","",IFERROR(INDEX('Paramètres'!$H:$H,MATCH($C1015,'Paramètres'!$D:$D,0))&amp;"",""))</f>
        <v/>
      </c>
      <c r="T1015" s="6">
        <f>IF($K1015="","",IF($S1015="",0,IF(ISNUMBER(SEARCH("apport-exterieur",IFERROR(INDEX('Paramètres'!$N:$N,MATCH($D1015,'Paramètres'!$M:$M,0))&amp;"",""))),0,IF(OR(IFERROR(INDEX('Paramètres'!$I:$I,MATCH($C1015,'Paramètres'!$D:$D,0))&amp;"","")="Les deux",IFERROR(INDEX('Paramètres'!$I:$I,MATCH($C1015,'Paramètres'!$D:$D,0))&amp;"","")=IF($P1015=1,"Débit",$L1015)),-IF($P1015=1,-$K1015,$K1015),0))))</f>
        <v>0</v>
      </c>
      <c r="U1015" s="6">
        <f>IF($K1015="","",IF(ISNUMBER(SEARCH("sortie-epargne",IFERROR(INDEX('Paramètres'!$N:$N,MATCH($D1015,'Paramètres'!$M:$M,0))&amp;"",""))),$K1015,0))</f>
        <v>0</v>
      </c>
      <c r="V1015" s="6" t="str">
        <f>IF(AND($A1015&lt;&gt;"",$O1015=1,$L1015="Débit",N($Q1015)&gt;0,$A1015&gt;=Visualisation!$B$1,$A1015&lt;Visualisation!$D$1),MAX($V$1:V1014)+1,"")</f>
        <v/>
      </c>
    </row>
    <row r="1016" spans="1:22" x14ac:dyDescent="0.25">
      <c r="A1016" s="9">
        <v>46261</v>
      </c>
      <c r="B1016" s="4" t="s">
        <v>76</v>
      </c>
      <c r="C1016" s="4" t="s">
        <v>67</v>
      </c>
      <c r="D1016" s="4" t="s">
        <v>77</v>
      </c>
      <c r="E1016" s="10">
        <v>93.46</v>
      </c>
      <c r="G1016" s="4" t="s">
        <v>102</v>
      </c>
      <c r="H1016" s="4"/>
      <c r="I1016" s="4"/>
      <c r="K1016" s="11">
        <f>IF($E1016="","",ROUND($E1016*IF(ISNA(MATCH($C1016,'Paramètres'!$D:$D,0)),1,IF(INDEX('Paramètres'!$J:$J,MATCH($C1016,'Paramètres'!$D:$D,0))="",1,INDEX('Paramètres'!$J:$J,MATCH($C1016,'Paramètres'!$D:$D,0)))),2))</f>
        <v>46.73</v>
      </c>
      <c r="L1016" s="6" t="str">
        <f>IF($D1016="","",IF($F1016&lt;&gt;"",$F1016,IF(ISNA(MATCH($D1016,'Paramètres'!$M:$M,0)),"⚠ Type inconnu",IFERROR(INDEX('Paramètres'!$P:$P,MATCH($D1016,'Paramètres'!$M:$M,0))&amp;"",""))))</f>
        <v>Débit</v>
      </c>
      <c r="M1016" s="6" t="str">
        <f>IF($D1016="","",IF(ISNA(MATCH($D1016,'Paramètres'!$M:$M,0)),"⚠ Type inconnu",IF($L1016="Crédit","",IFERROR(INDEX('Paramètres'!$O:$O,MATCH($D1016,'Paramètres'!$M:$M,0))&amp;"",""))))</f>
        <v>Dépense Courante</v>
      </c>
      <c r="N1016" s="6" t="str">
        <f>IF($D1016="","",IFERROR(INDEX('Paramètres'!$Q:$Q,MATCH($D1016,'Paramètres'!$M:$M,0))&amp;"",""))</f>
        <v>Alimentation</v>
      </c>
      <c r="O1016" s="6">
        <f>IF($A1016="","",IF(OR($J1016&lt;&gt;"x",$A1016&lt;=FinReleve),1,0))</f>
        <v>1</v>
      </c>
      <c r="P1016" s="6">
        <f>IF($D1016="","",IF(AND($L1016="Crédit",OR(IFERROR(INDEX('Paramètres'!$O:$O,MATCH($D1016,'Paramètres'!$M:$M,0))&amp;"","")&lt;&gt;"",ISNUMBER(SEARCH("remboursement",IFERROR(INDEX('Paramètres'!$N:$N,MATCH($D1016,'Paramètres'!$M:$M,0))&amp;"",""))))),1,0))</f>
        <v>0</v>
      </c>
      <c r="Q1016" s="6">
        <f>IF($K1016="","",IF(ISNUMBER(SEARCH("transfert-interne",IFERROR(INDEX('Paramètres'!$N:$N,MATCH($D1016,'Paramètres'!$M:$M,0))&amp;"",""))),0,IF($L1016="Débit",$K1016,IF($P1016=1,-$K1016,0))))</f>
        <v>46.73</v>
      </c>
      <c r="R1016" s="6">
        <f>IF($K1016="","",IF($L1016="Crédit",$K1016,-$K1016))</f>
        <v>-46.73</v>
      </c>
      <c r="S1016" s="6" t="str">
        <f>IF($C1016="","",IFERROR(INDEX('Paramètres'!$H:$H,MATCH($C1016,'Paramètres'!$D:$D,0))&amp;"",""))</f>
        <v>Banque A - Courant</v>
      </c>
      <c r="T1016" s="6">
        <f>IF($K1016="","",IF($S1016="",0,IF(ISNUMBER(SEARCH("apport-exterieur",IFERROR(INDEX('Paramètres'!$N:$N,MATCH($D1016,'Paramètres'!$M:$M,0))&amp;"",""))),0,IF(OR(IFERROR(INDEX('Paramètres'!$I:$I,MATCH($C1016,'Paramètres'!$D:$D,0))&amp;"","")="Les deux",IFERROR(INDEX('Paramètres'!$I:$I,MATCH($C1016,'Paramètres'!$D:$D,0))&amp;"","")=IF($P1016=1,"Débit",$L1016)),-IF($P1016=1,-$K1016,$K1016),0))))</f>
        <v>0</v>
      </c>
      <c r="U1016" s="6">
        <f>IF($K1016="","",IF(ISNUMBER(SEARCH("sortie-epargne",IFERROR(INDEX('Paramètres'!$N:$N,MATCH($D1016,'Paramètres'!$M:$M,0))&amp;"",""))),$K1016,0))</f>
        <v>0</v>
      </c>
      <c r="V1016" s="6">
        <f>IF(AND($A1016&lt;&gt;"",$O1016=1,$L1016="Débit",N($Q1016)&gt;0,$A1016&gt;=Visualisation!$B$1,$A1016&lt;Visualisation!$D$1),MAX($V$1:V1015)+1,"")</f>
        <v>34</v>
      </c>
    </row>
    <row r="1017" spans="1:22" x14ac:dyDescent="0.25">
      <c r="A1017" s="9">
        <v>46262</v>
      </c>
      <c r="B1017" s="4" t="s">
        <v>118</v>
      </c>
      <c r="C1017" s="4" t="s">
        <v>75</v>
      </c>
      <c r="D1017" s="4" t="s">
        <v>118</v>
      </c>
      <c r="E1017" s="10">
        <v>3</v>
      </c>
      <c r="G1017" s="4"/>
      <c r="H1017" s="4"/>
      <c r="I1017" s="4"/>
      <c r="K1017" s="11">
        <f>IF($E1017="","",ROUND($E1017*IF(ISNA(MATCH($C1017,'Paramètres'!$D:$D,0)),1,IF(INDEX('Paramètres'!$J:$J,MATCH($C1017,'Paramètres'!$D:$D,0))="",1,INDEX('Paramètres'!$J:$J,MATCH($C1017,'Paramètres'!$D:$D,0)))),2))</f>
        <v>3</v>
      </c>
      <c r="L1017" s="6" t="str">
        <f>IF($D1017="","",IF($F1017&lt;&gt;"",$F1017,IF(ISNA(MATCH($D1017,'Paramètres'!$M:$M,0)),"⚠ Type inconnu",IFERROR(INDEX('Paramètres'!$P:$P,MATCH($D1017,'Paramètres'!$M:$M,0))&amp;"",""))))</f>
        <v>Débit</v>
      </c>
      <c r="M1017" s="6" t="str">
        <f>IF($D1017="","",IF(ISNA(MATCH($D1017,'Paramètres'!$M:$M,0)),"⚠ Type inconnu",IF($L1017="Crédit","",IFERROR(INDEX('Paramètres'!$O:$O,MATCH($D1017,'Paramètres'!$M:$M,0))&amp;"",""))))</f>
        <v>Dépense Fixe</v>
      </c>
      <c r="N1017" s="6" t="str">
        <f>IF($D1017="","",IFERROR(INDEX('Paramètres'!$Q:$Q,MATCH($D1017,'Paramètres'!$M:$M,0))&amp;"",""))</f>
        <v>Banque</v>
      </c>
      <c r="O1017" s="6">
        <f>IF($A1017="","",IF(OR($J1017&lt;&gt;"x",$A1017&lt;=FinReleve),1,0))</f>
        <v>1</v>
      </c>
      <c r="P1017" s="6">
        <f>IF($D1017="","",IF(AND($L1017="Crédit",OR(IFERROR(INDEX('Paramètres'!$O:$O,MATCH($D1017,'Paramètres'!$M:$M,0))&amp;"","")&lt;&gt;"",ISNUMBER(SEARCH("remboursement",IFERROR(INDEX('Paramètres'!$N:$N,MATCH($D1017,'Paramètres'!$M:$M,0))&amp;"",""))))),1,0))</f>
        <v>0</v>
      </c>
      <c r="Q1017" s="6">
        <f>IF($K1017="","",IF(ISNUMBER(SEARCH("transfert-interne",IFERROR(INDEX('Paramètres'!$N:$N,MATCH($D1017,'Paramètres'!$M:$M,0))&amp;"",""))),0,IF($L1017="Débit",$K1017,IF($P1017=1,-$K1017,0))))</f>
        <v>3</v>
      </c>
      <c r="R1017" s="6">
        <f>IF($K1017="","",IF($L1017="Crédit",$K1017,-$K1017))</f>
        <v>-3</v>
      </c>
      <c r="S1017" s="6" t="str">
        <f>IF($C1017="","",IFERROR(INDEX('Paramètres'!$H:$H,MATCH($C1017,'Paramètres'!$D:$D,0))&amp;"",""))</f>
        <v/>
      </c>
      <c r="T1017" s="6">
        <f>IF($K1017="","",IF($S1017="",0,IF(ISNUMBER(SEARCH("apport-exterieur",IFERROR(INDEX('Paramètres'!$N:$N,MATCH($D1017,'Paramètres'!$M:$M,0))&amp;"",""))),0,IF(OR(IFERROR(INDEX('Paramètres'!$I:$I,MATCH($C1017,'Paramètres'!$D:$D,0))&amp;"","")="Les deux",IFERROR(INDEX('Paramètres'!$I:$I,MATCH($C1017,'Paramètres'!$D:$D,0))&amp;"","")=IF($P1017=1,"Débit",$L1017)),-IF($P1017=1,-$K1017,$K1017),0))))</f>
        <v>0</v>
      </c>
      <c r="U1017" s="6">
        <f>IF($K1017="","",IF(ISNUMBER(SEARCH("sortie-epargne",IFERROR(INDEX('Paramètres'!$N:$N,MATCH($D1017,'Paramètres'!$M:$M,0))&amp;"",""))),$K1017,0))</f>
        <v>0</v>
      </c>
      <c r="V1017" s="6">
        <f>IF(AND($A1017&lt;&gt;"",$O1017=1,$L1017="Débit",N($Q1017)&gt;0,$A1017&gt;=Visualisation!$B$1,$A1017&lt;Visualisation!$D$1),MAX($V$1:V1016)+1,"")</f>
        <v>35</v>
      </c>
    </row>
    <row r="1018" spans="1:22" x14ac:dyDescent="0.25">
      <c r="A1018" s="9">
        <v>46262</v>
      </c>
      <c r="B1018" s="4" t="s">
        <v>116</v>
      </c>
      <c r="C1018" s="4" t="s">
        <v>60</v>
      </c>
      <c r="D1018" s="4" t="s">
        <v>116</v>
      </c>
      <c r="E1018" s="10">
        <v>253.48</v>
      </c>
      <c r="G1018" s="4" t="s">
        <v>117</v>
      </c>
      <c r="H1018" s="4"/>
      <c r="I1018" s="4" t="s">
        <v>73</v>
      </c>
      <c r="K1018" s="11">
        <f>IF($E1018="","",ROUND($E1018*IF(ISNA(MATCH($C1018,'Paramètres'!$D:$D,0)),1,IF(INDEX('Paramètres'!$J:$J,MATCH($C1018,'Paramètres'!$D:$D,0))="",1,INDEX('Paramètres'!$J:$J,MATCH($C1018,'Paramètres'!$D:$D,0)))),2))</f>
        <v>126.74</v>
      </c>
      <c r="L1018" s="6" t="str">
        <f>IF($D1018="","",IF($F1018&lt;&gt;"",$F1018,IF(ISNA(MATCH($D1018,'Paramètres'!$M:$M,0)),"⚠ Type inconnu",IFERROR(INDEX('Paramètres'!$P:$P,MATCH($D1018,'Paramètres'!$M:$M,0))&amp;"",""))))</f>
        <v>Débit</v>
      </c>
      <c r="M1018" s="6" t="str">
        <f>IF($D1018="","",IF(ISNA(MATCH($D1018,'Paramètres'!$M:$M,0)),"⚠ Type inconnu",IF($L1018="Crédit","",IFERROR(INDEX('Paramètres'!$O:$O,MATCH($D1018,'Paramètres'!$M:$M,0))&amp;"",""))))</f>
        <v>Dépense Occasionnelle</v>
      </c>
      <c r="N1018" s="6" t="str">
        <f>IF($D1018="","",IFERROR(INDEX('Paramètres'!$Q:$Q,MATCH($D1018,'Paramètres'!$M:$M,0))&amp;"",""))</f>
        <v>Autre</v>
      </c>
      <c r="O1018" s="6">
        <f>IF($A1018="","",IF(OR($J1018&lt;&gt;"x",$A1018&lt;=FinReleve),1,0))</f>
        <v>1</v>
      </c>
      <c r="P1018" s="6">
        <f>IF($D1018="","",IF(AND($L1018="Crédit",OR(IFERROR(INDEX('Paramètres'!$O:$O,MATCH($D1018,'Paramètres'!$M:$M,0))&amp;"","")&lt;&gt;"",ISNUMBER(SEARCH("remboursement",IFERROR(INDEX('Paramètres'!$N:$N,MATCH($D1018,'Paramètres'!$M:$M,0))&amp;"",""))))),1,0))</f>
        <v>0</v>
      </c>
      <c r="Q1018" s="6">
        <f>IF($K1018="","",IF(ISNUMBER(SEARCH("transfert-interne",IFERROR(INDEX('Paramètres'!$N:$N,MATCH($D1018,'Paramètres'!$M:$M,0))&amp;"",""))),0,IF($L1018="Débit",$K1018,IF($P1018=1,-$K1018,0))))</f>
        <v>126.74</v>
      </c>
      <c r="R1018" s="6">
        <f>IF($K1018="","",IF($L1018="Crédit",$K1018,-$K1018))</f>
        <v>-126.74</v>
      </c>
      <c r="S1018" s="6" t="str">
        <f>IF($C1018="","",IFERROR(INDEX('Paramètres'!$H:$H,MATCH($C1018,'Paramètres'!$D:$D,0))&amp;"",""))</f>
        <v>Banque A - Courant</v>
      </c>
      <c r="T1018" s="6">
        <f>IF($K1018="","",IF($S1018="",0,IF(ISNUMBER(SEARCH("apport-exterieur",IFERROR(INDEX('Paramètres'!$N:$N,MATCH($D1018,'Paramètres'!$M:$M,0))&amp;"",""))),0,IF(OR(IFERROR(INDEX('Paramètres'!$I:$I,MATCH($C1018,'Paramètres'!$D:$D,0))&amp;"","")="Les deux",IFERROR(INDEX('Paramètres'!$I:$I,MATCH($C1018,'Paramètres'!$D:$D,0))&amp;"","")=IF($P1018=1,"Débit",$L1018)),-IF($P1018=1,-$K1018,$K1018),0))))</f>
        <v>-126.74</v>
      </c>
      <c r="U1018" s="6">
        <f>IF($K1018="","",IF(ISNUMBER(SEARCH("sortie-epargne",IFERROR(INDEX('Paramètres'!$N:$N,MATCH($D1018,'Paramètres'!$M:$M,0))&amp;"",""))),$K1018,0))</f>
        <v>0</v>
      </c>
      <c r="V1018" s="6">
        <f>IF(AND($A1018&lt;&gt;"",$O1018=1,$L1018="Débit",N($Q1018)&gt;0,$A1018&gt;=Visualisation!$B$1,$A1018&lt;Visualisation!$D$1),MAX($V$1:V1017)+1,"")</f>
        <v>36</v>
      </c>
    </row>
    <row r="1019" spans="1:22" x14ac:dyDescent="0.25">
      <c r="A1019" s="9">
        <v>46266</v>
      </c>
      <c r="B1019" s="4" t="s">
        <v>69</v>
      </c>
      <c r="C1019" s="4" t="s">
        <v>70</v>
      </c>
      <c r="D1019" s="4" t="s">
        <v>71</v>
      </c>
      <c r="E1019" s="10">
        <v>9.57</v>
      </c>
      <c r="G1019" s="4" t="s">
        <v>72</v>
      </c>
      <c r="H1019" s="4"/>
      <c r="I1019" s="4"/>
      <c r="K1019" s="11">
        <f>IF($E1019="","",ROUND($E1019*IF(ISNA(MATCH($C1019,'Paramètres'!$D:$D,0)),1,IF(INDEX('Paramètres'!$J:$J,MATCH($C1019,'Paramètres'!$D:$D,0))="",1,INDEX('Paramètres'!$J:$J,MATCH($C1019,'Paramètres'!$D:$D,0)))),2))</f>
        <v>9.57</v>
      </c>
      <c r="L1019" s="6" t="str">
        <f>IF($D1019="","",IF($F1019&lt;&gt;"",$F1019,IF(ISNA(MATCH($D1019,'Paramètres'!$M:$M,0)),"⚠ Type inconnu",IFERROR(INDEX('Paramètres'!$P:$P,MATCH($D1019,'Paramètres'!$M:$M,0))&amp;"",""))))</f>
        <v>Débit</v>
      </c>
      <c r="M1019" s="6" t="str">
        <f>IF($D1019="","",IF(ISNA(MATCH($D1019,'Paramètres'!$M:$M,0)),"⚠ Type inconnu",IF($L1019="Crédit","",IFERROR(INDEX('Paramètres'!$O:$O,MATCH($D1019,'Paramètres'!$M:$M,0))&amp;"",""))))</f>
        <v>Dépense Courante</v>
      </c>
      <c r="N1019" s="6" t="str">
        <f>IF($D1019="","",IFERROR(INDEX('Paramètres'!$Q:$Q,MATCH($D1019,'Paramètres'!$M:$M,0))&amp;"",""))</f>
        <v>Alimentation</v>
      </c>
      <c r="O1019" s="6">
        <f>IF($A1019="","",IF(OR($J1019&lt;&gt;"x",$A1019&lt;=FinReleve),1,0))</f>
        <v>1</v>
      </c>
      <c r="P1019" s="6">
        <f>IF($D1019="","",IF(AND($L1019="Crédit",OR(IFERROR(INDEX('Paramètres'!$O:$O,MATCH($D1019,'Paramètres'!$M:$M,0))&amp;"","")&lt;&gt;"",ISNUMBER(SEARCH("remboursement",IFERROR(INDEX('Paramètres'!$N:$N,MATCH($D1019,'Paramètres'!$M:$M,0))&amp;"",""))))),1,0))</f>
        <v>0</v>
      </c>
      <c r="Q1019" s="6">
        <f>IF($K1019="","",IF(ISNUMBER(SEARCH("transfert-interne",IFERROR(INDEX('Paramètres'!$N:$N,MATCH($D1019,'Paramètres'!$M:$M,0))&amp;"",""))),0,IF($L1019="Débit",$K1019,IF($P1019=1,-$K1019,0))))</f>
        <v>9.57</v>
      </c>
      <c r="R1019" s="6">
        <f>IF($K1019="","",IF($L1019="Crédit",$K1019,-$K1019))</f>
        <v>-9.57</v>
      </c>
      <c r="S1019" s="6" t="str">
        <f>IF($C1019="","",IFERROR(INDEX('Paramètres'!$H:$H,MATCH($C1019,'Paramètres'!$D:$D,0))&amp;"",""))</f>
        <v/>
      </c>
      <c r="T1019" s="6">
        <f>IF($K1019="","",IF($S1019="",0,IF(ISNUMBER(SEARCH("apport-exterieur",IFERROR(INDEX('Paramètres'!$N:$N,MATCH($D1019,'Paramètres'!$M:$M,0))&amp;"",""))),0,IF(OR(IFERROR(INDEX('Paramètres'!$I:$I,MATCH($C1019,'Paramètres'!$D:$D,0))&amp;"","")="Les deux",IFERROR(INDEX('Paramètres'!$I:$I,MATCH($C1019,'Paramètres'!$D:$D,0))&amp;"","")=IF($P1019=1,"Débit",$L1019)),-IF($P1019=1,-$K1019,$K1019),0))))</f>
        <v>0</v>
      </c>
      <c r="U1019" s="6">
        <f>IF($K1019="","",IF(ISNUMBER(SEARCH("sortie-epargne",IFERROR(INDEX('Paramètres'!$N:$N,MATCH($D1019,'Paramètres'!$M:$M,0))&amp;"",""))),$K1019,0))</f>
        <v>0</v>
      </c>
      <c r="V1019" s="6" t="str">
        <f>IF(AND($A1019&lt;&gt;"",$O1019=1,$L1019="Débit",N($Q1019)&gt;0,$A1019&gt;=Visualisation!$B$1,$A1019&lt;Visualisation!$D$1),MAX($V$1:V1018)+1,"")</f>
        <v/>
      </c>
    </row>
    <row r="1020" spans="1:22" x14ac:dyDescent="0.25">
      <c r="A1020" s="9">
        <v>46267</v>
      </c>
      <c r="B1020" s="4" t="s">
        <v>64</v>
      </c>
      <c r="C1020" s="4" t="s">
        <v>65</v>
      </c>
      <c r="D1020" s="4" t="s">
        <v>66</v>
      </c>
      <c r="E1020" s="10">
        <v>1160</v>
      </c>
      <c r="G1020" s="4"/>
      <c r="H1020" s="4"/>
      <c r="I1020" s="4"/>
      <c r="K1020" s="11">
        <f>IF($E1020="","",ROUND($E1020*IF(ISNA(MATCH($C1020,'Paramètres'!$D:$D,0)),1,IF(INDEX('Paramètres'!$J:$J,MATCH($C1020,'Paramètres'!$D:$D,0))="",1,INDEX('Paramètres'!$J:$J,MATCH($C1020,'Paramètres'!$D:$D,0)))),2))</f>
        <v>1160</v>
      </c>
      <c r="L1020" s="6" t="str">
        <f>IF($D1020="","",IF($F1020&lt;&gt;"",$F1020,IF(ISNA(MATCH($D1020,'Paramètres'!$M:$M,0)),"⚠ Type inconnu",IFERROR(INDEX('Paramètres'!$P:$P,MATCH($D1020,'Paramètres'!$M:$M,0))&amp;"",""))))</f>
        <v>Crédit</v>
      </c>
      <c r="M1020" s="6" t="str">
        <f>IF($D1020="","",IF(ISNA(MATCH($D1020,'Paramètres'!$M:$M,0)),"⚠ Type inconnu",IF($L1020="Crédit","",IFERROR(INDEX('Paramètres'!$O:$O,MATCH($D1020,'Paramètres'!$M:$M,0))&amp;"",""))))</f>
        <v/>
      </c>
      <c r="N1020" s="6" t="str">
        <f>IF($D1020="","",IFERROR(INDEX('Paramètres'!$Q:$Q,MATCH($D1020,'Paramètres'!$M:$M,0))&amp;"",""))</f>
        <v>Comptes Bancaires</v>
      </c>
      <c r="O1020" s="6">
        <f>IF($A1020="","",IF(OR($J1020&lt;&gt;"x",$A1020&lt;=FinReleve),1,0))</f>
        <v>1</v>
      </c>
      <c r="P1020" s="6">
        <f>IF($D1020="","",IF(AND($L1020="Crédit",OR(IFERROR(INDEX('Paramètres'!$O:$O,MATCH($D1020,'Paramètres'!$M:$M,0))&amp;"","")&lt;&gt;"",ISNUMBER(SEARCH("remboursement",IFERROR(INDEX('Paramètres'!$N:$N,MATCH($D1020,'Paramètres'!$M:$M,0))&amp;"",""))))),1,0))</f>
        <v>0</v>
      </c>
      <c r="Q1020" s="6">
        <f>IF($K1020="","",IF(ISNUMBER(SEARCH("transfert-interne",IFERROR(INDEX('Paramètres'!$N:$N,MATCH($D1020,'Paramètres'!$M:$M,0))&amp;"",""))),0,IF($L1020="Débit",$K1020,IF($P1020=1,-$K1020,0))))</f>
        <v>0</v>
      </c>
      <c r="R1020" s="6">
        <f>IF($K1020="","",IF($L1020="Crédit",$K1020,-$K1020))</f>
        <v>1160</v>
      </c>
      <c r="S1020" s="6" t="str">
        <f>IF($C1020="","",IFERROR(INDEX('Paramètres'!$H:$H,MATCH($C1020,'Paramètres'!$D:$D,0))&amp;"",""))</f>
        <v>Banque A - Courant</v>
      </c>
      <c r="T1020" s="6">
        <f>IF($K1020="","",IF($S1020="",0,IF(ISNUMBER(SEARCH("apport-exterieur",IFERROR(INDEX('Paramètres'!$N:$N,MATCH($D1020,'Paramètres'!$M:$M,0))&amp;"",""))),0,IF(OR(IFERROR(INDEX('Paramètres'!$I:$I,MATCH($C1020,'Paramètres'!$D:$D,0))&amp;"","")="Les deux",IFERROR(INDEX('Paramètres'!$I:$I,MATCH($C1020,'Paramètres'!$D:$D,0))&amp;"","")=IF($P1020=1,"Débit",$L1020)),-IF($P1020=1,-$K1020,$K1020),0))))</f>
        <v>-1160</v>
      </c>
      <c r="U1020" s="6">
        <f>IF($K1020="","",IF(ISNUMBER(SEARCH("sortie-epargne",IFERROR(INDEX('Paramètres'!$N:$N,MATCH($D1020,'Paramètres'!$M:$M,0))&amp;"",""))),$K1020,0))</f>
        <v>0</v>
      </c>
      <c r="V1020" s="6" t="str">
        <f>IF(AND($A1020&lt;&gt;"",$O1020=1,$L1020="Débit",N($Q1020)&gt;0,$A1020&gt;=Visualisation!$B$1,$A1020&lt;Visualisation!$D$1),MAX($V$1:V1019)+1,"")</f>
        <v/>
      </c>
    </row>
    <row r="1021" spans="1:22" x14ac:dyDescent="0.25">
      <c r="A1021" s="9">
        <v>46267</v>
      </c>
      <c r="B1021" s="4" t="s">
        <v>64</v>
      </c>
      <c r="C1021" s="4" t="s">
        <v>67</v>
      </c>
      <c r="D1021" s="4" t="s">
        <v>68</v>
      </c>
      <c r="E1021" s="10">
        <v>600</v>
      </c>
      <c r="G1021" s="4"/>
      <c r="H1021" s="4"/>
      <c r="I1021" s="4"/>
      <c r="K1021" s="11">
        <f>IF($E1021="","",ROUND($E1021*IF(ISNA(MATCH($C1021,'Paramètres'!$D:$D,0)),1,IF(INDEX('Paramètres'!$J:$J,MATCH($C1021,'Paramètres'!$D:$D,0))="",1,INDEX('Paramètres'!$J:$J,MATCH($C1021,'Paramètres'!$D:$D,0)))),2))</f>
        <v>300</v>
      </c>
      <c r="L1021" s="6" t="str">
        <f>IF($D1021="","",IF($F1021&lt;&gt;"",$F1021,IF(ISNA(MATCH($D1021,'Paramètres'!$M:$M,0)),"⚠ Type inconnu",IFERROR(INDEX('Paramètres'!$P:$P,MATCH($D1021,'Paramètres'!$M:$M,0))&amp;"",""))))</f>
        <v>Crédit</v>
      </c>
      <c r="M1021" s="6" t="str">
        <f>IF($D1021="","",IF(ISNA(MATCH($D1021,'Paramètres'!$M:$M,0)),"⚠ Type inconnu",IF($L1021="Crédit","",IFERROR(INDEX('Paramètres'!$O:$O,MATCH($D1021,'Paramètres'!$M:$M,0))&amp;"",""))))</f>
        <v/>
      </c>
      <c r="N1021" s="6" t="str">
        <f>IF($D1021="","",IFERROR(INDEX('Paramètres'!$Q:$Q,MATCH($D1021,'Paramètres'!$M:$M,0))&amp;"",""))</f>
        <v>Comptes Bancaires</v>
      </c>
      <c r="O1021" s="6">
        <f>IF($A1021="","",IF(OR($J1021&lt;&gt;"x",$A1021&lt;=FinReleve),1,0))</f>
        <v>1</v>
      </c>
      <c r="P1021" s="6">
        <f>IF($D1021="","",IF(AND($L1021="Crédit",OR(IFERROR(INDEX('Paramètres'!$O:$O,MATCH($D1021,'Paramètres'!$M:$M,0))&amp;"","")&lt;&gt;"",ISNUMBER(SEARCH("remboursement",IFERROR(INDEX('Paramètres'!$N:$N,MATCH($D1021,'Paramètres'!$M:$M,0))&amp;"",""))))),1,0))</f>
        <v>0</v>
      </c>
      <c r="Q1021" s="6">
        <f>IF($K1021="","",IF(ISNUMBER(SEARCH("transfert-interne",IFERROR(INDEX('Paramètres'!$N:$N,MATCH($D1021,'Paramètres'!$M:$M,0))&amp;"",""))),0,IF($L1021="Débit",$K1021,IF($P1021=1,-$K1021,0))))</f>
        <v>0</v>
      </c>
      <c r="R1021" s="6">
        <f>IF($K1021="","",IF($L1021="Crédit",$K1021,-$K1021))</f>
        <v>300</v>
      </c>
      <c r="S1021" s="6" t="str">
        <f>IF($C1021="","",IFERROR(INDEX('Paramètres'!$H:$H,MATCH($C1021,'Paramètres'!$D:$D,0))&amp;"",""))</f>
        <v>Banque A - Courant</v>
      </c>
      <c r="T1021" s="6">
        <f>IF($K1021="","",IF($S1021="",0,IF(ISNUMBER(SEARCH("apport-exterieur",IFERROR(INDEX('Paramètres'!$N:$N,MATCH($D1021,'Paramètres'!$M:$M,0))&amp;"",""))),0,IF(OR(IFERROR(INDEX('Paramètres'!$I:$I,MATCH($C1021,'Paramètres'!$D:$D,0))&amp;"","")="Les deux",IFERROR(INDEX('Paramètres'!$I:$I,MATCH($C1021,'Paramètres'!$D:$D,0))&amp;"","")=IF($P1021=1,"Débit",$L1021)),-IF($P1021=1,-$K1021,$K1021),0))))</f>
        <v>-300</v>
      </c>
      <c r="U1021" s="6">
        <f>IF($K1021="","",IF(ISNUMBER(SEARCH("sortie-epargne",IFERROR(INDEX('Paramètres'!$N:$N,MATCH($D1021,'Paramètres'!$M:$M,0))&amp;"",""))),$K1021,0))</f>
        <v>0</v>
      </c>
      <c r="V1021" s="6" t="str">
        <f>IF(AND($A1021&lt;&gt;"",$O1021=1,$L1021="Débit",N($Q1021)&gt;0,$A1021&gt;=Visualisation!$B$1,$A1021&lt;Visualisation!$D$1),MAX($V$1:V1020)+1,"")</f>
        <v/>
      </c>
    </row>
    <row r="1022" spans="1:22" x14ac:dyDescent="0.25">
      <c r="A1022" s="9">
        <v>46267</v>
      </c>
      <c r="B1022" s="4" t="s">
        <v>76</v>
      </c>
      <c r="C1022" s="4" t="s">
        <v>67</v>
      </c>
      <c r="D1022" s="4" t="s">
        <v>77</v>
      </c>
      <c r="E1022" s="10">
        <v>173.2</v>
      </c>
      <c r="G1022" s="4" t="s">
        <v>98</v>
      </c>
      <c r="H1022" s="4"/>
      <c r="I1022" s="4"/>
      <c r="K1022" s="11">
        <f>IF($E1022="","",ROUND($E1022*IF(ISNA(MATCH($C1022,'Paramètres'!$D:$D,0)),1,IF(INDEX('Paramètres'!$J:$J,MATCH($C1022,'Paramètres'!$D:$D,0))="",1,INDEX('Paramètres'!$J:$J,MATCH($C1022,'Paramètres'!$D:$D,0)))),2))</f>
        <v>86.6</v>
      </c>
      <c r="L1022" s="6" t="str">
        <f>IF($D1022="","",IF($F1022&lt;&gt;"",$F1022,IF(ISNA(MATCH($D1022,'Paramètres'!$M:$M,0)),"⚠ Type inconnu",IFERROR(INDEX('Paramètres'!$P:$P,MATCH($D1022,'Paramètres'!$M:$M,0))&amp;"",""))))</f>
        <v>Débit</v>
      </c>
      <c r="M1022" s="6" t="str">
        <f>IF($D1022="","",IF(ISNA(MATCH($D1022,'Paramètres'!$M:$M,0)),"⚠ Type inconnu",IF($L1022="Crédit","",IFERROR(INDEX('Paramètres'!$O:$O,MATCH($D1022,'Paramètres'!$M:$M,0))&amp;"",""))))</f>
        <v>Dépense Courante</v>
      </c>
      <c r="N1022" s="6" t="str">
        <f>IF($D1022="","",IFERROR(INDEX('Paramètres'!$Q:$Q,MATCH($D1022,'Paramètres'!$M:$M,0))&amp;"",""))</f>
        <v>Alimentation</v>
      </c>
      <c r="O1022" s="6">
        <f>IF($A1022="","",IF(OR($J1022&lt;&gt;"x",$A1022&lt;=FinReleve),1,0))</f>
        <v>1</v>
      </c>
      <c r="P1022" s="6">
        <f>IF($D1022="","",IF(AND($L1022="Crédit",OR(IFERROR(INDEX('Paramètres'!$O:$O,MATCH($D1022,'Paramètres'!$M:$M,0))&amp;"","")&lt;&gt;"",ISNUMBER(SEARCH("remboursement",IFERROR(INDEX('Paramètres'!$N:$N,MATCH($D1022,'Paramètres'!$M:$M,0))&amp;"",""))))),1,0))</f>
        <v>0</v>
      </c>
      <c r="Q1022" s="6">
        <f>IF($K1022="","",IF(ISNUMBER(SEARCH("transfert-interne",IFERROR(INDEX('Paramètres'!$N:$N,MATCH($D1022,'Paramètres'!$M:$M,0))&amp;"",""))),0,IF($L1022="Débit",$K1022,IF($P1022=1,-$K1022,0))))</f>
        <v>86.6</v>
      </c>
      <c r="R1022" s="6">
        <f>IF($K1022="","",IF($L1022="Crédit",$K1022,-$K1022))</f>
        <v>-86.6</v>
      </c>
      <c r="S1022" s="6" t="str">
        <f>IF($C1022="","",IFERROR(INDEX('Paramètres'!$H:$H,MATCH($C1022,'Paramètres'!$D:$D,0))&amp;"",""))</f>
        <v>Banque A - Courant</v>
      </c>
      <c r="T1022" s="6">
        <f>IF($K1022="","",IF($S1022="",0,IF(ISNUMBER(SEARCH("apport-exterieur",IFERROR(INDEX('Paramètres'!$N:$N,MATCH($D1022,'Paramètres'!$M:$M,0))&amp;"",""))),0,IF(OR(IFERROR(INDEX('Paramètres'!$I:$I,MATCH($C1022,'Paramètres'!$D:$D,0))&amp;"","")="Les deux",IFERROR(INDEX('Paramètres'!$I:$I,MATCH($C1022,'Paramètres'!$D:$D,0))&amp;"","")=IF($P1022=1,"Débit",$L1022)),-IF($P1022=1,-$K1022,$K1022),0))))</f>
        <v>0</v>
      </c>
      <c r="U1022" s="6">
        <f>IF($K1022="","",IF(ISNUMBER(SEARCH("sortie-epargne",IFERROR(INDEX('Paramètres'!$N:$N,MATCH($D1022,'Paramètres'!$M:$M,0))&amp;"",""))),$K1022,0))</f>
        <v>0</v>
      </c>
      <c r="V1022" s="6" t="str">
        <f>IF(AND($A1022&lt;&gt;"",$O1022=1,$L1022="Débit",N($Q1022)&gt;0,$A1022&gt;=Visualisation!$B$1,$A1022&lt;Visualisation!$D$1),MAX($V$1:V1021)+1,"")</f>
        <v/>
      </c>
    </row>
    <row r="1023" spans="1:22" x14ac:dyDescent="0.25">
      <c r="A1023" s="9">
        <v>46267</v>
      </c>
      <c r="B1023" s="4" t="s">
        <v>59</v>
      </c>
      <c r="C1023" s="4" t="s">
        <v>126</v>
      </c>
      <c r="D1023" s="4" t="s">
        <v>59</v>
      </c>
      <c r="E1023" s="10">
        <v>22.34</v>
      </c>
      <c r="G1023" s="4" t="s">
        <v>99</v>
      </c>
      <c r="H1023" s="4" t="s">
        <v>62</v>
      </c>
      <c r="I1023" s="4" t="s">
        <v>93</v>
      </c>
      <c r="K1023" s="11">
        <f>IF($E1023="","",ROUND($E1023*IF(ISNA(MATCH($C1023,'Paramètres'!$D:$D,0)),1,IF(INDEX('Paramètres'!$J:$J,MATCH($C1023,'Paramètres'!$D:$D,0))="",1,INDEX('Paramètres'!$J:$J,MATCH($C1023,'Paramètres'!$D:$D,0)))),2))</f>
        <v>11.17</v>
      </c>
      <c r="L1023" s="6" t="str">
        <f>IF($D1023="","",IF($F1023&lt;&gt;"",$F1023,IF(ISNA(MATCH($D1023,'Paramètres'!$M:$M,0)),"⚠ Type inconnu",IFERROR(INDEX('Paramètres'!$P:$P,MATCH($D1023,'Paramètres'!$M:$M,0))&amp;"",""))))</f>
        <v>Débit</v>
      </c>
      <c r="M1023" s="6" t="str">
        <f>IF($D1023="","",IF(ISNA(MATCH($D1023,'Paramètres'!$M:$M,0)),"⚠ Type inconnu",IF($L1023="Crédit","",IFERROR(INDEX('Paramètres'!$O:$O,MATCH($D1023,'Paramètres'!$M:$M,0))&amp;"",""))))</f>
        <v>Dépense Occasionnelle</v>
      </c>
      <c r="N1023" s="6" t="str">
        <f>IF($D1023="","",IFERROR(INDEX('Paramètres'!$Q:$Q,MATCH($D1023,'Paramètres'!$M:$M,0))&amp;"",""))</f>
        <v>Loisir</v>
      </c>
      <c r="O1023" s="6">
        <f>IF($A1023="","",IF(OR($J1023&lt;&gt;"x",$A1023&lt;=FinReleve),1,0))</f>
        <v>1</v>
      </c>
      <c r="P1023" s="6">
        <f>IF($D1023="","",IF(AND($L1023="Crédit",OR(IFERROR(INDEX('Paramètres'!$O:$O,MATCH($D1023,'Paramètres'!$M:$M,0))&amp;"","")&lt;&gt;"",ISNUMBER(SEARCH("remboursement",IFERROR(INDEX('Paramètres'!$N:$N,MATCH($D1023,'Paramètres'!$M:$M,0))&amp;"",""))))),1,0))</f>
        <v>0</v>
      </c>
      <c r="Q1023" s="6">
        <f>IF($K1023="","",IF(ISNUMBER(SEARCH("transfert-interne",IFERROR(INDEX('Paramètres'!$N:$N,MATCH($D1023,'Paramètres'!$M:$M,0))&amp;"",""))),0,IF($L1023="Débit",$K1023,IF($P1023=1,-$K1023,0))))</f>
        <v>11.17</v>
      </c>
      <c r="R1023" s="6">
        <f>IF($K1023="","",IF($L1023="Crédit",$K1023,-$K1023))</f>
        <v>-11.17</v>
      </c>
      <c r="S1023" s="6" t="str">
        <f>IF($C1023="","",IFERROR(INDEX('Paramètres'!$H:$H,MATCH($C1023,'Paramètres'!$D:$D,0))&amp;"",""))</f>
        <v>Banque A - Courant</v>
      </c>
      <c r="T1023" s="6">
        <f>IF($K1023="","",IF($S1023="",0,IF(ISNUMBER(SEARCH("apport-exterieur",IFERROR(INDEX('Paramètres'!$N:$N,MATCH($D1023,'Paramètres'!$M:$M,0))&amp;"",""))),0,IF(OR(IFERROR(INDEX('Paramètres'!$I:$I,MATCH($C1023,'Paramètres'!$D:$D,0))&amp;"","")="Les deux",IFERROR(INDEX('Paramètres'!$I:$I,MATCH($C1023,'Paramètres'!$D:$D,0))&amp;"","")=IF($P1023=1,"Débit",$L1023)),-IF($P1023=1,-$K1023,$K1023),0))))</f>
        <v>-11.17</v>
      </c>
      <c r="U1023" s="6">
        <f>IF($K1023="","",IF(ISNUMBER(SEARCH("sortie-epargne",IFERROR(INDEX('Paramètres'!$N:$N,MATCH($D1023,'Paramètres'!$M:$M,0))&amp;"",""))),$K1023,0))</f>
        <v>0</v>
      </c>
      <c r="V1023" s="6" t="str">
        <f>IF(AND($A1023&lt;&gt;"",$O1023=1,$L1023="Débit",N($Q1023)&gt;0,$A1023&gt;=Visualisation!$B$1,$A1023&lt;Visualisation!$D$1),MAX($V$1:V1022)+1,"")</f>
        <v/>
      </c>
    </row>
    <row r="1024" spans="1:22" x14ac:dyDescent="0.25">
      <c r="A1024" s="9">
        <v>46268</v>
      </c>
      <c r="B1024" s="4" t="s">
        <v>74</v>
      </c>
      <c r="C1024" s="4" t="s">
        <v>75</v>
      </c>
      <c r="D1024" s="4" t="s">
        <v>74</v>
      </c>
      <c r="E1024" s="10">
        <v>88.8</v>
      </c>
      <c r="G1024" s="4"/>
      <c r="H1024" s="4"/>
      <c r="I1024" s="4"/>
      <c r="K1024" s="11">
        <f>IF($E1024="","",ROUND($E1024*IF(ISNA(MATCH($C1024,'Paramètres'!$D:$D,0)),1,IF(INDEX('Paramètres'!$J:$J,MATCH($C1024,'Paramètres'!$D:$D,0))="",1,INDEX('Paramètres'!$J:$J,MATCH($C1024,'Paramètres'!$D:$D,0)))),2))</f>
        <v>88.8</v>
      </c>
      <c r="L1024" s="6" t="str">
        <f>IF($D1024="","",IF($F1024&lt;&gt;"",$F1024,IF(ISNA(MATCH($D1024,'Paramètres'!$M:$M,0)),"⚠ Type inconnu",IFERROR(INDEX('Paramètres'!$P:$P,MATCH($D1024,'Paramètres'!$M:$M,0))&amp;"",""))))</f>
        <v>Débit</v>
      </c>
      <c r="M1024" s="6" t="str">
        <f>IF($D1024="","",IF(ISNA(MATCH($D1024,'Paramètres'!$M:$M,0)),"⚠ Type inconnu",IF($L1024="Crédit","",IFERROR(INDEX('Paramètres'!$O:$O,MATCH($D1024,'Paramètres'!$M:$M,0))&amp;"",""))))</f>
        <v>Dépense Fixe</v>
      </c>
      <c r="N1024" s="6" t="str">
        <f>IF($D1024="","",IFERROR(INDEX('Paramètres'!$Q:$Q,MATCH($D1024,'Paramètres'!$M:$M,0))&amp;"",""))</f>
        <v>Transport</v>
      </c>
      <c r="O1024" s="6">
        <f>IF($A1024="","",IF(OR($J1024&lt;&gt;"x",$A1024&lt;=FinReleve),1,0))</f>
        <v>1</v>
      </c>
      <c r="P1024" s="6">
        <f>IF($D1024="","",IF(AND($L1024="Crédit",OR(IFERROR(INDEX('Paramètres'!$O:$O,MATCH($D1024,'Paramètres'!$M:$M,0))&amp;"","")&lt;&gt;"",ISNUMBER(SEARCH("remboursement",IFERROR(INDEX('Paramètres'!$N:$N,MATCH($D1024,'Paramètres'!$M:$M,0))&amp;"",""))))),1,0))</f>
        <v>0</v>
      </c>
      <c r="Q1024" s="6">
        <f>IF($K1024="","",IF(ISNUMBER(SEARCH("transfert-interne",IFERROR(INDEX('Paramètres'!$N:$N,MATCH($D1024,'Paramètres'!$M:$M,0))&amp;"",""))),0,IF($L1024="Débit",$K1024,IF($P1024=1,-$K1024,0))))</f>
        <v>88.8</v>
      </c>
      <c r="R1024" s="6">
        <f>IF($K1024="","",IF($L1024="Crédit",$K1024,-$K1024))</f>
        <v>-88.8</v>
      </c>
      <c r="S1024" s="6" t="str">
        <f>IF($C1024="","",IFERROR(INDEX('Paramètres'!$H:$H,MATCH($C1024,'Paramètres'!$D:$D,0))&amp;"",""))</f>
        <v/>
      </c>
      <c r="T1024" s="6">
        <f>IF($K1024="","",IF($S1024="",0,IF(ISNUMBER(SEARCH("apport-exterieur",IFERROR(INDEX('Paramètres'!$N:$N,MATCH($D1024,'Paramètres'!$M:$M,0))&amp;"",""))),0,IF(OR(IFERROR(INDEX('Paramètres'!$I:$I,MATCH($C1024,'Paramètres'!$D:$D,0))&amp;"","")="Les deux",IFERROR(INDEX('Paramètres'!$I:$I,MATCH($C1024,'Paramètres'!$D:$D,0))&amp;"","")=IF($P1024=1,"Débit",$L1024)),-IF($P1024=1,-$K1024,$K1024),0))))</f>
        <v>0</v>
      </c>
      <c r="U1024" s="6">
        <f>IF($K1024="","",IF(ISNUMBER(SEARCH("sortie-epargne",IFERROR(INDEX('Paramètres'!$N:$N,MATCH($D1024,'Paramètres'!$M:$M,0))&amp;"",""))),$K1024,0))</f>
        <v>0</v>
      </c>
      <c r="V1024" s="6" t="str">
        <f>IF(AND($A1024&lt;&gt;"",$O1024=1,$L1024="Débit",N($Q1024)&gt;0,$A1024&gt;=Visualisation!$B$1,$A1024&lt;Visualisation!$D$1),MAX($V$1:V1023)+1,"")</f>
        <v/>
      </c>
    </row>
    <row r="1025" spans="1:22" x14ac:dyDescent="0.25">
      <c r="A1025" s="9">
        <v>46268</v>
      </c>
      <c r="B1025" s="4" t="s">
        <v>131</v>
      </c>
      <c r="C1025" s="4" t="s">
        <v>75</v>
      </c>
      <c r="D1025" s="4" t="s">
        <v>143</v>
      </c>
      <c r="E1025" s="10">
        <v>25.43</v>
      </c>
      <c r="G1025" s="4" t="s">
        <v>143</v>
      </c>
      <c r="H1025" s="4"/>
      <c r="I1025" s="4" t="s">
        <v>93</v>
      </c>
      <c r="K1025" s="11">
        <f>IF($E1025="","",ROUND($E1025*IF(ISNA(MATCH($C1025,'Paramètres'!$D:$D,0)),1,IF(INDEX('Paramètres'!$J:$J,MATCH($C1025,'Paramètres'!$D:$D,0))="",1,INDEX('Paramètres'!$J:$J,MATCH($C1025,'Paramètres'!$D:$D,0)))),2))</f>
        <v>25.43</v>
      </c>
      <c r="L1025" s="6" t="str">
        <f>IF($D1025="","",IF($F1025&lt;&gt;"",$F1025,IF(ISNA(MATCH($D1025,'Paramètres'!$M:$M,0)),"⚠ Type inconnu",IFERROR(INDEX('Paramètres'!$P:$P,MATCH($D1025,'Paramètres'!$M:$M,0))&amp;"",""))))</f>
        <v>Débit</v>
      </c>
      <c r="M1025" s="6" t="str">
        <f>IF($D1025="","",IF(ISNA(MATCH($D1025,'Paramètres'!$M:$M,0)),"⚠ Type inconnu",IF($L1025="Crédit","",IFERROR(INDEX('Paramètres'!$O:$O,MATCH($D1025,'Paramètres'!$M:$M,0))&amp;"",""))))</f>
        <v>Dépense Courante</v>
      </c>
      <c r="N1025" s="6" t="str">
        <f>IF($D1025="","",IFERROR(INDEX('Paramètres'!$Q:$Q,MATCH($D1025,'Paramètres'!$M:$M,0))&amp;"",""))</f>
        <v>Santé</v>
      </c>
      <c r="O1025" s="6">
        <f>IF($A1025="","",IF(OR($J1025&lt;&gt;"x",$A1025&lt;=FinReleve),1,0))</f>
        <v>1</v>
      </c>
      <c r="P1025" s="6">
        <f>IF($D1025="","",IF(AND($L1025="Crédit",OR(IFERROR(INDEX('Paramètres'!$O:$O,MATCH($D1025,'Paramètres'!$M:$M,0))&amp;"","")&lt;&gt;"",ISNUMBER(SEARCH("remboursement",IFERROR(INDEX('Paramètres'!$N:$N,MATCH($D1025,'Paramètres'!$M:$M,0))&amp;"",""))))),1,0))</f>
        <v>0</v>
      </c>
      <c r="Q1025" s="6">
        <f>IF($K1025="","",IF(ISNUMBER(SEARCH("transfert-interne",IFERROR(INDEX('Paramètres'!$N:$N,MATCH($D1025,'Paramètres'!$M:$M,0))&amp;"",""))),0,IF($L1025="Débit",$K1025,IF($P1025=1,-$K1025,0))))</f>
        <v>25.43</v>
      </c>
      <c r="R1025" s="6">
        <f>IF($K1025="","",IF($L1025="Crédit",$K1025,-$K1025))</f>
        <v>-25.43</v>
      </c>
      <c r="S1025" s="6" t="str">
        <f>IF($C1025="","",IFERROR(INDEX('Paramètres'!$H:$H,MATCH($C1025,'Paramètres'!$D:$D,0))&amp;"",""))</f>
        <v/>
      </c>
      <c r="T1025" s="6">
        <f>IF($K1025="","",IF($S1025="",0,IF(ISNUMBER(SEARCH("apport-exterieur",IFERROR(INDEX('Paramètres'!$N:$N,MATCH($D1025,'Paramètres'!$M:$M,0))&amp;"",""))),0,IF(OR(IFERROR(INDEX('Paramètres'!$I:$I,MATCH($C1025,'Paramètres'!$D:$D,0))&amp;"","")="Les deux",IFERROR(INDEX('Paramètres'!$I:$I,MATCH($C1025,'Paramètres'!$D:$D,0))&amp;"","")=IF($P1025=1,"Débit",$L1025)),-IF($P1025=1,-$K1025,$K1025),0))))</f>
        <v>0</v>
      </c>
      <c r="U1025" s="6">
        <f>IF($K1025="","",IF(ISNUMBER(SEARCH("sortie-epargne",IFERROR(INDEX('Paramètres'!$N:$N,MATCH($D1025,'Paramètres'!$M:$M,0))&amp;"",""))),$K1025,0))</f>
        <v>0</v>
      </c>
      <c r="V1025" s="6" t="str">
        <f>IF(AND($A1025&lt;&gt;"",$O1025=1,$L1025="Débit",N($Q1025)&gt;0,$A1025&gt;=Visualisation!$B$1,$A1025&lt;Visualisation!$D$1),MAX($V$1:V1024)+1,"")</f>
        <v/>
      </c>
    </row>
    <row r="1026" spans="1:22" x14ac:dyDescent="0.25">
      <c r="A1026" s="9">
        <v>46269</v>
      </c>
      <c r="B1026" s="4" t="s">
        <v>69</v>
      </c>
      <c r="C1026" s="4" t="s">
        <v>70</v>
      </c>
      <c r="D1026" s="4" t="s">
        <v>71</v>
      </c>
      <c r="E1026" s="10">
        <v>7.65</v>
      </c>
      <c r="G1026" s="4" t="s">
        <v>72</v>
      </c>
      <c r="H1026" s="4"/>
      <c r="I1026" s="4" t="s">
        <v>79</v>
      </c>
      <c r="K1026" s="11">
        <f>IF($E1026="","",ROUND($E1026*IF(ISNA(MATCH($C1026,'Paramètres'!$D:$D,0)),1,IF(INDEX('Paramètres'!$J:$J,MATCH($C1026,'Paramètres'!$D:$D,0))="",1,INDEX('Paramètres'!$J:$J,MATCH($C1026,'Paramètres'!$D:$D,0)))),2))</f>
        <v>7.65</v>
      </c>
      <c r="L1026" s="6" t="str">
        <f>IF($D1026="","",IF($F1026&lt;&gt;"",$F1026,IF(ISNA(MATCH($D1026,'Paramètres'!$M:$M,0)),"⚠ Type inconnu",IFERROR(INDEX('Paramètres'!$P:$P,MATCH($D1026,'Paramètres'!$M:$M,0))&amp;"",""))))</f>
        <v>Débit</v>
      </c>
      <c r="M1026" s="6" t="str">
        <f>IF($D1026="","",IF(ISNA(MATCH($D1026,'Paramètres'!$M:$M,0)),"⚠ Type inconnu",IF($L1026="Crédit","",IFERROR(INDEX('Paramètres'!$O:$O,MATCH($D1026,'Paramètres'!$M:$M,0))&amp;"",""))))</f>
        <v>Dépense Courante</v>
      </c>
      <c r="N1026" s="6" t="str">
        <f>IF($D1026="","",IFERROR(INDEX('Paramètres'!$Q:$Q,MATCH($D1026,'Paramètres'!$M:$M,0))&amp;"",""))</f>
        <v>Alimentation</v>
      </c>
      <c r="O1026" s="6">
        <f>IF($A1026="","",IF(OR($J1026&lt;&gt;"x",$A1026&lt;=FinReleve),1,0))</f>
        <v>1</v>
      </c>
      <c r="P1026" s="6">
        <f>IF($D1026="","",IF(AND($L1026="Crédit",OR(IFERROR(INDEX('Paramètres'!$O:$O,MATCH($D1026,'Paramètres'!$M:$M,0))&amp;"","")&lt;&gt;"",ISNUMBER(SEARCH("remboursement",IFERROR(INDEX('Paramètres'!$N:$N,MATCH($D1026,'Paramètres'!$M:$M,0))&amp;"",""))))),1,0))</f>
        <v>0</v>
      </c>
      <c r="Q1026" s="6">
        <f>IF($K1026="","",IF(ISNUMBER(SEARCH("transfert-interne",IFERROR(INDEX('Paramètres'!$N:$N,MATCH($D1026,'Paramètres'!$M:$M,0))&amp;"",""))),0,IF($L1026="Débit",$K1026,IF($P1026=1,-$K1026,0))))</f>
        <v>7.65</v>
      </c>
      <c r="R1026" s="6">
        <f>IF($K1026="","",IF($L1026="Crédit",$K1026,-$K1026))</f>
        <v>-7.65</v>
      </c>
      <c r="S1026" s="6" t="str">
        <f>IF($C1026="","",IFERROR(INDEX('Paramètres'!$H:$H,MATCH($C1026,'Paramètres'!$D:$D,0))&amp;"",""))</f>
        <v/>
      </c>
      <c r="T1026" s="6">
        <f>IF($K1026="","",IF($S1026="",0,IF(ISNUMBER(SEARCH("apport-exterieur",IFERROR(INDEX('Paramètres'!$N:$N,MATCH($D1026,'Paramètres'!$M:$M,0))&amp;"",""))),0,IF(OR(IFERROR(INDEX('Paramètres'!$I:$I,MATCH($C1026,'Paramètres'!$D:$D,0))&amp;"","")="Les deux",IFERROR(INDEX('Paramètres'!$I:$I,MATCH($C1026,'Paramètres'!$D:$D,0))&amp;"","")=IF($P1026=1,"Débit",$L1026)),-IF($P1026=1,-$K1026,$K1026),0))))</f>
        <v>0</v>
      </c>
      <c r="U1026" s="6">
        <f>IF($K1026="","",IF(ISNUMBER(SEARCH("sortie-epargne",IFERROR(INDEX('Paramètres'!$N:$N,MATCH($D1026,'Paramètres'!$M:$M,0))&amp;"",""))),$K1026,0))</f>
        <v>0</v>
      </c>
      <c r="V1026" s="6" t="str">
        <f>IF(AND($A1026&lt;&gt;"",$O1026=1,$L1026="Débit",N($Q1026)&gt;0,$A1026&gt;=Visualisation!$B$1,$A1026&lt;Visualisation!$D$1),MAX($V$1:V1025)+1,"")</f>
        <v/>
      </c>
    </row>
    <row r="1027" spans="1:22" x14ac:dyDescent="0.25">
      <c r="A1027" s="9">
        <v>46269</v>
      </c>
      <c r="B1027" s="4" t="s">
        <v>69</v>
      </c>
      <c r="C1027" s="4" t="s">
        <v>70</v>
      </c>
      <c r="D1027" s="4" t="s">
        <v>71</v>
      </c>
      <c r="E1027" s="10">
        <v>14.47</v>
      </c>
      <c r="G1027" s="4" t="s">
        <v>72</v>
      </c>
      <c r="H1027" s="4"/>
      <c r="I1027" s="4"/>
      <c r="K1027" s="11">
        <f>IF($E1027="","",ROUND($E1027*IF(ISNA(MATCH($C1027,'Paramètres'!$D:$D,0)),1,IF(INDEX('Paramètres'!$J:$J,MATCH($C1027,'Paramètres'!$D:$D,0))="",1,INDEX('Paramètres'!$J:$J,MATCH($C1027,'Paramètres'!$D:$D,0)))),2))</f>
        <v>14.47</v>
      </c>
      <c r="L1027" s="6" t="str">
        <f>IF($D1027="","",IF($F1027&lt;&gt;"",$F1027,IF(ISNA(MATCH($D1027,'Paramètres'!$M:$M,0)),"⚠ Type inconnu",IFERROR(INDEX('Paramètres'!$P:$P,MATCH($D1027,'Paramètres'!$M:$M,0))&amp;"",""))))</f>
        <v>Débit</v>
      </c>
      <c r="M1027" s="6" t="str">
        <f>IF($D1027="","",IF(ISNA(MATCH($D1027,'Paramètres'!$M:$M,0)),"⚠ Type inconnu",IF($L1027="Crédit","",IFERROR(INDEX('Paramètres'!$O:$O,MATCH($D1027,'Paramètres'!$M:$M,0))&amp;"",""))))</f>
        <v>Dépense Courante</v>
      </c>
      <c r="N1027" s="6" t="str">
        <f>IF($D1027="","",IFERROR(INDEX('Paramètres'!$Q:$Q,MATCH($D1027,'Paramètres'!$M:$M,0))&amp;"",""))</f>
        <v>Alimentation</v>
      </c>
      <c r="O1027" s="6">
        <f>IF($A1027="","",IF(OR($J1027&lt;&gt;"x",$A1027&lt;=FinReleve),1,0))</f>
        <v>1</v>
      </c>
      <c r="P1027" s="6">
        <f>IF($D1027="","",IF(AND($L1027="Crédit",OR(IFERROR(INDEX('Paramètres'!$O:$O,MATCH($D1027,'Paramètres'!$M:$M,0))&amp;"","")&lt;&gt;"",ISNUMBER(SEARCH("remboursement",IFERROR(INDEX('Paramètres'!$N:$N,MATCH($D1027,'Paramètres'!$M:$M,0))&amp;"",""))))),1,0))</f>
        <v>0</v>
      </c>
      <c r="Q1027" s="6">
        <f>IF($K1027="","",IF(ISNUMBER(SEARCH("transfert-interne",IFERROR(INDEX('Paramètres'!$N:$N,MATCH($D1027,'Paramètres'!$M:$M,0))&amp;"",""))),0,IF($L1027="Débit",$K1027,IF($P1027=1,-$K1027,0))))</f>
        <v>14.47</v>
      </c>
      <c r="R1027" s="6">
        <f>IF($K1027="","",IF($L1027="Crédit",$K1027,-$K1027))</f>
        <v>-14.47</v>
      </c>
      <c r="S1027" s="6" t="str">
        <f>IF($C1027="","",IFERROR(INDEX('Paramètres'!$H:$H,MATCH($C1027,'Paramètres'!$D:$D,0))&amp;"",""))</f>
        <v/>
      </c>
      <c r="T1027" s="6">
        <f>IF($K1027="","",IF($S1027="",0,IF(ISNUMBER(SEARCH("apport-exterieur",IFERROR(INDEX('Paramètres'!$N:$N,MATCH($D1027,'Paramètres'!$M:$M,0))&amp;"",""))),0,IF(OR(IFERROR(INDEX('Paramètres'!$I:$I,MATCH($C1027,'Paramètres'!$D:$D,0))&amp;"","")="Les deux",IFERROR(INDEX('Paramètres'!$I:$I,MATCH($C1027,'Paramètres'!$D:$D,0))&amp;"","")=IF($P1027=1,"Débit",$L1027)),-IF($P1027=1,-$K1027,$K1027),0))))</f>
        <v>0</v>
      </c>
      <c r="U1027" s="6">
        <f>IF($K1027="","",IF(ISNUMBER(SEARCH("sortie-epargne",IFERROR(INDEX('Paramètres'!$N:$N,MATCH($D1027,'Paramètres'!$M:$M,0))&amp;"",""))),$K1027,0))</f>
        <v>0</v>
      </c>
      <c r="V1027" s="6" t="str">
        <f>IF(AND($A1027&lt;&gt;"",$O1027=1,$L1027="Débit",N($Q1027)&gt;0,$A1027&gt;=Visualisation!$B$1,$A1027&lt;Visualisation!$D$1),MAX($V$1:V1026)+1,"")</f>
        <v/>
      </c>
    </row>
    <row r="1028" spans="1:22" x14ac:dyDescent="0.25">
      <c r="A1028" s="9">
        <v>46269</v>
      </c>
      <c r="B1028" s="4" t="s">
        <v>69</v>
      </c>
      <c r="C1028" s="4" t="s">
        <v>70</v>
      </c>
      <c r="D1028" s="4" t="s">
        <v>71</v>
      </c>
      <c r="E1028" s="10">
        <v>11.52</v>
      </c>
      <c r="G1028" s="4" t="s">
        <v>72</v>
      </c>
      <c r="H1028" s="4"/>
      <c r="I1028" s="4" t="s">
        <v>63</v>
      </c>
      <c r="K1028" s="11">
        <f>IF($E1028="","",ROUND($E1028*IF(ISNA(MATCH($C1028,'Paramètres'!$D:$D,0)),1,IF(INDEX('Paramètres'!$J:$J,MATCH($C1028,'Paramètres'!$D:$D,0))="",1,INDEX('Paramètres'!$J:$J,MATCH($C1028,'Paramètres'!$D:$D,0)))),2))</f>
        <v>11.52</v>
      </c>
      <c r="L1028" s="6" t="str">
        <f>IF($D1028="","",IF($F1028&lt;&gt;"",$F1028,IF(ISNA(MATCH($D1028,'Paramètres'!$M:$M,0)),"⚠ Type inconnu",IFERROR(INDEX('Paramètres'!$P:$P,MATCH($D1028,'Paramètres'!$M:$M,0))&amp;"",""))))</f>
        <v>Débit</v>
      </c>
      <c r="M1028" s="6" t="str">
        <f>IF($D1028="","",IF(ISNA(MATCH($D1028,'Paramètres'!$M:$M,0)),"⚠ Type inconnu",IF($L1028="Crédit","",IFERROR(INDEX('Paramètres'!$O:$O,MATCH($D1028,'Paramètres'!$M:$M,0))&amp;"",""))))</f>
        <v>Dépense Courante</v>
      </c>
      <c r="N1028" s="6" t="str">
        <f>IF($D1028="","",IFERROR(INDEX('Paramètres'!$Q:$Q,MATCH($D1028,'Paramètres'!$M:$M,0))&amp;"",""))</f>
        <v>Alimentation</v>
      </c>
      <c r="O1028" s="6">
        <f>IF($A1028="","",IF(OR($J1028&lt;&gt;"x",$A1028&lt;=FinReleve),1,0))</f>
        <v>1</v>
      </c>
      <c r="P1028" s="6">
        <f>IF($D1028="","",IF(AND($L1028="Crédit",OR(IFERROR(INDEX('Paramètres'!$O:$O,MATCH($D1028,'Paramètres'!$M:$M,0))&amp;"","")&lt;&gt;"",ISNUMBER(SEARCH("remboursement",IFERROR(INDEX('Paramètres'!$N:$N,MATCH($D1028,'Paramètres'!$M:$M,0))&amp;"",""))))),1,0))</f>
        <v>0</v>
      </c>
      <c r="Q1028" s="6">
        <f>IF($K1028="","",IF(ISNUMBER(SEARCH("transfert-interne",IFERROR(INDEX('Paramètres'!$N:$N,MATCH($D1028,'Paramètres'!$M:$M,0))&amp;"",""))),0,IF($L1028="Débit",$K1028,IF($P1028=1,-$K1028,0))))</f>
        <v>11.52</v>
      </c>
      <c r="R1028" s="6">
        <f>IF($K1028="","",IF($L1028="Crédit",$K1028,-$K1028))</f>
        <v>-11.52</v>
      </c>
      <c r="S1028" s="6" t="str">
        <f>IF($C1028="","",IFERROR(INDEX('Paramètres'!$H:$H,MATCH($C1028,'Paramètres'!$D:$D,0))&amp;"",""))</f>
        <v/>
      </c>
      <c r="T1028" s="6">
        <f>IF($K1028="","",IF($S1028="",0,IF(ISNUMBER(SEARCH("apport-exterieur",IFERROR(INDEX('Paramètres'!$N:$N,MATCH($D1028,'Paramètres'!$M:$M,0))&amp;"",""))),0,IF(OR(IFERROR(INDEX('Paramètres'!$I:$I,MATCH($C1028,'Paramètres'!$D:$D,0))&amp;"","")="Les deux",IFERROR(INDEX('Paramètres'!$I:$I,MATCH($C1028,'Paramètres'!$D:$D,0))&amp;"","")=IF($P1028=1,"Débit",$L1028)),-IF($P1028=1,-$K1028,$K1028),0))))</f>
        <v>0</v>
      </c>
      <c r="U1028" s="6">
        <f>IF($K1028="","",IF(ISNUMBER(SEARCH("sortie-epargne",IFERROR(INDEX('Paramètres'!$N:$N,MATCH($D1028,'Paramètres'!$M:$M,0))&amp;"",""))),$K1028,0))</f>
        <v>0</v>
      </c>
      <c r="V1028" s="6" t="str">
        <f>IF(AND($A1028&lt;&gt;"",$O1028=1,$L1028="Débit",N($Q1028)&gt;0,$A1028&gt;=Visualisation!$B$1,$A1028&lt;Visualisation!$D$1),MAX($V$1:V1027)+1,"")</f>
        <v/>
      </c>
    </row>
    <row r="1029" spans="1:22" x14ac:dyDescent="0.25">
      <c r="A1029" s="9">
        <v>46269</v>
      </c>
      <c r="B1029" s="4" t="s">
        <v>59</v>
      </c>
      <c r="C1029" s="4" t="s">
        <v>126</v>
      </c>
      <c r="D1029" s="4" t="s">
        <v>59</v>
      </c>
      <c r="E1029" s="10">
        <v>104.04</v>
      </c>
      <c r="G1029" s="4" t="s">
        <v>138</v>
      </c>
      <c r="H1029" s="4" t="s">
        <v>62</v>
      </c>
      <c r="I1029" s="4" t="s">
        <v>79</v>
      </c>
      <c r="K1029" s="11">
        <f>IF($E1029="","",ROUND($E1029*IF(ISNA(MATCH($C1029,'Paramètres'!$D:$D,0)),1,IF(INDEX('Paramètres'!$J:$J,MATCH($C1029,'Paramètres'!$D:$D,0))="",1,INDEX('Paramètres'!$J:$J,MATCH($C1029,'Paramètres'!$D:$D,0)))),2))</f>
        <v>52.02</v>
      </c>
      <c r="L1029" s="6" t="str">
        <f>IF($D1029="","",IF($F1029&lt;&gt;"",$F1029,IF(ISNA(MATCH($D1029,'Paramètres'!$M:$M,0)),"⚠ Type inconnu",IFERROR(INDEX('Paramètres'!$P:$P,MATCH($D1029,'Paramètres'!$M:$M,0))&amp;"",""))))</f>
        <v>Débit</v>
      </c>
      <c r="M1029" s="6" t="str">
        <f>IF($D1029="","",IF(ISNA(MATCH($D1029,'Paramètres'!$M:$M,0)),"⚠ Type inconnu",IF($L1029="Crédit","",IFERROR(INDEX('Paramètres'!$O:$O,MATCH($D1029,'Paramètres'!$M:$M,0))&amp;"",""))))</f>
        <v>Dépense Occasionnelle</v>
      </c>
      <c r="N1029" s="6" t="str">
        <f>IF($D1029="","",IFERROR(INDEX('Paramètres'!$Q:$Q,MATCH($D1029,'Paramètres'!$M:$M,0))&amp;"",""))</f>
        <v>Loisir</v>
      </c>
      <c r="O1029" s="6">
        <f>IF($A1029="","",IF(OR($J1029&lt;&gt;"x",$A1029&lt;=FinReleve),1,0))</f>
        <v>1</v>
      </c>
      <c r="P1029" s="6">
        <f>IF($D1029="","",IF(AND($L1029="Crédit",OR(IFERROR(INDEX('Paramètres'!$O:$O,MATCH($D1029,'Paramètres'!$M:$M,0))&amp;"","")&lt;&gt;"",ISNUMBER(SEARCH("remboursement",IFERROR(INDEX('Paramètres'!$N:$N,MATCH($D1029,'Paramètres'!$M:$M,0))&amp;"",""))))),1,0))</f>
        <v>0</v>
      </c>
      <c r="Q1029" s="6">
        <f>IF($K1029="","",IF(ISNUMBER(SEARCH("transfert-interne",IFERROR(INDEX('Paramètres'!$N:$N,MATCH($D1029,'Paramètres'!$M:$M,0))&amp;"",""))),0,IF($L1029="Débit",$K1029,IF($P1029=1,-$K1029,0))))</f>
        <v>52.02</v>
      </c>
      <c r="R1029" s="6">
        <f>IF($K1029="","",IF($L1029="Crédit",$K1029,-$K1029))</f>
        <v>-52.02</v>
      </c>
      <c r="S1029" s="6" t="str">
        <f>IF($C1029="","",IFERROR(INDEX('Paramètres'!$H:$H,MATCH($C1029,'Paramètres'!$D:$D,0))&amp;"",""))</f>
        <v>Banque A - Courant</v>
      </c>
      <c r="T1029" s="6">
        <f>IF($K1029="","",IF($S1029="",0,IF(ISNUMBER(SEARCH("apport-exterieur",IFERROR(INDEX('Paramètres'!$N:$N,MATCH($D1029,'Paramètres'!$M:$M,0))&amp;"",""))),0,IF(OR(IFERROR(INDEX('Paramètres'!$I:$I,MATCH($C1029,'Paramètres'!$D:$D,0))&amp;"","")="Les deux",IFERROR(INDEX('Paramètres'!$I:$I,MATCH($C1029,'Paramètres'!$D:$D,0))&amp;"","")=IF($P1029=1,"Débit",$L1029)),-IF($P1029=1,-$K1029,$K1029),0))))</f>
        <v>-52.02</v>
      </c>
      <c r="U1029" s="6">
        <f>IF($K1029="","",IF(ISNUMBER(SEARCH("sortie-epargne",IFERROR(INDEX('Paramètres'!$N:$N,MATCH($D1029,'Paramètres'!$M:$M,0))&amp;"",""))),$K1029,0))</f>
        <v>0</v>
      </c>
      <c r="V1029" s="6" t="str">
        <f>IF(AND($A1029&lt;&gt;"",$O1029=1,$L1029="Débit",N($Q1029)&gt;0,$A1029&gt;=Visualisation!$B$1,$A1029&lt;Visualisation!$D$1),MAX($V$1:V1028)+1,"")</f>
        <v/>
      </c>
    </row>
    <row r="1030" spans="1:22" x14ac:dyDescent="0.25">
      <c r="A1030" s="9">
        <v>46269</v>
      </c>
      <c r="B1030" s="4" t="s">
        <v>80</v>
      </c>
      <c r="C1030" s="4" t="s">
        <v>70</v>
      </c>
      <c r="D1030" s="4" t="s">
        <v>81</v>
      </c>
      <c r="E1030" s="10">
        <v>120.64</v>
      </c>
      <c r="G1030" s="4"/>
      <c r="H1030" s="4"/>
      <c r="I1030" s="4"/>
      <c r="K1030" s="11">
        <f>IF($E1030="","",ROUND($E1030*IF(ISNA(MATCH($C1030,'Paramètres'!$D:$D,0)),1,IF(INDEX('Paramètres'!$J:$J,MATCH($C1030,'Paramètres'!$D:$D,0))="",1,INDEX('Paramètres'!$J:$J,MATCH($C1030,'Paramètres'!$D:$D,0)))),2))</f>
        <v>120.64</v>
      </c>
      <c r="L1030" s="6" t="str">
        <f>IF($D1030="","",IF($F1030&lt;&gt;"",$F1030,IF(ISNA(MATCH($D1030,'Paramètres'!$M:$M,0)),"⚠ Type inconnu",IFERROR(INDEX('Paramètres'!$P:$P,MATCH($D1030,'Paramètres'!$M:$M,0))&amp;"",""))))</f>
        <v>Crédit</v>
      </c>
      <c r="M1030" s="6" t="str">
        <f>IF($D1030="","",IF(ISNA(MATCH($D1030,'Paramètres'!$M:$M,0)),"⚠ Type inconnu",IF($L1030="Crédit","",IFERROR(INDEX('Paramètres'!$O:$O,MATCH($D1030,'Paramètres'!$M:$M,0))&amp;"",""))))</f>
        <v/>
      </c>
      <c r="N1030" s="6" t="str">
        <f>IF($D1030="","",IFERROR(INDEX('Paramètres'!$Q:$Q,MATCH($D1030,'Paramètres'!$M:$M,0))&amp;"",""))</f>
        <v>Comptes Bancaires</v>
      </c>
      <c r="O1030" s="6">
        <f>IF($A1030="","",IF(OR($J1030&lt;&gt;"x",$A1030&lt;=FinReleve),1,0))</f>
        <v>1</v>
      </c>
      <c r="P1030" s="6">
        <f>IF($D1030="","",IF(AND($L1030="Crédit",OR(IFERROR(INDEX('Paramètres'!$O:$O,MATCH($D1030,'Paramètres'!$M:$M,0))&amp;"","")&lt;&gt;"",ISNUMBER(SEARCH("remboursement",IFERROR(INDEX('Paramètres'!$N:$N,MATCH($D1030,'Paramètres'!$M:$M,0))&amp;"",""))))),1,0))</f>
        <v>0</v>
      </c>
      <c r="Q1030" s="6">
        <f>IF($K1030="","",IF(ISNUMBER(SEARCH("transfert-interne",IFERROR(INDEX('Paramètres'!$N:$N,MATCH($D1030,'Paramètres'!$M:$M,0))&amp;"",""))),0,IF($L1030="Débit",$K1030,IF($P1030=1,-$K1030,0))))</f>
        <v>0</v>
      </c>
      <c r="R1030" s="6">
        <f>IF($K1030="","",IF($L1030="Crédit",$K1030,-$K1030))</f>
        <v>120.64</v>
      </c>
      <c r="S1030" s="6" t="str">
        <f>IF($C1030="","",IFERROR(INDEX('Paramètres'!$H:$H,MATCH($C1030,'Paramètres'!$D:$D,0))&amp;"",""))</f>
        <v/>
      </c>
      <c r="T1030" s="6">
        <f>IF($K1030="","",IF($S1030="",0,IF(ISNUMBER(SEARCH("apport-exterieur",IFERROR(INDEX('Paramètres'!$N:$N,MATCH($D1030,'Paramètres'!$M:$M,0))&amp;"",""))),0,IF(OR(IFERROR(INDEX('Paramètres'!$I:$I,MATCH($C1030,'Paramètres'!$D:$D,0))&amp;"","")="Les deux",IFERROR(INDEX('Paramètres'!$I:$I,MATCH($C1030,'Paramètres'!$D:$D,0))&amp;"","")=IF($P1030=1,"Débit",$L1030)),-IF($P1030=1,-$K1030,$K1030),0))))</f>
        <v>0</v>
      </c>
      <c r="U1030" s="6">
        <f>IF($K1030="","",IF(ISNUMBER(SEARCH("sortie-epargne",IFERROR(INDEX('Paramètres'!$N:$N,MATCH($D1030,'Paramètres'!$M:$M,0))&amp;"",""))),$K1030,0))</f>
        <v>0</v>
      </c>
      <c r="V1030" s="6" t="str">
        <f>IF(AND($A1030&lt;&gt;"",$O1030=1,$L1030="Débit",N($Q1030)&gt;0,$A1030&gt;=Visualisation!$B$1,$A1030&lt;Visualisation!$D$1),MAX($V$1:V1029)+1,"")</f>
        <v/>
      </c>
    </row>
    <row r="1031" spans="1:22" x14ac:dyDescent="0.25">
      <c r="A1031" s="9">
        <v>46270</v>
      </c>
      <c r="B1031" s="4" t="s">
        <v>82</v>
      </c>
      <c r="C1031" s="4" t="s">
        <v>65</v>
      </c>
      <c r="D1031" s="4" t="s">
        <v>83</v>
      </c>
      <c r="E1031" s="10">
        <v>669.16</v>
      </c>
      <c r="G1031" s="4" t="s">
        <v>84</v>
      </c>
      <c r="H1031" s="4"/>
      <c r="I1031" s="4"/>
      <c r="K1031" s="11">
        <f>IF($E1031="","",ROUND($E1031*IF(ISNA(MATCH($C1031,'Paramètres'!$D:$D,0)),1,IF(INDEX('Paramètres'!$J:$J,MATCH($C1031,'Paramètres'!$D:$D,0))="",1,INDEX('Paramètres'!$J:$J,MATCH($C1031,'Paramètres'!$D:$D,0)))),2))</f>
        <v>669.16</v>
      </c>
      <c r="L1031" s="6" t="str">
        <f>IF($D1031="","",IF($F1031&lt;&gt;"",$F1031,IF(ISNA(MATCH($D1031,'Paramètres'!$M:$M,0)),"⚠ Type inconnu",IFERROR(INDEX('Paramètres'!$P:$P,MATCH($D1031,'Paramètres'!$M:$M,0))&amp;"",""))))</f>
        <v>Débit</v>
      </c>
      <c r="M1031" s="6" t="str">
        <f>IF($D1031="","",IF(ISNA(MATCH($D1031,'Paramètres'!$M:$M,0)),"⚠ Type inconnu",IF($L1031="Crédit","",IFERROR(INDEX('Paramètres'!$O:$O,MATCH($D1031,'Paramètres'!$M:$M,0))&amp;"",""))))</f>
        <v/>
      </c>
      <c r="N1031" s="6" t="str">
        <f>IF($D1031="","",IFERROR(INDEX('Paramètres'!$Q:$Q,MATCH($D1031,'Paramètres'!$M:$M,0))&amp;"",""))</f>
        <v>Immobilier</v>
      </c>
      <c r="O1031" s="6">
        <f>IF($A1031="","",IF(OR($J1031&lt;&gt;"x",$A1031&lt;=FinReleve),1,0))</f>
        <v>1</v>
      </c>
      <c r="P1031" s="6">
        <f>IF($D1031="","",IF(AND($L1031="Crédit",OR(IFERROR(INDEX('Paramètres'!$O:$O,MATCH($D1031,'Paramètres'!$M:$M,0))&amp;"","")&lt;&gt;"",ISNUMBER(SEARCH("remboursement",IFERROR(INDEX('Paramètres'!$N:$N,MATCH($D1031,'Paramètres'!$M:$M,0))&amp;"",""))))),1,0))</f>
        <v>0</v>
      </c>
      <c r="Q1031" s="6">
        <f>IF($K1031="","",IF(ISNUMBER(SEARCH("transfert-interne",IFERROR(INDEX('Paramètres'!$N:$N,MATCH($D1031,'Paramètres'!$M:$M,0))&amp;"",""))),0,IF($L1031="Débit",$K1031,IF($P1031=1,-$K1031,0))))</f>
        <v>669.16</v>
      </c>
      <c r="R1031" s="6">
        <f>IF($K1031="","",IF($L1031="Crédit",$K1031,-$K1031))</f>
        <v>-669.16</v>
      </c>
      <c r="S1031" s="6" t="str">
        <f>IF($C1031="","",IFERROR(INDEX('Paramètres'!$H:$H,MATCH($C1031,'Paramètres'!$D:$D,0))&amp;"",""))</f>
        <v>Banque A - Courant</v>
      </c>
      <c r="T1031" s="6">
        <f>IF($K1031="","",IF($S1031="",0,IF(ISNUMBER(SEARCH("apport-exterieur",IFERROR(INDEX('Paramètres'!$N:$N,MATCH($D1031,'Paramètres'!$M:$M,0))&amp;"",""))),0,IF(OR(IFERROR(INDEX('Paramètres'!$I:$I,MATCH($C1031,'Paramètres'!$D:$D,0))&amp;"","")="Les deux",IFERROR(INDEX('Paramètres'!$I:$I,MATCH($C1031,'Paramètres'!$D:$D,0))&amp;"","")=IF($P1031=1,"Débit",$L1031)),-IF($P1031=1,-$K1031,$K1031),0))))</f>
        <v>0</v>
      </c>
      <c r="U1031" s="6">
        <f>IF($K1031="","",IF(ISNUMBER(SEARCH("sortie-epargne",IFERROR(INDEX('Paramètres'!$N:$N,MATCH($D1031,'Paramètres'!$M:$M,0))&amp;"",""))),$K1031,0))</f>
        <v>0</v>
      </c>
      <c r="V1031" s="6" t="str">
        <f>IF(AND($A1031&lt;&gt;"",$O1031=1,$L1031="Débit",N($Q1031)&gt;0,$A1031&gt;=Visualisation!$B$1,$A1031&lt;Visualisation!$D$1),MAX($V$1:V1030)+1,"")</f>
        <v/>
      </c>
    </row>
    <row r="1032" spans="1:22" x14ac:dyDescent="0.25">
      <c r="A1032" s="9">
        <v>46270</v>
      </c>
      <c r="B1032" s="4" t="s">
        <v>85</v>
      </c>
      <c r="C1032" s="4" t="s">
        <v>65</v>
      </c>
      <c r="D1032" s="4" t="s">
        <v>86</v>
      </c>
      <c r="E1032" s="10">
        <v>224.48</v>
      </c>
      <c r="G1032" s="4" t="s">
        <v>87</v>
      </c>
      <c r="H1032" s="4"/>
      <c r="I1032" s="4"/>
      <c r="K1032" s="11">
        <f>IF($E1032="","",ROUND($E1032*IF(ISNA(MATCH($C1032,'Paramètres'!$D:$D,0)),1,IF(INDEX('Paramètres'!$J:$J,MATCH($C1032,'Paramètres'!$D:$D,0))="",1,INDEX('Paramètres'!$J:$J,MATCH($C1032,'Paramètres'!$D:$D,0)))),2))</f>
        <v>224.48</v>
      </c>
      <c r="L1032" s="6" t="str">
        <f>IF($D1032="","",IF($F1032&lt;&gt;"",$F1032,IF(ISNA(MATCH($D1032,'Paramètres'!$M:$M,0)),"⚠ Type inconnu",IFERROR(INDEX('Paramètres'!$P:$P,MATCH($D1032,'Paramètres'!$M:$M,0))&amp;"",""))))</f>
        <v>Débit</v>
      </c>
      <c r="M1032" s="6" t="str">
        <f>IF($D1032="","",IF(ISNA(MATCH($D1032,'Paramètres'!$M:$M,0)),"⚠ Type inconnu",IF($L1032="Crédit","",IFERROR(INDEX('Paramètres'!$O:$O,MATCH($D1032,'Paramètres'!$M:$M,0))&amp;"",""))))</f>
        <v>Dépense Fixe</v>
      </c>
      <c r="N1032" s="6" t="str">
        <f>IF($D1032="","",IFERROR(INDEX('Paramètres'!$Q:$Q,MATCH($D1032,'Paramètres'!$M:$M,0))&amp;"",""))</f>
        <v>Immobilier</v>
      </c>
      <c r="O1032" s="6">
        <f>IF($A1032="","",IF(OR($J1032&lt;&gt;"x",$A1032&lt;=FinReleve),1,0))</f>
        <v>1</v>
      </c>
      <c r="P1032" s="6">
        <f>IF($D1032="","",IF(AND($L1032="Crédit",OR(IFERROR(INDEX('Paramètres'!$O:$O,MATCH($D1032,'Paramètres'!$M:$M,0))&amp;"","")&lt;&gt;"",ISNUMBER(SEARCH("remboursement",IFERROR(INDEX('Paramètres'!$N:$N,MATCH($D1032,'Paramètres'!$M:$M,0))&amp;"",""))))),1,0))</f>
        <v>0</v>
      </c>
      <c r="Q1032" s="6">
        <f>IF($K1032="","",IF(ISNUMBER(SEARCH("transfert-interne",IFERROR(INDEX('Paramètres'!$N:$N,MATCH($D1032,'Paramètres'!$M:$M,0))&amp;"",""))),0,IF($L1032="Débit",$K1032,IF($P1032=1,-$K1032,0))))</f>
        <v>224.48</v>
      </c>
      <c r="R1032" s="6">
        <f>IF($K1032="","",IF($L1032="Crédit",$K1032,-$K1032))</f>
        <v>-224.48</v>
      </c>
      <c r="S1032" s="6" t="str">
        <f>IF($C1032="","",IFERROR(INDEX('Paramètres'!$H:$H,MATCH($C1032,'Paramètres'!$D:$D,0))&amp;"",""))</f>
        <v>Banque A - Courant</v>
      </c>
      <c r="T1032" s="6">
        <f>IF($K1032="","",IF($S1032="",0,IF(ISNUMBER(SEARCH("apport-exterieur",IFERROR(INDEX('Paramètres'!$N:$N,MATCH($D1032,'Paramètres'!$M:$M,0))&amp;"",""))),0,IF(OR(IFERROR(INDEX('Paramètres'!$I:$I,MATCH($C1032,'Paramètres'!$D:$D,0))&amp;"","")="Les deux",IFERROR(INDEX('Paramètres'!$I:$I,MATCH($C1032,'Paramètres'!$D:$D,0))&amp;"","")=IF($P1032=1,"Débit",$L1032)),-IF($P1032=1,-$K1032,$K1032),0))))</f>
        <v>0</v>
      </c>
      <c r="U1032" s="6">
        <f>IF($K1032="","",IF(ISNUMBER(SEARCH("sortie-epargne",IFERROR(INDEX('Paramètres'!$N:$N,MATCH($D1032,'Paramètres'!$M:$M,0))&amp;"",""))),$K1032,0))</f>
        <v>0</v>
      </c>
      <c r="V1032" s="6" t="str">
        <f>IF(AND($A1032&lt;&gt;"",$O1032=1,$L1032="Débit",N($Q1032)&gt;0,$A1032&gt;=Visualisation!$B$1,$A1032&lt;Visualisation!$D$1),MAX($V$1:V1031)+1,"")</f>
        <v/>
      </c>
    </row>
    <row r="1033" spans="1:22" x14ac:dyDescent="0.25">
      <c r="A1033" s="9">
        <v>46270</v>
      </c>
      <c r="B1033" s="4" t="s">
        <v>88</v>
      </c>
      <c r="C1033" s="4" t="s">
        <v>65</v>
      </c>
      <c r="D1033" s="4" t="s">
        <v>88</v>
      </c>
      <c r="E1033" s="10">
        <v>31.2</v>
      </c>
      <c r="G1033" s="4"/>
      <c r="H1033" s="4"/>
      <c r="I1033" s="4"/>
      <c r="K1033" s="11">
        <f>IF($E1033="","",ROUND($E1033*IF(ISNA(MATCH($C1033,'Paramètres'!$D:$D,0)),1,IF(INDEX('Paramètres'!$J:$J,MATCH($C1033,'Paramètres'!$D:$D,0))="",1,INDEX('Paramètres'!$J:$J,MATCH($C1033,'Paramètres'!$D:$D,0)))),2))</f>
        <v>31.2</v>
      </c>
      <c r="L1033" s="6" t="str">
        <f>IF($D1033="","",IF($F1033&lt;&gt;"",$F1033,IF(ISNA(MATCH($D1033,'Paramètres'!$M:$M,0)),"⚠ Type inconnu",IFERROR(INDEX('Paramètres'!$P:$P,MATCH($D1033,'Paramètres'!$M:$M,0))&amp;"",""))))</f>
        <v>Débit</v>
      </c>
      <c r="M1033" s="6" t="str">
        <f>IF($D1033="","",IF(ISNA(MATCH($D1033,'Paramètres'!$M:$M,0)),"⚠ Type inconnu",IF($L1033="Crédit","",IFERROR(INDEX('Paramètres'!$O:$O,MATCH($D1033,'Paramètres'!$M:$M,0))&amp;"",""))))</f>
        <v>Dépense Fixe</v>
      </c>
      <c r="N1033" s="6" t="str">
        <f>IF($D1033="","",IFERROR(INDEX('Paramètres'!$Q:$Q,MATCH($D1033,'Paramètres'!$M:$M,0))&amp;"",""))</f>
        <v>Assurances</v>
      </c>
      <c r="O1033" s="6">
        <f>IF($A1033="","",IF(OR($J1033&lt;&gt;"x",$A1033&lt;=FinReleve),1,0))</f>
        <v>1</v>
      </c>
      <c r="P1033" s="6">
        <f>IF($D1033="","",IF(AND($L1033="Crédit",OR(IFERROR(INDEX('Paramètres'!$O:$O,MATCH($D1033,'Paramètres'!$M:$M,0))&amp;"","")&lt;&gt;"",ISNUMBER(SEARCH("remboursement",IFERROR(INDEX('Paramètres'!$N:$N,MATCH($D1033,'Paramètres'!$M:$M,0))&amp;"",""))))),1,0))</f>
        <v>0</v>
      </c>
      <c r="Q1033" s="6">
        <f>IF($K1033="","",IF(ISNUMBER(SEARCH("transfert-interne",IFERROR(INDEX('Paramètres'!$N:$N,MATCH($D1033,'Paramètres'!$M:$M,0))&amp;"",""))),0,IF($L1033="Débit",$K1033,IF($P1033=1,-$K1033,0))))</f>
        <v>31.2</v>
      </c>
      <c r="R1033" s="6">
        <f>IF($K1033="","",IF($L1033="Crédit",$K1033,-$K1033))</f>
        <v>-31.2</v>
      </c>
      <c r="S1033" s="6" t="str">
        <f>IF($C1033="","",IFERROR(INDEX('Paramètres'!$H:$H,MATCH($C1033,'Paramètres'!$D:$D,0))&amp;"",""))</f>
        <v>Banque A - Courant</v>
      </c>
      <c r="T1033" s="6">
        <f>IF($K1033="","",IF($S1033="",0,IF(ISNUMBER(SEARCH("apport-exterieur",IFERROR(INDEX('Paramètres'!$N:$N,MATCH($D1033,'Paramètres'!$M:$M,0))&amp;"",""))),0,IF(OR(IFERROR(INDEX('Paramètres'!$I:$I,MATCH($C1033,'Paramètres'!$D:$D,0))&amp;"","")="Les deux",IFERROR(INDEX('Paramètres'!$I:$I,MATCH($C1033,'Paramètres'!$D:$D,0))&amp;"","")=IF($P1033=1,"Débit",$L1033)),-IF($P1033=1,-$K1033,$K1033),0))))</f>
        <v>0</v>
      </c>
      <c r="U1033" s="6">
        <f>IF($K1033="","",IF(ISNUMBER(SEARCH("sortie-epargne",IFERROR(INDEX('Paramètres'!$N:$N,MATCH($D1033,'Paramètres'!$M:$M,0))&amp;"",""))),$K1033,0))</f>
        <v>0</v>
      </c>
      <c r="V1033" s="6" t="str">
        <f>IF(AND($A1033&lt;&gt;"",$O1033=1,$L1033="Débit",N($Q1033)&gt;0,$A1033&gt;=Visualisation!$B$1,$A1033&lt;Visualisation!$D$1),MAX($V$1:V1032)+1,"")</f>
        <v/>
      </c>
    </row>
    <row r="1034" spans="1:22" x14ac:dyDescent="0.25">
      <c r="A1034" s="9">
        <v>46270</v>
      </c>
      <c r="B1034" s="4" t="s">
        <v>76</v>
      </c>
      <c r="C1034" s="4" t="s">
        <v>107</v>
      </c>
      <c r="D1034" s="4" t="s">
        <v>108</v>
      </c>
      <c r="E1034" s="10">
        <v>33.77</v>
      </c>
      <c r="G1034" s="4" t="s">
        <v>122</v>
      </c>
      <c r="H1034" s="4" t="s">
        <v>62</v>
      </c>
      <c r="I1034" s="4" t="s">
        <v>63</v>
      </c>
      <c r="K1034" s="11">
        <f>IF($E1034="","",ROUND($E1034*IF(ISNA(MATCH($C1034,'Paramètres'!$D:$D,0)),1,IF(INDEX('Paramètres'!$J:$J,MATCH($C1034,'Paramètres'!$D:$D,0))="",1,INDEX('Paramètres'!$J:$J,MATCH($C1034,'Paramètres'!$D:$D,0)))),2))</f>
        <v>33.77</v>
      </c>
      <c r="L1034" s="6" t="str">
        <f>IF($D1034="","",IF($F1034&lt;&gt;"",$F1034,IF(ISNA(MATCH($D1034,'Paramètres'!$M:$M,0)),"⚠ Type inconnu",IFERROR(INDEX('Paramètres'!$P:$P,MATCH($D1034,'Paramètres'!$M:$M,0))&amp;"",""))))</f>
        <v>Débit</v>
      </c>
      <c r="M1034" s="6" t="str">
        <f>IF($D1034="","",IF(ISNA(MATCH($D1034,'Paramètres'!$M:$M,0)),"⚠ Type inconnu",IF($L1034="Crédit","",IFERROR(INDEX('Paramètres'!$O:$O,MATCH($D1034,'Paramètres'!$M:$M,0))&amp;"",""))))</f>
        <v>Dépense Occasionnelle</v>
      </c>
      <c r="N1034" s="6" t="str">
        <f>IF($D1034="","",IFERROR(INDEX('Paramètres'!$Q:$Q,MATCH($D1034,'Paramètres'!$M:$M,0))&amp;"",""))</f>
        <v>Autre</v>
      </c>
      <c r="O1034" s="6">
        <f>IF($A1034="","",IF(OR($J1034&lt;&gt;"x",$A1034&lt;=FinReleve),1,0))</f>
        <v>1</v>
      </c>
      <c r="P1034" s="6">
        <f>IF($D1034="","",IF(AND($L1034="Crédit",OR(IFERROR(INDEX('Paramètres'!$O:$O,MATCH($D1034,'Paramètres'!$M:$M,0))&amp;"","")&lt;&gt;"",ISNUMBER(SEARCH("remboursement",IFERROR(INDEX('Paramètres'!$N:$N,MATCH($D1034,'Paramètres'!$M:$M,0))&amp;"",""))))),1,0))</f>
        <v>0</v>
      </c>
      <c r="Q1034" s="6">
        <f>IF($K1034="","",IF(ISNUMBER(SEARCH("transfert-interne",IFERROR(INDEX('Paramètres'!$N:$N,MATCH($D1034,'Paramètres'!$M:$M,0))&amp;"",""))),0,IF($L1034="Débit",$K1034,IF($P1034=1,-$K1034,0))))</f>
        <v>33.77</v>
      </c>
      <c r="R1034" s="6">
        <f>IF($K1034="","",IF($L1034="Crédit",$K1034,-$K1034))</f>
        <v>-33.77</v>
      </c>
      <c r="S1034" s="6" t="str">
        <f>IF($C1034="","",IFERROR(INDEX('Paramètres'!$H:$H,MATCH($C1034,'Paramètres'!$D:$D,0))&amp;"",""))</f>
        <v/>
      </c>
      <c r="T1034" s="6">
        <f>IF($K1034="","",IF($S1034="",0,IF(ISNUMBER(SEARCH("apport-exterieur",IFERROR(INDEX('Paramètres'!$N:$N,MATCH($D1034,'Paramètres'!$M:$M,0))&amp;"",""))),0,IF(OR(IFERROR(INDEX('Paramètres'!$I:$I,MATCH($C1034,'Paramètres'!$D:$D,0))&amp;"","")="Les deux",IFERROR(INDEX('Paramètres'!$I:$I,MATCH($C1034,'Paramètres'!$D:$D,0))&amp;"","")=IF($P1034=1,"Débit",$L1034)),-IF($P1034=1,-$K1034,$K1034),0))))</f>
        <v>0</v>
      </c>
      <c r="U1034" s="6">
        <f>IF($K1034="","",IF(ISNUMBER(SEARCH("sortie-epargne",IFERROR(INDEX('Paramètres'!$N:$N,MATCH($D1034,'Paramètres'!$M:$M,0))&amp;"",""))),$K1034,0))</f>
        <v>0</v>
      </c>
      <c r="V1034" s="6" t="str">
        <f>IF(AND($A1034&lt;&gt;"",$O1034=1,$L1034="Débit",N($Q1034)&gt;0,$A1034&gt;=Visualisation!$B$1,$A1034&lt;Visualisation!$D$1),MAX($V$1:V1033)+1,"")</f>
        <v/>
      </c>
    </row>
    <row r="1035" spans="1:22" x14ac:dyDescent="0.25">
      <c r="A1035" s="9">
        <v>46271</v>
      </c>
      <c r="B1035" s="4" t="s">
        <v>89</v>
      </c>
      <c r="C1035" s="4" t="s">
        <v>75</v>
      </c>
      <c r="D1035" s="4" t="s">
        <v>89</v>
      </c>
      <c r="E1035" s="10">
        <v>49.9</v>
      </c>
      <c r="G1035" s="4"/>
      <c r="H1035" s="4"/>
      <c r="I1035" s="4"/>
      <c r="K1035" s="11">
        <f>IF($E1035="","",ROUND($E1035*IF(ISNA(MATCH($C1035,'Paramètres'!$D:$D,0)),1,IF(INDEX('Paramètres'!$J:$J,MATCH($C1035,'Paramètres'!$D:$D,0))="",1,INDEX('Paramètres'!$J:$J,MATCH($C1035,'Paramètres'!$D:$D,0)))),2))</f>
        <v>49.9</v>
      </c>
      <c r="L1035" s="6" t="str">
        <f>IF($D1035="","",IF($F1035&lt;&gt;"",$F1035,IF(ISNA(MATCH($D1035,'Paramètres'!$M:$M,0)),"⚠ Type inconnu",IFERROR(INDEX('Paramètres'!$P:$P,MATCH($D1035,'Paramètres'!$M:$M,0))&amp;"",""))))</f>
        <v>Débit</v>
      </c>
      <c r="M1035" s="6" t="str">
        <f>IF($D1035="","",IF(ISNA(MATCH($D1035,'Paramètres'!$M:$M,0)),"⚠ Type inconnu",IF($L1035="Crédit","",IFERROR(INDEX('Paramètres'!$O:$O,MATCH($D1035,'Paramètres'!$M:$M,0))&amp;"",""))))</f>
        <v>Dépense Fixe</v>
      </c>
      <c r="N1035" s="6" t="str">
        <f>IF($D1035="","",IFERROR(INDEX('Paramètres'!$Q:$Q,MATCH($D1035,'Paramètres'!$M:$M,0))&amp;"",""))</f>
        <v>Autre</v>
      </c>
      <c r="O1035" s="6">
        <f>IF($A1035="","",IF(OR($J1035&lt;&gt;"x",$A1035&lt;=FinReleve),1,0))</f>
        <v>1</v>
      </c>
      <c r="P1035" s="6">
        <f>IF($D1035="","",IF(AND($L1035="Crédit",OR(IFERROR(INDEX('Paramètres'!$O:$O,MATCH($D1035,'Paramètres'!$M:$M,0))&amp;"","")&lt;&gt;"",ISNUMBER(SEARCH("remboursement",IFERROR(INDEX('Paramètres'!$N:$N,MATCH($D1035,'Paramètres'!$M:$M,0))&amp;"",""))))),1,0))</f>
        <v>0</v>
      </c>
      <c r="Q1035" s="6">
        <f>IF($K1035="","",IF(ISNUMBER(SEARCH("transfert-interne",IFERROR(INDEX('Paramètres'!$N:$N,MATCH($D1035,'Paramètres'!$M:$M,0))&amp;"",""))),0,IF($L1035="Débit",$K1035,IF($P1035=1,-$K1035,0))))</f>
        <v>49.9</v>
      </c>
      <c r="R1035" s="6">
        <f>IF($K1035="","",IF($L1035="Crédit",$K1035,-$K1035))</f>
        <v>-49.9</v>
      </c>
      <c r="S1035" s="6" t="str">
        <f>IF($C1035="","",IFERROR(INDEX('Paramètres'!$H:$H,MATCH($C1035,'Paramètres'!$D:$D,0))&amp;"",""))</f>
        <v/>
      </c>
      <c r="T1035" s="6">
        <f>IF($K1035="","",IF($S1035="",0,IF(ISNUMBER(SEARCH("apport-exterieur",IFERROR(INDEX('Paramètres'!$N:$N,MATCH($D1035,'Paramètres'!$M:$M,0))&amp;"",""))),0,IF(OR(IFERROR(INDEX('Paramètres'!$I:$I,MATCH($C1035,'Paramètres'!$D:$D,0))&amp;"","")="Les deux",IFERROR(INDEX('Paramètres'!$I:$I,MATCH($C1035,'Paramètres'!$D:$D,0))&amp;"","")=IF($P1035=1,"Débit",$L1035)),-IF($P1035=1,-$K1035,$K1035),0))))</f>
        <v>0</v>
      </c>
      <c r="U1035" s="6">
        <f>IF($K1035="","",IF(ISNUMBER(SEARCH("sortie-epargne",IFERROR(INDEX('Paramètres'!$N:$N,MATCH($D1035,'Paramètres'!$M:$M,0))&amp;"",""))),$K1035,0))</f>
        <v>0</v>
      </c>
      <c r="V1035" s="6" t="str">
        <f>IF(AND($A1035&lt;&gt;"",$O1035=1,$L1035="Débit",N($Q1035)&gt;0,$A1035&gt;=Visualisation!$B$1,$A1035&lt;Visualisation!$D$1),MAX($V$1:V1034)+1,"")</f>
        <v/>
      </c>
    </row>
    <row r="1036" spans="1:22" x14ac:dyDescent="0.25">
      <c r="A1036" s="9">
        <v>46273</v>
      </c>
      <c r="B1036" s="4" t="s">
        <v>94</v>
      </c>
      <c r="C1036" s="4" t="s">
        <v>65</v>
      </c>
      <c r="D1036" s="4" t="s">
        <v>94</v>
      </c>
      <c r="E1036" s="10">
        <v>168</v>
      </c>
      <c r="G1036" s="4"/>
      <c r="H1036" s="4"/>
      <c r="I1036" s="4"/>
      <c r="K1036" s="11">
        <f>IF($E1036="","",ROUND($E1036*IF(ISNA(MATCH($C1036,'Paramètres'!$D:$D,0)),1,IF(INDEX('Paramètres'!$J:$J,MATCH($C1036,'Paramètres'!$D:$D,0))="",1,INDEX('Paramètres'!$J:$J,MATCH($C1036,'Paramètres'!$D:$D,0)))),2))</f>
        <v>168</v>
      </c>
      <c r="L1036" s="6" t="str">
        <f>IF($D1036="","",IF($F1036&lt;&gt;"",$F1036,IF(ISNA(MATCH($D1036,'Paramètres'!$M:$M,0)),"⚠ Type inconnu",IFERROR(INDEX('Paramètres'!$P:$P,MATCH($D1036,'Paramètres'!$M:$M,0))&amp;"",""))))</f>
        <v>Débit</v>
      </c>
      <c r="M1036" s="6" t="str">
        <f>IF($D1036="","",IF(ISNA(MATCH($D1036,'Paramètres'!$M:$M,0)),"⚠ Type inconnu",IF($L1036="Crédit","",IFERROR(INDEX('Paramètres'!$O:$O,MATCH($D1036,'Paramètres'!$M:$M,0))&amp;"",""))))</f>
        <v>Dépense Fixe</v>
      </c>
      <c r="N1036" s="6" t="str">
        <f>IF($D1036="","",IFERROR(INDEX('Paramètres'!$Q:$Q,MATCH($D1036,'Paramètres'!$M:$M,0))&amp;"",""))</f>
        <v>Immobilier</v>
      </c>
      <c r="O1036" s="6">
        <f>IF($A1036="","",IF(OR($J1036&lt;&gt;"x",$A1036&lt;=FinReleve),1,0))</f>
        <v>1</v>
      </c>
      <c r="P1036" s="6">
        <f>IF($D1036="","",IF(AND($L1036="Crédit",OR(IFERROR(INDEX('Paramètres'!$O:$O,MATCH($D1036,'Paramètres'!$M:$M,0))&amp;"","")&lt;&gt;"",ISNUMBER(SEARCH("remboursement",IFERROR(INDEX('Paramètres'!$N:$N,MATCH($D1036,'Paramètres'!$M:$M,0))&amp;"",""))))),1,0))</f>
        <v>0</v>
      </c>
      <c r="Q1036" s="6">
        <f>IF($K1036="","",IF(ISNUMBER(SEARCH("transfert-interne",IFERROR(INDEX('Paramètres'!$N:$N,MATCH($D1036,'Paramètres'!$M:$M,0))&amp;"",""))),0,IF($L1036="Débit",$K1036,IF($P1036=1,-$K1036,0))))</f>
        <v>168</v>
      </c>
      <c r="R1036" s="6">
        <f>IF($K1036="","",IF($L1036="Crédit",$K1036,-$K1036))</f>
        <v>-168</v>
      </c>
      <c r="S1036" s="6" t="str">
        <f>IF($C1036="","",IFERROR(INDEX('Paramètres'!$H:$H,MATCH($C1036,'Paramètres'!$D:$D,0))&amp;"",""))</f>
        <v>Banque A - Courant</v>
      </c>
      <c r="T1036" s="6">
        <f>IF($K1036="","",IF($S1036="",0,IF(ISNUMBER(SEARCH("apport-exterieur",IFERROR(INDEX('Paramètres'!$N:$N,MATCH($D1036,'Paramètres'!$M:$M,0))&amp;"",""))),0,IF(OR(IFERROR(INDEX('Paramètres'!$I:$I,MATCH($C1036,'Paramètres'!$D:$D,0))&amp;"","")="Les deux",IFERROR(INDEX('Paramètres'!$I:$I,MATCH($C1036,'Paramètres'!$D:$D,0))&amp;"","")=IF($P1036=1,"Débit",$L1036)),-IF($P1036=1,-$K1036,$K1036),0))))</f>
        <v>0</v>
      </c>
      <c r="U1036" s="6">
        <f>IF($K1036="","",IF(ISNUMBER(SEARCH("sortie-epargne",IFERROR(INDEX('Paramètres'!$N:$N,MATCH($D1036,'Paramètres'!$M:$M,0))&amp;"",""))),$K1036,0))</f>
        <v>0</v>
      </c>
      <c r="V1036" s="6" t="str">
        <f>IF(AND($A1036&lt;&gt;"",$O1036=1,$L1036="Débit",N($Q1036)&gt;0,$A1036&gt;=Visualisation!$B$1,$A1036&lt;Visualisation!$D$1),MAX($V$1:V1035)+1,"")</f>
        <v/>
      </c>
    </row>
    <row r="1037" spans="1:22" x14ac:dyDescent="0.25">
      <c r="A1037" s="9">
        <v>46273</v>
      </c>
      <c r="B1037" s="4" t="s">
        <v>76</v>
      </c>
      <c r="C1037" s="4" t="s">
        <v>67</v>
      </c>
      <c r="D1037" s="4" t="s">
        <v>77</v>
      </c>
      <c r="E1037" s="10">
        <v>184.58</v>
      </c>
      <c r="G1037" s="4" t="s">
        <v>78</v>
      </c>
      <c r="H1037" s="4"/>
      <c r="I1037" s="4"/>
      <c r="K1037" s="11">
        <f>IF($E1037="","",ROUND($E1037*IF(ISNA(MATCH($C1037,'Paramètres'!$D:$D,0)),1,IF(INDEX('Paramètres'!$J:$J,MATCH($C1037,'Paramètres'!$D:$D,0))="",1,INDEX('Paramètres'!$J:$J,MATCH($C1037,'Paramètres'!$D:$D,0)))),2))</f>
        <v>92.29</v>
      </c>
      <c r="L1037" s="6" t="str">
        <f>IF($D1037="","",IF($F1037&lt;&gt;"",$F1037,IF(ISNA(MATCH($D1037,'Paramètres'!$M:$M,0)),"⚠ Type inconnu",IFERROR(INDEX('Paramètres'!$P:$P,MATCH($D1037,'Paramètres'!$M:$M,0))&amp;"",""))))</f>
        <v>Débit</v>
      </c>
      <c r="M1037" s="6" t="str">
        <f>IF($D1037="","",IF(ISNA(MATCH($D1037,'Paramètres'!$M:$M,0)),"⚠ Type inconnu",IF($L1037="Crédit","",IFERROR(INDEX('Paramètres'!$O:$O,MATCH($D1037,'Paramètres'!$M:$M,0))&amp;"",""))))</f>
        <v>Dépense Courante</v>
      </c>
      <c r="N1037" s="6" t="str">
        <f>IF($D1037="","",IFERROR(INDEX('Paramètres'!$Q:$Q,MATCH($D1037,'Paramètres'!$M:$M,0))&amp;"",""))</f>
        <v>Alimentation</v>
      </c>
      <c r="O1037" s="6">
        <f>IF($A1037="","",IF(OR($J1037&lt;&gt;"x",$A1037&lt;=FinReleve),1,0))</f>
        <v>1</v>
      </c>
      <c r="P1037" s="6">
        <f>IF($D1037="","",IF(AND($L1037="Crédit",OR(IFERROR(INDEX('Paramètres'!$O:$O,MATCH($D1037,'Paramètres'!$M:$M,0))&amp;"","")&lt;&gt;"",ISNUMBER(SEARCH("remboursement",IFERROR(INDEX('Paramètres'!$N:$N,MATCH($D1037,'Paramètres'!$M:$M,0))&amp;"",""))))),1,0))</f>
        <v>0</v>
      </c>
      <c r="Q1037" s="6">
        <f>IF($K1037="","",IF(ISNUMBER(SEARCH("transfert-interne",IFERROR(INDEX('Paramètres'!$N:$N,MATCH($D1037,'Paramètres'!$M:$M,0))&amp;"",""))),0,IF($L1037="Débit",$K1037,IF($P1037=1,-$K1037,0))))</f>
        <v>92.29</v>
      </c>
      <c r="R1037" s="6">
        <f>IF($K1037="","",IF($L1037="Crédit",$K1037,-$K1037))</f>
        <v>-92.29</v>
      </c>
      <c r="S1037" s="6" t="str">
        <f>IF($C1037="","",IFERROR(INDEX('Paramètres'!$H:$H,MATCH($C1037,'Paramètres'!$D:$D,0))&amp;"",""))</f>
        <v>Banque A - Courant</v>
      </c>
      <c r="T1037" s="6">
        <f>IF($K1037="","",IF($S1037="",0,IF(ISNUMBER(SEARCH("apport-exterieur",IFERROR(INDEX('Paramètres'!$N:$N,MATCH($D1037,'Paramètres'!$M:$M,0))&amp;"",""))),0,IF(OR(IFERROR(INDEX('Paramètres'!$I:$I,MATCH($C1037,'Paramètres'!$D:$D,0))&amp;"","")="Les deux",IFERROR(INDEX('Paramètres'!$I:$I,MATCH($C1037,'Paramètres'!$D:$D,0))&amp;"","")=IF($P1037=1,"Débit",$L1037)),-IF($P1037=1,-$K1037,$K1037),0))))</f>
        <v>0</v>
      </c>
      <c r="U1037" s="6">
        <f>IF($K1037="","",IF(ISNUMBER(SEARCH("sortie-epargne",IFERROR(INDEX('Paramètres'!$N:$N,MATCH($D1037,'Paramètres'!$M:$M,0))&amp;"",""))),$K1037,0))</f>
        <v>0</v>
      </c>
      <c r="V1037" s="6" t="str">
        <f>IF(AND($A1037&lt;&gt;"",$O1037=1,$L1037="Débit",N($Q1037)&gt;0,$A1037&gt;=Visualisation!$B$1,$A1037&lt;Visualisation!$D$1),MAX($V$1:V1036)+1,"")</f>
        <v/>
      </c>
    </row>
    <row r="1038" spans="1:22" x14ac:dyDescent="0.25">
      <c r="A1038" s="9">
        <v>46275</v>
      </c>
      <c r="B1038" s="4" t="s">
        <v>96</v>
      </c>
      <c r="C1038" s="4" t="s">
        <v>75</v>
      </c>
      <c r="D1038" s="4" t="s">
        <v>96</v>
      </c>
      <c r="E1038" s="10">
        <v>22.4</v>
      </c>
      <c r="G1038" s="4"/>
      <c r="H1038" s="4"/>
      <c r="I1038" s="4"/>
      <c r="K1038" s="11">
        <f>IF($E1038="","",ROUND($E1038*IF(ISNA(MATCH($C1038,'Paramètres'!$D:$D,0)),1,IF(INDEX('Paramètres'!$J:$J,MATCH($C1038,'Paramètres'!$D:$D,0))="",1,INDEX('Paramètres'!$J:$J,MATCH($C1038,'Paramètres'!$D:$D,0)))),2))</f>
        <v>22.4</v>
      </c>
      <c r="L1038" s="6" t="str">
        <f>IF($D1038="","",IF($F1038&lt;&gt;"",$F1038,IF(ISNA(MATCH($D1038,'Paramètres'!$M:$M,0)),"⚠ Type inconnu",IFERROR(INDEX('Paramètres'!$P:$P,MATCH($D1038,'Paramètres'!$M:$M,0))&amp;"",""))))</f>
        <v>Débit</v>
      </c>
      <c r="M1038" s="6" t="str">
        <f>IF($D1038="","",IF(ISNA(MATCH($D1038,'Paramètres'!$M:$M,0)),"⚠ Type inconnu",IF($L1038="Crédit","",IFERROR(INDEX('Paramètres'!$O:$O,MATCH($D1038,'Paramètres'!$M:$M,0))&amp;"",""))))</f>
        <v>Dépense Fixe</v>
      </c>
      <c r="N1038" s="6" t="str">
        <f>IF($D1038="","",IFERROR(INDEX('Paramètres'!$Q:$Q,MATCH($D1038,'Paramètres'!$M:$M,0))&amp;"",""))</f>
        <v>Assurances</v>
      </c>
      <c r="O1038" s="6">
        <f>IF($A1038="","",IF(OR($J1038&lt;&gt;"x",$A1038&lt;=FinReleve),1,0))</f>
        <v>1</v>
      </c>
      <c r="P1038" s="6">
        <f>IF($D1038="","",IF(AND($L1038="Crédit",OR(IFERROR(INDEX('Paramètres'!$O:$O,MATCH($D1038,'Paramètres'!$M:$M,0))&amp;"","")&lt;&gt;"",ISNUMBER(SEARCH("remboursement",IFERROR(INDEX('Paramètres'!$N:$N,MATCH($D1038,'Paramètres'!$M:$M,0))&amp;"",""))))),1,0))</f>
        <v>0</v>
      </c>
      <c r="Q1038" s="6">
        <f>IF($K1038="","",IF(ISNUMBER(SEARCH("transfert-interne",IFERROR(INDEX('Paramètres'!$N:$N,MATCH($D1038,'Paramètres'!$M:$M,0))&amp;"",""))),0,IF($L1038="Débit",$K1038,IF($P1038=1,-$K1038,0))))</f>
        <v>22.4</v>
      </c>
      <c r="R1038" s="6">
        <f>IF($K1038="","",IF($L1038="Crédit",$K1038,-$K1038))</f>
        <v>-22.4</v>
      </c>
      <c r="S1038" s="6" t="str">
        <f>IF($C1038="","",IFERROR(INDEX('Paramètres'!$H:$H,MATCH($C1038,'Paramètres'!$D:$D,0))&amp;"",""))</f>
        <v/>
      </c>
      <c r="T1038" s="6">
        <f>IF($K1038="","",IF($S1038="",0,IF(ISNUMBER(SEARCH("apport-exterieur",IFERROR(INDEX('Paramètres'!$N:$N,MATCH($D1038,'Paramètres'!$M:$M,0))&amp;"",""))),0,IF(OR(IFERROR(INDEX('Paramètres'!$I:$I,MATCH($C1038,'Paramètres'!$D:$D,0))&amp;"","")="Les deux",IFERROR(INDEX('Paramètres'!$I:$I,MATCH($C1038,'Paramètres'!$D:$D,0))&amp;"","")=IF($P1038=1,"Débit",$L1038)),-IF($P1038=1,-$K1038,$K1038),0))))</f>
        <v>0</v>
      </c>
      <c r="U1038" s="6">
        <f>IF($K1038="","",IF(ISNUMBER(SEARCH("sortie-epargne",IFERROR(INDEX('Paramètres'!$N:$N,MATCH($D1038,'Paramètres'!$M:$M,0))&amp;"",""))),$K1038,0))</f>
        <v>0</v>
      </c>
      <c r="V1038" s="6" t="str">
        <f>IF(AND($A1038&lt;&gt;"",$O1038=1,$L1038="Débit",N($Q1038)&gt;0,$A1038&gt;=Visualisation!$B$1,$A1038&lt;Visualisation!$D$1),MAX($V$1:V1037)+1,"")</f>
        <v/>
      </c>
    </row>
    <row r="1039" spans="1:22" x14ac:dyDescent="0.25">
      <c r="A1039" s="9">
        <v>46275</v>
      </c>
      <c r="B1039" s="4" t="s">
        <v>90</v>
      </c>
      <c r="C1039" s="4" t="s">
        <v>75</v>
      </c>
      <c r="D1039" s="4" t="s">
        <v>91</v>
      </c>
      <c r="E1039" s="10">
        <v>77.03</v>
      </c>
      <c r="G1039" s="4" t="s">
        <v>135</v>
      </c>
      <c r="H1039" s="4"/>
      <c r="I1039" s="4" t="s">
        <v>73</v>
      </c>
      <c r="K1039" s="11">
        <f>IF($E1039="","",ROUND($E1039*IF(ISNA(MATCH($C1039,'Paramètres'!$D:$D,0)),1,IF(INDEX('Paramètres'!$J:$J,MATCH($C1039,'Paramètres'!$D:$D,0))="",1,INDEX('Paramètres'!$J:$J,MATCH($C1039,'Paramètres'!$D:$D,0)))),2))</f>
        <v>77.03</v>
      </c>
      <c r="L1039" s="6" t="str">
        <f>IF($D1039="","",IF($F1039&lt;&gt;"",$F1039,IF(ISNA(MATCH($D1039,'Paramètres'!$M:$M,0)),"⚠ Type inconnu",IFERROR(INDEX('Paramètres'!$P:$P,MATCH($D1039,'Paramètres'!$M:$M,0))&amp;"",""))))</f>
        <v>Débit</v>
      </c>
      <c r="M1039" s="6" t="str">
        <f>IF($D1039="","",IF(ISNA(MATCH($D1039,'Paramètres'!$M:$M,0)),"⚠ Type inconnu",IF($L1039="Crédit","",IFERROR(INDEX('Paramètres'!$O:$O,MATCH($D1039,'Paramètres'!$M:$M,0))&amp;"",""))))</f>
        <v>Dépense Courante</v>
      </c>
      <c r="N1039" s="6" t="str">
        <f>IF($D1039="","",IFERROR(INDEX('Paramètres'!$Q:$Q,MATCH($D1039,'Paramètres'!$M:$M,0))&amp;"",""))</f>
        <v>Transport</v>
      </c>
      <c r="O1039" s="6">
        <f>IF($A1039="","",IF(OR($J1039&lt;&gt;"x",$A1039&lt;=FinReleve),1,0))</f>
        <v>1</v>
      </c>
      <c r="P1039" s="6">
        <f>IF($D1039="","",IF(AND($L1039="Crédit",OR(IFERROR(INDEX('Paramètres'!$O:$O,MATCH($D1039,'Paramètres'!$M:$M,0))&amp;"","")&lt;&gt;"",ISNUMBER(SEARCH("remboursement",IFERROR(INDEX('Paramètres'!$N:$N,MATCH($D1039,'Paramètres'!$M:$M,0))&amp;"",""))))),1,0))</f>
        <v>0</v>
      </c>
      <c r="Q1039" s="6">
        <f>IF($K1039="","",IF(ISNUMBER(SEARCH("transfert-interne",IFERROR(INDEX('Paramètres'!$N:$N,MATCH($D1039,'Paramètres'!$M:$M,0))&amp;"",""))),0,IF($L1039="Débit",$K1039,IF($P1039=1,-$K1039,0))))</f>
        <v>77.03</v>
      </c>
      <c r="R1039" s="6">
        <f>IF($K1039="","",IF($L1039="Crédit",$K1039,-$K1039))</f>
        <v>-77.03</v>
      </c>
      <c r="S1039" s="6" t="str">
        <f>IF($C1039="","",IFERROR(INDEX('Paramètres'!$H:$H,MATCH($C1039,'Paramètres'!$D:$D,0))&amp;"",""))</f>
        <v/>
      </c>
      <c r="T1039" s="6">
        <f>IF($K1039="","",IF($S1039="",0,IF(ISNUMBER(SEARCH("apport-exterieur",IFERROR(INDEX('Paramètres'!$N:$N,MATCH($D1039,'Paramètres'!$M:$M,0))&amp;"",""))),0,IF(OR(IFERROR(INDEX('Paramètres'!$I:$I,MATCH($C1039,'Paramètres'!$D:$D,0))&amp;"","")="Les deux",IFERROR(INDEX('Paramètres'!$I:$I,MATCH($C1039,'Paramètres'!$D:$D,0))&amp;"","")=IF($P1039=1,"Débit",$L1039)),-IF($P1039=1,-$K1039,$K1039),0))))</f>
        <v>0</v>
      </c>
      <c r="U1039" s="6">
        <f>IF($K1039="","",IF(ISNUMBER(SEARCH("sortie-epargne",IFERROR(INDEX('Paramètres'!$N:$N,MATCH($D1039,'Paramètres'!$M:$M,0))&amp;"",""))),$K1039,0))</f>
        <v>0</v>
      </c>
      <c r="V1039" s="6" t="str">
        <f>IF(AND($A1039&lt;&gt;"",$O1039=1,$L1039="Débit",N($Q1039)&gt;0,$A1039&gt;=Visualisation!$B$1,$A1039&lt;Visualisation!$D$1),MAX($V$1:V1038)+1,"")</f>
        <v/>
      </c>
    </row>
    <row r="1040" spans="1:22" x14ac:dyDescent="0.25">
      <c r="A1040" s="9">
        <v>46275</v>
      </c>
      <c r="B1040" s="4" t="s">
        <v>59</v>
      </c>
      <c r="C1040" s="4" t="s">
        <v>126</v>
      </c>
      <c r="D1040" s="4" t="s">
        <v>59</v>
      </c>
      <c r="E1040" s="10">
        <v>74.24</v>
      </c>
      <c r="G1040" s="4" t="s">
        <v>138</v>
      </c>
      <c r="H1040" s="4" t="s">
        <v>62</v>
      </c>
      <c r="I1040" s="4" t="s">
        <v>93</v>
      </c>
      <c r="K1040" s="11">
        <f>IF($E1040="","",ROUND($E1040*IF(ISNA(MATCH($C1040,'Paramètres'!$D:$D,0)),1,IF(INDEX('Paramètres'!$J:$J,MATCH($C1040,'Paramètres'!$D:$D,0))="",1,INDEX('Paramètres'!$J:$J,MATCH($C1040,'Paramètres'!$D:$D,0)))),2))</f>
        <v>37.12</v>
      </c>
      <c r="L1040" s="6" t="str">
        <f>IF($D1040="","",IF($F1040&lt;&gt;"",$F1040,IF(ISNA(MATCH($D1040,'Paramètres'!$M:$M,0)),"⚠ Type inconnu",IFERROR(INDEX('Paramètres'!$P:$P,MATCH($D1040,'Paramètres'!$M:$M,0))&amp;"",""))))</f>
        <v>Débit</v>
      </c>
      <c r="M1040" s="6" t="str">
        <f>IF($D1040="","",IF(ISNA(MATCH($D1040,'Paramètres'!$M:$M,0)),"⚠ Type inconnu",IF($L1040="Crédit","",IFERROR(INDEX('Paramètres'!$O:$O,MATCH($D1040,'Paramètres'!$M:$M,0))&amp;"",""))))</f>
        <v>Dépense Occasionnelle</v>
      </c>
      <c r="N1040" s="6" t="str">
        <f>IF($D1040="","",IFERROR(INDEX('Paramètres'!$Q:$Q,MATCH($D1040,'Paramètres'!$M:$M,0))&amp;"",""))</f>
        <v>Loisir</v>
      </c>
      <c r="O1040" s="6">
        <f>IF($A1040="","",IF(OR($J1040&lt;&gt;"x",$A1040&lt;=FinReleve),1,0))</f>
        <v>1</v>
      </c>
      <c r="P1040" s="6">
        <f>IF($D1040="","",IF(AND($L1040="Crédit",OR(IFERROR(INDEX('Paramètres'!$O:$O,MATCH($D1040,'Paramètres'!$M:$M,0))&amp;"","")&lt;&gt;"",ISNUMBER(SEARCH("remboursement",IFERROR(INDEX('Paramètres'!$N:$N,MATCH($D1040,'Paramètres'!$M:$M,0))&amp;"",""))))),1,0))</f>
        <v>0</v>
      </c>
      <c r="Q1040" s="6">
        <f>IF($K1040="","",IF(ISNUMBER(SEARCH("transfert-interne",IFERROR(INDEX('Paramètres'!$N:$N,MATCH($D1040,'Paramètres'!$M:$M,0))&amp;"",""))),0,IF($L1040="Débit",$K1040,IF($P1040=1,-$K1040,0))))</f>
        <v>37.12</v>
      </c>
      <c r="R1040" s="6">
        <f>IF($K1040="","",IF($L1040="Crédit",$K1040,-$K1040))</f>
        <v>-37.12</v>
      </c>
      <c r="S1040" s="6" t="str">
        <f>IF($C1040="","",IFERROR(INDEX('Paramètres'!$H:$H,MATCH($C1040,'Paramètres'!$D:$D,0))&amp;"",""))</f>
        <v>Banque A - Courant</v>
      </c>
      <c r="T1040" s="6">
        <f>IF($K1040="","",IF($S1040="",0,IF(ISNUMBER(SEARCH("apport-exterieur",IFERROR(INDEX('Paramètres'!$N:$N,MATCH($D1040,'Paramètres'!$M:$M,0))&amp;"",""))),0,IF(OR(IFERROR(INDEX('Paramètres'!$I:$I,MATCH($C1040,'Paramètres'!$D:$D,0))&amp;"","")="Les deux",IFERROR(INDEX('Paramètres'!$I:$I,MATCH($C1040,'Paramètres'!$D:$D,0))&amp;"","")=IF($P1040=1,"Débit",$L1040)),-IF($P1040=1,-$K1040,$K1040),0))))</f>
        <v>-37.12</v>
      </c>
      <c r="U1040" s="6">
        <f>IF($K1040="","",IF(ISNUMBER(SEARCH("sortie-epargne",IFERROR(INDEX('Paramètres'!$N:$N,MATCH($D1040,'Paramètres'!$M:$M,0))&amp;"",""))),$K1040,0))</f>
        <v>0</v>
      </c>
      <c r="V1040" s="6" t="str">
        <f>IF(AND($A1040&lt;&gt;"",$O1040=1,$L1040="Débit",N($Q1040)&gt;0,$A1040&gt;=Visualisation!$B$1,$A1040&lt;Visualisation!$D$1),MAX($V$1:V1039)+1,"")</f>
        <v/>
      </c>
    </row>
    <row r="1041" spans="1:22" x14ac:dyDescent="0.25">
      <c r="A1041" s="9">
        <v>46277</v>
      </c>
      <c r="B1041" s="4" t="s">
        <v>97</v>
      </c>
      <c r="C1041" s="4" t="s">
        <v>75</v>
      </c>
      <c r="D1041" s="4" t="s">
        <v>97</v>
      </c>
      <c r="E1041" s="10">
        <v>47.9</v>
      </c>
      <c r="G1041" s="4"/>
      <c r="H1041" s="4"/>
      <c r="I1041" s="4"/>
      <c r="K1041" s="11">
        <f>IF($E1041="","",ROUND($E1041*IF(ISNA(MATCH($C1041,'Paramètres'!$D:$D,0)),1,IF(INDEX('Paramètres'!$J:$J,MATCH($C1041,'Paramètres'!$D:$D,0))="",1,INDEX('Paramètres'!$J:$J,MATCH($C1041,'Paramètres'!$D:$D,0)))),2))</f>
        <v>47.9</v>
      </c>
      <c r="L1041" s="6" t="str">
        <f>IF($D1041="","",IF($F1041&lt;&gt;"",$F1041,IF(ISNA(MATCH($D1041,'Paramètres'!$M:$M,0)),"⚠ Type inconnu",IFERROR(INDEX('Paramètres'!$P:$P,MATCH($D1041,'Paramètres'!$M:$M,0))&amp;"",""))))</f>
        <v>Débit</v>
      </c>
      <c r="M1041" s="6" t="str">
        <f>IF($D1041="","",IF(ISNA(MATCH($D1041,'Paramètres'!$M:$M,0)),"⚠ Type inconnu",IF($L1041="Crédit","",IFERROR(INDEX('Paramètres'!$O:$O,MATCH($D1041,'Paramètres'!$M:$M,0))&amp;"",""))))</f>
        <v>Dépense Fixe</v>
      </c>
      <c r="N1041" s="6" t="str">
        <f>IF($D1041="","",IFERROR(INDEX('Paramètres'!$Q:$Q,MATCH($D1041,'Paramètres'!$M:$M,0))&amp;"",""))</f>
        <v>Assurances</v>
      </c>
      <c r="O1041" s="6">
        <f>IF($A1041="","",IF(OR($J1041&lt;&gt;"x",$A1041&lt;=FinReleve),1,0))</f>
        <v>1</v>
      </c>
      <c r="P1041" s="6">
        <f>IF($D1041="","",IF(AND($L1041="Crédit",OR(IFERROR(INDEX('Paramètres'!$O:$O,MATCH($D1041,'Paramètres'!$M:$M,0))&amp;"","")&lt;&gt;"",ISNUMBER(SEARCH("remboursement",IFERROR(INDEX('Paramètres'!$N:$N,MATCH($D1041,'Paramètres'!$M:$M,0))&amp;"",""))))),1,0))</f>
        <v>0</v>
      </c>
      <c r="Q1041" s="6">
        <f>IF($K1041="","",IF(ISNUMBER(SEARCH("transfert-interne",IFERROR(INDEX('Paramètres'!$N:$N,MATCH($D1041,'Paramètres'!$M:$M,0))&amp;"",""))),0,IF($L1041="Débit",$K1041,IF($P1041=1,-$K1041,0))))</f>
        <v>47.9</v>
      </c>
      <c r="R1041" s="6">
        <f>IF($K1041="","",IF($L1041="Crédit",$K1041,-$K1041))</f>
        <v>-47.9</v>
      </c>
      <c r="S1041" s="6" t="str">
        <f>IF($C1041="","",IFERROR(INDEX('Paramètres'!$H:$H,MATCH($C1041,'Paramètres'!$D:$D,0))&amp;"",""))</f>
        <v/>
      </c>
      <c r="T1041" s="6">
        <f>IF($K1041="","",IF($S1041="",0,IF(ISNUMBER(SEARCH("apport-exterieur",IFERROR(INDEX('Paramètres'!$N:$N,MATCH($D1041,'Paramètres'!$M:$M,0))&amp;"",""))),0,IF(OR(IFERROR(INDEX('Paramètres'!$I:$I,MATCH($C1041,'Paramètres'!$D:$D,0))&amp;"","")="Les deux",IFERROR(INDEX('Paramètres'!$I:$I,MATCH($C1041,'Paramètres'!$D:$D,0))&amp;"","")=IF($P1041=1,"Débit",$L1041)),-IF($P1041=1,-$K1041,$K1041),0))))</f>
        <v>0</v>
      </c>
      <c r="U1041" s="6">
        <f>IF($K1041="","",IF(ISNUMBER(SEARCH("sortie-epargne",IFERROR(INDEX('Paramètres'!$N:$N,MATCH($D1041,'Paramètres'!$M:$M,0))&amp;"",""))),$K1041,0))</f>
        <v>0</v>
      </c>
      <c r="V1041" s="6" t="str">
        <f>IF(AND($A1041&lt;&gt;"",$O1041=1,$L1041="Débit",N($Q1041)&gt;0,$A1041&gt;=Visualisation!$B$1,$A1041&lt;Visualisation!$D$1),MAX($V$1:V1040)+1,"")</f>
        <v/>
      </c>
    </row>
    <row r="1042" spans="1:22" x14ac:dyDescent="0.25">
      <c r="A1042" s="9">
        <v>46279</v>
      </c>
      <c r="B1042" s="4" t="s">
        <v>69</v>
      </c>
      <c r="C1042" s="4" t="s">
        <v>70</v>
      </c>
      <c r="D1042" s="4" t="s">
        <v>71</v>
      </c>
      <c r="E1042" s="10">
        <v>11.85</v>
      </c>
      <c r="G1042" s="4" t="s">
        <v>72</v>
      </c>
      <c r="H1042" s="4"/>
      <c r="I1042" s="4" t="s">
        <v>79</v>
      </c>
      <c r="K1042" s="11">
        <f>IF($E1042="","",ROUND($E1042*IF(ISNA(MATCH($C1042,'Paramètres'!$D:$D,0)),1,IF(INDEX('Paramètres'!$J:$J,MATCH($C1042,'Paramètres'!$D:$D,0))="",1,INDEX('Paramètres'!$J:$J,MATCH($C1042,'Paramètres'!$D:$D,0)))),2))</f>
        <v>11.85</v>
      </c>
      <c r="L1042" s="6" t="str">
        <f>IF($D1042="","",IF($F1042&lt;&gt;"",$F1042,IF(ISNA(MATCH($D1042,'Paramètres'!$M:$M,0)),"⚠ Type inconnu",IFERROR(INDEX('Paramètres'!$P:$P,MATCH($D1042,'Paramètres'!$M:$M,0))&amp;"",""))))</f>
        <v>Débit</v>
      </c>
      <c r="M1042" s="6" t="str">
        <f>IF($D1042="","",IF(ISNA(MATCH($D1042,'Paramètres'!$M:$M,0)),"⚠ Type inconnu",IF($L1042="Crédit","",IFERROR(INDEX('Paramètres'!$O:$O,MATCH($D1042,'Paramètres'!$M:$M,0))&amp;"",""))))</f>
        <v>Dépense Courante</v>
      </c>
      <c r="N1042" s="6" t="str">
        <f>IF($D1042="","",IFERROR(INDEX('Paramètres'!$Q:$Q,MATCH($D1042,'Paramètres'!$M:$M,0))&amp;"",""))</f>
        <v>Alimentation</v>
      </c>
      <c r="O1042" s="6">
        <f>IF($A1042="","",IF(OR($J1042&lt;&gt;"x",$A1042&lt;=FinReleve),1,0))</f>
        <v>1</v>
      </c>
      <c r="P1042" s="6">
        <f>IF($D1042="","",IF(AND($L1042="Crédit",OR(IFERROR(INDEX('Paramètres'!$O:$O,MATCH($D1042,'Paramètres'!$M:$M,0))&amp;"","")&lt;&gt;"",ISNUMBER(SEARCH("remboursement",IFERROR(INDEX('Paramètres'!$N:$N,MATCH($D1042,'Paramètres'!$M:$M,0))&amp;"",""))))),1,0))</f>
        <v>0</v>
      </c>
      <c r="Q1042" s="6">
        <f>IF($K1042="","",IF(ISNUMBER(SEARCH("transfert-interne",IFERROR(INDEX('Paramètres'!$N:$N,MATCH($D1042,'Paramètres'!$M:$M,0))&amp;"",""))),0,IF($L1042="Débit",$K1042,IF($P1042=1,-$K1042,0))))</f>
        <v>11.85</v>
      </c>
      <c r="R1042" s="6">
        <f>IF($K1042="","",IF($L1042="Crédit",$K1042,-$K1042))</f>
        <v>-11.85</v>
      </c>
      <c r="S1042" s="6" t="str">
        <f>IF($C1042="","",IFERROR(INDEX('Paramètres'!$H:$H,MATCH($C1042,'Paramètres'!$D:$D,0))&amp;"",""))</f>
        <v/>
      </c>
      <c r="T1042" s="6">
        <f>IF($K1042="","",IF($S1042="",0,IF(ISNUMBER(SEARCH("apport-exterieur",IFERROR(INDEX('Paramètres'!$N:$N,MATCH($D1042,'Paramètres'!$M:$M,0))&amp;"",""))),0,IF(OR(IFERROR(INDEX('Paramètres'!$I:$I,MATCH($C1042,'Paramètres'!$D:$D,0))&amp;"","")="Les deux",IFERROR(INDEX('Paramètres'!$I:$I,MATCH($C1042,'Paramètres'!$D:$D,0))&amp;"","")=IF($P1042=1,"Débit",$L1042)),-IF($P1042=1,-$K1042,$K1042),0))))</f>
        <v>0</v>
      </c>
      <c r="U1042" s="6">
        <f>IF($K1042="","",IF(ISNUMBER(SEARCH("sortie-epargne",IFERROR(INDEX('Paramètres'!$N:$N,MATCH($D1042,'Paramètres'!$M:$M,0))&amp;"",""))),$K1042,0))</f>
        <v>0</v>
      </c>
      <c r="V1042" s="6" t="str">
        <f>IF(AND($A1042&lt;&gt;"",$O1042=1,$L1042="Débit",N($Q1042)&gt;0,$A1042&gt;=Visualisation!$B$1,$A1042&lt;Visualisation!$D$1),MAX($V$1:V1041)+1,"")</f>
        <v/>
      </c>
    </row>
    <row r="1043" spans="1:22" x14ac:dyDescent="0.25">
      <c r="A1043" s="9">
        <v>46280</v>
      </c>
      <c r="B1043" s="4" t="s">
        <v>114</v>
      </c>
      <c r="C1043" s="4" t="s">
        <v>75</v>
      </c>
      <c r="D1043" s="4" t="s">
        <v>115</v>
      </c>
      <c r="E1043" s="10">
        <v>2968.75</v>
      </c>
      <c r="G1043" s="4" t="s">
        <v>115</v>
      </c>
      <c r="H1043" s="4"/>
      <c r="I1043" s="4"/>
      <c r="K1043" s="11">
        <f>IF($E1043="","",ROUND($E1043*IF(ISNA(MATCH($C1043,'Paramètres'!$D:$D,0)),1,IF(INDEX('Paramètres'!$J:$J,MATCH($C1043,'Paramètres'!$D:$D,0))="",1,INDEX('Paramètres'!$J:$J,MATCH($C1043,'Paramètres'!$D:$D,0)))),2))</f>
        <v>2968.75</v>
      </c>
      <c r="L1043" s="6" t="str">
        <f>IF($D1043="","",IF($F1043&lt;&gt;"",$F1043,IF(ISNA(MATCH($D1043,'Paramètres'!$M:$M,0)),"⚠ Type inconnu",IFERROR(INDEX('Paramètres'!$P:$P,MATCH($D1043,'Paramètres'!$M:$M,0))&amp;"",""))))</f>
        <v>Crédit</v>
      </c>
      <c r="M1043" s="6" t="str">
        <f>IF($D1043="","",IF(ISNA(MATCH($D1043,'Paramètres'!$M:$M,0)),"⚠ Type inconnu",IF($L1043="Crédit","",IFERROR(INDEX('Paramètres'!$O:$O,MATCH($D1043,'Paramètres'!$M:$M,0))&amp;"",""))))</f>
        <v/>
      </c>
      <c r="N1043" s="6" t="str">
        <f>IF($D1043="","",IFERROR(INDEX('Paramètres'!$Q:$Q,MATCH($D1043,'Paramètres'!$M:$M,0))&amp;"",""))</f>
        <v/>
      </c>
      <c r="O1043" s="6">
        <f>IF($A1043="","",IF(OR($J1043&lt;&gt;"x",$A1043&lt;=FinReleve),1,0))</f>
        <v>1</v>
      </c>
      <c r="P1043" s="6">
        <f>IF($D1043="","",IF(AND($L1043="Crédit",OR(IFERROR(INDEX('Paramètres'!$O:$O,MATCH($D1043,'Paramètres'!$M:$M,0))&amp;"","")&lt;&gt;"",ISNUMBER(SEARCH("remboursement",IFERROR(INDEX('Paramètres'!$N:$N,MATCH($D1043,'Paramètres'!$M:$M,0))&amp;"",""))))),1,0))</f>
        <v>0</v>
      </c>
      <c r="Q1043" s="6">
        <f>IF($K1043="","",IF(ISNUMBER(SEARCH("transfert-interne",IFERROR(INDEX('Paramètres'!$N:$N,MATCH($D1043,'Paramètres'!$M:$M,0))&amp;"",""))),0,IF($L1043="Débit",$K1043,IF($P1043=1,-$K1043,0))))</f>
        <v>0</v>
      </c>
      <c r="R1043" s="6">
        <f>IF($K1043="","",IF($L1043="Crédit",$K1043,-$K1043))</f>
        <v>2968.75</v>
      </c>
      <c r="S1043" s="6" t="str">
        <f>IF($C1043="","",IFERROR(INDEX('Paramètres'!$H:$H,MATCH($C1043,'Paramètres'!$D:$D,0))&amp;"",""))</f>
        <v/>
      </c>
      <c r="T1043" s="6">
        <f>IF($K1043="","",IF($S1043="",0,IF(ISNUMBER(SEARCH("apport-exterieur",IFERROR(INDEX('Paramètres'!$N:$N,MATCH($D1043,'Paramètres'!$M:$M,0))&amp;"",""))),0,IF(OR(IFERROR(INDEX('Paramètres'!$I:$I,MATCH($C1043,'Paramètres'!$D:$D,0))&amp;"","")="Les deux",IFERROR(INDEX('Paramètres'!$I:$I,MATCH($C1043,'Paramètres'!$D:$D,0))&amp;"","")=IF($P1043=1,"Débit",$L1043)),-IF($P1043=1,-$K1043,$K1043),0))))</f>
        <v>0</v>
      </c>
      <c r="U1043" s="6">
        <f>IF($K1043="","",IF(ISNUMBER(SEARCH("sortie-epargne",IFERROR(INDEX('Paramètres'!$N:$N,MATCH($D1043,'Paramètres'!$M:$M,0))&amp;"",""))),$K1043,0))</f>
        <v>0</v>
      </c>
      <c r="V1043" s="6" t="str">
        <f>IF(AND($A1043&lt;&gt;"",$O1043=1,$L1043="Débit",N($Q1043)&gt;0,$A1043&gt;=Visualisation!$B$1,$A1043&lt;Visualisation!$D$1),MAX($V$1:V1042)+1,"")</f>
        <v/>
      </c>
    </row>
    <row r="1044" spans="1:22" x14ac:dyDescent="0.25">
      <c r="A1044" s="9">
        <v>46280</v>
      </c>
      <c r="B1044" s="4" t="s">
        <v>100</v>
      </c>
      <c r="C1044" s="4" t="s">
        <v>65</v>
      </c>
      <c r="D1044" s="4" t="s">
        <v>100</v>
      </c>
      <c r="E1044" s="10">
        <v>77.84</v>
      </c>
      <c r="G1044" s="4"/>
      <c r="H1044" s="4"/>
      <c r="I1044" s="4"/>
      <c r="K1044" s="11">
        <f>IF($E1044="","",ROUND($E1044*IF(ISNA(MATCH($C1044,'Paramètres'!$D:$D,0)),1,IF(INDEX('Paramètres'!$J:$J,MATCH($C1044,'Paramètres'!$D:$D,0))="",1,INDEX('Paramètres'!$J:$J,MATCH($C1044,'Paramètres'!$D:$D,0)))),2))</f>
        <v>77.84</v>
      </c>
      <c r="L1044" s="6" t="str">
        <f>IF($D1044="","",IF($F1044&lt;&gt;"",$F1044,IF(ISNA(MATCH($D1044,'Paramètres'!$M:$M,0)),"⚠ Type inconnu",IFERROR(INDEX('Paramètres'!$P:$P,MATCH($D1044,'Paramètres'!$M:$M,0))&amp;"",""))))</f>
        <v>Débit</v>
      </c>
      <c r="M1044" s="6" t="str">
        <f>IF($D1044="","",IF(ISNA(MATCH($D1044,'Paramètres'!$M:$M,0)),"⚠ Type inconnu",IF($L1044="Crédit","",IFERROR(INDEX('Paramètres'!$O:$O,MATCH($D1044,'Paramètres'!$M:$M,0))&amp;"",""))))</f>
        <v>Dépense Fixe</v>
      </c>
      <c r="N1044" s="6" t="str">
        <f>IF($D1044="","",IFERROR(INDEX('Paramètres'!$Q:$Q,MATCH($D1044,'Paramètres'!$M:$M,0))&amp;"",""))</f>
        <v>Immobilier</v>
      </c>
      <c r="O1044" s="6">
        <f>IF($A1044="","",IF(OR($J1044&lt;&gt;"x",$A1044&lt;=FinReleve),1,0))</f>
        <v>1</v>
      </c>
      <c r="P1044" s="6">
        <f>IF($D1044="","",IF(AND($L1044="Crédit",OR(IFERROR(INDEX('Paramètres'!$O:$O,MATCH($D1044,'Paramètres'!$M:$M,0))&amp;"","")&lt;&gt;"",ISNUMBER(SEARCH("remboursement",IFERROR(INDEX('Paramètres'!$N:$N,MATCH($D1044,'Paramètres'!$M:$M,0))&amp;"",""))))),1,0))</f>
        <v>0</v>
      </c>
      <c r="Q1044" s="6">
        <f>IF($K1044="","",IF(ISNUMBER(SEARCH("transfert-interne",IFERROR(INDEX('Paramètres'!$N:$N,MATCH($D1044,'Paramètres'!$M:$M,0))&amp;"",""))),0,IF($L1044="Débit",$K1044,IF($P1044=1,-$K1044,0))))</f>
        <v>77.84</v>
      </c>
      <c r="R1044" s="6">
        <f>IF($K1044="","",IF($L1044="Crédit",$K1044,-$K1044))</f>
        <v>-77.84</v>
      </c>
      <c r="S1044" s="6" t="str">
        <f>IF($C1044="","",IFERROR(INDEX('Paramètres'!$H:$H,MATCH($C1044,'Paramètres'!$D:$D,0))&amp;"",""))</f>
        <v>Banque A - Courant</v>
      </c>
      <c r="T1044" s="6">
        <f>IF($K1044="","",IF($S1044="",0,IF(ISNUMBER(SEARCH("apport-exterieur",IFERROR(INDEX('Paramètres'!$N:$N,MATCH($D1044,'Paramètres'!$M:$M,0))&amp;"",""))),0,IF(OR(IFERROR(INDEX('Paramètres'!$I:$I,MATCH($C1044,'Paramètres'!$D:$D,0))&amp;"","")="Les deux",IFERROR(INDEX('Paramètres'!$I:$I,MATCH($C1044,'Paramètres'!$D:$D,0))&amp;"","")=IF($P1044=1,"Débit",$L1044)),-IF($P1044=1,-$K1044,$K1044),0))))</f>
        <v>0</v>
      </c>
      <c r="U1044" s="6">
        <f>IF($K1044="","",IF(ISNUMBER(SEARCH("sortie-epargne",IFERROR(INDEX('Paramètres'!$N:$N,MATCH($D1044,'Paramètres'!$M:$M,0))&amp;"",""))),$K1044,0))</f>
        <v>0</v>
      </c>
      <c r="V1044" s="6" t="str">
        <f>IF(AND($A1044&lt;&gt;"",$O1044=1,$L1044="Débit",N($Q1044)&gt;0,$A1044&gt;=Visualisation!$B$1,$A1044&lt;Visualisation!$D$1),MAX($V$1:V1043)+1,"")</f>
        <v/>
      </c>
    </row>
    <row r="1045" spans="1:22" x14ac:dyDescent="0.25">
      <c r="A1045" s="9">
        <v>46280</v>
      </c>
      <c r="B1045" s="4" t="s">
        <v>118</v>
      </c>
      <c r="C1045" s="4" t="s">
        <v>75</v>
      </c>
      <c r="D1045" s="4" t="s">
        <v>118</v>
      </c>
      <c r="E1045" s="10">
        <v>3</v>
      </c>
      <c r="G1045" s="4"/>
      <c r="H1045" s="4"/>
      <c r="I1045" s="4"/>
      <c r="K1045" s="11">
        <f>IF($E1045="","",ROUND($E1045*IF(ISNA(MATCH($C1045,'Paramètres'!$D:$D,0)),1,IF(INDEX('Paramètres'!$J:$J,MATCH($C1045,'Paramètres'!$D:$D,0))="",1,INDEX('Paramètres'!$J:$J,MATCH($C1045,'Paramètres'!$D:$D,0)))),2))</f>
        <v>3</v>
      </c>
      <c r="L1045" s="6" t="str">
        <f>IF($D1045="","",IF($F1045&lt;&gt;"",$F1045,IF(ISNA(MATCH($D1045,'Paramètres'!$M:$M,0)),"⚠ Type inconnu",IFERROR(INDEX('Paramètres'!$P:$P,MATCH($D1045,'Paramètres'!$M:$M,0))&amp;"",""))))</f>
        <v>Débit</v>
      </c>
      <c r="M1045" s="6" t="str">
        <f>IF($D1045="","",IF(ISNA(MATCH($D1045,'Paramètres'!$M:$M,0)),"⚠ Type inconnu",IF($L1045="Crédit","",IFERROR(INDEX('Paramètres'!$O:$O,MATCH($D1045,'Paramètres'!$M:$M,0))&amp;"",""))))</f>
        <v>Dépense Fixe</v>
      </c>
      <c r="N1045" s="6" t="str">
        <f>IF($D1045="","",IFERROR(INDEX('Paramètres'!$Q:$Q,MATCH($D1045,'Paramètres'!$M:$M,0))&amp;"",""))</f>
        <v>Banque</v>
      </c>
      <c r="O1045" s="6">
        <f>IF($A1045="","",IF(OR($J1045&lt;&gt;"x",$A1045&lt;=FinReleve),1,0))</f>
        <v>1</v>
      </c>
      <c r="P1045" s="6">
        <f>IF($D1045="","",IF(AND($L1045="Crédit",OR(IFERROR(INDEX('Paramètres'!$O:$O,MATCH($D1045,'Paramètres'!$M:$M,0))&amp;"","")&lt;&gt;"",ISNUMBER(SEARCH("remboursement",IFERROR(INDEX('Paramètres'!$N:$N,MATCH($D1045,'Paramètres'!$M:$M,0))&amp;"",""))))),1,0))</f>
        <v>0</v>
      </c>
      <c r="Q1045" s="6">
        <f>IF($K1045="","",IF(ISNUMBER(SEARCH("transfert-interne",IFERROR(INDEX('Paramètres'!$N:$N,MATCH($D1045,'Paramètres'!$M:$M,0))&amp;"",""))),0,IF($L1045="Débit",$K1045,IF($P1045=1,-$K1045,0))))</f>
        <v>3</v>
      </c>
      <c r="R1045" s="6">
        <f>IF($K1045="","",IF($L1045="Crédit",$K1045,-$K1045))</f>
        <v>-3</v>
      </c>
      <c r="S1045" s="6" t="str">
        <f>IF($C1045="","",IFERROR(INDEX('Paramètres'!$H:$H,MATCH($C1045,'Paramètres'!$D:$D,0))&amp;"",""))</f>
        <v/>
      </c>
      <c r="T1045" s="6">
        <f>IF($K1045="","",IF($S1045="",0,IF(ISNUMBER(SEARCH("apport-exterieur",IFERROR(INDEX('Paramètres'!$N:$N,MATCH($D1045,'Paramètres'!$M:$M,0))&amp;"",""))),0,IF(OR(IFERROR(INDEX('Paramètres'!$I:$I,MATCH($C1045,'Paramètres'!$D:$D,0))&amp;"","")="Les deux",IFERROR(INDEX('Paramètres'!$I:$I,MATCH($C1045,'Paramètres'!$D:$D,0))&amp;"","")=IF($P1045=1,"Débit",$L1045)),-IF($P1045=1,-$K1045,$K1045),0))))</f>
        <v>0</v>
      </c>
      <c r="U1045" s="6">
        <f>IF($K1045="","",IF(ISNUMBER(SEARCH("sortie-epargne",IFERROR(INDEX('Paramètres'!$N:$N,MATCH($D1045,'Paramètres'!$M:$M,0))&amp;"",""))),$K1045,0))</f>
        <v>0</v>
      </c>
      <c r="V1045" s="6" t="str">
        <f>IF(AND($A1045&lt;&gt;"",$O1045=1,$L1045="Débit",N($Q1045)&gt;0,$A1045&gt;=Visualisation!$B$1,$A1045&lt;Visualisation!$D$1),MAX($V$1:V1044)+1,"")</f>
        <v/>
      </c>
    </row>
    <row r="1046" spans="1:22" x14ac:dyDescent="0.25">
      <c r="A1046" s="9">
        <v>46280</v>
      </c>
      <c r="B1046" s="4" t="s">
        <v>103</v>
      </c>
      <c r="C1046" s="4" t="s">
        <v>75</v>
      </c>
      <c r="D1046" s="4" t="s">
        <v>103</v>
      </c>
      <c r="E1046" s="10">
        <v>212</v>
      </c>
      <c r="G1046" s="4"/>
      <c r="H1046" s="4"/>
      <c r="I1046" s="4"/>
      <c r="K1046" s="11">
        <f>IF($E1046="","",ROUND($E1046*IF(ISNA(MATCH($C1046,'Paramètres'!$D:$D,0)),1,IF(INDEX('Paramètres'!$J:$J,MATCH($C1046,'Paramètres'!$D:$D,0))="",1,INDEX('Paramètres'!$J:$J,MATCH($C1046,'Paramètres'!$D:$D,0)))),2))</f>
        <v>212</v>
      </c>
      <c r="L1046" s="6" t="str">
        <f>IF($D1046="","",IF($F1046&lt;&gt;"",$F1046,IF(ISNA(MATCH($D1046,'Paramètres'!$M:$M,0)),"⚠ Type inconnu",IFERROR(INDEX('Paramètres'!$P:$P,MATCH($D1046,'Paramètres'!$M:$M,0))&amp;"",""))))</f>
        <v>Débit</v>
      </c>
      <c r="M1046" s="6" t="str">
        <f>IF($D1046="","",IF(ISNA(MATCH($D1046,'Paramètres'!$M:$M,0)),"⚠ Type inconnu",IF($L1046="Crédit","",IFERROR(INDEX('Paramètres'!$O:$O,MATCH($D1046,'Paramètres'!$M:$M,0))&amp;"",""))))</f>
        <v>Dépense Fixe</v>
      </c>
      <c r="N1046" s="6" t="str">
        <f>IF($D1046="","",IFERROR(INDEX('Paramètres'!$Q:$Q,MATCH($D1046,'Paramètres'!$M:$M,0))&amp;"",""))</f>
        <v>Impots</v>
      </c>
      <c r="O1046" s="6">
        <f>IF($A1046="","",IF(OR($J1046&lt;&gt;"x",$A1046&lt;=FinReleve),1,0))</f>
        <v>1</v>
      </c>
      <c r="P1046" s="6">
        <f>IF($D1046="","",IF(AND($L1046="Crédit",OR(IFERROR(INDEX('Paramètres'!$O:$O,MATCH($D1046,'Paramètres'!$M:$M,0))&amp;"","")&lt;&gt;"",ISNUMBER(SEARCH("remboursement",IFERROR(INDEX('Paramètres'!$N:$N,MATCH($D1046,'Paramètres'!$M:$M,0))&amp;"",""))))),1,0))</f>
        <v>0</v>
      </c>
      <c r="Q1046" s="6">
        <f>IF($K1046="","",IF(ISNUMBER(SEARCH("transfert-interne",IFERROR(INDEX('Paramètres'!$N:$N,MATCH($D1046,'Paramètres'!$M:$M,0))&amp;"",""))),0,IF($L1046="Débit",$K1046,IF($P1046=1,-$K1046,0))))</f>
        <v>212</v>
      </c>
      <c r="R1046" s="6">
        <f>IF($K1046="","",IF($L1046="Crédit",$K1046,-$K1046))</f>
        <v>-212</v>
      </c>
      <c r="S1046" s="6" t="str">
        <f>IF($C1046="","",IFERROR(INDEX('Paramètres'!$H:$H,MATCH($C1046,'Paramètres'!$D:$D,0))&amp;"",""))</f>
        <v/>
      </c>
      <c r="T1046" s="6">
        <f>IF($K1046="","",IF($S1046="",0,IF(ISNUMBER(SEARCH("apport-exterieur",IFERROR(INDEX('Paramètres'!$N:$N,MATCH($D1046,'Paramètres'!$M:$M,0))&amp;"",""))),0,IF(OR(IFERROR(INDEX('Paramètres'!$I:$I,MATCH($C1046,'Paramètres'!$D:$D,0))&amp;"","")="Les deux",IFERROR(INDEX('Paramètres'!$I:$I,MATCH($C1046,'Paramètres'!$D:$D,0))&amp;"","")=IF($P1046=1,"Débit",$L1046)),-IF($P1046=1,-$K1046,$K1046),0))))</f>
        <v>0</v>
      </c>
      <c r="U1046" s="6">
        <f>IF($K1046="","",IF(ISNUMBER(SEARCH("sortie-epargne",IFERROR(INDEX('Paramètres'!$N:$N,MATCH($D1046,'Paramètres'!$M:$M,0))&amp;"",""))),$K1046,0))</f>
        <v>0</v>
      </c>
      <c r="V1046" s="6" t="str">
        <f>IF(AND($A1046&lt;&gt;"",$O1046=1,$L1046="Débit",N($Q1046)&gt;0,$A1046&gt;=Visualisation!$B$1,$A1046&lt;Visualisation!$D$1),MAX($V$1:V1045)+1,"")</f>
        <v/>
      </c>
    </row>
    <row r="1047" spans="1:22" x14ac:dyDescent="0.25">
      <c r="A1047" s="9">
        <v>46280</v>
      </c>
      <c r="B1047" s="4" t="s">
        <v>76</v>
      </c>
      <c r="C1047" s="4" t="s">
        <v>67</v>
      </c>
      <c r="D1047" s="4" t="s">
        <v>77</v>
      </c>
      <c r="E1047" s="10">
        <v>161.12</v>
      </c>
      <c r="G1047" s="4" t="s">
        <v>78</v>
      </c>
      <c r="H1047" s="4"/>
      <c r="I1047" s="4" t="s">
        <v>63</v>
      </c>
      <c r="K1047" s="11">
        <f>IF($E1047="","",ROUND($E1047*IF(ISNA(MATCH($C1047,'Paramètres'!$D:$D,0)),1,IF(INDEX('Paramètres'!$J:$J,MATCH($C1047,'Paramètres'!$D:$D,0))="",1,INDEX('Paramètres'!$J:$J,MATCH($C1047,'Paramètres'!$D:$D,0)))),2))</f>
        <v>80.56</v>
      </c>
      <c r="L1047" s="6" t="str">
        <f>IF($D1047="","",IF($F1047&lt;&gt;"",$F1047,IF(ISNA(MATCH($D1047,'Paramètres'!$M:$M,0)),"⚠ Type inconnu",IFERROR(INDEX('Paramètres'!$P:$P,MATCH($D1047,'Paramètres'!$M:$M,0))&amp;"",""))))</f>
        <v>Débit</v>
      </c>
      <c r="M1047" s="6" t="str">
        <f>IF($D1047="","",IF(ISNA(MATCH($D1047,'Paramètres'!$M:$M,0)),"⚠ Type inconnu",IF($L1047="Crédit","",IFERROR(INDEX('Paramètres'!$O:$O,MATCH($D1047,'Paramètres'!$M:$M,0))&amp;"",""))))</f>
        <v>Dépense Courante</v>
      </c>
      <c r="N1047" s="6" t="str">
        <f>IF($D1047="","",IFERROR(INDEX('Paramètres'!$Q:$Q,MATCH($D1047,'Paramètres'!$M:$M,0))&amp;"",""))</f>
        <v>Alimentation</v>
      </c>
      <c r="O1047" s="6">
        <f>IF($A1047="","",IF(OR($J1047&lt;&gt;"x",$A1047&lt;=FinReleve),1,0))</f>
        <v>1</v>
      </c>
      <c r="P1047" s="6">
        <f>IF($D1047="","",IF(AND($L1047="Crédit",OR(IFERROR(INDEX('Paramètres'!$O:$O,MATCH($D1047,'Paramètres'!$M:$M,0))&amp;"","")&lt;&gt;"",ISNUMBER(SEARCH("remboursement",IFERROR(INDEX('Paramètres'!$N:$N,MATCH($D1047,'Paramètres'!$M:$M,0))&amp;"",""))))),1,0))</f>
        <v>0</v>
      </c>
      <c r="Q1047" s="6">
        <f>IF($K1047="","",IF(ISNUMBER(SEARCH("transfert-interne",IFERROR(INDEX('Paramètres'!$N:$N,MATCH($D1047,'Paramètres'!$M:$M,0))&amp;"",""))),0,IF($L1047="Débit",$K1047,IF($P1047=1,-$K1047,0))))</f>
        <v>80.56</v>
      </c>
      <c r="R1047" s="6">
        <f>IF($K1047="","",IF($L1047="Crédit",$K1047,-$K1047))</f>
        <v>-80.56</v>
      </c>
      <c r="S1047" s="6" t="str">
        <f>IF($C1047="","",IFERROR(INDEX('Paramètres'!$H:$H,MATCH($C1047,'Paramètres'!$D:$D,0))&amp;"",""))</f>
        <v>Banque A - Courant</v>
      </c>
      <c r="T1047" s="6">
        <f>IF($K1047="","",IF($S1047="",0,IF(ISNUMBER(SEARCH("apport-exterieur",IFERROR(INDEX('Paramètres'!$N:$N,MATCH($D1047,'Paramètres'!$M:$M,0))&amp;"",""))),0,IF(OR(IFERROR(INDEX('Paramètres'!$I:$I,MATCH($C1047,'Paramètres'!$D:$D,0))&amp;"","")="Les deux",IFERROR(INDEX('Paramètres'!$I:$I,MATCH($C1047,'Paramètres'!$D:$D,0))&amp;"","")=IF($P1047=1,"Débit",$L1047)),-IF($P1047=1,-$K1047,$K1047),0))))</f>
        <v>0</v>
      </c>
      <c r="U1047" s="6">
        <f>IF($K1047="","",IF(ISNUMBER(SEARCH("sortie-epargne",IFERROR(INDEX('Paramètres'!$N:$N,MATCH($D1047,'Paramètres'!$M:$M,0))&amp;"",""))),$K1047,0))</f>
        <v>0</v>
      </c>
      <c r="V1047" s="6" t="str">
        <f>IF(AND($A1047&lt;&gt;"",$O1047=1,$L1047="Débit",N($Q1047)&gt;0,$A1047&gt;=Visualisation!$B$1,$A1047&lt;Visualisation!$D$1),MAX($V$1:V1046)+1,"")</f>
        <v/>
      </c>
    </row>
    <row r="1048" spans="1:22" x14ac:dyDescent="0.25">
      <c r="A1048" s="9">
        <v>46280</v>
      </c>
      <c r="B1048" s="4" t="s">
        <v>69</v>
      </c>
      <c r="C1048" s="4" t="s">
        <v>70</v>
      </c>
      <c r="D1048" s="4" t="s">
        <v>71</v>
      </c>
      <c r="E1048" s="10">
        <v>14.06</v>
      </c>
      <c r="G1048" s="4" t="s">
        <v>72</v>
      </c>
      <c r="H1048" s="4"/>
      <c r="I1048" s="4"/>
      <c r="K1048" s="11">
        <f>IF($E1048="","",ROUND($E1048*IF(ISNA(MATCH($C1048,'Paramètres'!$D:$D,0)),1,IF(INDEX('Paramètres'!$J:$J,MATCH($C1048,'Paramètres'!$D:$D,0))="",1,INDEX('Paramètres'!$J:$J,MATCH($C1048,'Paramètres'!$D:$D,0)))),2))</f>
        <v>14.06</v>
      </c>
      <c r="L1048" s="6" t="str">
        <f>IF($D1048="","",IF($F1048&lt;&gt;"",$F1048,IF(ISNA(MATCH($D1048,'Paramètres'!$M:$M,0)),"⚠ Type inconnu",IFERROR(INDEX('Paramètres'!$P:$P,MATCH($D1048,'Paramètres'!$M:$M,0))&amp;"",""))))</f>
        <v>Débit</v>
      </c>
      <c r="M1048" s="6" t="str">
        <f>IF($D1048="","",IF(ISNA(MATCH($D1048,'Paramètres'!$M:$M,0)),"⚠ Type inconnu",IF($L1048="Crédit","",IFERROR(INDEX('Paramètres'!$O:$O,MATCH($D1048,'Paramètres'!$M:$M,0))&amp;"",""))))</f>
        <v>Dépense Courante</v>
      </c>
      <c r="N1048" s="6" t="str">
        <f>IF($D1048="","",IFERROR(INDEX('Paramètres'!$Q:$Q,MATCH($D1048,'Paramètres'!$M:$M,0))&amp;"",""))</f>
        <v>Alimentation</v>
      </c>
      <c r="O1048" s="6">
        <f>IF($A1048="","",IF(OR($J1048&lt;&gt;"x",$A1048&lt;=FinReleve),1,0))</f>
        <v>1</v>
      </c>
      <c r="P1048" s="6">
        <f>IF($D1048="","",IF(AND($L1048="Crédit",OR(IFERROR(INDEX('Paramètres'!$O:$O,MATCH($D1048,'Paramètres'!$M:$M,0))&amp;"","")&lt;&gt;"",ISNUMBER(SEARCH("remboursement",IFERROR(INDEX('Paramètres'!$N:$N,MATCH($D1048,'Paramètres'!$M:$M,0))&amp;"",""))))),1,0))</f>
        <v>0</v>
      </c>
      <c r="Q1048" s="6">
        <f>IF($K1048="","",IF(ISNUMBER(SEARCH("transfert-interne",IFERROR(INDEX('Paramètres'!$N:$N,MATCH($D1048,'Paramètres'!$M:$M,0))&amp;"",""))),0,IF($L1048="Débit",$K1048,IF($P1048=1,-$K1048,0))))</f>
        <v>14.06</v>
      </c>
      <c r="R1048" s="6">
        <f>IF($K1048="","",IF($L1048="Crédit",$K1048,-$K1048))</f>
        <v>-14.06</v>
      </c>
      <c r="S1048" s="6" t="str">
        <f>IF($C1048="","",IFERROR(INDEX('Paramètres'!$H:$H,MATCH($C1048,'Paramètres'!$D:$D,0))&amp;"",""))</f>
        <v/>
      </c>
      <c r="T1048" s="6">
        <f>IF($K1048="","",IF($S1048="",0,IF(ISNUMBER(SEARCH("apport-exterieur",IFERROR(INDEX('Paramètres'!$N:$N,MATCH($D1048,'Paramètres'!$M:$M,0))&amp;"",""))),0,IF(OR(IFERROR(INDEX('Paramètres'!$I:$I,MATCH($C1048,'Paramètres'!$D:$D,0))&amp;"","")="Les deux",IFERROR(INDEX('Paramètres'!$I:$I,MATCH($C1048,'Paramètres'!$D:$D,0))&amp;"","")=IF($P1048=1,"Débit",$L1048)),-IF($P1048=1,-$K1048,$K1048),0))))</f>
        <v>0</v>
      </c>
      <c r="U1048" s="6">
        <f>IF($K1048="","",IF(ISNUMBER(SEARCH("sortie-epargne",IFERROR(INDEX('Paramètres'!$N:$N,MATCH($D1048,'Paramètres'!$M:$M,0))&amp;"",""))),$K1048,0))</f>
        <v>0</v>
      </c>
      <c r="V1048" s="6" t="str">
        <f>IF(AND($A1048&lt;&gt;"",$O1048=1,$L1048="Débit",N($Q1048)&gt;0,$A1048&gt;=Visualisation!$B$1,$A1048&lt;Visualisation!$D$1),MAX($V$1:V1047)+1,"")</f>
        <v/>
      </c>
    </row>
    <row r="1049" spans="1:22" x14ac:dyDescent="0.25">
      <c r="A1049" s="9">
        <v>46280</v>
      </c>
      <c r="B1049" s="4" t="s">
        <v>69</v>
      </c>
      <c r="C1049" s="4" t="s">
        <v>70</v>
      </c>
      <c r="D1049" s="4" t="s">
        <v>71</v>
      </c>
      <c r="E1049" s="10">
        <v>12.01</v>
      </c>
      <c r="G1049" s="4" t="s">
        <v>72</v>
      </c>
      <c r="H1049" s="4"/>
      <c r="I1049" s="4" t="s">
        <v>79</v>
      </c>
      <c r="K1049" s="11">
        <f>IF($E1049="","",ROUND($E1049*IF(ISNA(MATCH($C1049,'Paramètres'!$D:$D,0)),1,IF(INDEX('Paramètres'!$J:$J,MATCH($C1049,'Paramètres'!$D:$D,0))="",1,INDEX('Paramètres'!$J:$J,MATCH($C1049,'Paramètres'!$D:$D,0)))),2))</f>
        <v>12.01</v>
      </c>
      <c r="L1049" s="6" t="str">
        <f>IF($D1049="","",IF($F1049&lt;&gt;"",$F1049,IF(ISNA(MATCH($D1049,'Paramètres'!$M:$M,0)),"⚠ Type inconnu",IFERROR(INDEX('Paramètres'!$P:$P,MATCH($D1049,'Paramètres'!$M:$M,0))&amp;"",""))))</f>
        <v>Débit</v>
      </c>
      <c r="M1049" s="6" t="str">
        <f>IF($D1049="","",IF(ISNA(MATCH($D1049,'Paramètres'!$M:$M,0)),"⚠ Type inconnu",IF($L1049="Crédit","",IFERROR(INDEX('Paramètres'!$O:$O,MATCH($D1049,'Paramètres'!$M:$M,0))&amp;"",""))))</f>
        <v>Dépense Courante</v>
      </c>
      <c r="N1049" s="6" t="str">
        <f>IF($D1049="","",IFERROR(INDEX('Paramètres'!$Q:$Q,MATCH($D1049,'Paramètres'!$M:$M,0))&amp;"",""))</f>
        <v>Alimentation</v>
      </c>
      <c r="O1049" s="6">
        <f>IF($A1049="","",IF(OR($J1049&lt;&gt;"x",$A1049&lt;=FinReleve),1,0))</f>
        <v>1</v>
      </c>
      <c r="P1049" s="6">
        <f>IF($D1049="","",IF(AND($L1049="Crédit",OR(IFERROR(INDEX('Paramètres'!$O:$O,MATCH($D1049,'Paramètres'!$M:$M,0))&amp;"","")&lt;&gt;"",ISNUMBER(SEARCH("remboursement",IFERROR(INDEX('Paramètres'!$N:$N,MATCH($D1049,'Paramètres'!$M:$M,0))&amp;"",""))))),1,0))</f>
        <v>0</v>
      </c>
      <c r="Q1049" s="6">
        <f>IF($K1049="","",IF(ISNUMBER(SEARCH("transfert-interne",IFERROR(INDEX('Paramètres'!$N:$N,MATCH($D1049,'Paramètres'!$M:$M,0))&amp;"",""))),0,IF($L1049="Débit",$K1049,IF($P1049=1,-$K1049,0))))</f>
        <v>12.01</v>
      </c>
      <c r="R1049" s="6">
        <f>IF($K1049="","",IF($L1049="Crédit",$K1049,-$K1049))</f>
        <v>-12.01</v>
      </c>
      <c r="S1049" s="6" t="str">
        <f>IF($C1049="","",IFERROR(INDEX('Paramètres'!$H:$H,MATCH($C1049,'Paramètres'!$D:$D,0))&amp;"",""))</f>
        <v/>
      </c>
      <c r="T1049" s="6">
        <f>IF($K1049="","",IF($S1049="",0,IF(ISNUMBER(SEARCH("apport-exterieur",IFERROR(INDEX('Paramètres'!$N:$N,MATCH($D1049,'Paramètres'!$M:$M,0))&amp;"",""))),0,IF(OR(IFERROR(INDEX('Paramètres'!$I:$I,MATCH($C1049,'Paramètres'!$D:$D,0))&amp;"","")="Les deux",IFERROR(INDEX('Paramètres'!$I:$I,MATCH($C1049,'Paramètres'!$D:$D,0))&amp;"","")=IF($P1049=1,"Débit",$L1049)),-IF($P1049=1,-$K1049,$K1049),0))))</f>
        <v>0</v>
      </c>
      <c r="U1049" s="6">
        <f>IF($K1049="","",IF(ISNUMBER(SEARCH("sortie-epargne",IFERROR(INDEX('Paramètres'!$N:$N,MATCH($D1049,'Paramètres'!$M:$M,0))&amp;"",""))),$K1049,0))</f>
        <v>0</v>
      </c>
      <c r="V1049" s="6" t="str">
        <f>IF(AND($A1049&lt;&gt;"",$O1049=1,$L1049="Débit",N($Q1049)&gt;0,$A1049&gt;=Visualisation!$B$1,$A1049&lt;Visualisation!$D$1),MAX($V$1:V1048)+1,"")</f>
        <v/>
      </c>
    </row>
    <row r="1050" spans="1:22" x14ac:dyDescent="0.25">
      <c r="A1050" s="9">
        <v>46280</v>
      </c>
      <c r="B1050" s="4" t="s">
        <v>90</v>
      </c>
      <c r="C1050" s="4" t="s">
        <v>75</v>
      </c>
      <c r="D1050" s="4" t="s">
        <v>91</v>
      </c>
      <c r="E1050" s="10">
        <v>72.87</v>
      </c>
      <c r="G1050" s="4" t="s">
        <v>104</v>
      </c>
      <c r="H1050" s="4"/>
      <c r="I1050" s="4" t="s">
        <v>93</v>
      </c>
      <c r="K1050" s="11">
        <f>IF($E1050="","",ROUND($E1050*IF(ISNA(MATCH($C1050,'Paramètres'!$D:$D,0)),1,IF(INDEX('Paramètres'!$J:$J,MATCH($C1050,'Paramètres'!$D:$D,0))="",1,INDEX('Paramètres'!$J:$J,MATCH($C1050,'Paramètres'!$D:$D,0)))),2))</f>
        <v>72.87</v>
      </c>
      <c r="L1050" s="6" t="str">
        <f>IF($D1050="","",IF($F1050&lt;&gt;"",$F1050,IF(ISNA(MATCH($D1050,'Paramètres'!$M:$M,0)),"⚠ Type inconnu",IFERROR(INDEX('Paramètres'!$P:$P,MATCH($D1050,'Paramètres'!$M:$M,0))&amp;"",""))))</f>
        <v>Débit</v>
      </c>
      <c r="M1050" s="6" t="str">
        <f>IF($D1050="","",IF(ISNA(MATCH($D1050,'Paramètres'!$M:$M,0)),"⚠ Type inconnu",IF($L1050="Crédit","",IFERROR(INDEX('Paramètres'!$O:$O,MATCH($D1050,'Paramètres'!$M:$M,0))&amp;"",""))))</f>
        <v>Dépense Courante</v>
      </c>
      <c r="N1050" s="6" t="str">
        <f>IF($D1050="","",IFERROR(INDEX('Paramètres'!$Q:$Q,MATCH($D1050,'Paramètres'!$M:$M,0))&amp;"",""))</f>
        <v>Transport</v>
      </c>
      <c r="O1050" s="6">
        <f>IF($A1050="","",IF(OR($J1050&lt;&gt;"x",$A1050&lt;=FinReleve),1,0))</f>
        <v>1</v>
      </c>
      <c r="P1050" s="6">
        <f>IF($D1050="","",IF(AND($L1050="Crédit",OR(IFERROR(INDEX('Paramètres'!$O:$O,MATCH($D1050,'Paramètres'!$M:$M,0))&amp;"","")&lt;&gt;"",ISNUMBER(SEARCH("remboursement",IFERROR(INDEX('Paramètres'!$N:$N,MATCH($D1050,'Paramètres'!$M:$M,0))&amp;"",""))))),1,0))</f>
        <v>0</v>
      </c>
      <c r="Q1050" s="6">
        <f>IF($K1050="","",IF(ISNUMBER(SEARCH("transfert-interne",IFERROR(INDEX('Paramètres'!$N:$N,MATCH($D1050,'Paramètres'!$M:$M,0))&amp;"",""))),0,IF($L1050="Débit",$K1050,IF($P1050=1,-$K1050,0))))</f>
        <v>72.87</v>
      </c>
      <c r="R1050" s="6">
        <f>IF($K1050="","",IF($L1050="Crédit",$K1050,-$K1050))</f>
        <v>-72.87</v>
      </c>
      <c r="S1050" s="6" t="str">
        <f>IF($C1050="","",IFERROR(INDEX('Paramètres'!$H:$H,MATCH($C1050,'Paramètres'!$D:$D,0))&amp;"",""))</f>
        <v/>
      </c>
      <c r="T1050" s="6">
        <f>IF($K1050="","",IF($S1050="",0,IF(ISNUMBER(SEARCH("apport-exterieur",IFERROR(INDEX('Paramètres'!$N:$N,MATCH($D1050,'Paramètres'!$M:$M,0))&amp;"",""))),0,IF(OR(IFERROR(INDEX('Paramètres'!$I:$I,MATCH($C1050,'Paramètres'!$D:$D,0))&amp;"","")="Les deux",IFERROR(INDEX('Paramètres'!$I:$I,MATCH($C1050,'Paramètres'!$D:$D,0))&amp;"","")=IF($P1050=1,"Débit",$L1050)),-IF($P1050=1,-$K1050,$K1050),0))))</f>
        <v>0</v>
      </c>
      <c r="U1050" s="6">
        <f>IF($K1050="","",IF(ISNUMBER(SEARCH("sortie-epargne",IFERROR(INDEX('Paramètres'!$N:$N,MATCH($D1050,'Paramètres'!$M:$M,0))&amp;"",""))),$K1050,0))</f>
        <v>0</v>
      </c>
      <c r="V1050" s="6" t="str">
        <f>IF(AND($A1050&lt;&gt;"",$O1050=1,$L1050="Débit",N($Q1050)&gt;0,$A1050&gt;=Visualisation!$B$1,$A1050&lt;Visualisation!$D$1),MAX($V$1:V1049)+1,"")</f>
        <v/>
      </c>
    </row>
    <row r="1051" spans="1:22" x14ac:dyDescent="0.25">
      <c r="A1051" s="9">
        <v>46280</v>
      </c>
      <c r="B1051" s="4" t="s">
        <v>90</v>
      </c>
      <c r="C1051" s="4" t="s">
        <v>75</v>
      </c>
      <c r="D1051" s="4" t="s">
        <v>91</v>
      </c>
      <c r="E1051" s="10">
        <v>68.47</v>
      </c>
      <c r="G1051" s="4" t="s">
        <v>92</v>
      </c>
      <c r="H1051" s="4"/>
      <c r="I1051" s="4" t="s">
        <v>73</v>
      </c>
      <c r="K1051" s="11">
        <f>IF($E1051="","",ROUND($E1051*IF(ISNA(MATCH($C1051,'Paramètres'!$D:$D,0)),1,IF(INDEX('Paramètres'!$J:$J,MATCH($C1051,'Paramètres'!$D:$D,0))="",1,INDEX('Paramètres'!$J:$J,MATCH($C1051,'Paramètres'!$D:$D,0)))),2))</f>
        <v>68.47</v>
      </c>
      <c r="L1051" s="6" t="str">
        <f>IF($D1051="","",IF($F1051&lt;&gt;"",$F1051,IF(ISNA(MATCH($D1051,'Paramètres'!$M:$M,0)),"⚠ Type inconnu",IFERROR(INDEX('Paramètres'!$P:$P,MATCH($D1051,'Paramètres'!$M:$M,0))&amp;"",""))))</f>
        <v>Débit</v>
      </c>
      <c r="M1051" s="6" t="str">
        <f>IF($D1051="","",IF(ISNA(MATCH($D1051,'Paramètres'!$M:$M,0)),"⚠ Type inconnu",IF($L1051="Crédit","",IFERROR(INDEX('Paramètres'!$O:$O,MATCH($D1051,'Paramètres'!$M:$M,0))&amp;"",""))))</f>
        <v>Dépense Courante</v>
      </c>
      <c r="N1051" s="6" t="str">
        <f>IF($D1051="","",IFERROR(INDEX('Paramètres'!$Q:$Q,MATCH($D1051,'Paramètres'!$M:$M,0))&amp;"",""))</f>
        <v>Transport</v>
      </c>
      <c r="O1051" s="6">
        <f>IF($A1051="","",IF(OR($J1051&lt;&gt;"x",$A1051&lt;=FinReleve),1,0))</f>
        <v>1</v>
      </c>
      <c r="P1051" s="6">
        <f>IF($D1051="","",IF(AND($L1051="Crédit",OR(IFERROR(INDEX('Paramètres'!$O:$O,MATCH($D1051,'Paramètres'!$M:$M,0))&amp;"","")&lt;&gt;"",ISNUMBER(SEARCH("remboursement",IFERROR(INDEX('Paramètres'!$N:$N,MATCH($D1051,'Paramètres'!$M:$M,0))&amp;"",""))))),1,0))</f>
        <v>0</v>
      </c>
      <c r="Q1051" s="6">
        <f>IF($K1051="","",IF(ISNUMBER(SEARCH("transfert-interne",IFERROR(INDEX('Paramètres'!$N:$N,MATCH($D1051,'Paramètres'!$M:$M,0))&amp;"",""))),0,IF($L1051="Débit",$K1051,IF($P1051=1,-$K1051,0))))</f>
        <v>68.47</v>
      </c>
      <c r="R1051" s="6">
        <f>IF($K1051="","",IF($L1051="Crédit",$K1051,-$K1051))</f>
        <v>-68.47</v>
      </c>
      <c r="S1051" s="6" t="str">
        <f>IF($C1051="","",IFERROR(INDEX('Paramètres'!$H:$H,MATCH($C1051,'Paramètres'!$D:$D,0))&amp;"",""))</f>
        <v/>
      </c>
      <c r="T1051" s="6">
        <f>IF($K1051="","",IF($S1051="",0,IF(ISNUMBER(SEARCH("apport-exterieur",IFERROR(INDEX('Paramètres'!$N:$N,MATCH($D1051,'Paramètres'!$M:$M,0))&amp;"",""))),0,IF(OR(IFERROR(INDEX('Paramètres'!$I:$I,MATCH($C1051,'Paramètres'!$D:$D,0))&amp;"","")="Les deux",IFERROR(INDEX('Paramètres'!$I:$I,MATCH($C1051,'Paramètres'!$D:$D,0))&amp;"","")=IF($P1051=1,"Débit",$L1051)),-IF($P1051=1,-$K1051,$K1051),0))))</f>
        <v>0</v>
      </c>
      <c r="U1051" s="6">
        <f>IF($K1051="","",IF(ISNUMBER(SEARCH("sortie-epargne",IFERROR(INDEX('Paramètres'!$N:$N,MATCH($D1051,'Paramètres'!$M:$M,0))&amp;"",""))),$K1051,0))</f>
        <v>0</v>
      </c>
      <c r="V1051" s="6" t="str">
        <f>IF(AND($A1051&lt;&gt;"",$O1051=1,$L1051="Débit",N($Q1051)&gt;0,$A1051&gt;=Visualisation!$B$1,$A1051&lt;Visualisation!$D$1),MAX($V$1:V1050)+1,"")</f>
        <v/>
      </c>
    </row>
    <row r="1052" spans="1:22" x14ac:dyDescent="0.25">
      <c r="A1052" s="9">
        <v>46280</v>
      </c>
      <c r="B1052" s="4" t="s">
        <v>105</v>
      </c>
      <c r="C1052" s="4" t="s">
        <v>75</v>
      </c>
      <c r="D1052" s="4" t="s">
        <v>110</v>
      </c>
      <c r="E1052" s="10">
        <v>150</v>
      </c>
      <c r="G1052" s="4"/>
      <c r="H1052" s="4"/>
      <c r="I1052" s="4"/>
      <c r="K1052" s="11">
        <f>IF($E1052="","",ROUND($E1052*IF(ISNA(MATCH($C1052,'Paramètres'!$D:$D,0)),1,IF(INDEX('Paramètres'!$J:$J,MATCH($C1052,'Paramètres'!$D:$D,0))="",1,INDEX('Paramètres'!$J:$J,MATCH($C1052,'Paramètres'!$D:$D,0)))),2))</f>
        <v>150</v>
      </c>
      <c r="L1052" s="6" t="str">
        <f>IF($D1052="","",IF($F1052&lt;&gt;"",$F1052,IF(ISNA(MATCH($D1052,'Paramètres'!$M:$M,0)),"⚠ Type inconnu",IFERROR(INDEX('Paramètres'!$P:$P,MATCH($D1052,'Paramètres'!$M:$M,0))&amp;"",""))))</f>
        <v>Débit</v>
      </c>
      <c r="M1052" s="6" t="str">
        <f>IF($D1052="","",IF(ISNA(MATCH($D1052,'Paramètres'!$M:$M,0)),"⚠ Type inconnu",IF($L1052="Crédit","",IFERROR(INDEX('Paramètres'!$O:$O,MATCH($D1052,'Paramètres'!$M:$M,0))&amp;"",""))))</f>
        <v/>
      </c>
      <c r="N1052" s="6" t="str">
        <f>IF($D1052="","",IFERROR(INDEX('Paramètres'!$Q:$Q,MATCH($D1052,'Paramètres'!$M:$M,0))&amp;"",""))</f>
        <v>Comptes Bancaires</v>
      </c>
      <c r="O1052" s="6">
        <f>IF($A1052="","",IF(OR($J1052&lt;&gt;"x",$A1052&lt;=FinReleve),1,0))</f>
        <v>1</v>
      </c>
      <c r="P1052" s="6">
        <f>IF($D1052="","",IF(AND($L1052="Crédit",OR(IFERROR(INDEX('Paramètres'!$O:$O,MATCH($D1052,'Paramètres'!$M:$M,0))&amp;"","")&lt;&gt;"",ISNUMBER(SEARCH("remboursement",IFERROR(INDEX('Paramètres'!$N:$N,MATCH($D1052,'Paramètres'!$M:$M,0))&amp;"",""))))),1,0))</f>
        <v>0</v>
      </c>
      <c r="Q1052" s="6">
        <f>IF($K1052="","",IF(ISNUMBER(SEARCH("transfert-interne",IFERROR(INDEX('Paramètres'!$N:$N,MATCH($D1052,'Paramètres'!$M:$M,0))&amp;"",""))),0,IF($L1052="Débit",$K1052,IF($P1052=1,-$K1052,0))))</f>
        <v>0</v>
      </c>
      <c r="R1052" s="6">
        <f>IF($K1052="","",IF($L1052="Crédit",$K1052,-$K1052))</f>
        <v>-150</v>
      </c>
      <c r="S1052" s="6" t="str">
        <f>IF($C1052="","",IFERROR(INDEX('Paramètres'!$H:$H,MATCH($C1052,'Paramètres'!$D:$D,0))&amp;"",""))</f>
        <v/>
      </c>
      <c r="T1052" s="6">
        <f>IF($K1052="","",IF($S1052="",0,IF(ISNUMBER(SEARCH("apport-exterieur",IFERROR(INDEX('Paramètres'!$N:$N,MATCH($D1052,'Paramètres'!$M:$M,0))&amp;"",""))),0,IF(OR(IFERROR(INDEX('Paramètres'!$I:$I,MATCH($C1052,'Paramètres'!$D:$D,0))&amp;"","")="Les deux",IFERROR(INDEX('Paramètres'!$I:$I,MATCH($C1052,'Paramètres'!$D:$D,0))&amp;"","")=IF($P1052=1,"Débit",$L1052)),-IF($P1052=1,-$K1052,$K1052),0))))</f>
        <v>0</v>
      </c>
      <c r="U1052" s="6">
        <f>IF($K1052="","",IF(ISNUMBER(SEARCH("sortie-epargne",IFERROR(INDEX('Paramètres'!$N:$N,MATCH($D1052,'Paramètres'!$M:$M,0))&amp;"",""))),$K1052,0))</f>
        <v>0</v>
      </c>
      <c r="V1052" s="6" t="str">
        <f>IF(AND($A1052&lt;&gt;"",$O1052=1,$L1052="Débit",N($Q1052)&gt;0,$A1052&gt;=Visualisation!$B$1,$A1052&lt;Visualisation!$D$1),MAX($V$1:V1051)+1,"")</f>
        <v/>
      </c>
    </row>
    <row r="1053" spans="1:22" x14ac:dyDescent="0.25">
      <c r="A1053" s="9">
        <v>46280</v>
      </c>
      <c r="B1053" s="4" t="s">
        <v>105</v>
      </c>
      <c r="C1053" s="4" t="s">
        <v>75</v>
      </c>
      <c r="D1053" s="4" t="s">
        <v>111</v>
      </c>
      <c r="E1053" s="10">
        <v>200</v>
      </c>
      <c r="G1053" s="4"/>
      <c r="H1053" s="4"/>
      <c r="I1053" s="4"/>
      <c r="K1053" s="11">
        <f>IF($E1053="","",ROUND($E1053*IF(ISNA(MATCH($C1053,'Paramètres'!$D:$D,0)),1,IF(INDEX('Paramètres'!$J:$J,MATCH($C1053,'Paramètres'!$D:$D,0))="",1,INDEX('Paramètres'!$J:$J,MATCH($C1053,'Paramètres'!$D:$D,0)))),2))</f>
        <v>200</v>
      </c>
      <c r="L1053" s="6" t="str">
        <f>IF($D1053="","",IF($F1053&lt;&gt;"",$F1053,IF(ISNA(MATCH($D1053,'Paramètres'!$M:$M,0)),"⚠ Type inconnu",IFERROR(INDEX('Paramètres'!$P:$P,MATCH($D1053,'Paramètres'!$M:$M,0))&amp;"",""))))</f>
        <v>Débit</v>
      </c>
      <c r="M1053" s="6" t="str">
        <f>IF($D1053="","",IF(ISNA(MATCH($D1053,'Paramètres'!$M:$M,0)),"⚠ Type inconnu",IF($L1053="Crédit","",IFERROR(INDEX('Paramètres'!$O:$O,MATCH($D1053,'Paramètres'!$M:$M,0))&amp;"",""))))</f>
        <v/>
      </c>
      <c r="N1053" s="6" t="str">
        <f>IF($D1053="","",IFERROR(INDEX('Paramètres'!$Q:$Q,MATCH($D1053,'Paramètres'!$M:$M,0))&amp;"",""))</f>
        <v>Comptes Bancaires</v>
      </c>
      <c r="O1053" s="6">
        <f>IF($A1053="","",IF(OR($J1053&lt;&gt;"x",$A1053&lt;=FinReleve),1,0))</f>
        <v>1</v>
      </c>
      <c r="P1053" s="6">
        <f>IF($D1053="","",IF(AND($L1053="Crédit",OR(IFERROR(INDEX('Paramètres'!$O:$O,MATCH($D1053,'Paramètres'!$M:$M,0))&amp;"","")&lt;&gt;"",ISNUMBER(SEARCH("remboursement",IFERROR(INDEX('Paramètres'!$N:$N,MATCH($D1053,'Paramètres'!$M:$M,0))&amp;"",""))))),1,0))</f>
        <v>0</v>
      </c>
      <c r="Q1053" s="6">
        <f>IF($K1053="","",IF(ISNUMBER(SEARCH("transfert-interne",IFERROR(INDEX('Paramètres'!$N:$N,MATCH($D1053,'Paramètres'!$M:$M,0))&amp;"",""))),0,IF($L1053="Débit",$K1053,IF($P1053=1,-$K1053,0))))</f>
        <v>200</v>
      </c>
      <c r="R1053" s="6">
        <f>IF($K1053="","",IF($L1053="Crédit",$K1053,-$K1053))</f>
        <v>-200</v>
      </c>
      <c r="S1053" s="6" t="str">
        <f>IF($C1053="","",IFERROR(INDEX('Paramètres'!$H:$H,MATCH($C1053,'Paramètres'!$D:$D,0))&amp;"",""))</f>
        <v/>
      </c>
      <c r="T1053" s="6">
        <f>IF($K1053="","",IF($S1053="",0,IF(ISNUMBER(SEARCH("apport-exterieur",IFERROR(INDEX('Paramètres'!$N:$N,MATCH($D1053,'Paramètres'!$M:$M,0))&amp;"",""))),0,IF(OR(IFERROR(INDEX('Paramètres'!$I:$I,MATCH($C1053,'Paramètres'!$D:$D,0))&amp;"","")="Les deux",IFERROR(INDEX('Paramètres'!$I:$I,MATCH($C1053,'Paramètres'!$D:$D,0))&amp;"","")=IF($P1053=1,"Débit",$L1053)),-IF($P1053=1,-$K1053,$K1053),0))))</f>
        <v>0</v>
      </c>
      <c r="U1053" s="6">
        <f>IF($K1053="","",IF(ISNUMBER(SEARCH("sortie-epargne",IFERROR(INDEX('Paramètres'!$N:$N,MATCH($D1053,'Paramètres'!$M:$M,0))&amp;"",""))),$K1053,0))</f>
        <v>0</v>
      </c>
      <c r="V1053" s="6" t="str">
        <f>IF(AND($A1053&lt;&gt;"",$O1053=1,$L1053="Débit",N($Q1053)&gt;0,$A1053&gt;=Visualisation!$B$1,$A1053&lt;Visualisation!$D$1),MAX($V$1:V1052)+1,"")</f>
        <v/>
      </c>
    </row>
    <row r="1054" spans="1:22" x14ac:dyDescent="0.25">
      <c r="A1054" s="9">
        <v>46280</v>
      </c>
      <c r="B1054" s="4" t="s">
        <v>112</v>
      </c>
      <c r="C1054" s="4" t="s">
        <v>75</v>
      </c>
      <c r="D1054" s="4" t="s">
        <v>113</v>
      </c>
      <c r="E1054" s="10">
        <v>120</v>
      </c>
      <c r="G1054" s="4"/>
      <c r="H1054" s="4"/>
      <c r="I1054" s="4"/>
      <c r="K1054" s="11">
        <f>IF($E1054="","",ROUND($E1054*IF(ISNA(MATCH($C1054,'Paramètres'!$D:$D,0)),1,IF(INDEX('Paramètres'!$J:$J,MATCH($C1054,'Paramètres'!$D:$D,0))="",1,INDEX('Paramètres'!$J:$J,MATCH($C1054,'Paramètres'!$D:$D,0)))),2))</f>
        <v>120</v>
      </c>
      <c r="L1054" s="6" t="str">
        <f>IF($D1054="","",IF($F1054&lt;&gt;"",$F1054,IF(ISNA(MATCH($D1054,'Paramètres'!$M:$M,0)),"⚠ Type inconnu",IFERROR(INDEX('Paramètres'!$P:$P,MATCH($D1054,'Paramètres'!$M:$M,0))&amp;"",""))))</f>
        <v>Débit</v>
      </c>
      <c r="M1054" s="6" t="str">
        <f>IF($D1054="","",IF(ISNA(MATCH($D1054,'Paramètres'!$M:$M,0)),"⚠ Type inconnu",IF($L1054="Crédit","",IFERROR(INDEX('Paramètres'!$O:$O,MATCH($D1054,'Paramètres'!$M:$M,0))&amp;"",""))))</f>
        <v/>
      </c>
      <c r="N1054" s="6" t="str">
        <f>IF($D1054="","",IFERROR(INDEX('Paramètres'!$Q:$Q,MATCH($D1054,'Paramètres'!$M:$M,0))&amp;"",""))</f>
        <v>Comptes Bancaires</v>
      </c>
      <c r="O1054" s="6">
        <f>IF($A1054="","",IF(OR($J1054&lt;&gt;"x",$A1054&lt;=FinReleve),1,0))</f>
        <v>1</v>
      </c>
      <c r="P1054" s="6">
        <f>IF($D1054="","",IF(AND($L1054="Crédit",OR(IFERROR(INDEX('Paramètres'!$O:$O,MATCH($D1054,'Paramètres'!$M:$M,0))&amp;"","")&lt;&gt;"",ISNUMBER(SEARCH("remboursement",IFERROR(INDEX('Paramètres'!$N:$N,MATCH($D1054,'Paramètres'!$M:$M,0))&amp;"",""))))),1,0))</f>
        <v>0</v>
      </c>
      <c r="Q1054" s="6">
        <f>IF($K1054="","",IF(ISNUMBER(SEARCH("transfert-interne",IFERROR(INDEX('Paramètres'!$N:$N,MATCH($D1054,'Paramètres'!$M:$M,0))&amp;"",""))),0,IF($L1054="Débit",$K1054,IF($P1054=1,-$K1054,0))))</f>
        <v>120</v>
      </c>
      <c r="R1054" s="6">
        <f>IF($K1054="","",IF($L1054="Crédit",$K1054,-$K1054))</f>
        <v>-120</v>
      </c>
      <c r="S1054" s="6" t="str">
        <f>IF($C1054="","",IFERROR(INDEX('Paramètres'!$H:$H,MATCH($C1054,'Paramètres'!$D:$D,0))&amp;"",""))</f>
        <v/>
      </c>
      <c r="T1054" s="6">
        <f>IF($K1054="","",IF($S1054="",0,IF(ISNUMBER(SEARCH("apport-exterieur",IFERROR(INDEX('Paramètres'!$N:$N,MATCH($D1054,'Paramètres'!$M:$M,0))&amp;"",""))),0,IF(OR(IFERROR(INDEX('Paramètres'!$I:$I,MATCH($C1054,'Paramètres'!$D:$D,0))&amp;"","")="Les deux",IFERROR(INDEX('Paramètres'!$I:$I,MATCH($C1054,'Paramètres'!$D:$D,0))&amp;"","")=IF($P1054=1,"Débit",$L1054)),-IF($P1054=1,-$K1054,$K1054),0))))</f>
        <v>0</v>
      </c>
      <c r="U1054" s="6">
        <f>IF($K1054="","",IF(ISNUMBER(SEARCH("sortie-epargne",IFERROR(INDEX('Paramètres'!$N:$N,MATCH($D1054,'Paramètres'!$M:$M,0))&amp;"",""))),$K1054,0))</f>
        <v>0</v>
      </c>
      <c r="V1054" s="6" t="str">
        <f>IF(AND($A1054&lt;&gt;"",$O1054=1,$L1054="Débit",N($Q1054)&gt;0,$A1054&gt;=Visualisation!$B$1,$A1054&lt;Visualisation!$D$1),MAX($V$1:V1053)+1,"")</f>
        <v/>
      </c>
    </row>
    <row r="1055" spans="1:22" x14ac:dyDescent="0.25">
      <c r="A1055" s="9"/>
      <c r="E1055" s="10"/>
      <c r="K1055" s="11" t="str">
        <f>IF($E1055="","",ROUND($E1055*IF(ISNA(MATCH($C1055,'Paramètres'!$D:$D,0)),1,IF(INDEX('Paramètres'!$J:$J,MATCH($C1055,'Paramètres'!$D:$D,0))="",1,INDEX('Paramètres'!$J:$J,MATCH($C1055,'Paramètres'!$D:$D,0)))),2))</f>
        <v/>
      </c>
      <c r="L1055" s="6" t="str">
        <f>IF($D1055="","",IF($F1055&lt;&gt;"",$F1055,IF(ISNA(MATCH($D1055,'Paramètres'!$M:$M,0)),"⚠ Type inconnu",IFERROR(INDEX('Paramètres'!$P:$P,MATCH($D1055,'Paramètres'!$M:$M,0))&amp;"",""))))</f>
        <v/>
      </c>
      <c r="M1055" s="6" t="str">
        <f>IF($D1055="","",IF(ISNA(MATCH($D1055,'Paramètres'!$M:$M,0)),"⚠ Type inconnu",IF($L1055="Crédit","",IFERROR(INDEX('Paramètres'!$O:$O,MATCH($D1055,'Paramètres'!$M:$M,0))&amp;"",""))))</f>
        <v/>
      </c>
      <c r="N1055" s="6" t="str">
        <f>IF($D1055="","",IFERROR(INDEX('Paramètres'!$Q:$Q,MATCH($D1055,'Paramètres'!$M:$M,0))&amp;"",""))</f>
        <v/>
      </c>
      <c r="O1055" s="6" t="str">
        <f>IF($A1055="","",IF(OR($J1055&lt;&gt;"x",$A1055&lt;=FinReleve),1,0))</f>
        <v/>
      </c>
      <c r="P1055" s="6" t="str">
        <f>IF($D1055="","",IF(AND($L1055="Crédit",OR(IFERROR(INDEX('Paramètres'!$O:$O,MATCH($D1055,'Paramètres'!$M:$M,0))&amp;"","")&lt;&gt;"",ISNUMBER(SEARCH("remboursement",IFERROR(INDEX('Paramètres'!$N:$N,MATCH($D1055,'Paramètres'!$M:$M,0))&amp;"",""))))),1,0))</f>
        <v/>
      </c>
      <c r="Q1055" s="6" t="str">
        <f>IF($K1055="","",IF(ISNUMBER(SEARCH("transfert-interne",IFERROR(INDEX('Paramètres'!$N:$N,MATCH($D1055,'Paramètres'!$M:$M,0))&amp;"",""))),0,IF($L1055="Débit",$K1055,IF($P1055=1,-$K1055,0))))</f>
        <v/>
      </c>
      <c r="R1055" s="6" t="str">
        <f>IF($K1055="","",IF($L1055="Crédit",$K1055,-$K1055))</f>
        <v/>
      </c>
      <c r="S1055" s="6" t="str">
        <f>IF($C1055="","",IFERROR(INDEX('Paramètres'!$H:$H,MATCH($C1055,'Paramètres'!$D:$D,0))&amp;"",""))</f>
        <v/>
      </c>
      <c r="T1055" s="6" t="str">
        <f>IF($K1055="","",IF($S1055="",0,IF(ISNUMBER(SEARCH("apport-exterieur",IFERROR(INDEX('Paramètres'!$N:$N,MATCH($D1055,'Paramètres'!$M:$M,0))&amp;"",""))),0,IF(OR(IFERROR(INDEX('Paramètres'!$I:$I,MATCH($C1055,'Paramètres'!$D:$D,0))&amp;"","")="Les deux",IFERROR(INDEX('Paramètres'!$I:$I,MATCH($C1055,'Paramètres'!$D:$D,0))&amp;"","")=IF($P1055=1,"Débit",$L1055)),-IF($P1055=1,-$K1055,$K1055),0))))</f>
        <v/>
      </c>
      <c r="U1055" s="6" t="str">
        <f>IF($K1055="","",IF(ISNUMBER(SEARCH("sortie-epargne",IFERROR(INDEX('Paramètres'!$N:$N,MATCH($D1055,'Paramètres'!$M:$M,0))&amp;"",""))),$K1055,0))</f>
        <v/>
      </c>
      <c r="V1055" s="6" t="str">
        <f>IF(AND($A1055&lt;&gt;"",$O1055=1,$L1055="Débit",N($Q1055)&gt;0,$A1055&gt;=Visualisation!$B$1,$A1055&lt;Visualisation!$D$1),MAX($V$1:V1054)+1,"")</f>
        <v/>
      </c>
    </row>
    <row r="1056" spans="1:22" x14ac:dyDescent="0.25">
      <c r="A1056" s="9"/>
      <c r="E1056" s="10"/>
      <c r="K1056" s="11" t="str">
        <f>IF($E1056="","",ROUND($E1056*IF(ISNA(MATCH($C1056,'Paramètres'!$D:$D,0)),1,IF(INDEX('Paramètres'!$J:$J,MATCH($C1056,'Paramètres'!$D:$D,0))="",1,INDEX('Paramètres'!$J:$J,MATCH($C1056,'Paramètres'!$D:$D,0)))),2))</f>
        <v/>
      </c>
      <c r="L1056" s="6" t="str">
        <f>IF($D1056="","",IF($F1056&lt;&gt;"",$F1056,IF(ISNA(MATCH($D1056,'Paramètres'!$M:$M,0)),"⚠ Type inconnu",IFERROR(INDEX('Paramètres'!$P:$P,MATCH($D1056,'Paramètres'!$M:$M,0))&amp;"",""))))</f>
        <v/>
      </c>
      <c r="M1056" s="6" t="str">
        <f>IF($D1056="","",IF(ISNA(MATCH($D1056,'Paramètres'!$M:$M,0)),"⚠ Type inconnu",IF($L1056="Crédit","",IFERROR(INDEX('Paramètres'!$O:$O,MATCH($D1056,'Paramètres'!$M:$M,0))&amp;"",""))))</f>
        <v/>
      </c>
      <c r="N1056" s="6" t="str">
        <f>IF($D1056="","",IFERROR(INDEX('Paramètres'!$Q:$Q,MATCH($D1056,'Paramètres'!$M:$M,0))&amp;"",""))</f>
        <v/>
      </c>
      <c r="O1056" s="6" t="str">
        <f>IF($A1056="","",IF(OR($J1056&lt;&gt;"x",$A1056&lt;=FinReleve),1,0))</f>
        <v/>
      </c>
      <c r="P1056" s="6" t="str">
        <f>IF($D1056="","",IF(AND($L1056="Crédit",OR(IFERROR(INDEX('Paramètres'!$O:$O,MATCH($D1056,'Paramètres'!$M:$M,0))&amp;"","")&lt;&gt;"",ISNUMBER(SEARCH("remboursement",IFERROR(INDEX('Paramètres'!$N:$N,MATCH($D1056,'Paramètres'!$M:$M,0))&amp;"",""))))),1,0))</f>
        <v/>
      </c>
      <c r="Q1056" s="6" t="str">
        <f>IF($K1056="","",IF(ISNUMBER(SEARCH("transfert-interne",IFERROR(INDEX('Paramètres'!$N:$N,MATCH($D1056,'Paramètres'!$M:$M,0))&amp;"",""))),0,IF($L1056="Débit",$K1056,IF($P1056=1,-$K1056,0))))</f>
        <v/>
      </c>
      <c r="R1056" s="6" t="str">
        <f>IF($K1056="","",IF($L1056="Crédit",$K1056,-$K1056))</f>
        <v/>
      </c>
      <c r="S1056" s="6" t="str">
        <f>IF($C1056="","",IFERROR(INDEX('Paramètres'!$H:$H,MATCH($C1056,'Paramètres'!$D:$D,0))&amp;"",""))</f>
        <v/>
      </c>
      <c r="T1056" s="6" t="str">
        <f>IF($K1056="","",IF($S1056="",0,IF(ISNUMBER(SEARCH("apport-exterieur",IFERROR(INDEX('Paramètres'!$N:$N,MATCH($D1056,'Paramètres'!$M:$M,0))&amp;"",""))),0,IF(OR(IFERROR(INDEX('Paramètres'!$I:$I,MATCH($C1056,'Paramètres'!$D:$D,0))&amp;"","")="Les deux",IFERROR(INDEX('Paramètres'!$I:$I,MATCH($C1056,'Paramètres'!$D:$D,0))&amp;"","")=IF($P1056=1,"Débit",$L1056)),-IF($P1056=1,-$K1056,$K1056),0))))</f>
        <v/>
      </c>
      <c r="U1056" s="6" t="str">
        <f>IF($K1056="","",IF(ISNUMBER(SEARCH("sortie-epargne",IFERROR(INDEX('Paramètres'!$N:$N,MATCH($D1056,'Paramètres'!$M:$M,0))&amp;"",""))),$K1056,0))</f>
        <v/>
      </c>
      <c r="V1056" s="6" t="str">
        <f>IF(AND($A1056&lt;&gt;"",$O1056=1,$L1056="Débit",N($Q1056)&gt;0,$A1056&gt;=Visualisation!$B$1,$A1056&lt;Visualisation!$D$1),MAX($V$1:V1055)+1,"")</f>
        <v/>
      </c>
    </row>
    <row r="1057" spans="1:22" x14ac:dyDescent="0.25">
      <c r="A1057" s="9"/>
      <c r="E1057" s="10"/>
      <c r="K1057" s="11" t="str">
        <f>IF($E1057="","",ROUND($E1057*IF(ISNA(MATCH($C1057,'Paramètres'!$D:$D,0)),1,IF(INDEX('Paramètres'!$J:$J,MATCH($C1057,'Paramètres'!$D:$D,0))="",1,INDEX('Paramètres'!$J:$J,MATCH($C1057,'Paramètres'!$D:$D,0)))),2))</f>
        <v/>
      </c>
      <c r="L1057" s="6" t="str">
        <f>IF($D1057="","",IF($F1057&lt;&gt;"",$F1057,IF(ISNA(MATCH($D1057,'Paramètres'!$M:$M,0)),"⚠ Type inconnu",IFERROR(INDEX('Paramètres'!$P:$P,MATCH($D1057,'Paramètres'!$M:$M,0))&amp;"",""))))</f>
        <v/>
      </c>
      <c r="M1057" s="6" t="str">
        <f>IF($D1057="","",IF(ISNA(MATCH($D1057,'Paramètres'!$M:$M,0)),"⚠ Type inconnu",IF($L1057="Crédit","",IFERROR(INDEX('Paramètres'!$O:$O,MATCH($D1057,'Paramètres'!$M:$M,0))&amp;"",""))))</f>
        <v/>
      </c>
      <c r="N1057" s="6" t="str">
        <f>IF($D1057="","",IFERROR(INDEX('Paramètres'!$Q:$Q,MATCH($D1057,'Paramètres'!$M:$M,0))&amp;"",""))</f>
        <v/>
      </c>
      <c r="O1057" s="6" t="str">
        <f>IF($A1057="","",IF(OR($J1057&lt;&gt;"x",$A1057&lt;=FinReleve),1,0))</f>
        <v/>
      </c>
      <c r="P1057" s="6" t="str">
        <f>IF($D1057="","",IF(AND($L1057="Crédit",OR(IFERROR(INDEX('Paramètres'!$O:$O,MATCH($D1057,'Paramètres'!$M:$M,0))&amp;"","")&lt;&gt;"",ISNUMBER(SEARCH("remboursement",IFERROR(INDEX('Paramètres'!$N:$N,MATCH($D1057,'Paramètres'!$M:$M,0))&amp;"",""))))),1,0))</f>
        <v/>
      </c>
      <c r="Q1057" s="6" t="str">
        <f>IF($K1057="","",IF(ISNUMBER(SEARCH("transfert-interne",IFERROR(INDEX('Paramètres'!$N:$N,MATCH($D1057,'Paramètres'!$M:$M,0))&amp;"",""))),0,IF($L1057="Débit",$K1057,IF($P1057=1,-$K1057,0))))</f>
        <v/>
      </c>
      <c r="R1057" s="6" t="str">
        <f>IF($K1057="","",IF($L1057="Crédit",$K1057,-$K1057))</f>
        <v/>
      </c>
      <c r="S1057" s="6" t="str">
        <f>IF($C1057="","",IFERROR(INDEX('Paramètres'!$H:$H,MATCH($C1057,'Paramètres'!$D:$D,0))&amp;"",""))</f>
        <v/>
      </c>
      <c r="T1057" s="6" t="str">
        <f>IF($K1057="","",IF($S1057="",0,IF(ISNUMBER(SEARCH("apport-exterieur",IFERROR(INDEX('Paramètres'!$N:$N,MATCH($D1057,'Paramètres'!$M:$M,0))&amp;"",""))),0,IF(OR(IFERROR(INDEX('Paramètres'!$I:$I,MATCH($C1057,'Paramètres'!$D:$D,0))&amp;"","")="Les deux",IFERROR(INDEX('Paramètres'!$I:$I,MATCH($C1057,'Paramètres'!$D:$D,0))&amp;"","")=IF($P1057=1,"Débit",$L1057)),-IF($P1057=1,-$K1057,$K1057),0))))</f>
        <v/>
      </c>
      <c r="U1057" s="6" t="str">
        <f>IF($K1057="","",IF(ISNUMBER(SEARCH("sortie-epargne",IFERROR(INDEX('Paramètres'!$N:$N,MATCH($D1057,'Paramètres'!$M:$M,0))&amp;"",""))),$K1057,0))</f>
        <v/>
      </c>
      <c r="V1057" s="6" t="str">
        <f>IF(AND($A1057&lt;&gt;"",$O1057=1,$L1057="Débit",N($Q1057)&gt;0,$A1057&gt;=Visualisation!$B$1,$A1057&lt;Visualisation!$D$1),MAX($V$1:V1056)+1,"")</f>
        <v/>
      </c>
    </row>
    <row r="1058" spans="1:22" x14ac:dyDescent="0.25">
      <c r="A1058" s="9"/>
      <c r="E1058" s="10"/>
      <c r="K1058" s="11" t="str">
        <f>IF($E1058="","",ROUND($E1058*IF(ISNA(MATCH($C1058,'Paramètres'!$D:$D,0)),1,IF(INDEX('Paramètres'!$J:$J,MATCH($C1058,'Paramètres'!$D:$D,0))="",1,INDEX('Paramètres'!$J:$J,MATCH($C1058,'Paramètres'!$D:$D,0)))),2))</f>
        <v/>
      </c>
      <c r="L1058" s="6" t="str">
        <f>IF($D1058="","",IF($F1058&lt;&gt;"",$F1058,IF(ISNA(MATCH($D1058,'Paramètres'!$M:$M,0)),"⚠ Type inconnu",IFERROR(INDEX('Paramètres'!$P:$P,MATCH($D1058,'Paramètres'!$M:$M,0))&amp;"",""))))</f>
        <v/>
      </c>
      <c r="M1058" s="6" t="str">
        <f>IF($D1058="","",IF(ISNA(MATCH($D1058,'Paramètres'!$M:$M,0)),"⚠ Type inconnu",IF($L1058="Crédit","",IFERROR(INDEX('Paramètres'!$O:$O,MATCH($D1058,'Paramètres'!$M:$M,0))&amp;"",""))))</f>
        <v/>
      </c>
      <c r="N1058" s="6" t="str">
        <f>IF($D1058="","",IFERROR(INDEX('Paramètres'!$Q:$Q,MATCH($D1058,'Paramètres'!$M:$M,0))&amp;"",""))</f>
        <v/>
      </c>
      <c r="O1058" s="6" t="str">
        <f>IF($A1058="","",IF(OR($J1058&lt;&gt;"x",$A1058&lt;=FinReleve),1,0))</f>
        <v/>
      </c>
      <c r="P1058" s="6" t="str">
        <f>IF($D1058="","",IF(AND($L1058="Crédit",OR(IFERROR(INDEX('Paramètres'!$O:$O,MATCH($D1058,'Paramètres'!$M:$M,0))&amp;"","")&lt;&gt;"",ISNUMBER(SEARCH("remboursement",IFERROR(INDEX('Paramètres'!$N:$N,MATCH($D1058,'Paramètres'!$M:$M,0))&amp;"",""))))),1,0))</f>
        <v/>
      </c>
      <c r="Q1058" s="6" t="str">
        <f>IF($K1058="","",IF(ISNUMBER(SEARCH("transfert-interne",IFERROR(INDEX('Paramètres'!$N:$N,MATCH($D1058,'Paramètres'!$M:$M,0))&amp;"",""))),0,IF($L1058="Débit",$K1058,IF($P1058=1,-$K1058,0))))</f>
        <v/>
      </c>
      <c r="R1058" s="6" t="str">
        <f>IF($K1058="","",IF($L1058="Crédit",$K1058,-$K1058))</f>
        <v/>
      </c>
      <c r="S1058" s="6" t="str">
        <f>IF($C1058="","",IFERROR(INDEX('Paramètres'!$H:$H,MATCH($C1058,'Paramètres'!$D:$D,0))&amp;"",""))</f>
        <v/>
      </c>
      <c r="T1058" s="6" t="str">
        <f>IF($K1058="","",IF($S1058="",0,IF(ISNUMBER(SEARCH("apport-exterieur",IFERROR(INDEX('Paramètres'!$N:$N,MATCH($D1058,'Paramètres'!$M:$M,0))&amp;"",""))),0,IF(OR(IFERROR(INDEX('Paramètres'!$I:$I,MATCH($C1058,'Paramètres'!$D:$D,0))&amp;"","")="Les deux",IFERROR(INDEX('Paramètres'!$I:$I,MATCH($C1058,'Paramètres'!$D:$D,0))&amp;"","")=IF($P1058=1,"Débit",$L1058)),-IF($P1058=1,-$K1058,$K1058),0))))</f>
        <v/>
      </c>
      <c r="U1058" s="6" t="str">
        <f>IF($K1058="","",IF(ISNUMBER(SEARCH("sortie-epargne",IFERROR(INDEX('Paramètres'!$N:$N,MATCH($D1058,'Paramètres'!$M:$M,0))&amp;"",""))),$K1058,0))</f>
        <v/>
      </c>
      <c r="V1058" s="6" t="str">
        <f>IF(AND($A1058&lt;&gt;"",$O1058=1,$L1058="Débit",N($Q1058)&gt;0,$A1058&gt;=Visualisation!$B$1,$A1058&lt;Visualisation!$D$1),MAX($V$1:V1057)+1,"")</f>
        <v/>
      </c>
    </row>
    <row r="1059" spans="1:22" x14ac:dyDescent="0.25">
      <c r="A1059" s="9"/>
      <c r="E1059" s="10"/>
      <c r="K1059" s="11" t="str">
        <f>IF($E1059="","",ROUND($E1059*IF(ISNA(MATCH($C1059,'Paramètres'!$D:$D,0)),1,IF(INDEX('Paramètres'!$J:$J,MATCH($C1059,'Paramètres'!$D:$D,0))="",1,INDEX('Paramètres'!$J:$J,MATCH($C1059,'Paramètres'!$D:$D,0)))),2))</f>
        <v/>
      </c>
      <c r="L1059" s="6" t="str">
        <f>IF($D1059="","",IF($F1059&lt;&gt;"",$F1059,IF(ISNA(MATCH($D1059,'Paramètres'!$M:$M,0)),"⚠ Type inconnu",IFERROR(INDEX('Paramètres'!$P:$P,MATCH($D1059,'Paramètres'!$M:$M,0))&amp;"",""))))</f>
        <v/>
      </c>
      <c r="M1059" s="6" t="str">
        <f>IF($D1059="","",IF(ISNA(MATCH($D1059,'Paramètres'!$M:$M,0)),"⚠ Type inconnu",IF($L1059="Crédit","",IFERROR(INDEX('Paramètres'!$O:$O,MATCH($D1059,'Paramètres'!$M:$M,0))&amp;"",""))))</f>
        <v/>
      </c>
      <c r="N1059" s="6" t="str">
        <f>IF($D1059="","",IFERROR(INDEX('Paramètres'!$Q:$Q,MATCH($D1059,'Paramètres'!$M:$M,0))&amp;"",""))</f>
        <v/>
      </c>
      <c r="O1059" s="6" t="str">
        <f>IF($A1059="","",IF(OR($J1059&lt;&gt;"x",$A1059&lt;=FinReleve),1,0))</f>
        <v/>
      </c>
      <c r="P1059" s="6" t="str">
        <f>IF($D1059="","",IF(AND($L1059="Crédit",OR(IFERROR(INDEX('Paramètres'!$O:$O,MATCH($D1059,'Paramètres'!$M:$M,0))&amp;"","")&lt;&gt;"",ISNUMBER(SEARCH("remboursement",IFERROR(INDEX('Paramètres'!$N:$N,MATCH($D1059,'Paramètres'!$M:$M,0))&amp;"",""))))),1,0))</f>
        <v/>
      </c>
      <c r="Q1059" s="6" t="str">
        <f>IF($K1059="","",IF(ISNUMBER(SEARCH("transfert-interne",IFERROR(INDEX('Paramètres'!$N:$N,MATCH($D1059,'Paramètres'!$M:$M,0))&amp;"",""))),0,IF($L1059="Débit",$K1059,IF($P1059=1,-$K1059,0))))</f>
        <v/>
      </c>
      <c r="R1059" s="6" t="str">
        <f>IF($K1059="","",IF($L1059="Crédit",$K1059,-$K1059))</f>
        <v/>
      </c>
      <c r="S1059" s="6" t="str">
        <f>IF($C1059="","",IFERROR(INDEX('Paramètres'!$H:$H,MATCH($C1059,'Paramètres'!$D:$D,0))&amp;"",""))</f>
        <v/>
      </c>
      <c r="T1059" s="6" t="str">
        <f>IF($K1059="","",IF($S1059="",0,IF(ISNUMBER(SEARCH("apport-exterieur",IFERROR(INDEX('Paramètres'!$N:$N,MATCH($D1059,'Paramètres'!$M:$M,0))&amp;"",""))),0,IF(OR(IFERROR(INDEX('Paramètres'!$I:$I,MATCH($C1059,'Paramètres'!$D:$D,0))&amp;"","")="Les deux",IFERROR(INDEX('Paramètres'!$I:$I,MATCH($C1059,'Paramètres'!$D:$D,0))&amp;"","")=IF($P1059=1,"Débit",$L1059)),-IF($P1059=1,-$K1059,$K1059),0))))</f>
        <v/>
      </c>
      <c r="U1059" s="6" t="str">
        <f>IF($K1059="","",IF(ISNUMBER(SEARCH("sortie-epargne",IFERROR(INDEX('Paramètres'!$N:$N,MATCH($D1059,'Paramètres'!$M:$M,0))&amp;"",""))),$K1059,0))</f>
        <v/>
      </c>
      <c r="V1059" s="6" t="str">
        <f>IF(AND($A1059&lt;&gt;"",$O1059=1,$L1059="Débit",N($Q1059)&gt;0,$A1059&gt;=Visualisation!$B$1,$A1059&lt;Visualisation!$D$1),MAX($V$1:V1058)+1,"")</f>
        <v/>
      </c>
    </row>
    <row r="1060" spans="1:22" x14ac:dyDescent="0.25">
      <c r="A1060" s="9"/>
      <c r="E1060" s="10"/>
      <c r="K1060" s="11" t="str">
        <f>IF($E1060="","",ROUND($E1060*IF(ISNA(MATCH($C1060,'Paramètres'!$D:$D,0)),1,IF(INDEX('Paramètres'!$J:$J,MATCH($C1060,'Paramètres'!$D:$D,0))="",1,INDEX('Paramètres'!$J:$J,MATCH($C1060,'Paramètres'!$D:$D,0)))),2))</f>
        <v/>
      </c>
      <c r="L1060" s="6" t="str">
        <f>IF($D1060="","",IF($F1060&lt;&gt;"",$F1060,IF(ISNA(MATCH($D1060,'Paramètres'!$M:$M,0)),"⚠ Type inconnu",IFERROR(INDEX('Paramètres'!$P:$P,MATCH($D1060,'Paramètres'!$M:$M,0))&amp;"",""))))</f>
        <v/>
      </c>
      <c r="M1060" s="6" t="str">
        <f>IF($D1060="","",IF(ISNA(MATCH($D1060,'Paramètres'!$M:$M,0)),"⚠ Type inconnu",IF($L1060="Crédit","",IFERROR(INDEX('Paramètres'!$O:$O,MATCH($D1060,'Paramètres'!$M:$M,0))&amp;"",""))))</f>
        <v/>
      </c>
      <c r="N1060" s="6" t="str">
        <f>IF($D1060="","",IFERROR(INDEX('Paramètres'!$Q:$Q,MATCH($D1060,'Paramètres'!$M:$M,0))&amp;"",""))</f>
        <v/>
      </c>
      <c r="O1060" s="6" t="str">
        <f>IF($A1060="","",IF(OR($J1060&lt;&gt;"x",$A1060&lt;=FinReleve),1,0))</f>
        <v/>
      </c>
      <c r="P1060" s="6" t="str">
        <f>IF($D1060="","",IF(AND($L1060="Crédit",OR(IFERROR(INDEX('Paramètres'!$O:$O,MATCH($D1060,'Paramètres'!$M:$M,0))&amp;"","")&lt;&gt;"",ISNUMBER(SEARCH("remboursement",IFERROR(INDEX('Paramètres'!$N:$N,MATCH($D1060,'Paramètres'!$M:$M,0))&amp;"",""))))),1,0))</f>
        <v/>
      </c>
      <c r="Q1060" s="6" t="str">
        <f>IF($K1060="","",IF(ISNUMBER(SEARCH("transfert-interne",IFERROR(INDEX('Paramètres'!$N:$N,MATCH($D1060,'Paramètres'!$M:$M,0))&amp;"",""))),0,IF($L1060="Débit",$K1060,IF($P1060=1,-$K1060,0))))</f>
        <v/>
      </c>
      <c r="R1060" s="6" t="str">
        <f>IF($K1060="","",IF($L1060="Crédit",$K1060,-$K1060))</f>
        <v/>
      </c>
      <c r="S1060" s="6" t="str">
        <f>IF($C1060="","",IFERROR(INDEX('Paramètres'!$H:$H,MATCH($C1060,'Paramètres'!$D:$D,0))&amp;"",""))</f>
        <v/>
      </c>
      <c r="T1060" s="6" t="str">
        <f>IF($K1060="","",IF($S1060="",0,IF(ISNUMBER(SEARCH("apport-exterieur",IFERROR(INDEX('Paramètres'!$N:$N,MATCH($D1060,'Paramètres'!$M:$M,0))&amp;"",""))),0,IF(OR(IFERROR(INDEX('Paramètres'!$I:$I,MATCH($C1060,'Paramètres'!$D:$D,0))&amp;"","")="Les deux",IFERROR(INDEX('Paramètres'!$I:$I,MATCH($C1060,'Paramètres'!$D:$D,0))&amp;"","")=IF($P1060=1,"Débit",$L1060)),-IF($P1060=1,-$K1060,$K1060),0))))</f>
        <v/>
      </c>
      <c r="U1060" s="6" t="str">
        <f>IF($K1060="","",IF(ISNUMBER(SEARCH("sortie-epargne",IFERROR(INDEX('Paramètres'!$N:$N,MATCH($D1060,'Paramètres'!$M:$M,0))&amp;"",""))),$K1060,0))</f>
        <v/>
      </c>
      <c r="V1060" s="6" t="str">
        <f>IF(AND($A1060&lt;&gt;"",$O1060=1,$L1060="Débit",N($Q1060)&gt;0,$A1060&gt;=Visualisation!$B$1,$A1060&lt;Visualisation!$D$1),MAX($V$1:V1059)+1,"")</f>
        <v/>
      </c>
    </row>
    <row r="1061" spans="1:22" x14ac:dyDescent="0.25">
      <c r="A1061" s="9"/>
      <c r="E1061" s="10"/>
      <c r="K1061" s="11" t="str">
        <f>IF($E1061="","",ROUND($E1061*IF(ISNA(MATCH($C1061,'Paramètres'!$D:$D,0)),1,IF(INDEX('Paramètres'!$J:$J,MATCH($C1061,'Paramètres'!$D:$D,0))="",1,INDEX('Paramètres'!$J:$J,MATCH($C1061,'Paramètres'!$D:$D,0)))),2))</f>
        <v/>
      </c>
      <c r="L1061" s="6" t="str">
        <f>IF($D1061="","",IF($F1061&lt;&gt;"",$F1061,IF(ISNA(MATCH($D1061,'Paramètres'!$M:$M,0)),"⚠ Type inconnu",IFERROR(INDEX('Paramètres'!$P:$P,MATCH($D1061,'Paramètres'!$M:$M,0))&amp;"",""))))</f>
        <v/>
      </c>
      <c r="M1061" s="6" t="str">
        <f>IF($D1061="","",IF(ISNA(MATCH($D1061,'Paramètres'!$M:$M,0)),"⚠ Type inconnu",IF($L1061="Crédit","",IFERROR(INDEX('Paramètres'!$O:$O,MATCH($D1061,'Paramètres'!$M:$M,0))&amp;"",""))))</f>
        <v/>
      </c>
      <c r="N1061" s="6" t="str">
        <f>IF($D1061="","",IFERROR(INDEX('Paramètres'!$Q:$Q,MATCH($D1061,'Paramètres'!$M:$M,0))&amp;"",""))</f>
        <v/>
      </c>
      <c r="O1061" s="6" t="str">
        <f>IF($A1061="","",IF(OR($J1061&lt;&gt;"x",$A1061&lt;=FinReleve),1,0))</f>
        <v/>
      </c>
      <c r="P1061" s="6" t="str">
        <f>IF($D1061="","",IF(AND($L1061="Crédit",OR(IFERROR(INDEX('Paramètres'!$O:$O,MATCH($D1061,'Paramètres'!$M:$M,0))&amp;"","")&lt;&gt;"",ISNUMBER(SEARCH("remboursement",IFERROR(INDEX('Paramètres'!$N:$N,MATCH($D1061,'Paramètres'!$M:$M,0))&amp;"",""))))),1,0))</f>
        <v/>
      </c>
      <c r="Q1061" s="6" t="str">
        <f>IF($K1061="","",IF(ISNUMBER(SEARCH("transfert-interne",IFERROR(INDEX('Paramètres'!$N:$N,MATCH($D1061,'Paramètres'!$M:$M,0))&amp;"",""))),0,IF($L1061="Débit",$K1061,IF($P1061=1,-$K1061,0))))</f>
        <v/>
      </c>
      <c r="R1061" s="6" t="str">
        <f>IF($K1061="","",IF($L1061="Crédit",$K1061,-$K1061))</f>
        <v/>
      </c>
      <c r="S1061" s="6" t="str">
        <f>IF($C1061="","",IFERROR(INDEX('Paramètres'!$H:$H,MATCH($C1061,'Paramètres'!$D:$D,0))&amp;"",""))</f>
        <v/>
      </c>
      <c r="T1061" s="6" t="str">
        <f>IF($K1061="","",IF($S1061="",0,IF(ISNUMBER(SEARCH("apport-exterieur",IFERROR(INDEX('Paramètres'!$N:$N,MATCH($D1061,'Paramètres'!$M:$M,0))&amp;"",""))),0,IF(OR(IFERROR(INDEX('Paramètres'!$I:$I,MATCH($C1061,'Paramètres'!$D:$D,0))&amp;"","")="Les deux",IFERROR(INDEX('Paramètres'!$I:$I,MATCH($C1061,'Paramètres'!$D:$D,0))&amp;"","")=IF($P1061=1,"Débit",$L1061)),-IF($P1061=1,-$K1061,$K1061),0))))</f>
        <v/>
      </c>
      <c r="U1061" s="6" t="str">
        <f>IF($K1061="","",IF(ISNUMBER(SEARCH("sortie-epargne",IFERROR(INDEX('Paramètres'!$N:$N,MATCH($D1061,'Paramètres'!$M:$M,0))&amp;"",""))),$K1061,0))</f>
        <v/>
      </c>
      <c r="V1061" s="6" t="str">
        <f>IF(AND($A1061&lt;&gt;"",$O1061=1,$L1061="Débit",N($Q1061)&gt;0,$A1061&gt;=Visualisation!$B$1,$A1061&lt;Visualisation!$D$1),MAX($V$1:V1060)+1,"")</f>
        <v/>
      </c>
    </row>
    <row r="1062" spans="1:22" x14ac:dyDescent="0.25">
      <c r="A1062" s="9"/>
      <c r="E1062" s="10"/>
      <c r="K1062" s="11" t="str">
        <f>IF($E1062="","",ROUND($E1062*IF(ISNA(MATCH($C1062,'Paramètres'!$D:$D,0)),1,IF(INDEX('Paramètres'!$J:$J,MATCH($C1062,'Paramètres'!$D:$D,0))="",1,INDEX('Paramètres'!$J:$J,MATCH($C1062,'Paramètres'!$D:$D,0)))),2))</f>
        <v/>
      </c>
      <c r="L1062" s="6" t="str">
        <f>IF($D1062="","",IF($F1062&lt;&gt;"",$F1062,IF(ISNA(MATCH($D1062,'Paramètres'!$M:$M,0)),"⚠ Type inconnu",IFERROR(INDEX('Paramètres'!$P:$P,MATCH($D1062,'Paramètres'!$M:$M,0))&amp;"",""))))</f>
        <v/>
      </c>
      <c r="M1062" s="6" t="str">
        <f>IF($D1062="","",IF(ISNA(MATCH($D1062,'Paramètres'!$M:$M,0)),"⚠ Type inconnu",IF($L1062="Crédit","",IFERROR(INDEX('Paramètres'!$O:$O,MATCH($D1062,'Paramètres'!$M:$M,0))&amp;"",""))))</f>
        <v/>
      </c>
      <c r="N1062" s="6" t="str">
        <f>IF($D1062="","",IFERROR(INDEX('Paramètres'!$Q:$Q,MATCH($D1062,'Paramètres'!$M:$M,0))&amp;"",""))</f>
        <v/>
      </c>
      <c r="O1062" s="6" t="str">
        <f>IF($A1062="","",IF(OR($J1062&lt;&gt;"x",$A1062&lt;=FinReleve),1,0))</f>
        <v/>
      </c>
      <c r="P1062" s="6" t="str">
        <f>IF($D1062="","",IF(AND($L1062="Crédit",OR(IFERROR(INDEX('Paramètres'!$O:$O,MATCH($D1062,'Paramètres'!$M:$M,0))&amp;"","")&lt;&gt;"",ISNUMBER(SEARCH("remboursement",IFERROR(INDEX('Paramètres'!$N:$N,MATCH($D1062,'Paramètres'!$M:$M,0))&amp;"",""))))),1,0))</f>
        <v/>
      </c>
      <c r="Q1062" s="6" t="str">
        <f>IF($K1062="","",IF(ISNUMBER(SEARCH("transfert-interne",IFERROR(INDEX('Paramètres'!$N:$N,MATCH($D1062,'Paramètres'!$M:$M,0))&amp;"",""))),0,IF($L1062="Débit",$K1062,IF($P1062=1,-$K1062,0))))</f>
        <v/>
      </c>
      <c r="R1062" s="6" t="str">
        <f>IF($K1062="","",IF($L1062="Crédit",$K1062,-$K1062))</f>
        <v/>
      </c>
      <c r="S1062" s="6" t="str">
        <f>IF($C1062="","",IFERROR(INDEX('Paramètres'!$H:$H,MATCH($C1062,'Paramètres'!$D:$D,0))&amp;"",""))</f>
        <v/>
      </c>
      <c r="T1062" s="6" t="str">
        <f>IF($K1062="","",IF($S1062="",0,IF(ISNUMBER(SEARCH("apport-exterieur",IFERROR(INDEX('Paramètres'!$N:$N,MATCH($D1062,'Paramètres'!$M:$M,0))&amp;"",""))),0,IF(OR(IFERROR(INDEX('Paramètres'!$I:$I,MATCH($C1062,'Paramètres'!$D:$D,0))&amp;"","")="Les deux",IFERROR(INDEX('Paramètres'!$I:$I,MATCH($C1062,'Paramètres'!$D:$D,0))&amp;"","")=IF($P1062=1,"Débit",$L1062)),-IF($P1062=1,-$K1062,$K1062),0))))</f>
        <v/>
      </c>
      <c r="U1062" s="6" t="str">
        <f>IF($K1062="","",IF(ISNUMBER(SEARCH("sortie-epargne",IFERROR(INDEX('Paramètres'!$N:$N,MATCH($D1062,'Paramètres'!$M:$M,0))&amp;"",""))),$K1062,0))</f>
        <v/>
      </c>
      <c r="V1062" s="6" t="str">
        <f>IF(AND($A1062&lt;&gt;"",$O1062=1,$L1062="Débit",N($Q1062)&gt;0,$A1062&gt;=Visualisation!$B$1,$A1062&lt;Visualisation!$D$1),MAX($V$1:V1061)+1,"")</f>
        <v/>
      </c>
    </row>
    <row r="1063" spans="1:22" x14ac:dyDescent="0.25">
      <c r="A1063" s="9"/>
      <c r="E1063" s="10"/>
      <c r="K1063" s="11" t="str">
        <f>IF($E1063="","",ROUND($E1063*IF(ISNA(MATCH($C1063,'Paramètres'!$D:$D,0)),1,IF(INDEX('Paramètres'!$J:$J,MATCH($C1063,'Paramètres'!$D:$D,0))="",1,INDEX('Paramètres'!$J:$J,MATCH($C1063,'Paramètres'!$D:$D,0)))),2))</f>
        <v/>
      </c>
      <c r="L1063" s="6" t="str">
        <f>IF($D1063="","",IF($F1063&lt;&gt;"",$F1063,IF(ISNA(MATCH($D1063,'Paramètres'!$M:$M,0)),"⚠ Type inconnu",IFERROR(INDEX('Paramètres'!$P:$P,MATCH($D1063,'Paramètres'!$M:$M,0))&amp;"",""))))</f>
        <v/>
      </c>
      <c r="M1063" s="6" t="str">
        <f>IF($D1063="","",IF(ISNA(MATCH($D1063,'Paramètres'!$M:$M,0)),"⚠ Type inconnu",IF($L1063="Crédit","",IFERROR(INDEX('Paramètres'!$O:$O,MATCH($D1063,'Paramètres'!$M:$M,0))&amp;"",""))))</f>
        <v/>
      </c>
      <c r="N1063" s="6" t="str">
        <f>IF($D1063="","",IFERROR(INDEX('Paramètres'!$Q:$Q,MATCH($D1063,'Paramètres'!$M:$M,0))&amp;"",""))</f>
        <v/>
      </c>
      <c r="O1063" s="6" t="str">
        <f>IF($A1063="","",IF(OR($J1063&lt;&gt;"x",$A1063&lt;=FinReleve),1,0))</f>
        <v/>
      </c>
      <c r="P1063" s="6" t="str">
        <f>IF($D1063="","",IF(AND($L1063="Crédit",OR(IFERROR(INDEX('Paramètres'!$O:$O,MATCH($D1063,'Paramètres'!$M:$M,0))&amp;"","")&lt;&gt;"",ISNUMBER(SEARCH("remboursement",IFERROR(INDEX('Paramètres'!$N:$N,MATCH($D1063,'Paramètres'!$M:$M,0))&amp;"",""))))),1,0))</f>
        <v/>
      </c>
      <c r="Q1063" s="6" t="str">
        <f>IF($K1063="","",IF(ISNUMBER(SEARCH("transfert-interne",IFERROR(INDEX('Paramètres'!$N:$N,MATCH($D1063,'Paramètres'!$M:$M,0))&amp;"",""))),0,IF($L1063="Débit",$K1063,IF($P1063=1,-$K1063,0))))</f>
        <v/>
      </c>
      <c r="R1063" s="6" t="str">
        <f>IF($K1063="","",IF($L1063="Crédit",$K1063,-$K1063))</f>
        <v/>
      </c>
      <c r="S1063" s="6" t="str">
        <f>IF($C1063="","",IFERROR(INDEX('Paramètres'!$H:$H,MATCH($C1063,'Paramètres'!$D:$D,0))&amp;"",""))</f>
        <v/>
      </c>
      <c r="T1063" s="6" t="str">
        <f>IF($K1063="","",IF($S1063="",0,IF(ISNUMBER(SEARCH("apport-exterieur",IFERROR(INDEX('Paramètres'!$N:$N,MATCH($D1063,'Paramètres'!$M:$M,0))&amp;"",""))),0,IF(OR(IFERROR(INDEX('Paramètres'!$I:$I,MATCH($C1063,'Paramètres'!$D:$D,0))&amp;"","")="Les deux",IFERROR(INDEX('Paramètres'!$I:$I,MATCH($C1063,'Paramètres'!$D:$D,0))&amp;"","")=IF($P1063=1,"Débit",$L1063)),-IF($P1063=1,-$K1063,$K1063),0))))</f>
        <v/>
      </c>
      <c r="U1063" s="6" t="str">
        <f>IF($K1063="","",IF(ISNUMBER(SEARCH("sortie-epargne",IFERROR(INDEX('Paramètres'!$N:$N,MATCH($D1063,'Paramètres'!$M:$M,0))&amp;"",""))),$K1063,0))</f>
        <v/>
      </c>
      <c r="V1063" s="6" t="str">
        <f>IF(AND($A1063&lt;&gt;"",$O1063=1,$L1063="Débit",N($Q1063)&gt;0,$A1063&gt;=Visualisation!$B$1,$A1063&lt;Visualisation!$D$1),MAX($V$1:V1062)+1,"")</f>
        <v/>
      </c>
    </row>
    <row r="1064" spans="1:22" x14ac:dyDescent="0.25">
      <c r="A1064" s="9"/>
      <c r="E1064" s="10"/>
      <c r="K1064" s="11" t="str">
        <f>IF($E1064="","",ROUND($E1064*IF(ISNA(MATCH($C1064,'Paramètres'!$D:$D,0)),1,IF(INDEX('Paramètres'!$J:$J,MATCH($C1064,'Paramètres'!$D:$D,0))="",1,INDEX('Paramètres'!$J:$J,MATCH($C1064,'Paramètres'!$D:$D,0)))),2))</f>
        <v/>
      </c>
      <c r="L1064" s="6" t="str">
        <f>IF($D1064="","",IF($F1064&lt;&gt;"",$F1064,IF(ISNA(MATCH($D1064,'Paramètres'!$M:$M,0)),"⚠ Type inconnu",IFERROR(INDEX('Paramètres'!$P:$P,MATCH($D1064,'Paramètres'!$M:$M,0))&amp;"",""))))</f>
        <v/>
      </c>
      <c r="M1064" s="6" t="str">
        <f>IF($D1064="","",IF(ISNA(MATCH($D1064,'Paramètres'!$M:$M,0)),"⚠ Type inconnu",IF($L1064="Crédit","",IFERROR(INDEX('Paramètres'!$O:$O,MATCH($D1064,'Paramètres'!$M:$M,0))&amp;"",""))))</f>
        <v/>
      </c>
      <c r="N1064" s="6" t="str">
        <f>IF($D1064="","",IFERROR(INDEX('Paramètres'!$Q:$Q,MATCH($D1064,'Paramètres'!$M:$M,0))&amp;"",""))</f>
        <v/>
      </c>
      <c r="O1064" s="6" t="str">
        <f>IF($A1064="","",IF(OR($J1064&lt;&gt;"x",$A1064&lt;=FinReleve),1,0))</f>
        <v/>
      </c>
      <c r="P1064" s="6" t="str">
        <f>IF($D1064="","",IF(AND($L1064="Crédit",OR(IFERROR(INDEX('Paramètres'!$O:$O,MATCH($D1064,'Paramètres'!$M:$M,0))&amp;"","")&lt;&gt;"",ISNUMBER(SEARCH("remboursement",IFERROR(INDEX('Paramètres'!$N:$N,MATCH($D1064,'Paramètres'!$M:$M,0))&amp;"",""))))),1,0))</f>
        <v/>
      </c>
      <c r="Q1064" s="6" t="str">
        <f>IF($K1064="","",IF(ISNUMBER(SEARCH("transfert-interne",IFERROR(INDEX('Paramètres'!$N:$N,MATCH($D1064,'Paramètres'!$M:$M,0))&amp;"",""))),0,IF($L1064="Débit",$K1064,IF($P1064=1,-$K1064,0))))</f>
        <v/>
      </c>
      <c r="R1064" s="6" t="str">
        <f>IF($K1064="","",IF($L1064="Crédit",$K1064,-$K1064))</f>
        <v/>
      </c>
      <c r="S1064" s="6" t="str">
        <f>IF($C1064="","",IFERROR(INDEX('Paramètres'!$H:$H,MATCH($C1064,'Paramètres'!$D:$D,0))&amp;"",""))</f>
        <v/>
      </c>
      <c r="T1064" s="6" t="str">
        <f>IF($K1064="","",IF($S1064="",0,IF(ISNUMBER(SEARCH("apport-exterieur",IFERROR(INDEX('Paramètres'!$N:$N,MATCH($D1064,'Paramètres'!$M:$M,0))&amp;"",""))),0,IF(OR(IFERROR(INDEX('Paramètres'!$I:$I,MATCH($C1064,'Paramètres'!$D:$D,0))&amp;"","")="Les deux",IFERROR(INDEX('Paramètres'!$I:$I,MATCH($C1064,'Paramètres'!$D:$D,0))&amp;"","")=IF($P1064=1,"Débit",$L1064)),-IF($P1064=1,-$K1064,$K1064),0))))</f>
        <v/>
      </c>
      <c r="U1064" s="6" t="str">
        <f>IF($K1064="","",IF(ISNUMBER(SEARCH("sortie-epargne",IFERROR(INDEX('Paramètres'!$N:$N,MATCH($D1064,'Paramètres'!$M:$M,0))&amp;"",""))),$K1064,0))</f>
        <v/>
      </c>
      <c r="V1064" s="6" t="str">
        <f>IF(AND($A1064&lt;&gt;"",$O1064=1,$L1064="Débit",N($Q1064)&gt;0,$A1064&gt;=Visualisation!$B$1,$A1064&lt;Visualisation!$D$1),MAX($V$1:V1063)+1,"")</f>
        <v/>
      </c>
    </row>
    <row r="1065" spans="1:22" x14ac:dyDescent="0.25">
      <c r="A1065" s="9"/>
      <c r="E1065" s="10"/>
      <c r="K1065" s="11" t="str">
        <f>IF($E1065="","",ROUND($E1065*IF(ISNA(MATCH($C1065,'Paramètres'!$D:$D,0)),1,IF(INDEX('Paramètres'!$J:$J,MATCH($C1065,'Paramètres'!$D:$D,0))="",1,INDEX('Paramètres'!$J:$J,MATCH($C1065,'Paramètres'!$D:$D,0)))),2))</f>
        <v/>
      </c>
      <c r="L1065" s="6" t="str">
        <f>IF($D1065="","",IF($F1065&lt;&gt;"",$F1065,IF(ISNA(MATCH($D1065,'Paramètres'!$M:$M,0)),"⚠ Type inconnu",IFERROR(INDEX('Paramètres'!$P:$P,MATCH($D1065,'Paramètres'!$M:$M,0))&amp;"",""))))</f>
        <v/>
      </c>
      <c r="M1065" s="6" t="str">
        <f>IF($D1065="","",IF(ISNA(MATCH($D1065,'Paramètres'!$M:$M,0)),"⚠ Type inconnu",IF($L1065="Crédit","",IFERROR(INDEX('Paramètres'!$O:$O,MATCH($D1065,'Paramètres'!$M:$M,0))&amp;"",""))))</f>
        <v/>
      </c>
      <c r="N1065" s="6" t="str">
        <f>IF($D1065="","",IFERROR(INDEX('Paramètres'!$Q:$Q,MATCH($D1065,'Paramètres'!$M:$M,0))&amp;"",""))</f>
        <v/>
      </c>
      <c r="O1065" s="6" t="str">
        <f>IF($A1065="","",IF(OR($J1065&lt;&gt;"x",$A1065&lt;=FinReleve),1,0))</f>
        <v/>
      </c>
      <c r="P1065" s="6" t="str">
        <f>IF($D1065="","",IF(AND($L1065="Crédit",OR(IFERROR(INDEX('Paramètres'!$O:$O,MATCH($D1065,'Paramètres'!$M:$M,0))&amp;"","")&lt;&gt;"",ISNUMBER(SEARCH("remboursement",IFERROR(INDEX('Paramètres'!$N:$N,MATCH($D1065,'Paramètres'!$M:$M,0))&amp;"",""))))),1,0))</f>
        <v/>
      </c>
      <c r="Q1065" s="6" t="str">
        <f>IF($K1065="","",IF(ISNUMBER(SEARCH("transfert-interne",IFERROR(INDEX('Paramètres'!$N:$N,MATCH($D1065,'Paramètres'!$M:$M,0))&amp;"",""))),0,IF($L1065="Débit",$K1065,IF($P1065=1,-$K1065,0))))</f>
        <v/>
      </c>
      <c r="R1065" s="6" t="str">
        <f>IF($K1065="","",IF($L1065="Crédit",$K1065,-$K1065))</f>
        <v/>
      </c>
      <c r="S1065" s="6" t="str">
        <f>IF($C1065="","",IFERROR(INDEX('Paramètres'!$H:$H,MATCH($C1065,'Paramètres'!$D:$D,0))&amp;"",""))</f>
        <v/>
      </c>
      <c r="T1065" s="6" t="str">
        <f>IF($K1065="","",IF($S1065="",0,IF(ISNUMBER(SEARCH("apport-exterieur",IFERROR(INDEX('Paramètres'!$N:$N,MATCH($D1065,'Paramètres'!$M:$M,0))&amp;"",""))),0,IF(OR(IFERROR(INDEX('Paramètres'!$I:$I,MATCH($C1065,'Paramètres'!$D:$D,0))&amp;"","")="Les deux",IFERROR(INDEX('Paramètres'!$I:$I,MATCH($C1065,'Paramètres'!$D:$D,0))&amp;"","")=IF($P1065=1,"Débit",$L1065)),-IF($P1065=1,-$K1065,$K1065),0))))</f>
        <v/>
      </c>
      <c r="U1065" s="6" t="str">
        <f>IF($K1065="","",IF(ISNUMBER(SEARCH("sortie-epargne",IFERROR(INDEX('Paramètres'!$N:$N,MATCH($D1065,'Paramètres'!$M:$M,0))&amp;"",""))),$K1065,0))</f>
        <v/>
      </c>
      <c r="V1065" s="6" t="str">
        <f>IF(AND($A1065&lt;&gt;"",$O1065=1,$L1065="Débit",N($Q1065)&gt;0,$A1065&gt;=Visualisation!$B$1,$A1065&lt;Visualisation!$D$1),MAX($V$1:V1064)+1,"")</f>
        <v/>
      </c>
    </row>
    <row r="1066" spans="1:22" x14ac:dyDescent="0.25">
      <c r="A1066" s="9"/>
      <c r="E1066" s="10"/>
      <c r="K1066" s="11" t="str">
        <f>IF($E1066="","",ROUND($E1066*IF(ISNA(MATCH($C1066,'Paramètres'!$D:$D,0)),1,IF(INDEX('Paramètres'!$J:$J,MATCH($C1066,'Paramètres'!$D:$D,0))="",1,INDEX('Paramètres'!$J:$J,MATCH($C1066,'Paramètres'!$D:$D,0)))),2))</f>
        <v/>
      </c>
      <c r="L1066" s="6" t="str">
        <f>IF($D1066="","",IF($F1066&lt;&gt;"",$F1066,IF(ISNA(MATCH($D1066,'Paramètres'!$M:$M,0)),"⚠ Type inconnu",IFERROR(INDEX('Paramètres'!$P:$P,MATCH($D1066,'Paramètres'!$M:$M,0))&amp;"",""))))</f>
        <v/>
      </c>
      <c r="M1066" s="6" t="str">
        <f>IF($D1066="","",IF(ISNA(MATCH($D1066,'Paramètres'!$M:$M,0)),"⚠ Type inconnu",IF($L1066="Crédit","",IFERROR(INDEX('Paramètres'!$O:$O,MATCH($D1066,'Paramètres'!$M:$M,0))&amp;"",""))))</f>
        <v/>
      </c>
      <c r="N1066" s="6" t="str">
        <f>IF($D1066="","",IFERROR(INDEX('Paramètres'!$Q:$Q,MATCH($D1066,'Paramètres'!$M:$M,0))&amp;"",""))</f>
        <v/>
      </c>
      <c r="O1066" s="6" t="str">
        <f>IF($A1066="","",IF(OR($J1066&lt;&gt;"x",$A1066&lt;=FinReleve),1,0))</f>
        <v/>
      </c>
      <c r="P1066" s="6" t="str">
        <f>IF($D1066="","",IF(AND($L1066="Crédit",OR(IFERROR(INDEX('Paramètres'!$O:$O,MATCH($D1066,'Paramètres'!$M:$M,0))&amp;"","")&lt;&gt;"",ISNUMBER(SEARCH("remboursement",IFERROR(INDEX('Paramètres'!$N:$N,MATCH($D1066,'Paramètres'!$M:$M,0))&amp;"",""))))),1,0))</f>
        <v/>
      </c>
      <c r="Q1066" s="6" t="str">
        <f>IF($K1066="","",IF(ISNUMBER(SEARCH("transfert-interne",IFERROR(INDEX('Paramètres'!$N:$N,MATCH($D1066,'Paramètres'!$M:$M,0))&amp;"",""))),0,IF($L1066="Débit",$K1066,IF($P1066=1,-$K1066,0))))</f>
        <v/>
      </c>
      <c r="R1066" s="6" t="str">
        <f>IF($K1066="","",IF($L1066="Crédit",$K1066,-$K1066))</f>
        <v/>
      </c>
      <c r="S1066" s="6" t="str">
        <f>IF($C1066="","",IFERROR(INDEX('Paramètres'!$H:$H,MATCH($C1066,'Paramètres'!$D:$D,0))&amp;"",""))</f>
        <v/>
      </c>
      <c r="T1066" s="6" t="str">
        <f>IF($K1066="","",IF($S1066="",0,IF(ISNUMBER(SEARCH("apport-exterieur",IFERROR(INDEX('Paramètres'!$N:$N,MATCH($D1066,'Paramètres'!$M:$M,0))&amp;"",""))),0,IF(OR(IFERROR(INDEX('Paramètres'!$I:$I,MATCH($C1066,'Paramètres'!$D:$D,0))&amp;"","")="Les deux",IFERROR(INDEX('Paramètres'!$I:$I,MATCH($C1066,'Paramètres'!$D:$D,0))&amp;"","")=IF($P1066=1,"Débit",$L1066)),-IF($P1066=1,-$K1066,$K1066),0))))</f>
        <v/>
      </c>
      <c r="U1066" s="6" t="str">
        <f>IF($K1066="","",IF(ISNUMBER(SEARCH("sortie-epargne",IFERROR(INDEX('Paramètres'!$N:$N,MATCH($D1066,'Paramètres'!$M:$M,0))&amp;"",""))),$K1066,0))</f>
        <v/>
      </c>
      <c r="V1066" s="6" t="str">
        <f>IF(AND($A1066&lt;&gt;"",$O1066=1,$L1066="Débit",N($Q1066)&gt;0,$A1066&gt;=Visualisation!$B$1,$A1066&lt;Visualisation!$D$1),MAX($V$1:V1065)+1,"")</f>
        <v/>
      </c>
    </row>
    <row r="1067" spans="1:22" x14ac:dyDescent="0.25">
      <c r="A1067" s="9"/>
      <c r="E1067" s="10"/>
      <c r="K1067" s="11" t="str">
        <f>IF($E1067="","",ROUND($E1067*IF(ISNA(MATCH($C1067,'Paramètres'!$D:$D,0)),1,IF(INDEX('Paramètres'!$J:$J,MATCH($C1067,'Paramètres'!$D:$D,0))="",1,INDEX('Paramètres'!$J:$J,MATCH($C1067,'Paramètres'!$D:$D,0)))),2))</f>
        <v/>
      </c>
      <c r="L1067" s="6" t="str">
        <f>IF($D1067="","",IF($F1067&lt;&gt;"",$F1067,IF(ISNA(MATCH($D1067,'Paramètres'!$M:$M,0)),"⚠ Type inconnu",IFERROR(INDEX('Paramètres'!$P:$P,MATCH($D1067,'Paramètres'!$M:$M,0))&amp;"",""))))</f>
        <v/>
      </c>
      <c r="M1067" s="6" t="str">
        <f>IF($D1067="","",IF(ISNA(MATCH($D1067,'Paramètres'!$M:$M,0)),"⚠ Type inconnu",IF($L1067="Crédit","",IFERROR(INDEX('Paramètres'!$O:$O,MATCH($D1067,'Paramètres'!$M:$M,0))&amp;"",""))))</f>
        <v/>
      </c>
      <c r="N1067" s="6" t="str">
        <f>IF($D1067="","",IFERROR(INDEX('Paramètres'!$Q:$Q,MATCH($D1067,'Paramètres'!$M:$M,0))&amp;"",""))</f>
        <v/>
      </c>
      <c r="O1067" s="6" t="str">
        <f>IF($A1067="","",IF(OR($J1067&lt;&gt;"x",$A1067&lt;=FinReleve),1,0))</f>
        <v/>
      </c>
      <c r="P1067" s="6" t="str">
        <f>IF($D1067="","",IF(AND($L1067="Crédit",OR(IFERROR(INDEX('Paramètres'!$O:$O,MATCH($D1067,'Paramètres'!$M:$M,0))&amp;"","")&lt;&gt;"",ISNUMBER(SEARCH("remboursement",IFERROR(INDEX('Paramètres'!$N:$N,MATCH($D1067,'Paramètres'!$M:$M,0))&amp;"",""))))),1,0))</f>
        <v/>
      </c>
      <c r="Q1067" s="6" t="str">
        <f>IF($K1067="","",IF(ISNUMBER(SEARCH("transfert-interne",IFERROR(INDEX('Paramètres'!$N:$N,MATCH($D1067,'Paramètres'!$M:$M,0))&amp;"",""))),0,IF($L1067="Débit",$K1067,IF($P1067=1,-$K1067,0))))</f>
        <v/>
      </c>
      <c r="R1067" s="6" t="str">
        <f>IF($K1067="","",IF($L1067="Crédit",$K1067,-$K1067))</f>
        <v/>
      </c>
      <c r="S1067" s="6" t="str">
        <f>IF($C1067="","",IFERROR(INDEX('Paramètres'!$H:$H,MATCH($C1067,'Paramètres'!$D:$D,0))&amp;"",""))</f>
        <v/>
      </c>
      <c r="T1067" s="6" t="str">
        <f>IF($K1067="","",IF($S1067="",0,IF(ISNUMBER(SEARCH("apport-exterieur",IFERROR(INDEX('Paramètres'!$N:$N,MATCH($D1067,'Paramètres'!$M:$M,0))&amp;"",""))),0,IF(OR(IFERROR(INDEX('Paramètres'!$I:$I,MATCH($C1067,'Paramètres'!$D:$D,0))&amp;"","")="Les deux",IFERROR(INDEX('Paramètres'!$I:$I,MATCH($C1067,'Paramètres'!$D:$D,0))&amp;"","")=IF($P1067=1,"Débit",$L1067)),-IF($P1067=1,-$K1067,$K1067),0))))</f>
        <v/>
      </c>
      <c r="U1067" s="6" t="str">
        <f>IF($K1067="","",IF(ISNUMBER(SEARCH("sortie-epargne",IFERROR(INDEX('Paramètres'!$N:$N,MATCH($D1067,'Paramètres'!$M:$M,0))&amp;"",""))),$K1067,0))</f>
        <v/>
      </c>
      <c r="V1067" s="6" t="str">
        <f>IF(AND($A1067&lt;&gt;"",$O1067=1,$L1067="Débit",N($Q1067)&gt;0,$A1067&gt;=Visualisation!$B$1,$A1067&lt;Visualisation!$D$1),MAX($V$1:V1066)+1,"")</f>
        <v/>
      </c>
    </row>
    <row r="1068" spans="1:22" x14ac:dyDescent="0.25">
      <c r="A1068" s="9"/>
      <c r="E1068" s="10"/>
      <c r="K1068" s="11" t="str">
        <f>IF($E1068="","",ROUND($E1068*IF(ISNA(MATCH($C1068,'Paramètres'!$D:$D,0)),1,IF(INDEX('Paramètres'!$J:$J,MATCH($C1068,'Paramètres'!$D:$D,0))="",1,INDEX('Paramètres'!$J:$J,MATCH($C1068,'Paramètres'!$D:$D,0)))),2))</f>
        <v/>
      </c>
      <c r="L1068" s="6" t="str">
        <f>IF($D1068="","",IF($F1068&lt;&gt;"",$F1068,IF(ISNA(MATCH($D1068,'Paramètres'!$M:$M,0)),"⚠ Type inconnu",IFERROR(INDEX('Paramètres'!$P:$P,MATCH($D1068,'Paramètres'!$M:$M,0))&amp;"",""))))</f>
        <v/>
      </c>
      <c r="M1068" s="6" t="str">
        <f>IF($D1068="","",IF(ISNA(MATCH($D1068,'Paramètres'!$M:$M,0)),"⚠ Type inconnu",IF($L1068="Crédit","",IFERROR(INDEX('Paramètres'!$O:$O,MATCH($D1068,'Paramètres'!$M:$M,0))&amp;"",""))))</f>
        <v/>
      </c>
      <c r="N1068" s="6" t="str">
        <f>IF($D1068="","",IFERROR(INDEX('Paramètres'!$Q:$Q,MATCH($D1068,'Paramètres'!$M:$M,0))&amp;"",""))</f>
        <v/>
      </c>
      <c r="O1068" s="6" t="str">
        <f>IF($A1068="","",IF(OR($J1068&lt;&gt;"x",$A1068&lt;=FinReleve),1,0))</f>
        <v/>
      </c>
      <c r="P1068" s="6" t="str">
        <f>IF($D1068="","",IF(AND($L1068="Crédit",OR(IFERROR(INDEX('Paramètres'!$O:$O,MATCH($D1068,'Paramètres'!$M:$M,0))&amp;"","")&lt;&gt;"",ISNUMBER(SEARCH("remboursement",IFERROR(INDEX('Paramètres'!$N:$N,MATCH($D1068,'Paramètres'!$M:$M,0))&amp;"",""))))),1,0))</f>
        <v/>
      </c>
      <c r="Q1068" s="6" t="str">
        <f>IF($K1068="","",IF(ISNUMBER(SEARCH("transfert-interne",IFERROR(INDEX('Paramètres'!$N:$N,MATCH($D1068,'Paramètres'!$M:$M,0))&amp;"",""))),0,IF($L1068="Débit",$K1068,IF($P1068=1,-$K1068,0))))</f>
        <v/>
      </c>
      <c r="R1068" s="6" t="str">
        <f>IF($K1068="","",IF($L1068="Crédit",$K1068,-$K1068))</f>
        <v/>
      </c>
      <c r="S1068" s="6" t="str">
        <f>IF($C1068="","",IFERROR(INDEX('Paramètres'!$H:$H,MATCH($C1068,'Paramètres'!$D:$D,0))&amp;"",""))</f>
        <v/>
      </c>
      <c r="T1068" s="6" t="str">
        <f>IF($K1068="","",IF($S1068="",0,IF(ISNUMBER(SEARCH("apport-exterieur",IFERROR(INDEX('Paramètres'!$N:$N,MATCH($D1068,'Paramètres'!$M:$M,0))&amp;"",""))),0,IF(OR(IFERROR(INDEX('Paramètres'!$I:$I,MATCH($C1068,'Paramètres'!$D:$D,0))&amp;"","")="Les deux",IFERROR(INDEX('Paramètres'!$I:$I,MATCH($C1068,'Paramètres'!$D:$D,0))&amp;"","")=IF($P1068=1,"Débit",$L1068)),-IF($P1068=1,-$K1068,$K1068),0))))</f>
        <v/>
      </c>
      <c r="U1068" s="6" t="str">
        <f>IF($K1068="","",IF(ISNUMBER(SEARCH("sortie-epargne",IFERROR(INDEX('Paramètres'!$N:$N,MATCH($D1068,'Paramètres'!$M:$M,0))&amp;"",""))),$K1068,0))</f>
        <v/>
      </c>
      <c r="V1068" s="6" t="str">
        <f>IF(AND($A1068&lt;&gt;"",$O1068=1,$L1068="Débit",N($Q1068)&gt;0,$A1068&gt;=Visualisation!$B$1,$A1068&lt;Visualisation!$D$1),MAX($V$1:V1067)+1,"")</f>
        <v/>
      </c>
    </row>
    <row r="1069" spans="1:22" x14ac:dyDescent="0.25">
      <c r="A1069" s="9"/>
      <c r="E1069" s="10"/>
      <c r="K1069" s="11" t="str">
        <f>IF($E1069="","",ROUND($E1069*IF(ISNA(MATCH($C1069,'Paramètres'!$D:$D,0)),1,IF(INDEX('Paramètres'!$J:$J,MATCH($C1069,'Paramètres'!$D:$D,0))="",1,INDEX('Paramètres'!$J:$J,MATCH($C1069,'Paramètres'!$D:$D,0)))),2))</f>
        <v/>
      </c>
      <c r="L1069" s="6" t="str">
        <f>IF($D1069="","",IF($F1069&lt;&gt;"",$F1069,IF(ISNA(MATCH($D1069,'Paramètres'!$M:$M,0)),"⚠ Type inconnu",IFERROR(INDEX('Paramètres'!$P:$P,MATCH($D1069,'Paramètres'!$M:$M,0))&amp;"",""))))</f>
        <v/>
      </c>
      <c r="M1069" s="6" t="str">
        <f>IF($D1069="","",IF(ISNA(MATCH($D1069,'Paramètres'!$M:$M,0)),"⚠ Type inconnu",IF($L1069="Crédit","",IFERROR(INDEX('Paramètres'!$O:$O,MATCH($D1069,'Paramètres'!$M:$M,0))&amp;"",""))))</f>
        <v/>
      </c>
      <c r="N1069" s="6" t="str">
        <f>IF($D1069="","",IFERROR(INDEX('Paramètres'!$Q:$Q,MATCH($D1069,'Paramètres'!$M:$M,0))&amp;"",""))</f>
        <v/>
      </c>
      <c r="O1069" s="6" t="str">
        <f>IF($A1069="","",IF(OR($J1069&lt;&gt;"x",$A1069&lt;=FinReleve),1,0))</f>
        <v/>
      </c>
      <c r="P1069" s="6" t="str">
        <f>IF($D1069="","",IF(AND($L1069="Crédit",OR(IFERROR(INDEX('Paramètres'!$O:$O,MATCH($D1069,'Paramètres'!$M:$M,0))&amp;"","")&lt;&gt;"",ISNUMBER(SEARCH("remboursement",IFERROR(INDEX('Paramètres'!$N:$N,MATCH($D1069,'Paramètres'!$M:$M,0))&amp;"",""))))),1,0))</f>
        <v/>
      </c>
      <c r="Q1069" s="6" t="str">
        <f>IF($K1069="","",IF(ISNUMBER(SEARCH("transfert-interne",IFERROR(INDEX('Paramètres'!$N:$N,MATCH($D1069,'Paramètres'!$M:$M,0))&amp;"",""))),0,IF($L1069="Débit",$K1069,IF($P1069=1,-$K1069,0))))</f>
        <v/>
      </c>
      <c r="R1069" s="6" t="str">
        <f>IF($K1069="","",IF($L1069="Crédit",$K1069,-$K1069))</f>
        <v/>
      </c>
      <c r="S1069" s="6" t="str">
        <f>IF($C1069="","",IFERROR(INDEX('Paramètres'!$H:$H,MATCH($C1069,'Paramètres'!$D:$D,0))&amp;"",""))</f>
        <v/>
      </c>
      <c r="T1069" s="6" t="str">
        <f>IF($K1069="","",IF($S1069="",0,IF(ISNUMBER(SEARCH("apport-exterieur",IFERROR(INDEX('Paramètres'!$N:$N,MATCH($D1069,'Paramètres'!$M:$M,0))&amp;"",""))),0,IF(OR(IFERROR(INDEX('Paramètres'!$I:$I,MATCH($C1069,'Paramètres'!$D:$D,0))&amp;"","")="Les deux",IFERROR(INDEX('Paramètres'!$I:$I,MATCH($C1069,'Paramètres'!$D:$D,0))&amp;"","")=IF($P1069=1,"Débit",$L1069)),-IF($P1069=1,-$K1069,$K1069),0))))</f>
        <v/>
      </c>
      <c r="U1069" s="6" t="str">
        <f>IF($K1069="","",IF(ISNUMBER(SEARCH("sortie-epargne",IFERROR(INDEX('Paramètres'!$N:$N,MATCH($D1069,'Paramètres'!$M:$M,0))&amp;"",""))),$K1069,0))</f>
        <v/>
      </c>
      <c r="V1069" s="6" t="str">
        <f>IF(AND($A1069&lt;&gt;"",$O1069=1,$L1069="Débit",N($Q1069)&gt;0,$A1069&gt;=Visualisation!$B$1,$A1069&lt;Visualisation!$D$1),MAX($V$1:V1068)+1,"")</f>
        <v/>
      </c>
    </row>
    <row r="1070" spans="1:22" x14ac:dyDescent="0.25">
      <c r="A1070" s="9"/>
      <c r="E1070" s="10"/>
      <c r="K1070" s="11" t="str">
        <f>IF($E1070="","",ROUND($E1070*IF(ISNA(MATCH($C1070,'Paramètres'!$D:$D,0)),1,IF(INDEX('Paramètres'!$J:$J,MATCH($C1070,'Paramètres'!$D:$D,0))="",1,INDEX('Paramètres'!$J:$J,MATCH($C1070,'Paramètres'!$D:$D,0)))),2))</f>
        <v/>
      </c>
      <c r="L1070" s="6" t="str">
        <f>IF($D1070="","",IF($F1070&lt;&gt;"",$F1070,IF(ISNA(MATCH($D1070,'Paramètres'!$M:$M,0)),"⚠ Type inconnu",IFERROR(INDEX('Paramètres'!$P:$P,MATCH($D1070,'Paramètres'!$M:$M,0))&amp;"",""))))</f>
        <v/>
      </c>
      <c r="M1070" s="6" t="str">
        <f>IF($D1070="","",IF(ISNA(MATCH($D1070,'Paramètres'!$M:$M,0)),"⚠ Type inconnu",IF($L1070="Crédit","",IFERROR(INDEX('Paramètres'!$O:$O,MATCH($D1070,'Paramètres'!$M:$M,0))&amp;"",""))))</f>
        <v/>
      </c>
      <c r="N1070" s="6" t="str">
        <f>IF($D1070="","",IFERROR(INDEX('Paramètres'!$Q:$Q,MATCH($D1070,'Paramètres'!$M:$M,0))&amp;"",""))</f>
        <v/>
      </c>
      <c r="O1070" s="6" t="str">
        <f>IF($A1070="","",IF(OR($J1070&lt;&gt;"x",$A1070&lt;=FinReleve),1,0))</f>
        <v/>
      </c>
      <c r="P1070" s="6" t="str">
        <f>IF($D1070="","",IF(AND($L1070="Crédit",OR(IFERROR(INDEX('Paramètres'!$O:$O,MATCH($D1070,'Paramètres'!$M:$M,0))&amp;"","")&lt;&gt;"",ISNUMBER(SEARCH("remboursement",IFERROR(INDEX('Paramètres'!$N:$N,MATCH($D1070,'Paramètres'!$M:$M,0))&amp;"",""))))),1,0))</f>
        <v/>
      </c>
      <c r="Q1070" s="6" t="str">
        <f>IF($K1070="","",IF(ISNUMBER(SEARCH("transfert-interne",IFERROR(INDEX('Paramètres'!$N:$N,MATCH($D1070,'Paramètres'!$M:$M,0))&amp;"",""))),0,IF($L1070="Débit",$K1070,IF($P1070=1,-$K1070,0))))</f>
        <v/>
      </c>
      <c r="R1070" s="6" t="str">
        <f>IF($K1070="","",IF($L1070="Crédit",$K1070,-$K1070))</f>
        <v/>
      </c>
      <c r="S1070" s="6" t="str">
        <f>IF($C1070="","",IFERROR(INDEX('Paramètres'!$H:$H,MATCH($C1070,'Paramètres'!$D:$D,0))&amp;"",""))</f>
        <v/>
      </c>
      <c r="T1070" s="6" t="str">
        <f>IF($K1070="","",IF($S1070="",0,IF(ISNUMBER(SEARCH("apport-exterieur",IFERROR(INDEX('Paramètres'!$N:$N,MATCH($D1070,'Paramètres'!$M:$M,0))&amp;"",""))),0,IF(OR(IFERROR(INDEX('Paramètres'!$I:$I,MATCH($C1070,'Paramètres'!$D:$D,0))&amp;"","")="Les deux",IFERROR(INDEX('Paramètres'!$I:$I,MATCH($C1070,'Paramètres'!$D:$D,0))&amp;"","")=IF($P1070=1,"Débit",$L1070)),-IF($P1070=1,-$K1070,$K1070),0))))</f>
        <v/>
      </c>
      <c r="U1070" s="6" t="str">
        <f>IF($K1070="","",IF(ISNUMBER(SEARCH("sortie-epargne",IFERROR(INDEX('Paramètres'!$N:$N,MATCH($D1070,'Paramètres'!$M:$M,0))&amp;"",""))),$K1070,0))</f>
        <v/>
      </c>
      <c r="V1070" s="6" t="str">
        <f>IF(AND($A1070&lt;&gt;"",$O1070=1,$L1070="Débit",N($Q1070)&gt;0,$A1070&gt;=Visualisation!$B$1,$A1070&lt;Visualisation!$D$1),MAX($V$1:V1069)+1,"")</f>
        <v/>
      </c>
    </row>
    <row r="1071" spans="1:22" x14ac:dyDescent="0.25">
      <c r="A1071" s="9"/>
      <c r="E1071" s="10"/>
      <c r="K1071" s="11" t="str">
        <f>IF($E1071="","",ROUND($E1071*IF(ISNA(MATCH($C1071,'Paramètres'!$D:$D,0)),1,IF(INDEX('Paramètres'!$J:$J,MATCH($C1071,'Paramètres'!$D:$D,0))="",1,INDEX('Paramètres'!$J:$J,MATCH($C1071,'Paramètres'!$D:$D,0)))),2))</f>
        <v/>
      </c>
      <c r="L1071" s="6" t="str">
        <f>IF($D1071="","",IF($F1071&lt;&gt;"",$F1071,IF(ISNA(MATCH($D1071,'Paramètres'!$M:$M,0)),"⚠ Type inconnu",IFERROR(INDEX('Paramètres'!$P:$P,MATCH($D1071,'Paramètres'!$M:$M,0))&amp;"",""))))</f>
        <v/>
      </c>
      <c r="M1071" s="6" t="str">
        <f>IF($D1071="","",IF(ISNA(MATCH($D1071,'Paramètres'!$M:$M,0)),"⚠ Type inconnu",IF($L1071="Crédit","",IFERROR(INDEX('Paramètres'!$O:$O,MATCH($D1071,'Paramètres'!$M:$M,0))&amp;"",""))))</f>
        <v/>
      </c>
      <c r="N1071" s="6" t="str">
        <f>IF($D1071="","",IFERROR(INDEX('Paramètres'!$Q:$Q,MATCH($D1071,'Paramètres'!$M:$M,0))&amp;"",""))</f>
        <v/>
      </c>
      <c r="O1071" s="6" t="str">
        <f>IF($A1071="","",IF(OR($J1071&lt;&gt;"x",$A1071&lt;=FinReleve),1,0))</f>
        <v/>
      </c>
      <c r="P1071" s="6" t="str">
        <f>IF($D1071="","",IF(AND($L1071="Crédit",OR(IFERROR(INDEX('Paramètres'!$O:$O,MATCH($D1071,'Paramètres'!$M:$M,0))&amp;"","")&lt;&gt;"",ISNUMBER(SEARCH("remboursement",IFERROR(INDEX('Paramètres'!$N:$N,MATCH($D1071,'Paramètres'!$M:$M,0))&amp;"",""))))),1,0))</f>
        <v/>
      </c>
      <c r="Q1071" s="6" t="str">
        <f>IF($K1071="","",IF(ISNUMBER(SEARCH("transfert-interne",IFERROR(INDEX('Paramètres'!$N:$N,MATCH($D1071,'Paramètres'!$M:$M,0))&amp;"",""))),0,IF($L1071="Débit",$K1071,IF($P1071=1,-$K1071,0))))</f>
        <v/>
      </c>
      <c r="R1071" s="6" t="str">
        <f>IF($K1071="","",IF($L1071="Crédit",$K1071,-$K1071))</f>
        <v/>
      </c>
      <c r="S1071" s="6" t="str">
        <f>IF($C1071="","",IFERROR(INDEX('Paramètres'!$H:$H,MATCH($C1071,'Paramètres'!$D:$D,0))&amp;"",""))</f>
        <v/>
      </c>
      <c r="T1071" s="6" t="str">
        <f>IF($K1071="","",IF($S1071="",0,IF(ISNUMBER(SEARCH("apport-exterieur",IFERROR(INDEX('Paramètres'!$N:$N,MATCH($D1071,'Paramètres'!$M:$M,0))&amp;"",""))),0,IF(OR(IFERROR(INDEX('Paramètres'!$I:$I,MATCH($C1071,'Paramètres'!$D:$D,0))&amp;"","")="Les deux",IFERROR(INDEX('Paramètres'!$I:$I,MATCH($C1071,'Paramètres'!$D:$D,0))&amp;"","")=IF($P1071=1,"Débit",$L1071)),-IF($P1071=1,-$K1071,$K1071),0))))</f>
        <v/>
      </c>
      <c r="U1071" s="6" t="str">
        <f>IF($K1071="","",IF(ISNUMBER(SEARCH("sortie-epargne",IFERROR(INDEX('Paramètres'!$N:$N,MATCH($D1071,'Paramètres'!$M:$M,0))&amp;"",""))),$K1071,0))</f>
        <v/>
      </c>
      <c r="V1071" s="6" t="str">
        <f>IF(AND($A1071&lt;&gt;"",$O1071=1,$L1071="Débit",N($Q1071)&gt;0,$A1071&gt;=Visualisation!$B$1,$A1071&lt;Visualisation!$D$1),MAX($V$1:V1070)+1,"")</f>
        <v/>
      </c>
    </row>
    <row r="1072" spans="1:22" x14ac:dyDescent="0.25">
      <c r="A1072" s="9"/>
      <c r="E1072" s="10"/>
      <c r="K1072" s="11" t="str">
        <f>IF($E1072="","",ROUND($E1072*IF(ISNA(MATCH($C1072,'Paramètres'!$D:$D,0)),1,IF(INDEX('Paramètres'!$J:$J,MATCH($C1072,'Paramètres'!$D:$D,0))="",1,INDEX('Paramètres'!$J:$J,MATCH($C1072,'Paramètres'!$D:$D,0)))),2))</f>
        <v/>
      </c>
      <c r="L1072" s="6" t="str">
        <f>IF($D1072="","",IF($F1072&lt;&gt;"",$F1072,IF(ISNA(MATCH($D1072,'Paramètres'!$M:$M,0)),"⚠ Type inconnu",IFERROR(INDEX('Paramètres'!$P:$P,MATCH($D1072,'Paramètres'!$M:$M,0))&amp;"",""))))</f>
        <v/>
      </c>
      <c r="M1072" s="6" t="str">
        <f>IF($D1072="","",IF(ISNA(MATCH($D1072,'Paramètres'!$M:$M,0)),"⚠ Type inconnu",IF($L1072="Crédit","",IFERROR(INDEX('Paramètres'!$O:$O,MATCH($D1072,'Paramètres'!$M:$M,0))&amp;"",""))))</f>
        <v/>
      </c>
      <c r="N1072" s="6" t="str">
        <f>IF($D1072="","",IFERROR(INDEX('Paramètres'!$Q:$Q,MATCH($D1072,'Paramètres'!$M:$M,0))&amp;"",""))</f>
        <v/>
      </c>
      <c r="O1072" s="6" t="str">
        <f>IF($A1072="","",IF(OR($J1072&lt;&gt;"x",$A1072&lt;=FinReleve),1,0))</f>
        <v/>
      </c>
      <c r="P1072" s="6" t="str">
        <f>IF($D1072="","",IF(AND($L1072="Crédit",OR(IFERROR(INDEX('Paramètres'!$O:$O,MATCH($D1072,'Paramètres'!$M:$M,0))&amp;"","")&lt;&gt;"",ISNUMBER(SEARCH("remboursement",IFERROR(INDEX('Paramètres'!$N:$N,MATCH($D1072,'Paramètres'!$M:$M,0))&amp;"",""))))),1,0))</f>
        <v/>
      </c>
      <c r="Q1072" s="6" t="str">
        <f>IF($K1072="","",IF(ISNUMBER(SEARCH("transfert-interne",IFERROR(INDEX('Paramètres'!$N:$N,MATCH($D1072,'Paramètres'!$M:$M,0))&amp;"",""))),0,IF($L1072="Débit",$K1072,IF($P1072=1,-$K1072,0))))</f>
        <v/>
      </c>
      <c r="R1072" s="6" t="str">
        <f>IF($K1072="","",IF($L1072="Crédit",$K1072,-$K1072))</f>
        <v/>
      </c>
      <c r="S1072" s="6" t="str">
        <f>IF($C1072="","",IFERROR(INDEX('Paramètres'!$H:$H,MATCH($C1072,'Paramètres'!$D:$D,0))&amp;"",""))</f>
        <v/>
      </c>
      <c r="T1072" s="6" t="str">
        <f>IF($K1072="","",IF($S1072="",0,IF(ISNUMBER(SEARCH("apport-exterieur",IFERROR(INDEX('Paramètres'!$N:$N,MATCH($D1072,'Paramètres'!$M:$M,0))&amp;"",""))),0,IF(OR(IFERROR(INDEX('Paramètres'!$I:$I,MATCH($C1072,'Paramètres'!$D:$D,0))&amp;"","")="Les deux",IFERROR(INDEX('Paramètres'!$I:$I,MATCH($C1072,'Paramètres'!$D:$D,0))&amp;"","")=IF($P1072=1,"Débit",$L1072)),-IF($P1072=1,-$K1072,$K1072),0))))</f>
        <v/>
      </c>
      <c r="U1072" s="6" t="str">
        <f>IF($K1072="","",IF(ISNUMBER(SEARCH("sortie-epargne",IFERROR(INDEX('Paramètres'!$N:$N,MATCH($D1072,'Paramètres'!$M:$M,0))&amp;"",""))),$K1072,0))</f>
        <v/>
      </c>
      <c r="V1072" s="6" t="str">
        <f>IF(AND($A1072&lt;&gt;"",$O1072=1,$L1072="Débit",N($Q1072)&gt;0,$A1072&gt;=Visualisation!$B$1,$A1072&lt;Visualisation!$D$1),MAX($V$1:V1071)+1,"")</f>
        <v/>
      </c>
    </row>
    <row r="1073" spans="1:22" x14ac:dyDescent="0.25">
      <c r="A1073" s="9"/>
      <c r="E1073" s="10"/>
      <c r="K1073" s="11" t="str">
        <f>IF($E1073="","",ROUND($E1073*IF(ISNA(MATCH($C1073,'Paramètres'!$D:$D,0)),1,IF(INDEX('Paramètres'!$J:$J,MATCH($C1073,'Paramètres'!$D:$D,0))="",1,INDEX('Paramètres'!$J:$J,MATCH($C1073,'Paramètres'!$D:$D,0)))),2))</f>
        <v/>
      </c>
      <c r="L1073" s="6" t="str">
        <f>IF($D1073="","",IF($F1073&lt;&gt;"",$F1073,IF(ISNA(MATCH($D1073,'Paramètres'!$M:$M,0)),"⚠ Type inconnu",IFERROR(INDEX('Paramètres'!$P:$P,MATCH($D1073,'Paramètres'!$M:$M,0))&amp;"",""))))</f>
        <v/>
      </c>
      <c r="M1073" s="6" t="str">
        <f>IF($D1073="","",IF(ISNA(MATCH($D1073,'Paramètres'!$M:$M,0)),"⚠ Type inconnu",IF($L1073="Crédit","",IFERROR(INDEX('Paramètres'!$O:$O,MATCH($D1073,'Paramètres'!$M:$M,0))&amp;"",""))))</f>
        <v/>
      </c>
      <c r="N1073" s="6" t="str">
        <f>IF($D1073="","",IFERROR(INDEX('Paramètres'!$Q:$Q,MATCH($D1073,'Paramètres'!$M:$M,0))&amp;"",""))</f>
        <v/>
      </c>
      <c r="O1073" s="6" t="str">
        <f>IF($A1073="","",IF(OR($J1073&lt;&gt;"x",$A1073&lt;=FinReleve),1,0))</f>
        <v/>
      </c>
      <c r="P1073" s="6" t="str">
        <f>IF($D1073="","",IF(AND($L1073="Crédit",OR(IFERROR(INDEX('Paramètres'!$O:$O,MATCH($D1073,'Paramètres'!$M:$M,0))&amp;"","")&lt;&gt;"",ISNUMBER(SEARCH("remboursement",IFERROR(INDEX('Paramètres'!$N:$N,MATCH($D1073,'Paramètres'!$M:$M,0))&amp;"",""))))),1,0))</f>
        <v/>
      </c>
      <c r="Q1073" s="6" t="str">
        <f>IF($K1073="","",IF(ISNUMBER(SEARCH("transfert-interne",IFERROR(INDEX('Paramètres'!$N:$N,MATCH($D1073,'Paramètres'!$M:$M,0))&amp;"",""))),0,IF($L1073="Débit",$K1073,IF($P1073=1,-$K1073,0))))</f>
        <v/>
      </c>
      <c r="R1073" s="6" t="str">
        <f>IF($K1073="","",IF($L1073="Crédit",$K1073,-$K1073))</f>
        <v/>
      </c>
      <c r="S1073" s="6" t="str">
        <f>IF($C1073="","",IFERROR(INDEX('Paramètres'!$H:$H,MATCH($C1073,'Paramètres'!$D:$D,0))&amp;"",""))</f>
        <v/>
      </c>
      <c r="T1073" s="6" t="str">
        <f>IF($K1073="","",IF($S1073="",0,IF(ISNUMBER(SEARCH("apport-exterieur",IFERROR(INDEX('Paramètres'!$N:$N,MATCH($D1073,'Paramètres'!$M:$M,0))&amp;"",""))),0,IF(OR(IFERROR(INDEX('Paramètres'!$I:$I,MATCH($C1073,'Paramètres'!$D:$D,0))&amp;"","")="Les deux",IFERROR(INDEX('Paramètres'!$I:$I,MATCH($C1073,'Paramètres'!$D:$D,0))&amp;"","")=IF($P1073=1,"Débit",$L1073)),-IF($P1073=1,-$K1073,$K1073),0))))</f>
        <v/>
      </c>
      <c r="U1073" s="6" t="str">
        <f>IF($K1073="","",IF(ISNUMBER(SEARCH("sortie-epargne",IFERROR(INDEX('Paramètres'!$N:$N,MATCH($D1073,'Paramètres'!$M:$M,0))&amp;"",""))),$K1073,0))</f>
        <v/>
      </c>
      <c r="V1073" s="6" t="str">
        <f>IF(AND($A1073&lt;&gt;"",$O1073=1,$L1073="Débit",N($Q1073)&gt;0,$A1073&gt;=Visualisation!$B$1,$A1073&lt;Visualisation!$D$1),MAX($V$1:V1072)+1,"")</f>
        <v/>
      </c>
    </row>
    <row r="1074" spans="1:22" x14ac:dyDescent="0.25">
      <c r="A1074" s="9"/>
      <c r="E1074" s="10"/>
      <c r="K1074" s="11" t="str">
        <f>IF($E1074="","",ROUND($E1074*IF(ISNA(MATCH($C1074,'Paramètres'!$D:$D,0)),1,IF(INDEX('Paramètres'!$J:$J,MATCH($C1074,'Paramètres'!$D:$D,0))="",1,INDEX('Paramètres'!$J:$J,MATCH($C1074,'Paramètres'!$D:$D,0)))),2))</f>
        <v/>
      </c>
      <c r="L1074" s="6" t="str">
        <f>IF($D1074="","",IF($F1074&lt;&gt;"",$F1074,IF(ISNA(MATCH($D1074,'Paramètres'!$M:$M,0)),"⚠ Type inconnu",IFERROR(INDEX('Paramètres'!$P:$P,MATCH($D1074,'Paramètres'!$M:$M,0))&amp;"",""))))</f>
        <v/>
      </c>
      <c r="M1074" s="6" t="str">
        <f>IF($D1074="","",IF(ISNA(MATCH($D1074,'Paramètres'!$M:$M,0)),"⚠ Type inconnu",IF($L1074="Crédit","",IFERROR(INDEX('Paramètres'!$O:$O,MATCH($D1074,'Paramètres'!$M:$M,0))&amp;"",""))))</f>
        <v/>
      </c>
      <c r="N1074" s="6" t="str">
        <f>IF($D1074="","",IFERROR(INDEX('Paramètres'!$Q:$Q,MATCH($D1074,'Paramètres'!$M:$M,0))&amp;"",""))</f>
        <v/>
      </c>
      <c r="O1074" s="6" t="str">
        <f>IF($A1074="","",IF(OR($J1074&lt;&gt;"x",$A1074&lt;=FinReleve),1,0))</f>
        <v/>
      </c>
      <c r="P1074" s="6" t="str">
        <f>IF($D1074="","",IF(AND($L1074="Crédit",OR(IFERROR(INDEX('Paramètres'!$O:$O,MATCH($D1074,'Paramètres'!$M:$M,0))&amp;"","")&lt;&gt;"",ISNUMBER(SEARCH("remboursement",IFERROR(INDEX('Paramètres'!$N:$N,MATCH($D1074,'Paramètres'!$M:$M,0))&amp;"",""))))),1,0))</f>
        <v/>
      </c>
      <c r="Q1074" s="6" t="str">
        <f>IF($K1074="","",IF(ISNUMBER(SEARCH("transfert-interne",IFERROR(INDEX('Paramètres'!$N:$N,MATCH($D1074,'Paramètres'!$M:$M,0))&amp;"",""))),0,IF($L1074="Débit",$K1074,IF($P1074=1,-$K1074,0))))</f>
        <v/>
      </c>
      <c r="R1074" s="6" t="str">
        <f>IF($K1074="","",IF($L1074="Crédit",$K1074,-$K1074))</f>
        <v/>
      </c>
      <c r="S1074" s="6" t="str">
        <f>IF($C1074="","",IFERROR(INDEX('Paramètres'!$H:$H,MATCH($C1074,'Paramètres'!$D:$D,0))&amp;"",""))</f>
        <v/>
      </c>
      <c r="T1074" s="6" t="str">
        <f>IF($K1074="","",IF($S1074="",0,IF(ISNUMBER(SEARCH("apport-exterieur",IFERROR(INDEX('Paramètres'!$N:$N,MATCH($D1074,'Paramètres'!$M:$M,0))&amp;"",""))),0,IF(OR(IFERROR(INDEX('Paramètres'!$I:$I,MATCH($C1074,'Paramètres'!$D:$D,0))&amp;"","")="Les deux",IFERROR(INDEX('Paramètres'!$I:$I,MATCH($C1074,'Paramètres'!$D:$D,0))&amp;"","")=IF($P1074=1,"Débit",$L1074)),-IF($P1074=1,-$K1074,$K1074),0))))</f>
        <v/>
      </c>
      <c r="U1074" s="6" t="str">
        <f>IF($K1074="","",IF(ISNUMBER(SEARCH("sortie-epargne",IFERROR(INDEX('Paramètres'!$N:$N,MATCH($D1074,'Paramètres'!$M:$M,0))&amp;"",""))),$K1074,0))</f>
        <v/>
      </c>
      <c r="V1074" s="6" t="str">
        <f>IF(AND($A1074&lt;&gt;"",$O1074=1,$L1074="Débit",N($Q1074)&gt;0,$A1074&gt;=Visualisation!$B$1,$A1074&lt;Visualisation!$D$1),MAX($V$1:V1073)+1,"")</f>
        <v/>
      </c>
    </row>
    <row r="1075" spans="1:22" x14ac:dyDescent="0.25">
      <c r="A1075" s="9"/>
      <c r="E1075" s="10"/>
      <c r="K1075" s="11" t="str">
        <f>IF($E1075="","",ROUND($E1075*IF(ISNA(MATCH($C1075,'Paramètres'!$D:$D,0)),1,IF(INDEX('Paramètres'!$J:$J,MATCH($C1075,'Paramètres'!$D:$D,0))="",1,INDEX('Paramètres'!$J:$J,MATCH($C1075,'Paramètres'!$D:$D,0)))),2))</f>
        <v/>
      </c>
      <c r="L1075" s="6" t="str">
        <f>IF($D1075="","",IF($F1075&lt;&gt;"",$F1075,IF(ISNA(MATCH($D1075,'Paramètres'!$M:$M,0)),"⚠ Type inconnu",IFERROR(INDEX('Paramètres'!$P:$P,MATCH($D1075,'Paramètres'!$M:$M,0))&amp;"",""))))</f>
        <v/>
      </c>
      <c r="M1075" s="6" t="str">
        <f>IF($D1075="","",IF(ISNA(MATCH($D1075,'Paramètres'!$M:$M,0)),"⚠ Type inconnu",IF($L1075="Crédit","",IFERROR(INDEX('Paramètres'!$O:$O,MATCH($D1075,'Paramètres'!$M:$M,0))&amp;"",""))))</f>
        <v/>
      </c>
      <c r="N1075" s="6" t="str">
        <f>IF($D1075="","",IFERROR(INDEX('Paramètres'!$Q:$Q,MATCH($D1075,'Paramètres'!$M:$M,0))&amp;"",""))</f>
        <v/>
      </c>
      <c r="O1075" s="6" t="str">
        <f>IF($A1075="","",IF(OR($J1075&lt;&gt;"x",$A1075&lt;=FinReleve),1,0))</f>
        <v/>
      </c>
      <c r="P1075" s="6" t="str">
        <f>IF($D1075="","",IF(AND($L1075="Crédit",OR(IFERROR(INDEX('Paramètres'!$O:$O,MATCH($D1075,'Paramètres'!$M:$M,0))&amp;"","")&lt;&gt;"",ISNUMBER(SEARCH("remboursement",IFERROR(INDEX('Paramètres'!$N:$N,MATCH($D1075,'Paramètres'!$M:$M,0))&amp;"",""))))),1,0))</f>
        <v/>
      </c>
      <c r="Q1075" s="6" t="str">
        <f>IF($K1075="","",IF(ISNUMBER(SEARCH("transfert-interne",IFERROR(INDEX('Paramètres'!$N:$N,MATCH($D1075,'Paramètres'!$M:$M,0))&amp;"",""))),0,IF($L1075="Débit",$K1075,IF($P1075=1,-$K1075,0))))</f>
        <v/>
      </c>
      <c r="R1075" s="6" t="str">
        <f>IF($K1075="","",IF($L1075="Crédit",$K1075,-$K1075))</f>
        <v/>
      </c>
      <c r="S1075" s="6" t="str">
        <f>IF($C1075="","",IFERROR(INDEX('Paramètres'!$H:$H,MATCH($C1075,'Paramètres'!$D:$D,0))&amp;"",""))</f>
        <v/>
      </c>
      <c r="T1075" s="6" t="str">
        <f>IF($K1075="","",IF($S1075="",0,IF(ISNUMBER(SEARCH("apport-exterieur",IFERROR(INDEX('Paramètres'!$N:$N,MATCH($D1075,'Paramètres'!$M:$M,0))&amp;"",""))),0,IF(OR(IFERROR(INDEX('Paramètres'!$I:$I,MATCH($C1075,'Paramètres'!$D:$D,0))&amp;"","")="Les deux",IFERROR(INDEX('Paramètres'!$I:$I,MATCH($C1075,'Paramètres'!$D:$D,0))&amp;"","")=IF($P1075=1,"Débit",$L1075)),-IF($P1075=1,-$K1075,$K1075),0))))</f>
        <v/>
      </c>
      <c r="U1075" s="6" t="str">
        <f>IF($K1075="","",IF(ISNUMBER(SEARCH("sortie-epargne",IFERROR(INDEX('Paramètres'!$N:$N,MATCH($D1075,'Paramètres'!$M:$M,0))&amp;"",""))),$K1075,0))</f>
        <v/>
      </c>
      <c r="V1075" s="6" t="str">
        <f>IF(AND($A1075&lt;&gt;"",$O1075=1,$L1075="Débit",N($Q1075)&gt;0,$A1075&gt;=Visualisation!$B$1,$A1075&lt;Visualisation!$D$1),MAX($V$1:V1074)+1,"")</f>
        <v/>
      </c>
    </row>
    <row r="1076" spans="1:22" x14ac:dyDescent="0.25">
      <c r="A1076" s="9"/>
      <c r="E1076" s="10"/>
      <c r="K1076" s="11" t="str">
        <f>IF($E1076="","",ROUND($E1076*IF(ISNA(MATCH($C1076,'Paramètres'!$D:$D,0)),1,IF(INDEX('Paramètres'!$J:$J,MATCH($C1076,'Paramètres'!$D:$D,0))="",1,INDEX('Paramètres'!$J:$J,MATCH($C1076,'Paramètres'!$D:$D,0)))),2))</f>
        <v/>
      </c>
      <c r="L1076" s="6" t="str">
        <f>IF($D1076="","",IF($F1076&lt;&gt;"",$F1076,IF(ISNA(MATCH($D1076,'Paramètres'!$M:$M,0)),"⚠ Type inconnu",IFERROR(INDEX('Paramètres'!$P:$P,MATCH($D1076,'Paramètres'!$M:$M,0))&amp;"",""))))</f>
        <v/>
      </c>
      <c r="M1076" s="6" t="str">
        <f>IF($D1076="","",IF(ISNA(MATCH($D1076,'Paramètres'!$M:$M,0)),"⚠ Type inconnu",IF($L1076="Crédit","",IFERROR(INDEX('Paramètres'!$O:$O,MATCH($D1076,'Paramètres'!$M:$M,0))&amp;"",""))))</f>
        <v/>
      </c>
      <c r="N1076" s="6" t="str">
        <f>IF($D1076="","",IFERROR(INDEX('Paramètres'!$Q:$Q,MATCH($D1076,'Paramètres'!$M:$M,0))&amp;"",""))</f>
        <v/>
      </c>
      <c r="O1076" s="6" t="str">
        <f>IF($A1076="","",IF(OR($J1076&lt;&gt;"x",$A1076&lt;=FinReleve),1,0))</f>
        <v/>
      </c>
      <c r="P1076" s="6" t="str">
        <f>IF($D1076="","",IF(AND($L1076="Crédit",OR(IFERROR(INDEX('Paramètres'!$O:$O,MATCH($D1076,'Paramètres'!$M:$M,0))&amp;"","")&lt;&gt;"",ISNUMBER(SEARCH("remboursement",IFERROR(INDEX('Paramètres'!$N:$N,MATCH($D1076,'Paramètres'!$M:$M,0))&amp;"",""))))),1,0))</f>
        <v/>
      </c>
      <c r="Q1076" s="6" t="str">
        <f>IF($K1076="","",IF(ISNUMBER(SEARCH("transfert-interne",IFERROR(INDEX('Paramètres'!$N:$N,MATCH($D1076,'Paramètres'!$M:$M,0))&amp;"",""))),0,IF($L1076="Débit",$K1076,IF($P1076=1,-$K1076,0))))</f>
        <v/>
      </c>
      <c r="R1076" s="6" t="str">
        <f>IF($K1076="","",IF($L1076="Crédit",$K1076,-$K1076))</f>
        <v/>
      </c>
      <c r="S1076" s="6" t="str">
        <f>IF($C1076="","",IFERROR(INDEX('Paramètres'!$H:$H,MATCH($C1076,'Paramètres'!$D:$D,0))&amp;"",""))</f>
        <v/>
      </c>
      <c r="T1076" s="6" t="str">
        <f>IF($K1076="","",IF($S1076="",0,IF(ISNUMBER(SEARCH("apport-exterieur",IFERROR(INDEX('Paramètres'!$N:$N,MATCH($D1076,'Paramètres'!$M:$M,0))&amp;"",""))),0,IF(OR(IFERROR(INDEX('Paramètres'!$I:$I,MATCH($C1076,'Paramètres'!$D:$D,0))&amp;"","")="Les deux",IFERROR(INDEX('Paramètres'!$I:$I,MATCH($C1076,'Paramètres'!$D:$D,0))&amp;"","")=IF($P1076=1,"Débit",$L1076)),-IF($P1076=1,-$K1076,$K1076),0))))</f>
        <v/>
      </c>
      <c r="U1076" s="6" t="str">
        <f>IF($K1076="","",IF(ISNUMBER(SEARCH("sortie-epargne",IFERROR(INDEX('Paramètres'!$N:$N,MATCH($D1076,'Paramètres'!$M:$M,0))&amp;"",""))),$K1076,0))</f>
        <v/>
      </c>
      <c r="V1076" s="6" t="str">
        <f>IF(AND($A1076&lt;&gt;"",$O1076=1,$L1076="Débit",N($Q1076)&gt;0,$A1076&gt;=Visualisation!$B$1,$A1076&lt;Visualisation!$D$1),MAX($V$1:V1075)+1,"")</f>
        <v/>
      </c>
    </row>
    <row r="1077" spans="1:22" x14ac:dyDescent="0.25">
      <c r="A1077" s="9"/>
      <c r="E1077" s="10"/>
      <c r="K1077" s="11" t="str">
        <f>IF($E1077="","",ROUND($E1077*IF(ISNA(MATCH($C1077,'Paramètres'!$D:$D,0)),1,IF(INDEX('Paramètres'!$J:$J,MATCH($C1077,'Paramètres'!$D:$D,0))="",1,INDEX('Paramètres'!$J:$J,MATCH($C1077,'Paramètres'!$D:$D,0)))),2))</f>
        <v/>
      </c>
      <c r="L1077" s="6" t="str">
        <f>IF($D1077="","",IF($F1077&lt;&gt;"",$F1077,IF(ISNA(MATCH($D1077,'Paramètres'!$M:$M,0)),"⚠ Type inconnu",IFERROR(INDEX('Paramètres'!$P:$P,MATCH($D1077,'Paramètres'!$M:$M,0))&amp;"",""))))</f>
        <v/>
      </c>
      <c r="M1077" s="6" t="str">
        <f>IF($D1077="","",IF(ISNA(MATCH($D1077,'Paramètres'!$M:$M,0)),"⚠ Type inconnu",IF($L1077="Crédit","",IFERROR(INDEX('Paramètres'!$O:$O,MATCH($D1077,'Paramètres'!$M:$M,0))&amp;"",""))))</f>
        <v/>
      </c>
      <c r="N1077" s="6" t="str">
        <f>IF($D1077="","",IFERROR(INDEX('Paramètres'!$Q:$Q,MATCH($D1077,'Paramètres'!$M:$M,0))&amp;"",""))</f>
        <v/>
      </c>
      <c r="O1077" s="6" t="str">
        <f>IF($A1077="","",IF(OR($J1077&lt;&gt;"x",$A1077&lt;=FinReleve),1,0))</f>
        <v/>
      </c>
      <c r="P1077" s="6" t="str">
        <f>IF($D1077="","",IF(AND($L1077="Crédit",OR(IFERROR(INDEX('Paramètres'!$O:$O,MATCH($D1077,'Paramètres'!$M:$M,0))&amp;"","")&lt;&gt;"",ISNUMBER(SEARCH("remboursement",IFERROR(INDEX('Paramètres'!$N:$N,MATCH($D1077,'Paramètres'!$M:$M,0))&amp;"",""))))),1,0))</f>
        <v/>
      </c>
      <c r="Q1077" s="6" t="str">
        <f>IF($K1077="","",IF(ISNUMBER(SEARCH("transfert-interne",IFERROR(INDEX('Paramètres'!$N:$N,MATCH($D1077,'Paramètres'!$M:$M,0))&amp;"",""))),0,IF($L1077="Débit",$K1077,IF($P1077=1,-$K1077,0))))</f>
        <v/>
      </c>
      <c r="R1077" s="6" t="str">
        <f>IF($K1077="","",IF($L1077="Crédit",$K1077,-$K1077))</f>
        <v/>
      </c>
      <c r="S1077" s="6" t="str">
        <f>IF($C1077="","",IFERROR(INDEX('Paramètres'!$H:$H,MATCH($C1077,'Paramètres'!$D:$D,0))&amp;"",""))</f>
        <v/>
      </c>
      <c r="T1077" s="6" t="str">
        <f>IF($K1077="","",IF($S1077="",0,IF(ISNUMBER(SEARCH("apport-exterieur",IFERROR(INDEX('Paramètres'!$N:$N,MATCH($D1077,'Paramètres'!$M:$M,0))&amp;"",""))),0,IF(OR(IFERROR(INDEX('Paramètres'!$I:$I,MATCH($C1077,'Paramètres'!$D:$D,0))&amp;"","")="Les deux",IFERROR(INDEX('Paramètres'!$I:$I,MATCH($C1077,'Paramètres'!$D:$D,0))&amp;"","")=IF($P1077=1,"Débit",$L1077)),-IF($P1077=1,-$K1077,$K1077),0))))</f>
        <v/>
      </c>
      <c r="U1077" s="6" t="str">
        <f>IF($K1077="","",IF(ISNUMBER(SEARCH("sortie-epargne",IFERROR(INDEX('Paramètres'!$N:$N,MATCH($D1077,'Paramètres'!$M:$M,0))&amp;"",""))),$K1077,0))</f>
        <v/>
      </c>
      <c r="V1077" s="6" t="str">
        <f>IF(AND($A1077&lt;&gt;"",$O1077=1,$L1077="Débit",N($Q1077)&gt;0,$A1077&gt;=Visualisation!$B$1,$A1077&lt;Visualisation!$D$1),MAX($V$1:V1076)+1,"")</f>
        <v/>
      </c>
    </row>
    <row r="1078" spans="1:22" x14ac:dyDescent="0.25">
      <c r="A1078" s="9"/>
      <c r="E1078" s="10"/>
      <c r="K1078" s="11" t="str">
        <f>IF($E1078="","",ROUND($E1078*IF(ISNA(MATCH($C1078,'Paramètres'!$D:$D,0)),1,IF(INDEX('Paramètres'!$J:$J,MATCH($C1078,'Paramètres'!$D:$D,0))="",1,INDEX('Paramètres'!$J:$J,MATCH($C1078,'Paramètres'!$D:$D,0)))),2))</f>
        <v/>
      </c>
      <c r="L1078" s="6" t="str">
        <f>IF($D1078="","",IF($F1078&lt;&gt;"",$F1078,IF(ISNA(MATCH($D1078,'Paramètres'!$M:$M,0)),"⚠ Type inconnu",IFERROR(INDEX('Paramètres'!$P:$P,MATCH($D1078,'Paramètres'!$M:$M,0))&amp;"",""))))</f>
        <v/>
      </c>
      <c r="M1078" s="6" t="str">
        <f>IF($D1078="","",IF(ISNA(MATCH($D1078,'Paramètres'!$M:$M,0)),"⚠ Type inconnu",IF($L1078="Crédit","",IFERROR(INDEX('Paramètres'!$O:$O,MATCH($D1078,'Paramètres'!$M:$M,0))&amp;"",""))))</f>
        <v/>
      </c>
      <c r="N1078" s="6" t="str">
        <f>IF($D1078="","",IFERROR(INDEX('Paramètres'!$Q:$Q,MATCH($D1078,'Paramètres'!$M:$M,0))&amp;"",""))</f>
        <v/>
      </c>
      <c r="O1078" s="6" t="str">
        <f>IF($A1078="","",IF(OR($J1078&lt;&gt;"x",$A1078&lt;=FinReleve),1,0))</f>
        <v/>
      </c>
      <c r="P1078" s="6" t="str">
        <f>IF($D1078="","",IF(AND($L1078="Crédit",OR(IFERROR(INDEX('Paramètres'!$O:$O,MATCH($D1078,'Paramètres'!$M:$M,0))&amp;"","")&lt;&gt;"",ISNUMBER(SEARCH("remboursement",IFERROR(INDEX('Paramètres'!$N:$N,MATCH($D1078,'Paramètres'!$M:$M,0))&amp;"",""))))),1,0))</f>
        <v/>
      </c>
      <c r="Q1078" s="6" t="str">
        <f>IF($K1078="","",IF(ISNUMBER(SEARCH("transfert-interne",IFERROR(INDEX('Paramètres'!$N:$N,MATCH($D1078,'Paramètres'!$M:$M,0))&amp;"",""))),0,IF($L1078="Débit",$K1078,IF($P1078=1,-$K1078,0))))</f>
        <v/>
      </c>
      <c r="R1078" s="6" t="str">
        <f>IF($K1078="","",IF($L1078="Crédit",$K1078,-$K1078))</f>
        <v/>
      </c>
      <c r="S1078" s="6" t="str">
        <f>IF($C1078="","",IFERROR(INDEX('Paramètres'!$H:$H,MATCH($C1078,'Paramètres'!$D:$D,0))&amp;"",""))</f>
        <v/>
      </c>
      <c r="T1078" s="6" t="str">
        <f>IF($K1078="","",IF($S1078="",0,IF(ISNUMBER(SEARCH("apport-exterieur",IFERROR(INDEX('Paramètres'!$N:$N,MATCH($D1078,'Paramètres'!$M:$M,0))&amp;"",""))),0,IF(OR(IFERROR(INDEX('Paramètres'!$I:$I,MATCH($C1078,'Paramètres'!$D:$D,0))&amp;"","")="Les deux",IFERROR(INDEX('Paramètres'!$I:$I,MATCH($C1078,'Paramètres'!$D:$D,0))&amp;"","")=IF($P1078=1,"Débit",$L1078)),-IF($P1078=1,-$K1078,$K1078),0))))</f>
        <v/>
      </c>
      <c r="U1078" s="6" t="str">
        <f>IF($K1078="","",IF(ISNUMBER(SEARCH("sortie-epargne",IFERROR(INDEX('Paramètres'!$N:$N,MATCH($D1078,'Paramètres'!$M:$M,0))&amp;"",""))),$K1078,0))</f>
        <v/>
      </c>
      <c r="V1078" s="6" t="str">
        <f>IF(AND($A1078&lt;&gt;"",$O1078=1,$L1078="Débit",N($Q1078)&gt;0,$A1078&gt;=Visualisation!$B$1,$A1078&lt;Visualisation!$D$1),MAX($V$1:V1077)+1,"")</f>
        <v/>
      </c>
    </row>
    <row r="1079" spans="1:22" x14ac:dyDescent="0.25">
      <c r="A1079" s="9"/>
      <c r="E1079" s="10"/>
      <c r="K1079" s="11" t="str">
        <f>IF($E1079="","",ROUND($E1079*IF(ISNA(MATCH($C1079,'Paramètres'!$D:$D,0)),1,IF(INDEX('Paramètres'!$J:$J,MATCH($C1079,'Paramètres'!$D:$D,0))="",1,INDEX('Paramètres'!$J:$J,MATCH($C1079,'Paramètres'!$D:$D,0)))),2))</f>
        <v/>
      </c>
      <c r="L1079" s="6" t="str">
        <f>IF($D1079="","",IF($F1079&lt;&gt;"",$F1079,IF(ISNA(MATCH($D1079,'Paramètres'!$M:$M,0)),"⚠ Type inconnu",IFERROR(INDEX('Paramètres'!$P:$P,MATCH($D1079,'Paramètres'!$M:$M,0))&amp;"",""))))</f>
        <v/>
      </c>
      <c r="M1079" s="6" t="str">
        <f>IF($D1079="","",IF(ISNA(MATCH($D1079,'Paramètres'!$M:$M,0)),"⚠ Type inconnu",IF($L1079="Crédit","",IFERROR(INDEX('Paramètres'!$O:$O,MATCH($D1079,'Paramètres'!$M:$M,0))&amp;"",""))))</f>
        <v/>
      </c>
      <c r="N1079" s="6" t="str">
        <f>IF($D1079="","",IFERROR(INDEX('Paramètres'!$Q:$Q,MATCH($D1079,'Paramètres'!$M:$M,0))&amp;"",""))</f>
        <v/>
      </c>
      <c r="O1079" s="6" t="str">
        <f>IF($A1079="","",IF(OR($J1079&lt;&gt;"x",$A1079&lt;=FinReleve),1,0))</f>
        <v/>
      </c>
      <c r="P1079" s="6" t="str">
        <f>IF($D1079="","",IF(AND($L1079="Crédit",OR(IFERROR(INDEX('Paramètres'!$O:$O,MATCH($D1079,'Paramètres'!$M:$M,0))&amp;"","")&lt;&gt;"",ISNUMBER(SEARCH("remboursement",IFERROR(INDEX('Paramètres'!$N:$N,MATCH($D1079,'Paramètres'!$M:$M,0))&amp;"",""))))),1,0))</f>
        <v/>
      </c>
      <c r="Q1079" s="6" t="str">
        <f>IF($K1079="","",IF(ISNUMBER(SEARCH("transfert-interne",IFERROR(INDEX('Paramètres'!$N:$N,MATCH($D1079,'Paramètres'!$M:$M,0))&amp;"",""))),0,IF($L1079="Débit",$K1079,IF($P1079=1,-$K1079,0))))</f>
        <v/>
      </c>
      <c r="R1079" s="6" t="str">
        <f>IF($K1079="","",IF($L1079="Crédit",$K1079,-$K1079))</f>
        <v/>
      </c>
      <c r="S1079" s="6" t="str">
        <f>IF($C1079="","",IFERROR(INDEX('Paramètres'!$H:$H,MATCH($C1079,'Paramètres'!$D:$D,0))&amp;"",""))</f>
        <v/>
      </c>
      <c r="T1079" s="6" t="str">
        <f>IF($K1079="","",IF($S1079="",0,IF(ISNUMBER(SEARCH("apport-exterieur",IFERROR(INDEX('Paramètres'!$N:$N,MATCH($D1079,'Paramètres'!$M:$M,0))&amp;"",""))),0,IF(OR(IFERROR(INDEX('Paramètres'!$I:$I,MATCH($C1079,'Paramètres'!$D:$D,0))&amp;"","")="Les deux",IFERROR(INDEX('Paramètres'!$I:$I,MATCH($C1079,'Paramètres'!$D:$D,0))&amp;"","")=IF($P1079=1,"Débit",$L1079)),-IF($P1079=1,-$K1079,$K1079),0))))</f>
        <v/>
      </c>
      <c r="U1079" s="6" t="str">
        <f>IF($K1079="","",IF(ISNUMBER(SEARCH("sortie-epargne",IFERROR(INDEX('Paramètres'!$N:$N,MATCH($D1079,'Paramètres'!$M:$M,0))&amp;"",""))),$K1079,0))</f>
        <v/>
      </c>
      <c r="V1079" s="6" t="str">
        <f>IF(AND($A1079&lt;&gt;"",$O1079=1,$L1079="Débit",N($Q1079)&gt;0,$A1079&gt;=Visualisation!$B$1,$A1079&lt;Visualisation!$D$1),MAX($V$1:V1078)+1,"")</f>
        <v/>
      </c>
    </row>
    <row r="1080" spans="1:22" x14ac:dyDescent="0.25">
      <c r="A1080" s="9"/>
      <c r="E1080" s="10"/>
      <c r="K1080" s="11" t="str">
        <f>IF($E1080="","",ROUND($E1080*IF(ISNA(MATCH($C1080,'Paramètres'!$D:$D,0)),1,IF(INDEX('Paramètres'!$J:$J,MATCH($C1080,'Paramètres'!$D:$D,0))="",1,INDEX('Paramètres'!$J:$J,MATCH($C1080,'Paramètres'!$D:$D,0)))),2))</f>
        <v/>
      </c>
      <c r="L1080" s="6" t="str">
        <f>IF($D1080="","",IF($F1080&lt;&gt;"",$F1080,IF(ISNA(MATCH($D1080,'Paramètres'!$M:$M,0)),"⚠ Type inconnu",IFERROR(INDEX('Paramètres'!$P:$P,MATCH($D1080,'Paramètres'!$M:$M,0))&amp;"",""))))</f>
        <v/>
      </c>
      <c r="M1080" s="6" t="str">
        <f>IF($D1080="","",IF(ISNA(MATCH($D1080,'Paramètres'!$M:$M,0)),"⚠ Type inconnu",IF($L1080="Crédit","",IFERROR(INDEX('Paramètres'!$O:$O,MATCH($D1080,'Paramètres'!$M:$M,0))&amp;"",""))))</f>
        <v/>
      </c>
      <c r="N1080" s="6" t="str">
        <f>IF($D1080="","",IFERROR(INDEX('Paramètres'!$Q:$Q,MATCH($D1080,'Paramètres'!$M:$M,0))&amp;"",""))</f>
        <v/>
      </c>
      <c r="O1080" s="6" t="str">
        <f>IF($A1080="","",IF(OR($J1080&lt;&gt;"x",$A1080&lt;=FinReleve),1,0))</f>
        <v/>
      </c>
      <c r="P1080" s="6" t="str">
        <f>IF($D1080="","",IF(AND($L1080="Crédit",OR(IFERROR(INDEX('Paramètres'!$O:$O,MATCH($D1080,'Paramètres'!$M:$M,0))&amp;"","")&lt;&gt;"",ISNUMBER(SEARCH("remboursement",IFERROR(INDEX('Paramètres'!$N:$N,MATCH($D1080,'Paramètres'!$M:$M,0))&amp;"",""))))),1,0))</f>
        <v/>
      </c>
      <c r="Q1080" s="6" t="str">
        <f>IF($K1080="","",IF(ISNUMBER(SEARCH("transfert-interne",IFERROR(INDEX('Paramètres'!$N:$N,MATCH($D1080,'Paramètres'!$M:$M,0))&amp;"",""))),0,IF($L1080="Débit",$K1080,IF($P1080=1,-$K1080,0))))</f>
        <v/>
      </c>
      <c r="R1080" s="6" t="str">
        <f>IF($K1080="","",IF($L1080="Crédit",$K1080,-$K1080))</f>
        <v/>
      </c>
      <c r="S1080" s="6" t="str">
        <f>IF($C1080="","",IFERROR(INDEX('Paramètres'!$H:$H,MATCH($C1080,'Paramètres'!$D:$D,0))&amp;"",""))</f>
        <v/>
      </c>
      <c r="T1080" s="6" t="str">
        <f>IF($K1080="","",IF($S1080="",0,IF(ISNUMBER(SEARCH("apport-exterieur",IFERROR(INDEX('Paramètres'!$N:$N,MATCH($D1080,'Paramètres'!$M:$M,0))&amp;"",""))),0,IF(OR(IFERROR(INDEX('Paramètres'!$I:$I,MATCH($C1080,'Paramètres'!$D:$D,0))&amp;"","")="Les deux",IFERROR(INDEX('Paramètres'!$I:$I,MATCH($C1080,'Paramètres'!$D:$D,0))&amp;"","")=IF($P1080=1,"Débit",$L1080)),-IF($P1080=1,-$K1080,$K1080),0))))</f>
        <v/>
      </c>
      <c r="U1080" s="6" t="str">
        <f>IF($K1080="","",IF(ISNUMBER(SEARCH("sortie-epargne",IFERROR(INDEX('Paramètres'!$N:$N,MATCH($D1080,'Paramètres'!$M:$M,0))&amp;"",""))),$K1080,0))</f>
        <v/>
      </c>
      <c r="V1080" s="6" t="str">
        <f>IF(AND($A1080&lt;&gt;"",$O1080=1,$L1080="Débit",N($Q1080)&gt;0,$A1080&gt;=Visualisation!$B$1,$A1080&lt;Visualisation!$D$1),MAX($V$1:V1079)+1,"")</f>
        <v/>
      </c>
    </row>
    <row r="1081" spans="1:22" x14ac:dyDescent="0.25">
      <c r="A1081" s="9"/>
      <c r="E1081" s="10"/>
      <c r="K1081" s="11" t="str">
        <f>IF($E1081="","",ROUND($E1081*IF(ISNA(MATCH($C1081,'Paramètres'!$D:$D,0)),1,IF(INDEX('Paramètres'!$J:$J,MATCH($C1081,'Paramètres'!$D:$D,0))="",1,INDEX('Paramètres'!$J:$J,MATCH($C1081,'Paramètres'!$D:$D,0)))),2))</f>
        <v/>
      </c>
      <c r="L1081" s="6" t="str">
        <f>IF($D1081="","",IF($F1081&lt;&gt;"",$F1081,IF(ISNA(MATCH($D1081,'Paramètres'!$M:$M,0)),"⚠ Type inconnu",IFERROR(INDEX('Paramètres'!$P:$P,MATCH($D1081,'Paramètres'!$M:$M,0))&amp;"",""))))</f>
        <v/>
      </c>
      <c r="M1081" s="6" t="str">
        <f>IF($D1081="","",IF(ISNA(MATCH($D1081,'Paramètres'!$M:$M,0)),"⚠ Type inconnu",IF($L1081="Crédit","",IFERROR(INDEX('Paramètres'!$O:$O,MATCH($D1081,'Paramètres'!$M:$M,0))&amp;"",""))))</f>
        <v/>
      </c>
      <c r="N1081" s="6" t="str">
        <f>IF($D1081="","",IFERROR(INDEX('Paramètres'!$Q:$Q,MATCH($D1081,'Paramètres'!$M:$M,0))&amp;"",""))</f>
        <v/>
      </c>
      <c r="O1081" s="6" t="str">
        <f>IF($A1081="","",IF(OR($J1081&lt;&gt;"x",$A1081&lt;=FinReleve),1,0))</f>
        <v/>
      </c>
      <c r="P1081" s="6" t="str">
        <f>IF($D1081="","",IF(AND($L1081="Crédit",OR(IFERROR(INDEX('Paramètres'!$O:$O,MATCH($D1081,'Paramètres'!$M:$M,0))&amp;"","")&lt;&gt;"",ISNUMBER(SEARCH("remboursement",IFERROR(INDEX('Paramètres'!$N:$N,MATCH($D1081,'Paramètres'!$M:$M,0))&amp;"",""))))),1,0))</f>
        <v/>
      </c>
      <c r="Q1081" s="6" t="str">
        <f>IF($K1081="","",IF(ISNUMBER(SEARCH("transfert-interne",IFERROR(INDEX('Paramètres'!$N:$N,MATCH($D1081,'Paramètres'!$M:$M,0))&amp;"",""))),0,IF($L1081="Débit",$K1081,IF($P1081=1,-$K1081,0))))</f>
        <v/>
      </c>
      <c r="R1081" s="6" t="str">
        <f>IF($K1081="","",IF($L1081="Crédit",$K1081,-$K1081))</f>
        <v/>
      </c>
      <c r="S1081" s="6" t="str">
        <f>IF($C1081="","",IFERROR(INDEX('Paramètres'!$H:$H,MATCH($C1081,'Paramètres'!$D:$D,0))&amp;"",""))</f>
        <v/>
      </c>
      <c r="T1081" s="6" t="str">
        <f>IF($K1081="","",IF($S1081="",0,IF(ISNUMBER(SEARCH("apport-exterieur",IFERROR(INDEX('Paramètres'!$N:$N,MATCH($D1081,'Paramètres'!$M:$M,0))&amp;"",""))),0,IF(OR(IFERROR(INDEX('Paramètres'!$I:$I,MATCH($C1081,'Paramètres'!$D:$D,0))&amp;"","")="Les deux",IFERROR(INDEX('Paramètres'!$I:$I,MATCH($C1081,'Paramètres'!$D:$D,0))&amp;"","")=IF($P1081=1,"Débit",$L1081)),-IF($P1081=1,-$K1081,$K1081),0))))</f>
        <v/>
      </c>
      <c r="U1081" s="6" t="str">
        <f>IF($K1081="","",IF(ISNUMBER(SEARCH("sortie-epargne",IFERROR(INDEX('Paramètres'!$N:$N,MATCH($D1081,'Paramètres'!$M:$M,0))&amp;"",""))),$K1081,0))</f>
        <v/>
      </c>
      <c r="V1081" s="6" t="str">
        <f>IF(AND($A1081&lt;&gt;"",$O1081=1,$L1081="Débit",N($Q1081)&gt;0,$A1081&gt;=Visualisation!$B$1,$A1081&lt;Visualisation!$D$1),MAX($V$1:V1080)+1,"")</f>
        <v/>
      </c>
    </row>
    <row r="1082" spans="1:22" x14ac:dyDescent="0.25">
      <c r="A1082" s="9"/>
      <c r="E1082" s="10"/>
      <c r="K1082" s="11" t="str">
        <f>IF($E1082="","",ROUND($E1082*IF(ISNA(MATCH($C1082,'Paramètres'!$D:$D,0)),1,IF(INDEX('Paramètres'!$J:$J,MATCH($C1082,'Paramètres'!$D:$D,0))="",1,INDEX('Paramètres'!$J:$J,MATCH($C1082,'Paramètres'!$D:$D,0)))),2))</f>
        <v/>
      </c>
      <c r="L1082" s="6" t="str">
        <f>IF($D1082="","",IF($F1082&lt;&gt;"",$F1082,IF(ISNA(MATCH($D1082,'Paramètres'!$M:$M,0)),"⚠ Type inconnu",IFERROR(INDEX('Paramètres'!$P:$P,MATCH($D1082,'Paramètres'!$M:$M,0))&amp;"",""))))</f>
        <v/>
      </c>
      <c r="M1082" s="6" t="str">
        <f>IF($D1082="","",IF(ISNA(MATCH($D1082,'Paramètres'!$M:$M,0)),"⚠ Type inconnu",IF($L1082="Crédit","",IFERROR(INDEX('Paramètres'!$O:$O,MATCH($D1082,'Paramètres'!$M:$M,0))&amp;"",""))))</f>
        <v/>
      </c>
      <c r="N1082" s="6" t="str">
        <f>IF($D1082="","",IFERROR(INDEX('Paramètres'!$Q:$Q,MATCH($D1082,'Paramètres'!$M:$M,0))&amp;"",""))</f>
        <v/>
      </c>
      <c r="O1082" s="6" t="str">
        <f>IF($A1082="","",IF(OR($J1082&lt;&gt;"x",$A1082&lt;=FinReleve),1,0))</f>
        <v/>
      </c>
      <c r="P1082" s="6" t="str">
        <f>IF($D1082="","",IF(AND($L1082="Crédit",OR(IFERROR(INDEX('Paramètres'!$O:$O,MATCH($D1082,'Paramètres'!$M:$M,0))&amp;"","")&lt;&gt;"",ISNUMBER(SEARCH("remboursement",IFERROR(INDEX('Paramètres'!$N:$N,MATCH($D1082,'Paramètres'!$M:$M,0))&amp;"",""))))),1,0))</f>
        <v/>
      </c>
      <c r="Q1082" s="6" t="str">
        <f>IF($K1082="","",IF(ISNUMBER(SEARCH("transfert-interne",IFERROR(INDEX('Paramètres'!$N:$N,MATCH($D1082,'Paramètres'!$M:$M,0))&amp;"",""))),0,IF($L1082="Débit",$K1082,IF($P1082=1,-$K1082,0))))</f>
        <v/>
      </c>
      <c r="R1082" s="6" t="str">
        <f>IF($K1082="","",IF($L1082="Crédit",$K1082,-$K1082))</f>
        <v/>
      </c>
      <c r="S1082" s="6" t="str">
        <f>IF($C1082="","",IFERROR(INDEX('Paramètres'!$H:$H,MATCH($C1082,'Paramètres'!$D:$D,0))&amp;"",""))</f>
        <v/>
      </c>
      <c r="T1082" s="6" t="str">
        <f>IF($K1082="","",IF($S1082="",0,IF(ISNUMBER(SEARCH("apport-exterieur",IFERROR(INDEX('Paramètres'!$N:$N,MATCH($D1082,'Paramètres'!$M:$M,0))&amp;"",""))),0,IF(OR(IFERROR(INDEX('Paramètres'!$I:$I,MATCH($C1082,'Paramètres'!$D:$D,0))&amp;"","")="Les deux",IFERROR(INDEX('Paramètres'!$I:$I,MATCH($C1082,'Paramètres'!$D:$D,0))&amp;"","")=IF($P1082=1,"Débit",$L1082)),-IF($P1082=1,-$K1082,$K1082),0))))</f>
        <v/>
      </c>
      <c r="U1082" s="6" t="str">
        <f>IF($K1082="","",IF(ISNUMBER(SEARCH("sortie-epargne",IFERROR(INDEX('Paramètres'!$N:$N,MATCH($D1082,'Paramètres'!$M:$M,0))&amp;"",""))),$K1082,0))</f>
        <v/>
      </c>
      <c r="V1082" s="6" t="str">
        <f>IF(AND($A1082&lt;&gt;"",$O1082=1,$L1082="Débit",N($Q1082)&gt;0,$A1082&gt;=Visualisation!$B$1,$A1082&lt;Visualisation!$D$1),MAX($V$1:V1081)+1,"")</f>
        <v/>
      </c>
    </row>
    <row r="1083" spans="1:22" x14ac:dyDescent="0.25">
      <c r="A1083" s="9"/>
      <c r="E1083" s="10"/>
      <c r="K1083" s="11" t="str">
        <f>IF($E1083="","",ROUND($E1083*IF(ISNA(MATCH($C1083,'Paramètres'!$D:$D,0)),1,IF(INDEX('Paramètres'!$J:$J,MATCH($C1083,'Paramètres'!$D:$D,0))="",1,INDEX('Paramètres'!$J:$J,MATCH($C1083,'Paramètres'!$D:$D,0)))),2))</f>
        <v/>
      </c>
      <c r="L1083" s="6" t="str">
        <f>IF($D1083="","",IF($F1083&lt;&gt;"",$F1083,IF(ISNA(MATCH($D1083,'Paramètres'!$M:$M,0)),"⚠ Type inconnu",IFERROR(INDEX('Paramètres'!$P:$P,MATCH($D1083,'Paramètres'!$M:$M,0))&amp;"",""))))</f>
        <v/>
      </c>
      <c r="M1083" s="6" t="str">
        <f>IF($D1083="","",IF(ISNA(MATCH($D1083,'Paramètres'!$M:$M,0)),"⚠ Type inconnu",IF($L1083="Crédit","",IFERROR(INDEX('Paramètres'!$O:$O,MATCH($D1083,'Paramètres'!$M:$M,0))&amp;"",""))))</f>
        <v/>
      </c>
      <c r="N1083" s="6" t="str">
        <f>IF($D1083="","",IFERROR(INDEX('Paramètres'!$Q:$Q,MATCH($D1083,'Paramètres'!$M:$M,0))&amp;"",""))</f>
        <v/>
      </c>
      <c r="O1083" s="6" t="str">
        <f>IF($A1083="","",IF(OR($J1083&lt;&gt;"x",$A1083&lt;=FinReleve),1,0))</f>
        <v/>
      </c>
      <c r="P1083" s="6" t="str">
        <f>IF($D1083="","",IF(AND($L1083="Crédit",OR(IFERROR(INDEX('Paramètres'!$O:$O,MATCH($D1083,'Paramètres'!$M:$M,0))&amp;"","")&lt;&gt;"",ISNUMBER(SEARCH("remboursement",IFERROR(INDEX('Paramètres'!$N:$N,MATCH($D1083,'Paramètres'!$M:$M,0))&amp;"",""))))),1,0))</f>
        <v/>
      </c>
      <c r="Q1083" s="6" t="str">
        <f>IF($K1083="","",IF(ISNUMBER(SEARCH("transfert-interne",IFERROR(INDEX('Paramètres'!$N:$N,MATCH($D1083,'Paramètres'!$M:$M,0))&amp;"",""))),0,IF($L1083="Débit",$K1083,IF($P1083=1,-$K1083,0))))</f>
        <v/>
      </c>
      <c r="R1083" s="6" t="str">
        <f>IF($K1083="","",IF($L1083="Crédit",$K1083,-$K1083))</f>
        <v/>
      </c>
      <c r="S1083" s="6" t="str">
        <f>IF($C1083="","",IFERROR(INDEX('Paramètres'!$H:$H,MATCH($C1083,'Paramètres'!$D:$D,0))&amp;"",""))</f>
        <v/>
      </c>
      <c r="T1083" s="6" t="str">
        <f>IF($K1083="","",IF($S1083="",0,IF(ISNUMBER(SEARCH("apport-exterieur",IFERROR(INDEX('Paramètres'!$N:$N,MATCH($D1083,'Paramètres'!$M:$M,0))&amp;"",""))),0,IF(OR(IFERROR(INDEX('Paramètres'!$I:$I,MATCH($C1083,'Paramètres'!$D:$D,0))&amp;"","")="Les deux",IFERROR(INDEX('Paramètres'!$I:$I,MATCH($C1083,'Paramètres'!$D:$D,0))&amp;"","")=IF($P1083=1,"Débit",$L1083)),-IF($P1083=1,-$K1083,$K1083),0))))</f>
        <v/>
      </c>
      <c r="U1083" s="6" t="str">
        <f>IF($K1083="","",IF(ISNUMBER(SEARCH("sortie-epargne",IFERROR(INDEX('Paramètres'!$N:$N,MATCH($D1083,'Paramètres'!$M:$M,0))&amp;"",""))),$K1083,0))</f>
        <v/>
      </c>
      <c r="V1083" s="6" t="str">
        <f>IF(AND($A1083&lt;&gt;"",$O1083=1,$L1083="Débit",N($Q1083)&gt;0,$A1083&gt;=Visualisation!$B$1,$A1083&lt;Visualisation!$D$1),MAX($V$1:V1082)+1,"")</f>
        <v/>
      </c>
    </row>
    <row r="1084" spans="1:22" x14ac:dyDescent="0.25">
      <c r="A1084" s="9"/>
      <c r="E1084" s="10"/>
      <c r="K1084" s="11" t="str">
        <f>IF($E1084="","",ROUND($E1084*IF(ISNA(MATCH($C1084,'Paramètres'!$D:$D,0)),1,IF(INDEX('Paramètres'!$J:$J,MATCH($C1084,'Paramètres'!$D:$D,0))="",1,INDEX('Paramètres'!$J:$J,MATCH($C1084,'Paramètres'!$D:$D,0)))),2))</f>
        <v/>
      </c>
      <c r="L1084" s="6" t="str">
        <f>IF($D1084="","",IF($F1084&lt;&gt;"",$F1084,IF(ISNA(MATCH($D1084,'Paramètres'!$M:$M,0)),"⚠ Type inconnu",IFERROR(INDEX('Paramètres'!$P:$P,MATCH($D1084,'Paramètres'!$M:$M,0))&amp;"",""))))</f>
        <v/>
      </c>
      <c r="M1084" s="6" t="str">
        <f>IF($D1084="","",IF(ISNA(MATCH($D1084,'Paramètres'!$M:$M,0)),"⚠ Type inconnu",IF($L1084="Crédit","",IFERROR(INDEX('Paramètres'!$O:$O,MATCH($D1084,'Paramètres'!$M:$M,0))&amp;"",""))))</f>
        <v/>
      </c>
      <c r="N1084" s="6" t="str">
        <f>IF($D1084="","",IFERROR(INDEX('Paramètres'!$Q:$Q,MATCH($D1084,'Paramètres'!$M:$M,0))&amp;"",""))</f>
        <v/>
      </c>
      <c r="O1084" s="6" t="str">
        <f>IF($A1084="","",IF(OR($J1084&lt;&gt;"x",$A1084&lt;=FinReleve),1,0))</f>
        <v/>
      </c>
      <c r="P1084" s="6" t="str">
        <f>IF($D1084="","",IF(AND($L1084="Crédit",OR(IFERROR(INDEX('Paramètres'!$O:$O,MATCH($D1084,'Paramètres'!$M:$M,0))&amp;"","")&lt;&gt;"",ISNUMBER(SEARCH("remboursement",IFERROR(INDEX('Paramètres'!$N:$N,MATCH($D1084,'Paramètres'!$M:$M,0))&amp;"",""))))),1,0))</f>
        <v/>
      </c>
      <c r="Q1084" s="6" t="str">
        <f>IF($K1084="","",IF(ISNUMBER(SEARCH("transfert-interne",IFERROR(INDEX('Paramètres'!$N:$N,MATCH($D1084,'Paramètres'!$M:$M,0))&amp;"",""))),0,IF($L1084="Débit",$K1084,IF($P1084=1,-$K1084,0))))</f>
        <v/>
      </c>
      <c r="R1084" s="6" t="str">
        <f>IF($K1084="","",IF($L1084="Crédit",$K1084,-$K1084))</f>
        <v/>
      </c>
      <c r="S1084" s="6" t="str">
        <f>IF($C1084="","",IFERROR(INDEX('Paramètres'!$H:$H,MATCH($C1084,'Paramètres'!$D:$D,0))&amp;"",""))</f>
        <v/>
      </c>
      <c r="T1084" s="6" t="str">
        <f>IF($K1084="","",IF($S1084="",0,IF(ISNUMBER(SEARCH("apport-exterieur",IFERROR(INDEX('Paramètres'!$N:$N,MATCH($D1084,'Paramètres'!$M:$M,0))&amp;"",""))),0,IF(OR(IFERROR(INDEX('Paramètres'!$I:$I,MATCH($C1084,'Paramètres'!$D:$D,0))&amp;"","")="Les deux",IFERROR(INDEX('Paramètres'!$I:$I,MATCH($C1084,'Paramètres'!$D:$D,0))&amp;"","")=IF($P1084=1,"Débit",$L1084)),-IF($P1084=1,-$K1084,$K1084),0))))</f>
        <v/>
      </c>
      <c r="U1084" s="6" t="str">
        <f>IF($K1084="","",IF(ISNUMBER(SEARCH("sortie-epargne",IFERROR(INDEX('Paramètres'!$N:$N,MATCH($D1084,'Paramètres'!$M:$M,0))&amp;"",""))),$K1084,0))</f>
        <v/>
      </c>
      <c r="V1084" s="6" t="str">
        <f>IF(AND($A1084&lt;&gt;"",$O1084=1,$L1084="Débit",N($Q1084)&gt;0,$A1084&gt;=Visualisation!$B$1,$A1084&lt;Visualisation!$D$1),MAX($V$1:V1083)+1,"")</f>
        <v/>
      </c>
    </row>
    <row r="1085" spans="1:22" x14ac:dyDescent="0.25">
      <c r="A1085" s="9"/>
      <c r="E1085" s="10"/>
      <c r="K1085" s="11" t="str">
        <f>IF($E1085="","",ROUND($E1085*IF(ISNA(MATCH($C1085,'Paramètres'!$D:$D,0)),1,IF(INDEX('Paramètres'!$J:$J,MATCH($C1085,'Paramètres'!$D:$D,0))="",1,INDEX('Paramètres'!$J:$J,MATCH($C1085,'Paramètres'!$D:$D,0)))),2))</f>
        <v/>
      </c>
      <c r="L1085" s="6" t="str">
        <f>IF($D1085="","",IF($F1085&lt;&gt;"",$F1085,IF(ISNA(MATCH($D1085,'Paramètres'!$M:$M,0)),"⚠ Type inconnu",IFERROR(INDEX('Paramètres'!$P:$P,MATCH($D1085,'Paramètres'!$M:$M,0))&amp;"",""))))</f>
        <v/>
      </c>
      <c r="M1085" s="6" t="str">
        <f>IF($D1085="","",IF(ISNA(MATCH($D1085,'Paramètres'!$M:$M,0)),"⚠ Type inconnu",IF($L1085="Crédit","",IFERROR(INDEX('Paramètres'!$O:$O,MATCH($D1085,'Paramètres'!$M:$M,0))&amp;"",""))))</f>
        <v/>
      </c>
      <c r="N1085" s="6" t="str">
        <f>IF($D1085="","",IFERROR(INDEX('Paramètres'!$Q:$Q,MATCH($D1085,'Paramètres'!$M:$M,0))&amp;"",""))</f>
        <v/>
      </c>
      <c r="O1085" s="6" t="str">
        <f>IF($A1085="","",IF(OR($J1085&lt;&gt;"x",$A1085&lt;=FinReleve),1,0))</f>
        <v/>
      </c>
      <c r="P1085" s="6" t="str">
        <f>IF($D1085="","",IF(AND($L1085="Crédit",OR(IFERROR(INDEX('Paramètres'!$O:$O,MATCH($D1085,'Paramètres'!$M:$M,0))&amp;"","")&lt;&gt;"",ISNUMBER(SEARCH("remboursement",IFERROR(INDEX('Paramètres'!$N:$N,MATCH($D1085,'Paramètres'!$M:$M,0))&amp;"",""))))),1,0))</f>
        <v/>
      </c>
      <c r="Q1085" s="6" t="str">
        <f>IF($K1085="","",IF(ISNUMBER(SEARCH("transfert-interne",IFERROR(INDEX('Paramètres'!$N:$N,MATCH($D1085,'Paramètres'!$M:$M,0))&amp;"",""))),0,IF($L1085="Débit",$K1085,IF($P1085=1,-$K1085,0))))</f>
        <v/>
      </c>
      <c r="R1085" s="6" t="str">
        <f>IF($K1085="","",IF($L1085="Crédit",$K1085,-$K1085))</f>
        <v/>
      </c>
      <c r="S1085" s="6" t="str">
        <f>IF($C1085="","",IFERROR(INDEX('Paramètres'!$H:$H,MATCH($C1085,'Paramètres'!$D:$D,0))&amp;"",""))</f>
        <v/>
      </c>
      <c r="T1085" s="6" t="str">
        <f>IF($K1085="","",IF($S1085="",0,IF(ISNUMBER(SEARCH("apport-exterieur",IFERROR(INDEX('Paramètres'!$N:$N,MATCH($D1085,'Paramètres'!$M:$M,0))&amp;"",""))),0,IF(OR(IFERROR(INDEX('Paramètres'!$I:$I,MATCH($C1085,'Paramètres'!$D:$D,0))&amp;"","")="Les deux",IFERROR(INDEX('Paramètres'!$I:$I,MATCH($C1085,'Paramètres'!$D:$D,0))&amp;"","")=IF($P1085=1,"Débit",$L1085)),-IF($P1085=1,-$K1085,$K1085),0))))</f>
        <v/>
      </c>
      <c r="U1085" s="6" t="str">
        <f>IF($K1085="","",IF(ISNUMBER(SEARCH("sortie-epargne",IFERROR(INDEX('Paramètres'!$N:$N,MATCH($D1085,'Paramètres'!$M:$M,0))&amp;"",""))),$K1085,0))</f>
        <v/>
      </c>
      <c r="V1085" s="6" t="str">
        <f>IF(AND($A1085&lt;&gt;"",$O1085=1,$L1085="Débit",N($Q1085)&gt;0,$A1085&gt;=Visualisation!$B$1,$A1085&lt;Visualisation!$D$1),MAX($V$1:V1084)+1,"")</f>
        <v/>
      </c>
    </row>
    <row r="1086" spans="1:22" x14ac:dyDescent="0.25">
      <c r="A1086" s="9"/>
      <c r="E1086" s="10"/>
      <c r="K1086" s="11" t="str">
        <f>IF($E1086="","",ROUND($E1086*IF(ISNA(MATCH($C1086,'Paramètres'!$D:$D,0)),1,IF(INDEX('Paramètres'!$J:$J,MATCH($C1086,'Paramètres'!$D:$D,0))="",1,INDEX('Paramètres'!$J:$J,MATCH($C1086,'Paramètres'!$D:$D,0)))),2))</f>
        <v/>
      </c>
      <c r="L1086" s="6" t="str">
        <f>IF($D1086="","",IF($F1086&lt;&gt;"",$F1086,IF(ISNA(MATCH($D1086,'Paramètres'!$M:$M,0)),"⚠ Type inconnu",IFERROR(INDEX('Paramètres'!$P:$P,MATCH($D1086,'Paramètres'!$M:$M,0))&amp;"",""))))</f>
        <v/>
      </c>
      <c r="M1086" s="6" t="str">
        <f>IF($D1086="","",IF(ISNA(MATCH($D1086,'Paramètres'!$M:$M,0)),"⚠ Type inconnu",IF($L1086="Crédit","",IFERROR(INDEX('Paramètres'!$O:$O,MATCH($D1086,'Paramètres'!$M:$M,0))&amp;"",""))))</f>
        <v/>
      </c>
      <c r="N1086" s="6" t="str">
        <f>IF($D1086="","",IFERROR(INDEX('Paramètres'!$Q:$Q,MATCH($D1086,'Paramètres'!$M:$M,0))&amp;"",""))</f>
        <v/>
      </c>
      <c r="O1086" s="6" t="str">
        <f>IF($A1086="","",IF(OR($J1086&lt;&gt;"x",$A1086&lt;=FinReleve),1,0))</f>
        <v/>
      </c>
      <c r="P1086" s="6" t="str">
        <f>IF($D1086="","",IF(AND($L1086="Crédit",OR(IFERROR(INDEX('Paramètres'!$O:$O,MATCH($D1086,'Paramètres'!$M:$M,0))&amp;"","")&lt;&gt;"",ISNUMBER(SEARCH("remboursement",IFERROR(INDEX('Paramètres'!$N:$N,MATCH($D1086,'Paramètres'!$M:$M,0))&amp;"",""))))),1,0))</f>
        <v/>
      </c>
      <c r="Q1086" s="6" t="str">
        <f>IF($K1086="","",IF(ISNUMBER(SEARCH("transfert-interne",IFERROR(INDEX('Paramètres'!$N:$N,MATCH($D1086,'Paramètres'!$M:$M,0))&amp;"",""))),0,IF($L1086="Débit",$K1086,IF($P1086=1,-$K1086,0))))</f>
        <v/>
      </c>
      <c r="R1086" s="6" t="str">
        <f>IF($K1086="","",IF($L1086="Crédit",$K1086,-$K1086))</f>
        <v/>
      </c>
      <c r="S1086" s="6" t="str">
        <f>IF($C1086="","",IFERROR(INDEX('Paramètres'!$H:$H,MATCH($C1086,'Paramètres'!$D:$D,0))&amp;"",""))</f>
        <v/>
      </c>
      <c r="T1086" s="6" t="str">
        <f>IF($K1086="","",IF($S1086="",0,IF(ISNUMBER(SEARCH("apport-exterieur",IFERROR(INDEX('Paramètres'!$N:$N,MATCH($D1086,'Paramètres'!$M:$M,0))&amp;"",""))),0,IF(OR(IFERROR(INDEX('Paramètres'!$I:$I,MATCH($C1086,'Paramètres'!$D:$D,0))&amp;"","")="Les deux",IFERROR(INDEX('Paramètres'!$I:$I,MATCH($C1086,'Paramètres'!$D:$D,0))&amp;"","")=IF($P1086=1,"Débit",$L1086)),-IF($P1086=1,-$K1086,$K1086),0))))</f>
        <v/>
      </c>
      <c r="U1086" s="6" t="str">
        <f>IF($K1086="","",IF(ISNUMBER(SEARCH("sortie-epargne",IFERROR(INDEX('Paramètres'!$N:$N,MATCH($D1086,'Paramètres'!$M:$M,0))&amp;"",""))),$K1086,0))</f>
        <v/>
      </c>
      <c r="V1086" s="6" t="str">
        <f>IF(AND($A1086&lt;&gt;"",$O1086=1,$L1086="Débit",N($Q1086)&gt;0,$A1086&gt;=Visualisation!$B$1,$A1086&lt;Visualisation!$D$1),MAX($V$1:V1085)+1,"")</f>
        <v/>
      </c>
    </row>
    <row r="1087" spans="1:22" x14ac:dyDescent="0.25">
      <c r="A1087" s="9"/>
      <c r="E1087" s="10"/>
      <c r="K1087" s="11" t="str">
        <f>IF($E1087="","",ROUND($E1087*IF(ISNA(MATCH($C1087,'Paramètres'!$D:$D,0)),1,IF(INDEX('Paramètres'!$J:$J,MATCH($C1087,'Paramètres'!$D:$D,0))="",1,INDEX('Paramètres'!$J:$J,MATCH($C1087,'Paramètres'!$D:$D,0)))),2))</f>
        <v/>
      </c>
      <c r="L1087" s="6" t="str">
        <f>IF($D1087="","",IF($F1087&lt;&gt;"",$F1087,IF(ISNA(MATCH($D1087,'Paramètres'!$M:$M,0)),"⚠ Type inconnu",IFERROR(INDEX('Paramètres'!$P:$P,MATCH($D1087,'Paramètres'!$M:$M,0))&amp;"",""))))</f>
        <v/>
      </c>
      <c r="M1087" s="6" t="str">
        <f>IF($D1087="","",IF(ISNA(MATCH($D1087,'Paramètres'!$M:$M,0)),"⚠ Type inconnu",IF($L1087="Crédit","",IFERROR(INDEX('Paramètres'!$O:$O,MATCH($D1087,'Paramètres'!$M:$M,0))&amp;"",""))))</f>
        <v/>
      </c>
      <c r="N1087" s="6" t="str">
        <f>IF($D1087="","",IFERROR(INDEX('Paramètres'!$Q:$Q,MATCH($D1087,'Paramètres'!$M:$M,0))&amp;"",""))</f>
        <v/>
      </c>
      <c r="O1087" s="6" t="str">
        <f>IF($A1087="","",IF(OR($J1087&lt;&gt;"x",$A1087&lt;=FinReleve),1,0))</f>
        <v/>
      </c>
      <c r="P1087" s="6" t="str">
        <f>IF($D1087="","",IF(AND($L1087="Crédit",OR(IFERROR(INDEX('Paramètres'!$O:$O,MATCH($D1087,'Paramètres'!$M:$M,0))&amp;"","")&lt;&gt;"",ISNUMBER(SEARCH("remboursement",IFERROR(INDEX('Paramètres'!$N:$N,MATCH($D1087,'Paramètres'!$M:$M,0))&amp;"",""))))),1,0))</f>
        <v/>
      </c>
      <c r="Q1087" s="6" t="str">
        <f>IF($K1087="","",IF(ISNUMBER(SEARCH("transfert-interne",IFERROR(INDEX('Paramètres'!$N:$N,MATCH($D1087,'Paramètres'!$M:$M,0))&amp;"",""))),0,IF($L1087="Débit",$K1087,IF($P1087=1,-$K1087,0))))</f>
        <v/>
      </c>
      <c r="R1087" s="6" t="str">
        <f>IF($K1087="","",IF($L1087="Crédit",$K1087,-$K1087))</f>
        <v/>
      </c>
      <c r="S1087" s="6" t="str">
        <f>IF($C1087="","",IFERROR(INDEX('Paramètres'!$H:$H,MATCH($C1087,'Paramètres'!$D:$D,0))&amp;"",""))</f>
        <v/>
      </c>
      <c r="T1087" s="6" t="str">
        <f>IF($K1087="","",IF($S1087="",0,IF(ISNUMBER(SEARCH("apport-exterieur",IFERROR(INDEX('Paramètres'!$N:$N,MATCH($D1087,'Paramètres'!$M:$M,0))&amp;"",""))),0,IF(OR(IFERROR(INDEX('Paramètres'!$I:$I,MATCH($C1087,'Paramètres'!$D:$D,0))&amp;"","")="Les deux",IFERROR(INDEX('Paramètres'!$I:$I,MATCH($C1087,'Paramètres'!$D:$D,0))&amp;"","")=IF($P1087=1,"Débit",$L1087)),-IF($P1087=1,-$K1087,$K1087),0))))</f>
        <v/>
      </c>
      <c r="U1087" s="6" t="str">
        <f>IF($K1087="","",IF(ISNUMBER(SEARCH("sortie-epargne",IFERROR(INDEX('Paramètres'!$N:$N,MATCH($D1087,'Paramètres'!$M:$M,0))&amp;"",""))),$K1087,0))</f>
        <v/>
      </c>
      <c r="V1087" s="6" t="str">
        <f>IF(AND($A1087&lt;&gt;"",$O1087=1,$L1087="Débit",N($Q1087)&gt;0,$A1087&gt;=Visualisation!$B$1,$A1087&lt;Visualisation!$D$1),MAX($V$1:V1086)+1,"")</f>
        <v/>
      </c>
    </row>
    <row r="1088" spans="1:22" x14ac:dyDescent="0.25">
      <c r="A1088" s="9"/>
      <c r="E1088" s="10"/>
      <c r="K1088" s="11" t="str">
        <f>IF($E1088="","",ROUND($E1088*IF(ISNA(MATCH($C1088,'Paramètres'!$D:$D,0)),1,IF(INDEX('Paramètres'!$J:$J,MATCH($C1088,'Paramètres'!$D:$D,0))="",1,INDEX('Paramètres'!$J:$J,MATCH($C1088,'Paramètres'!$D:$D,0)))),2))</f>
        <v/>
      </c>
      <c r="L1088" s="6" t="str">
        <f>IF($D1088="","",IF($F1088&lt;&gt;"",$F1088,IF(ISNA(MATCH($D1088,'Paramètres'!$M:$M,0)),"⚠ Type inconnu",IFERROR(INDEX('Paramètres'!$P:$P,MATCH($D1088,'Paramètres'!$M:$M,0))&amp;"",""))))</f>
        <v/>
      </c>
      <c r="M1088" s="6" t="str">
        <f>IF($D1088="","",IF(ISNA(MATCH($D1088,'Paramètres'!$M:$M,0)),"⚠ Type inconnu",IF($L1088="Crédit","",IFERROR(INDEX('Paramètres'!$O:$O,MATCH($D1088,'Paramètres'!$M:$M,0))&amp;"",""))))</f>
        <v/>
      </c>
      <c r="N1088" s="6" t="str">
        <f>IF($D1088="","",IFERROR(INDEX('Paramètres'!$Q:$Q,MATCH($D1088,'Paramètres'!$M:$M,0))&amp;"",""))</f>
        <v/>
      </c>
      <c r="O1088" s="6" t="str">
        <f>IF($A1088="","",IF(OR($J1088&lt;&gt;"x",$A1088&lt;=FinReleve),1,0))</f>
        <v/>
      </c>
      <c r="P1088" s="6" t="str">
        <f>IF($D1088="","",IF(AND($L1088="Crédit",OR(IFERROR(INDEX('Paramètres'!$O:$O,MATCH($D1088,'Paramètres'!$M:$M,0))&amp;"","")&lt;&gt;"",ISNUMBER(SEARCH("remboursement",IFERROR(INDEX('Paramètres'!$N:$N,MATCH($D1088,'Paramètres'!$M:$M,0))&amp;"",""))))),1,0))</f>
        <v/>
      </c>
      <c r="Q1088" s="6" t="str">
        <f>IF($K1088="","",IF(ISNUMBER(SEARCH("transfert-interne",IFERROR(INDEX('Paramètres'!$N:$N,MATCH($D1088,'Paramètres'!$M:$M,0))&amp;"",""))),0,IF($L1088="Débit",$K1088,IF($P1088=1,-$K1088,0))))</f>
        <v/>
      </c>
      <c r="R1088" s="6" t="str">
        <f>IF($K1088="","",IF($L1088="Crédit",$K1088,-$K1088))</f>
        <v/>
      </c>
      <c r="S1088" s="6" t="str">
        <f>IF($C1088="","",IFERROR(INDEX('Paramètres'!$H:$H,MATCH($C1088,'Paramètres'!$D:$D,0))&amp;"",""))</f>
        <v/>
      </c>
      <c r="T1088" s="6" t="str">
        <f>IF($K1088="","",IF($S1088="",0,IF(ISNUMBER(SEARCH("apport-exterieur",IFERROR(INDEX('Paramètres'!$N:$N,MATCH($D1088,'Paramètres'!$M:$M,0))&amp;"",""))),0,IF(OR(IFERROR(INDEX('Paramètres'!$I:$I,MATCH($C1088,'Paramètres'!$D:$D,0))&amp;"","")="Les deux",IFERROR(INDEX('Paramètres'!$I:$I,MATCH($C1088,'Paramètres'!$D:$D,0))&amp;"","")=IF($P1088=1,"Débit",$L1088)),-IF($P1088=1,-$K1088,$K1088),0))))</f>
        <v/>
      </c>
      <c r="U1088" s="6" t="str">
        <f>IF($K1088="","",IF(ISNUMBER(SEARCH("sortie-epargne",IFERROR(INDEX('Paramètres'!$N:$N,MATCH($D1088,'Paramètres'!$M:$M,0))&amp;"",""))),$K1088,0))</f>
        <v/>
      </c>
      <c r="V1088" s="6" t="str">
        <f>IF(AND($A1088&lt;&gt;"",$O1088=1,$L1088="Débit",N($Q1088)&gt;0,$A1088&gt;=Visualisation!$B$1,$A1088&lt;Visualisation!$D$1),MAX($V$1:V1087)+1,"")</f>
        <v/>
      </c>
    </row>
    <row r="1089" spans="1:22" x14ac:dyDescent="0.25">
      <c r="A1089" s="9"/>
      <c r="E1089" s="10"/>
      <c r="K1089" s="11" t="str">
        <f>IF($E1089="","",ROUND($E1089*IF(ISNA(MATCH($C1089,'Paramètres'!$D:$D,0)),1,IF(INDEX('Paramètres'!$J:$J,MATCH($C1089,'Paramètres'!$D:$D,0))="",1,INDEX('Paramètres'!$J:$J,MATCH($C1089,'Paramètres'!$D:$D,0)))),2))</f>
        <v/>
      </c>
      <c r="L1089" s="6" t="str">
        <f>IF($D1089="","",IF($F1089&lt;&gt;"",$F1089,IF(ISNA(MATCH($D1089,'Paramètres'!$M:$M,0)),"⚠ Type inconnu",IFERROR(INDEX('Paramètres'!$P:$P,MATCH($D1089,'Paramètres'!$M:$M,0))&amp;"",""))))</f>
        <v/>
      </c>
      <c r="M1089" s="6" t="str">
        <f>IF($D1089="","",IF(ISNA(MATCH($D1089,'Paramètres'!$M:$M,0)),"⚠ Type inconnu",IF($L1089="Crédit","",IFERROR(INDEX('Paramètres'!$O:$O,MATCH($D1089,'Paramètres'!$M:$M,0))&amp;"",""))))</f>
        <v/>
      </c>
      <c r="N1089" s="6" t="str">
        <f>IF($D1089="","",IFERROR(INDEX('Paramètres'!$Q:$Q,MATCH($D1089,'Paramètres'!$M:$M,0))&amp;"",""))</f>
        <v/>
      </c>
      <c r="O1089" s="6" t="str">
        <f>IF($A1089="","",IF(OR($J1089&lt;&gt;"x",$A1089&lt;=FinReleve),1,0))</f>
        <v/>
      </c>
      <c r="P1089" s="6" t="str">
        <f>IF($D1089="","",IF(AND($L1089="Crédit",OR(IFERROR(INDEX('Paramètres'!$O:$O,MATCH($D1089,'Paramètres'!$M:$M,0))&amp;"","")&lt;&gt;"",ISNUMBER(SEARCH("remboursement",IFERROR(INDEX('Paramètres'!$N:$N,MATCH($D1089,'Paramètres'!$M:$M,0))&amp;"",""))))),1,0))</f>
        <v/>
      </c>
      <c r="Q1089" s="6" t="str">
        <f>IF($K1089="","",IF(ISNUMBER(SEARCH("transfert-interne",IFERROR(INDEX('Paramètres'!$N:$N,MATCH($D1089,'Paramètres'!$M:$M,0))&amp;"",""))),0,IF($L1089="Débit",$K1089,IF($P1089=1,-$K1089,0))))</f>
        <v/>
      </c>
      <c r="R1089" s="6" t="str">
        <f>IF($K1089="","",IF($L1089="Crédit",$K1089,-$K1089))</f>
        <v/>
      </c>
      <c r="S1089" s="6" t="str">
        <f>IF($C1089="","",IFERROR(INDEX('Paramètres'!$H:$H,MATCH($C1089,'Paramètres'!$D:$D,0))&amp;"",""))</f>
        <v/>
      </c>
      <c r="T1089" s="6" t="str">
        <f>IF($K1089="","",IF($S1089="",0,IF(ISNUMBER(SEARCH("apport-exterieur",IFERROR(INDEX('Paramètres'!$N:$N,MATCH($D1089,'Paramètres'!$M:$M,0))&amp;"",""))),0,IF(OR(IFERROR(INDEX('Paramètres'!$I:$I,MATCH($C1089,'Paramètres'!$D:$D,0))&amp;"","")="Les deux",IFERROR(INDEX('Paramètres'!$I:$I,MATCH($C1089,'Paramètres'!$D:$D,0))&amp;"","")=IF($P1089=1,"Débit",$L1089)),-IF($P1089=1,-$K1089,$K1089),0))))</f>
        <v/>
      </c>
      <c r="U1089" s="6" t="str">
        <f>IF($K1089="","",IF(ISNUMBER(SEARCH("sortie-epargne",IFERROR(INDEX('Paramètres'!$N:$N,MATCH($D1089,'Paramètres'!$M:$M,0))&amp;"",""))),$K1089,0))</f>
        <v/>
      </c>
      <c r="V1089" s="6" t="str">
        <f>IF(AND($A1089&lt;&gt;"",$O1089=1,$L1089="Débit",N($Q1089)&gt;0,$A1089&gt;=Visualisation!$B$1,$A1089&lt;Visualisation!$D$1),MAX($V$1:V1088)+1,"")</f>
        <v/>
      </c>
    </row>
    <row r="1090" spans="1:22" x14ac:dyDescent="0.25">
      <c r="A1090" s="9"/>
      <c r="E1090" s="10"/>
      <c r="K1090" s="11" t="str">
        <f>IF($E1090="","",ROUND($E1090*IF(ISNA(MATCH($C1090,'Paramètres'!$D:$D,0)),1,IF(INDEX('Paramètres'!$J:$J,MATCH($C1090,'Paramètres'!$D:$D,0))="",1,INDEX('Paramètres'!$J:$J,MATCH($C1090,'Paramètres'!$D:$D,0)))),2))</f>
        <v/>
      </c>
      <c r="L1090" s="6" t="str">
        <f>IF($D1090="","",IF($F1090&lt;&gt;"",$F1090,IF(ISNA(MATCH($D1090,'Paramètres'!$M:$M,0)),"⚠ Type inconnu",IFERROR(INDEX('Paramètres'!$P:$P,MATCH($D1090,'Paramètres'!$M:$M,0))&amp;"",""))))</f>
        <v/>
      </c>
      <c r="M1090" s="6" t="str">
        <f>IF($D1090="","",IF(ISNA(MATCH($D1090,'Paramètres'!$M:$M,0)),"⚠ Type inconnu",IF($L1090="Crédit","",IFERROR(INDEX('Paramètres'!$O:$O,MATCH($D1090,'Paramètres'!$M:$M,0))&amp;"",""))))</f>
        <v/>
      </c>
      <c r="N1090" s="6" t="str">
        <f>IF($D1090="","",IFERROR(INDEX('Paramètres'!$Q:$Q,MATCH($D1090,'Paramètres'!$M:$M,0))&amp;"",""))</f>
        <v/>
      </c>
      <c r="O1090" s="6" t="str">
        <f>IF($A1090="","",IF(OR($J1090&lt;&gt;"x",$A1090&lt;=FinReleve),1,0))</f>
        <v/>
      </c>
      <c r="P1090" s="6" t="str">
        <f>IF($D1090="","",IF(AND($L1090="Crédit",OR(IFERROR(INDEX('Paramètres'!$O:$O,MATCH($D1090,'Paramètres'!$M:$M,0))&amp;"","")&lt;&gt;"",ISNUMBER(SEARCH("remboursement",IFERROR(INDEX('Paramètres'!$N:$N,MATCH($D1090,'Paramètres'!$M:$M,0))&amp;"",""))))),1,0))</f>
        <v/>
      </c>
      <c r="Q1090" s="6" t="str">
        <f>IF($K1090="","",IF(ISNUMBER(SEARCH("transfert-interne",IFERROR(INDEX('Paramètres'!$N:$N,MATCH($D1090,'Paramètres'!$M:$M,0))&amp;"",""))),0,IF($L1090="Débit",$K1090,IF($P1090=1,-$K1090,0))))</f>
        <v/>
      </c>
      <c r="R1090" s="6" t="str">
        <f>IF($K1090="","",IF($L1090="Crédit",$K1090,-$K1090))</f>
        <v/>
      </c>
      <c r="S1090" s="6" t="str">
        <f>IF($C1090="","",IFERROR(INDEX('Paramètres'!$H:$H,MATCH($C1090,'Paramètres'!$D:$D,0))&amp;"",""))</f>
        <v/>
      </c>
      <c r="T1090" s="6" t="str">
        <f>IF($K1090="","",IF($S1090="",0,IF(ISNUMBER(SEARCH("apport-exterieur",IFERROR(INDEX('Paramètres'!$N:$N,MATCH($D1090,'Paramètres'!$M:$M,0))&amp;"",""))),0,IF(OR(IFERROR(INDEX('Paramètres'!$I:$I,MATCH($C1090,'Paramètres'!$D:$D,0))&amp;"","")="Les deux",IFERROR(INDEX('Paramètres'!$I:$I,MATCH($C1090,'Paramètres'!$D:$D,0))&amp;"","")=IF($P1090=1,"Débit",$L1090)),-IF($P1090=1,-$K1090,$K1090),0))))</f>
        <v/>
      </c>
      <c r="U1090" s="6" t="str">
        <f>IF($K1090="","",IF(ISNUMBER(SEARCH("sortie-epargne",IFERROR(INDEX('Paramètres'!$N:$N,MATCH($D1090,'Paramètres'!$M:$M,0))&amp;"",""))),$K1090,0))</f>
        <v/>
      </c>
      <c r="V1090" s="6" t="str">
        <f>IF(AND($A1090&lt;&gt;"",$O1090=1,$L1090="Débit",N($Q1090)&gt;0,$A1090&gt;=Visualisation!$B$1,$A1090&lt;Visualisation!$D$1),MAX($V$1:V1089)+1,"")</f>
        <v/>
      </c>
    </row>
    <row r="1091" spans="1:22" x14ac:dyDescent="0.25">
      <c r="A1091" s="9"/>
      <c r="E1091" s="10"/>
      <c r="K1091" s="11" t="str">
        <f>IF($E1091="","",ROUND($E1091*IF(ISNA(MATCH($C1091,'Paramètres'!$D:$D,0)),1,IF(INDEX('Paramètres'!$J:$J,MATCH($C1091,'Paramètres'!$D:$D,0))="",1,INDEX('Paramètres'!$J:$J,MATCH($C1091,'Paramètres'!$D:$D,0)))),2))</f>
        <v/>
      </c>
      <c r="L1091" s="6" t="str">
        <f>IF($D1091="","",IF($F1091&lt;&gt;"",$F1091,IF(ISNA(MATCH($D1091,'Paramètres'!$M:$M,0)),"⚠ Type inconnu",IFERROR(INDEX('Paramètres'!$P:$P,MATCH($D1091,'Paramètres'!$M:$M,0))&amp;"",""))))</f>
        <v/>
      </c>
      <c r="M1091" s="6" t="str">
        <f>IF($D1091="","",IF(ISNA(MATCH($D1091,'Paramètres'!$M:$M,0)),"⚠ Type inconnu",IF($L1091="Crédit","",IFERROR(INDEX('Paramètres'!$O:$O,MATCH($D1091,'Paramètres'!$M:$M,0))&amp;"",""))))</f>
        <v/>
      </c>
      <c r="N1091" s="6" t="str">
        <f>IF($D1091="","",IFERROR(INDEX('Paramètres'!$Q:$Q,MATCH($D1091,'Paramètres'!$M:$M,0))&amp;"",""))</f>
        <v/>
      </c>
      <c r="O1091" s="6" t="str">
        <f>IF($A1091="","",IF(OR($J1091&lt;&gt;"x",$A1091&lt;=FinReleve),1,0))</f>
        <v/>
      </c>
      <c r="P1091" s="6" t="str">
        <f>IF($D1091="","",IF(AND($L1091="Crédit",OR(IFERROR(INDEX('Paramètres'!$O:$O,MATCH($D1091,'Paramètres'!$M:$M,0))&amp;"","")&lt;&gt;"",ISNUMBER(SEARCH("remboursement",IFERROR(INDEX('Paramètres'!$N:$N,MATCH($D1091,'Paramètres'!$M:$M,0))&amp;"",""))))),1,0))</f>
        <v/>
      </c>
      <c r="Q1091" s="6" t="str">
        <f>IF($K1091="","",IF(ISNUMBER(SEARCH("transfert-interne",IFERROR(INDEX('Paramètres'!$N:$N,MATCH($D1091,'Paramètres'!$M:$M,0))&amp;"",""))),0,IF($L1091="Débit",$K1091,IF($P1091=1,-$K1091,0))))</f>
        <v/>
      </c>
      <c r="R1091" s="6" t="str">
        <f>IF($K1091="","",IF($L1091="Crédit",$K1091,-$K1091))</f>
        <v/>
      </c>
      <c r="S1091" s="6" t="str">
        <f>IF($C1091="","",IFERROR(INDEX('Paramètres'!$H:$H,MATCH($C1091,'Paramètres'!$D:$D,0))&amp;"",""))</f>
        <v/>
      </c>
      <c r="T1091" s="6" t="str">
        <f>IF($K1091="","",IF($S1091="",0,IF(ISNUMBER(SEARCH("apport-exterieur",IFERROR(INDEX('Paramètres'!$N:$N,MATCH($D1091,'Paramètres'!$M:$M,0))&amp;"",""))),0,IF(OR(IFERROR(INDEX('Paramètres'!$I:$I,MATCH($C1091,'Paramètres'!$D:$D,0))&amp;"","")="Les deux",IFERROR(INDEX('Paramètres'!$I:$I,MATCH($C1091,'Paramètres'!$D:$D,0))&amp;"","")=IF($P1091=1,"Débit",$L1091)),-IF($P1091=1,-$K1091,$K1091),0))))</f>
        <v/>
      </c>
      <c r="U1091" s="6" t="str">
        <f>IF($K1091="","",IF(ISNUMBER(SEARCH("sortie-epargne",IFERROR(INDEX('Paramètres'!$N:$N,MATCH($D1091,'Paramètres'!$M:$M,0))&amp;"",""))),$K1091,0))</f>
        <v/>
      </c>
      <c r="V1091" s="6" t="str">
        <f>IF(AND($A1091&lt;&gt;"",$O1091=1,$L1091="Débit",N($Q1091)&gt;0,$A1091&gt;=Visualisation!$B$1,$A1091&lt;Visualisation!$D$1),MAX($V$1:V1090)+1,"")</f>
        <v/>
      </c>
    </row>
    <row r="1092" spans="1:22" x14ac:dyDescent="0.25">
      <c r="A1092" s="9"/>
      <c r="E1092" s="10"/>
      <c r="K1092" s="11" t="str">
        <f>IF($E1092="","",ROUND($E1092*IF(ISNA(MATCH($C1092,'Paramètres'!$D:$D,0)),1,IF(INDEX('Paramètres'!$J:$J,MATCH($C1092,'Paramètres'!$D:$D,0))="",1,INDEX('Paramètres'!$J:$J,MATCH($C1092,'Paramètres'!$D:$D,0)))),2))</f>
        <v/>
      </c>
      <c r="L1092" s="6" t="str">
        <f>IF($D1092="","",IF($F1092&lt;&gt;"",$F1092,IF(ISNA(MATCH($D1092,'Paramètres'!$M:$M,0)),"⚠ Type inconnu",IFERROR(INDEX('Paramètres'!$P:$P,MATCH($D1092,'Paramètres'!$M:$M,0))&amp;"",""))))</f>
        <v/>
      </c>
      <c r="M1092" s="6" t="str">
        <f>IF($D1092="","",IF(ISNA(MATCH($D1092,'Paramètres'!$M:$M,0)),"⚠ Type inconnu",IF($L1092="Crédit","",IFERROR(INDEX('Paramètres'!$O:$O,MATCH($D1092,'Paramètres'!$M:$M,0))&amp;"",""))))</f>
        <v/>
      </c>
      <c r="N1092" s="6" t="str">
        <f>IF($D1092="","",IFERROR(INDEX('Paramètres'!$Q:$Q,MATCH($D1092,'Paramètres'!$M:$M,0))&amp;"",""))</f>
        <v/>
      </c>
      <c r="O1092" s="6" t="str">
        <f>IF($A1092="","",IF(OR($J1092&lt;&gt;"x",$A1092&lt;=FinReleve),1,0))</f>
        <v/>
      </c>
      <c r="P1092" s="6" t="str">
        <f>IF($D1092="","",IF(AND($L1092="Crédit",OR(IFERROR(INDEX('Paramètres'!$O:$O,MATCH($D1092,'Paramètres'!$M:$M,0))&amp;"","")&lt;&gt;"",ISNUMBER(SEARCH("remboursement",IFERROR(INDEX('Paramètres'!$N:$N,MATCH($D1092,'Paramètres'!$M:$M,0))&amp;"",""))))),1,0))</f>
        <v/>
      </c>
      <c r="Q1092" s="6" t="str">
        <f>IF($K1092="","",IF(ISNUMBER(SEARCH("transfert-interne",IFERROR(INDEX('Paramètres'!$N:$N,MATCH($D1092,'Paramètres'!$M:$M,0))&amp;"",""))),0,IF($L1092="Débit",$K1092,IF($P1092=1,-$K1092,0))))</f>
        <v/>
      </c>
      <c r="R1092" s="6" t="str">
        <f>IF($K1092="","",IF($L1092="Crédit",$K1092,-$K1092))</f>
        <v/>
      </c>
      <c r="S1092" s="6" t="str">
        <f>IF($C1092="","",IFERROR(INDEX('Paramètres'!$H:$H,MATCH($C1092,'Paramètres'!$D:$D,0))&amp;"",""))</f>
        <v/>
      </c>
      <c r="T1092" s="6" t="str">
        <f>IF($K1092="","",IF($S1092="",0,IF(ISNUMBER(SEARCH("apport-exterieur",IFERROR(INDEX('Paramètres'!$N:$N,MATCH($D1092,'Paramètres'!$M:$M,0))&amp;"",""))),0,IF(OR(IFERROR(INDEX('Paramètres'!$I:$I,MATCH($C1092,'Paramètres'!$D:$D,0))&amp;"","")="Les deux",IFERROR(INDEX('Paramètres'!$I:$I,MATCH($C1092,'Paramètres'!$D:$D,0))&amp;"","")=IF($P1092=1,"Débit",$L1092)),-IF($P1092=1,-$K1092,$K1092),0))))</f>
        <v/>
      </c>
      <c r="U1092" s="6" t="str">
        <f>IF($K1092="","",IF(ISNUMBER(SEARCH("sortie-epargne",IFERROR(INDEX('Paramètres'!$N:$N,MATCH($D1092,'Paramètres'!$M:$M,0))&amp;"",""))),$K1092,0))</f>
        <v/>
      </c>
      <c r="V1092" s="6" t="str">
        <f>IF(AND($A1092&lt;&gt;"",$O1092=1,$L1092="Débit",N($Q1092)&gt;0,$A1092&gt;=Visualisation!$B$1,$A1092&lt;Visualisation!$D$1),MAX($V$1:V1091)+1,"")</f>
        <v/>
      </c>
    </row>
    <row r="1093" spans="1:22" x14ac:dyDescent="0.25">
      <c r="A1093" s="9"/>
      <c r="E1093" s="10"/>
      <c r="K1093" s="11" t="str">
        <f>IF($E1093="","",ROUND($E1093*IF(ISNA(MATCH($C1093,'Paramètres'!$D:$D,0)),1,IF(INDEX('Paramètres'!$J:$J,MATCH($C1093,'Paramètres'!$D:$D,0))="",1,INDEX('Paramètres'!$J:$J,MATCH($C1093,'Paramètres'!$D:$D,0)))),2))</f>
        <v/>
      </c>
      <c r="L1093" s="6" t="str">
        <f>IF($D1093="","",IF($F1093&lt;&gt;"",$F1093,IF(ISNA(MATCH($D1093,'Paramètres'!$M:$M,0)),"⚠ Type inconnu",IFERROR(INDEX('Paramètres'!$P:$P,MATCH($D1093,'Paramètres'!$M:$M,0))&amp;"",""))))</f>
        <v/>
      </c>
      <c r="M1093" s="6" t="str">
        <f>IF($D1093="","",IF(ISNA(MATCH($D1093,'Paramètres'!$M:$M,0)),"⚠ Type inconnu",IF($L1093="Crédit","",IFERROR(INDEX('Paramètres'!$O:$O,MATCH($D1093,'Paramètres'!$M:$M,0))&amp;"",""))))</f>
        <v/>
      </c>
      <c r="N1093" s="6" t="str">
        <f>IF($D1093="","",IFERROR(INDEX('Paramètres'!$Q:$Q,MATCH($D1093,'Paramètres'!$M:$M,0))&amp;"",""))</f>
        <v/>
      </c>
      <c r="O1093" s="6" t="str">
        <f>IF($A1093="","",IF(OR($J1093&lt;&gt;"x",$A1093&lt;=FinReleve),1,0))</f>
        <v/>
      </c>
      <c r="P1093" s="6" t="str">
        <f>IF($D1093="","",IF(AND($L1093="Crédit",OR(IFERROR(INDEX('Paramètres'!$O:$O,MATCH($D1093,'Paramètres'!$M:$M,0))&amp;"","")&lt;&gt;"",ISNUMBER(SEARCH("remboursement",IFERROR(INDEX('Paramètres'!$N:$N,MATCH($D1093,'Paramètres'!$M:$M,0))&amp;"",""))))),1,0))</f>
        <v/>
      </c>
      <c r="Q1093" s="6" t="str">
        <f>IF($K1093="","",IF(ISNUMBER(SEARCH("transfert-interne",IFERROR(INDEX('Paramètres'!$N:$N,MATCH($D1093,'Paramètres'!$M:$M,0))&amp;"",""))),0,IF($L1093="Débit",$K1093,IF($P1093=1,-$K1093,0))))</f>
        <v/>
      </c>
      <c r="R1093" s="6" t="str">
        <f>IF($K1093="","",IF($L1093="Crédit",$K1093,-$K1093))</f>
        <v/>
      </c>
      <c r="S1093" s="6" t="str">
        <f>IF($C1093="","",IFERROR(INDEX('Paramètres'!$H:$H,MATCH($C1093,'Paramètres'!$D:$D,0))&amp;"",""))</f>
        <v/>
      </c>
      <c r="T1093" s="6" t="str">
        <f>IF($K1093="","",IF($S1093="",0,IF(ISNUMBER(SEARCH("apport-exterieur",IFERROR(INDEX('Paramètres'!$N:$N,MATCH($D1093,'Paramètres'!$M:$M,0))&amp;"",""))),0,IF(OR(IFERROR(INDEX('Paramètres'!$I:$I,MATCH($C1093,'Paramètres'!$D:$D,0))&amp;"","")="Les deux",IFERROR(INDEX('Paramètres'!$I:$I,MATCH($C1093,'Paramètres'!$D:$D,0))&amp;"","")=IF($P1093=1,"Débit",$L1093)),-IF($P1093=1,-$K1093,$K1093),0))))</f>
        <v/>
      </c>
      <c r="U1093" s="6" t="str">
        <f>IF($K1093="","",IF(ISNUMBER(SEARCH("sortie-epargne",IFERROR(INDEX('Paramètres'!$N:$N,MATCH($D1093,'Paramètres'!$M:$M,0))&amp;"",""))),$K1093,0))</f>
        <v/>
      </c>
      <c r="V1093" s="6" t="str">
        <f>IF(AND($A1093&lt;&gt;"",$O1093=1,$L1093="Débit",N($Q1093)&gt;0,$A1093&gt;=Visualisation!$B$1,$A1093&lt;Visualisation!$D$1),MAX($V$1:V1092)+1,"")</f>
        <v/>
      </c>
    </row>
    <row r="1094" spans="1:22" x14ac:dyDescent="0.25">
      <c r="A1094" s="9"/>
      <c r="E1094" s="10"/>
      <c r="K1094" s="11" t="str">
        <f>IF($E1094="","",ROUND($E1094*IF(ISNA(MATCH($C1094,'Paramètres'!$D:$D,0)),1,IF(INDEX('Paramètres'!$J:$J,MATCH($C1094,'Paramètres'!$D:$D,0))="",1,INDEX('Paramètres'!$J:$J,MATCH($C1094,'Paramètres'!$D:$D,0)))),2))</f>
        <v/>
      </c>
      <c r="L1094" s="6" t="str">
        <f>IF($D1094="","",IF($F1094&lt;&gt;"",$F1094,IF(ISNA(MATCH($D1094,'Paramètres'!$M:$M,0)),"⚠ Type inconnu",IFERROR(INDEX('Paramètres'!$P:$P,MATCH($D1094,'Paramètres'!$M:$M,0))&amp;"",""))))</f>
        <v/>
      </c>
      <c r="M1094" s="6" t="str">
        <f>IF($D1094="","",IF(ISNA(MATCH($D1094,'Paramètres'!$M:$M,0)),"⚠ Type inconnu",IF($L1094="Crédit","",IFERROR(INDEX('Paramètres'!$O:$O,MATCH($D1094,'Paramètres'!$M:$M,0))&amp;"",""))))</f>
        <v/>
      </c>
      <c r="N1094" s="6" t="str">
        <f>IF($D1094="","",IFERROR(INDEX('Paramètres'!$Q:$Q,MATCH($D1094,'Paramètres'!$M:$M,0))&amp;"",""))</f>
        <v/>
      </c>
      <c r="O1094" s="6" t="str">
        <f>IF($A1094="","",IF(OR($J1094&lt;&gt;"x",$A1094&lt;=FinReleve),1,0))</f>
        <v/>
      </c>
      <c r="P1094" s="6" t="str">
        <f>IF($D1094="","",IF(AND($L1094="Crédit",OR(IFERROR(INDEX('Paramètres'!$O:$O,MATCH($D1094,'Paramètres'!$M:$M,0))&amp;"","")&lt;&gt;"",ISNUMBER(SEARCH("remboursement",IFERROR(INDEX('Paramètres'!$N:$N,MATCH($D1094,'Paramètres'!$M:$M,0))&amp;"",""))))),1,0))</f>
        <v/>
      </c>
      <c r="Q1094" s="6" t="str">
        <f>IF($K1094="","",IF(ISNUMBER(SEARCH("transfert-interne",IFERROR(INDEX('Paramètres'!$N:$N,MATCH($D1094,'Paramètres'!$M:$M,0))&amp;"",""))),0,IF($L1094="Débit",$K1094,IF($P1094=1,-$K1094,0))))</f>
        <v/>
      </c>
      <c r="R1094" s="6" t="str">
        <f>IF($K1094="","",IF($L1094="Crédit",$K1094,-$K1094))</f>
        <v/>
      </c>
      <c r="S1094" s="6" t="str">
        <f>IF($C1094="","",IFERROR(INDEX('Paramètres'!$H:$H,MATCH($C1094,'Paramètres'!$D:$D,0))&amp;"",""))</f>
        <v/>
      </c>
      <c r="T1094" s="6" t="str">
        <f>IF($K1094="","",IF($S1094="",0,IF(ISNUMBER(SEARCH("apport-exterieur",IFERROR(INDEX('Paramètres'!$N:$N,MATCH($D1094,'Paramètres'!$M:$M,0))&amp;"",""))),0,IF(OR(IFERROR(INDEX('Paramètres'!$I:$I,MATCH($C1094,'Paramètres'!$D:$D,0))&amp;"","")="Les deux",IFERROR(INDEX('Paramètres'!$I:$I,MATCH($C1094,'Paramètres'!$D:$D,0))&amp;"","")=IF($P1094=1,"Débit",$L1094)),-IF($P1094=1,-$K1094,$K1094),0))))</f>
        <v/>
      </c>
      <c r="U1094" s="6" t="str">
        <f>IF($K1094="","",IF(ISNUMBER(SEARCH("sortie-epargne",IFERROR(INDEX('Paramètres'!$N:$N,MATCH($D1094,'Paramètres'!$M:$M,0))&amp;"",""))),$K1094,0))</f>
        <v/>
      </c>
      <c r="V1094" s="6" t="str">
        <f>IF(AND($A1094&lt;&gt;"",$O1094=1,$L1094="Débit",N($Q1094)&gt;0,$A1094&gt;=Visualisation!$B$1,$A1094&lt;Visualisation!$D$1),MAX($V$1:V1093)+1,"")</f>
        <v/>
      </c>
    </row>
    <row r="1095" spans="1:22" x14ac:dyDescent="0.25">
      <c r="A1095" s="9"/>
      <c r="E1095" s="10"/>
      <c r="K1095" s="11" t="str">
        <f>IF($E1095="","",ROUND($E1095*IF(ISNA(MATCH($C1095,'Paramètres'!$D:$D,0)),1,IF(INDEX('Paramètres'!$J:$J,MATCH($C1095,'Paramètres'!$D:$D,0))="",1,INDEX('Paramètres'!$J:$J,MATCH($C1095,'Paramètres'!$D:$D,0)))),2))</f>
        <v/>
      </c>
      <c r="L1095" s="6" t="str">
        <f>IF($D1095="","",IF($F1095&lt;&gt;"",$F1095,IF(ISNA(MATCH($D1095,'Paramètres'!$M:$M,0)),"⚠ Type inconnu",IFERROR(INDEX('Paramètres'!$P:$P,MATCH($D1095,'Paramètres'!$M:$M,0))&amp;"",""))))</f>
        <v/>
      </c>
      <c r="M1095" s="6" t="str">
        <f>IF($D1095="","",IF(ISNA(MATCH($D1095,'Paramètres'!$M:$M,0)),"⚠ Type inconnu",IF($L1095="Crédit","",IFERROR(INDEX('Paramètres'!$O:$O,MATCH($D1095,'Paramètres'!$M:$M,0))&amp;"",""))))</f>
        <v/>
      </c>
      <c r="N1095" s="6" t="str">
        <f>IF($D1095="","",IFERROR(INDEX('Paramètres'!$Q:$Q,MATCH($D1095,'Paramètres'!$M:$M,0))&amp;"",""))</f>
        <v/>
      </c>
      <c r="O1095" s="6" t="str">
        <f>IF($A1095="","",IF(OR($J1095&lt;&gt;"x",$A1095&lt;=FinReleve),1,0))</f>
        <v/>
      </c>
      <c r="P1095" s="6" t="str">
        <f>IF($D1095="","",IF(AND($L1095="Crédit",OR(IFERROR(INDEX('Paramètres'!$O:$O,MATCH($D1095,'Paramètres'!$M:$M,0))&amp;"","")&lt;&gt;"",ISNUMBER(SEARCH("remboursement",IFERROR(INDEX('Paramètres'!$N:$N,MATCH($D1095,'Paramètres'!$M:$M,0))&amp;"",""))))),1,0))</f>
        <v/>
      </c>
      <c r="Q1095" s="6" t="str">
        <f>IF($K1095="","",IF(ISNUMBER(SEARCH("transfert-interne",IFERROR(INDEX('Paramètres'!$N:$N,MATCH($D1095,'Paramètres'!$M:$M,0))&amp;"",""))),0,IF($L1095="Débit",$K1095,IF($P1095=1,-$K1095,0))))</f>
        <v/>
      </c>
      <c r="R1095" s="6" t="str">
        <f>IF($K1095="","",IF($L1095="Crédit",$K1095,-$K1095))</f>
        <v/>
      </c>
      <c r="S1095" s="6" t="str">
        <f>IF($C1095="","",IFERROR(INDEX('Paramètres'!$H:$H,MATCH($C1095,'Paramètres'!$D:$D,0))&amp;"",""))</f>
        <v/>
      </c>
      <c r="T1095" s="6" t="str">
        <f>IF($K1095="","",IF($S1095="",0,IF(ISNUMBER(SEARCH("apport-exterieur",IFERROR(INDEX('Paramètres'!$N:$N,MATCH($D1095,'Paramètres'!$M:$M,0))&amp;"",""))),0,IF(OR(IFERROR(INDEX('Paramètres'!$I:$I,MATCH($C1095,'Paramètres'!$D:$D,0))&amp;"","")="Les deux",IFERROR(INDEX('Paramètres'!$I:$I,MATCH($C1095,'Paramètres'!$D:$D,0))&amp;"","")=IF($P1095=1,"Débit",$L1095)),-IF($P1095=1,-$K1095,$K1095),0))))</f>
        <v/>
      </c>
      <c r="U1095" s="6" t="str">
        <f>IF($K1095="","",IF(ISNUMBER(SEARCH("sortie-epargne",IFERROR(INDEX('Paramètres'!$N:$N,MATCH($D1095,'Paramètres'!$M:$M,0))&amp;"",""))),$K1095,0))</f>
        <v/>
      </c>
      <c r="V1095" s="6" t="str">
        <f>IF(AND($A1095&lt;&gt;"",$O1095=1,$L1095="Débit",N($Q1095)&gt;0,$A1095&gt;=Visualisation!$B$1,$A1095&lt;Visualisation!$D$1),MAX($V$1:V1094)+1,"")</f>
        <v/>
      </c>
    </row>
    <row r="1096" spans="1:22" x14ac:dyDescent="0.25">
      <c r="A1096" s="9"/>
      <c r="E1096" s="10"/>
      <c r="K1096" s="11" t="str">
        <f>IF($E1096="","",ROUND($E1096*IF(ISNA(MATCH($C1096,'Paramètres'!$D:$D,0)),1,IF(INDEX('Paramètres'!$J:$J,MATCH($C1096,'Paramètres'!$D:$D,0))="",1,INDEX('Paramètres'!$J:$J,MATCH($C1096,'Paramètres'!$D:$D,0)))),2))</f>
        <v/>
      </c>
      <c r="L1096" s="6" t="str">
        <f>IF($D1096="","",IF($F1096&lt;&gt;"",$F1096,IF(ISNA(MATCH($D1096,'Paramètres'!$M:$M,0)),"⚠ Type inconnu",IFERROR(INDEX('Paramètres'!$P:$P,MATCH($D1096,'Paramètres'!$M:$M,0))&amp;"",""))))</f>
        <v/>
      </c>
      <c r="M1096" s="6" t="str">
        <f>IF($D1096="","",IF(ISNA(MATCH($D1096,'Paramètres'!$M:$M,0)),"⚠ Type inconnu",IF($L1096="Crédit","",IFERROR(INDEX('Paramètres'!$O:$O,MATCH($D1096,'Paramètres'!$M:$M,0))&amp;"",""))))</f>
        <v/>
      </c>
      <c r="N1096" s="6" t="str">
        <f>IF($D1096="","",IFERROR(INDEX('Paramètres'!$Q:$Q,MATCH($D1096,'Paramètres'!$M:$M,0))&amp;"",""))</f>
        <v/>
      </c>
      <c r="O1096" s="6" t="str">
        <f>IF($A1096="","",IF(OR($J1096&lt;&gt;"x",$A1096&lt;=FinReleve),1,0))</f>
        <v/>
      </c>
      <c r="P1096" s="6" t="str">
        <f>IF($D1096="","",IF(AND($L1096="Crédit",OR(IFERROR(INDEX('Paramètres'!$O:$O,MATCH($D1096,'Paramètres'!$M:$M,0))&amp;"","")&lt;&gt;"",ISNUMBER(SEARCH("remboursement",IFERROR(INDEX('Paramètres'!$N:$N,MATCH($D1096,'Paramètres'!$M:$M,0))&amp;"",""))))),1,0))</f>
        <v/>
      </c>
      <c r="Q1096" s="6" t="str">
        <f>IF($K1096="","",IF(ISNUMBER(SEARCH("transfert-interne",IFERROR(INDEX('Paramètres'!$N:$N,MATCH($D1096,'Paramètres'!$M:$M,0))&amp;"",""))),0,IF($L1096="Débit",$K1096,IF($P1096=1,-$K1096,0))))</f>
        <v/>
      </c>
      <c r="R1096" s="6" t="str">
        <f>IF($K1096="","",IF($L1096="Crédit",$K1096,-$K1096))</f>
        <v/>
      </c>
      <c r="S1096" s="6" t="str">
        <f>IF($C1096="","",IFERROR(INDEX('Paramètres'!$H:$H,MATCH($C1096,'Paramètres'!$D:$D,0))&amp;"",""))</f>
        <v/>
      </c>
      <c r="T1096" s="6" t="str">
        <f>IF($K1096="","",IF($S1096="",0,IF(ISNUMBER(SEARCH("apport-exterieur",IFERROR(INDEX('Paramètres'!$N:$N,MATCH($D1096,'Paramètres'!$M:$M,0))&amp;"",""))),0,IF(OR(IFERROR(INDEX('Paramètres'!$I:$I,MATCH($C1096,'Paramètres'!$D:$D,0))&amp;"","")="Les deux",IFERROR(INDEX('Paramètres'!$I:$I,MATCH($C1096,'Paramètres'!$D:$D,0))&amp;"","")=IF($P1096=1,"Débit",$L1096)),-IF($P1096=1,-$K1096,$K1096),0))))</f>
        <v/>
      </c>
      <c r="U1096" s="6" t="str">
        <f>IF($K1096="","",IF(ISNUMBER(SEARCH("sortie-epargne",IFERROR(INDEX('Paramètres'!$N:$N,MATCH($D1096,'Paramètres'!$M:$M,0))&amp;"",""))),$K1096,0))</f>
        <v/>
      </c>
      <c r="V1096" s="6" t="str">
        <f>IF(AND($A1096&lt;&gt;"",$O1096=1,$L1096="Débit",N($Q1096)&gt;0,$A1096&gt;=Visualisation!$B$1,$A1096&lt;Visualisation!$D$1),MAX($V$1:V1095)+1,"")</f>
        <v/>
      </c>
    </row>
    <row r="1097" spans="1:22" x14ac:dyDescent="0.25">
      <c r="A1097" s="9"/>
      <c r="E1097" s="10"/>
      <c r="K1097" s="11" t="str">
        <f>IF($E1097="","",ROUND($E1097*IF(ISNA(MATCH($C1097,'Paramètres'!$D:$D,0)),1,IF(INDEX('Paramètres'!$J:$J,MATCH($C1097,'Paramètres'!$D:$D,0))="",1,INDEX('Paramètres'!$J:$J,MATCH($C1097,'Paramètres'!$D:$D,0)))),2))</f>
        <v/>
      </c>
      <c r="L1097" s="6" t="str">
        <f>IF($D1097="","",IF($F1097&lt;&gt;"",$F1097,IF(ISNA(MATCH($D1097,'Paramètres'!$M:$M,0)),"⚠ Type inconnu",IFERROR(INDEX('Paramètres'!$P:$P,MATCH($D1097,'Paramètres'!$M:$M,0))&amp;"",""))))</f>
        <v/>
      </c>
      <c r="M1097" s="6" t="str">
        <f>IF($D1097="","",IF(ISNA(MATCH($D1097,'Paramètres'!$M:$M,0)),"⚠ Type inconnu",IF($L1097="Crédit","",IFERROR(INDEX('Paramètres'!$O:$O,MATCH($D1097,'Paramètres'!$M:$M,0))&amp;"",""))))</f>
        <v/>
      </c>
      <c r="N1097" s="6" t="str">
        <f>IF($D1097="","",IFERROR(INDEX('Paramètres'!$Q:$Q,MATCH($D1097,'Paramètres'!$M:$M,0))&amp;"",""))</f>
        <v/>
      </c>
      <c r="O1097" s="6" t="str">
        <f>IF($A1097="","",IF(OR($J1097&lt;&gt;"x",$A1097&lt;=FinReleve),1,0))</f>
        <v/>
      </c>
      <c r="P1097" s="6" t="str">
        <f>IF($D1097="","",IF(AND($L1097="Crédit",OR(IFERROR(INDEX('Paramètres'!$O:$O,MATCH($D1097,'Paramètres'!$M:$M,0))&amp;"","")&lt;&gt;"",ISNUMBER(SEARCH("remboursement",IFERROR(INDEX('Paramètres'!$N:$N,MATCH($D1097,'Paramètres'!$M:$M,0))&amp;"",""))))),1,0))</f>
        <v/>
      </c>
      <c r="Q1097" s="6" t="str">
        <f>IF($K1097="","",IF(ISNUMBER(SEARCH("transfert-interne",IFERROR(INDEX('Paramètres'!$N:$N,MATCH($D1097,'Paramètres'!$M:$M,0))&amp;"",""))),0,IF($L1097="Débit",$K1097,IF($P1097=1,-$K1097,0))))</f>
        <v/>
      </c>
      <c r="R1097" s="6" t="str">
        <f>IF($K1097="","",IF($L1097="Crédit",$K1097,-$K1097))</f>
        <v/>
      </c>
      <c r="S1097" s="6" t="str">
        <f>IF($C1097="","",IFERROR(INDEX('Paramètres'!$H:$H,MATCH($C1097,'Paramètres'!$D:$D,0))&amp;"",""))</f>
        <v/>
      </c>
      <c r="T1097" s="6" t="str">
        <f>IF($K1097="","",IF($S1097="",0,IF(ISNUMBER(SEARCH("apport-exterieur",IFERROR(INDEX('Paramètres'!$N:$N,MATCH($D1097,'Paramètres'!$M:$M,0))&amp;"",""))),0,IF(OR(IFERROR(INDEX('Paramètres'!$I:$I,MATCH($C1097,'Paramètres'!$D:$D,0))&amp;"","")="Les deux",IFERROR(INDEX('Paramètres'!$I:$I,MATCH($C1097,'Paramètres'!$D:$D,0))&amp;"","")=IF($P1097=1,"Débit",$L1097)),-IF($P1097=1,-$K1097,$K1097),0))))</f>
        <v/>
      </c>
      <c r="U1097" s="6" t="str">
        <f>IF($K1097="","",IF(ISNUMBER(SEARCH("sortie-epargne",IFERROR(INDEX('Paramètres'!$N:$N,MATCH($D1097,'Paramètres'!$M:$M,0))&amp;"",""))),$K1097,0))</f>
        <v/>
      </c>
      <c r="V1097" s="6" t="str">
        <f>IF(AND($A1097&lt;&gt;"",$O1097=1,$L1097="Débit",N($Q1097)&gt;0,$A1097&gt;=Visualisation!$B$1,$A1097&lt;Visualisation!$D$1),MAX($V$1:V1096)+1,"")</f>
        <v/>
      </c>
    </row>
    <row r="1098" spans="1:22" x14ac:dyDescent="0.25">
      <c r="A1098" s="9"/>
      <c r="E1098" s="10"/>
      <c r="K1098" s="11" t="str">
        <f>IF($E1098="","",ROUND($E1098*IF(ISNA(MATCH($C1098,'Paramètres'!$D:$D,0)),1,IF(INDEX('Paramètres'!$J:$J,MATCH($C1098,'Paramètres'!$D:$D,0))="",1,INDEX('Paramètres'!$J:$J,MATCH($C1098,'Paramètres'!$D:$D,0)))),2))</f>
        <v/>
      </c>
      <c r="L1098" s="6" t="str">
        <f>IF($D1098="","",IF($F1098&lt;&gt;"",$F1098,IF(ISNA(MATCH($D1098,'Paramètres'!$M:$M,0)),"⚠ Type inconnu",IFERROR(INDEX('Paramètres'!$P:$P,MATCH($D1098,'Paramètres'!$M:$M,0))&amp;"",""))))</f>
        <v/>
      </c>
      <c r="M1098" s="6" t="str">
        <f>IF($D1098="","",IF(ISNA(MATCH($D1098,'Paramètres'!$M:$M,0)),"⚠ Type inconnu",IF($L1098="Crédit","",IFERROR(INDEX('Paramètres'!$O:$O,MATCH($D1098,'Paramètres'!$M:$M,0))&amp;"",""))))</f>
        <v/>
      </c>
      <c r="N1098" s="6" t="str">
        <f>IF($D1098="","",IFERROR(INDEX('Paramètres'!$Q:$Q,MATCH($D1098,'Paramètres'!$M:$M,0))&amp;"",""))</f>
        <v/>
      </c>
      <c r="O1098" s="6" t="str">
        <f>IF($A1098="","",IF(OR($J1098&lt;&gt;"x",$A1098&lt;=FinReleve),1,0))</f>
        <v/>
      </c>
      <c r="P1098" s="6" t="str">
        <f>IF($D1098="","",IF(AND($L1098="Crédit",OR(IFERROR(INDEX('Paramètres'!$O:$O,MATCH($D1098,'Paramètres'!$M:$M,0))&amp;"","")&lt;&gt;"",ISNUMBER(SEARCH("remboursement",IFERROR(INDEX('Paramètres'!$N:$N,MATCH($D1098,'Paramètres'!$M:$M,0))&amp;"",""))))),1,0))</f>
        <v/>
      </c>
      <c r="Q1098" s="6" t="str">
        <f>IF($K1098="","",IF(ISNUMBER(SEARCH("transfert-interne",IFERROR(INDEX('Paramètres'!$N:$N,MATCH($D1098,'Paramètres'!$M:$M,0))&amp;"",""))),0,IF($L1098="Débit",$K1098,IF($P1098=1,-$K1098,0))))</f>
        <v/>
      </c>
      <c r="R1098" s="6" t="str">
        <f>IF($K1098="","",IF($L1098="Crédit",$K1098,-$K1098))</f>
        <v/>
      </c>
      <c r="S1098" s="6" t="str">
        <f>IF($C1098="","",IFERROR(INDEX('Paramètres'!$H:$H,MATCH($C1098,'Paramètres'!$D:$D,0))&amp;"",""))</f>
        <v/>
      </c>
      <c r="T1098" s="6" t="str">
        <f>IF($K1098="","",IF($S1098="",0,IF(ISNUMBER(SEARCH("apport-exterieur",IFERROR(INDEX('Paramètres'!$N:$N,MATCH($D1098,'Paramètres'!$M:$M,0))&amp;"",""))),0,IF(OR(IFERROR(INDEX('Paramètres'!$I:$I,MATCH($C1098,'Paramètres'!$D:$D,0))&amp;"","")="Les deux",IFERROR(INDEX('Paramètres'!$I:$I,MATCH($C1098,'Paramètres'!$D:$D,0))&amp;"","")=IF($P1098=1,"Débit",$L1098)),-IF($P1098=1,-$K1098,$K1098),0))))</f>
        <v/>
      </c>
      <c r="U1098" s="6" t="str">
        <f>IF($K1098="","",IF(ISNUMBER(SEARCH("sortie-epargne",IFERROR(INDEX('Paramètres'!$N:$N,MATCH($D1098,'Paramètres'!$M:$M,0))&amp;"",""))),$K1098,0))</f>
        <v/>
      </c>
      <c r="V1098" s="6" t="str">
        <f>IF(AND($A1098&lt;&gt;"",$O1098=1,$L1098="Débit",N($Q1098)&gt;0,$A1098&gt;=Visualisation!$B$1,$A1098&lt;Visualisation!$D$1),MAX($V$1:V1097)+1,"")</f>
        <v/>
      </c>
    </row>
    <row r="1099" spans="1:22" x14ac:dyDescent="0.25">
      <c r="A1099" s="9"/>
      <c r="E1099" s="10"/>
      <c r="K1099" s="11" t="str">
        <f>IF($E1099="","",ROUND($E1099*IF(ISNA(MATCH($C1099,'Paramètres'!$D:$D,0)),1,IF(INDEX('Paramètres'!$J:$J,MATCH($C1099,'Paramètres'!$D:$D,0))="",1,INDEX('Paramètres'!$J:$J,MATCH($C1099,'Paramètres'!$D:$D,0)))),2))</f>
        <v/>
      </c>
      <c r="L1099" s="6" t="str">
        <f>IF($D1099="","",IF($F1099&lt;&gt;"",$F1099,IF(ISNA(MATCH($D1099,'Paramètres'!$M:$M,0)),"⚠ Type inconnu",IFERROR(INDEX('Paramètres'!$P:$P,MATCH($D1099,'Paramètres'!$M:$M,0))&amp;"",""))))</f>
        <v/>
      </c>
      <c r="M1099" s="6" t="str">
        <f>IF($D1099="","",IF(ISNA(MATCH($D1099,'Paramètres'!$M:$M,0)),"⚠ Type inconnu",IF($L1099="Crédit","",IFERROR(INDEX('Paramètres'!$O:$O,MATCH($D1099,'Paramètres'!$M:$M,0))&amp;"",""))))</f>
        <v/>
      </c>
      <c r="N1099" s="6" t="str">
        <f>IF($D1099="","",IFERROR(INDEX('Paramètres'!$Q:$Q,MATCH($D1099,'Paramètres'!$M:$M,0))&amp;"",""))</f>
        <v/>
      </c>
      <c r="O1099" s="6" t="str">
        <f>IF($A1099="","",IF(OR($J1099&lt;&gt;"x",$A1099&lt;=FinReleve),1,0))</f>
        <v/>
      </c>
      <c r="P1099" s="6" t="str">
        <f>IF($D1099="","",IF(AND($L1099="Crédit",OR(IFERROR(INDEX('Paramètres'!$O:$O,MATCH($D1099,'Paramètres'!$M:$M,0))&amp;"","")&lt;&gt;"",ISNUMBER(SEARCH("remboursement",IFERROR(INDEX('Paramètres'!$N:$N,MATCH($D1099,'Paramètres'!$M:$M,0))&amp;"",""))))),1,0))</f>
        <v/>
      </c>
      <c r="Q1099" s="6" t="str">
        <f>IF($K1099="","",IF(ISNUMBER(SEARCH("transfert-interne",IFERROR(INDEX('Paramètres'!$N:$N,MATCH($D1099,'Paramètres'!$M:$M,0))&amp;"",""))),0,IF($L1099="Débit",$K1099,IF($P1099=1,-$K1099,0))))</f>
        <v/>
      </c>
      <c r="R1099" s="6" t="str">
        <f>IF($K1099="","",IF($L1099="Crédit",$K1099,-$K1099))</f>
        <v/>
      </c>
      <c r="S1099" s="6" t="str">
        <f>IF($C1099="","",IFERROR(INDEX('Paramètres'!$H:$H,MATCH($C1099,'Paramètres'!$D:$D,0))&amp;"",""))</f>
        <v/>
      </c>
      <c r="T1099" s="6" t="str">
        <f>IF($K1099="","",IF($S1099="",0,IF(ISNUMBER(SEARCH("apport-exterieur",IFERROR(INDEX('Paramètres'!$N:$N,MATCH($D1099,'Paramètres'!$M:$M,0))&amp;"",""))),0,IF(OR(IFERROR(INDEX('Paramètres'!$I:$I,MATCH($C1099,'Paramètres'!$D:$D,0))&amp;"","")="Les deux",IFERROR(INDEX('Paramètres'!$I:$I,MATCH($C1099,'Paramètres'!$D:$D,0))&amp;"","")=IF($P1099=1,"Débit",$L1099)),-IF($P1099=1,-$K1099,$K1099),0))))</f>
        <v/>
      </c>
      <c r="U1099" s="6" t="str">
        <f>IF($K1099="","",IF(ISNUMBER(SEARCH("sortie-epargne",IFERROR(INDEX('Paramètres'!$N:$N,MATCH($D1099,'Paramètres'!$M:$M,0))&amp;"",""))),$K1099,0))</f>
        <v/>
      </c>
      <c r="V1099" s="6" t="str">
        <f>IF(AND($A1099&lt;&gt;"",$O1099=1,$L1099="Débit",N($Q1099)&gt;0,$A1099&gt;=Visualisation!$B$1,$A1099&lt;Visualisation!$D$1),MAX($V$1:V1098)+1,"")</f>
        <v/>
      </c>
    </row>
    <row r="1100" spans="1:22" x14ac:dyDescent="0.25">
      <c r="A1100" s="9"/>
      <c r="E1100" s="10"/>
      <c r="K1100" s="11" t="str">
        <f>IF($E1100="","",ROUND($E1100*IF(ISNA(MATCH($C1100,'Paramètres'!$D:$D,0)),1,IF(INDEX('Paramètres'!$J:$J,MATCH($C1100,'Paramètres'!$D:$D,0))="",1,INDEX('Paramètres'!$J:$J,MATCH($C1100,'Paramètres'!$D:$D,0)))),2))</f>
        <v/>
      </c>
      <c r="L1100" s="6" t="str">
        <f>IF($D1100="","",IF($F1100&lt;&gt;"",$F1100,IF(ISNA(MATCH($D1100,'Paramètres'!$M:$M,0)),"⚠ Type inconnu",IFERROR(INDEX('Paramètres'!$P:$P,MATCH($D1100,'Paramètres'!$M:$M,0))&amp;"",""))))</f>
        <v/>
      </c>
      <c r="M1100" s="6" t="str">
        <f>IF($D1100="","",IF(ISNA(MATCH($D1100,'Paramètres'!$M:$M,0)),"⚠ Type inconnu",IF($L1100="Crédit","",IFERROR(INDEX('Paramètres'!$O:$O,MATCH($D1100,'Paramètres'!$M:$M,0))&amp;"",""))))</f>
        <v/>
      </c>
      <c r="N1100" s="6" t="str">
        <f>IF($D1100="","",IFERROR(INDEX('Paramètres'!$Q:$Q,MATCH($D1100,'Paramètres'!$M:$M,0))&amp;"",""))</f>
        <v/>
      </c>
      <c r="O1100" s="6" t="str">
        <f>IF($A1100="","",IF(OR($J1100&lt;&gt;"x",$A1100&lt;=FinReleve),1,0))</f>
        <v/>
      </c>
      <c r="P1100" s="6" t="str">
        <f>IF($D1100="","",IF(AND($L1100="Crédit",OR(IFERROR(INDEX('Paramètres'!$O:$O,MATCH($D1100,'Paramètres'!$M:$M,0))&amp;"","")&lt;&gt;"",ISNUMBER(SEARCH("remboursement",IFERROR(INDEX('Paramètres'!$N:$N,MATCH($D1100,'Paramètres'!$M:$M,0))&amp;"",""))))),1,0))</f>
        <v/>
      </c>
      <c r="Q1100" s="6" t="str">
        <f>IF($K1100="","",IF(ISNUMBER(SEARCH("transfert-interne",IFERROR(INDEX('Paramètres'!$N:$N,MATCH($D1100,'Paramètres'!$M:$M,0))&amp;"",""))),0,IF($L1100="Débit",$K1100,IF($P1100=1,-$K1100,0))))</f>
        <v/>
      </c>
      <c r="R1100" s="6" t="str">
        <f>IF($K1100="","",IF($L1100="Crédit",$K1100,-$K1100))</f>
        <v/>
      </c>
      <c r="S1100" s="6" t="str">
        <f>IF($C1100="","",IFERROR(INDEX('Paramètres'!$H:$H,MATCH($C1100,'Paramètres'!$D:$D,0))&amp;"",""))</f>
        <v/>
      </c>
      <c r="T1100" s="6" t="str">
        <f>IF($K1100="","",IF($S1100="",0,IF(ISNUMBER(SEARCH("apport-exterieur",IFERROR(INDEX('Paramètres'!$N:$N,MATCH($D1100,'Paramètres'!$M:$M,0))&amp;"",""))),0,IF(OR(IFERROR(INDEX('Paramètres'!$I:$I,MATCH($C1100,'Paramètres'!$D:$D,0))&amp;"","")="Les deux",IFERROR(INDEX('Paramètres'!$I:$I,MATCH($C1100,'Paramètres'!$D:$D,0))&amp;"","")=IF($P1100=1,"Débit",$L1100)),-IF($P1100=1,-$K1100,$K1100),0))))</f>
        <v/>
      </c>
      <c r="U1100" s="6" t="str">
        <f>IF($K1100="","",IF(ISNUMBER(SEARCH("sortie-epargne",IFERROR(INDEX('Paramètres'!$N:$N,MATCH($D1100,'Paramètres'!$M:$M,0))&amp;"",""))),$K1100,0))</f>
        <v/>
      </c>
      <c r="V1100" s="6" t="str">
        <f>IF(AND($A1100&lt;&gt;"",$O1100=1,$L1100="Débit",N($Q1100)&gt;0,$A1100&gt;=Visualisation!$B$1,$A1100&lt;Visualisation!$D$1),MAX($V$1:V1099)+1,"")</f>
        <v/>
      </c>
    </row>
    <row r="1101" spans="1:22" x14ac:dyDescent="0.25">
      <c r="A1101" s="9"/>
      <c r="E1101" s="10"/>
      <c r="K1101" s="11" t="str">
        <f>IF($E1101="","",ROUND($E1101*IF(ISNA(MATCH($C1101,'Paramètres'!$D:$D,0)),1,IF(INDEX('Paramètres'!$J:$J,MATCH($C1101,'Paramètres'!$D:$D,0))="",1,INDEX('Paramètres'!$J:$J,MATCH($C1101,'Paramètres'!$D:$D,0)))),2))</f>
        <v/>
      </c>
      <c r="L1101" s="6" t="str">
        <f>IF($D1101="","",IF($F1101&lt;&gt;"",$F1101,IF(ISNA(MATCH($D1101,'Paramètres'!$M:$M,0)),"⚠ Type inconnu",IFERROR(INDEX('Paramètres'!$P:$P,MATCH($D1101,'Paramètres'!$M:$M,0))&amp;"",""))))</f>
        <v/>
      </c>
      <c r="M1101" s="6" t="str">
        <f>IF($D1101="","",IF(ISNA(MATCH($D1101,'Paramètres'!$M:$M,0)),"⚠ Type inconnu",IF($L1101="Crédit","",IFERROR(INDEX('Paramètres'!$O:$O,MATCH($D1101,'Paramètres'!$M:$M,0))&amp;"",""))))</f>
        <v/>
      </c>
      <c r="N1101" s="6" t="str">
        <f>IF($D1101="","",IFERROR(INDEX('Paramètres'!$Q:$Q,MATCH($D1101,'Paramètres'!$M:$M,0))&amp;"",""))</f>
        <v/>
      </c>
      <c r="O1101" s="6" t="str">
        <f>IF($A1101="","",IF(OR($J1101&lt;&gt;"x",$A1101&lt;=FinReleve),1,0))</f>
        <v/>
      </c>
      <c r="P1101" s="6" t="str">
        <f>IF($D1101="","",IF(AND($L1101="Crédit",OR(IFERROR(INDEX('Paramètres'!$O:$O,MATCH($D1101,'Paramètres'!$M:$M,0))&amp;"","")&lt;&gt;"",ISNUMBER(SEARCH("remboursement",IFERROR(INDEX('Paramètres'!$N:$N,MATCH($D1101,'Paramètres'!$M:$M,0))&amp;"",""))))),1,0))</f>
        <v/>
      </c>
      <c r="Q1101" s="6" t="str">
        <f>IF($K1101="","",IF(ISNUMBER(SEARCH("transfert-interne",IFERROR(INDEX('Paramètres'!$N:$N,MATCH($D1101,'Paramètres'!$M:$M,0))&amp;"",""))),0,IF($L1101="Débit",$K1101,IF($P1101=1,-$K1101,0))))</f>
        <v/>
      </c>
      <c r="R1101" s="6" t="str">
        <f>IF($K1101="","",IF($L1101="Crédit",$K1101,-$K1101))</f>
        <v/>
      </c>
      <c r="S1101" s="6" t="str">
        <f>IF($C1101="","",IFERROR(INDEX('Paramètres'!$H:$H,MATCH($C1101,'Paramètres'!$D:$D,0))&amp;"",""))</f>
        <v/>
      </c>
      <c r="T1101" s="6" t="str">
        <f>IF($K1101="","",IF($S1101="",0,IF(ISNUMBER(SEARCH("apport-exterieur",IFERROR(INDEX('Paramètres'!$N:$N,MATCH($D1101,'Paramètres'!$M:$M,0))&amp;"",""))),0,IF(OR(IFERROR(INDEX('Paramètres'!$I:$I,MATCH($C1101,'Paramètres'!$D:$D,0))&amp;"","")="Les deux",IFERROR(INDEX('Paramètres'!$I:$I,MATCH($C1101,'Paramètres'!$D:$D,0))&amp;"","")=IF($P1101=1,"Débit",$L1101)),-IF($P1101=1,-$K1101,$K1101),0))))</f>
        <v/>
      </c>
      <c r="U1101" s="6" t="str">
        <f>IF($K1101="","",IF(ISNUMBER(SEARCH("sortie-epargne",IFERROR(INDEX('Paramètres'!$N:$N,MATCH($D1101,'Paramètres'!$M:$M,0))&amp;"",""))),$K1101,0))</f>
        <v/>
      </c>
      <c r="V1101" s="6" t="str">
        <f>IF(AND($A1101&lt;&gt;"",$O1101=1,$L1101="Débit",N($Q1101)&gt;0,$A1101&gt;=Visualisation!$B$1,$A1101&lt;Visualisation!$D$1),MAX($V$1:V1100)+1,"")</f>
        <v/>
      </c>
    </row>
    <row r="1102" spans="1:22" x14ac:dyDescent="0.25">
      <c r="A1102" s="9"/>
      <c r="E1102" s="10"/>
      <c r="K1102" s="11" t="str">
        <f>IF($E1102="","",ROUND($E1102*IF(ISNA(MATCH($C1102,'Paramètres'!$D:$D,0)),1,IF(INDEX('Paramètres'!$J:$J,MATCH($C1102,'Paramètres'!$D:$D,0))="",1,INDEX('Paramètres'!$J:$J,MATCH($C1102,'Paramètres'!$D:$D,0)))),2))</f>
        <v/>
      </c>
      <c r="L1102" s="6" t="str">
        <f>IF($D1102="","",IF($F1102&lt;&gt;"",$F1102,IF(ISNA(MATCH($D1102,'Paramètres'!$M:$M,0)),"⚠ Type inconnu",IFERROR(INDEX('Paramètres'!$P:$P,MATCH($D1102,'Paramètres'!$M:$M,0))&amp;"",""))))</f>
        <v/>
      </c>
      <c r="M1102" s="6" t="str">
        <f>IF($D1102="","",IF(ISNA(MATCH($D1102,'Paramètres'!$M:$M,0)),"⚠ Type inconnu",IF($L1102="Crédit","",IFERROR(INDEX('Paramètres'!$O:$O,MATCH($D1102,'Paramètres'!$M:$M,0))&amp;"",""))))</f>
        <v/>
      </c>
      <c r="N1102" s="6" t="str">
        <f>IF($D1102="","",IFERROR(INDEX('Paramètres'!$Q:$Q,MATCH($D1102,'Paramètres'!$M:$M,0))&amp;"",""))</f>
        <v/>
      </c>
      <c r="O1102" s="6" t="str">
        <f>IF($A1102="","",IF(OR($J1102&lt;&gt;"x",$A1102&lt;=FinReleve),1,0))</f>
        <v/>
      </c>
      <c r="P1102" s="6" t="str">
        <f>IF($D1102="","",IF(AND($L1102="Crédit",OR(IFERROR(INDEX('Paramètres'!$O:$O,MATCH($D1102,'Paramètres'!$M:$M,0))&amp;"","")&lt;&gt;"",ISNUMBER(SEARCH("remboursement",IFERROR(INDEX('Paramètres'!$N:$N,MATCH($D1102,'Paramètres'!$M:$M,0))&amp;"",""))))),1,0))</f>
        <v/>
      </c>
      <c r="Q1102" s="6" t="str">
        <f>IF($K1102="","",IF(ISNUMBER(SEARCH("transfert-interne",IFERROR(INDEX('Paramètres'!$N:$N,MATCH($D1102,'Paramètres'!$M:$M,0))&amp;"",""))),0,IF($L1102="Débit",$K1102,IF($P1102=1,-$K1102,0))))</f>
        <v/>
      </c>
      <c r="R1102" s="6" t="str">
        <f>IF($K1102="","",IF($L1102="Crédit",$K1102,-$K1102))</f>
        <v/>
      </c>
      <c r="S1102" s="6" t="str">
        <f>IF($C1102="","",IFERROR(INDEX('Paramètres'!$H:$H,MATCH($C1102,'Paramètres'!$D:$D,0))&amp;"",""))</f>
        <v/>
      </c>
      <c r="T1102" s="6" t="str">
        <f>IF($K1102="","",IF($S1102="",0,IF(ISNUMBER(SEARCH("apport-exterieur",IFERROR(INDEX('Paramètres'!$N:$N,MATCH($D1102,'Paramètres'!$M:$M,0))&amp;"",""))),0,IF(OR(IFERROR(INDEX('Paramètres'!$I:$I,MATCH($C1102,'Paramètres'!$D:$D,0))&amp;"","")="Les deux",IFERROR(INDEX('Paramètres'!$I:$I,MATCH($C1102,'Paramètres'!$D:$D,0))&amp;"","")=IF($P1102=1,"Débit",$L1102)),-IF($P1102=1,-$K1102,$K1102),0))))</f>
        <v/>
      </c>
      <c r="U1102" s="6" t="str">
        <f>IF($K1102="","",IF(ISNUMBER(SEARCH("sortie-epargne",IFERROR(INDEX('Paramètres'!$N:$N,MATCH($D1102,'Paramètres'!$M:$M,0))&amp;"",""))),$K1102,0))</f>
        <v/>
      </c>
      <c r="V1102" s="6" t="str">
        <f>IF(AND($A1102&lt;&gt;"",$O1102=1,$L1102="Débit",N($Q1102)&gt;0,$A1102&gt;=Visualisation!$B$1,$A1102&lt;Visualisation!$D$1),MAX($V$1:V1101)+1,"")</f>
        <v/>
      </c>
    </row>
    <row r="1103" spans="1:22" x14ac:dyDescent="0.25">
      <c r="A1103" s="9"/>
      <c r="E1103" s="10"/>
      <c r="K1103" s="11" t="str">
        <f>IF($E1103="","",ROUND($E1103*IF(ISNA(MATCH($C1103,'Paramètres'!$D:$D,0)),1,IF(INDEX('Paramètres'!$J:$J,MATCH($C1103,'Paramètres'!$D:$D,0))="",1,INDEX('Paramètres'!$J:$J,MATCH($C1103,'Paramètres'!$D:$D,0)))),2))</f>
        <v/>
      </c>
      <c r="L1103" s="6" t="str">
        <f>IF($D1103="","",IF($F1103&lt;&gt;"",$F1103,IF(ISNA(MATCH($D1103,'Paramètres'!$M:$M,0)),"⚠ Type inconnu",IFERROR(INDEX('Paramètres'!$P:$P,MATCH($D1103,'Paramètres'!$M:$M,0))&amp;"",""))))</f>
        <v/>
      </c>
      <c r="M1103" s="6" t="str">
        <f>IF($D1103="","",IF(ISNA(MATCH($D1103,'Paramètres'!$M:$M,0)),"⚠ Type inconnu",IF($L1103="Crédit","",IFERROR(INDEX('Paramètres'!$O:$O,MATCH($D1103,'Paramètres'!$M:$M,0))&amp;"",""))))</f>
        <v/>
      </c>
      <c r="N1103" s="6" t="str">
        <f>IF($D1103="","",IFERROR(INDEX('Paramètres'!$Q:$Q,MATCH($D1103,'Paramètres'!$M:$M,0))&amp;"",""))</f>
        <v/>
      </c>
      <c r="O1103" s="6" t="str">
        <f>IF($A1103="","",IF(OR($J1103&lt;&gt;"x",$A1103&lt;=FinReleve),1,0))</f>
        <v/>
      </c>
      <c r="P1103" s="6" t="str">
        <f>IF($D1103="","",IF(AND($L1103="Crédit",OR(IFERROR(INDEX('Paramètres'!$O:$O,MATCH($D1103,'Paramètres'!$M:$M,0))&amp;"","")&lt;&gt;"",ISNUMBER(SEARCH("remboursement",IFERROR(INDEX('Paramètres'!$N:$N,MATCH($D1103,'Paramètres'!$M:$M,0))&amp;"",""))))),1,0))</f>
        <v/>
      </c>
      <c r="Q1103" s="6" t="str">
        <f>IF($K1103="","",IF(ISNUMBER(SEARCH("transfert-interne",IFERROR(INDEX('Paramètres'!$N:$N,MATCH($D1103,'Paramètres'!$M:$M,0))&amp;"",""))),0,IF($L1103="Débit",$K1103,IF($P1103=1,-$K1103,0))))</f>
        <v/>
      </c>
      <c r="R1103" s="6" t="str">
        <f>IF($K1103="","",IF($L1103="Crédit",$K1103,-$K1103))</f>
        <v/>
      </c>
      <c r="S1103" s="6" t="str">
        <f>IF($C1103="","",IFERROR(INDEX('Paramètres'!$H:$H,MATCH($C1103,'Paramètres'!$D:$D,0))&amp;"",""))</f>
        <v/>
      </c>
      <c r="T1103" s="6" t="str">
        <f>IF($K1103="","",IF($S1103="",0,IF(ISNUMBER(SEARCH("apport-exterieur",IFERROR(INDEX('Paramètres'!$N:$N,MATCH($D1103,'Paramètres'!$M:$M,0))&amp;"",""))),0,IF(OR(IFERROR(INDEX('Paramètres'!$I:$I,MATCH($C1103,'Paramètres'!$D:$D,0))&amp;"","")="Les deux",IFERROR(INDEX('Paramètres'!$I:$I,MATCH($C1103,'Paramètres'!$D:$D,0))&amp;"","")=IF($P1103=1,"Débit",$L1103)),-IF($P1103=1,-$K1103,$K1103),0))))</f>
        <v/>
      </c>
      <c r="U1103" s="6" t="str">
        <f>IF($K1103="","",IF(ISNUMBER(SEARCH("sortie-epargne",IFERROR(INDEX('Paramètres'!$N:$N,MATCH($D1103,'Paramètres'!$M:$M,0))&amp;"",""))),$K1103,0))</f>
        <v/>
      </c>
      <c r="V1103" s="6" t="str">
        <f>IF(AND($A1103&lt;&gt;"",$O1103=1,$L1103="Débit",N($Q1103)&gt;0,$A1103&gt;=Visualisation!$B$1,$A1103&lt;Visualisation!$D$1),MAX($V$1:V1102)+1,"")</f>
        <v/>
      </c>
    </row>
    <row r="1104" spans="1:22" x14ac:dyDescent="0.25">
      <c r="A1104" s="9"/>
      <c r="E1104" s="10"/>
      <c r="K1104" s="11" t="str">
        <f>IF($E1104="","",ROUND($E1104*IF(ISNA(MATCH($C1104,'Paramètres'!$D:$D,0)),1,IF(INDEX('Paramètres'!$J:$J,MATCH($C1104,'Paramètres'!$D:$D,0))="",1,INDEX('Paramètres'!$J:$J,MATCH($C1104,'Paramètres'!$D:$D,0)))),2))</f>
        <v/>
      </c>
      <c r="L1104" s="6" t="str">
        <f>IF($D1104="","",IF($F1104&lt;&gt;"",$F1104,IF(ISNA(MATCH($D1104,'Paramètres'!$M:$M,0)),"⚠ Type inconnu",IFERROR(INDEX('Paramètres'!$P:$P,MATCH($D1104,'Paramètres'!$M:$M,0))&amp;"",""))))</f>
        <v/>
      </c>
      <c r="M1104" s="6" t="str">
        <f>IF($D1104="","",IF(ISNA(MATCH($D1104,'Paramètres'!$M:$M,0)),"⚠ Type inconnu",IF($L1104="Crédit","",IFERROR(INDEX('Paramètres'!$O:$O,MATCH($D1104,'Paramètres'!$M:$M,0))&amp;"",""))))</f>
        <v/>
      </c>
      <c r="N1104" s="6" t="str">
        <f>IF($D1104="","",IFERROR(INDEX('Paramètres'!$Q:$Q,MATCH($D1104,'Paramètres'!$M:$M,0))&amp;"",""))</f>
        <v/>
      </c>
      <c r="O1104" s="6" t="str">
        <f>IF($A1104="","",IF(OR($J1104&lt;&gt;"x",$A1104&lt;=FinReleve),1,0))</f>
        <v/>
      </c>
      <c r="P1104" s="6" t="str">
        <f>IF($D1104="","",IF(AND($L1104="Crédit",OR(IFERROR(INDEX('Paramètres'!$O:$O,MATCH($D1104,'Paramètres'!$M:$M,0))&amp;"","")&lt;&gt;"",ISNUMBER(SEARCH("remboursement",IFERROR(INDEX('Paramètres'!$N:$N,MATCH($D1104,'Paramètres'!$M:$M,0))&amp;"",""))))),1,0))</f>
        <v/>
      </c>
      <c r="Q1104" s="6" t="str">
        <f>IF($K1104="","",IF(ISNUMBER(SEARCH("transfert-interne",IFERROR(INDEX('Paramètres'!$N:$N,MATCH($D1104,'Paramètres'!$M:$M,0))&amp;"",""))),0,IF($L1104="Débit",$K1104,IF($P1104=1,-$K1104,0))))</f>
        <v/>
      </c>
      <c r="R1104" s="6" t="str">
        <f>IF($K1104="","",IF($L1104="Crédit",$K1104,-$K1104))</f>
        <v/>
      </c>
      <c r="S1104" s="6" t="str">
        <f>IF($C1104="","",IFERROR(INDEX('Paramètres'!$H:$H,MATCH($C1104,'Paramètres'!$D:$D,0))&amp;"",""))</f>
        <v/>
      </c>
      <c r="T1104" s="6" t="str">
        <f>IF($K1104="","",IF($S1104="",0,IF(ISNUMBER(SEARCH("apport-exterieur",IFERROR(INDEX('Paramètres'!$N:$N,MATCH($D1104,'Paramètres'!$M:$M,0))&amp;"",""))),0,IF(OR(IFERROR(INDEX('Paramètres'!$I:$I,MATCH($C1104,'Paramètres'!$D:$D,0))&amp;"","")="Les deux",IFERROR(INDEX('Paramètres'!$I:$I,MATCH($C1104,'Paramètres'!$D:$D,0))&amp;"","")=IF($P1104=1,"Débit",$L1104)),-IF($P1104=1,-$K1104,$K1104),0))))</f>
        <v/>
      </c>
      <c r="U1104" s="6" t="str">
        <f>IF($K1104="","",IF(ISNUMBER(SEARCH("sortie-epargne",IFERROR(INDEX('Paramètres'!$N:$N,MATCH($D1104,'Paramètres'!$M:$M,0))&amp;"",""))),$K1104,0))</f>
        <v/>
      </c>
      <c r="V1104" s="6" t="str">
        <f>IF(AND($A1104&lt;&gt;"",$O1104=1,$L1104="Débit",N($Q1104)&gt;0,$A1104&gt;=Visualisation!$B$1,$A1104&lt;Visualisation!$D$1),MAX($V$1:V1103)+1,"")</f>
        <v/>
      </c>
    </row>
    <row r="1105" spans="1:22" x14ac:dyDescent="0.25">
      <c r="A1105" s="9"/>
      <c r="E1105" s="10"/>
      <c r="K1105" s="11" t="str">
        <f>IF($E1105="","",ROUND($E1105*IF(ISNA(MATCH($C1105,'Paramètres'!$D:$D,0)),1,IF(INDEX('Paramètres'!$J:$J,MATCH($C1105,'Paramètres'!$D:$D,0))="",1,INDEX('Paramètres'!$J:$J,MATCH($C1105,'Paramètres'!$D:$D,0)))),2))</f>
        <v/>
      </c>
      <c r="L1105" s="6" t="str">
        <f>IF($D1105="","",IF($F1105&lt;&gt;"",$F1105,IF(ISNA(MATCH($D1105,'Paramètres'!$M:$M,0)),"⚠ Type inconnu",IFERROR(INDEX('Paramètres'!$P:$P,MATCH($D1105,'Paramètres'!$M:$M,0))&amp;"",""))))</f>
        <v/>
      </c>
      <c r="M1105" s="6" t="str">
        <f>IF($D1105="","",IF(ISNA(MATCH($D1105,'Paramètres'!$M:$M,0)),"⚠ Type inconnu",IF($L1105="Crédit","",IFERROR(INDEX('Paramètres'!$O:$O,MATCH($D1105,'Paramètres'!$M:$M,0))&amp;"",""))))</f>
        <v/>
      </c>
      <c r="N1105" s="6" t="str">
        <f>IF($D1105="","",IFERROR(INDEX('Paramètres'!$Q:$Q,MATCH($D1105,'Paramètres'!$M:$M,0))&amp;"",""))</f>
        <v/>
      </c>
      <c r="O1105" s="6" t="str">
        <f>IF($A1105="","",IF(OR($J1105&lt;&gt;"x",$A1105&lt;=FinReleve),1,0))</f>
        <v/>
      </c>
      <c r="P1105" s="6" t="str">
        <f>IF($D1105="","",IF(AND($L1105="Crédit",OR(IFERROR(INDEX('Paramètres'!$O:$O,MATCH($D1105,'Paramètres'!$M:$M,0))&amp;"","")&lt;&gt;"",ISNUMBER(SEARCH("remboursement",IFERROR(INDEX('Paramètres'!$N:$N,MATCH($D1105,'Paramètres'!$M:$M,0))&amp;"",""))))),1,0))</f>
        <v/>
      </c>
      <c r="Q1105" s="6" t="str">
        <f>IF($K1105="","",IF(ISNUMBER(SEARCH("transfert-interne",IFERROR(INDEX('Paramètres'!$N:$N,MATCH($D1105,'Paramètres'!$M:$M,0))&amp;"",""))),0,IF($L1105="Débit",$K1105,IF($P1105=1,-$K1105,0))))</f>
        <v/>
      </c>
      <c r="R1105" s="6" t="str">
        <f>IF($K1105="","",IF($L1105="Crédit",$K1105,-$K1105))</f>
        <v/>
      </c>
      <c r="S1105" s="6" t="str">
        <f>IF($C1105="","",IFERROR(INDEX('Paramètres'!$H:$H,MATCH($C1105,'Paramètres'!$D:$D,0))&amp;"",""))</f>
        <v/>
      </c>
      <c r="T1105" s="6" t="str">
        <f>IF($K1105="","",IF($S1105="",0,IF(ISNUMBER(SEARCH("apport-exterieur",IFERROR(INDEX('Paramètres'!$N:$N,MATCH($D1105,'Paramètres'!$M:$M,0))&amp;"",""))),0,IF(OR(IFERROR(INDEX('Paramètres'!$I:$I,MATCH($C1105,'Paramètres'!$D:$D,0))&amp;"","")="Les deux",IFERROR(INDEX('Paramètres'!$I:$I,MATCH($C1105,'Paramètres'!$D:$D,0))&amp;"","")=IF($P1105=1,"Débit",$L1105)),-IF($P1105=1,-$K1105,$K1105),0))))</f>
        <v/>
      </c>
      <c r="U1105" s="6" t="str">
        <f>IF($K1105="","",IF(ISNUMBER(SEARCH("sortie-epargne",IFERROR(INDEX('Paramètres'!$N:$N,MATCH($D1105,'Paramètres'!$M:$M,0))&amp;"",""))),$K1105,0))</f>
        <v/>
      </c>
      <c r="V1105" s="6" t="str">
        <f>IF(AND($A1105&lt;&gt;"",$O1105=1,$L1105="Débit",N($Q1105)&gt;0,$A1105&gt;=Visualisation!$B$1,$A1105&lt;Visualisation!$D$1),MAX($V$1:V1104)+1,"")</f>
        <v/>
      </c>
    </row>
    <row r="1106" spans="1:22" x14ac:dyDescent="0.25">
      <c r="A1106" s="9"/>
      <c r="E1106" s="10"/>
      <c r="K1106" s="11" t="str">
        <f>IF($E1106="","",ROUND($E1106*IF(ISNA(MATCH($C1106,'Paramètres'!$D:$D,0)),1,IF(INDEX('Paramètres'!$J:$J,MATCH($C1106,'Paramètres'!$D:$D,0))="",1,INDEX('Paramètres'!$J:$J,MATCH($C1106,'Paramètres'!$D:$D,0)))),2))</f>
        <v/>
      </c>
      <c r="L1106" s="6" t="str">
        <f>IF($D1106="","",IF($F1106&lt;&gt;"",$F1106,IF(ISNA(MATCH($D1106,'Paramètres'!$M:$M,0)),"⚠ Type inconnu",IFERROR(INDEX('Paramètres'!$P:$P,MATCH($D1106,'Paramètres'!$M:$M,0))&amp;"",""))))</f>
        <v/>
      </c>
      <c r="M1106" s="6" t="str">
        <f>IF($D1106="","",IF(ISNA(MATCH($D1106,'Paramètres'!$M:$M,0)),"⚠ Type inconnu",IF($L1106="Crédit","",IFERROR(INDEX('Paramètres'!$O:$O,MATCH($D1106,'Paramètres'!$M:$M,0))&amp;"",""))))</f>
        <v/>
      </c>
      <c r="N1106" s="6" t="str">
        <f>IF($D1106="","",IFERROR(INDEX('Paramètres'!$Q:$Q,MATCH($D1106,'Paramètres'!$M:$M,0))&amp;"",""))</f>
        <v/>
      </c>
      <c r="O1106" s="6" t="str">
        <f>IF($A1106="","",IF(OR($J1106&lt;&gt;"x",$A1106&lt;=FinReleve),1,0))</f>
        <v/>
      </c>
      <c r="P1106" s="6" t="str">
        <f>IF($D1106="","",IF(AND($L1106="Crédit",OR(IFERROR(INDEX('Paramètres'!$O:$O,MATCH($D1106,'Paramètres'!$M:$M,0))&amp;"","")&lt;&gt;"",ISNUMBER(SEARCH("remboursement",IFERROR(INDEX('Paramètres'!$N:$N,MATCH($D1106,'Paramètres'!$M:$M,0))&amp;"",""))))),1,0))</f>
        <v/>
      </c>
      <c r="Q1106" s="6" t="str">
        <f>IF($K1106="","",IF(ISNUMBER(SEARCH("transfert-interne",IFERROR(INDEX('Paramètres'!$N:$N,MATCH($D1106,'Paramètres'!$M:$M,0))&amp;"",""))),0,IF($L1106="Débit",$K1106,IF($P1106=1,-$K1106,0))))</f>
        <v/>
      </c>
      <c r="R1106" s="6" t="str">
        <f>IF($K1106="","",IF($L1106="Crédit",$K1106,-$K1106))</f>
        <v/>
      </c>
      <c r="S1106" s="6" t="str">
        <f>IF($C1106="","",IFERROR(INDEX('Paramètres'!$H:$H,MATCH($C1106,'Paramètres'!$D:$D,0))&amp;"",""))</f>
        <v/>
      </c>
      <c r="T1106" s="6" t="str">
        <f>IF($K1106="","",IF($S1106="",0,IF(ISNUMBER(SEARCH("apport-exterieur",IFERROR(INDEX('Paramètres'!$N:$N,MATCH($D1106,'Paramètres'!$M:$M,0))&amp;"",""))),0,IF(OR(IFERROR(INDEX('Paramètres'!$I:$I,MATCH($C1106,'Paramètres'!$D:$D,0))&amp;"","")="Les deux",IFERROR(INDEX('Paramètres'!$I:$I,MATCH($C1106,'Paramètres'!$D:$D,0))&amp;"","")=IF($P1106=1,"Débit",$L1106)),-IF($P1106=1,-$K1106,$K1106),0))))</f>
        <v/>
      </c>
      <c r="U1106" s="6" t="str">
        <f>IF($K1106="","",IF(ISNUMBER(SEARCH("sortie-epargne",IFERROR(INDEX('Paramètres'!$N:$N,MATCH($D1106,'Paramètres'!$M:$M,0))&amp;"",""))),$K1106,0))</f>
        <v/>
      </c>
      <c r="V1106" s="6" t="str">
        <f>IF(AND($A1106&lt;&gt;"",$O1106=1,$L1106="Débit",N($Q1106)&gt;0,$A1106&gt;=Visualisation!$B$1,$A1106&lt;Visualisation!$D$1),MAX($V$1:V1105)+1,"")</f>
        <v/>
      </c>
    </row>
    <row r="1107" spans="1:22" x14ac:dyDescent="0.25">
      <c r="A1107" s="9"/>
      <c r="E1107" s="10"/>
      <c r="K1107" s="11" t="str">
        <f>IF($E1107="","",ROUND($E1107*IF(ISNA(MATCH($C1107,'Paramètres'!$D:$D,0)),1,IF(INDEX('Paramètres'!$J:$J,MATCH($C1107,'Paramètres'!$D:$D,0))="",1,INDEX('Paramètres'!$J:$J,MATCH($C1107,'Paramètres'!$D:$D,0)))),2))</f>
        <v/>
      </c>
      <c r="L1107" s="6" t="str">
        <f>IF($D1107="","",IF($F1107&lt;&gt;"",$F1107,IF(ISNA(MATCH($D1107,'Paramètres'!$M:$M,0)),"⚠ Type inconnu",IFERROR(INDEX('Paramètres'!$P:$P,MATCH($D1107,'Paramètres'!$M:$M,0))&amp;"",""))))</f>
        <v/>
      </c>
      <c r="M1107" s="6" t="str">
        <f>IF($D1107="","",IF(ISNA(MATCH($D1107,'Paramètres'!$M:$M,0)),"⚠ Type inconnu",IF($L1107="Crédit","",IFERROR(INDEX('Paramètres'!$O:$O,MATCH($D1107,'Paramètres'!$M:$M,0))&amp;"",""))))</f>
        <v/>
      </c>
      <c r="N1107" s="6" t="str">
        <f>IF($D1107="","",IFERROR(INDEX('Paramètres'!$Q:$Q,MATCH($D1107,'Paramètres'!$M:$M,0))&amp;"",""))</f>
        <v/>
      </c>
      <c r="O1107" s="6" t="str">
        <f>IF($A1107="","",IF(OR($J1107&lt;&gt;"x",$A1107&lt;=FinReleve),1,0))</f>
        <v/>
      </c>
      <c r="P1107" s="6" t="str">
        <f>IF($D1107="","",IF(AND($L1107="Crédit",OR(IFERROR(INDEX('Paramètres'!$O:$O,MATCH($D1107,'Paramètres'!$M:$M,0))&amp;"","")&lt;&gt;"",ISNUMBER(SEARCH("remboursement",IFERROR(INDEX('Paramètres'!$N:$N,MATCH($D1107,'Paramètres'!$M:$M,0))&amp;"",""))))),1,0))</f>
        <v/>
      </c>
      <c r="Q1107" s="6" t="str">
        <f>IF($K1107="","",IF(ISNUMBER(SEARCH("transfert-interne",IFERROR(INDEX('Paramètres'!$N:$N,MATCH($D1107,'Paramètres'!$M:$M,0))&amp;"",""))),0,IF($L1107="Débit",$K1107,IF($P1107=1,-$K1107,0))))</f>
        <v/>
      </c>
      <c r="R1107" s="6" t="str">
        <f>IF($K1107="","",IF($L1107="Crédit",$K1107,-$K1107))</f>
        <v/>
      </c>
      <c r="S1107" s="6" t="str">
        <f>IF($C1107="","",IFERROR(INDEX('Paramètres'!$H:$H,MATCH($C1107,'Paramètres'!$D:$D,0))&amp;"",""))</f>
        <v/>
      </c>
      <c r="T1107" s="6" t="str">
        <f>IF($K1107="","",IF($S1107="",0,IF(ISNUMBER(SEARCH("apport-exterieur",IFERROR(INDEX('Paramètres'!$N:$N,MATCH($D1107,'Paramètres'!$M:$M,0))&amp;"",""))),0,IF(OR(IFERROR(INDEX('Paramètres'!$I:$I,MATCH($C1107,'Paramètres'!$D:$D,0))&amp;"","")="Les deux",IFERROR(INDEX('Paramètres'!$I:$I,MATCH($C1107,'Paramètres'!$D:$D,0))&amp;"","")=IF($P1107=1,"Débit",$L1107)),-IF($P1107=1,-$K1107,$K1107),0))))</f>
        <v/>
      </c>
      <c r="U1107" s="6" t="str">
        <f>IF($K1107="","",IF(ISNUMBER(SEARCH("sortie-epargne",IFERROR(INDEX('Paramètres'!$N:$N,MATCH($D1107,'Paramètres'!$M:$M,0))&amp;"",""))),$K1107,0))</f>
        <v/>
      </c>
      <c r="V1107" s="6" t="str">
        <f>IF(AND($A1107&lt;&gt;"",$O1107=1,$L1107="Débit",N($Q1107)&gt;0,$A1107&gt;=Visualisation!$B$1,$A1107&lt;Visualisation!$D$1),MAX($V$1:V1106)+1,"")</f>
        <v/>
      </c>
    </row>
    <row r="1108" spans="1:22" x14ac:dyDescent="0.25">
      <c r="A1108" s="9"/>
      <c r="E1108" s="10"/>
      <c r="K1108" s="11" t="str">
        <f>IF($E1108="","",ROUND($E1108*IF(ISNA(MATCH($C1108,'Paramètres'!$D:$D,0)),1,IF(INDEX('Paramètres'!$J:$J,MATCH($C1108,'Paramètres'!$D:$D,0))="",1,INDEX('Paramètres'!$J:$J,MATCH($C1108,'Paramètres'!$D:$D,0)))),2))</f>
        <v/>
      </c>
      <c r="L1108" s="6" t="str">
        <f>IF($D1108="","",IF($F1108&lt;&gt;"",$F1108,IF(ISNA(MATCH($D1108,'Paramètres'!$M:$M,0)),"⚠ Type inconnu",IFERROR(INDEX('Paramètres'!$P:$P,MATCH($D1108,'Paramètres'!$M:$M,0))&amp;"",""))))</f>
        <v/>
      </c>
      <c r="M1108" s="6" t="str">
        <f>IF($D1108="","",IF(ISNA(MATCH($D1108,'Paramètres'!$M:$M,0)),"⚠ Type inconnu",IF($L1108="Crédit","",IFERROR(INDEX('Paramètres'!$O:$O,MATCH($D1108,'Paramètres'!$M:$M,0))&amp;"",""))))</f>
        <v/>
      </c>
      <c r="N1108" s="6" t="str">
        <f>IF($D1108="","",IFERROR(INDEX('Paramètres'!$Q:$Q,MATCH($D1108,'Paramètres'!$M:$M,0))&amp;"",""))</f>
        <v/>
      </c>
      <c r="O1108" s="6" t="str">
        <f>IF($A1108="","",IF(OR($J1108&lt;&gt;"x",$A1108&lt;=FinReleve),1,0))</f>
        <v/>
      </c>
      <c r="P1108" s="6" t="str">
        <f>IF($D1108="","",IF(AND($L1108="Crédit",OR(IFERROR(INDEX('Paramètres'!$O:$O,MATCH($D1108,'Paramètres'!$M:$M,0))&amp;"","")&lt;&gt;"",ISNUMBER(SEARCH("remboursement",IFERROR(INDEX('Paramètres'!$N:$N,MATCH($D1108,'Paramètres'!$M:$M,0))&amp;"",""))))),1,0))</f>
        <v/>
      </c>
      <c r="Q1108" s="6" t="str">
        <f>IF($K1108="","",IF(ISNUMBER(SEARCH("transfert-interne",IFERROR(INDEX('Paramètres'!$N:$N,MATCH($D1108,'Paramètres'!$M:$M,0))&amp;"",""))),0,IF($L1108="Débit",$K1108,IF($P1108=1,-$K1108,0))))</f>
        <v/>
      </c>
      <c r="R1108" s="6" t="str">
        <f>IF($K1108="","",IF($L1108="Crédit",$K1108,-$K1108))</f>
        <v/>
      </c>
      <c r="S1108" s="6" t="str">
        <f>IF($C1108="","",IFERROR(INDEX('Paramètres'!$H:$H,MATCH($C1108,'Paramètres'!$D:$D,0))&amp;"",""))</f>
        <v/>
      </c>
      <c r="T1108" s="6" t="str">
        <f>IF($K1108="","",IF($S1108="",0,IF(ISNUMBER(SEARCH("apport-exterieur",IFERROR(INDEX('Paramètres'!$N:$N,MATCH($D1108,'Paramètres'!$M:$M,0))&amp;"",""))),0,IF(OR(IFERROR(INDEX('Paramètres'!$I:$I,MATCH($C1108,'Paramètres'!$D:$D,0))&amp;"","")="Les deux",IFERROR(INDEX('Paramètres'!$I:$I,MATCH($C1108,'Paramètres'!$D:$D,0))&amp;"","")=IF($P1108=1,"Débit",$L1108)),-IF($P1108=1,-$K1108,$K1108),0))))</f>
        <v/>
      </c>
      <c r="U1108" s="6" t="str">
        <f>IF($K1108="","",IF(ISNUMBER(SEARCH("sortie-epargne",IFERROR(INDEX('Paramètres'!$N:$N,MATCH($D1108,'Paramètres'!$M:$M,0))&amp;"",""))),$K1108,0))</f>
        <v/>
      </c>
      <c r="V1108" s="6" t="str">
        <f>IF(AND($A1108&lt;&gt;"",$O1108=1,$L1108="Débit",N($Q1108)&gt;0,$A1108&gt;=Visualisation!$B$1,$A1108&lt;Visualisation!$D$1),MAX($V$1:V1107)+1,"")</f>
        <v/>
      </c>
    </row>
    <row r="1109" spans="1:22" x14ac:dyDescent="0.25">
      <c r="A1109" s="9"/>
      <c r="E1109" s="10"/>
      <c r="K1109" s="11" t="str">
        <f>IF($E1109="","",ROUND($E1109*IF(ISNA(MATCH($C1109,'Paramètres'!$D:$D,0)),1,IF(INDEX('Paramètres'!$J:$J,MATCH($C1109,'Paramètres'!$D:$D,0))="",1,INDEX('Paramètres'!$J:$J,MATCH($C1109,'Paramètres'!$D:$D,0)))),2))</f>
        <v/>
      </c>
      <c r="L1109" s="6" t="str">
        <f>IF($D1109="","",IF($F1109&lt;&gt;"",$F1109,IF(ISNA(MATCH($D1109,'Paramètres'!$M:$M,0)),"⚠ Type inconnu",IFERROR(INDEX('Paramètres'!$P:$P,MATCH($D1109,'Paramètres'!$M:$M,0))&amp;"",""))))</f>
        <v/>
      </c>
      <c r="M1109" s="6" t="str">
        <f>IF($D1109="","",IF(ISNA(MATCH($D1109,'Paramètres'!$M:$M,0)),"⚠ Type inconnu",IF($L1109="Crédit","",IFERROR(INDEX('Paramètres'!$O:$O,MATCH($D1109,'Paramètres'!$M:$M,0))&amp;"",""))))</f>
        <v/>
      </c>
      <c r="N1109" s="6" t="str">
        <f>IF($D1109="","",IFERROR(INDEX('Paramètres'!$Q:$Q,MATCH($D1109,'Paramètres'!$M:$M,0))&amp;"",""))</f>
        <v/>
      </c>
      <c r="O1109" s="6" t="str">
        <f>IF($A1109="","",IF(OR($J1109&lt;&gt;"x",$A1109&lt;=FinReleve),1,0))</f>
        <v/>
      </c>
      <c r="P1109" s="6" t="str">
        <f>IF($D1109="","",IF(AND($L1109="Crédit",OR(IFERROR(INDEX('Paramètres'!$O:$O,MATCH($D1109,'Paramètres'!$M:$M,0))&amp;"","")&lt;&gt;"",ISNUMBER(SEARCH("remboursement",IFERROR(INDEX('Paramètres'!$N:$N,MATCH($D1109,'Paramètres'!$M:$M,0))&amp;"",""))))),1,0))</f>
        <v/>
      </c>
      <c r="Q1109" s="6" t="str">
        <f>IF($K1109="","",IF(ISNUMBER(SEARCH("transfert-interne",IFERROR(INDEX('Paramètres'!$N:$N,MATCH($D1109,'Paramètres'!$M:$M,0))&amp;"",""))),0,IF($L1109="Débit",$K1109,IF($P1109=1,-$K1109,0))))</f>
        <v/>
      </c>
      <c r="R1109" s="6" t="str">
        <f>IF($K1109="","",IF($L1109="Crédit",$K1109,-$K1109))</f>
        <v/>
      </c>
      <c r="S1109" s="6" t="str">
        <f>IF($C1109="","",IFERROR(INDEX('Paramètres'!$H:$H,MATCH($C1109,'Paramètres'!$D:$D,0))&amp;"",""))</f>
        <v/>
      </c>
      <c r="T1109" s="6" t="str">
        <f>IF($K1109="","",IF($S1109="",0,IF(ISNUMBER(SEARCH("apport-exterieur",IFERROR(INDEX('Paramètres'!$N:$N,MATCH($D1109,'Paramètres'!$M:$M,0))&amp;"",""))),0,IF(OR(IFERROR(INDEX('Paramètres'!$I:$I,MATCH($C1109,'Paramètres'!$D:$D,0))&amp;"","")="Les deux",IFERROR(INDEX('Paramètres'!$I:$I,MATCH($C1109,'Paramètres'!$D:$D,0))&amp;"","")=IF($P1109=1,"Débit",$L1109)),-IF($P1109=1,-$K1109,$K1109),0))))</f>
        <v/>
      </c>
      <c r="U1109" s="6" t="str">
        <f>IF($K1109="","",IF(ISNUMBER(SEARCH("sortie-epargne",IFERROR(INDEX('Paramètres'!$N:$N,MATCH($D1109,'Paramètres'!$M:$M,0))&amp;"",""))),$K1109,0))</f>
        <v/>
      </c>
      <c r="V1109" s="6" t="str">
        <f>IF(AND($A1109&lt;&gt;"",$O1109=1,$L1109="Débit",N($Q1109)&gt;0,$A1109&gt;=Visualisation!$B$1,$A1109&lt;Visualisation!$D$1),MAX($V$1:V1108)+1,"")</f>
        <v/>
      </c>
    </row>
    <row r="1110" spans="1:22" x14ac:dyDescent="0.25">
      <c r="A1110" s="9"/>
      <c r="E1110" s="10"/>
      <c r="K1110" s="11" t="str">
        <f>IF($E1110="","",ROUND($E1110*IF(ISNA(MATCH($C1110,'Paramètres'!$D:$D,0)),1,IF(INDEX('Paramètres'!$J:$J,MATCH($C1110,'Paramètres'!$D:$D,0))="",1,INDEX('Paramètres'!$J:$J,MATCH($C1110,'Paramètres'!$D:$D,0)))),2))</f>
        <v/>
      </c>
      <c r="L1110" s="6" t="str">
        <f>IF($D1110="","",IF($F1110&lt;&gt;"",$F1110,IF(ISNA(MATCH($D1110,'Paramètres'!$M:$M,0)),"⚠ Type inconnu",IFERROR(INDEX('Paramètres'!$P:$P,MATCH($D1110,'Paramètres'!$M:$M,0))&amp;"",""))))</f>
        <v/>
      </c>
      <c r="M1110" s="6" t="str">
        <f>IF($D1110="","",IF(ISNA(MATCH($D1110,'Paramètres'!$M:$M,0)),"⚠ Type inconnu",IF($L1110="Crédit","",IFERROR(INDEX('Paramètres'!$O:$O,MATCH($D1110,'Paramètres'!$M:$M,0))&amp;"",""))))</f>
        <v/>
      </c>
      <c r="N1110" s="6" t="str">
        <f>IF($D1110="","",IFERROR(INDEX('Paramètres'!$Q:$Q,MATCH($D1110,'Paramètres'!$M:$M,0))&amp;"",""))</f>
        <v/>
      </c>
      <c r="O1110" s="6" t="str">
        <f>IF($A1110="","",IF(OR($J1110&lt;&gt;"x",$A1110&lt;=FinReleve),1,0))</f>
        <v/>
      </c>
      <c r="P1110" s="6" t="str">
        <f>IF($D1110="","",IF(AND($L1110="Crédit",OR(IFERROR(INDEX('Paramètres'!$O:$O,MATCH($D1110,'Paramètres'!$M:$M,0))&amp;"","")&lt;&gt;"",ISNUMBER(SEARCH("remboursement",IFERROR(INDEX('Paramètres'!$N:$N,MATCH($D1110,'Paramètres'!$M:$M,0))&amp;"",""))))),1,0))</f>
        <v/>
      </c>
      <c r="Q1110" s="6" t="str">
        <f>IF($K1110="","",IF(ISNUMBER(SEARCH("transfert-interne",IFERROR(INDEX('Paramètres'!$N:$N,MATCH($D1110,'Paramètres'!$M:$M,0))&amp;"",""))),0,IF($L1110="Débit",$K1110,IF($P1110=1,-$K1110,0))))</f>
        <v/>
      </c>
      <c r="R1110" s="6" t="str">
        <f>IF($K1110="","",IF($L1110="Crédit",$K1110,-$K1110))</f>
        <v/>
      </c>
      <c r="S1110" s="6" t="str">
        <f>IF($C1110="","",IFERROR(INDEX('Paramètres'!$H:$H,MATCH($C1110,'Paramètres'!$D:$D,0))&amp;"",""))</f>
        <v/>
      </c>
      <c r="T1110" s="6" t="str">
        <f>IF($K1110="","",IF($S1110="",0,IF(ISNUMBER(SEARCH("apport-exterieur",IFERROR(INDEX('Paramètres'!$N:$N,MATCH($D1110,'Paramètres'!$M:$M,0))&amp;"",""))),0,IF(OR(IFERROR(INDEX('Paramètres'!$I:$I,MATCH($C1110,'Paramètres'!$D:$D,0))&amp;"","")="Les deux",IFERROR(INDEX('Paramètres'!$I:$I,MATCH($C1110,'Paramètres'!$D:$D,0))&amp;"","")=IF($P1110=1,"Débit",$L1110)),-IF($P1110=1,-$K1110,$K1110),0))))</f>
        <v/>
      </c>
      <c r="U1110" s="6" t="str">
        <f>IF($K1110="","",IF(ISNUMBER(SEARCH("sortie-epargne",IFERROR(INDEX('Paramètres'!$N:$N,MATCH($D1110,'Paramètres'!$M:$M,0))&amp;"",""))),$K1110,0))</f>
        <v/>
      </c>
      <c r="V1110" s="6" t="str">
        <f>IF(AND($A1110&lt;&gt;"",$O1110=1,$L1110="Débit",N($Q1110)&gt;0,$A1110&gt;=Visualisation!$B$1,$A1110&lt;Visualisation!$D$1),MAX($V$1:V1109)+1,"")</f>
        <v/>
      </c>
    </row>
    <row r="1111" spans="1:22" x14ac:dyDescent="0.25">
      <c r="A1111" s="9"/>
      <c r="E1111" s="10"/>
      <c r="K1111" s="11" t="str">
        <f>IF($E1111="","",ROUND($E1111*IF(ISNA(MATCH($C1111,'Paramètres'!$D:$D,0)),1,IF(INDEX('Paramètres'!$J:$J,MATCH($C1111,'Paramètres'!$D:$D,0))="",1,INDEX('Paramètres'!$J:$J,MATCH($C1111,'Paramètres'!$D:$D,0)))),2))</f>
        <v/>
      </c>
      <c r="L1111" s="6" t="str">
        <f>IF($D1111="","",IF($F1111&lt;&gt;"",$F1111,IF(ISNA(MATCH($D1111,'Paramètres'!$M:$M,0)),"⚠ Type inconnu",IFERROR(INDEX('Paramètres'!$P:$P,MATCH($D1111,'Paramètres'!$M:$M,0))&amp;"",""))))</f>
        <v/>
      </c>
      <c r="M1111" s="6" t="str">
        <f>IF($D1111="","",IF(ISNA(MATCH($D1111,'Paramètres'!$M:$M,0)),"⚠ Type inconnu",IF($L1111="Crédit","",IFERROR(INDEX('Paramètres'!$O:$O,MATCH($D1111,'Paramètres'!$M:$M,0))&amp;"",""))))</f>
        <v/>
      </c>
      <c r="N1111" s="6" t="str">
        <f>IF($D1111="","",IFERROR(INDEX('Paramètres'!$Q:$Q,MATCH($D1111,'Paramètres'!$M:$M,0))&amp;"",""))</f>
        <v/>
      </c>
      <c r="O1111" s="6" t="str">
        <f>IF($A1111="","",IF(OR($J1111&lt;&gt;"x",$A1111&lt;=FinReleve),1,0))</f>
        <v/>
      </c>
      <c r="P1111" s="6" t="str">
        <f>IF($D1111="","",IF(AND($L1111="Crédit",OR(IFERROR(INDEX('Paramètres'!$O:$O,MATCH($D1111,'Paramètres'!$M:$M,0))&amp;"","")&lt;&gt;"",ISNUMBER(SEARCH("remboursement",IFERROR(INDEX('Paramètres'!$N:$N,MATCH($D1111,'Paramètres'!$M:$M,0))&amp;"",""))))),1,0))</f>
        <v/>
      </c>
      <c r="Q1111" s="6" t="str">
        <f>IF($K1111="","",IF(ISNUMBER(SEARCH("transfert-interne",IFERROR(INDEX('Paramètres'!$N:$N,MATCH($D1111,'Paramètres'!$M:$M,0))&amp;"",""))),0,IF($L1111="Débit",$K1111,IF($P1111=1,-$K1111,0))))</f>
        <v/>
      </c>
      <c r="R1111" s="6" t="str">
        <f>IF($K1111="","",IF($L1111="Crédit",$K1111,-$K1111))</f>
        <v/>
      </c>
      <c r="S1111" s="6" t="str">
        <f>IF($C1111="","",IFERROR(INDEX('Paramètres'!$H:$H,MATCH($C1111,'Paramètres'!$D:$D,0))&amp;"",""))</f>
        <v/>
      </c>
      <c r="T1111" s="6" t="str">
        <f>IF($K1111="","",IF($S1111="",0,IF(ISNUMBER(SEARCH("apport-exterieur",IFERROR(INDEX('Paramètres'!$N:$N,MATCH($D1111,'Paramètres'!$M:$M,0))&amp;"",""))),0,IF(OR(IFERROR(INDEX('Paramètres'!$I:$I,MATCH($C1111,'Paramètres'!$D:$D,0))&amp;"","")="Les deux",IFERROR(INDEX('Paramètres'!$I:$I,MATCH($C1111,'Paramètres'!$D:$D,0))&amp;"","")=IF($P1111=1,"Débit",$L1111)),-IF($P1111=1,-$K1111,$K1111),0))))</f>
        <v/>
      </c>
      <c r="U1111" s="6" t="str">
        <f>IF($K1111="","",IF(ISNUMBER(SEARCH("sortie-epargne",IFERROR(INDEX('Paramètres'!$N:$N,MATCH($D1111,'Paramètres'!$M:$M,0))&amp;"",""))),$K1111,0))</f>
        <v/>
      </c>
      <c r="V1111" s="6" t="str">
        <f>IF(AND($A1111&lt;&gt;"",$O1111=1,$L1111="Débit",N($Q1111)&gt;0,$A1111&gt;=Visualisation!$B$1,$A1111&lt;Visualisation!$D$1),MAX($V$1:V1110)+1,"")</f>
        <v/>
      </c>
    </row>
    <row r="1112" spans="1:22" x14ac:dyDescent="0.25">
      <c r="A1112" s="9"/>
      <c r="E1112" s="10"/>
      <c r="K1112" s="11" t="str">
        <f>IF($E1112="","",ROUND($E1112*IF(ISNA(MATCH($C1112,'Paramètres'!$D:$D,0)),1,IF(INDEX('Paramètres'!$J:$J,MATCH($C1112,'Paramètres'!$D:$D,0))="",1,INDEX('Paramètres'!$J:$J,MATCH($C1112,'Paramètres'!$D:$D,0)))),2))</f>
        <v/>
      </c>
      <c r="L1112" s="6" t="str">
        <f>IF($D1112="","",IF($F1112&lt;&gt;"",$F1112,IF(ISNA(MATCH($D1112,'Paramètres'!$M:$M,0)),"⚠ Type inconnu",IFERROR(INDEX('Paramètres'!$P:$P,MATCH($D1112,'Paramètres'!$M:$M,0))&amp;"",""))))</f>
        <v/>
      </c>
      <c r="M1112" s="6" t="str">
        <f>IF($D1112="","",IF(ISNA(MATCH($D1112,'Paramètres'!$M:$M,0)),"⚠ Type inconnu",IF($L1112="Crédit","",IFERROR(INDEX('Paramètres'!$O:$O,MATCH($D1112,'Paramètres'!$M:$M,0))&amp;"",""))))</f>
        <v/>
      </c>
      <c r="N1112" s="6" t="str">
        <f>IF($D1112="","",IFERROR(INDEX('Paramètres'!$Q:$Q,MATCH($D1112,'Paramètres'!$M:$M,0))&amp;"",""))</f>
        <v/>
      </c>
      <c r="O1112" s="6" t="str">
        <f>IF($A1112="","",IF(OR($J1112&lt;&gt;"x",$A1112&lt;=FinReleve),1,0))</f>
        <v/>
      </c>
      <c r="P1112" s="6" t="str">
        <f>IF($D1112="","",IF(AND($L1112="Crédit",OR(IFERROR(INDEX('Paramètres'!$O:$O,MATCH($D1112,'Paramètres'!$M:$M,0))&amp;"","")&lt;&gt;"",ISNUMBER(SEARCH("remboursement",IFERROR(INDEX('Paramètres'!$N:$N,MATCH($D1112,'Paramètres'!$M:$M,0))&amp;"",""))))),1,0))</f>
        <v/>
      </c>
      <c r="Q1112" s="6" t="str">
        <f>IF($K1112="","",IF(ISNUMBER(SEARCH("transfert-interne",IFERROR(INDEX('Paramètres'!$N:$N,MATCH($D1112,'Paramètres'!$M:$M,0))&amp;"",""))),0,IF($L1112="Débit",$K1112,IF($P1112=1,-$K1112,0))))</f>
        <v/>
      </c>
      <c r="R1112" s="6" t="str">
        <f>IF($K1112="","",IF($L1112="Crédit",$K1112,-$K1112))</f>
        <v/>
      </c>
      <c r="S1112" s="6" t="str">
        <f>IF($C1112="","",IFERROR(INDEX('Paramètres'!$H:$H,MATCH($C1112,'Paramètres'!$D:$D,0))&amp;"",""))</f>
        <v/>
      </c>
      <c r="T1112" s="6" t="str">
        <f>IF($K1112="","",IF($S1112="",0,IF(ISNUMBER(SEARCH("apport-exterieur",IFERROR(INDEX('Paramètres'!$N:$N,MATCH($D1112,'Paramètres'!$M:$M,0))&amp;"",""))),0,IF(OR(IFERROR(INDEX('Paramètres'!$I:$I,MATCH($C1112,'Paramètres'!$D:$D,0))&amp;"","")="Les deux",IFERROR(INDEX('Paramètres'!$I:$I,MATCH($C1112,'Paramètres'!$D:$D,0))&amp;"","")=IF($P1112=1,"Débit",$L1112)),-IF($P1112=1,-$K1112,$K1112),0))))</f>
        <v/>
      </c>
      <c r="U1112" s="6" t="str">
        <f>IF($K1112="","",IF(ISNUMBER(SEARCH("sortie-epargne",IFERROR(INDEX('Paramètres'!$N:$N,MATCH($D1112,'Paramètres'!$M:$M,0))&amp;"",""))),$K1112,0))</f>
        <v/>
      </c>
      <c r="V1112" s="6" t="str">
        <f>IF(AND($A1112&lt;&gt;"",$O1112=1,$L1112="Débit",N($Q1112)&gt;0,$A1112&gt;=Visualisation!$B$1,$A1112&lt;Visualisation!$D$1),MAX($V$1:V1111)+1,"")</f>
        <v/>
      </c>
    </row>
    <row r="1113" spans="1:22" x14ac:dyDescent="0.25">
      <c r="A1113" s="9"/>
      <c r="E1113" s="10"/>
      <c r="K1113" s="11" t="str">
        <f>IF($E1113="","",ROUND($E1113*IF(ISNA(MATCH($C1113,'Paramètres'!$D:$D,0)),1,IF(INDEX('Paramètres'!$J:$J,MATCH($C1113,'Paramètres'!$D:$D,0))="",1,INDEX('Paramètres'!$J:$J,MATCH($C1113,'Paramètres'!$D:$D,0)))),2))</f>
        <v/>
      </c>
      <c r="L1113" s="6" t="str">
        <f>IF($D1113="","",IF($F1113&lt;&gt;"",$F1113,IF(ISNA(MATCH($D1113,'Paramètres'!$M:$M,0)),"⚠ Type inconnu",IFERROR(INDEX('Paramètres'!$P:$P,MATCH($D1113,'Paramètres'!$M:$M,0))&amp;"",""))))</f>
        <v/>
      </c>
      <c r="M1113" s="6" t="str">
        <f>IF($D1113="","",IF(ISNA(MATCH($D1113,'Paramètres'!$M:$M,0)),"⚠ Type inconnu",IF($L1113="Crédit","",IFERROR(INDEX('Paramètres'!$O:$O,MATCH($D1113,'Paramètres'!$M:$M,0))&amp;"",""))))</f>
        <v/>
      </c>
      <c r="N1113" s="6" t="str">
        <f>IF($D1113="","",IFERROR(INDEX('Paramètres'!$Q:$Q,MATCH($D1113,'Paramètres'!$M:$M,0))&amp;"",""))</f>
        <v/>
      </c>
      <c r="O1113" s="6" t="str">
        <f>IF($A1113="","",IF(OR($J1113&lt;&gt;"x",$A1113&lt;=FinReleve),1,0))</f>
        <v/>
      </c>
      <c r="P1113" s="6" t="str">
        <f>IF($D1113="","",IF(AND($L1113="Crédit",OR(IFERROR(INDEX('Paramètres'!$O:$O,MATCH($D1113,'Paramètres'!$M:$M,0))&amp;"","")&lt;&gt;"",ISNUMBER(SEARCH("remboursement",IFERROR(INDEX('Paramètres'!$N:$N,MATCH($D1113,'Paramètres'!$M:$M,0))&amp;"",""))))),1,0))</f>
        <v/>
      </c>
      <c r="Q1113" s="6" t="str">
        <f>IF($K1113="","",IF(ISNUMBER(SEARCH("transfert-interne",IFERROR(INDEX('Paramètres'!$N:$N,MATCH($D1113,'Paramètres'!$M:$M,0))&amp;"",""))),0,IF($L1113="Débit",$K1113,IF($P1113=1,-$K1113,0))))</f>
        <v/>
      </c>
      <c r="R1113" s="6" t="str">
        <f>IF($K1113="","",IF($L1113="Crédit",$K1113,-$K1113))</f>
        <v/>
      </c>
      <c r="S1113" s="6" t="str">
        <f>IF($C1113="","",IFERROR(INDEX('Paramètres'!$H:$H,MATCH($C1113,'Paramètres'!$D:$D,0))&amp;"",""))</f>
        <v/>
      </c>
      <c r="T1113" s="6" t="str">
        <f>IF($K1113="","",IF($S1113="",0,IF(ISNUMBER(SEARCH("apport-exterieur",IFERROR(INDEX('Paramètres'!$N:$N,MATCH($D1113,'Paramètres'!$M:$M,0))&amp;"",""))),0,IF(OR(IFERROR(INDEX('Paramètres'!$I:$I,MATCH($C1113,'Paramètres'!$D:$D,0))&amp;"","")="Les deux",IFERROR(INDEX('Paramètres'!$I:$I,MATCH($C1113,'Paramètres'!$D:$D,0))&amp;"","")=IF($P1113=1,"Débit",$L1113)),-IF($P1113=1,-$K1113,$K1113),0))))</f>
        <v/>
      </c>
      <c r="U1113" s="6" t="str">
        <f>IF($K1113="","",IF(ISNUMBER(SEARCH("sortie-epargne",IFERROR(INDEX('Paramètres'!$N:$N,MATCH($D1113,'Paramètres'!$M:$M,0))&amp;"",""))),$K1113,0))</f>
        <v/>
      </c>
      <c r="V1113" s="6" t="str">
        <f>IF(AND($A1113&lt;&gt;"",$O1113=1,$L1113="Débit",N($Q1113)&gt;0,$A1113&gt;=Visualisation!$B$1,$A1113&lt;Visualisation!$D$1),MAX($V$1:V1112)+1,"")</f>
        <v/>
      </c>
    </row>
    <row r="1114" spans="1:22" x14ac:dyDescent="0.25">
      <c r="A1114" s="9"/>
      <c r="E1114" s="10"/>
      <c r="K1114" s="11" t="str">
        <f>IF($E1114="","",ROUND($E1114*IF(ISNA(MATCH($C1114,'Paramètres'!$D:$D,0)),1,IF(INDEX('Paramètres'!$J:$J,MATCH($C1114,'Paramètres'!$D:$D,0))="",1,INDEX('Paramètres'!$J:$J,MATCH($C1114,'Paramètres'!$D:$D,0)))),2))</f>
        <v/>
      </c>
      <c r="L1114" s="6" t="str">
        <f>IF($D1114="","",IF($F1114&lt;&gt;"",$F1114,IF(ISNA(MATCH($D1114,'Paramètres'!$M:$M,0)),"⚠ Type inconnu",IFERROR(INDEX('Paramètres'!$P:$P,MATCH($D1114,'Paramètres'!$M:$M,0))&amp;"",""))))</f>
        <v/>
      </c>
      <c r="M1114" s="6" t="str">
        <f>IF($D1114="","",IF(ISNA(MATCH($D1114,'Paramètres'!$M:$M,0)),"⚠ Type inconnu",IF($L1114="Crédit","",IFERROR(INDEX('Paramètres'!$O:$O,MATCH($D1114,'Paramètres'!$M:$M,0))&amp;"",""))))</f>
        <v/>
      </c>
      <c r="N1114" s="6" t="str">
        <f>IF($D1114="","",IFERROR(INDEX('Paramètres'!$Q:$Q,MATCH($D1114,'Paramètres'!$M:$M,0))&amp;"",""))</f>
        <v/>
      </c>
      <c r="O1114" s="6" t="str">
        <f>IF($A1114="","",IF(OR($J1114&lt;&gt;"x",$A1114&lt;=FinReleve),1,0))</f>
        <v/>
      </c>
      <c r="P1114" s="6" t="str">
        <f>IF($D1114="","",IF(AND($L1114="Crédit",OR(IFERROR(INDEX('Paramètres'!$O:$O,MATCH($D1114,'Paramètres'!$M:$M,0))&amp;"","")&lt;&gt;"",ISNUMBER(SEARCH("remboursement",IFERROR(INDEX('Paramètres'!$N:$N,MATCH($D1114,'Paramètres'!$M:$M,0))&amp;"",""))))),1,0))</f>
        <v/>
      </c>
      <c r="Q1114" s="6" t="str">
        <f>IF($K1114="","",IF(ISNUMBER(SEARCH("transfert-interne",IFERROR(INDEX('Paramètres'!$N:$N,MATCH($D1114,'Paramètres'!$M:$M,0))&amp;"",""))),0,IF($L1114="Débit",$K1114,IF($P1114=1,-$K1114,0))))</f>
        <v/>
      </c>
      <c r="R1114" s="6" t="str">
        <f>IF($K1114="","",IF($L1114="Crédit",$K1114,-$K1114))</f>
        <v/>
      </c>
      <c r="S1114" s="6" t="str">
        <f>IF($C1114="","",IFERROR(INDEX('Paramètres'!$H:$H,MATCH($C1114,'Paramètres'!$D:$D,0))&amp;"",""))</f>
        <v/>
      </c>
      <c r="T1114" s="6" t="str">
        <f>IF($K1114="","",IF($S1114="",0,IF(ISNUMBER(SEARCH("apport-exterieur",IFERROR(INDEX('Paramètres'!$N:$N,MATCH($D1114,'Paramètres'!$M:$M,0))&amp;"",""))),0,IF(OR(IFERROR(INDEX('Paramètres'!$I:$I,MATCH($C1114,'Paramètres'!$D:$D,0))&amp;"","")="Les deux",IFERROR(INDEX('Paramètres'!$I:$I,MATCH($C1114,'Paramètres'!$D:$D,0))&amp;"","")=IF($P1114=1,"Débit",$L1114)),-IF($P1114=1,-$K1114,$K1114),0))))</f>
        <v/>
      </c>
      <c r="U1114" s="6" t="str">
        <f>IF($K1114="","",IF(ISNUMBER(SEARCH("sortie-epargne",IFERROR(INDEX('Paramètres'!$N:$N,MATCH($D1114,'Paramètres'!$M:$M,0))&amp;"",""))),$K1114,0))</f>
        <v/>
      </c>
      <c r="V1114" s="6" t="str">
        <f>IF(AND($A1114&lt;&gt;"",$O1114=1,$L1114="Débit",N($Q1114)&gt;0,$A1114&gt;=Visualisation!$B$1,$A1114&lt;Visualisation!$D$1),MAX($V$1:V1113)+1,"")</f>
        <v/>
      </c>
    </row>
    <row r="1115" spans="1:22" x14ac:dyDescent="0.25">
      <c r="A1115" s="9"/>
      <c r="E1115" s="10"/>
      <c r="K1115" s="11" t="str">
        <f>IF($E1115="","",ROUND($E1115*IF(ISNA(MATCH($C1115,'Paramètres'!$D:$D,0)),1,IF(INDEX('Paramètres'!$J:$J,MATCH($C1115,'Paramètres'!$D:$D,0))="",1,INDEX('Paramètres'!$J:$J,MATCH($C1115,'Paramètres'!$D:$D,0)))),2))</f>
        <v/>
      </c>
      <c r="L1115" s="6" t="str">
        <f>IF($D1115="","",IF($F1115&lt;&gt;"",$F1115,IF(ISNA(MATCH($D1115,'Paramètres'!$M:$M,0)),"⚠ Type inconnu",IFERROR(INDEX('Paramètres'!$P:$P,MATCH($D1115,'Paramètres'!$M:$M,0))&amp;"",""))))</f>
        <v/>
      </c>
      <c r="M1115" s="6" t="str">
        <f>IF($D1115="","",IF(ISNA(MATCH($D1115,'Paramètres'!$M:$M,0)),"⚠ Type inconnu",IF($L1115="Crédit","",IFERROR(INDEX('Paramètres'!$O:$O,MATCH($D1115,'Paramètres'!$M:$M,0))&amp;"",""))))</f>
        <v/>
      </c>
      <c r="N1115" s="6" t="str">
        <f>IF($D1115="","",IFERROR(INDEX('Paramètres'!$Q:$Q,MATCH($D1115,'Paramètres'!$M:$M,0))&amp;"",""))</f>
        <v/>
      </c>
      <c r="O1115" s="6" t="str">
        <f>IF($A1115="","",IF(OR($J1115&lt;&gt;"x",$A1115&lt;=FinReleve),1,0))</f>
        <v/>
      </c>
      <c r="P1115" s="6" t="str">
        <f>IF($D1115="","",IF(AND($L1115="Crédit",OR(IFERROR(INDEX('Paramètres'!$O:$O,MATCH($D1115,'Paramètres'!$M:$M,0))&amp;"","")&lt;&gt;"",ISNUMBER(SEARCH("remboursement",IFERROR(INDEX('Paramètres'!$N:$N,MATCH($D1115,'Paramètres'!$M:$M,0))&amp;"",""))))),1,0))</f>
        <v/>
      </c>
      <c r="Q1115" s="6" t="str">
        <f>IF($K1115="","",IF(ISNUMBER(SEARCH("transfert-interne",IFERROR(INDEX('Paramètres'!$N:$N,MATCH($D1115,'Paramètres'!$M:$M,0))&amp;"",""))),0,IF($L1115="Débit",$K1115,IF($P1115=1,-$K1115,0))))</f>
        <v/>
      </c>
      <c r="R1115" s="6" t="str">
        <f>IF($K1115="","",IF($L1115="Crédit",$K1115,-$K1115))</f>
        <v/>
      </c>
      <c r="S1115" s="6" t="str">
        <f>IF($C1115="","",IFERROR(INDEX('Paramètres'!$H:$H,MATCH($C1115,'Paramètres'!$D:$D,0))&amp;"",""))</f>
        <v/>
      </c>
      <c r="T1115" s="6" t="str">
        <f>IF($K1115="","",IF($S1115="",0,IF(ISNUMBER(SEARCH("apport-exterieur",IFERROR(INDEX('Paramètres'!$N:$N,MATCH($D1115,'Paramètres'!$M:$M,0))&amp;"",""))),0,IF(OR(IFERROR(INDEX('Paramètres'!$I:$I,MATCH($C1115,'Paramètres'!$D:$D,0))&amp;"","")="Les deux",IFERROR(INDEX('Paramètres'!$I:$I,MATCH($C1115,'Paramètres'!$D:$D,0))&amp;"","")=IF($P1115=1,"Débit",$L1115)),-IF($P1115=1,-$K1115,$K1115),0))))</f>
        <v/>
      </c>
      <c r="U1115" s="6" t="str">
        <f>IF($K1115="","",IF(ISNUMBER(SEARCH("sortie-epargne",IFERROR(INDEX('Paramètres'!$N:$N,MATCH($D1115,'Paramètres'!$M:$M,0))&amp;"",""))),$K1115,0))</f>
        <v/>
      </c>
      <c r="V1115" s="6" t="str">
        <f>IF(AND($A1115&lt;&gt;"",$O1115=1,$L1115="Débit",N($Q1115)&gt;0,$A1115&gt;=Visualisation!$B$1,$A1115&lt;Visualisation!$D$1),MAX($V$1:V1114)+1,"")</f>
        <v/>
      </c>
    </row>
    <row r="1116" spans="1:22" x14ac:dyDescent="0.25">
      <c r="A1116" s="9"/>
      <c r="E1116" s="10"/>
      <c r="K1116" s="11" t="str">
        <f>IF($E1116="","",ROUND($E1116*IF(ISNA(MATCH($C1116,'Paramètres'!$D:$D,0)),1,IF(INDEX('Paramètres'!$J:$J,MATCH($C1116,'Paramètres'!$D:$D,0))="",1,INDEX('Paramètres'!$J:$J,MATCH($C1116,'Paramètres'!$D:$D,0)))),2))</f>
        <v/>
      </c>
      <c r="L1116" s="6" t="str">
        <f>IF($D1116="","",IF($F1116&lt;&gt;"",$F1116,IF(ISNA(MATCH($D1116,'Paramètres'!$M:$M,0)),"⚠ Type inconnu",IFERROR(INDEX('Paramètres'!$P:$P,MATCH($D1116,'Paramètres'!$M:$M,0))&amp;"",""))))</f>
        <v/>
      </c>
      <c r="M1116" s="6" t="str">
        <f>IF($D1116="","",IF(ISNA(MATCH($D1116,'Paramètres'!$M:$M,0)),"⚠ Type inconnu",IF($L1116="Crédit","",IFERROR(INDEX('Paramètres'!$O:$O,MATCH($D1116,'Paramètres'!$M:$M,0))&amp;"",""))))</f>
        <v/>
      </c>
      <c r="N1116" s="6" t="str">
        <f>IF($D1116="","",IFERROR(INDEX('Paramètres'!$Q:$Q,MATCH($D1116,'Paramètres'!$M:$M,0))&amp;"",""))</f>
        <v/>
      </c>
      <c r="O1116" s="6" t="str">
        <f>IF($A1116="","",IF(OR($J1116&lt;&gt;"x",$A1116&lt;=FinReleve),1,0))</f>
        <v/>
      </c>
      <c r="P1116" s="6" t="str">
        <f>IF($D1116="","",IF(AND($L1116="Crédit",OR(IFERROR(INDEX('Paramètres'!$O:$O,MATCH($D1116,'Paramètres'!$M:$M,0))&amp;"","")&lt;&gt;"",ISNUMBER(SEARCH("remboursement",IFERROR(INDEX('Paramètres'!$N:$N,MATCH($D1116,'Paramètres'!$M:$M,0))&amp;"",""))))),1,0))</f>
        <v/>
      </c>
      <c r="Q1116" s="6" t="str">
        <f>IF($K1116="","",IF(ISNUMBER(SEARCH("transfert-interne",IFERROR(INDEX('Paramètres'!$N:$N,MATCH($D1116,'Paramètres'!$M:$M,0))&amp;"",""))),0,IF($L1116="Débit",$K1116,IF($P1116=1,-$K1116,0))))</f>
        <v/>
      </c>
      <c r="R1116" s="6" t="str">
        <f>IF($K1116="","",IF($L1116="Crédit",$K1116,-$K1116))</f>
        <v/>
      </c>
      <c r="S1116" s="6" t="str">
        <f>IF($C1116="","",IFERROR(INDEX('Paramètres'!$H:$H,MATCH($C1116,'Paramètres'!$D:$D,0))&amp;"",""))</f>
        <v/>
      </c>
      <c r="T1116" s="6" t="str">
        <f>IF($K1116="","",IF($S1116="",0,IF(ISNUMBER(SEARCH("apport-exterieur",IFERROR(INDEX('Paramètres'!$N:$N,MATCH($D1116,'Paramètres'!$M:$M,0))&amp;"",""))),0,IF(OR(IFERROR(INDEX('Paramètres'!$I:$I,MATCH($C1116,'Paramètres'!$D:$D,0))&amp;"","")="Les deux",IFERROR(INDEX('Paramètres'!$I:$I,MATCH($C1116,'Paramètres'!$D:$D,0))&amp;"","")=IF($P1116=1,"Débit",$L1116)),-IF($P1116=1,-$K1116,$K1116),0))))</f>
        <v/>
      </c>
      <c r="U1116" s="6" t="str">
        <f>IF($K1116="","",IF(ISNUMBER(SEARCH("sortie-epargne",IFERROR(INDEX('Paramètres'!$N:$N,MATCH($D1116,'Paramètres'!$M:$M,0))&amp;"",""))),$K1116,0))</f>
        <v/>
      </c>
      <c r="V1116" s="6" t="str">
        <f>IF(AND($A1116&lt;&gt;"",$O1116=1,$L1116="Débit",N($Q1116)&gt;0,$A1116&gt;=Visualisation!$B$1,$A1116&lt;Visualisation!$D$1),MAX($V$1:V1115)+1,"")</f>
        <v/>
      </c>
    </row>
    <row r="1117" spans="1:22" x14ac:dyDescent="0.25">
      <c r="A1117" s="9"/>
      <c r="E1117" s="10"/>
      <c r="K1117" s="11" t="str">
        <f>IF($E1117="","",ROUND($E1117*IF(ISNA(MATCH($C1117,'Paramètres'!$D:$D,0)),1,IF(INDEX('Paramètres'!$J:$J,MATCH($C1117,'Paramètres'!$D:$D,0))="",1,INDEX('Paramètres'!$J:$J,MATCH($C1117,'Paramètres'!$D:$D,0)))),2))</f>
        <v/>
      </c>
      <c r="L1117" s="6" t="str">
        <f>IF($D1117="","",IF($F1117&lt;&gt;"",$F1117,IF(ISNA(MATCH($D1117,'Paramètres'!$M:$M,0)),"⚠ Type inconnu",IFERROR(INDEX('Paramètres'!$P:$P,MATCH($D1117,'Paramètres'!$M:$M,0))&amp;"",""))))</f>
        <v/>
      </c>
      <c r="M1117" s="6" t="str">
        <f>IF($D1117="","",IF(ISNA(MATCH($D1117,'Paramètres'!$M:$M,0)),"⚠ Type inconnu",IF($L1117="Crédit","",IFERROR(INDEX('Paramètres'!$O:$O,MATCH($D1117,'Paramètres'!$M:$M,0))&amp;"",""))))</f>
        <v/>
      </c>
      <c r="N1117" s="6" t="str">
        <f>IF($D1117="","",IFERROR(INDEX('Paramètres'!$Q:$Q,MATCH($D1117,'Paramètres'!$M:$M,0))&amp;"",""))</f>
        <v/>
      </c>
      <c r="O1117" s="6" t="str">
        <f>IF($A1117="","",IF(OR($J1117&lt;&gt;"x",$A1117&lt;=FinReleve),1,0))</f>
        <v/>
      </c>
      <c r="P1117" s="6" t="str">
        <f>IF($D1117="","",IF(AND($L1117="Crédit",OR(IFERROR(INDEX('Paramètres'!$O:$O,MATCH($D1117,'Paramètres'!$M:$M,0))&amp;"","")&lt;&gt;"",ISNUMBER(SEARCH("remboursement",IFERROR(INDEX('Paramètres'!$N:$N,MATCH($D1117,'Paramètres'!$M:$M,0))&amp;"",""))))),1,0))</f>
        <v/>
      </c>
      <c r="Q1117" s="6" t="str">
        <f>IF($K1117="","",IF(ISNUMBER(SEARCH("transfert-interne",IFERROR(INDEX('Paramètres'!$N:$N,MATCH($D1117,'Paramètres'!$M:$M,0))&amp;"",""))),0,IF($L1117="Débit",$K1117,IF($P1117=1,-$K1117,0))))</f>
        <v/>
      </c>
      <c r="R1117" s="6" t="str">
        <f>IF($K1117="","",IF($L1117="Crédit",$K1117,-$K1117))</f>
        <v/>
      </c>
      <c r="S1117" s="6" t="str">
        <f>IF($C1117="","",IFERROR(INDEX('Paramètres'!$H:$H,MATCH($C1117,'Paramètres'!$D:$D,0))&amp;"",""))</f>
        <v/>
      </c>
      <c r="T1117" s="6" t="str">
        <f>IF($K1117="","",IF($S1117="",0,IF(ISNUMBER(SEARCH("apport-exterieur",IFERROR(INDEX('Paramètres'!$N:$N,MATCH($D1117,'Paramètres'!$M:$M,0))&amp;"",""))),0,IF(OR(IFERROR(INDEX('Paramètres'!$I:$I,MATCH($C1117,'Paramètres'!$D:$D,0))&amp;"","")="Les deux",IFERROR(INDEX('Paramètres'!$I:$I,MATCH($C1117,'Paramètres'!$D:$D,0))&amp;"","")=IF($P1117=1,"Débit",$L1117)),-IF($P1117=1,-$K1117,$K1117),0))))</f>
        <v/>
      </c>
      <c r="U1117" s="6" t="str">
        <f>IF($K1117="","",IF(ISNUMBER(SEARCH("sortie-epargne",IFERROR(INDEX('Paramètres'!$N:$N,MATCH($D1117,'Paramètres'!$M:$M,0))&amp;"",""))),$K1117,0))</f>
        <v/>
      </c>
      <c r="V1117" s="6" t="str">
        <f>IF(AND($A1117&lt;&gt;"",$O1117=1,$L1117="Débit",N($Q1117)&gt;0,$A1117&gt;=Visualisation!$B$1,$A1117&lt;Visualisation!$D$1),MAX($V$1:V1116)+1,"")</f>
        <v/>
      </c>
    </row>
    <row r="1118" spans="1:22" x14ac:dyDescent="0.25">
      <c r="A1118" s="9"/>
      <c r="E1118" s="10"/>
      <c r="K1118" s="11" t="str">
        <f>IF($E1118="","",ROUND($E1118*IF(ISNA(MATCH($C1118,'Paramètres'!$D:$D,0)),1,IF(INDEX('Paramètres'!$J:$J,MATCH($C1118,'Paramètres'!$D:$D,0))="",1,INDEX('Paramètres'!$J:$J,MATCH($C1118,'Paramètres'!$D:$D,0)))),2))</f>
        <v/>
      </c>
      <c r="L1118" s="6" t="str">
        <f>IF($D1118="","",IF($F1118&lt;&gt;"",$F1118,IF(ISNA(MATCH($D1118,'Paramètres'!$M:$M,0)),"⚠ Type inconnu",IFERROR(INDEX('Paramètres'!$P:$P,MATCH($D1118,'Paramètres'!$M:$M,0))&amp;"",""))))</f>
        <v/>
      </c>
      <c r="M1118" s="6" t="str">
        <f>IF($D1118="","",IF(ISNA(MATCH($D1118,'Paramètres'!$M:$M,0)),"⚠ Type inconnu",IF($L1118="Crédit","",IFERROR(INDEX('Paramètres'!$O:$O,MATCH($D1118,'Paramètres'!$M:$M,0))&amp;"",""))))</f>
        <v/>
      </c>
      <c r="N1118" s="6" t="str">
        <f>IF($D1118="","",IFERROR(INDEX('Paramètres'!$Q:$Q,MATCH($D1118,'Paramètres'!$M:$M,0))&amp;"",""))</f>
        <v/>
      </c>
      <c r="O1118" s="6" t="str">
        <f>IF($A1118="","",IF(OR($J1118&lt;&gt;"x",$A1118&lt;=FinReleve),1,0))</f>
        <v/>
      </c>
      <c r="P1118" s="6" t="str">
        <f>IF($D1118="","",IF(AND($L1118="Crédit",OR(IFERROR(INDEX('Paramètres'!$O:$O,MATCH($D1118,'Paramètres'!$M:$M,0))&amp;"","")&lt;&gt;"",ISNUMBER(SEARCH("remboursement",IFERROR(INDEX('Paramètres'!$N:$N,MATCH($D1118,'Paramètres'!$M:$M,0))&amp;"",""))))),1,0))</f>
        <v/>
      </c>
      <c r="Q1118" s="6" t="str">
        <f>IF($K1118="","",IF(ISNUMBER(SEARCH("transfert-interne",IFERROR(INDEX('Paramètres'!$N:$N,MATCH($D1118,'Paramètres'!$M:$M,0))&amp;"",""))),0,IF($L1118="Débit",$K1118,IF($P1118=1,-$K1118,0))))</f>
        <v/>
      </c>
      <c r="R1118" s="6" t="str">
        <f>IF($K1118="","",IF($L1118="Crédit",$K1118,-$K1118))</f>
        <v/>
      </c>
      <c r="S1118" s="6" t="str">
        <f>IF($C1118="","",IFERROR(INDEX('Paramètres'!$H:$H,MATCH($C1118,'Paramètres'!$D:$D,0))&amp;"",""))</f>
        <v/>
      </c>
      <c r="T1118" s="6" t="str">
        <f>IF($K1118="","",IF($S1118="",0,IF(ISNUMBER(SEARCH("apport-exterieur",IFERROR(INDEX('Paramètres'!$N:$N,MATCH($D1118,'Paramètres'!$M:$M,0))&amp;"",""))),0,IF(OR(IFERROR(INDEX('Paramètres'!$I:$I,MATCH($C1118,'Paramètres'!$D:$D,0))&amp;"","")="Les deux",IFERROR(INDEX('Paramètres'!$I:$I,MATCH($C1118,'Paramètres'!$D:$D,0))&amp;"","")=IF($P1118=1,"Débit",$L1118)),-IF($P1118=1,-$K1118,$K1118),0))))</f>
        <v/>
      </c>
      <c r="U1118" s="6" t="str">
        <f>IF($K1118="","",IF(ISNUMBER(SEARCH("sortie-epargne",IFERROR(INDEX('Paramètres'!$N:$N,MATCH($D1118,'Paramètres'!$M:$M,0))&amp;"",""))),$K1118,0))</f>
        <v/>
      </c>
      <c r="V1118" s="6" t="str">
        <f>IF(AND($A1118&lt;&gt;"",$O1118=1,$L1118="Débit",N($Q1118)&gt;0,$A1118&gt;=Visualisation!$B$1,$A1118&lt;Visualisation!$D$1),MAX($V$1:V1117)+1,"")</f>
        <v/>
      </c>
    </row>
    <row r="1119" spans="1:22" x14ac:dyDescent="0.25">
      <c r="A1119" s="9"/>
      <c r="E1119" s="10"/>
      <c r="K1119" s="11" t="str">
        <f>IF($E1119="","",ROUND($E1119*IF(ISNA(MATCH($C1119,'Paramètres'!$D:$D,0)),1,IF(INDEX('Paramètres'!$J:$J,MATCH($C1119,'Paramètres'!$D:$D,0))="",1,INDEX('Paramètres'!$J:$J,MATCH($C1119,'Paramètres'!$D:$D,0)))),2))</f>
        <v/>
      </c>
      <c r="L1119" s="6" t="str">
        <f>IF($D1119="","",IF($F1119&lt;&gt;"",$F1119,IF(ISNA(MATCH($D1119,'Paramètres'!$M:$M,0)),"⚠ Type inconnu",IFERROR(INDEX('Paramètres'!$P:$P,MATCH($D1119,'Paramètres'!$M:$M,0))&amp;"",""))))</f>
        <v/>
      </c>
      <c r="M1119" s="6" t="str">
        <f>IF($D1119="","",IF(ISNA(MATCH($D1119,'Paramètres'!$M:$M,0)),"⚠ Type inconnu",IF($L1119="Crédit","",IFERROR(INDEX('Paramètres'!$O:$O,MATCH($D1119,'Paramètres'!$M:$M,0))&amp;"",""))))</f>
        <v/>
      </c>
      <c r="N1119" s="6" t="str">
        <f>IF($D1119="","",IFERROR(INDEX('Paramètres'!$Q:$Q,MATCH($D1119,'Paramètres'!$M:$M,0))&amp;"",""))</f>
        <v/>
      </c>
      <c r="O1119" s="6" t="str">
        <f>IF($A1119="","",IF(OR($J1119&lt;&gt;"x",$A1119&lt;=FinReleve),1,0))</f>
        <v/>
      </c>
      <c r="P1119" s="6" t="str">
        <f>IF($D1119="","",IF(AND($L1119="Crédit",OR(IFERROR(INDEX('Paramètres'!$O:$O,MATCH($D1119,'Paramètres'!$M:$M,0))&amp;"","")&lt;&gt;"",ISNUMBER(SEARCH("remboursement",IFERROR(INDEX('Paramètres'!$N:$N,MATCH($D1119,'Paramètres'!$M:$M,0))&amp;"",""))))),1,0))</f>
        <v/>
      </c>
      <c r="Q1119" s="6" t="str">
        <f>IF($K1119="","",IF(ISNUMBER(SEARCH("transfert-interne",IFERROR(INDEX('Paramètres'!$N:$N,MATCH($D1119,'Paramètres'!$M:$M,0))&amp;"",""))),0,IF($L1119="Débit",$K1119,IF($P1119=1,-$K1119,0))))</f>
        <v/>
      </c>
      <c r="R1119" s="6" t="str">
        <f>IF($K1119="","",IF($L1119="Crédit",$K1119,-$K1119))</f>
        <v/>
      </c>
      <c r="S1119" s="6" t="str">
        <f>IF($C1119="","",IFERROR(INDEX('Paramètres'!$H:$H,MATCH($C1119,'Paramètres'!$D:$D,0))&amp;"",""))</f>
        <v/>
      </c>
      <c r="T1119" s="6" t="str">
        <f>IF($K1119="","",IF($S1119="",0,IF(ISNUMBER(SEARCH("apport-exterieur",IFERROR(INDEX('Paramètres'!$N:$N,MATCH($D1119,'Paramètres'!$M:$M,0))&amp;"",""))),0,IF(OR(IFERROR(INDEX('Paramètres'!$I:$I,MATCH($C1119,'Paramètres'!$D:$D,0))&amp;"","")="Les deux",IFERROR(INDEX('Paramètres'!$I:$I,MATCH($C1119,'Paramètres'!$D:$D,0))&amp;"","")=IF($P1119=1,"Débit",$L1119)),-IF($P1119=1,-$K1119,$K1119),0))))</f>
        <v/>
      </c>
      <c r="U1119" s="6" t="str">
        <f>IF($K1119="","",IF(ISNUMBER(SEARCH("sortie-epargne",IFERROR(INDEX('Paramètres'!$N:$N,MATCH($D1119,'Paramètres'!$M:$M,0))&amp;"",""))),$K1119,0))</f>
        <v/>
      </c>
      <c r="V1119" s="6" t="str">
        <f>IF(AND($A1119&lt;&gt;"",$O1119=1,$L1119="Débit",N($Q1119)&gt;0,$A1119&gt;=Visualisation!$B$1,$A1119&lt;Visualisation!$D$1),MAX($V$1:V1118)+1,"")</f>
        <v/>
      </c>
    </row>
    <row r="1120" spans="1:22" x14ac:dyDescent="0.25">
      <c r="A1120" s="9"/>
      <c r="E1120" s="10"/>
      <c r="K1120" s="11" t="str">
        <f>IF($E1120="","",ROUND($E1120*IF(ISNA(MATCH($C1120,'Paramètres'!$D:$D,0)),1,IF(INDEX('Paramètres'!$J:$J,MATCH($C1120,'Paramètres'!$D:$D,0))="",1,INDEX('Paramètres'!$J:$J,MATCH($C1120,'Paramètres'!$D:$D,0)))),2))</f>
        <v/>
      </c>
      <c r="L1120" s="6" t="str">
        <f>IF($D1120="","",IF($F1120&lt;&gt;"",$F1120,IF(ISNA(MATCH($D1120,'Paramètres'!$M:$M,0)),"⚠ Type inconnu",IFERROR(INDEX('Paramètres'!$P:$P,MATCH($D1120,'Paramètres'!$M:$M,0))&amp;"",""))))</f>
        <v/>
      </c>
      <c r="M1120" s="6" t="str">
        <f>IF($D1120="","",IF(ISNA(MATCH($D1120,'Paramètres'!$M:$M,0)),"⚠ Type inconnu",IF($L1120="Crédit","",IFERROR(INDEX('Paramètres'!$O:$O,MATCH($D1120,'Paramètres'!$M:$M,0))&amp;"",""))))</f>
        <v/>
      </c>
      <c r="N1120" s="6" t="str">
        <f>IF($D1120="","",IFERROR(INDEX('Paramètres'!$Q:$Q,MATCH($D1120,'Paramètres'!$M:$M,0))&amp;"",""))</f>
        <v/>
      </c>
      <c r="O1120" s="6" t="str">
        <f>IF($A1120="","",IF(OR($J1120&lt;&gt;"x",$A1120&lt;=FinReleve),1,0))</f>
        <v/>
      </c>
      <c r="P1120" s="6" t="str">
        <f>IF($D1120="","",IF(AND($L1120="Crédit",OR(IFERROR(INDEX('Paramètres'!$O:$O,MATCH($D1120,'Paramètres'!$M:$M,0))&amp;"","")&lt;&gt;"",ISNUMBER(SEARCH("remboursement",IFERROR(INDEX('Paramètres'!$N:$N,MATCH($D1120,'Paramètres'!$M:$M,0))&amp;"",""))))),1,0))</f>
        <v/>
      </c>
      <c r="Q1120" s="6" t="str">
        <f>IF($K1120="","",IF(ISNUMBER(SEARCH("transfert-interne",IFERROR(INDEX('Paramètres'!$N:$N,MATCH($D1120,'Paramètres'!$M:$M,0))&amp;"",""))),0,IF($L1120="Débit",$K1120,IF($P1120=1,-$K1120,0))))</f>
        <v/>
      </c>
      <c r="R1120" s="6" t="str">
        <f>IF($K1120="","",IF($L1120="Crédit",$K1120,-$K1120))</f>
        <v/>
      </c>
      <c r="S1120" s="6" t="str">
        <f>IF($C1120="","",IFERROR(INDEX('Paramètres'!$H:$H,MATCH($C1120,'Paramètres'!$D:$D,0))&amp;"",""))</f>
        <v/>
      </c>
      <c r="T1120" s="6" t="str">
        <f>IF($K1120="","",IF($S1120="",0,IF(ISNUMBER(SEARCH("apport-exterieur",IFERROR(INDEX('Paramètres'!$N:$N,MATCH($D1120,'Paramètres'!$M:$M,0))&amp;"",""))),0,IF(OR(IFERROR(INDEX('Paramètres'!$I:$I,MATCH($C1120,'Paramètres'!$D:$D,0))&amp;"","")="Les deux",IFERROR(INDEX('Paramètres'!$I:$I,MATCH($C1120,'Paramètres'!$D:$D,0))&amp;"","")=IF($P1120=1,"Débit",$L1120)),-IF($P1120=1,-$K1120,$K1120),0))))</f>
        <v/>
      </c>
      <c r="U1120" s="6" t="str">
        <f>IF($K1120="","",IF(ISNUMBER(SEARCH("sortie-epargne",IFERROR(INDEX('Paramètres'!$N:$N,MATCH($D1120,'Paramètres'!$M:$M,0))&amp;"",""))),$K1120,0))</f>
        <v/>
      </c>
      <c r="V1120" s="6" t="str">
        <f>IF(AND($A1120&lt;&gt;"",$O1120=1,$L1120="Débit",N($Q1120)&gt;0,$A1120&gt;=Visualisation!$B$1,$A1120&lt;Visualisation!$D$1),MAX($V$1:V1119)+1,"")</f>
        <v/>
      </c>
    </row>
    <row r="1121" spans="1:22" x14ac:dyDescent="0.25">
      <c r="A1121" s="9"/>
      <c r="E1121" s="10"/>
      <c r="K1121" s="11" t="str">
        <f>IF($E1121="","",ROUND($E1121*IF(ISNA(MATCH($C1121,'Paramètres'!$D:$D,0)),1,IF(INDEX('Paramètres'!$J:$J,MATCH($C1121,'Paramètres'!$D:$D,0))="",1,INDEX('Paramètres'!$J:$J,MATCH($C1121,'Paramètres'!$D:$D,0)))),2))</f>
        <v/>
      </c>
      <c r="L1121" s="6" t="str">
        <f>IF($D1121="","",IF($F1121&lt;&gt;"",$F1121,IF(ISNA(MATCH($D1121,'Paramètres'!$M:$M,0)),"⚠ Type inconnu",IFERROR(INDEX('Paramètres'!$P:$P,MATCH($D1121,'Paramètres'!$M:$M,0))&amp;"",""))))</f>
        <v/>
      </c>
      <c r="M1121" s="6" t="str">
        <f>IF($D1121="","",IF(ISNA(MATCH($D1121,'Paramètres'!$M:$M,0)),"⚠ Type inconnu",IF($L1121="Crédit","",IFERROR(INDEX('Paramètres'!$O:$O,MATCH($D1121,'Paramètres'!$M:$M,0))&amp;"",""))))</f>
        <v/>
      </c>
      <c r="N1121" s="6" t="str">
        <f>IF($D1121="","",IFERROR(INDEX('Paramètres'!$Q:$Q,MATCH($D1121,'Paramètres'!$M:$M,0))&amp;"",""))</f>
        <v/>
      </c>
      <c r="O1121" s="6" t="str">
        <f>IF($A1121="","",IF(OR($J1121&lt;&gt;"x",$A1121&lt;=FinReleve),1,0))</f>
        <v/>
      </c>
      <c r="P1121" s="6" t="str">
        <f>IF($D1121="","",IF(AND($L1121="Crédit",OR(IFERROR(INDEX('Paramètres'!$O:$O,MATCH($D1121,'Paramètres'!$M:$M,0))&amp;"","")&lt;&gt;"",ISNUMBER(SEARCH("remboursement",IFERROR(INDEX('Paramètres'!$N:$N,MATCH($D1121,'Paramètres'!$M:$M,0))&amp;"",""))))),1,0))</f>
        <v/>
      </c>
      <c r="Q1121" s="6" t="str">
        <f>IF($K1121="","",IF(ISNUMBER(SEARCH("transfert-interne",IFERROR(INDEX('Paramètres'!$N:$N,MATCH($D1121,'Paramètres'!$M:$M,0))&amp;"",""))),0,IF($L1121="Débit",$K1121,IF($P1121=1,-$K1121,0))))</f>
        <v/>
      </c>
      <c r="R1121" s="6" t="str">
        <f>IF($K1121="","",IF($L1121="Crédit",$K1121,-$K1121))</f>
        <v/>
      </c>
      <c r="S1121" s="6" t="str">
        <f>IF($C1121="","",IFERROR(INDEX('Paramètres'!$H:$H,MATCH($C1121,'Paramètres'!$D:$D,0))&amp;"",""))</f>
        <v/>
      </c>
      <c r="T1121" s="6" t="str">
        <f>IF($K1121="","",IF($S1121="",0,IF(ISNUMBER(SEARCH("apport-exterieur",IFERROR(INDEX('Paramètres'!$N:$N,MATCH($D1121,'Paramètres'!$M:$M,0))&amp;"",""))),0,IF(OR(IFERROR(INDEX('Paramètres'!$I:$I,MATCH($C1121,'Paramètres'!$D:$D,0))&amp;"","")="Les deux",IFERROR(INDEX('Paramètres'!$I:$I,MATCH($C1121,'Paramètres'!$D:$D,0))&amp;"","")=IF($P1121=1,"Débit",$L1121)),-IF($P1121=1,-$K1121,$K1121),0))))</f>
        <v/>
      </c>
      <c r="U1121" s="6" t="str">
        <f>IF($K1121="","",IF(ISNUMBER(SEARCH("sortie-epargne",IFERROR(INDEX('Paramètres'!$N:$N,MATCH($D1121,'Paramètres'!$M:$M,0))&amp;"",""))),$K1121,0))</f>
        <v/>
      </c>
      <c r="V1121" s="6" t="str">
        <f>IF(AND($A1121&lt;&gt;"",$O1121=1,$L1121="Débit",N($Q1121)&gt;0,$A1121&gt;=Visualisation!$B$1,$A1121&lt;Visualisation!$D$1),MAX($V$1:V1120)+1,"")</f>
        <v/>
      </c>
    </row>
    <row r="1122" spans="1:22" x14ac:dyDescent="0.25">
      <c r="A1122" s="9"/>
      <c r="E1122" s="10"/>
      <c r="K1122" s="11" t="str">
        <f>IF($E1122="","",ROUND($E1122*IF(ISNA(MATCH($C1122,'Paramètres'!$D:$D,0)),1,IF(INDEX('Paramètres'!$J:$J,MATCH($C1122,'Paramètres'!$D:$D,0))="",1,INDEX('Paramètres'!$J:$J,MATCH($C1122,'Paramètres'!$D:$D,0)))),2))</f>
        <v/>
      </c>
      <c r="L1122" s="6" t="str">
        <f>IF($D1122="","",IF($F1122&lt;&gt;"",$F1122,IF(ISNA(MATCH($D1122,'Paramètres'!$M:$M,0)),"⚠ Type inconnu",IFERROR(INDEX('Paramètres'!$P:$P,MATCH($D1122,'Paramètres'!$M:$M,0))&amp;"",""))))</f>
        <v/>
      </c>
      <c r="M1122" s="6" t="str">
        <f>IF($D1122="","",IF(ISNA(MATCH($D1122,'Paramètres'!$M:$M,0)),"⚠ Type inconnu",IF($L1122="Crédit","",IFERROR(INDEX('Paramètres'!$O:$O,MATCH($D1122,'Paramètres'!$M:$M,0))&amp;"",""))))</f>
        <v/>
      </c>
      <c r="N1122" s="6" t="str">
        <f>IF($D1122="","",IFERROR(INDEX('Paramètres'!$Q:$Q,MATCH($D1122,'Paramètres'!$M:$M,0))&amp;"",""))</f>
        <v/>
      </c>
      <c r="O1122" s="6" t="str">
        <f>IF($A1122="","",IF(OR($J1122&lt;&gt;"x",$A1122&lt;=FinReleve),1,0))</f>
        <v/>
      </c>
      <c r="P1122" s="6" t="str">
        <f>IF($D1122="","",IF(AND($L1122="Crédit",OR(IFERROR(INDEX('Paramètres'!$O:$O,MATCH($D1122,'Paramètres'!$M:$M,0))&amp;"","")&lt;&gt;"",ISNUMBER(SEARCH("remboursement",IFERROR(INDEX('Paramètres'!$N:$N,MATCH($D1122,'Paramètres'!$M:$M,0))&amp;"",""))))),1,0))</f>
        <v/>
      </c>
      <c r="Q1122" s="6" t="str">
        <f>IF($K1122="","",IF(ISNUMBER(SEARCH("transfert-interne",IFERROR(INDEX('Paramètres'!$N:$N,MATCH($D1122,'Paramètres'!$M:$M,0))&amp;"",""))),0,IF($L1122="Débit",$K1122,IF($P1122=1,-$K1122,0))))</f>
        <v/>
      </c>
      <c r="R1122" s="6" t="str">
        <f>IF($K1122="","",IF($L1122="Crédit",$K1122,-$K1122))</f>
        <v/>
      </c>
      <c r="S1122" s="6" t="str">
        <f>IF($C1122="","",IFERROR(INDEX('Paramètres'!$H:$H,MATCH($C1122,'Paramètres'!$D:$D,0))&amp;"",""))</f>
        <v/>
      </c>
      <c r="T1122" s="6" t="str">
        <f>IF($K1122="","",IF($S1122="",0,IF(ISNUMBER(SEARCH("apport-exterieur",IFERROR(INDEX('Paramètres'!$N:$N,MATCH($D1122,'Paramètres'!$M:$M,0))&amp;"",""))),0,IF(OR(IFERROR(INDEX('Paramètres'!$I:$I,MATCH($C1122,'Paramètres'!$D:$D,0))&amp;"","")="Les deux",IFERROR(INDEX('Paramètres'!$I:$I,MATCH($C1122,'Paramètres'!$D:$D,0))&amp;"","")=IF($P1122=1,"Débit",$L1122)),-IF($P1122=1,-$K1122,$K1122),0))))</f>
        <v/>
      </c>
      <c r="U1122" s="6" t="str">
        <f>IF($K1122="","",IF(ISNUMBER(SEARCH("sortie-epargne",IFERROR(INDEX('Paramètres'!$N:$N,MATCH($D1122,'Paramètres'!$M:$M,0))&amp;"",""))),$K1122,0))</f>
        <v/>
      </c>
      <c r="V1122" s="6" t="str">
        <f>IF(AND($A1122&lt;&gt;"",$O1122=1,$L1122="Débit",N($Q1122)&gt;0,$A1122&gt;=Visualisation!$B$1,$A1122&lt;Visualisation!$D$1),MAX($V$1:V1121)+1,"")</f>
        <v/>
      </c>
    </row>
    <row r="1123" spans="1:22" x14ac:dyDescent="0.25">
      <c r="A1123" s="9"/>
      <c r="E1123" s="10"/>
      <c r="K1123" s="11" t="str">
        <f>IF($E1123="","",ROUND($E1123*IF(ISNA(MATCH($C1123,'Paramètres'!$D:$D,0)),1,IF(INDEX('Paramètres'!$J:$J,MATCH($C1123,'Paramètres'!$D:$D,0))="",1,INDEX('Paramètres'!$J:$J,MATCH($C1123,'Paramètres'!$D:$D,0)))),2))</f>
        <v/>
      </c>
      <c r="L1123" s="6" t="str">
        <f>IF($D1123="","",IF($F1123&lt;&gt;"",$F1123,IF(ISNA(MATCH($D1123,'Paramètres'!$M:$M,0)),"⚠ Type inconnu",IFERROR(INDEX('Paramètres'!$P:$P,MATCH($D1123,'Paramètres'!$M:$M,0))&amp;"",""))))</f>
        <v/>
      </c>
      <c r="M1123" s="6" t="str">
        <f>IF($D1123="","",IF(ISNA(MATCH($D1123,'Paramètres'!$M:$M,0)),"⚠ Type inconnu",IF($L1123="Crédit","",IFERROR(INDEX('Paramètres'!$O:$O,MATCH($D1123,'Paramètres'!$M:$M,0))&amp;"",""))))</f>
        <v/>
      </c>
      <c r="N1123" s="6" t="str">
        <f>IF($D1123="","",IFERROR(INDEX('Paramètres'!$Q:$Q,MATCH($D1123,'Paramètres'!$M:$M,0))&amp;"",""))</f>
        <v/>
      </c>
      <c r="O1123" s="6" t="str">
        <f>IF($A1123="","",IF(OR($J1123&lt;&gt;"x",$A1123&lt;=FinReleve),1,0))</f>
        <v/>
      </c>
      <c r="P1123" s="6" t="str">
        <f>IF($D1123="","",IF(AND($L1123="Crédit",OR(IFERROR(INDEX('Paramètres'!$O:$O,MATCH($D1123,'Paramètres'!$M:$M,0))&amp;"","")&lt;&gt;"",ISNUMBER(SEARCH("remboursement",IFERROR(INDEX('Paramètres'!$N:$N,MATCH($D1123,'Paramètres'!$M:$M,0))&amp;"",""))))),1,0))</f>
        <v/>
      </c>
      <c r="Q1123" s="6" t="str">
        <f>IF($K1123="","",IF(ISNUMBER(SEARCH("transfert-interne",IFERROR(INDEX('Paramètres'!$N:$N,MATCH($D1123,'Paramètres'!$M:$M,0))&amp;"",""))),0,IF($L1123="Débit",$K1123,IF($P1123=1,-$K1123,0))))</f>
        <v/>
      </c>
      <c r="R1123" s="6" t="str">
        <f>IF($K1123="","",IF($L1123="Crédit",$K1123,-$K1123))</f>
        <v/>
      </c>
      <c r="S1123" s="6" t="str">
        <f>IF($C1123="","",IFERROR(INDEX('Paramètres'!$H:$H,MATCH($C1123,'Paramètres'!$D:$D,0))&amp;"",""))</f>
        <v/>
      </c>
      <c r="T1123" s="6" t="str">
        <f>IF($K1123="","",IF($S1123="",0,IF(ISNUMBER(SEARCH("apport-exterieur",IFERROR(INDEX('Paramètres'!$N:$N,MATCH($D1123,'Paramètres'!$M:$M,0))&amp;"",""))),0,IF(OR(IFERROR(INDEX('Paramètres'!$I:$I,MATCH($C1123,'Paramètres'!$D:$D,0))&amp;"","")="Les deux",IFERROR(INDEX('Paramètres'!$I:$I,MATCH($C1123,'Paramètres'!$D:$D,0))&amp;"","")=IF($P1123=1,"Débit",$L1123)),-IF($P1123=1,-$K1123,$K1123),0))))</f>
        <v/>
      </c>
      <c r="U1123" s="6" t="str">
        <f>IF($K1123="","",IF(ISNUMBER(SEARCH("sortie-epargne",IFERROR(INDEX('Paramètres'!$N:$N,MATCH($D1123,'Paramètres'!$M:$M,0))&amp;"",""))),$K1123,0))</f>
        <v/>
      </c>
      <c r="V1123" s="6" t="str">
        <f>IF(AND($A1123&lt;&gt;"",$O1123=1,$L1123="Débit",N($Q1123)&gt;0,$A1123&gt;=Visualisation!$B$1,$A1123&lt;Visualisation!$D$1),MAX($V$1:V1122)+1,"")</f>
        <v/>
      </c>
    </row>
    <row r="1124" spans="1:22" x14ac:dyDescent="0.25">
      <c r="A1124" s="9"/>
      <c r="E1124" s="10"/>
      <c r="K1124" s="11" t="str">
        <f>IF($E1124="","",ROUND($E1124*IF(ISNA(MATCH($C1124,'Paramètres'!$D:$D,0)),1,IF(INDEX('Paramètres'!$J:$J,MATCH($C1124,'Paramètres'!$D:$D,0))="",1,INDEX('Paramètres'!$J:$J,MATCH($C1124,'Paramètres'!$D:$D,0)))),2))</f>
        <v/>
      </c>
      <c r="L1124" s="6" t="str">
        <f>IF($D1124="","",IF($F1124&lt;&gt;"",$F1124,IF(ISNA(MATCH($D1124,'Paramètres'!$M:$M,0)),"⚠ Type inconnu",IFERROR(INDEX('Paramètres'!$P:$P,MATCH($D1124,'Paramètres'!$M:$M,0))&amp;"",""))))</f>
        <v/>
      </c>
      <c r="M1124" s="6" t="str">
        <f>IF($D1124="","",IF(ISNA(MATCH($D1124,'Paramètres'!$M:$M,0)),"⚠ Type inconnu",IF($L1124="Crédit","",IFERROR(INDEX('Paramètres'!$O:$O,MATCH($D1124,'Paramètres'!$M:$M,0))&amp;"",""))))</f>
        <v/>
      </c>
      <c r="N1124" s="6" t="str">
        <f>IF($D1124="","",IFERROR(INDEX('Paramètres'!$Q:$Q,MATCH($D1124,'Paramètres'!$M:$M,0))&amp;"",""))</f>
        <v/>
      </c>
      <c r="O1124" s="6" t="str">
        <f>IF($A1124="","",IF(OR($J1124&lt;&gt;"x",$A1124&lt;=FinReleve),1,0))</f>
        <v/>
      </c>
      <c r="P1124" s="6" t="str">
        <f>IF($D1124="","",IF(AND($L1124="Crédit",OR(IFERROR(INDEX('Paramètres'!$O:$O,MATCH($D1124,'Paramètres'!$M:$M,0))&amp;"","")&lt;&gt;"",ISNUMBER(SEARCH("remboursement",IFERROR(INDEX('Paramètres'!$N:$N,MATCH($D1124,'Paramètres'!$M:$M,0))&amp;"",""))))),1,0))</f>
        <v/>
      </c>
      <c r="Q1124" s="6" t="str">
        <f>IF($K1124="","",IF(ISNUMBER(SEARCH("transfert-interne",IFERROR(INDEX('Paramètres'!$N:$N,MATCH($D1124,'Paramètres'!$M:$M,0))&amp;"",""))),0,IF($L1124="Débit",$K1124,IF($P1124=1,-$K1124,0))))</f>
        <v/>
      </c>
      <c r="R1124" s="6" t="str">
        <f>IF($K1124="","",IF($L1124="Crédit",$K1124,-$K1124))</f>
        <v/>
      </c>
      <c r="S1124" s="6" t="str">
        <f>IF($C1124="","",IFERROR(INDEX('Paramètres'!$H:$H,MATCH($C1124,'Paramètres'!$D:$D,0))&amp;"",""))</f>
        <v/>
      </c>
      <c r="T1124" s="6" t="str">
        <f>IF($K1124="","",IF($S1124="",0,IF(ISNUMBER(SEARCH("apport-exterieur",IFERROR(INDEX('Paramètres'!$N:$N,MATCH($D1124,'Paramètres'!$M:$M,0))&amp;"",""))),0,IF(OR(IFERROR(INDEX('Paramètres'!$I:$I,MATCH($C1124,'Paramètres'!$D:$D,0))&amp;"","")="Les deux",IFERROR(INDEX('Paramètres'!$I:$I,MATCH($C1124,'Paramètres'!$D:$D,0))&amp;"","")=IF($P1124=1,"Débit",$L1124)),-IF($P1124=1,-$K1124,$K1124),0))))</f>
        <v/>
      </c>
      <c r="U1124" s="6" t="str">
        <f>IF($K1124="","",IF(ISNUMBER(SEARCH("sortie-epargne",IFERROR(INDEX('Paramètres'!$N:$N,MATCH($D1124,'Paramètres'!$M:$M,0))&amp;"",""))),$K1124,0))</f>
        <v/>
      </c>
      <c r="V1124" s="6" t="str">
        <f>IF(AND($A1124&lt;&gt;"",$O1124=1,$L1124="Débit",N($Q1124)&gt;0,$A1124&gt;=Visualisation!$B$1,$A1124&lt;Visualisation!$D$1),MAX($V$1:V1123)+1,"")</f>
        <v/>
      </c>
    </row>
    <row r="1125" spans="1:22" x14ac:dyDescent="0.25">
      <c r="A1125" s="9"/>
      <c r="E1125" s="10"/>
      <c r="K1125" s="11" t="str">
        <f>IF($E1125="","",ROUND($E1125*IF(ISNA(MATCH($C1125,'Paramètres'!$D:$D,0)),1,IF(INDEX('Paramètres'!$J:$J,MATCH($C1125,'Paramètres'!$D:$D,0))="",1,INDEX('Paramètres'!$J:$J,MATCH($C1125,'Paramètres'!$D:$D,0)))),2))</f>
        <v/>
      </c>
      <c r="L1125" s="6" t="str">
        <f>IF($D1125="","",IF($F1125&lt;&gt;"",$F1125,IF(ISNA(MATCH($D1125,'Paramètres'!$M:$M,0)),"⚠ Type inconnu",IFERROR(INDEX('Paramètres'!$P:$P,MATCH($D1125,'Paramètres'!$M:$M,0))&amp;"",""))))</f>
        <v/>
      </c>
      <c r="M1125" s="6" t="str">
        <f>IF($D1125="","",IF(ISNA(MATCH($D1125,'Paramètres'!$M:$M,0)),"⚠ Type inconnu",IF($L1125="Crédit","",IFERROR(INDEX('Paramètres'!$O:$O,MATCH($D1125,'Paramètres'!$M:$M,0))&amp;"",""))))</f>
        <v/>
      </c>
      <c r="N1125" s="6" t="str">
        <f>IF($D1125="","",IFERROR(INDEX('Paramètres'!$Q:$Q,MATCH($D1125,'Paramètres'!$M:$M,0))&amp;"",""))</f>
        <v/>
      </c>
      <c r="O1125" s="6" t="str">
        <f>IF($A1125="","",IF(OR($J1125&lt;&gt;"x",$A1125&lt;=FinReleve),1,0))</f>
        <v/>
      </c>
      <c r="P1125" s="6" t="str">
        <f>IF($D1125="","",IF(AND($L1125="Crédit",OR(IFERROR(INDEX('Paramètres'!$O:$O,MATCH($D1125,'Paramètres'!$M:$M,0))&amp;"","")&lt;&gt;"",ISNUMBER(SEARCH("remboursement",IFERROR(INDEX('Paramètres'!$N:$N,MATCH($D1125,'Paramètres'!$M:$M,0))&amp;"",""))))),1,0))</f>
        <v/>
      </c>
      <c r="Q1125" s="6" t="str">
        <f>IF($K1125="","",IF(ISNUMBER(SEARCH("transfert-interne",IFERROR(INDEX('Paramètres'!$N:$N,MATCH($D1125,'Paramètres'!$M:$M,0))&amp;"",""))),0,IF($L1125="Débit",$K1125,IF($P1125=1,-$K1125,0))))</f>
        <v/>
      </c>
      <c r="R1125" s="6" t="str">
        <f>IF($K1125="","",IF($L1125="Crédit",$K1125,-$K1125))</f>
        <v/>
      </c>
      <c r="S1125" s="6" t="str">
        <f>IF($C1125="","",IFERROR(INDEX('Paramètres'!$H:$H,MATCH($C1125,'Paramètres'!$D:$D,0))&amp;"",""))</f>
        <v/>
      </c>
      <c r="T1125" s="6" t="str">
        <f>IF($K1125="","",IF($S1125="",0,IF(ISNUMBER(SEARCH("apport-exterieur",IFERROR(INDEX('Paramètres'!$N:$N,MATCH($D1125,'Paramètres'!$M:$M,0))&amp;"",""))),0,IF(OR(IFERROR(INDEX('Paramètres'!$I:$I,MATCH($C1125,'Paramètres'!$D:$D,0))&amp;"","")="Les deux",IFERROR(INDEX('Paramètres'!$I:$I,MATCH($C1125,'Paramètres'!$D:$D,0))&amp;"","")=IF($P1125=1,"Débit",$L1125)),-IF($P1125=1,-$K1125,$K1125),0))))</f>
        <v/>
      </c>
      <c r="U1125" s="6" t="str">
        <f>IF($K1125="","",IF(ISNUMBER(SEARCH("sortie-epargne",IFERROR(INDEX('Paramètres'!$N:$N,MATCH($D1125,'Paramètres'!$M:$M,0))&amp;"",""))),$K1125,0))</f>
        <v/>
      </c>
      <c r="V1125" s="6" t="str">
        <f>IF(AND($A1125&lt;&gt;"",$O1125=1,$L1125="Débit",N($Q1125)&gt;0,$A1125&gt;=Visualisation!$B$1,$A1125&lt;Visualisation!$D$1),MAX($V$1:V1124)+1,"")</f>
        <v/>
      </c>
    </row>
    <row r="1126" spans="1:22" x14ac:dyDescent="0.25">
      <c r="A1126" s="9"/>
      <c r="E1126" s="10"/>
      <c r="K1126" s="11" t="str">
        <f>IF($E1126="","",ROUND($E1126*IF(ISNA(MATCH($C1126,'Paramètres'!$D:$D,0)),1,IF(INDEX('Paramètres'!$J:$J,MATCH($C1126,'Paramètres'!$D:$D,0))="",1,INDEX('Paramètres'!$J:$J,MATCH($C1126,'Paramètres'!$D:$D,0)))),2))</f>
        <v/>
      </c>
      <c r="L1126" s="6" t="str">
        <f>IF($D1126="","",IF($F1126&lt;&gt;"",$F1126,IF(ISNA(MATCH($D1126,'Paramètres'!$M:$M,0)),"⚠ Type inconnu",IFERROR(INDEX('Paramètres'!$P:$P,MATCH($D1126,'Paramètres'!$M:$M,0))&amp;"",""))))</f>
        <v/>
      </c>
      <c r="M1126" s="6" t="str">
        <f>IF($D1126="","",IF(ISNA(MATCH($D1126,'Paramètres'!$M:$M,0)),"⚠ Type inconnu",IF($L1126="Crédit","",IFERROR(INDEX('Paramètres'!$O:$O,MATCH($D1126,'Paramètres'!$M:$M,0))&amp;"",""))))</f>
        <v/>
      </c>
      <c r="N1126" s="6" t="str">
        <f>IF($D1126="","",IFERROR(INDEX('Paramètres'!$Q:$Q,MATCH($D1126,'Paramètres'!$M:$M,0))&amp;"",""))</f>
        <v/>
      </c>
      <c r="O1126" s="6" t="str">
        <f>IF($A1126="","",IF(OR($J1126&lt;&gt;"x",$A1126&lt;=FinReleve),1,0))</f>
        <v/>
      </c>
      <c r="P1126" s="6" t="str">
        <f>IF($D1126="","",IF(AND($L1126="Crédit",OR(IFERROR(INDEX('Paramètres'!$O:$O,MATCH($D1126,'Paramètres'!$M:$M,0))&amp;"","")&lt;&gt;"",ISNUMBER(SEARCH("remboursement",IFERROR(INDEX('Paramètres'!$N:$N,MATCH($D1126,'Paramètres'!$M:$M,0))&amp;"",""))))),1,0))</f>
        <v/>
      </c>
      <c r="Q1126" s="6" t="str">
        <f>IF($K1126="","",IF(ISNUMBER(SEARCH("transfert-interne",IFERROR(INDEX('Paramètres'!$N:$N,MATCH($D1126,'Paramètres'!$M:$M,0))&amp;"",""))),0,IF($L1126="Débit",$K1126,IF($P1126=1,-$K1126,0))))</f>
        <v/>
      </c>
      <c r="R1126" s="6" t="str">
        <f>IF($K1126="","",IF($L1126="Crédit",$K1126,-$K1126))</f>
        <v/>
      </c>
      <c r="S1126" s="6" t="str">
        <f>IF($C1126="","",IFERROR(INDEX('Paramètres'!$H:$H,MATCH($C1126,'Paramètres'!$D:$D,0))&amp;"",""))</f>
        <v/>
      </c>
      <c r="T1126" s="6" t="str">
        <f>IF($K1126="","",IF($S1126="",0,IF(ISNUMBER(SEARCH("apport-exterieur",IFERROR(INDEX('Paramètres'!$N:$N,MATCH($D1126,'Paramètres'!$M:$M,0))&amp;"",""))),0,IF(OR(IFERROR(INDEX('Paramètres'!$I:$I,MATCH($C1126,'Paramètres'!$D:$D,0))&amp;"","")="Les deux",IFERROR(INDEX('Paramètres'!$I:$I,MATCH($C1126,'Paramètres'!$D:$D,0))&amp;"","")=IF($P1126=1,"Débit",$L1126)),-IF($P1126=1,-$K1126,$K1126),0))))</f>
        <v/>
      </c>
      <c r="U1126" s="6" t="str">
        <f>IF($K1126="","",IF(ISNUMBER(SEARCH("sortie-epargne",IFERROR(INDEX('Paramètres'!$N:$N,MATCH($D1126,'Paramètres'!$M:$M,0))&amp;"",""))),$K1126,0))</f>
        <v/>
      </c>
      <c r="V1126" s="6" t="str">
        <f>IF(AND($A1126&lt;&gt;"",$O1126=1,$L1126="Débit",N($Q1126)&gt;0,$A1126&gt;=Visualisation!$B$1,$A1126&lt;Visualisation!$D$1),MAX($V$1:V1125)+1,"")</f>
        <v/>
      </c>
    </row>
    <row r="1127" spans="1:22" x14ac:dyDescent="0.25">
      <c r="A1127" s="9"/>
      <c r="E1127" s="10"/>
      <c r="K1127" s="11" t="str">
        <f>IF($E1127="","",ROUND($E1127*IF(ISNA(MATCH($C1127,'Paramètres'!$D:$D,0)),1,IF(INDEX('Paramètres'!$J:$J,MATCH($C1127,'Paramètres'!$D:$D,0))="",1,INDEX('Paramètres'!$J:$J,MATCH($C1127,'Paramètres'!$D:$D,0)))),2))</f>
        <v/>
      </c>
      <c r="L1127" s="6" t="str">
        <f>IF($D1127="","",IF($F1127&lt;&gt;"",$F1127,IF(ISNA(MATCH($D1127,'Paramètres'!$M:$M,0)),"⚠ Type inconnu",IFERROR(INDEX('Paramètres'!$P:$P,MATCH($D1127,'Paramètres'!$M:$M,0))&amp;"",""))))</f>
        <v/>
      </c>
      <c r="M1127" s="6" t="str">
        <f>IF($D1127="","",IF(ISNA(MATCH($D1127,'Paramètres'!$M:$M,0)),"⚠ Type inconnu",IF($L1127="Crédit","",IFERROR(INDEX('Paramètres'!$O:$O,MATCH($D1127,'Paramètres'!$M:$M,0))&amp;"",""))))</f>
        <v/>
      </c>
      <c r="N1127" s="6" t="str">
        <f>IF($D1127="","",IFERROR(INDEX('Paramètres'!$Q:$Q,MATCH($D1127,'Paramètres'!$M:$M,0))&amp;"",""))</f>
        <v/>
      </c>
      <c r="O1127" s="6" t="str">
        <f>IF($A1127="","",IF(OR($J1127&lt;&gt;"x",$A1127&lt;=FinReleve),1,0))</f>
        <v/>
      </c>
      <c r="P1127" s="6" t="str">
        <f>IF($D1127="","",IF(AND($L1127="Crédit",OR(IFERROR(INDEX('Paramètres'!$O:$O,MATCH($D1127,'Paramètres'!$M:$M,0))&amp;"","")&lt;&gt;"",ISNUMBER(SEARCH("remboursement",IFERROR(INDEX('Paramètres'!$N:$N,MATCH($D1127,'Paramètres'!$M:$M,0))&amp;"",""))))),1,0))</f>
        <v/>
      </c>
      <c r="Q1127" s="6" t="str">
        <f>IF($K1127="","",IF(ISNUMBER(SEARCH("transfert-interne",IFERROR(INDEX('Paramètres'!$N:$N,MATCH($D1127,'Paramètres'!$M:$M,0))&amp;"",""))),0,IF($L1127="Débit",$K1127,IF($P1127=1,-$K1127,0))))</f>
        <v/>
      </c>
      <c r="R1127" s="6" t="str">
        <f>IF($K1127="","",IF($L1127="Crédit",$K1127,-$K1127))</f>
        <v/>
      </c>
      <c r="S1127" s="6" t="str">
        <f>IF($C1127="","",IFERROR(INDEX('Paramètres'!$H:$H,MATCH($C1127,'Paramètres'!$D:$D,0))&amp;"",""))</f>
        <v/>
      </c>
      <c r="T1127" s="6" t="str">
        <f>IF($K1127="","",IF($S1127="",0,IF(ISNUMBER(SEARCH("apport-exterieur",IFERROR(INDEX('Paramètres'!$N:$N,MATCH($D1127,'Paramètres'!$M:$M,0))&amp;"",""))),0,IF(OR(IFERROR(INDEX('Paramètres'!$I:$I,MATCH($C1127,'Paramètres'!$D:$D,0))&amp;"","")="Les deux",IFERROR(INDEX('Paramètres'!$I:$I,MATCH($C1127,'Paramètres'!$D:$D,0))&amp;"","")=IF($P1127=1,"Débit",$L1127)),-IF($P1127=1,-$K1127,$K1127),0))))</f>
        <v/>
      </c>
      <c r="U1127" s="6" t="str">
        <f>IF($K1127="","",IF(ISNUMBER(SEARCH("sortie-epargne",IFERROR(INDEX('Paramètres'!$N:$N,MATCH($D1127,'Paramètres'!$M:$M,0))&amp;"",""))),$K1127,0))</f>
        <v/>
      </c>
      <c r="V1127" s="6" t="str">
        <f>IF(AND($A1127&lt;&gt;"",$O1127=1,$L1127="Débit",N($Q1127)&gt;0,$A1127&gt;=Visualisation!$B$1,$A1127&lt;Visualisation!$D$1),MAX($V$1:V1126)+1,"")</f>
        <v/>
      </c>
    </row>
    <row r="1128" spans="1:22" x14ac:dyDescent="0.25">
      <c r="A1128" s="9"/>
      <c r="E1128" s="10"/>
      <c r="K1128" s="11" t="str">
        <f>IF($E1128="","",ROUND($E1128*IF(ISNA(MATCH($C1128,'Paramètres'!$D:$D,0)),1,IF(INDEX('Paramètres'!$J:$J,MATCH($C1128,'Paramètres'!$D:$D,0))="",1,INDEX('Paramètres'!$J:$J,MATCH($C1128,'Paramètres'!$D:$D,0)))),2))</f>
        <v/>
      </c>
      <c r="L1128" s="6" t="str">
        <f>IF($D1128="","",IF($F1128&lt;&gt;"",$F1128,IF(ISNA(MATCH($D1128,'Paramètres'!$M:$M,0)),"⚠ Type inconnu",IFERROR(INDEX('Paramètres'!$P:$P,MATCH($D1128,'Paramètres'!$M:$M,0))&amp;"",""))))</f>
        <v/>
      </c>
      <c r="M1128" s="6" t="str">
        <f>IF($D1128="","",IF(ISNA(MATCH($D1128,'Paramètres'!$M:$M,0)),"⚠ Type inconnu",IF($L1128="Crédit","",IFERROR(INDEX('Paramètres'!$O:$O,MATCH($D1128,'Paramètres'!$M:$M,0))&amp;"",""))))</f>
        <v/>
      </c>
      <c r="N1128" s="6" t="str">
        <f>IF($D1128="","",IFERROR(INDEX('Paramètres'!$Q:$Q,MATCH($D1128,'Paramètres'!$M:$M,0))&amp;"",""))</f>
        <v/>
      </c>
      <c r="O1128" s="6" t="str">
        <f>IF($A1128="","",IF(OR($J1128&lt;&gt;"x",$A1128&lt;=FinReleve),1,0))</f>
        <v/>
      </c>
      <c r="P1128" s="6" t="str">
        <f>IF($D1128="","",IF(AND($L1128="Crédit",OR(IFERROR(INDEX('Paramètres'!$O:$O,MATCH($D1128,'Paramètres'!$M:$M,0))&amp;"","")&lt;&gt;"",ISNUMBER(SEARCH("remboursement",IFERROR(INDEX('Paramètres'!$N:$N,MATCH($D1128,'Paramètres'!$M:$M,0))&amp;"",""))))),1,0))</f>
        <v/>
      </c>
      <c r="Q1128" s="6" t="str">
        <f>IF($K1128="","",IF(ISNUMBER(SEARCH("transfert-interne",IFERROR(INDEX('Paramètres'!$N:$N,MATCH($D1128,'Paramètres'!$M:$M,0))&amp;"",""))),0,IF($L1128="Débit",$K1128,IF($P1128=1,-$K1128,0))))</f>
        <v/>
      </c>
      <c r="R1128" s="6" t="str">
        <f>IF($K1128="","",IF($L1128="Crédit",$K1128,-$K1128))</f>
        <v/>
      </c>
      <c r="S1128" s="6" t="str">
        <f>IF($C1128="","",IFERROR(INDEX('Paramètres'!$H:$H,MATCH($C1128,'Paramètres'!$D:$D,0))&amp;"",""))</f>
        <v/>
      </c>
      <c r="T1128" s="6" t="str">
        <f>IF($K1128="","",IF($S1128="",0,IF(ISNUMBER(SEARCH("apport-exterieur",IFERROR(INDEX('Paramètres'!$N:$N,MATCH($D1128,'Paramètres'!$M:$M,0))&amp;"",""))),0,IF(OR(IFERROR(INDEX('Paramètres'!$I:$I,MATCH($C1128,'Paramètres'!$D:$D,0))&amp;"","")="Les deux",IFERROR(INDEX('Paramètres'!$I:$I,MATCH($C1128,'Paramètres'!$D:$D,0))&amp;"","")=IF($P1128=1,"Débit",$L1128)),-IF($P1128=1,-$K1128,$K1128),0))))</f>
        <v/>
      </c>
      <c r="U1128" s="6" t="str">
        <f>IF($K1128="","",IF(ISNUMBER(SEARCH("sortie-epargne",IFERROR(INDEX('Paramètres'!$N:$N,MATCH($D1128,'Paramètres'!$M:$M,0))&amp;"",""))),$K1128,0))</f>
        <v/>
      </c>
      <c r="V1128" s="6" t="str">
        <f>IF(AND($A1128&lt;&gt;"",$O1128=1,$L1128="Débit",N($Q1128)&gt;0,$A1128&gt;=Visualisation!$B$1,$A1128&lt;Visualisation!$D$1),MAX($V$1:V1127)+1,"")</f>
        <v/>
      </c>
    </row>
    <row r="1129" spans="1:22" x14ac:dyDescent="0.25">
      <c r="A1129" s="9"/>
      <c r="E1129" s="10"/>
      <c r="K1129" s="11" t="str">
        <f>IF($E1129="","",ROUND($E1129*IF(ISNA(MATCH($C1129,'Paramètres'!$D:$D,0)),1,IF(INDEX('Paramètres'!$J:$J,MATCH($C1129,'Paramètres'!$D:$D,0))="",1,INDEX('Paramètres'!$J:$J,MATCH($C1129,'Paramètres'!$D:$D,0)))),2))</f>
        <v/>
      </c>
      <c r="L1129" s="6" t="str">
        <f>IF($D1129="","",IF($F1129&lt;&gt;"",$F1129,IF(ISNA(MATCH($D1129,'Paramètres'!$M:$M,0)),"⚠ Type inconnu",IFERROR(INDEX('Paramètres'!$P:$P,MATCH($D1129,'Paramètres'!$M:$M,0))&amp;"",""))))</f>
        <v/>
      </c>
      <c r="M1129" s="6" t="str">
        <f>IF($D1129="","",IF(ISNA(MATCH($D1129,'Paramètres'!$M:$M,0)),"⚠ Type inconnu",IF($L1129="Crédit","",IFERROR(INDEX('Paramètres'!$O:$O,MATCH($D1129,'Paramètres'!$M:$M,0))&amp;"",""))))</f>
        <v/>
      </c>
      <c r="N1129" s="6" t="str">
        <f>IF($D1129="","",IFERROR(INDEX('Paramètres'!$Q:$Q,MATCH($D1129,'Paramètres'!$M:$M,0))&amp;"",""))</f>
        <v/>
      </c>
      <c r="O1129" s="6" t="str">
        <f>IF($A1129="","",IF(OR($J1129&lt;&gt;"x",$A1129&lt;=FinReleve),1,0))</f>
        <v/>
      </c>
      <c r="P1129" s="6" t="str">
        <f>IF($D1129="","",IF(AND($L1129="Crédit",OR(IFERROR(INDEX('Paramètres'!$O:$O,MATCH($D1129,'Paramètres'!$M:$M,0))&amp;"","")&lt;&gt;"",ISNUMBER(SEARCH("remboursement",IFERROR(INDEX('Paramètres'!$N:$N,MATCH($D1129,'Paramètres'!$M:$M,0))&amp;"",""))))),1,0))</f>
        <v/>
      </c>
      <c r="Q1129" s="6" t="str">
        <f>IF($K1129="","",IF(ISNUMBER(SEARCH("transfert-interne",IFERROR(INDEX('Paramètres'!$N:$N,MATCH($D1129,'Paramètres'!$M:$M,0))&amp;"",""))),0,IF($L1129="Débit",$K1129,IF($P1129=1,-$K1129,0))))</f>
        <v/>
      </c>
      <c r="R1129" s="6" t="str">
        <f>IF($K1129="","",IF($L1129="Crédit",$K1129,-$K1129))</f>
        <v/>
      </c>
      <c r="S1129" s="6" t="str">
        <f>IF($C1129="","",IFERROR(INDEX('Paramètres'!$H:$H,MATCH($C1129,'Paramètres'!$D:$D,0))&amp;"",""))</f>
        <v/>
      </c>
      <c r="T1129" s="6" t="str">
        <f>IF($K1129="","",IF($S1129="",0,IF(ISNUMBER(SEARCH("apport-exterieur",IFERROR(INDEX('Paramètres'!$N:$N,MATCH($D1129,'Paramètres'!$M:$M,0))&amp;"",""))),0,IF(OR(IFERROR(INDEX('Paramètres'!$I:$I,MATCH($C1129,'Paramètres'!$D:$D,0))&amp;"","")="Les deux",IFERROR(INDEX('Paramètres'!$I:$I,MATCH($C1129,'Paramètres'!$D:$D,0))&amp;"","")=IF($P1129=1,"Débit",$L1129)),-IF($P1129=1,-$K1129,$K1129),0))))</f>
        <v/>
      </c>
      <c r="U1129" s="6" t="str">
        <f>IF($K1129="","",IF(ISNUMBER(SEARCH("sortie-epargne",IFERROR(INDEX('Paramètres'!$N:$N,MATCH($D1129,'Paramètres'!$M:$M,0))&amp;"",""))),$K1129,0))</f>
        <v/>
      </c>
      <c r="V1129" s="6" t="str">
        <f>IF(AND($A1129&lt;&gt;"",$O1129=1,$L1129="Débit",N($Q1129)&gt;0,$A1129&gt;=Visualisation!$B$1,$A1129&lt;Visualisation!$D$1),MAX($V$1:V1128)+1,"")</f>
        <v/>
      </c>
    </row>
    <row r="1130" spans="1:22" x14ac:dyDescent="0.25">
      <c r="A1130" s="9"/>
      <c r="E1130" s="10"/>
      <c r="K1130" s="11" t="str">
        <f>IF($E1130="","",ROUND($E1130*IF(ISNA(MATCH($C1130,'Paramètres'!$D:$D,0)),1,IF(INDEX('Paramètres'!$J:$J,MATCH($C1130,'Paramètres'!$D:$D,0))="",1,INDEX('Paramètres'!$J:$J,MATCH($C1130,'Paramètres'!$D:$D,0)))),2))</f>
        <v/>
      </c>
      <c r="L1130" s="6" t="str">
        <f>IF($D1130="","",IF($F1130&lt;&gt;"",$F1130,IF(ISNA(MATCH($D1130,'Paramètres'!$M:$M,0)),"⚠ Type inconnu",IFERROR(INDEX('Paramètres'!$P:$P,MATCH($D1130,'Paramètres'!$M:$M,0))&amp;"",""))))</f>
        <v/>
      </c>
      <c r="M1130" s="6" t="str">
        <f>IF($D1130="","",IF(ISNA(MATCH($D1130,'Paramètres'!$M:$M,0)),"⚠ Type inconnu",IF($L1130="Crédit","",IFERROR(INDEX('Paramètres'!$O:$O,MATCH($D1130,'Paramètres'!$M:$M,0))&amp;"",""))))</f>
        <v/>
      </c>
      <c r="N1130" s="6" t="str">
        <f>IF($D1130="","",IFERROR(INDEX('Paramètres'!$Q:$Q,MATCH($D1130,'Paramètres'!$M:$M,0))&amp;"",""))</f>
        <v/>
      </c>
      <c r="O1130" s="6" t="str">
        <f>IF($A1130="","",IF(OR($J1130&lt;&gt;"x",$A1130&lt;=FinReleve),1,0))</f>
        <v/>
      </c>
      <c r="P1130" s="6" t="str">
        <f>IF($D1130="","",IF(AND($L1130="Crédit",OR(IFERROR(INDEX('Paramètres'!$O:$O,MATCH($D1130,'Paramètres'!$M:$M,0))&amp;"","")&lt;&gt;"",ISNUMBER(SEARCH("remboursement",IFERROR(INDEX('Paramètres'!$N:$N,MATCH($D1130,'Paramètres'!$M:$M,0))&amp;"",""))))),1,0))</f>
        <v/>
      </c>
      <c r="Q1130" s="6" t="str">
        <f>IF($K1130="","",IF(ISNUMBER(SEARCH("transfert-interne",IFERROR(INDEX('Paramètres'!$N:$N,MATCH($D1130,'Paramètres'!$M:$M,0))&amp;"",""))),0,IF($L1130="Débit",$K1130,IF($P1130=1,-$K1130,0))))</f>
        <v/>
      </c>
      <c r="R1130" s="6" t="str">
        <f>IF($K1130="","",IF($L1130="Crédit",$K1130,-$K1130))</f>
        <v/>
      </c>
      <c r="S1130" s="6" t="str">
        <f>IF($C1130="","",IFERROR(INDEX('Paramètres'!$H:$H,MATCH($C1130,'Paramètres'!$D:$D,0))&amp;"",""))</f>
        <v/>
      </c>
      <c r="T1130" s="6" t="str">
        <f>IF($K1130="","",IF($S1130="",0,IF(ISNUMBER(SEARCH("apport-exterieur",IFERROR(INDEX('Paramètres'!$N:$N,MATCH($D1130,'Paramètres'!$M:$M,0))&amp;"",""))),0,IF(OR(IFERROR(INDEX('Paramètres'!$I:$I,MATCH($C1130,'Paramètres'!$D:$D,0))&amp;"","")="Les deux",IFERROR(INDEX('Paramètres'!$I:$I,MATCH($C1130,'Paramètres'!$D:$D,0))&amp;"","")=IF($P1130=1,"Débit",$L1130)),-IF($P1130=1,-$K1130,$K1130),0))))</f>
        <v/>
      </c>
      <c r="U1130" s="6" t="str">
        <f>IF($K1130="","",IF(ISNUMBER(SEARCH("sortie-epargne",IFERROR(INDEX('Paramètres'!$N:$N,MATCH($D1130,'Paramètres'!$M:$M,0))&amp;"",""))),$K1130,0))</f>
        <v/>
      </c>
      <c r="V1130" s="6" t="str">
        <f>IF(AND($A1130&lt;&gt;"",$O1130=1,$L1130="Débit",N($Q1130)&gt;0,$A1130&gt;=Visualisation!$B$1,$A1130&lt;Visualisation!$D$1),MAX($V$1:V1129)+1,"")</f>
        <v/>
      </c>
    </row>
    <row r="1131" spans="1:22" x14ac:dyDescent="0.25">
      <c r="A1131" s="9"/>
      <c r="E1131" s="10"/>
      <c r="K1131" s="11" t="str">
        <f>IF($E1131="","",ROUND($E1131*IF(ISNA(MATCH($C1131,'Paramètres'!$D:$D,0)),1,IF(INDEX('Paramètres'!$J:$J,MATCH($C1131,'Paramètres'!$D:$D,0))="",1,INDEX('Paramètres'!$J:$J,MATCH($C1131,'Paramètres'!$D:$D,0)))),2))</f>
        <v/>
      </c>
      <c r="L1131" s="6" t="str">
        <f>IF($D1131="","",IF($F1131&lt;&gt;"",$F1131,IF(ISNA(MATCH($D1131,'Paramètres'!$M:$M,0)),"⚠ Type inconnu",IFERROR(INDEX('Paramètres'!$P:$P,MATCH($D1131,'Paramètres'!$M:$M,0))&amp;"",""))))</f>
        <v/>
      </c>
      <c r="M1131" s="6" t="str">
        <f>IF($D1131="","",IF(ISNA(MATCH($D1131,'Paramètres'!$M:$M,0)),"⚠ Type inconnu",IF($L1131="Crédit","",IFERROR(INDEX('Paramètres'!$O:$O,MATCH($D1131,'Paramètres'!$M:$M,0))&amp;"",""))))</f>
        <v/>
      </c>
      <c r="N1131" s="6" t="str">
        <f>IF($D1131="","",IFERROR(INDEX('Paramètres'!$Q:$Q,MATCH($D1131,'Paramètres'!$M:$M,0))&amp;"",""))</f>
        <v/>
      </c>
      <c r="O1131" s="6" t="str">
        <f>IF($A1131="","",IF(OR($J1131&lt;&gt;"x",$A1131&lt;=FinReleve),1,0))</f>
        <v/>
      </c>
      <c r="P1131" s="6" t="str">
        <f>IF($D1131="","",IF(AND($L1131="Crédit",OR(IFERROR(INDEX('Paramètres'!$O:$O,MATCH($D1131,'Paramètres'!$M:$M,0))&amp;"","")&lt;&gt;"",ISNUMBER(SEARCH("remboursement",IFERROR(INDEX('Paramètres'!$N:$N,MATCH($D1131,'Paramètres'!$M:$M,0))&amp;"",""))))),1,0))</f>
        <v/>
      </c>
      <c r="Q1131" s="6" t="str">
        <f>IF($K1131="","",IF(ISNUMBER(SEARCH("transfert-interne",IFERROR(INDEX('Paramètres'!$N:$N,MATCH($D1131,'Paramètres'!$M:$M,0))&amp;"",""))),0,IF($L1131="Débit",$K1131,IF($P1131=1,-$K1131,0))))</f>
        <v/>
      </c>
      <c r="R1131" s="6" t="str">
        <f>IF($K1131="","",IF($L1131="Crédit",$K1131,-$K1131))</f>
        <v/>
      </c>
      <c r="S1131" s="6" t="str">
        <f>IF($C1131="","",IFERROR(INDEX('Paramètres'!$H:$H,MATCH($C1131,'Paramètres'!$D:$D,0))&amp;"",""))</f>
        <v/>
      </c>
      <c r="T1131" s="6" t="str">
        <f>IF($K1131="","",IF($S1131="",0,IF(ISNUMBER(SEARCH("apport-exterieur",IFERROR(INDEX('Paramètres'!$N:$N,MATCH($D1131,'Paramètres'!$M:$M,0))&amp;"",""))),0,IF(OR(IFERROR(INDEX('Paramètres'!$I:$I,MATCH($C1131,'Paramètres'!$D:$D,0))&amp;"","")="Les deux",IFERROR(INDEX('Paramètres'!$I:$I,MATCH($C1131,'Paramètres'!$D:$D,0))&amp;"","")=IF($P1131=1,"Débit",$L1131)),-IF($P1131=1,-$K1131,$K1131),0))))</f>
        <v/>
      </c>
      <c r="U1131" s="6" t="str">
        <f>IF($K1131="","",IF(ISNUMBER(SEARCH("sortie-epargne",IFERROR(INDEX('Paramètres'!$N:$N,MATCH($D1131,'Paramètres'!$M:$M,0))&amp;"",""))),$K1131,0))</f>
        <v/>
      </c>
      <c r="V1131" s="6" t="str">
        <f>IF(AND($A1131&lt;&gt;"",$O1131=1,$L1131="Débit",N($Q1131)&gt;0,$A1131&gt;=Visualisation!$B$1,$A1131&lt;Visualisation!$D$1),MAX($V$1:V1130)+1,"")</f>
        <v/>
      </c>
    </row>
    <row r="1132" spans="1:22" x14ac:dyDescent="0.25">
      <c r="A1132" s="9"/>
      <c r="E1132" s="10"/>
      <c r="K1132" s="11" t="str">
        <f>IF($E1132="","",ROUND($E1132*IF(ISNA(MATCH($C1132,'Paramètres'!$D:$D,0)),1,IF(INDEX('Paramètres'!$J:$J,MATCH($C1132,'Paramètres'!$D:$D,0))="",1,INDEX('Paramètres'!$J:$J,MATCH($C1132,'Paramètres'!$D:$D,0)))),2))</f>
        <v/>
      </c>
      <c r="L1132" s="6" t="str">
        <f>IF($D1132="","",IF($F1132&lt;&gt;"",$F1132,IF(ISNA(MATCH($D1132,'Paramètres'!$M:$M,0)),"⚠ Type inconnu",IFERROR(INDEX('Paramètres'!$P:$P,MATCH($D1132,'Paramètres'!$M:$M,0))&amp;"",""))))</f>
        <v/>
      </c>
      <c r="M1132" s="6" t="str">
        <f>IF($D1132="","",IF(ISNA(MATCH($D1132,'Paramètres'!$M:$M,0)),"⚠ Type inconnu",IF($L1132="Crédit","",IFERROR(INDEX('Paramètres'!$O:$O,MATCH($D1132,'Paramètres'!$M:$M,0))&amp;"",""))))</f>
        <v/>
      </c>
      <c r="N1132" s="6" t="str">
        <f>IF($D1132="","",IFERROR(INDEX('Paramètres'!$Q:$Q,MATCH($D1132,'Paramètres'!$M:$M,0))&amp;"",""))</f>
        <v/>
      </c>
      <c r="O1132" s="6" t="str">
        <f>IF($A1132="","",IF(OR($J1132&lt;&gt;"x",$A1132&lt;=FinReleve),1,0))</f>
        <v/>
      </c>
      <c r="P1132" s="6" t="str">
        <f>IF($D1132="","",IF(AND($L1132="Crédit",OR(IFERROR(INDEX('Paramètres'!$O:$O,MATCH($D1132,'Paramètres'!$M:$M,0))&amp;"","")&lt;&gt;"",ISNUMBER(SEARCH("remboursement",IFERROR(INDEX('Paramètres'!$N:$N,MATCH($D1132,'Paramètres'!$M:$M,0))&amp;"",""))))),1,0))</f>
        <v/>
      </c>
      <c r="Q1132" s="6" t="str">
        <f>IF($K1132="","",IF(ISNUMBER(SEARCH("transfert-interne",IFERROR(INDEX('Paramètres'!$N:$N,MATCH($D1132,'Paramètres'!$M:$M,0))&amp;"",""))),0,IF($L1132="Débit",$K1132,IF($P1132=1,-$K1132,0))))</f>
        <v/>
      </c>
      <c r="R1132" s="6" t="str">
        <f>IF($K1132="","",IF($L1132="Crédit",$K1132,-$K1132))</f>
        <v/>
      </c>
      <c r="S1132" s="6" t="str">
        <f>IF($C1132="","",IFERROR(INDEX('Paramètres'!$H:$H,MATCH($C1132,'Paramètres'!$D:$D,0))&amp;"",""))</f>
        <v/>
      </c>
      <c r="T1132" s="6" t="str">
        <f>IF($K1132="","",IF($S1132="",0,IF(ISNUMBER(SEARCH("apport-exterieur",IFERROR(INDEX('Paramètres'!$N:$N,MATCH($D1132,'Paramètres'!$M:$M,0))&amp;"",""))),0,IF(OR(IFERROR(INDEX('Paramètres'!$I:$I,MATCH($C1132,'Paramètres'!$D:$D,0))&amp;"","")="Les deux",IFERROR(INDEX('Paramètres'!$I:$I,MATCH($C1132,'Paramètres'!$D:$D,0))&amp;"","")=IF($P1132=1,"Débit",$L1132)),-IF($P1132=1,-$K1132,$K1132),0))))</f>
        <v/>
      </c>
      <c r="U1132" s="6" t="str">
        <f>IF($K1132="","",IF(ISNUMBER(SEARCH("sortie-epargne",IFERROR(INDEX('Paramètres'!$N:$N,MATCH($D1132,'Paramètres'!$M:$M,0))&amp;"",""))),$K1132,0))</f>
        <v/>
      </c>
      <c r="V1132" s="6" t="str">
        <f>IF(AND($A1132&lt;&gt;"",$O1132=1,$L1132="Débit",N($Q1132)&gt;0,$A1132&gt;=Visualisation!$B$1,$A1132&lt;Visualisation!$D$1),MAX($V$1:V1131)+1,"")</f>
        <v/>
      </c>
    </row>
    <row r="1133" spans="1:22" x14ac:dyDescent="0.25">
      <c r="A1133" s="9"/>
      <c r="E1133" s="10"/>
      <c r="K1133" s="11" t="str">
        <f>IF($E1133="","",ROUND($E1133*IF(ISNA(MATCH($C1133,'Paramètres'!$D:$D,0)),1,IF(INDEX('Paramètres'!$J:$J,MATCH($C1133,'Paramètres'!$D:$D,0))="",1,INDEX('Paramètres'!$J:$J,MATCH($C1133,'Paramètres'!$D:$D,0)))),2))</f>
        <v/>
      </c>
      <c r="L1133" s="6" t="str">
        <f>IF($D1133="","",IF($F1133&lt;&gt;"",$F1133,IF(ISNA(MATCH($D1133,'Paramètres'!$M:$M,0)),"⚠ Type inconnu",IFERROR(INDEX('Paramètres'!$P:$P,MATCH($D1133,'Paramètres'!$M:$M,0))&amp;"",""))))</f>
        <v/>
      </c>
      <c r="M1133" s="6" t="str">
        <f>IF($D1133="","",IF(ISNA(MATCH($D1133,'Paramètres'!$M:$M,0)),"⚠ Type inconnu",IF($L1133="Crédit","",IFERROR(INDEX('Paramètres'!$O:$O,MATCH($D1133,'Paramètres'!$M:$M,0))&amp;"",""))))</f>
        <v/>
      </c>
      <c r="N1133" s="6" t="str">
        <f>IF($D1133="","",IFERROR(INDEX('Paramètres'!$Q:$Q,MATCH($D1133,'Paramètres'!$M:$M,0))&amp;"",""))</f>
        <v/>
      </c>
      <c r="O1133" s="6" t="str">
        <f>IF($A1133="","",IF(OR($J1133&lt;&gt;"x",$A1133&lt;=FinReleve),1,0))</f>
        <v/>
      </c>
      <c r="P1133" s="6" t="str">
        <f>IF($D1133="","",IF(AND($L1133="Crédit",OR(IFERROR(INDEX('Paramètres'!$O:$O,MATCH($D1133,'Paramètres'!$M:$M,0))&amp;"","")&lt;&gt;"",ISNUMBER(SEARCH("remboursement",IFERROR(INDEX('Paramètres'!$N:$N,MATCH($D1133,'Paramètres'!$M:$M,0))&amp;"",""))))),1,0))</f>
        <v/>
      </c>
      <c r="Q1133" s="6" t="str">
        <f>IF($K1133="","",IF(ISNUMBER(SEARCH("transfert-interne",IFERROR(INDEX('Paramètres'!$N:$N,MATCH($D1133,'Paramètres'!$M:$M,0))&amp;"",""))),0,IF($L1133="Débit",$K1133,IF($P1133=1,-$K1133,0))))</f>
        <v/>
      </c>
      <c r="R1133" s="6" t="str">
        <f>IF($K1133="","",IF($L1133="Crédit",$K1133,-$K1133))</f>
        <v/>
      </c>
      <c r="S1133" s="6" t="str">
        <f>IF($C1133="","",IFERROR(INDEX('Paramètres'!$H:$H,MATCH($C1133,'Paramètres'!$D:$D,0))&amp;"",""))</f>
        <v/>
      </c>
      <c r="T1133" s="6" t="str">
        <f>IF($K1133="","",IF($S1133="",0,IF(ISNUMBER(SEARCH("apport-exterieur",IFERROR(INDEX('Paramètres'!$N:$N,MATCH($D1133,'Paramètres'!$M:$M,0))&amp;"",""))),0,IF(OR(IFERROR(INDEX('Paramètres'!$I:$I,MATCH($C1133,'Paramètres'!$D:$D,0))&amp;"","")="Les deux",IFERROR(INDEX('Paramètres'!$I:$I,MATCH($C1133,'Paramètres'!$D:$D,0))&amp;"","")=IF($P1133=1,"Débit",$L1133)),-IF($P1133=1,-$K1133,$K1133),0))))</f>
        <v/>
      </c>
      <c r="U1133" s="6" t="str">
        <f>IF($K1133="","",IF(ISNUMBER(SEARCH("sortie-epargne",IFERROR(INDEX('Paramètres'!$N:$N,MATCH($D1133,'Paramètres'!$M:$M,0))&amp;"",""))),$K1133,0))</f>
        <v/>
      </c>
      <c r="V1133" s="6" t="str">
        <f>IF(AND($A1133&lt;&gt;"",$O1133=1,$L1133="Débit",N($Q1133)&gt;0,$A1133&gt;=Visualisation!$B$1,$A1133&lt;Visualisation!$D$1),MAX($V$1:V1132)+1,"")</f>
        <v/>
      </c>
    </row>
    <row r="1134" spans="1:22" x14ac:dyDescent="0.25">
      <c r="A1134" s="9"/>
      <c r="E1134" s="10"/>
      <c r="K1134" s="11" t="str">
        <f>IF($E1134="","",ROUND($E1134*IF(ISNA(MATCH($C1134,'Paramètres'!$D:$D,0)),1,IF(INDEX('Paramètres'!$J:$J,MATCH($C1134,'Paramètres'!$D:$D,0))="",1,INDEX('Paramètres'!$J:$J,MATCH($C1134,'Paramètres'!$D:$D,0)))),2))</f>
        <v/>
      </c>
      <c r="L1134" s="6" t="str">
        <f>IF($D1134="","",IF($F1134&lt;&gt;"",$F1134,IF(ISNA(MATCH($D1134,'Paramètres'!$M:$M,0)),"⚠ Type inconnu",IFERROR(INDEX('Paramètres'!$P:$P,MATCH($D1134,'Paramètres'!$M:$M,0))&amp;"",""))))</f>
        <v/>
      </c>
      <c r="M1134" s="6" t="str">
        <f>IF($D1134="","",IF(ISNA(MATCH($D1134,'Paramètres'!$M:$M,0)),"⚠ Type inconnu",IF($L1134="Crédit","",IFERROR(INDEX('Paramètres'!$O:$O,MATCH($D1134,'Paramètres'!$M:$M,0))&amp;"",""))))</f>
        <v/>
      </c>
      <c r="N1134" s="6" t="str">
        <f>IF($D1134="","",IFERROR(INDEX('Paramètres'!$Q:$Q,MATCH($D1134,'Paramètres'!$M:$M,0))&amp;"",""))</f>
        <v/>
      </c>
      <c r="O1134" s="6" t="str">
        <f>IF($A1134="","",IF(OR($J1134&lt;&gt;"x",$A1134&lt;=FinReleve),1,0))</f>
        <v/>
      </c>
      <c r="P1134" s="6" t="str">
        <f>IF($D1134="","",IF(AND($L1134="Crédit",OR(IFERROR(INDEX('Paramètres'!$O:$O,MATCH($D1134,'Paramètres'!$M:$M,0))&amp;"","")&lt;&gt;"",ISNUMBER(SEARCH("remboursement",IFERROR(INDEX('Paramètres'!$N:$N,MATCH($D1134,'Paramètres'!$M:$M,0))&amp;"",""))))),1,0))</f>
        <v/>
      </c>
      <c r="Q1134" s="6" t="str">
        <f>IF($K1134="","",IF(ISNUMBER(SEARCH("transfert-interne",IFERROR(INDEX('Paramètres'!$N:$N,MATCH($D1134,'Paramètres'!$M:$M,0))&amp;"",""))),0,IF($L1134="Débit",$K1134,IF($P1134=1,-$K1134,0))))</f>
        <v/>
      </c>
      <c r="R1134" s="6" t="str">
        <f>IF($K1134="","",IF($L1134="Crédit",$K1134,-$K1134))</f>
        <v/>
      </c>
      <c r="S1134" s="6" t="str">
        <f>IF($C1134="","",IFERROR(INDEX('Paramètres'!$H:$H,MATCH($C1134,'Paramètres'!$D:$D,0))&amp;"",""))</f>
        <v/>
      </c>
      <c r="T1134" s="6" t="str">
        <f>IF($K1134="","",IF($S1134="",0,IF(ISNUMBER(SEARCH("apport-exterieur",IFERROR(INDEX('Paramètres'!$N:$N,MATCH($D1134,'Paramètres'!$M:$M,0))&amp;"",""))),0,IF(OR(IFERROR(INDEX('Paramètres'!$I:$I,MATCH($C1134,'Paramètres'!$D:$D,0))&amp;"","")="Les deux",IFERROR(INDEX('Paramètres'!$I:$I,MATCH($C1134,'Paramètres'!$D:$D,0))&amp;"","")=IF($P1134=1,"Débit",$L1134)),-IF($P1134=1,-$K1134,$K1134),0))))</f>
        <v/>
      </c>
      <c r="U1134" s="6" t="str">
        <f>IF($K1134="","",IF(ISNUMBER(SEARCH("sortie-epargne",IFERROR(INDEX('Paramètres'!$N:$N,MATCH($D1134,'Paramètres'!$M:$M,0))&amp;"",""))),$K1134,0))</f>
        <v/>
      </c>
      <c r="V1134" s="6" t="str">
        <f>IF(AND($A1134&lt;&gt;"",$O1134=1,$L1134="Débit",N($Q1134)&gt;0,$A1134&gt;=Visualisation!$B$1,$A1134&lt;Visualisation!$D$1),MAX($V$1:V1133)+1,"")</f>
        <v/>
      </c>
    </row>
    <row r="1135" spans="1:22" x14ac:dyDescent="0.25">
      <c r="A1135" s="9"/>
      <c r="E1135" s="10"/>
      <c r="K1135" s="11" t="str">
        <f>IF($E1135="","",ROUND($E1135*IF(ISNA(MATCH($C1135,'Paramètres'!$D:$D,0)),1,IF(INDEX('Paramètres'!$J:$J,MATCH($C1135,'Paramètres'!$D:$D,0))="",1,INDEX('Paramètres'!$J:$J,MATCH($C1135,'Paramètres'!$D:$D,0)))),2))</f>
        <v/>
      </c>
      <c r="L1135" s="6" t="str">
        <f>IF($D1135="","",IF($F1135&lt;&gt;"",$F1135,IF(ISNA(MATCH($D1135,'Paramètres'!$M:$M,0)),"⚠ Type inconnu",IFERROR(INDEX('Paramètres'!$P:$P,MATCH($D1135,'Paramètres'!$M:$M,0))&amp;"",""))))</f>
        <v/>
      </c>
      <c r="M1135" s="6" t="str">
        <f>IF($D1135="","",IF(ISNA(MATCH($D1135,'Paramètres'!$M:$M,0)),"⚠ Type inconnu",IF($L1135="Crédit","",IFERROR(INDEX('Paramètres'!$O:$O,MATCH($D1135,'Paramètres'!$M:$M,0))&amp;"",""))))</f>
        <v/>
      </c>
      <c r="N1135" s="6" t="str">
        <f>IF($D1135="","",IFERROR(INDEX('Paramètres'!$Q:$Q,MATCH($D1135,'Paramètres'!$M:$M,0))&amp;"",""))</f>
        <v/>
      </c>
      <c r="O1135" s="6" t="str">
        <f>IF($A1135="","",IF(OR($J1135&lt;&gt;"x",$A1135&lt;=FinReleve),1,0))</f>
        <v/>
      </c>
      <c r="P1135" s="6" t="str">
        <f>IF($D1135="","",IF(AND($L1135="Crédit",OR(IFERROR(INDEX('Paramètres'!$O:$O,MATCH($D1135,'Paramètres'!$M:$M,0))&amp;"","")&lt;&gt;"",ISNUMBER(SEARCH("remboursement",IFERROR(INDEX('Paramètres'!$N:$N,MATCH($D1135,'Paramètres'!$M:$M,0))&amp;"",""))))),1,0))</f>
        <v/>
      </c>
      <c r="Q1135" s="6" t="str">
        <f>IF($K1135="","",IF(ISNUMBER(SEARCH("transfert-interne",IFERROR(INDEX('Paramètres'!$N:$N,MATCH($D1135,'Paramètres'!$M:$M,0))&amp;"",""))),0,IF($L1135="Débit",$K1135,IF($P1135=1,-$K1135,0))))</f>
        <v/>
      </c>
      <c r="R1135" s="6" t="str">
        <f>IF($K1135="","",IF($L1135="Crédit",$K1135,-$K1135))</f>
        <v/>
      </c>
      <c r="S1135" s="6" t="str">
        <f>IF($C1135="","",IFERROR(INDEX('Paramètres'!$H:$H,MATCH($C1135,'Paramètres'!$D:$D,0))&amp;"",""))</f>
        <v/>
      </c>
      <c r="T1135" s="6" t="str">
        <f>IF($K1135="","",IF($S1135="",0,IF(ISNUMBER(SEARCH("apport-exterieur",IFERROR(INDEX('Paramètres'!$N:$N,MATCH($D1135,'Paramètres'!$M:$M,0))&amp;"",""))),0,IF(OR(IFERROR(INDEX('Paramètres'!$I:$I,MATCH($C1135,'Paramètres'!$D:$D,0))&amp;"","")="Les deux",IFERROR(INDEX('Paramètres'!$I:$I,MATCH($C1135,'Paramètres'!$D:$D,0))&amp;"","")=IF($P1135=1,"Débit",$L1135)),-IF($P1135=1,-$K1135,$K1135),0))))</f>
        <v/>
      </c>
      <c r="U1135" s="6" t="str">
        <f>IF($K1135="","",IF(ISNUMBER(SEARCH("sortie-epargne",IFERROR(INDEX('Paramètres'!$N:$N,MATCH($D1135,'Paramètres'!$M:$M,0))&amp;"",""))),$K1135,0))</f>
        <v/>
      </c>
      <c r="V1135" s="6" t="str">
        <f>IF(AND($A1135&lt;&gt;"",$O1135=1,$L1135="Débit",N($Q1135)&gt;0,$A1135&gt;=Visualisation!$B$1,$A1135&lt;Visualisation!$D$1),MAX($V$1:V1134)+1,"")</f>
        <v/>
      </c>
    </row>
    <row r="1136" spans="1:22" x14ac:dyDescent="0.25">
      <c r="A1136" s="9"/>
      <c r="E1136" s="10"/>
      <c r="K1136" s="11" t="str">
        <f>IF($E1136="","",ROUND($E1136*IF(ISNA(MATCH($C1136,'Paramètres'!$D:$D,0)),1,IF(INDEX('Paramètres'!$J:$J,MATCH($C1136,'Paramètres'!$D:$D,0))="",1,INDEX('Paramètres'!$J:$J,MATCH($C1136,'Paramètres'!$D:$D,0)))),2))</f>
        <v/>
      </c>
      <c r="L1136" s="6" t="str">
        <f>IF($D1136="","",IF($F1136&lt;&gt;"",$F1136,IF(ISNA(MATCH($D1136,'Paramètres'!$M:$M,0)),"⚠ Type inconnu",IFERROR(INDEX('Paramètres'!$P:$P,MATCH($D1136,'Paramètres'!$M:$M,0))&amp;"",""))))</f>
        <v/>
      </c>
      <c r="M1136" s="6" t="str">
        <f>IF($D1136="","",IF(ISNA(MATCH($D1136,'Paramètres'!$M:$M,0)),"⚠ Type inconnu",IF($L1136="Crédit","",IFERROR(INDEX('Paramètres'!$O:$O,MATCH($D1136,'Paramètres'!$M:$M,0))&amp;"",""))))</f>
        <v/>
      </c>
      <c r="N1136" s="6" t="str">
        <f>IF($D1136="","",IFERROR(INDEX('Paramètres'!$Q:$Q,MATCH($D1136,'Paramètres'!$M:$M,0))&amp;"",""))</f>
        <v/>
      </c>
      <c r="O1136" s="6" t="str">
        <f>IF($A1136="","",IF(OR($J1136&lt;&gt;"x",$A1136&lt;=FinReleve),1,0))</f>
        <v/>
      </c>
      <c r="P1136" s="6" t="str">
        <f>IF($D1136="","",IF(AND($L1136="Crédit",OR(IFERROR(INDEX('Paramètres'!$O:$O,MATCH($D1136,'Paramètres'!$M:$M,0))&amp;"","")&lt;&gt;"",ISNUMBER(SEARCH("remboursement",IFERROR(INDEX('Paramètres'!$N:$N,MATCH($D1136,'Paramètres'!$M:$M,0))&amp;"",""))))),1,0))</f>
        <v/>
      </c>
      <c r="Q1136" s="6" t="str">
        <f>IF($K1136="","",IF(ISNUMBER(SEARCH("transfert-interne",IFERROR(INDEX('Paramètres'!$N:$N,MATCH($D1136,'Paramètres'!$M:$M,0))&amp;"",""))),0,IF($L1136="Débit",$K1136,IF($P1136=1,-$K1136,0))))</f>
        <v/>
      </c>
      <c r="R1136" s="6" t="str">
        <f>IF($K1136="","",IF($L1136="Crédit",$K1136,-$K1136))</f>
        <v/>
      </c>
      <c r="S1136" s="6" t="str">
        <f>IF($C1136="","",IFERROR(INDEX('Paramètres'!$H:$H,MATCH($C1136,'Paramètres'!$D:$D,0))&amp;"",""))</f>
        <v/>
      </c>
      <c r="T1136" s="6" t="str">
        <f>IF($K1136="","",IF($S1136="",0,IF(ISNUMBER(SEARCH("apport-exterieur",IFERROR(INDEX('Paramètres'!$N:$N,MATCH($D1136,'Paramètres'!$M:$M,0))&amp;"",""))),0,IF(OR(IFERROR(INDEX('Paramètres'!$I:$I,MATCH($C1136,'Paramètres'!$D:$D,0))&amp;"","")="Les deux",IFERROR(INDEX('Paramètres'!$I:$I,MATCH($C1136,'Paramètres'!$D:$D,0))&amp;"","")=IF($P1136=1,"Débit",$L1136)),-IF($P1136=1,-$K1136,$K1136),0))))</f>
        <v/>
      </c>
      <c r="U1136" s="6" t="str">
        <f>IF($K1136="","",IF(ISNUMBER(SEARCH("sortie-epargne",IFERROR(INDEX('Paramètres'!$N:$N,MATCH($D1136,'Paramètres'!$M:$M,0))&amp;"",""))),$K1136,0))</f>
        <v/>
      </c>
      <c r="V1136" s="6" t="str">
        <f>IF(AND($A1136&lt;&gt;"",$O1136=1,$L1136="Débit",N($Q1136)&gt;0,$A1136&gt;=Visualisation!$B$1,$A1136&lt;Visualisation!$D$1),MAX($V$1:V1135)+1,"")</f>
        <v/>
      </c>
    </row>
    <row r="1137" spans="1:22" x14ac:dyDescent="0.25">
      <c r="A1137" s="9"/>
      <c r="E1137" s="10"/>
      <c r="K1137" s="11" t="str">
        <f>IF($E1137="","",ROUND($E1137*IF(ISNA(MATCH($C1137,'Paramètres'!$D:$D,0)),1,IF(INDEX('Paramètres'!$J:$J,MATCH($C1137,'Paramètres'!$D:$D,0))="",1,INDEX('Paramètres'!$J:$J,MATCH($C1137,'Paramètres'!$D:$D,0)))),2))</f>
        <v/>
      </c>
      <c r="L1137" s="6" t="str">
        <f>IF($D1137="","",IF($F1137&lt;&gt;"",$F1137,IF(ISNA(MATCH($D1137,'Paramètres'!$M:$M,0)),"⚠ Type inconnu",IFERROR(INDEX('Paramètres'!$P:$P,MATCH($D1137,'Paramètres'!$M:$M,0))&amp;"",""))))</f>
        <v/>
      </c>
      <c r="M1137" s="6" t="str">
        <f>IF($D1137="","",IF(ISNA(MATCH($D1137,'Paramètres'!$M:$M,0)),"⚠ Type inconnu",IF($L1137="Crédit","",IFERROR(INDEX('Paramètres'!$O:$O,MATCH($D1137,'Paramètres'!$M:$M,0))&amp;"",""))))</f>
        <v/>
      </c>
      <c r="N1137" s="6" t="str">
        <f>IF($D1137="","",IFERROR(INDEX('Paramètres'!$Q:$Q,MATCH($D1137,'Paramètres'!$M:$M,0))&amp;"",""))</f>
        <v/>
      </c>
      <c r="O1137" s="6" t="str">
        <f>IF($A1137="","",IF(OR($J1137&lt;&gt;"x",$A1137&lt;=FinReleve),1,0))</f>
        <v/>
      </c>
      <c r="P1137" s="6" t="str">
        <f>IF($D1137="","",IF(AND($L1137="Crédit",OR(IFERROR(INDEX('Paramètres'!$O:$O,MATCH($D1137,'Paramètres'!$M:$M,0))&amp;"","")&lt;&gt;"",ISNUMBER(SEARCH("remboursement",IFERROR(INDEX('Paramètres'!$N:$N,MATCH($D1137,'Paramètres'!$M:$M,0))&amp;"",""))))),1,0))</f>
        <v/>
      </c>
      <c r="Q1137" s="6" t="str">
        <f>IF($K1137="","",IF(ISNUMBER(SEARCH("transfert-interne",IFERROR(INDEX('Paramètres'!$N:$N,MATCH($D1137,'Paramètres'!$M:$M,0))&amp;"",""))),0,IF($L1137="Débit",$K1137,IF($P1137=1,-$K1137,0))))</f>
        <v/>
      </c>
      <c r="R1137" s="6" t="str">
        <f>IF($K1137="","",IF($L1137="Crédit",$K1137,-$K1137))</f>
        <v/>
      </c>
      <c r="S1137" s="6" t="str">
        <f>IF($C1137="","",IFERROR(INDEX('Paramètres'!$H:$H,MATCH($C1137,'Paramètres'!$D:$D,0))&amp;"",""))</f>
        <v/>
      </c>
      <c r="T1137" s="6" t="str">
        <f>IF($K1137="","",IF($S1137="",0,IF(ISNUMBER(SEARCH("apport-exterieur",IFERROR(INDEX('Paramètres'!$N:$N,MATCH($D1137,'Paramètres'!$M:$M,0))&amp;"",""))),0,IF(OR(IFERROR(INDEX('Paramètres'!$I:$I,MATCH($C1137,'Paramètres'!$D:$D,0))&amp;"","")="Les deux",IFERROR(INDEX('Paramètres'!$I:$I,MATCH($C1137,'Paramètres'!$D:$D,0))&amp;"","")=IF($P1137=1,"Débit",$L1137)),-IF($P1137=1,-$K1137,$K1137),0))))</f>
        <v/>
      </c>
      <c r="U1137" s="6" t="str">
        <f>IF($K1137="","",IF(ISNUMBER(SEARCH("sortie-epargne",IFERROR(INDEX('Paramètres'!$N:$N,MATCH($D1137,'Paramètres'!$M:$M,0))&amp;"",""))),$K1137,0))</f>
        <v/>
      </c>
      <c r="V1137" s="6" t="str">
        <f>IF(AND($A1137&lt;&gt;"",$O1137=1,$L1137="Débit",N($Q1137)&gt;0,$A1137&gt;=Visualisation!$B$1,$A1137&lt;Visualisation!$D$1),MAX($V$1:V1136)+1,"")</f>
        <v/>
      </c>
    </row>
    <row r="1138" spans="1:22" x14ac:dyDescent="0.25">
      <c r="A1138" s="9"/>
      <c r="E1138" s="10"/>
      <c r="K1138" s="11" t="str">
        <f>IF($E1138="","",ROUND($E1138*IF(ISNA(MATCH($C1138,'Paramètres'!$D:$D,0)),1,IF(INDEX('Paramètres'!$J:$J,MATCH($C1138,'Paramètres'!$D:$D,0))="",1,INDEX('Paramètres'!$J:$J,MATCH($C1138,'Paramètres'!$D:$D,0)))),2))</f>
        <v/>
      </c>
      <c r="L1138" s="6" t="str">
        <f>IF($D1138="","",IF($F1138&lt;&gt;"",$F1138,IF(ISNA(MATCH($D1138,'Paramètres'!$M:$M,0)),"⚠ Type inconnu",IFERROR(INDEX('Paramètres'!$P:$P,MATCH($D1138,'Paramètres'!$M:$M,0))&amp;"",""))))</f>
        <v/>
      </c>
      <c r="M1138" s="6" t="str">
        <f>IF($D1138="","",IF(ISNA(MATCH($D1138,'Paramètres'!$M:$M,0)),"⚠ Type inconnu",IF($L1138="Crédit","",IFERROR(INDEX('Paramètres'!$O:$O,MATCH($D1138,'Paramètres'!$M:$M,0))&amp;"",""))))</f>
        <v/>
      </c>
      <c r="N1138" s="6" t="str">
        <f>IF($D1138="","",IFERROR(INDEX('Paramètres'!$Q:$Q,MATCH($D1138,'Paramètres'!$M:$M,0))&amp;"",""))</f>
        <v/>
      </c>
      <c r="O1138" s="6" t="str">
        <f>IF($A1138="","",IF(OR($J1138&lt;&gt;"x",$A1138&lt;=FinReleve),1,0))</f>
        <v/>
      </c>
      <c r="P1138" s="6" t="str">
        <f>IF($D1138="","",IF(AND($L1138="Crédit",OR(IFERROR(INDEX('Paramètres'!$O:$O,MATCH($D1138,'Paramètres'!$M:$M,0))&amp;"","")&lt;&gt;"",ISNUMBER(SEARCH("remboursement",IFERROR(INDEX('Paramètres'!$N:$N,MATCH($D1138,'Paramètres'!$M:$M,0))&amp;"",""))))),1,0))</f>
        <v/>
      </c>
      <c r="Q1138" s="6" t="str">
        <f>IF($K1138="","",IF(ISNUMBER(SEARCH("transfert-interne",IFERROR(INDEX('Paramètres'!$N:$N,MATCH($D1138,'Paramètres'!$M:$M,0))&amp;"",""))),0,IF($L1138="Débit",$K1138,IF($P1138=1,-$K1138,0))))</f>
        <v/>
      </c>
      <c r="R1138" s="6" t="str">
        <f>IF($K1138="","",IF($L1138="Crédit",$K1138,-$K1138))</f>
        <v/>
      </c>
      <c r="S1138" s="6" t="str">
        <f>IF($C1138="","",IFERROR(INDEX('Paramètres'!$H:$H,MATCH($C1138,'Paramètres'!$D:$D,0))&amp;"",""))</f>
        <v/>
      </c>
      <c r="T1138" s="6" t="str">
        <f>IF($K1138="","",IF($S1138="",0,IF(ISNUMBER(SEARCH("apport-exterieur",IFERROR(INDEX('Paramètres'!$N:$N,MATCH($D1138,'Paramètres'!$M:$M,0))&amp;"",""))),0,IF(OR(IFERROR(INDEX('Paramètres'!$I:$I,MATCH($C1138,'Paramètres'!$D:$D,0))&amp;"","")="Les deux",IFERROR(INDEX('Paramètres'!$I:$I,MATCH($C1138,'Paramètres'!$D:$D,0))&amp;"","")=IF($P1138=1,"Débit",$L1138)),-IF($P1138=1,-$K1138,$K1138),0))))</f>
        <v/>
      </c>
      <c r="U1138" s="6" t="str">
        <f>IF($K1138="","",IF(ISNUMBER(SEARCH("sortie-epargne",IFERROR(INDEX('Paramètres'!$N:$N,MATCH($D1138,'Paramètres'!$M:$M,0))&amp;"",""))),$K1138,0))</f>
        <v/>
      </c>
      <c r="V1138" s="6" t="str">
        <f>IF(AND($A1138&lt;&gt;"",$O1138=1,$L1138="Débit",N($Q1138)&gt;0,$A1138&gt;=Visualisation!$B$1,$A1138&lt;Visualisation!$D$1),MAX($V$1:V1137)+1,"")</f>
        <v/>
      </c>
    </row>
    <row r="1139" spans="1:22" x14ac:dyDescent="0.25">
      <c r="A1139" s="9"/>
      <c r="E1139" s="10"/>
      <c r="K1139" s="11" t="str">
        <f>IF($E1139="","",ROUND($E1139*IF(ISNA(MATCH($C1139,'Paramètres'!$D:$D,0)),1,IF(INDEX('Paramètres'!$J:$J,MATCH($C1139,'Paramètres'!$D:$D,0))="",1,INDEX('Paramètres'!$J:$J,MATCH($C1139,'Paramètres'!$D:$D,0)))),2))</f>
        <v/>
      </c>
      <c r="L1139" s="6" t="str">
        <f>IF($D1139="","",IF($F1139&lt;&gt;"",$F1139,IF(ISNA(MATCH($D1139,'Paramètres'!$M:$M,0)),"⚠ Type inconnu",IFERROR(INDEX('Paramètres'!$P:$P,MATCH($D1139,'Paramètres'!$M:$M,0))&amp;"",""))))</f>
        <v/>
      </c>
      <c r="M1139" s="6" t="str">
        <f>IF($D1139="","",IF(ISNA(MATCH($D1139,'Paramètres'!$M:$M,0)),"⚠ Type inconnu",IF($L1139="Crédit","",IFERROR(INDEX('Paramètres'!$O:$O,MATCH($D1139,'Paramètres'!$M:$M,0))&amp;"",""))))</f>
        <v/>
      </c>
      <c r="N1139" s="6" t="str">
        <f>IF($D1139="","",IFERROR(INDEX('Paramètres'!$Q:$Q,MATCH($D1139,'Paramètres'!$M:$M,0))&amp;"",""))</f>
        <v/>
      </c>
      <c r="O1139" s="6" t="str">
        <f>IF($A1139="","",IF(OR($J1139&lt;&gt;"x",$A1139&lt;=FinReleve),1,0))</f>
        <v/>
      </c>
      <c r="P1139" s="6" t="str">
        <f>IF($D1139="","",IF(AND($L1139="Crédit",OR(IFERROR(INDEX('Paramètres'!$O:$O,MATCH($D1139,'Paramètres'!$M:$M,0))&amp;"","")&lt;&gt;"",ISNUMBER(SEARCH("remboursement",IFERROR(INDEX('Paramètres'!$N:$N,MATCH($D1139,'Paramètres'!$M:$M,0))&amp;"",""))))),1,0))</f>
        <v/>
      </c>
      <c r="Q1139" s="6" t="str">
        <f>IF($K1139="","",IF(ISNUMBER(SEARCH("transfert-interne",IFERROR(INDEX('Paramètres'!$N:$N,MATCH($D1139,'Paramètres'!$M:$M,0))&amp;"",""))),0,IF($L1139="Débit",$K1139,IF($P1139=1,-$K1139,0))))</f>
        <v/>
      </c>
      <c r="R1139" s="6" t="str">
        <f>IF($K1139="","",IF($L1139="Crédit",$K1139,-$K1139))</f>
        <v/>
      </c>
      <c r="S1139" s="6" t="str">
        <f>IF($C1139="","",IFERROR(INDEX('Paramètres'!$H:$H,MATCH($C1139,'Paramètres'!$D:$D,0))&amp;"",""))</f>
        <v/>
      </c>
      <c r="T1139" s="6" t="str">
        <f>IF($K1139="","",IF($S1139="",0,IF(ISNUMBER(SEARCH("apport-exterieur",IFERROR(INDEX('Paramètres'!$N:$N,MATCH($D1139,'Paramètres'!$M:$M,0))&amp;"",""))),0,IF(OR(IFERROR(INDEX('Paramètres'!$I:$I,MATCH($C1139,'Paramètres'!$D:$D,0))&amp;"","")="Les deux",IFERROR(INDEX('Paramètres'!$I:$I,MATCH($C1139,'Paramètres'!$D:$D,0))&amp;"","")=IF($P1139=1,"Débit",$L1139)),-IF($P1139=1,-$K1139,$K1139),0))))</f>
        <v/>
      </c>
      <c r="U1139" s="6" t="str">
        <f>IF($K1139="","",IF(ISNUMBER(SEARCH("sortie-epargne",IFERROR(INDEX('Paramètres'!$N:$N,MATCH($D1139,'Paramètres'!$M:$M,0))&amp;"",""))),$K1139,0))</f>
        <v/>
      </c>
      <c r="V1139" s="6" t="str">
        <f>IF(AND($A1139&lt;&gt;"",$O1139=1,$L1139="Débit",N($Q1139)&gt;0,$A1139&gt;=Visualisation!$B$1,$A1139&lt;Visualisation!$D$1),MAX($V$1:V1138)+1,"")</f>
        <v/>
      </c>
    </row>
    <row r="1140" spans="1:22" x14ac:dyDescent="0.25">
      <c r="A1140" s="9"/>
      <c r="E1140" s="10"/>
      <c r="K1140" s="11" t="str">
        <f>IF($E1140="","",ROUND($E1140*IF(ISNA(MATCH($C1140,'Paramètres'!$D:$D,0)),1,IF(INDEX('Paramètres'!$J:$J,MATCH($C1140,'Paramètres'!$D:$D,0))="",1,INDEX('Paramètres'!$J:$J,MATCH($C1140,'Paramètres'!$D:$D,0)))),2))</f>
        <v/>
      </c>
      <c r="L1140" s="6" t="str">
        <f>IF($D1140="","",IF($F1140&lt;&gt;"",$F1140,IF(ISNA(MATCH($D1140,'Paramètres'!$M:$M,0)),"⚠ Type inconnu",IFERROR(INDEX('Paramètres'!$P:$P,MATCH($D1140,'Paramètres'!$M:$M,0))&amp;"",""))))</f>
        <v/>
      </c>
      <c r="M1140" s="6" t="str">
        <f>IF($D1140="","",IF(ISNA(MATCH($D1140,'Paramètres'!$M:$M,0)),"⚠ Type inconnu",IF($L1140="Crédit","",IFERROR(INDEX('Paramètres'!$O:$O,MATCH($D1140,'Paramètres'!$M:$M,0))&amp;"",""))))</f>
        <v/>
      </c>
      <c r="N1140" s="6" t="str">
        <f>IF($D1140="","",IFERROR(INDEX('Paramètres'!$Q:$Q,MATCH($D1140,'Paramètres'!$M:$M,0))&amp;"",""))</f>
        <v/>
      </c>
      <c r="O1140" s="6" t="str">
        <f>IF($A1140="","",IF(OR($J1140&lt;&gt;"x",$A1140&lt;=FinReleve),1,0))</f>
        <v/>
      </c>
      <c r="P1140" s="6" t="str">
        <f>IF($D1140="","",IF(AND($L1140="Crédit",OR(IFERROR(INDEX('Paramètres'!$O:$O,MATCH($D1140,'Paramètres'!$M:$M,0))&amp;"","")&lt;&gt;"",ISNUMBER(SEARCH("remboursement",IFERROR(INDEX('Paramètres'!$N:$N,MATCH($D1140,'Paramètres'!$M:$M,0))&amp;"",""))))),1,0))</f>
        <v/>
      </c>
      <c r="Q1140" s="6" t="str">
        <f>IF($K1140="","",IF(ISNUMBER(SEARCH("transfert-interne",IFERROR(INDEX('Paramètres'!$N:$N,MATCH($D1140,'Paramètres'!$M:$M,0))&amp;"",""))),0,IF($L1140="Débit",$K1140,IF($P1140=1,-$K1140,0))))</f>
        <v/>
      </c>
      <c r="R1140" s="6" t="str">
        <f>IF($K1140="","",IF($L1140="Crédit",$K1140,-$K1140))</f>
        <v/>
      </c>
      <c r="S1140" s="6" t="str">
        <f>IF($C1140="","",IFERROR(INDEX('Paramètres'!$H:$H,MATCH($C1140,'Paramètres'!$D:$D,0))&amp;"",""))</f>
        <v/>
      </c>
      <c r="T1140" s="6" t="str">
        <f>IF($K1140="","",IF($S1140="",0,IF(ISNUMBER(SEARCH("apport-exterieur",IFERROR(INDEX('Paramètres'!$N:$N,MATCH($D1140,'Paramètres'!$M:$M,0))&amp;"",""))),0,IF(OR(IFERROR(INDEX('Paramètres'!$I:$I,MATCH($C1140,'Paramètres'!$D:$D,0))&amp;"","")="Les deux",IFERROR(INDEX('Paramètres'!$I:$I,MATCH($C1140,'Paramètres'!$D:$D,0))&amp;"","")=IF($P1140=1,"Débit",$L1140)),-IF($P1140=1,-$K1140,$K1140),0))))</f>
        <v/>
      </c>
      <c r="U1140" s="6" t="str">
        <f>IF($K1140="","",IF(ISNUMBER(SEARCH("sortie-epargne",IFERROR(INDEX('Paramètres'!$N:$N,MATCH($D1140,'Paramètres'!$M:$M,0))&amp;"",""))),$K1140,0))</f>
        <v/>
      </c>
      <c r="V1140" s="6" t="str">
        <f>IF(AND($A1140&lt;&gt;"",$O1140=1,$L1140="Débit",N($Q1140)&gt;0,$A1140&gt;=Visualisation!$B$1,$A1140&lt;Visualisation!$D$1),MAX($V$1:V1139)+1,"")</f>
        <v/>
      </c>
    </row>
    <row r="1141" spans="1:22" x14ac:dyDescent="0.25">
      <c r="A1141" s="9"/>
      <c r="E1141" s="10"/>
      <c r="K1141" s="11" t="str">
        <f>IF($E1141="","",ROUND($E1141*IF(ISNA(MATCH($C1141,'Paramètres'!$D:$D,0)),1,IF(INDEX('Paramètres'!$J:$J,MATCH($C1141,'Paramètres'!$D:$D,0))="",1,INDEX('Paramètres'!$J:$J,MATCH($C1141,'Paramètres'!$D:$D,0)))),2))</f>
        <v/>
      </c>
      <c r="L1141" s="6" t="str">
        <f>IF($D1141="","",IF($F1141&lt;&gt;"",$F1141,IF(ISNA(MATCH($D1141,'Paramètres'!$M:$M,0)),"⚠ Type inconnu",IFERROR(INDEX('Paramètres'!$P:$P,MATCH($D1141,'Paramètres'!$M:$M,0))&amp;"",""))))</f>
        <v/>
      </c>
      <c r="M1141" s="6" t="str">
        <f>IF($D1141="","",IF(ISNA(MATCH($D1141,'Paramètres'!$M:$M,0)),"⚠ Type inconnu",IF($L1141="Crédit","",IFERROR(INDEX('Paramètres'!$O:$O,MATCH($D1141,'Paramètres'!$M:$M,0))&amp;"",""))))</f>
        <v/>
      </c>
      <c r="N1141" s="6" t="str">
        <f>IF($D1141="","",IFERROR(INDEX('Paramètres'!$Q:$Q,MATCH($D1141,'Paramètres'!$M:$M,0))&amp;"",""))</f>
        <v/>
      </c>
      <c r="O1141" s="6" t="str">
        <f>IF($A1141="","",IF(OR($J1141&lt;&gt;"x",$A1141&lt;=FinReleve),1,0))</f>
        <v/>
      </c>
      <c r="P1141" s="6" t="str">
        <f>IF($D1141="","",IF(AND($L1141="Crédit",OR(IFERROR(INDEX('Paramètres'!$O:$O,MATCH($D1141,'Paramètres'!$M:$M,0))&amp;"","")&lt;&gt;"",ISNUMBER(SEARCH("remboursement",IFERROR(INDEX('Paramètres'!$N:$N,MATCH($D1141,'Paramètres'!$M:$M,0))&amp;"",""))))),1,0))</f>
        <v/>
      </c>
      <c r="Q1141" s="6" t="str">
        <f>IF($K1141="","",IF(ISNUMBER(SEARCH("transfert-interne",IFERROR(INDEX('Paramètres'!$N:$N,MATCH($D1141,'Paramètres'!$M:$M,0))&amp;"",""))),0,IF($L1141="Débit",$K1141,IF($P1141=1,-$K1141,0))))</f>
        <v/>
      </c>
      <c r="R1141" s="6" t="str">
        <f>IF($K1141="","",IF($L1141="Crédit",$K1141,-$K1141))</f>
        <v/>
      </c>
      <c r="S1141" s="6" t="str">
        <f>IF($C1141="","",IFERROR(INDEX('Paramètres'!$H:$H,MATCH($C1141,'Paramètres'!$D:$D,0))&amp;"",""))</f>
        <v/>
      </c>
      <c r="T1141" s="6" t="str">
        <f>IF($K1141="","",IF($S1141="",0,IF(ISNUMBER(SEARCH("apport-exterieur",IFERROR(INDEX('Paramètres'!$N:$N,MATCH($D1141,'Paramètres'!$M:$M,0))&amp;"",""))),0,IF(OR(IFERROR(INDEX('Paramètres'!$I:$I,MATCH($C1141,'Paramètres'!$D:$D,0))&amp;"","")="Les deux",IFERROR(INDEX('Paramètres'!$I:$I,MATCH($C1141,'Paramètres'!$D:$D,0))&amp;"","")=IF($P1141=1,"Débit",$L1141)),-IF($P1141=1,-$K1141,$K1141),0))))</f>
        <v/>
      </c>
      <c r="U1141" s="6" t="str">
        <f>IF($K1141="","",IF(ISNUMBER(SEARCH("sortie-epargne",IFERROR(INDEX('Paramètres'!$N:$N,MATCH($D1141,'Paramètres'!$M:$M,0))&amp;"",""))),$K1141,0))</f>
        <v/>
      </c>
      <c r="V1141" s="6" t="str">
        <f>IF(AND($A1141&lt;&gt;"",$O1141=1,$L1141="Débit",N($Q1141)&gt;0,$A1141&gt;=Visualisation!$B$1,$A1141&lt;Visualisation!$D$1),MAX($V$1:V1140)+1,"")</f>
        <v/>
      </c>
    </row>
    <row r="1142" spans="1:22" x14ac:dyDescent="0.25">
      <c r="A1142" s="9"/>
      <c r="E1142" s="10"/>
      <c r="K1142" s="11" t="str">
        <f>IF($E1142="","",ROUND($E1142*IF(ISNA(MATCH($C1142,'Paramètres'!$D:$D,0)),1,IF(INDEX('Paramètres'!$J:$J,MATCH($C1142,'Paramètres'!$D:$D,0))="",1,INDEX('Paramètres'!$J:$J,MATCH($C1142,'Paramètres'!$D:$D,0)))),2))</f>
        <v/>
      </c>
      <c r="L1142" s="6" t="str">
        <f>IF($D1142="","",IF($F1142&lt;&gt;"",$F1142,IF(ISNA(MATCH($D1142,'Paramètres'!$M:$M,0)),"⚠ Type inconnu",IFERROR(INDEX('Paramètres'!$P:$P,MATCH($D1142,'Paramètres'!$M:$M,0))&amp;"",""))))</f>
        <v/>
      </c>
      <c r="M1142" s="6" t="str">
        <f>IF($D1142="","",IF(ISNA(MATCH($D1142,'Paramètres'!$M:$M,0)),"⚠ Type inconnu",IF($L1142="Crédit","",IFERROR(INDEX('Paramètres'!$O:$O,MATCH($D1142,'Paramètres'!$M:$M,0))&amp;"",""))))</f>
        <v/>
      </c>
      <c r="N1142" s="6" t="str">
        <f>IF($D1142="","",IFERROR(INDEX('Paramètres'!$Q:$Q,MATCH($D1142,'Paramètres'!$M:$M,0))&amp;"",""))</f>
        <v/>
      </c>
      <c r="O1142" s="6" t="str">
        <f>IF($A1142="","",IF(OR($J1142&lt;&gt;"x",$A1142&lt;=FinReleve),1,0))</f>
        <v/>
      </c>
      <c r="P1142" s="6" t="str">
        <f>IF($D1142="","",IF(AND($L1142="Crédit",OR(IFERROR(INDEX('Paramètres'!$O:$O,MATCH($D1142,'Paramètres'!$M:$M,0))&amp;"","")&lt;&gt;"",ISNUMBER(SEARCH("remboursement",IFERROR(INDEX('Paramètres'!$N:$N,MATCH($D1142,'Paramètres'!$M:$M,0))&amp;"",""))))),1,0))</f>
        <v/>
      </c>
      <c r="Q1142" s="6" t="str">
        <f>IF($K1142="","",IF(ISNUMBER(SEARCH("transfert-interne",IFERROR(INDEX('Paramètres'!$N:$N,MATCH($D1142,'Paramètres'!$M:$M,0))&amp;"",""))),0,IF($L1142="Débit",$K1142,IF($P1142=1,-$K1142,0))))</f>
        <v/>
      </c>
      <c r="R1142" s="6" t="str">
        <f>IF($K1142="","",IF($L1142="Crédit",$K1142,-$K1142))</f>
        <v/>
      </c>
      <c r="S1142" s="6" t="str">
        <f>IF($C1142="","",IFERROR(INDEX('Paramètres'!$H:$H,MATCH($C1142,'Paramètres'!$D:$D,0))&amp;"",""))</f>
        <v/>
      </c>
      <c r="T1142" s="6" t="str">
        <f>IF($K1142="","",IF($S1142="",0,IF(ISNUMBER(SEARCH("apport-exterieur",IFERROR(INDEX('Paramètres'!$N:$N,MATCH($D1142,'Paramètres'!$M:$M,0))&amp;"",""))),0,IF(OR(IFERROR(INDEX('Paramètres'!$I:$I,MATCH($C1142,'Paramètres'!$D:$D,0))&amp;"","")="Les deux",IFERROR(INDEX('Paramètres'!$I:$I,MATCH($C1142,'Paramètres'!$D:$D,0))&amp;"","")=IF($P1142=1,"Débit",$L1142)),-IF($P1142=1,-$K1142,$K1142),0))))</f>
        <v/>
      </c>
      <c r="U1142" s="6" t="str">
        <f>IF($K1142="","",IF(ISNUMBER(SEARCH("sortie-epargne",IFERROR(INDEX('Paramètres'!$N:$N,MATCH($D1142,'Paramètres'!$M:$M,0))&amp;"",""))),$K1142,0))</f>
        <v/>
      </c>
      <c r="V1142" s="6" t="str">
        <f>IF(AND($A1142&lt;&gt;"",$O1142=1,$L1142="Débit",N($Q1142)&gt;0,$A1142&gt;=Visualisation!$B$1,$A1142&lt;Visualisation!$D$1),MAX($V$1:V1141)+1,"")</f>
        <v/>
      </c>
    </row>
    <row r="1143" spans="1:22" x14ac:dyDescent="0.25">
      <c r="A1143" s="9"/>
      <c r="E1143" s="10"/>
      <c r="K1143" s="11" t="str">
        <f>IF($E1143="","",ROUND($E1143*IF(ISNA(MATCH($C1143,'Paramètres'!$D:$D,0)),1,IF(INDEX('Paramètres'!$J:$J,MATCH($C1143,'Paramètres'!$D:$D,0))="",1,INDEX('Paramètres'!$J:$J,MATCH($C1143,'Paramètres'!$D:$D,0)))),2))</f>
        <v/>
      </c>
      <c r="L1143" s="6" t="str">
        <f>IF($D1143="","",IF($F1143&lt;&gt;"",$F1143,IF(ISNA(MATCH($D1143,'Paramètres'!$M:$M,0)),"⚠ Type inconnu",IFERROR(INDEX('Paramètres'!$P:$P,MATCH($D1143,'Paramètres'!$M:$M,0))&amp;"",""))))</f>
        <v/>
      </c>
      <c r="M1143" s="6" t="str">
        <f>IF($D1143="","",IF(ISNA(MATCH($D1143,'Paramètres'!$M:$M,0)),"⚠ Type inconnu",IF($L1143="Crédit","",IFERROR(INDEX('Paramètres'!$O:$O,MATCH($D1143,'Paramètres'!$M:$M,0))&amp;"",""))))</f>
        <v/>
      </c>
      <c r="N1143" s="6" t="str">
        <f>IF($D1143="","",IFERROR(INDEX('Paramètres'!$Q:$Q,MATCH($D1143,'Paramètres'!$M:$M,0))&amp;"",""))</f>
        <v/>
      </c>
      <c r="O1143" s="6" t="str">
        <f>IF($A1143="","",IF(OR($J1143&lt;&gt;"x",$A1143&lt;=FinReleve),1,0))</f>
        <v/>
      </c>
      <c r="P1143" s="6" t="str">
        <f>IF($D1143="","",IF(AND($L1143="Crédit",OR(IFERROR(INDEX('Paramètres'!$O:$O,MATCH($D1143,'Paramètres'!$M:$M,0))&amp;"","")&lt;&gt;"",ISNUMBER(SEARCH("remboursement",IFERROR(INDEX('Paramètres'!$N:$N,MATCH($D1143,'Paramètres'!$M:$M,0))&amp;"",""))))),1,0))</f>
        <v/>
      </c>
      <c r="Q1143" s="6" t="str">
        <f>IF($K1143="","",IF(ISNUMBER(SEARCH("transfert-interne",IFERROR(INDEX('Paramètres'!$N:$N,MATCH($D1143,'Paramètres'!$M:$M,0))&amp;"",""))),0,IF($L1143="Débit",$K1143,IF($P1143=1,-$K1143,0))))</f>
        <v/>
      </c>
      <c r="R1143" s="6" t="str">
        <f>IF($K1143="","",IF($L1143="Crédit",$K1143,-$K1143))</f>
        <v/>
      </c>
      <c r="S1143" s="6" t="str">
        <f>IF($C1143="","",IFERROR(INDEX('Paramètres'!$H:$H,MATCH($C1143,'Paramètres'!$D:$D,0))&amp;"",""))</f>
        <v/>
      </c>
      <c r="T1143" s="6" t="str">
        <f>IF($K1143="","",IF($S1143="",0,IF(ISNUMBER(SEARCH("apport-exterieur",IFERROR(INDEX('Paramètres'!$N:$N,MATCH($D1143,'Paramètres'!$M:$M,0))&amp;"",""))),0,IF(OR(IFERROR(INDEX('Paramètres'!$I:$I,MATCH($C1143,'Paramètres'!$D:$D,0))&amp;"","")="Les deux",IFERROR(INDEX('Paramètres'!$I:$I,MATCH($C1143,'Paramètres'!$D:$D,0))&amp;"","")=IF($P1143=1,"Débit",$L1143)),-IF($P1143=1,-$K1143,$K1143),0))))</f>
        <v/>
      </c>
      <c r="U1143" s="6" t="str">
        <f>IF($K1143="","",IF(ISNUMBER(SEARCH("sortie-epargne",IFERROR(INDEX('Paramètres'!$N:$N,MATCH($D1143,'Paramètres'!$M:$M,0))&amp;"",""))),$K1143,0))</f>
        <v/>
      </c>
      <c r="V1143" s="6" t="str">
        <f>IF(AND($A1143&lt;&gt;"",$O1143=1,$L1143="Débit",N($Q1143)&gt;0,$A1143&gt;=Visualisation!$B$1,$A1143&lt;Visualisation!$D$1),MAX($V$1:V1142)+1,"")</f>
        <v/>
      </c>
    </row>
    <row r="1144" spans="1:22" x14ac:dyDescent="0.25">
      <c r="A1144" s="9"/>
      <c r="E1144" s="10"/>
      <c r="K1144" s="11" t="str">
        <f>IF($E1144="","",ROUND($E1144*IF(ISNA(MATCH($C1144,'Paramètres'!$D:$D,0)),1,IF(INDEX('Paramètres'!$J:$J,MATCH($C1144,'Paramètres'!$D:$D,0))="",1,INDEX('Paramètres'!$J:$J,MATCH($C1144,'Paramètres'!$D:$D,0)))),2))</f>
        <v/>
      </c>
      <c r="L1144" s="6" t="str">
        <f>IF($D1144="","",IF($F1144&lt;&gt;"",$F1144,IF(ISNA(MATCH($D1144,'Paramètres'!$M:$M,0)),"⚠ Type inconnu",IFERROR(INDEX('Paramètres'!$P:$P,MATCH($D1144,'Paramètres'!$M:$M,0))&amp;"",""))))</f>
        <v/>
      </c>
      <c r="M1144" s="6" t="str">
        <f>IF($D1144="","",IF(ISNA(MATCH($D1144,'Paramètres'!$M:$M,0)),"⚠ Type inconnu",IF($L1144="Crédit","",IFERROR(INDEX('Paramètres'!$O:$O,MATCH($D1144,'Paramètres'!$M:$M,0))&amp;"",""))))</f>
        <v/>
      </c>
      <c r="N1144" s="6" t="str">
        <f>IF($D1144="","",IFERROR(INDEX('Paramètres'!$Q:$Q,MATCH($D1144,'Paramètres'!$M:$M,0))&amp;"",""))</f>
        <v/>
      </c>
      <c r="O1144" s="6" t="str">
        <f>IF($A1144="","",IF(OR($J1144&lt;&gt;"x",$A1144&lt;=FinReleve),1,0))</f>
        <v/>
      </c>
      <c r="P1144" s="6" t="str">
        <f>IF($D1144="","",IF(AND($L1144="Crédit",OR(IFERROR(INDEX('Paramètres'!$O:$O,MATCH($D1144,'Paramètres'!$M:$M,0))&amp;"","")&lt;&gt;"",ISNUMBER(SEARCH("remboursement",IFERROR(INDEX('Paramètres'!$N:$N,MATCH($D1144,'Paramètres'!$M:$M,0))&amp;"",""))))),1,0))</f>
        <v/>
      </c>
      <c r="Q1144" s="6" t="str">
        <f>IF($K1144="","",IF(ISNUMBER(SEARCH("transfert-interne",IFERROR(INDEX('Paramètres'!$N:$N,MATCH($D1144,'Paramètres'!$M:$M,0))&amp;"",""))),0,IF($L1144="Débit",$K1144,IF($P1144=1,-$K1144,0))))</f>
        <v/>
      </c>
      <c r="R1144" s="6" t="str">
        <f>IF($K1144="","",IF($L1144="Crédit",$K1144,-$K1144))</f>
        <v/>
      </c>
      <c r="S1144" s="6" t="str">
        <f>IF($C1144="","",IFERROR(INDEX('Paramètres'!$H:$H,MATCH($C1144,'Paramètres'!$D:$D,0))&amp;"",""))</f>
        <v/>
      </c>
      <c r="T1144" s="6" t="str">
        <f>IF($K1144="","",IF($S1144="",0,IF(ISNUMBER(SEARCH("apport-exterieur",IFERROR(INDEX('Paramètres'!$N:$N,MATCH($D1144,'Paramètres'!$M:$M,0))&amp;"",""))),0,IF(OR(IFERROR(INDEX('Paramètres'!$I:$I,MATCH($C1144,'Paramètres'!$D:$D,0))&amp;"","")="Les deux",IFERROR(INDEX('Paramètres'!$I:$I,MATCH($C1144,'Paramètres'!$D:$D,0))&amp;"","")=IF($P1144=1,"Débit",$L1144)),-IF($P1144=1,-$K1144,$K1144),0))))</f>
        <v/>
      </c>
      <c r="U1144" s="6" t="str">
        <f>IF($K1144="","",IF(ISNUMBER(SEARCH("sortie-epargne",IFERROR(INDEX('Paramètres'!$N:$N,MATCH($D1144,'Paramètres'!$M:$M,0))&amp;"",""))),$K1144,0))</f>
        <v/>
      </c>
      <c r="V1144" s="6" t="str">
        <f>IF(AND($A1144&lt;&gt;"",$O1144=1,$L1144="Débit",N($Q1144)&gt;0,$A1144&gt;=Visualisation!$B$1,$A1144&lt;Visualisation!$D$1),MAX($V$1:V1143)+1,"")</f>
        <v/>
      </c>
    </row>
    <row r="1145" spans="1:22" x14ac:dyDescent="0.25">
      <c r="A1145" s="9"/>
      <c r="E1145" s="10"/>
      <c r="K1145" s="11" t="str">
        <f>IF($E1145="","",ROUND($E1145*IF(ISNA(MATCH($C1145,'Paramètres'!$D:$D,0)),1,IF(INDEX('Paramètres'!$J:$J,MATCH($C1145,'Paramètres'!$D:$D,0))="",1,INDEX('Paramètres'!$J:$J,MATCH($C1145,'Paramètres'!$D:$D,0)))),2))</f>
        <v/>
      </c>
      <c r="L1145" s="6" t="str">
        <f>IF($D1145="","",IF($F1145&lt;&gt;"",$F1145,IF(ISNA(MATCH($D1145,'Paramètres'!$M:$M,0)),"⚠ Type inconnu",IFERROR(INDEX('Paramètres'!$P:$P,MATCH($D1145,'Paramètres'!$M:$M,0))&amp;"",""))))</f>
        <v/>
      </c>
      <c r="M1145" s="6" t="str">
        <f>IF($D1145="","",IF(ISNA(MATCH($D1145,'Paramètres'!$M:$M,0)),"⚠ Type inconnu",IF($L1145="Crédit","",IFERROR(INDEX('Paramètres'!$O:$O,MATCH($D1145,'Paramètres'!$M:$M,0))&amp;"",""))))</f>
        <v/>
      </c>
      <c r="N1145" s="6" t="str">
        <f>IF($D1145="","",IFERROR(INDEX('Paramètres'!$Q:$Q,MATCH($D1145,'Paramètres'!$M:$M,0))&amp;"",""))</f>
        <v/>
      </c>
      <c r="O1145" s="6" t="str">
        <f>IF($A1145="","",IF(OR($J1145&lt;&gt;"x",$A1145&lt;=FinReleve),1,0))</f>
        <v/>
      </c>
      <c r="P1145" s="6" t="str">
        <f>IF($D1145="","",IF(AND($L1145="Crédit",OR(IFERROR(INDEX('Paramètres'!$O:$O,MATCH($D1145,'Paramètres'!$M:$M,0))&amp;"","")&lt;&gt;"",ISNUMBER(SEARCH("remboursement",IFERROR(INDEX('Paramètres'!$N:$N,MATCH($D1145,'Paramètres'!$M:$M,0))&amp;"",""))))),1,0))</f>
        <v/>
      </c>
      <c r="Q1145" s="6" t="str">
        <f>IF($K1145="","",IF(ISNUMBER(SEARCH("transfert-interne",IFERROR(INDEX('Paramètres'!$N:$N,MATCH($D1145,'Paramètres'!$M:$M,0))&amp;"",""))),0,IF($L1145="Débit",$K1145,IF($P1145=1,-$K1145,0))))</f>
        <v/>
      </c>
      <c r="R1145" s="6" t="str">
        <f>IF($K1145="","",IF($L1145="Crédit",$K1145,-$K1145))</f>
        <v/>
      </c>
      <c r="S1145" s="6" t="str">
        <f>IF($C1145="","",IFERROR(INDEX('Paramètres'!$H:$H,MATCH($C1145,'Paramètres'!$D:$D,0))&amp;"",""))</f>
        <v/>
      </c>
      <c r="T1145" s="6" t="str">
        <f>IF($K1145="","",IF($S1145="",0,IF(ISNUMBER(SEARCH("apport-exterieur",IFERROR(INDEX('Paramètres'!$N:$N,MATCH($D1145,'Paramètres'!$M:$M,0))&amp;"",""))),0,IF(OR(IFERROR(INDEX('Paramètres'!$I:$I,MATCH($C1145,'Paramètres'!$D:$D,0))&amp;"","")="Les deux",IFERROR(INDEX('Paramètres'!$I:$I,MATCH($C1145,'Paramètres'!$D:$D,0))&amp;"","")=IF($P1145=1,"Débit",$L1145)),-IF($P1145=1,-$K1145,$K1145),0))))</f>
        <v/>
      </c>
      <c r="U1145" s="6" t="str">
        <f>IF($K1145="","",IF(ISNUMBER(SEARCH("sortie-epargne",IFERROR(INDEX('Paramètres'!$N:$N,MATCH($D1145,'Paramètres'!$M:$M,0))&amp;"",""))),$K1145,0))</f>
        <v/>
      </c>
      <c r="V1145" s="6" t="str">
        <f>IF(AND($A1145&lt;&gt;"",$O1145=1,$L1145="Débit",N($Q1145)&gt;0,$A1145&gt;=Visualisation!$B$1,$A1145&lt;Visualisation!$D$1),MAX($V$1:V1144)+1,"")</f>
        <v/>
      </c>
    </row>
    <row r="1146" spans="1:22" x14ac:dyDescent="0.25">
      <c r="A1146" s="9"/>
      <c r="E1146" s="10"/>
      <c r="K1146" s="11" t="str">
        <f>IF($E1146="","",ROUND($E1146*IF(ISNA(MATCH($C1146,'Paramètres'!$D:$D,0)),1,IF(INDEX('Paramètres'!$J:$J,MATCH($C1146,'Paramètres'!$D:$D,0))="",1,INDEX('Paramètres'!$J:$J,MATCH($C1146,'Paramètres'!$D:$D,0)))),2))</f>
        <v/>
      </c>
      <c r="L1146" s="6" t="str">
        <f>IF($D1146="","",IF($F1146&lt;&gt;"",$F1146,IF(ISNA(MATCH($D1146,'Paramètres'!$M:$M,0)),"⚠ Type inconnu",IFERROR(INDEX('Paramètres'!$P:$P,MATCH($D1146,'Paramètres'!$M:$M,0))&amp;"",""))))</f>
        <v/>
      </c>
      <c r="M1146" s="6" t="str">
        <f>IF($D1146="","",IF(ISNA(MATCH($D1146,'Paramètres'!$M:$M,0)),"⚠ Type inconnu",IF($L1146="Crédit","",IFERROR(INDEX('Paramètres'!$O:$O,MATCH($D1146,'Paramètres'!$M:$M,0))&amp;"",""))))</f>
        <v/>
      </c>
      <c r="N1146" s="6" t="str">
        <f>IF($D1146="","",IFERROR(INDEX('Paramètres'!$Q:$Q,MATCH($D1146,'Paramètres'!$M:$M,0))&amp;"",""))</f>
        <v/>
      </c>
      <c r="O1146" s="6" t="str">
        <f>IF($A1146="","",IF(OR($J1146&lt;&gt;"x",$A1146&lt;=FinReleve),1,0))</f>
        <v/>
      </c>
      <c r="P1146" s="6" t="str">
        <f>IF($D1146="","",IF(AND($L1146="Crédit",OR(IFERROR(INDEX('Paramètres'!$O:$O,MATCH($D1146,'Paramètres'!$M:$M,0))&amp;"","")&lt;&gt;"",ISNUMBER(SEARCH("remboursement",IFERROR(INDEX('Paramètres'!$N:$N,MATCH($D1146,'Paramètres'!$M:$M,0))&amp;"",""))))),1,0))</f>
        <v/>
      </c>
      <c r="Q1146" s="6" t="str">
        <f>IF($K1146="","",IF(ISNUMBER(SEARCH("transfert-interne",IFERROR(INDEX('Paramètres'!$N:$N,MATCH($D1146,'Paramètres'!$M:$M,0))&amp;"",""))),0,IF($L1146="Débit",$K1146,IF($P1146=1,-$K1146,0))))</f>
        <v/>
      </c>
      <c r="R1146" s="6" t="str">
        <f>IF($K1146="","",IF($L1146="Crédit",$K1146,-$K1146))</f>
        <v/>
      </c>
      <c r="S1146" s="6" t="str">
        <f>IF($C1146="","",IFERROR(INDEX('Paramètres'!$H:$H,MATCH($C1146,'Paramètres'!$D:$D,0))&amp;"",""))</f>
        <v/>
      </c>
      <c r="T1146" s="6" t="str">
        <f>IF($K1146="","",IF($S1146="",0,IF(ISNUMBER(SEARCH("apport-exterieur",IFERROR(INDEX('Paramètres'!$N:$N,MATCH($D1146,'Paramètres'!$M:$M,0))&amp;"",""))),0,IF(OR(IFERROR(INDEX('Paramètres'!$I:$I,MATCH($C1146,'Paramètres'!$D:$D,0))&amp;"","")="Les deux",IFERROR(INDEX('Paramètres'!$I:$I,MATCH($C1146,'Paramètres'!$D:$D,0))&amp;"","")=IF($P1146=1,"Débit",$L1146)),-IF($P1146=1,-$K1146,$K1146),0))))</f>
        <v/>
      </c>
      <c r="U1146" s="6" t="str">
        <f>IF($K1146="","",IF(ISNUMBER(SEARCH("sortie-epargne",IFERROR(INDEX('Paramètres'!$N:$N,MATCH($D1146,'Paramètres'!$M:$M,0))&amp;"",""))),$K1146,0))</f>
        <v/>
      </c>
      <c r="V1146" s="6" t="str">
        <f>IF(AND($A1146&lt;&gt;"",$O1146=1,$L1146="Débit",N($Q1146)&gt;0,$A1146&gt;=Visualisation!$B$1,$A1146&lt;Visualisation!$D$1),MAX($V$1:V1145)+1,"")</f>
        <v/>
      </c>
    </row>
    <row r="1147" spans="1:22" x14ac:dyDescent="0.25">
      <c r="A1147" s="9"/>
      <c r="E1147" s="10"/>
      <c r="K1147" s="11" t="str">
        <f>IF($E1147="","",ROUND($E1147*IF(ISNA(MATCH($C1147,'Paramètres'!$D:$D,0)),1,IF(INDEX('Paramètres'!$J:$J,MATCH($C1147,'Paramètres'!$D:$D,0))="",1,INDEX('Paramètres'!$J:$J,MATCH($C1147,'Paramètres'!$D:$D,0)))),2))</f>
        <v/>
      </c>
      <c r="L1147" s="6" t="str">
        <f>IF($D1147="","",IF($F1147&lt;&gt;"",$F1147,IF(ISNA(MATCH($D1147,'Paramètres'!$M:$M,0)),"⚠ Type inconnu",IFERROR(INDEX('Paramètres'!$P:$P,MATCH($D1147,'Paramètres'!$M:$M,0))&amp;"",""))))</f>
        <v/>
      </c>
      <c r="M1147" s="6" t="str">
        <f>IF($D1147="","",IF(ISNA(MATCH($D1147,'Paramètres'!$M:$M,0)),"⚠ Type inconnu",IF($L1147="Crédit","",IFERROR(INDEX('Paramètres'!$O:$O,MATCH($D1147,'Paramètres'!$M:$M,0))&amp;"",""))))</f>
        <v/>
      </c>
      <c r="N1147" s="6" t="str">
        <f>IF($D1147="","",IFERROR(INDEX('Paramètres'!$Q:$Q,MATCH($D1147,'Paramètres'!$M:$M,0))&amp;"",""))</f>
        <v/>
      </c>
      <c r="O1147" s="6" t="str">
        <f>IF($A1147="","",IF(OR($J1147&lt;&gt;"x",$A1147&lt;=FinReleve),1,0))</f>
        <v/>
      </c>
      <c r="P1147" s="6" t="str">
        <f>IF($D1147="","",IF(AND($L1147="Crédit",OR(IFERROR(INDEX('Paramètres'!$O:$O,MATCH($D1147,'Paramètres'!$M:$M,0))&amp;"","")&lt;&gt;"",ISNUMBER(SEARCH("remboursement",IFERROR(INDEX('Paramètres'!$N:$N,MATCH($D1147,'Paramètres'!$M:$M,0))&amp;"",""))))),1,0))</f>
        <v/>
      </c>
      <c r="Q1147" s="6" t="str">
        <f>IF($K1147="","",IF(ISNUMBER(SEARCH("transfert-interne",IFERROR(INDEX('Paramètres'!$N:$N,MATCH($D1147,'Paramètres'!$M:$M,0))&amp;"",""))),0,IF($L1147="Débit",$K1147,IF($P1147=1,-$K1147,0))))</f>
        <v/>
      </c>
      <c r="R1147" s="6" t="str">
        <f>IF($K1147="","",IF($L1147="Crédit",$K1147,-$K1147))</f>
        <v/>
      </c>
      <c r="S1147" s="6" t="str">
        <f>IF($C1147="","",IFERROR(INDEX('Paramètres'!$H:$H,MATCH($C1147,'Paramètres'!$D:$D,0))&amp;"",""))</f>
        <v/>
      </c>
      <c r="T1147" s="6" t="str">
        <f>IF($K1147="","",IF($S1147="",0,IF(ISNUMBER(SEARCH("apport-exterieur",IFERROR(INDEX('Paramètres'!$N:$N,MATCH($D1147,'Paramètres'!$M:$M,0))&amp;"",""))),0,IF(OR(IFERROR(INDEX('Paramètres'!$I:$I,MATCH($C1147,'Paramètres'!$D:$D,0))&amp;"","")="Les deux",IFERROR(INDEX('Paramètres'!$I:$I,MATCH($C1147,'Paramètres'!$D:$D,0))&amp;"","")=IF($P1147=1,"Débit",$L1147)),-IF($P1147=1,-$K1147,$K1147),0))))</f>
        <v/>
      </c>
      <c r="U1147" s="6" t="str">
        <f>IF($K1147="","",IF(ISNUMBER(SEARCH("sortie-epargne",IFERROR(INDEX('Paramètres'!$N:$N,MATCH($D1147,'Paramètres'!$M:$M,0))&amp;"",""))),$K1147,0))</f>
        <v/>
      </c>
      <c r="V1147" s="6" t="str">
        <f>IF(AND($A1147&lt;&gt;"",$O1147=1,$L1147="Débit",N($Q1147)&gt;0,$A1147&gt;=Visualisation!$B$1,$A1147&lt;Visualisation!$D$1),MAX($V$1:V1146)+1,"")</f>
        <v/>
      </c>
    </row>
    <row r="1148" spans="1:22" x14ac:dyDescent="0.25">
      <c r="A1148" s="9"/>
      <c r="E1148" s="10"/>
      <c r="K1148" s="11" t="str">
        <f>IF($E1148="","",ROUND($E1148*IF(ISNA(MATCH($C1148,'Paramètres'!$D:$D,0)),1,IF(INDEX('Paramètres'!$J:$J,MATCH($C1148,'Paramètres'!$D:$D,0))="",1,INDEX('Paramètres'!$J:$J,MATCH($C1148,'Paramètres'!$D:$D,0)))),2))</f>
        <v/>
      </c>
      <c r="L1148" s="6" t="str">
        <f>IF($D1148="","",IF($F1148&lt;&gt;"",$F1148,IF(ISNA(MATCH($D1148,'Paramètres'!$M:$M,0)),"⚠ Type inconnu",IFERROR(INDEX('Paramètres'!$P:$P,MATCH($D1148,'Paramètres'!$M:$M,0))&amp;"",""))))</f>
        <v/>
      </c>
      <c r="M1148" s="6" t="str">
        <f>IF($D1148="","",IF(ISNA(MATCH($D1148,'Paramètres'!$M:$M,0)),"⚠ Type inconnu",IF($L1148="Crédit","",IFERROR(INDEX('Paramètres'!$O:$O,MATCH($D1148,'Paramètres'!$M:$M,0))&amp;"",""))))</f>
        <v/>
      </c>
      <c r="N1148" s="6" t="str">
        <f>IF($D1148="","",IFERROR(INDEX('Paramètres'!$Q:$Q,MATCH($D1148,'Paramètres'!$M:$M,0))&amp;"",""))</f>
        <v/>
      </c>
      <c r="O1148" s="6" t="str">
        <f>IF($A1148="","",IF(OR($J1148&lt;&gt;"x",$A1148&lt;=FinReleve),1,0))</f>
        <v/>
      </c>
      <c r="P1148" s="6" t="str">
        <f>IF($D1148="","",IF(AND($L1148="Crédit",OR(IFERROR(INDEX('Paramètres'!$O:$O,MATCH($D1148,'Paramètres'!$M:$M,0))&amp;"","")&lt;&gt;"",ISNUMBER(SEARCH("remboursement",IFERROR(INDEX('Paramètres'!$N:$N,MATCH($D1148,'Paramètres'!$M:$M,0))&amp;"",""))))),1,0))</f>
        <v/>
      </c>
      <c r="Q1148" s="6" t="str">
        <f>IF($K1148="","",IF(ISNUMBER(SEARCH("transfert-interne",IFERROR(INDEX('Paramètres'!$N:$N,MATCH($D1148,'Paramètres'!$M:$M,0))&amp;"",""))),0,IF($L1148="Débit",$K1148,IF($P1148=1,-$K1148,0))))</f>
        <v/>
      </c>
      <c r="R1148" s="6" t="str">
        <f>IF($K1148="","",IF($L1148="Crédit",$K1148,-$K1148))</f>
        <v/>
      </c>
      <c r="S1148" s="6" t="str">
        <f>IF($C1148="","",IFERROR(INDEX('Paramètres'!$H:$H,MATCH($C1148,'Paramètres'!$D:$D,0))&amp;"",""))</f>
        <v/>
      </c>
      <c r="T1148" s="6" t="str">
        <f>IF($K1148="","",IF($S1148="",0,IF(ISNUMBER(SEARCH("apport-exterieur",IFERROR(INDEX('Paramètres'!$N:$N,MATCH($D1148,'Paramètres'!$M:$M,0))&amp;"",""))),0,IF(OR(IFERROR(INDEX('Paramètres'!$I:$I,MATCH($C1148,'Paramètres'!$D:$D,0))&amp;"","")="Les deux",IFERROR(INDEX('Paramètres'!$I:$I,MATCH($C1148,'Paramètres'!$D:$D,0))&amp;"","")=IF($P1148=1,"Débit",$L1148)),-IF($P1148=1,-$K1148,$K1148),0))))</f>
        <v/>
      </c>
      <c r="U1148" s="6" t="str">
        <f>IF($K1148="","",IF(ISNUMBER(SEARCH("sortie-epargne",IFERROR(INDEX('Paramètres'!$N:$N,MATCH($D1148,'Paramètres'!$M:$M,0))&amp;"",""))),$K1148,0))</f>
        <v/>
      </c>
      <c r="V1148" s="6" t="str">
        <f>IF(AND($A1148&lt;&gt;"",$O1148=1,$L1148="Débit",N($Q1148)&gt;0,$A1148&gt;=Visualisation!$B$1,$A1148&lt;Visualisation!$D$1),MAX($V$1:V1147)+1,"")</f>
        <v/>
      </c>
    </row>
    <row r="1149" spans="1:22" x14ac:dyDescent="0.25">
      <c r="A1149" s="9"/>
      <c r="E1149" s="10"/>
      <c r="K1149" s="11" t="str">
        <f>IF($E1149="","",ROUND($E1149*IF(ISNA(MATCH($C1149,'Paramètres'!$D:$D,0)),1,IF(INDEX('Paramètres'!$J:$J,MATCH($C1149,'Paramètres'!$D:$D,0))="",1,INDEX('Paramètres'!$J:$J,MATCH($C1149,'Paramètres'!$D:$D,0)))),2))</f>
        <v/>
      </c>
      <c r="L1149" s="6" t="str">
        <f>IF($D1149="","",IF($F1149&lt;&gt;"",$F1149,IF(ISNA(MATCH($D1149,'Paramètres'!$M:$M,0)),"⚠ Type inconnu",IFERROR(INDEX('Paramètres'!$P:$P,MATCH($D1149,'Paramètres'!$M:$M,0))&amp;"",""))))</f>
        <v/>
      </c>
      <c r="M1149" s="6" t="str">
        <f>IF($D1149="","",IF(ISNA(MATCH($D1149,'Paramètres'!$M:$M,0)),"⚠ Type inconnu",IF($L1149="Crédit","",IFERROR(INDEX('Paramètres'!$O:$O,MATCH($D1149,'Paramètres'!$M:$M,0))&amp;"",""))))</f>
        <v/>
      </c>
      <c r="N1149" s="6" t="str">
        <f>IF($D1149="","",IFERROR(INDEX('Paramètres'!$Q:$Q,MATCH($D1149,'Paramètres'!$M:$M,0))&amp;"",""))</f>
        <v/>
      </c>
      <c r="O1149" s="6" t="str">
        <f>IF($A1149="","",IF(OR($J1149&lt;&gt;"x",$A1149&lt;=FinReleve),1,0))</f>
        <v/>
      </c>
      <c r="P1149" s="6" t="str">
        <f>IF($D1149="","",IF(AND($L1149="Crédit",OR(IFERROR(INDEX('Paramètres'!$O:$O,MATCH($D1149,'Paramètres'!$M:$M,0))&amp;"","")&lt;&gt;"",ISNUMBER(SEARCH("remboursement",IFERROR(INDEX('Paramètres'!$N:$N,MATCH($D1149,'Paramètres'!$M:$M,0))&amp;"",""))))),1,0))</f>
        <v/>
      </c>
      <c r="Q1149" s="6" t="str">
        <f>IF($K1149="","",IF(ISNUMBER(SEARCH("transfert-interne",IFERROR(INDEX('Paramètres'!$N:$N,MATCH($D1149,'Paramètres'!$M:$M,0))&amp;"",""))),0,IF($L1149="Débit",$K1149,IF($P1149=1,-$K1149,0))))</f>
        <v/>
      </c>
      <c r="R1149" s="6" t="str">
        <f>IF($K1149="","",IF($L1149="Crédit",$K1149,-$K1149))</f>
        <v/>
      </c>
      <c r="S1149" s="6" t="str">
        <f>IF($C1149="","",IFERROR(INDEX('Paramètres'!$H:$H,MATCH($C1149,'Paramètres'!$D:$D,0))&amp;"",""))</f>
        <v/>
      </c>
      <c r="T1149" s="6" t="str">
        <f>IF($K1149="","",IF($S1149="",0,IF(ISNUMBER(SEARCH("apport-exterieur",IFERROR(INDEX('Paramètres'!$N:$N,MATCH($D1149,'Paramètres'!$M:$M,0))&amp;"",""))),0,IF(OR(IFERROR(INDEX('Paramètres'!$I:$I,MATCH($C1149,'Paramètres'!$D:$D,0))&amp;"","")="Les deux",IFERROR(INDEX('Paramètres'!$I:$I,MATCH($C1149,'Paramètres'!$D:$D,0))&amp;"","")=IF($P1149=1,"Débit",$L1149)),-IF($P1149=1,-$K1149,$K1149),0))))</f>
        <v/>
      </c>
      <c r="U1149" s="6" t="str">
        <f>IF($K1149="","",IF(ISNUMBER(SEARCH("sortie-epargne",IFERROR(INDEX('Paramètres'!$N:$N,MATCH($D1149,'Paramètres'!$M:$M,0))&amp;"",""))),$K1149,0))</f>
        <v/>
      </c>
      <c r="V1149" s="6" t="str">
        <f>IF(AND($A1149&lt;&gt;"",$O1149=1,$L1149="Débit",N($Q1149)&gt;0,$A1149&gt;=Visualisation!$B$1,$A1149&lt;Visualisation!$D$1),MAX($V$1:V1148)+1,"")</f>
        <v/>
      </c>
    </row>
    <row r="1150" spans="1:22" x14ac:dyDescent="0.25">
      <c r="A1150" s="9"/>
      <c r="E1150" s="10"/>
      <c r="K1150" s="11" t="str">
        <f>IF($E1150="","",ROUND($E1150*IF(ISNA(MATCH($C1150,'Paramètres'!$D:$D,0)),1,IF(INDEX('Paramètres'!$J:$J,MATCH($C1150,'Paramètres'!$D:$D,0))="",1,INDEX('Paramètres'!$J:$J,MATCH($C1150,'Paramètres'!$D:$D,0)))),2))</f>
        <v/>
      </c>
      <c r="L1150" s="6" t="str">
        <f>IF($D1150="","",IF($F1150&lt;&gt;"",$F1150,IF(ISNA(MATCH($D1150,'Paramètres'!$M:$M,0)),"⚠ Type inconnu",IFERROR(INDEX('Paramètres'!$P:$P,MATCH($D1150,'Paramètres'!$M:$M,0))&amp;"",""))))</f>
        <v/>
      </c>
      <c r="M1150" s="6" t="str">
        <f>IF($D1150="","",IF(ISNA(MATCH($D1150,'Paramètres'!$M:$M,0)),"⚠ Type inconnu",IF($L1150="Crédit","",IFERROR(INDEX('Paramètres'!$O:$O,MATCH($D1150,'Paramètres'!$M:$M,0))&amp;"",""))))</f>
        <v/>
      </c>
      <c r="N1150" s="6" t="str">
        <f>IF($D1150="","",IFERROR(INDEX('Paramètres'!$Q:$Q,MATCH($D1150,'Paramètres'!$M:$M,0))&amp;"",""))</f>
        <v/>
      </c>
      <c r="O1150" s="6" t="str">
        <f>IF($A1150="","",IF(OR($J1150&lt;&gt;"x",$A1150&lt;=FinReleve),1,0))</f>
        <v/>
      </c>
      <c r="P1150" s="6" t="str">
        <f>IF($D1150="","",IF(AND($L1150="Crédit",OR(IFERROR(INDEX('Paramètres'!$O:$O,MATCH($D1150,'Paramètres'!$M:$M,0))&amp;"","")&lt;&gt;"",ISNUMBER(SEARCH("remboursement",IFERROR(INDEX('Paramètres'!$N:$N,MATCH($D1150,'Paramètres'!$M:$M,0))&amp;"",""))))),1,0))</f>
        <v/>
      </c>
      <c r="Q1150" s="6" t="str">
        <f>IF($K1150="","",IF(ISNUMBER(SEARCH("transfert-interne",IFERROR(INDEX('Paramètres'!$N:$N,MATCH($D1150,'Paramètres'!$M:$M,0))&amp;"",""))),0,IF($L1150="Débit",$K1150,IF($P1150=1,-$K1150,0))))</f>
        <v/>
      </c>
      <c r="R1150" s="6" t="str">
        <f>IF($K1150="","",IF($L1150="Crédit",$K1150,-$K1150))</f>
        <v/>
      </c>
      <c r="S1150" s="6" t="str">
        <f>IF($C1150="","",IFERROR(INDEX('Paramètres'!$H:$H,MATCH($C1150,'Paramètres'!$D:$D,0))&amp;"",""))</f>
        <v/>
      </c>
      <c r="T1150" s="6" t="str">
        <f>IF($K1150="","",IF($S1150="",0,IF(ISNUMBER(SEARCH("apport-exterieur",IFERROR(INDEX('Paramètres'!$N:$N,MATCH($D1150,'Paramètres'!$M:$M,0))&amp;"",""))),0,IF(OR(IFERROR(INDEX('Paramètres'!$I:$I,MATCH($C1150,'Paramètres'!$D:$D,0))&amp;"","")="Les deux",IFERROR(INDEX('Paramètres'!$I:$I,MATCH($C1150,'Paramètres'!$D:$D,0))&amp;"","")=IF($P1150=1,"Débit",$L1150)),-IF($P1150=1,-$K1150,$K1150),0))))</f>
        <v/>
      </c>
      <c r="U1150" s="6" t="str">
        <f>IF($K1150="","",IF(ISNUMBER(SEARCH("sortie-epargne",IFERROR(INDEX('Paramètres'!$N:$N,MATCH($D1150,'Paramètres'!$M:$M,0))&amp;"",""))),$K1150,0))</f>
        <v/>
      </c>
      <c r="V1150" s="6" t="str">
        <f>IF(AND($A1150&lt;&gt;"",$O1150=1,$L1150="Débit",N($Q1150)&gt;0,$A1150&gt;=Visualisation!$B$1,$A1150&lt;Visualisation!$D$1),MAX($V$1:V1149)+1,"")</f>
        <v/>
      </c>
    </row>
    <row r="1151" spans="1:22" x14ac:dyDescent="0.25">
      <c r="A1151" s="9"/>
      <c r="E1151" s="10"/>
      <c r="K1151" s="11" t="str">
        <f>IF($E1151="","",ROUND($E1151*IF(ISNA(MATCH($C1151,'Paramètres'!$D:$D,0)),1,IF(INDEX('Paramètres'!$J:$J,MATCH($C1151,'Paramètres'!$D:$D,0))="",1,INDEX('Paramètres'!$J:$J,MATCH($C1151,'Paramètres'!$D:$D,0)))),2))</f>
        <v/>
      </c>
      <c r="L1151" s="6" t="str">
        <f>IF($D1151="","",IF($F1151&lt;&gt;"",$F1151,IF(ISNA(MATCH($D1151,'Paramètres'!$M:$M,0)),"⚠ Type inconnu",IFERROR(INDEX('Paramètres'!$P:$P,MATCH($D1151,'Paramètres'!$M:$M,0))&amp;"",""))))</f>
        <v/>
      </c>
      <c r="M1151" s="6" t="str">
        <f>IF($D1151="","",IF(ISNA(MATCH($D1151,'Paramètres'!$M:$M,0)),"⚠ Type inconnu",IF($L1151="Crédit","",IFERROR(INDEX('Paramètres'!$O:$O,MATCH($D1151,'Paramètres'!$M:$M,0))&amp;"",""))))</f>
        <v/>
      </c>
      <c r="N1151" s="6" t="str">
        <f>IF($D1151="","",IFERROR(INDEX('Paramètres'!$Q:$Q,MATCH($D1151,'Paramètres'!$M:$M,0))&amp;"",""))</f>
        <v/>
      </c>
      <c r="O1151" s="6" t="str">
        <f>IF($A1151="","",IF(OR($J1151&lt;&gt;"x",$A1151&lt;=FinReleve),1,0))</f>
        <v/>
      </c>
      <c r="P1151" s="6" t="str">
        <f>IF($D1151="","",IF(AND($L1151="Crédit",OR(IFERROR(INDEX('Paramètres'!$O:$O,MATCH($D1151,'Paramètres'!$M:$M,0))&amp;"","")&lt;&gt;"",ISNUMBER(SEARCH("remboursement",IFERROR(INDEX('Paramètres'!$N:$N,MATCH($D1151,'Paramètres'!$M:$M,0))&amp;"",""))))),1,0))</f>
        <v/>
      </c>
      <c r="Q1151" s="6" t="str">
        <f>IF($K1151="","",IF(ISNUMBER(SEARCH("transfert-interne",IFERROR(INDEX('Paramètres'!$N:$N,MATCH($D1151,'Paramètres'!$M:$M,0))&amp;"",""))),0,IF($L1151="Débit",$K1151,IF($P1151=1,-$K1151,0))))</f>
        <v/>
      </c>
      <c r="R1151" s="6" t="str">
        <f>IF($K1151="","",IF($L1151="Crédit",$K1151,-$K1151))</f>
        <v/>
      </c>
      <c r="S1151" s="6" t="str">
        <f>IF($C1151="","",IFERROR(INDEX('Paramètres'!$H:$H,MATCH($C1151,'Paramètres'!$D:$D,0))&amp;"",""))</f>
        <v/>
      </c>
      <c r="T1151" s="6" t="str">
        <f>IF($K1151="","",IF($S1151="",0,IF(ISNUMBER(SEARCH("apport-exterieur",IFERROR(INDEX('Paramètres'!$N:$N,MATCH($D1151,'Paramètres'!$M:$M,0))&amp;"",""))),0,IF(OR(IFERROR(INDEX('Paramètres'!$I:$I,MATCH($C1151,'Paramètres'!$D:$D,0))&amp;"","")="Les deux",IFERROR(INDEX('Paramètres'!$I:$I,MATCH($C1151,'Paramètres'!$D:$D,0))&amp;"","")=IF($P1151=1,"Débit",$L1151)),-IF($P1151=1,-$K1151,$K1151),0))))</f>
        <v/>
      </c>
      <c r="U1151" s="6" t="str">
        <f>IF($K1151="","",IF(ISNUMBER(SEARCH("sortie-epargne",IFERROR(INDEX('Paramètres'!$N:$N,MATCH($D1151,'Paramètres'!$M:$M,0))&amp;"",""))),$K1151,0))</f>
        <v/>
      </c>
      <c r="V1151" s="6" t="str">
        <f>IF(AND($A1151&lt;&gt;"",$O1151=1,$L1151="Débit",N($Q1151)&gt;0,$A1151&gt;=Visualisation!$B$1,$A1151&lt;Visualisation!$D$1),MAX($V$1:V1150)+1,"")</f>
        <v/>
      </c>
    </row>
    <row r="1152" spans="1:22" x14ac:dyDescent="0.25">
      <c r="A1152" s="9"/>
      <c r="E1152" s="10"/>
      <c r="K1152" s="11" t="str">
        <f>IF($E1152="","",ROUND($E1152*IF(ISNA(MATCH($C1152,'Paramètres'!$D:$D,0)),1,IF(INDEX('Paramètres'!$J:$J,MATCH($C1152,'Paramètres'!$D:$D,0))="",1,INDEX('Paramètres'!$J:$J,MATCH($C1152,'Paramètres'!$D:$D,0)))),2))</f>
        <v/>
      </c>
      <c r="L1152" s="6" t="str">
        <f>IF($D1152="","",IF($F1152&lt;&gt;"",$F1152,IF(ISNA(MATCH($D1152,'Paramètres'!$M:$M,0)),"⚠ Type inconnu",IFERROR(INDEX('Paramètres'!$P:$P,MATCH($D1152,'Paramètres'!$M:$M,0))&amp;"",""))))</f>
        <v/>
      </c>
      <c r="M1152" s="6" t="str">
        <f>IF($D1152="","",IF(ISNA(MATCH($D1152,'Paramètres'!$M:$M,0)),"⚠ Type inconnu",IF($L1152="Crédit","",IFERROR(INDEX('Paramètres'!$O:$O,MATCH($D1152,'Paramètres'!$M:$M,0))&amp;"",""))))</f>
        <v/>
      </c>
      <c r="N1152" s="6" t="str">
        <f>IF($D1152="","",IFERROR(INDEX('Paramètres'!$Q:$Q,MATCH($D1152,'Paramètres'!$M:$M,0))&amp;"",""))</f>
        <v/>
      </c>
      <c r="O1152" s="6" t="str">
        <f>IF($A1152="","",IF(OR($J1152&lt;&gt;"x",$A1152&lt;=FinReleve),1,0))</f>
        <v/>
      </c>
      <c r="P1152" s="6" t="str">
        <f>IF($D1152="","",IF(AND($L1152="Crédit",OR(IFERROR(INDEX('Paramètres'!$O:$O,MATCH($D1152,'Paramètres'!$M:$M,0))&amp;"","")&lt;&gt;"",ISNUMBER(SEARCH("remboursement",IFERROR(INDEX('Paramètres'!$N:$N,MATCH($D1152,'Paramètres'!$M:$M,0))&amp;"",""))))),1,0))</f>
        <v/>
      </c>
      <c r="Q1152" s="6" t="str">
        <f>IF($K1152="","",IF(ISNUMBER(SEARCH("transfert-interne",IFERROR(INDEX('Paramètres'!$N:$N,MATCH($D1152,'Paramètres'!$M:$M,0))&amp;"",""))),0,IF($L1152="Débit",$K1152,IF($P1152=1,-$K1152,0))))</f>
        <v/>
      </c>
      <c r="R1152" s="6" t="str">
        <f>IF($K1152="","",IF($L1152="Crédit",$K1152,-$K1152))</f>
        <v/>
      </c>
      <c r="S1152" s="6" t="str">
        <f>IF($C1152="","",IFERROR(INDEX('Paramètres'!$H:$H,MATCH($C1152,'Paramètres'!$D:$D,0))&amp;"",""))</f>
        <v/>
      </c>
      <c r="T1152" s="6" t="str">
        <f>IF($K1152="","",IF($S1152="",0,IF(ISNUMBER(SEARCH("apport-exterieur",IFERROR(INDEX('Paramètres'!$N:$N,MATCH($D1152,'Paramètres'!$M:$M,0))&amp;"",""))),0,IF(OR(IFERROR(INDEX('Paramètres'!$I:$I,MATCH($C1152,'Paramètres'!$D:$D,0))&amp;"","")="Les deux",IFERROR(INDEX('Paramètres'!$I:$I,MATCH($C1152,'Paramètres'!$D:$D,0))&amp;"","")=IF($P1152=1,"Débit",$L1152)),-IF($P1152=1,-$K1152,$K1152),0))))</f>
        <v/>
      </c>
      <c r="U1152" s="6" t="str">
        <f>IF($K1152="","",IF(ISNUMBER(SEARCH("sortie-epargne",IFERROR(INDEX('Paramètres'!$N:$N,MATCH($D1152,'Paramètres'!$M:$M,0))&amp;"",""))),$K1152,0))</f>
        <v/>
      </c>
      <c r="V1152" s="6" t="str">
        <f>IF(AND($A1152&lt;&gt;"",$O1152=1,$L1152="Débit",N($Q1152)&gt;0,$A1152&gt;=Visualisation!$B$1,$A1152&lt;Visualisation!$D$1),MAX($V$1:V1151)+1,"")</f>
        <v/>
      </c>
    </row>
    <row r="1153" spans="1:22" x14ac:dyDescent="0.25">
      <c r="A1153" s="9"/>
      <c r="E1153" s="10"/>
      <c r="K1153" s="11" t="str">
        <f>IF($E1153="","",ROUND($E1153*IF(ISNA(MATCH($C1153,'Paramètres'!$D:$D,0)),1,IF(INDEX('Paramètres'!$J:$J,MATCH($C1153,'Paramètres'!$D:$D,0))="",1,INDEX('Paramètres'!$J:$J,MATCH($C1153,'Paramètres'!$D:$D,0)))),2))</f>
        <v/>
      </c>
      <c r="L1153" s="6" t="str">
        <f>IF($D1153="","",IF($F1153&lt;&gt;"",$F1153,IF(ISNA(MATCH($D1153,'Paramètres'!$M:$M,0)),"⚠ Type inconnu",IFERROR(INDEX('Paramètres'!$P:$P,MATCH($D1153,'Paramètres'!$M:$M,0))&amp;"",""))))</f>
        <v/>
      </c>
      <c r="M1153" s="6" t="str">
        <f>IF($D1153="","",IF(ISNA(MATCH($D1153,'Paramètres'!$M:$M,0)),"⚠ Type inconnu",IF($L1153="Crédit","",IFERROR(INDEX('Paramètres'!$O:$O,MATCH($D1153,'Paramètres'!$M:$M,0))&amp;"",""))))</f>
        <v/>
      </c>
      <c r="N1153" s="6" t="str">
        <f>IF($D1153="","",IFERROR(INDEX('Paramètres'!$Q:$Q,MATCH($D1153,'Paramètres'!$M:$M,0))&amp;"",""))</f>
        <v/>
      </c>
      <c r="O1153" s="6" t="str">
        <f>IF($A1153="","",IF(OR($J1153&lt;&gt;"x",$A1153&lt;=FinReleve),1,0))</f>
        <v/>
      </c>
      <c r="P1153" s="6" t="str">
        <f>IF($D1153="","",IF(AND($L1153="Crédit",OR(IFERROR(INDEX('Paramètres'!$O:$O,MATCH($D1153,'Paramètres'!$M:$M,0))&amp;"","")&lt;&gt;"",ISNUMBER(SEARCH("remboursement",IFERROR(INDEX('Paramètres'!$N:$N,MATCH($D1153,'Paramètres'!$M:$M,0))&amp;"",""))))),1,0))</f>
        <v/>
      </c>
      <c r="Q1153" s="6" t="str">
        <f>IF($K1153="","",IF(ISNUMBER(SEARCH("transfert-interne",IFERROR(INDEX('Paramètres'!$N:$N,MATCH($D1153,'Paramètres'!$M:$M,0))&amp;"",""))),0,IF($L1153="Débit",$K1153,IF($P1153=1,-$K1153,0))))</f>
        <v/>
      </c>
      <c r="R1153" s="6" t="str">
        <f>IF($K1153="","",IF($L1153="Crédit",$K1153,-$K1153))</f>
        <v/>
      </c>
      <c r="S1153" s="6" t="str">
        <f>IF($C1153="","",IFERROR(INDEX('Paramètres'!$H:$H,MATCH($C1153,'Paramètres'!$D:$D,0))&amp;"",""))</f>
        <v/>
      </c>
      <c r="T1153" s="6" t="str">
        <f>IF($K1153="","",IF($S1153="",0,IF(ISNUMBER(SEARCH("apport-exterieur",IFERROR(INDEX('Paramètres'!$N:$N,MATCH($D1153,'Paramètres'!$M:$M,0))&amp;"",""))),0,IF(OR(IFERROR(INDEX('Paramètres'!$I:$I,MATCH($C1153,'Paramètres'!$D:$D,0))&amp;"","")="Les deux",IFERROR(INDEX('Paramètres'!$I:$I,MATCH($C1153,'Paramètres'!$D:$D,0))&amp;"","")=IF($P1153=1,"Débit",$L1153)),-IF($P1153=1,-$K1153,$K1153),0))))</f>
        <v/>
      </c>
      <c r="U1153" s="6" t="str">
        <f>IF($K1153="","",IF(ISNUMBER(SEARCH("sortie-epargne",IFERROR(INDEX('Paramètres'!$N:$N,MATCH($D1153,'Paramètres'!$M:$M,0))&amp;"",""))),$K1153,0))</f>
        <v/>
      </c>
      <c r="V1153" s="6" t="str">
        <f>IF(AND($A1153&lt;&gt;"",$O1153=1,$L1153="Débit",N($Q1153)&gt;0,$A1153&gt;=Visualisation!$B$1,$A1153&lt;Visualisation!$D$1),MAX($V$1:V1152)+1,"")</f>
        <v/>
      </c>
    </row>
    <row r="1154" spans="1:22" x14ac:dyDescent="0.25">
      <c r="A1154" s="9"/>
      <c r="E1154" s="10"/>
      <c r="K1154" s="11" t="str">
        <f>IF($E1154="","",ROUND($E1154*IF(ISNA(MATCH($C1154,'Paramètres'!$D:$D,0)),1,IF(INDEX('Paramètres'!$J:$J,MATCH($C1154,'Paramètres'!$D:$D,0))="",1,INDEX('Paramètres'!$J:$J,MATCH($C1154,'Paramètres'!$D:$D,0)))),2))</f>
        <v/>
      </c>
      <c r="L1154" s="6" t="str">
        <f>IF($D1154="","",IF($F1154&lt;&gt;"",$F1154,IF(ISNA(MATCH($D1154,'Paramètres'!$M:$M,0)),"⚠ Type inconnu",IFERROR(INDEX('Paramètres'!$P:$P,MATCH($D1154,'Paramètres'!$M:$M,0))&amp;"",""))))</f>
        <v/>
      </c>
      <c r="M1154" s="6" t="str">
        <f>IF($D1154="","",IF(ISNA(MATCH($D1154,'Paramètres'!$M:$M,0)),"⚠ Type inconnu",IF($L1154="Crédit","",IFERROR(INDEX('Paramètres'!$O:$O,MATCH($D1154,'Paramètres'!$M:$M,0))&amp;"",""))))</f>
        <v/>
      </c>
      <c r="N1154" s="6" t="str">
        <f>IF($D1154="","",IFERROR(INDEX('Paramètres'!$Q:$Q,MATCH($D1154,'Paramètres'!$M:$M,0))&amp;"",""))</f>
        <v/>
      </c>
      <c r="O1154" s="6" t="str">
        <f>IF($A1154="","",IF(OR($J1154&lt;&gt;"x",$A1154&lt;=FinReleve),1,0))</f>
        <v/>
      </c>
      <c r="P1154" s="6" t="str">
        <f>IF($D1154="","",IF(AND($L1154="Crédit",OR(IFERROR(INDEX('Paramètres'!$O:$O,MATCH($D1154,'Paramètres'!$M:$M,0))&amp;"","")&lt;&gt;"",ISNUMBER(SEARCH("remboursement",IFERROR(INDEX('Paramètres'!$N:$N,MATCH($D1154,'Paramètres'!$M:$M,0))&amp;"",""))))),1,0))</f>
        <v/>
      </c>
      <c r="Q1154" s="6" t="str">
        <f>IF($K1154="","",IF(ISNUMBER(SEARCH("transfert-interne",IFERROR(INDEX('Paramètres'!$N:$N,MATCH($D1154,'Paramètres'!$M:$M,0))&amp;"",""))),0,IF($L1154="Débit",$K1154,IF($P1154=1,-$K1154,0))))</f>
        <v/>
      </c>
      <c r="R1154" s="6" t="str">
        <f>IF($K1154="","",IF($L1154="Crédit",$K1154,-$K1154))</f>
        <v/>
      </c>
      <c r="S1154" s="6" t="str">
        <f>IF($C1154="","",IFERROR(INDEX('Paramètres'!$H:$H,MATCH($C1154,'Paramètres'!$D:$D,0))&amp;"",""))</f>
        <v/>
      </c>
      <c r="T1154" s="6" t="str">
        <f>IF($K1154="","",IF($S1154="",0,IF(ISNUMBER(SEARCH("apport-exterieur",IFERROR(INDEX('Paramètres'!$N:$N,MATCH($D1154,'Paramètres'!$M:$M,0))&amp;"",""))),0,IF(OR(IFERROR(INDEX('Paramètres'!$I:$I,MATCH($C1154,'Paramètres'!$D:$D,0))&amp;"","")="Les deux",IFERROR(INDEX('Paramètres'!$I:$I,MATCH($C1154,'Paramètres'!$D:$D,0))&amp;"","")=IF($P1154=1,"Débit",$L1154)),-IF($P1154=1,-$K1154,$K1154),0))))</f>
        <v/>
      </c>
      <c r="U1154" s="6" t="str">
        <f>IF($K1154="","",IF(ISNUMBER(SEARCH("sortie-epargne",IFERROR(INDEX('Paramètres'!$N:$N,MATCH($D1154,'Paramètres'!$M:$M,0))&amp;"",""))),$K1154,0))</f>
        <v/>
      </c>
      <c r="V1154" s="6" t="str">
        <f>IF(AND($A1154&lt;&gt;"",$O1154=1,$L1154="Débit",N($Q1154)&gt;0,$A1154&gt;=Visualisation!$B$1,$A1154&lt;Visualisation!$D$1),MAX($V$1:V1153)+1,"")</f>
        <v/>
      </c>
    </row>
    <row r="1155" spans="1:22" x14ac:dyDescent="0.25">
      <c r="A1155" s="9"/>
      <c r="E1155" s="10"/>
      <c r="K1155" s="11" t="str">
        <f>IF($E1155="","",ROUND($E1155*IF(ISNA(MATCH($C1155,'Paramètres'!$D:$D,0)),1,IF(INDEX('Paramètres'!$J:$J,MATCH($C1155,'Paramètres'!$D:$D,0))="",1,INDEX('Paramètres'!$J:$J,MATCH($C1155,'Paramètres'!$D:$D,0)))),2))</f>
        <v/>
      </c>
      <c r="L1155" s="6" t="str">
        <f>IF($D1155="","",IF($F1155&lt;&gt;"",$F1155,IF(ISNA(MATCH($D1155,'Paramètres'!$M:$M,0)),"⚠ Type inconnu",IFERROR(INDEX('Paramètres'!$P:$P,MATCH($D1155,'Paramètres'!$M:$M,0))&amp;"",""))))</f>
        <v/>
      </c>
      <c r="M1155" s="6" t="str">
        <f>IF($D1155="","",IF(ISNA(MATCH($D1155,'Paramètres'!$M:$M,0)),"⚠ Type inconnu",IF($L1155="Crédit","",IFERROR(INDEX('Paramètres'!$O:$O,MATCH($D1155,'Paramètres'!$M:$M,0))&amp;"",""))))</f>
        <v/>
      </c>
      <c r="N1155" s="6" t="str">
        <f>IF($D1155="","",IFERROR(INDEX('Paramètres'!$Q:$Q,MATCH($D1155,'Paramètres'!$M:$M,0))&amp;"",""))</f>
        <v/>
      </c>
      <c r="O1155" s="6" t="str">
        <f>IF($A1155="","",IF(OR($J1155&lt;&gt;"x",$A1155&lt;=FinReleve),1,0))</f>
        <v/>
      </c>
      <c r="P1155" s="6" t="str">
        <f>IF($D1155="","",IF(AND($L1155="Crédit",OR(IFERROR(INDEX('Paramètres'!$O:$O,MATCH($D1155,'Paramètres'!$M:$M,0))&amp;"","")&lt;&gt;"",ISNUMBER(SEARCH("remboursement",IFERROR(INDEX('Paramètres'!$N:$N,MATCH($D1155,'Paramètres'!$M:$M,0))&amp;"",""))))),1,0))</f>
        <v/>
      </c>
      <c r="Q1155" s="6" t="str">
        <f>IF($K1155="","",IF(ISNUMBER(SEARCH("transfert-interne",IFERROR(INDEX('Paramètres'!$N:$N,MATCH($D1155,'Paramètres'!$M:$M,0))&amp;"",""))),0,IF($L1155="Débit",$K1155,IF($P1155=1,-$K1155,0))))</f>
        <v/>
      </c>
      <c r="R1155" s="6" t="str">
        <f>IF($K1155="","",IF($L1155="Crédit",$K1155,-$K1155))</f>
        <v/>
      </c>
      <c r="S1155" s="6" t="str">
        <f>IF($C1155="","",IFERROR(INDEX('Paramètres'!$H:$H,MATCH($C1155,'Paramètres'!$D:$D,0))&amp;"",""))</f>
        <v/>
      </c>
      <c r="T1155" s="6" t="str">
        <f>IF($K1155="","",IF($S1155="",0,IF(ISNUMBER(SEARCH("apport-exterieur",IFERROR(INDEX('Paramètres'!$N:$N,MATCH($D1155,'Paramètres'!$M:$M,0))&amp;"",""))),0,IF(OR(IFERROR(INDEX('Paramètres'!$I:$I,MATCH($C1155,'Paramètres'!$D:$D,0))&amp;"","")="Les deux",IFERROR(INDEX('Paramètres'!$I:$I,MATCH($C1155,'Paramètres'!$D:$D,0))&amp;"","")=IF($P1155=1,"Débit",$L1155)),-IF($P1155=1,-$K1155,$K1155),0))))</f>
        <v/>
      </c>
      <c r="U1155" s="6" t="str">
        <f>IF($K1155="","",IF(ISNUMBER(SEARCH("sortie-epargne",IFERROR(INDEX('Paramètres'!$N:$N,MATCH($D1155,'Paramètres'!$M:$M,0))&amp;"",""))),$K1155,0))</f>
        <v/>
      </c>
      <c r="V1155" s="6" t="str">
        <f>IF(AND($A1155&lt;&gt;"",$O1155=1,$L1155="Débit",N($Q1155)&gt;0,$A1155&gt;=Visualisation!$B$1,$A1155&lt;Visualisation!$D$1),MAX($V$1:V1154)+1,"")</f>
        <v/>
      </c>
    </row>
    <row r="1156" spans="1:22" x14ac:dyDescent="0.25">
      <c r="A1156" s="9"/>
      <c r="E1156" s="10"/>
      <c r="K1156" s="11" t="str">
        <f>IF($E1156="","",ROUND($E1156*IF(ISNA(MATCH($C1156,'Paramètres'!$D:$D,0)),1,IF(INDEX('Paramètres'!$J:$J,MATCH($C1156,'Paramètres'!$D:$D,0))="",1,INDEX('Paramètres'!$J:$J,MATCH($C1156,'Paramètres'!$D:$D,0)))),2))</f>
        <v/>
      </c>
      <c r="L1156" s="6" t="str">
        <f>IF($D1156="","",IF($F1156&lt;&gt;"",$F1156,IF(ISNA(MATCH($D1156,'Paramètres'!$M:$M,0)),"⚠ Type inconnu",IFERROR(INDEX('Paramètres'!$P:$P,MATCH($D1156,'Paramètres'!$M:$M,0))&amp;"",""))))</f>
        <v/>
      </c>
      <c r="M1156" s="6" t="str">
        <f>IF($D1156="","",IF(ISNA(MATCH($D1156,'Paramètres'!$M:$M,0)),"⚠ Type inconnu",IF($L1156="Crédit","",IFERROR(INDEX('Paramètres'!$O:$O,MATCH($D1156,'Paramètres'!$M:$M,0))&amp;"",""))))</f>
        <v/>
      </c>
      <c r="N1156" s="6" t="str">
        <f>IF($D1156="","",IFERROR(INDEX('Paramètres'!$Q:$Q,MATCH($D1156,'Paramètres'!$M:$M,0))&amp;"",""))</f>
        <v/>
      </c>
      <c r="O1156" s="6" t="str">
        <f>IF($A1156="","",IF(OR($J1156&lt;&gt;"x",$A1156&lt;=FinReleve),1,0))</f>
        <v/>
      </c>
      <c r="P1156" s="6" t="str">
        <f>IF($D1156="","",IF(AND($L1156="Crédit",OR(IFERROR(INDEX('Paramètres'!$O:$O,MATCH($D1156,'Paramètres'!$M:$M,0))&amp;"","")&lt;&gt;"",ISNUMBER(SEARCH("remboursement",IFERROR(INDEX('Paramètres'!$N:$N,MATCH($D1156,'Paramètres'!$M:$M,0))&amp;"",""))))),1,0))</f>
        <v/>
      </c>
      <c r="Q1156" s="6" t="str">
        <f>IF($K1156="","",IF(ISNUMBER(SEARCH("transfert-interne",IFERROR(INDEX('Paramètres'!$N:$N,MATCH($D1156,'Paramètres'!$M:$M,0))&amp;"",""))),0,IF($L1156="Débit",$K1156,IF($P1156=1,-$K1156,0))))</f>
        <v/>
      </c>
      <c r="R1156" s="6" t="str">
        <f>IF($K1156="","",IF($L1156="Crédit",$K1156,-$K1156))</f>
        <v/>
      </c>
      <c r="S1156" s="6" t="str">
        <f>IF($C1156="","",IFERROR(INDEX('Paramètres'!$H:$H,MATCH($C1156,'Paramètres'!$D:$D,0))&amp;"",""))</f>
        <v/>
      </c>
      <c r="T1156" s="6" t="str">
        <f>IF($K1156="","",IF($S1156="",0,IF(ISNUMBER(SEARCH("apport-exterieur",IFERROR(INDEX('Paramètres'!$N:$N,MATCH($D1156,'Paramètres'!$M:$M,0))&amp;"",""))),0,IF(OR(IFERROR(INDEX('Paramètres'!$I:$I,MATCH($C1156,'Paramètres'!$D:$D,0))&amp;"","")="Les deux",IFERROR(INDEX('Paramètres'!$I:$I,MATCH($C1156,'Paramètres'!$D:$D,0))&amp;"","")=IF($P1156=1,"Débit",$L1156)),-IF($P1156=1,-$K1156,$K1156),0))))</f>
        <v/>
      </c>
      <c r="U1156" s="6" t="str">
        <f>IF($K1156="","",IF(ISNUMBER(SEARCH("sortie-epargne",IFERROR(INDEX('Paramètres'!$N:$N,MATCH($D1156,'Paramètres'!$M:$M,0))&amp;"",""))),$K1156,0))</f>
        <v/>
      </c>
      <c r="V1156" s="6" t="str">
        <f>IF(AND($A1156&lt;&gt;"",$O1156=1,$L1156="Débit",N($Q1156)&gt;0,$A1156&gt;=Visualisation!$B$1,$A1156&lt;Visualisation!$D$1),MAX($V$1:V1155)+1,"")</f>
        <v/>
      </c>
    </row>
    <row r="1157" spans="1:22" x14ac:dyDescent="0.25">
      <c r="A1157" s="9"/>
      <c r="E1157" s="10"/>
      <c r="K1157" s="11" t="str">
        <f>IF($E1157="","",ROUND($E1157*IF(ISNA(MATCH($C1157,'Paramètres'!$D:$D,0)),1,IF(INDEX('Paramètres'!$J:$J,MATCH($C1157,'Paramètres'!$D:$D,0))="",1,INDEX('Paramètres'!$J:$J,MATCH($C1157,'Paramètres'!$D:$D,0)))),2))</f>
        <v/>
      </c>
      <c r="L1157" s="6" t="str">
        <f>IF($D1157="","",IF($F1157&lt;&gt;"",$F1157,IF(ISNA(MATCH($D1157,'Paramètres'!$M:$M,0)),"⚠ Type inconnu",IFERROR(INDEX('Paramètres'!$P:$P,MATCH($D1157,'Paramètres'!$M:$M,0))&amp;"",""))))</f>
        <v/>
      </c>
      <c r="M1157" s="6" t="str">
        <f>IF($D1157="","",IF(ISNA(MATCH($D1157,'Paramètres'!$M:$M,0)),"⚠ Type inconnu",IF($L1157="Crédit","",IFERROR(INDEX('Paramètres'!$O:$O,MATCH($D1157,'Paramètres'!$M:$M,0))&amp;"",""))))</f>
        <v/>
      </c>
      <c r="N1157" s="6" t="str">
        <f>IF($D1157="","",IFERROR(INDEX('Paramètres'!$Q:$Q,MATCH($D1157,'Paramètres'!$M:$M,0))&amp;"",""))</f>
        <v/>
      </c>
      <c r="O1157" s="6" t="str">
        <f>IF($A1157="","",IF(OR($J1157&lt;&gt;"x",$A1157&lt;=FinReleve),1,0))</f>
        <v/>
      </c>
      <c r="P1157" s="6" t="str">
        <f>IF($D1157="","",IF(AND($L1157="Crédit",OR(IFERROR(INDEX('Paramètres'!$O:$O,MATCH($D1157,'Paramètres'!$M:$M,0))&amp;"","")&lt;&gt;"",ISNUMBER(SEARCH("remboursement",IFERROR(INDEX('Paramètres'!$N:$N,MATCH($D1157,'Paramètres'!$M:$M,0))&amp;"",""))))),1,0))</f>
        <v/>
      </c>
      <c r="Q1157" s="6" t="str">
        <f>IF($K1157="","",IF(ISNUMBER(SEARCH("transfert-interne",IFERROR(INDEX('Paramètres'!$N:$N,MATCH($D1157,'Paramètres'!$M:$M,0))&amp;"",""))),0,IF($L1157="Débit",$K1157,IF($P1157=1,-$K1157,0))))</f>
        <v/>
      </c>
      <c r="R1157" s="6" t="str">
        <f>IF($K1157="","",IF($L1157="Crédit",$K1157,-$K1157))</f>
        <v/>
      </c>
      <c r="S1157" s="6" t="str">
        <f>IF($C1157="","",IFERROR(INDEX('Paramètres'!$H:$H,MATCH($C1157,'Paramètres'!$D:$D,0))&amp;"",""))</f>
        <v/>
      </c>
      <c r="T1157" s="6" t="str">
        <f>IF($K1157="","",IF($S1157="",0,IF(ISNUMBER(SEARCH("apport-exterieur",IFERROR(INDEX('Paramètres'!$N:$N,MATCH($D1157,'Paramètres'!$M:$M,0))&amp;"",""))),0,IF(OR(IFERROR(INDEX('Paramètres'!$I:$I,MATCH($C1157,'Paramètres'!$D:$D,0))&amp;"","")="Les deux",IFERROR(INDEX('Paramètres'!$I:$I,MATCH($C1157,'Paramètres'!$D:$D,0))&amp;"","")=IF($P1157=1,"Débit",$L1157)),-IF($P1157=1,-$K1157,$K1157),0))))</f>
        <v/>
      </c>
      <c r="U1157" s="6" t="str">
        <f>IF($K1157="","",IF(ISNUMBER(SEARCH("sortie-epargne",IFERROR(INDEX('Paramètres'!$N:$N,MATCH($D1157,'Paramètres'!$M:$M,0))&amp;"",""))),$K1157,0))</f>
        <v/>
      </c>
      <c r="V1157" s="6" t="str">
        <f>IF(AND($A1157&lt;&gt;"",$O1157=1,$L1157="Débit",N($Q1157)&gt;0,$A1157&gt;=Visualisation!$B$1,$A1157&lt;Visualisation!$D$1),MAX($V$1:V1156)+1,"")</f>
        <v/>
      </c>
    </row>
    <row r="1158" spans="1:22" x14ac:dyDescent="0.25">
      <c r="A1158" s="9"/>
      <c r="E1158" s="10"/>
      <c r="K1158" s="11" t="str">
        <f>IF($E1158="","",ROUND($E1158*IF(ISNA(MATCH($C1158,'Paramètres'!$D:$D,0)),1,IF(INDEX('Paramètres'!$J:$J,MATCH($C1158,'Paramètres'!$D:$D,0))="",1,INDEX('Paramètres'!$J:$J,MATCH($C1158,'Paramètres'!$D:$D,0)))),2))</f>
        <v/>
      </c>
      <c r="L1158" s="6" t="str">
        <f>IF($D1158="","",IF($F1158&lt;&gt;"",$F1158,IF(ISNA(MATCH($D1158,'Paramètres'!$M:$M,0)),"⚠ Type inconnu",IFERROR(INDEX('Paramètres'!$P:$P,MATCH($D1158,'Paramètres'!$M:$M,0))&amp;"",""))))</f>
        <v/>
      </c>
      <c r="M1158" s="6" t="str">
        <f>IF($D1158="","",IF(ISNA(MATCH($D1158,'Paramètres'!$M:$M,0)),"⚠ Type inconnu",IF($L1158="Crédit","",IFERROR(INDEX('Paramètres'!$O:$O,MATCH($D1158,'Paramètres'!$M:$M,0))&amp;"",""))))</f>
        <v/>
      </c>
      <c r="N1158" s="6" t="str">
        <f>IF($D1158="","",IFERROR(INDEX('Paramètres'!$Q:$Q,MATCH($D1158,'Paramètres'!$M:$M,0))&amp;"",""))</f>
        <v/>
      </c>
      <c r="O1158" s="6" t="str">
        <f>IF($A1158="","",IF(OR($J1158&lt;&gt;"x",$A1158&lt;=FinReleve),1,0))</f>
        <v/>
      </c>
      <c r="P1158" s="6" t="str">
        <f>IF($D1158="","",IF(AND($L1158="Crédit",OR(IFERROR(INDEX('Paramètres'!$O:$O,MATCH($D1158,'Paramètres'!$M:$M,0))&amp;"","")&lt;&gt;"",ISNUMBER(SEARCH("remboursement",IFERROR(INDEX('Paramètres'!$N:$N,MATCH($D1158,'Paramètres'!$M:$M,0))&amp;"",""))))),1,0))</f>
        <v/>
      </c>
      <c r="Q1158" s="6" t="str">
        <f>IF($K1158="","",IF(ISNUMBER(SEARCH("transfert-interne",IFERROR(INDEX('Paramètres'!$N:$N,MATCH($D1158,'Paramètres'!$M:$M,0))&amp;"",""))),0,IF($L1158="Débit",$K1158,IF($P1158=1,-$K1158,0))))</f>
        <v/>
      </c>
      <c r="R1158" s="6" t="str">
        <f>IF($K1158="","",IF($L1158="Crédit",$K1158,-$K1158))</f>
        <v/>
      </c>
      <c r="S1158" s="6" t="str">
        <f>IF($C1158="","",IFERROR(INDEX('Paramètres'!$H:$H,MATCH($C1158,'Paramètres'!$D:$D,0))&amp;"",""))</f>
        <v/>
      </c>
      <c r="T1158" s="6" t="str">
        <f>IF($K1158="","",IF($S1158="",0,IF(ISNUMBER(SEARCH("apport-exterieur",IFERROR(INDEX('Paramètres'!$N:$N,MATCH($D1158,'Paramètres'!$M:$M,0))&amp;"",""))),0,IF(OR(IFERROR(INDEX('Paramètres'!$I:$I,MATCH($C1158,'Paramètres'!$D:$D,0))&amp;"","")="Les deux",IFERROR(INDEX('Paramètres'!$I:$I,MATCH($C1158,'Paramètres'!$D:$D,0))&amp;"","")=IF($P1158=1,"Débit",$L1158)),-IF($P1158=1,-$K1158,$K1158),0))))</f>
        <v/>
      </c>
      <c r="U1158" s="6" t="str">
        <f>IF($K1158="","",IF(ISNUMBER(SEARCH("sortie-epargne",IFERROR(INDEX('Paramètres'!$N:$N,MATCH($D1158,'Paramètres'!$M:$M,0))&amp;"",""))),$K1158,0))</f>
        <v/>
      </c>
      <c r="V1158" s="6" t="str">
        <f>IF(AND($A1158&lt;&gt;"",$O1158=1,$L1158="Débit",N($Q1158)&gt;0,$A1158&gt;=Visualisation!$B$1,$A1158&lt;Visualisation!$D$1),MAX($V$1:V1157)+1,"")</f>
        <v/>
      </c>
    </row>
    <row r="1159" spans="1:22" x14ac:dyDescent="0.25">
      <c r="A1159" s="9"/>
      <c r="E1159" s="10"/>
      <c r="K1159" s="11" t="str">
        <f>IF($E1159="","",ROUND($E1159*IF(ISNA(MATCH($C1159,'Paramètres'!$D:$D,0)),1,IF(INDEX('Paramètres'!$J:$J,MATCH($C1159,'Paramètres'!$D:$D,0))="",1,INDEX('Paramètres'!$J:$J,MATCH($C1159,'Paramètres'!$D:$D,0)))),2))</f>
        <v/>
      </c>
      <c r="L1159" s="6" t="str">
        <f>IF($D1159="","",IF($F1159&lt;&gt;"",$F1159,IF(ISNA(MATCH($D1159,'Paramètres'!$M:$M,0)),"⚠ Type inconnu",IFERROR(INDEX('Paramètres'!$P:$P,MATCH($D1159,'Paramètres'!$M:$M,0))&amp;"",""))))</f>
        <v/>
      </c>
      <c r="M1159" s="6" t="str">
        <f>IF($D1159="","",IF(ISNA(MATCH($D1159,'Paramètres'!$M:$M,0)),"⚠ Type inconnu",IF($L1159="Crédit","",IFERROR(INDEX('Paramètres'!$O:$O,MATCH($D1159,'Paramètres'!$M:$M,0))&amp;"",""))))</f>
        <v/>
      </c>
      <c r="N1159" s="6" t="str">
        <f>IF($D1159="","",IFERROR(INDEX('Paramètres'!$Q:$Q,MATCH($D1159,'Paramètres'!$M:$M,0))&amp;"",""))</f>
        <v/>
      </c>
      <c r="O1159" s="6" t="str">
        <f>IF($A1159="","",IF(OR($J1159&lt;&gt;"x",$A1159&lt;=FinReleve),1,0))</f>
        <v/>
      </c>
      <c r="P1159" s="6" t="str">
        <f>IF($D1159="","",IF(AND($L1159="Crédit",OR(IFERROR(INDEX('Paramètres'!$O:$O,MATCH($D1159,'Paramètres'!$M:$M,0))&amp;"","")&lt;&gt;"",ISNUMBER(SEARCH("remboursement",IFERROR(INDEX('Paramètres'!$N:$N,MATCH($D1159,'Paramètres'!$M:$M,0))&amp;"",""))))),1,0))</f>
        <v/>
      </c>
      <c r="Q1159" s="6" t="str">
        <f>IF($K1159="","",IF(ISNUMBER(SEARCH("transfert-interne",IFERROR(INDEX('Paramètres'!$N:$N,MATCH($D1159,'Paramètres'!$M:$M,0))&amp;"",""))),0,IF($L1159="Débit",$K1159,IF($P1159=1,-$K1159,0))))</f>
        <v/>
      </c>
      <c r="R1159" s="6" t="str">
        <f>IF($K1159="","",IF($L1159="Crédit",$K1159,-$K1159))</f>
        <v/>
      </c>
      <c r="S1159" s="6" t="str">
        <f>IF($C1159="","",IFERROR(INDEX('Paramètres'!$H:$H,MATCH($C1159,'Paramètres'!$D:$D,0))&amp;"",""))</f>
        <v/>
      </c>
      <c r="T1159" s="6" t="str">
        <f>IF($K1159="","",IF($S1159="",0,IF(ISNUMBER(SEARCH("apport-exterieur",IFERROR(INDEX('Paramètres'!$N:$N,MATCH($D1159,'Paramètres'!$M:$M,0))&amp;"",""))),0,IF(OR(IFERROR(INDEX('Paramètres'!$I:$I,MATCH($C1159,'Paramètres'!$D:$D,0))&amp;"","")="Les deux",IFERROR(INDEX('Paramètres'!$I:$I,MATCH($C1159,'Paramètres'!$D:$D,0))&amp;"","")=IF($P1159=1,"Débit",$L1159)),-IF($P1159=1,-$K1159,$K1159),0))))</f>
        <v/>
      </c>
      <c r="U1159" s="6" t="str">
        <f>IF($K1159="","",IF(ISNUMBER(SEARCH("sortie-epargne",IFERROR(INDEX('Paramètres'!$N:$N,MATCH($D1159,'Paramètres'!$M:$M,0))&amp;"",""))),$K1159,0))</f>
        <v/>
      </c>
      <c r="V1159" s="6" t="str">
        <f>IF(AND($A1159&lt;&gt;"",$O1159=1,$L1159="Débit",N($Q1159)&gt;0,$A1159&gt;=Visualisation!$B$1,$A1159&lt;Visualisation!$D$1),MAX($V$1:V1158)+1,"")</f>
        <v/>
      </c>
    </row>
    <row r="1160" spans="1:22" x14ac:dyDescent="0.25">
      <c r="A1160" s="9"/>
      <c r="E1160" s="10"/>
      <c r="K1160" s="11" t="str">
        <f>IF($E1160="","",ROUND($E1160*IF(ISNA(MATCH($C1160,'Paramètres'!$D:$D,0)),1,IF(INDEX('Paramètres'!$J:$J,MATCH($C1160,'Paramètres'!$D:$D,0))="",1,INDEX('Paramètres'!$J:$J,MATCH($C1160,'Paramètres'!$D:$D,0)))),2))</f>
        <v/>
      </c>
      <c r="L1160" s="6" t="str">
        <f>IF($D1160="","",IF($F1160&lt;&gt;"",$F1160,IF(ISNA(MATCH($D1160,'Paramètres'!$M:$M,0)),"⚠ Type inconnu",IFERROR(INDEX('Paramètres'!$P:$P,MATCH($D1160,'Paramètres'!$M:$M,0))&amp;"",""))))</f>
        <v/>
      </c>
      <c r="M1160" s="6" t="str">
        <f>IF($D1160="","",IF(ISNA(MATCH($D1160,'Paramètres'!$M:$M,0)),"⚠ Type inconnu",IF($L1160="Crédit","",IFERROR(INDEX('Paramètres'!$O:$O,MATCH($D1160,'Paramètres'!$M:$M,0))&amp;"",""))))</f>
        <v/>
      </c>
      <c r="N1160" s="6" t="str">
        <f>IF($D1160="","",IFERROR(INDEX('Paramètres'!$Q:$Q,MATCH($D1160,'Paramètres'!$M:$M,0))&amp;"",""))</f>
        <v/>
      </c>
      <c r="O1160" s="6" t="str">
        <f>IF($A1160="","",IF(OR($J1160&lt;&gt;"x",$A1160&lt;=FinReleve),1,0))</f>
        <v/>
      </c>
      <c r="P1160" s="6" t="str">
        <f>IF($D1160="","",IF(AND($L1160="Crédit",OR(IFERROR(INDEX('Paramètres'!$O:$O,MATCH($D1160,'Paramètres'!$M:$M,0))&amp;"","")&lt;&gt;"",ISNUMBER(SEARCH("remboursement",IFERROR(INDEX('Paramètres'!$N:$N,MATCH($D1160,'Paramètres'!$M:$M,0))&amp;"",""))))),1,0))</f>
        <v/>
      </c>
      <c r="Q1160" s="6" t="str">
        <f>IF($K1160="","",IF(ISNUMBER(SEARCH("transfert-interne",IFERROR(INDEX('Paramètres'!$N:$N,MATCH($D1160,'Paramètres'!$M:$M,0))&amp;"",""))),0,IF($L1160="Débit",$K1160,IF($P1160=1,-$K1160,0))))</f>
        <v/>
      </c>
      <c r="R1160" s="6" t="str">
        <f>IF($K1160="","",IF($L1160="Crédit",$K1160,-$K1160))</f>
        <v/>
      </c>
      <c r="S1160" s="6" t="str">
        <f>IF($C1160="","",IFERROR(INDEX('Paramètres'!$H:$H,MATCH($C1160,'Paramètres'!$D:$D,0))&amp;"",""))</f>
        <v/>
      </c>
      <c r="T1160" s="6" t="str">
        <f>IF($K1160="","",IF($S1160="",0,IF(ISNUMBER(SEARCH("apport-exterieur",IFERROR(INDEX('Paramètres'!$N:$N,MATCH($D1160,'Paramètres'!$M:$M,0))&amp;"",""))),0,IF(OR(IFERROR(INDEX('Paramètres'!$I:$I,MATCH($C1160,'Paramètres'!$D:$D,0))&amp;"","")="Les deux",IFERROR(INDEX('Paramètres'!$I:$I,MATCH($C1160,'Paramètres'!$D:$D,0))&amp;"","")=IF($P1160=1,"Débit",$L1160)),-IF($P1160=1,-$K1160,$K1160),0))))</f>
        <v/>
      </c>
      <c r="U1160" s="6" t="str">
        <f>IF($K1160="","",IF(ISNUMBER(SEARCH("sortie-epargne",IFERROR(INDEX('Paramètres'!$N:$N,MATCH($D1160,'Paramètres'!$M:$M,0))&amp;"",""))),$K1160,0))</f>
        <v/>
      </c>
      <c r="V1160" s="6" t="str">
        <f>IF(AND($A1160&lt;&gt;"",$O1160=1,$L1160="Débit",N($Q1160)&gt;0,$A1160&gt;=Visualisation!$B$1,$A1160&lt;Visualisation!$D$1),MAX($V$1:V1159)+1,"")</f>
        <v/>
      </c>
    </row>
    <row r="1161" spans="1:22" x14ac:dyDescent="0.25">
      <c r="A1161" s="9"/>
      <c r="E1161" s="10"/>
      <c r="K1161" s="11" t="str">
        <f>IF($E1161="","",ROUND($E1161*IF(ISNA(MATCH($C1161,'Paramètres'!$D:$D,0)),1,IF(INDEX('Paramètres'!$J:$J,MATCH($C1161,'Paramètres'!$D:$D,0))="",1,INDEX('Paramètres'!$J:$J,MATCH($C1161,'Paramètres'!$D:$D,0)))),2))</f>
        <v/>
      </c>
      <c r="L1161" s="6" t="str">
        <f>IF($D1161="","",IF($F1161&lt;&gt;"",$F1161,IF(ISNA(MATCH($D1161,'Paramètres'!$M:$M,0)),"⚠ Type inconnu",IFERROR(INDEX('Paramètres'!$P:$P,MATCH($D1161,'Paramètres'!$M:$M,0))&amp;"",""))))</f>
        <v/>
      </c>
      <c r="M1161" s="6" t="str">
        <f>IF($D1161="","",IF(ISNA(MATCH($D1161,'Paramètres'!$M:$M,0)),"⚠ Type inconnu",IF($L1161="Crédit","",IFERROR(INDEX('Paramètres'!$O:$O,MATCH($D1161,'Paramètres'!$M:$M,0))&amp;"",""))))</f>
        <v/>
      </c>
      <c r="N1161" s="6" t="str">
        <f>IF($D1161="","",IFERROR(INDEX('Paramètres'!$Q:$Q,MATCH($D1161,'Paramètres'!$M:$M,0))&amp;"",""))</f>
        <v/>
      </c>
      <c r="O1161" s="6" t="str">
        <f>IF($A1161="","",IF(OR($J1161&lt;&gt;"x",$A1161&lt;=FinReleve),1,0))</f>
        <v/>
      </c>
      <c r="P1161" s="6" t="str">
        <f>IF($D1161="","",IF(AND($L1161="Crédit",OR(IFERROR(INDEX('Paramètres'!$O:$O,MATCH($D1161,'Paramètres'!$M:$M,0))&amp;"","")&lt;&gt;"",ISNUMBER(SEARCH("remboursement",IFERROR(INDEX('Paramètres'!$N:$N,MATCH($D1161,'Paramètres'!$M:$M,0))&amp;"",""))))),1,0))</f>
        <v/>
      </c>
      <c r="Q1161" s="6" t="str">
        <f>IF($K1161="","",IF(ISNUMBER(SEARCH("transfert-interne",IFERROR(INDEX('Paramètres'!$N:$N,MATCH($D1161,'Paramètres'!$M:$M,0))&amp;"",""))),0,IF($L1161="Débit",$K1161,IF($P1161=1,-$K1161,0))))</f>
        <v/>
      </c>
      <c r="R1161" s="6" t="str">
        <f>IF($K1161="","",IF($L1161="Crédit",$K1161,-$K1161))</f>
        <v/>
      </c>
      <c r="S1161" s="6" t="str">
        <f>IF($C1161="","",IFERROR(INDEX('Paramètres'!$H:$H,MATCH($C1161,'Paramètres'!$D:$D,0))&amp;"",""))</f>
        <v/>
      </c>
      <c r="T1161" s="6" t="str">
        <f>IF($K1161="","",IF($S1161="",0,IF(ISNUMBER(SEARCH("apport-exterieur",IFERROR(INDEX('Paramètres'!$N:$N,MATCH($D1161,'Paramètres'!$M:$M,0))&amp;"",""))),0,IF(OR(IFERROR(INDEX('Paramètres'!$I:$I,MATCH($C1161,'Paramètres'!$D:$D,0))&amp;"","")="Les deux",IFERROR(INDEX('Paramètres'!$I:$I,MATCH($C1161,'Paramètres'!$D:$D,0))&amp;"","")=IF($P1161=1,"Débit",$L1161)),-IF($P1161=1,-$K1161,$K1161),0))))</f>
        <v/>
      </c>
      <c r="U1161" s="6" t="str">
        <f>IF($K1161="","",IF(ISNUMBER(SEARCH("sortie-epargne",IFERROR(INDEX('Paramètres'!$N:$N,MATCH($D1161,'Paramètres'!$M:$M,0))&amp;"",""))),$K1161,0))</f>
        <v/>
      </c>
      <c r="V1161" s="6" t="str">
        <f>IF(AND($A1161&lt;&gt;"",$O1161=1,$L1161="Débit",N($Q1161)&gt;0,$A1161&gt;=Visualisation!$B$1,$A1161&lt;Visualisation!$D$1),MAX($V$1:V1160)+1,"")</f>
        <v/>
      </c>
    </row>
    <row r="1162" spans="1:22" x14ac:dyDescent="0.25">
      <c r="A1162" s="9"/>
      <c r="E1162" s="10"/>
      <c r="K1162" s="11" t="str">
        <f>IF($E1162="","",ROUND($E1162*IF(ISNA(MATCH($C1162,'Paramètres'!$D:$D,0)),1,IF(INDEX('Paramètres'!$J:$J,MATCH($C1162,'Paramètres'!$D:$D,0))="",1,INDEX('Paramètres'!$J:$J,MATCH($C1162,'Paramètres'!$D:$D,0)))),2))</f>
        <v/>
      </c>
      <c r="L1162" s="6" t="str">
        <f>IF($D1162="","",IF($F1162&lt;&gt;"",$F1162,IF(ISNA(MATCH($D1162,'Paramètres'!$M:$M,0)),"⚠ Type inconnu",IFERROR(INDEX('Paramètres'!$P:$P,MATCH($D1162,'Paramètres'!$M:$M,0))&amp;"",""))))</f>
        <v/>
      </c>
      <c r="M1162" s="6" t="str">
        <f>IF($D1162="","",IF(ISNA(MATCH($D1162,'Paramètres'!$M:$M,0)),"⚠ Type inconnu",IF($L1162="Crédit","",IFERROR(INDEX('Paramètres'!$O:$O,MATCH($D1162,'Paramètres'!$M:$M,0))&amp;"",""))))</f>
        <v/>
      </c>
      <c r="N1162" s="6" t="str">
        <f>IF($D1162="","",IFERROR(INDEX('Paramètres'!$Q:$Q,MATCH($D1162,'Paramètres'!$M:$M,0))&amp;"",""))</f>
        <v/>
      </c>
      <c r="O1162" s="6" t="str">
        <f>IF($A1162="","",IF(OR($J1162&lt;&gt;"x",$A1162&lt;=FinReleve),1,0))</f>
        <v/>
      </c>
      <c r="P1162" s="6" t="str">
        <f>IF($D1162="","",IF(AND($L1162="Crédit",OR(IFERROR(INDEX('Paramètres'!$O:$O,MATCH($D1162,'Paramètres'!$M:$M,0))&amp;"","")&lt;&gt;"",ISNUMBER(SEARCH("remboursement",IFERROR(INDEX('Paramètres'!$N:$N,MATCH($D1162,'Paramètres'!$M:$M,0))&amp;"",""))))),1,0))</f>
        <v/>
      </c>
      <c r="Q1162" s="6" t="str">
        <f>IF($K1162="","",IF(ISNUMBER(SEARCH("transfert-interne",IFERROR(INDEX('Paramètres'!$N:$N,MATCH($D1162,'Paramètres'!$M:$M,0))&amp;"",""))),0,IF($L1162="Débit",$K1162,IF($P1162=1,-$K1162,0))))</f>
        <v/>
      </c>
      <c r="R1162" s="6" t="str">
        <f>IF($K1162="","",IF($L1162="Crédit",$K1162,-$K1162))</f>
        <v/>
      </c>
      <c r="S1162" s="6" t="str">
        <f>IF($C1162="","",IFERROR(INDEX('Paramètres'!$H:$H,MATCH($C1162,'Paramètres'!$D:$D,0))&amp;"",""))</f>
        <v/>
      </c>
      <c r="T1162" s="6" t="str">
        <f>IF($K1162="","",IF($S1162="",0,IF(ISNUMBER(SEARCH("apport-exterieur",IFERROR(INDEX('Paramètres'!$N:$N,MATCH($D1162,'Paramètres'!$M:$M,0))&amp;"",""))),0,IF(OR(IFERROR(INDEX('Paramètres'!$I:$I,MATCH($C1162,'Paramètres'!$D:$D,0))&amp;"","")="Les deux",IFERROR(INDEX('Paramètres'!$I:$I,MATCH($C1162,'Paramètres'!$D:$D,0))&amp;"","")=IF($P1162=1,"Débit",$L1162)),-IF($P1162=1,-$K1162,$K1162),0))))</f>
        <v/>
      </c>
      <c r="U1162" s="6" t="str">
        <f>IF($K1162="","",IF(ISNUMBER(SEARCH("sortie-epargne",IFERROR(INDEX('Paramètres'!$N:$N,MATCH($D1162,'Paramètres'!$M:$M,0))&amp;"",""))),$K1162,0))</f>
        <v/>
      </c>
      <c r="V1162" s="6" t="str">
        <f>IF(AND($A1162&lt;&gt;"",$O1162=1,$L1162="Débit",N($Q1162)&gt;0,$A1162&gt;=Visualisation!$B$1,$A1162&lt;Visualisation!$D$1),MAX($V$1:V1161)+1,"")</f>
        <v/>
      </c>
    </row>
    <row r="1163" spans="1:22" x14ac:dyDescent="0.25">
      <c r="A1163" s="9"/>
      <c r="E1163" s="10"/>
      <c r="K1163" s="11" t="str">
        <f>IF($E1163="","",ROUND($E1163*IF(ISNA(MATCH($C1163,'Paramètres'!$D:$D,0)),1,IF(INDEX('Paramètres'!$J:$J,MATCH($C1163,'Paramètres'!$D:$D,0))="",1,INDEX('Paramètres'!$J:$J,MATCH($C1163,'Paramètres'!$D:$D,0)))),2))</f>
        <v/>
      </c>
      <c r="L1163" s="6" t="str">
        <f>IF($D1163="","",IF($F1163&lt;&gt;"",$F1163,IF(ISNA(MATCH($D1163,'Paramètres'!$M:$M,0)),"⚠ Type inconnu",IFERROR(INDEX('Paramètres'!$P:$P,MATCH($D1163,'Paramètres'!$M:$M,0))&amp;"",""))))</f>
        <v/>
      </c>
      <c r="M1163" s="6" t="str">
        <f>IF($D1163="","",IF(ISNA(MATCH($D1163,'Paramètres'!$M:$M,0)),"⚠ Type inconnu",IF($L1163="Crédit","",IFERROR(INDEX('Paramètres'!$O:$O,MATCH($D1163,'Paramètres'!$M:$M,0))&amp;"",""))))</f>
        <v/>
      </c>
      <c r="N1163" s="6" t="str">
        <f>IF($D1163="","",IFERROR(INDEX('Paramètres'!$Q:$Q,MATCH($D1163,'Paramètres'!$M:$M,0))&amp;"",""))</f>
        <v/>
      </c>
      <c r="O1163" s="6" t="str">
        <f>IF($A1163="","",IF(OR($J1163&lt;&gt;"x",$A1163&lt;=FinReleve),1,0))</f>
        <v/>
      </c>
      <c r="P1163" s="6" t="str">
        <f>IF($D1163="","",IF(AND($L1163="Crédit",OR(IFERROR(INDEX('Paramètres'!$O:$O,MATCH($D1163,'Paramètres'!$M:$M,0))&amp;"","")&lt;&gt;"",ISNUMBER(SEARCH("remboursement",IFERROR(INDEX('Paramètres'!$N:$N,MATCH($D1163,'Paramètres'!$M:$M,0))&amp;"",""))))),1,0))</f>
        <v/>
      </c>
      <c r="Q1163" s="6" t="str">
        <f>IF($K1163="","",IF(ISNUMBER(SEARCH("transfert-interne",IFERROR(INDEX('Paramètres'!$N:$N,MATCH($D1163,'Paramètres'!$M:$M,0))&amp;"",""))),0,IF($L1163="Débit",$K1163,IF($P1163=1,-$K1163,0))))</f>
        <v/>
      </c>
      <c r="R1163" s="6" t="str">
        <f>IF($K1163="","",IF($L1163="Crédit",$K1163,-$K1163))</f>
        <v/>
      </c>
      <c r="S1163" s="6" t="str">
        <f>IF($C1163="","",IFERROR(INDEX('Paramètres'!$H:$H,MATCH($C1163,'Paramètres'!$D:$D,0))&amp;"",""))</f>
        <v/>
      </c>
      <c r="T1163" s="6" t="str">
        <f>IF($K1163="","",IF($S1163="",0,IF(ISNUMBER(SEARCH("apport-exterieur",IFERROR(INDEX('Paramètres'!$N:$N,MATCH($D1163,'Paramètres'!$M:$M,0))&amp;"",""))),0,IF(OR(IFERROR(INDEX('Paramètres'!$I:$I,MATCH($C1163,'Paramètres'!$D:$D,0))&amp;"","")="Les deux",IFERROR(INDEX('Paramètres'!$I:$I,MATCH($C1163,'Paramètres'!$D:$D,0))&amp;"","")=IF($P1163=1,"Débit",$L1163)),-IF($P1163=1,-$K1163,$K1163),0))))</f>
        <v/>
      </c>
      <c r="U1163" s="6" t="str">
        <f>IF($K1163="","",IF(ISNUMBER(SEARCH("sortie-epargne",IFERROR(INDEX('Paramètres'!$N:$N,MATCH($D1163,'Paramètres'!$M:$M,0))&amp;"",""))),$K1163,0))</f>
        <v/>
      </c>
      <c r="V1163" s="6" t="str">
        <f>IF(AND($A1163&lt;&gt;"",$O1163=1,$L1163="Débit",N($Q1163)&gt;0,$A1163&gt;=Visualisation!$B$1,$A1163&lt;Visualisation!$D$1),MAX($V$1:V1162)+1,"")</f>
        <v/>
      </c>
    </row>
    <row r="1164" spans="1:22" x14ac:dyDescent="0.25">
      <c r="A1164" s="9"/>
      <c r="E1164" s="10"/>
      <c r="K1164" s="11" t="str">
        <f>IF($E1164="","",ROUND($E1164*IF(ISNA(MATCH($C1164,'Paramètres'!$D:$D,0)),1,IF(INDEX('Paramètres'!$J:$J,MATCH($C1164,'Paramètres'!$D:$D,0))="",1,INDEX('Paramètres'!$J:$J,MATCH($C1164,'Paramètres'!$D:$D,0)))),2))</f>
        <v/>
      </c>
      <c r="L1164" s="6" t="str">
        <f>IF($D1164="","",IF($F1164&lt;&gt;"",$F1164,IF(ISNA(MATCH($D1164,'Paramètres'!$M:$M,0)),"⚠ Type inconnu",IFERROR(INDEX('Paramètres'!$P:$P,MATCH($D1164,'Paramètres'!$M:$M,0))&amp;"",""))))</f>
        <v/>
      </c>
      <c r="M1164" s="6" t="str">
        <f>IF($D1164="","",IF(ISNA(MATCH($D1164,'Paramètres'!$M:$M,0)),"⚠ Type inconnu",IF($L1164="Crédit","",IFERROR(INDEX('Paramètres'!$O:$O,MATCH($D1164,'Paramètres'!$M:$M,0))&amp;"",""))))</f>
        <v/>
      </c>
      <c r="N1164" s="6" t="str">
        <f>IF($D1164="","",IFERROR(INDEX('Paramètres'!$Q:$Q,MATCH($D1164,'Paramètres'!$M:$M,0))&amp;"",""))</f>
        <v/>
      </c>
      <c r="O1164" s="6" t="str">
        <f>IF($A1164="","",IF(OR($J1164&lt;&gt;"x",$A1164&lt;=FinReleve),1,0))</f>
        <v/>
      </c>
      <c r="P1164" s="6" t="str">
        <f>IF($D1164="","",IF(AND($L1164="Crédit",OR(IFERROR(INDEX('Paramètres'!$O:$O,MATCH($D1164,'Paramètres'!$M:$M,0))&amp;"","")&lt;&gt;"",ISNUMBER(SEARCH("remboursement",IFERROR(INDEX('Paramètres'!$N:$N,MATCH($D1164,'Paramètres'!$M:$M,0))&amp;"",""))))),1,0))</f>
        <v/>
      </c>
      <c r="Q1164" s="6" t="str">
        <f>IF($K1164="","",IF(ISNUMBER(SEARCH("transfert-interne",IFERROR(INDEX('Paramètres'!$N:$N,MATCH($D1164,'Paramètres'!$M:$M,0))&amp;"",""))),0,IF($L1164="Débit",$K1164,IF($P1164=1,-$K1164,0))))</f>
        <v/>
      </c>
      <c r="R1164" s="6" t="str">
        <f>IF($K1164="","",IF($L1164="Crédit",$K1164,-$K1164))</f>
        <v/>
      </c>
      <c r="S1164" s="6" t="str">
        <f>IF($C1164="","",IFERROR(INDEX('Paramètres'!$H:$H,MATCH($C1164,'Paramètres'!$D:$D,0))&amp;"",""))</f>
        <v/>
      </c>
      <c r="T1164" s="6" t="str">
        <f>IF($K1164="","",IF($S1164="",0,IF(ISNUMBER(SEARCH("apport-exterieur",IFERROR(INDEX('Paramètres'!$N:$N,MATCH($D1164,'Paramètres'!$M:$M,0))&amp;"",""))),0,IF(OR(IFERROR(INDEX('Paramètres'!$I:$I,MATCH($C1164,'Paramètres'!$D:$D,0))&amp;"","")="Les deux",IFERROR(INDEX('Paramètres'!$I:$I,MATCH($C1164,'Paramètres'!$D:$D,0))&amp;"","")=IF($P1164=1,"Débit",$L1164)),-IF($P1164=1,-$K1164,$K1164),0))))</f>
        <v/>
      </c>
      <c r="U1164" s="6" t="str">
        <f>IF($K1164="","",IF(ISNUMBER(SEARCH("sortie-epargne",IFERROR(INDEX('Paramètres'!$N:$N,MATCH($D1164,'Paramètres'!$M:$M,0))&amp;"",""))),$K1164,0))</f>
        <v/>
      </c>
      <c r="V1164" s="6" t="str">
        <f>IF(AND($A1164&lt;&gt;"",$O1164=1,$L1164="Débit",N($Q1164)&gt;0,$A1164&gt;=Visualisation!$B$1,$A1164&lt;Visualisation!$D$1),MAX($V$1:V1163)+1,"")</f>
        <v/>
      </c>
    </row>
    <row r="1165" spans="1:22" x14ac:dyDescent="0.25">
      <c r="A1165" s="9"/>
      <c r="E1165" s="10"/>
      <c r="K1165" s="11" t="str">
        <f>IF($E1165="","",ROUND($E1165*IF(ISNA(MATCH($C1165,'Paramètres'!$D:$D,0)),1,IF(INDEX('Paramètres'!$J:$J,MATCH($C1165,'Paramètres'!$D:$D,0))="",1,INDEX('Paramètres'!$J:$J,MATCH($C1165,'Paramètres'!$D:$D,0)))),2))</f>
        <v/>
      </c>
      <c r="L1165" s="6" t="str">
        <f>IF($D1165="","",IF($F1165&lt;&gt;"",$F1165,IF(ISNA(MATCH($D1165,'Paramètres'!$M:$M,0)),"⚠ Type inconnu",IFERROR(INDEX('Paramètres'!$P:$P,MATCH($D1165,'Paramètres'!$M:$M,0))&amp;"",""))))</f>
        <v/>
      </c>
      <c r="M1165" s="6" t="str">
        <f>IF($D1165="","",IF(ISNA(MATCH($D1165,'Paramètres'!$M:$M,0)),"⚠ Type inconnu",IF($L1165="Crédit","",IFERROR(INDEX('Paramètres'!$O:$O,MATCH($D1165,'Paramètres'!$M:$M,0))&amp;"",""))))</f>
        <v/>
      </c>
      <c r="N1165" s="6" t="str">
        <f>IF($D1165="","",IFERROR(INDEX('Paramètres'!$Q:$Q,MATCH($D1165,'Paramètres'!$M:$M,0))&amp;"",""))</f>
        <v/>
      </c>
      <c r="O1165" s="6" t="str">
        <f>IF($A1165="","",IF(OR($J1165&lt;&gt;"x",$A1165&lt;=FinReleve),1,0))</f>
        <v/>
      </c>
      <c r="P1165" s="6" t="str">
        <f>IF($D1165="","",IF(AND($L1165="Crédit",OR(IFERROR(INDEX('Paramètres'!$O:$O,MATCH($D1165,'Paramètres'!$M:$M,0))&amp;"","")&lt;&gt;"",ISNUMBER(SEARCH("remboursement",IFERROR(INDEX('Paramètres'!$N:$N,MATCH($D1165,'Paramètres'!$M:$M,0))&amp;"",""))))),1,0))</f>
        <v/>
      </c>
      <c r="Q1165" s="6" t="str">
        <f>IF($K1165="","",IF(ISNUMBER(SEARCH("transfert-interne",IFERROR(INDEX('Paramètres'!$N:$N,MATCH($D1165,'Paramètres'!$M:$M,0))&amp;"",""))),0,IF($L1165="Débit",$K1165,IF($P1165=1,-$K1165,0))))</f>
        <v/>
      </c>
      <c r="R1165" s="6" t="str">
        <f>IF($K1165="","",IF($L1165="Crédit",$K1165,-$K1165))</f>
        <v/>
      </c>
      <c r="S1165" s="6" t="str">
        <f>IF($C1165="","",IFERROR(INDEX('Paramètres'!$H:$H,MATCH($C1165,'Paramètres'!$D:$D,0))&amp;"",""))</f>
        <v/>
      </c>
      <c r="T1165" s="6" t="str">
        <f>IF($K1165="","",IF($S1165="",0,IF(ISNUMBER(SEARCH("apport-exterieur",IFERROR(INDEX('Paramètres'!$N:$N,MATCH($D1165,'Paramètres'!$M:$M,0))&amp;"",""))),0,IF(OR(IFERROR(INDEX('Paramètres'!$I:$I,MATCH($C1165,'Paramètres'!$D:$D,0))&amp;"","")="Les deux",IFERROR(INDEX('Paramètres'!$I:$I,MATCH($C1165,'Paramètres'!$D:$D,0))&amp;"","")=IF($P1165=1,"Débit",$L1165)),-IF($P1165=1,-$K1165,$K1165),0))))</f>
        <v/>
      </c>
      <c r="U1165" s="6" t="str">
        <f>IF($K1165="","",IF(ISNUMBER(SEARCH("sortie-epargne",IFERROR(INDEX('Paramètres'!$N:$N,MATCH($D1165,'Paramètres'!$M:$M,0))&amp;"",""))),$K1165,0))</f>
        <v/>
      </c>
      <c r="V1165" s="6" t="str">
        <f>IF(AND($A1165&lt;&gt;"",$O1165=1,$L1165="Débit",N($Q1165)&gt;0,$A1165&gt;=Visualisation!$B$1,$A1165&lt;Visualisation!$D$1),MAX($V$1:V1164)+1,"")</f>
        <v/>
      </c>
    </row>
    <row r="1166" spans="1:22" x14ac:dyDescent="0.25">
      <c r="A1166" s="9"/>
      <c r="E1166" s="10"/>
      <c r="K1166" s="11" t="str">
        <f>IF($E1166="","",ROUND($E1166*IF(ISNA(MATCH($C1166,'Paramètres'!$D:$D,0)),1,IF(INDEX('Paramètres'!$J:$J,MATCH($C1166,'Paramètres'!$D:$D,0))="",1,INDEX('Paramètres'!$J:$J,MATCH($C1166,'Paramètres'!$D:$D,0)))),2))</f>
        <v/>
      </c>
      <c r="L1166" s="6" t="str">
        <f>IF($D1166="","",IF($F1166&lt;&gt;"",$F1166,IF(ISNA(MATCH($D1166,'Paramètres'!$M:$M,0)),"⚠ Type inconnu",IFERROR(INDEX('Paramètres'!$P:$P,MATCH($D1166,'Paramètres'!$M:$M,0))&amp;"",""))))</f>
        <v/>
      </c>
      <c r="M1166" s="6" t="str">
        <f>IF($D1166="","",IF(ISNA(MATCH($D1166,'Paramètres'!$M:$M,0)),"⚠ Type inconnu",IF($L1166="Crédit","",IFERROR(INDEX('Paramètres'!$O:$O,MATCH($D1166,'Paramètres'!$M:$M,0))&amp;"",""))))</f>
        <v/>
      </c>
      <c r="N1166" s="6" t="str">
        <f>IF($D1166="","",IFERROR(INDEX('Paramètres'!$Q:$Q,MATCH($D1166,'Paramètres'!$M:$M,0))&amp;"",""))</f>
        <v/>
      </c>
      <c r="O1166" s="6" t="str">
        <f>IF($A1166="","",IF(OR($J1166&lt;&gt;"x",$A1166&lt;=FinReleve),1,0))</f>
        <v/>
      </c>
      <c r="P1166" s="6" t="str">
        <f>IF($D1166="","",IF(AND($L1166="Crédit",OR(IFERROR(INDEX('Paramètres'!$O:$O,MATCH($D1166,'Paramètres'!$M:$M,0))&amp;"","")&lt;&gt;"",ISNUMBER(SEARCH("remboursement",IFERROR(INDEX('Paramètres'!$N:$N,MATCH($D1166,'Paramètres'!$M:$M,0))&amp;"",""))))),1,0))</f>
        <v/>
      </c>
      <c r="Q1166" s="6" t="str">
        <f>IF($K1166="","",IF(ISNUMBER(SEARCH("transfert-interne",IFERROR(INDEX('Paramètres'!$N:$N,MATCH($D1166,'Paramètres'!$M:$M,0))&amp;"",""))),0,IF($L1166="Débit",$K1166,IF($P1166=1,-$K1166,0))))</f>
        <v/>
      </c>
      <c r="R1166" s="6" t="str">
        <f>IF($K1166="","",IF($L1166="Crédit",$K1166,-$K1166))</f>
        <v/>
      </c>
      <c r="S1166" s="6" t="str">
        <f>IF($C1166="","",IFERROR(INDEX('Paramètres'!$H:$H,MATCH($C1166,'Paramètres'!$D:$D,0))&amp;"",""))</f>
        <v/>
      </c>
      <c r="T1166" s="6" t="str">
        <f>IF($K1166="","",IF($S1166="",0,IF(ISNUMBER(SEARCH("apport-exterieur",IFERROR(INDEX('Paramètres'!$N:$N,MATCH($D1166,'Paramètres'!$M:$M,0))&amp;"",""))),0,IF(OR(IFERROR(INDEX('Paramètres'!$I:$I,MATCH($C1166,'Paramètres'!$D:$D,0))&amp;"","")="Les deux",IFERROR(INDEX('Paramètres'!$I:$I,MATCH($C1166,'Paramètres'!$D:$D,0))&amp;"","")=IF($P1166=1,"Débit",$L1166)),-IF($P1166=1,-$K1166,$K1166),0))))</f>
        <v/>
      </c>
      <c r="U1166" s="6" t="str">
        <f>IF($K1166="","",IF(ISNUMBER(SEARCH("sortie-epargne",IFERROR(INDEX('Paramètres'!$N:$N,MATCH($D1166,'Paramètres'!$M:$M,0))&amp;"",""))),$K1166,0))</f>
        <v/>
      </c>
      <c r="V1166" s="6" t="str">
        <f>IF(AND($A1166&lt;&gt;"",$O1166=1,$L1166="Débit",N($Q1166)&gt;0,$A1166&gt;=Visualisation!$B$1,$A1166&lt;Visualisation!$D$1),MAX($V$1:V1165)+1,"")</f>
        <v/>
      </c>
    </row>
    <row r="1167" spans="1:22" x14ac:dyDescent="0.25">
      <c r="A1167" s="9"/>
      <c r="E1167" s="10"/>
      <c r="K1167" s="11" t="str">
        <f>IF($E1167="","",ROUND($E1167*IF(ISNA(MATCH($C1167,'Paramètres'!$D:$D,0)),1,IF(INDEX('Paramètres'!$J:$J,MATCH($C1167,'Paramètres'!$D:$D,0))="",1,INDEX('Paramètres'!$J:$J,MATCH($C1167,'Paramètres'!$D:$D,0)))),2))</f>
        <v/>
      </c>
      <c r="L1167" s="6" t="str">
        <f>IF($D1167="","",IF($F1167&lt;&gt;"",$F1167,IF(ISNA(MATCH($D1167,'Paramètres'!$M:$M,0)),"⚠ Type inconnu",IFERROR(INDEX('Paramètres'!$P:$P,MATCH($D1167,'Paramètres'!$M:$M,0))&amp;"",""))))</f>
        <v/>
      </c>
      <c r="M1167" s="6" t="str">
        <f>IF($D1167="","",IF(ISNA(MATCH($D1167,'Paramètres'!$M:$M,0)),"⚠ Type inconnu",IF($L1167="Crédit","",IFERROR(INDEX('Paramètres'!$O:$O,MATCH($D1167,'Paramètres'!$M:$M,0))&amp;"",""))))</f>
        <v/>
      </c>
      <c r="N1167" s="6" t="str">
        <f>IF($D1167="","",IFERROR(INDEX('Paramètres'!$Q:$Q,MATCH($D1167,'Paramètres'!$M:$M,0))&amp;"",""))</f>
        <v/>
      </c>
      <c r="O1167" s="6" t="str">
        <f>IF($A1167="","",IF(OR($J1167&lt;&gt;"x",$A1167&lt;=FinReleve),1,0))</f>
        <v/>
      </c>
      <c r="P1167" s="6" t="str">
        <f>IF($D1167="","",IF(AND($L1167="Crédit",OR(IFERROR(INDEX('Paramètres'!$O:$O,MATCH($D1167,'Paramètres'!$M:$M,0))&amp;"","")&lt;&gt;"",ISNUMBER(SEARCH("remboursement",IFERROR(INDEX('Paramètres'!$N:$N,MATCH($D1167,'Paramètres'!$M:$M,0))&amp;"",""))))),1,0))</f>
        <v/>
      </c>
      <c r="Q1167" s="6" t="str">
        <f>IF($K1167="","",IF(ISNUMBER(SEARCH("transfert-interne",IFERROR(INDEX('Paramètres'!$N:$N,MATCH($D1167,'Paramètres'!$M:$M,0))&amp;"",""))),0,IF($L1167="Débit",$K1167,IF($P1167=1,-$K1167,0))))</f>
        <v/>
      </c>
      <c r="R1167" s="6" t="str">
        <f>IF($K1167="","",IF($L1167="Crédit",$K1167,-$K1167))</f>
        <v/>
      </c>
      <c r="S1167" s="6" t="str">
        <f>IF($C1167="","",IFERROR(INDEX('Paramètres'!$H:$H,MATCH($C1167,'Paramètres'!$D:$D,0))&amp;"",""))</f>
        <v/>
      </c>
      <c r="T1167" s="6" t="str">
        <f>IF($K1167="","",IF($S1167="",0,IF(ISNUMBER(SEARCH("apport-exterieur",IFERROR(INDEX('Paramètres'!$N:$N,MATCH($D1167,'Paramètres'!$M:$M,0))&amp;"",""))),0,IF(OR(IFERROR(INDEX('Paramètres'!$I:$I,MATCH($C1167,'Paramètres'!$D:$D,0))&amp;"","")="Les deux",IFERROR(INDEX('Paramètres'!$I:$I,MATCH($C1167,'Paramètres'!$D:$D,0))&amp;"","")=IF($P1167=1,"Débit",$L1167)),-IF($P1167=1,-$K1167,$K1167),0))))</f>
        <v/>
      </c>
      <c r="U1167" s="6" t="str">
        <f>IF($K1167="","",IF(ISNUMBER(SEARCH("sortie-epargne",IFERROR(INDEX('Paramètres'!$N:$N,MATCH($D1167,'Paramètres'!$M:$M,0))&amp;"",""))),$K1167,0))</f>
        <v/>
      </c>
      <c r="V1167" s="6" t="str">
        <f>IF(AND($A1167&lt;&gt;"",$O1167=1,$L1167="Débit",N($Q1167)&gt;0,$A1167&gt;=Visualisation!$B$1,$A1167&lt;Visualisation!$D$1),MAX($V$1:V1166)+1,"")</f>
        <v/>
      </c>
    </row>
    <row r="1168" spans="1:22" x14ac:dyDescent="0.25">
      <c r="A1168" s="9"/>
      <c r="E1168" s="10"/>
      <c r="K1168" s="11" t="str">
        <f>IF($E1168="","",ROUND($E1168*IF(ISNA(MATCH($C1168,'Paramètres'!$D:$D,0)),1,IF(INDEX('Paramètres'!$J:$J,MATCH($C1168,'Paramètres'!$D:$D,0))="",1,INDEX('Paramètres'!$J:$J,MATCH($C1168,'Paramètres'!$D:$D,0)))),2))</f>
        <v/>
      </c>
      <c r="L1168" s="6" t="str">
        <f>IF($D1168="","",IF($F1168&lt;&gt;"",$F1168,IF(ISNA(MATCH($D1168,'Paramètres'!$M:$M,0)),"⚠ Type inconnu",IFERROR(INDEX('Paramètres'!$P:$P,MATCH($D1168,'Paramètres'!$M:$M,0))&amp;"",""))))</f>
        <v/>
      </c>
      <c r="M1168" s="6" t="str">
        <f>IF($D1168="","",IF(ISNA(MATCH($D1168,'Paramètres'!$M:$M,0)),"⚠ Type inconnu",IF($L1168="Crédit","",IFERROR(INDEX('Paramètres'!$O:$O,MATCH($D1168,'Paramètres'!$M:$M,0))&amp;"",""))))</f>
        <v/>
      </c>
      <c r="N1168" s="6" t="str">
        <f>IF($D1168="","",IFERROR(INDEX('Paramètres'!$Q:$Q,MATCH($D1168,'Paramètres'!$M:$M,0))&amp;"",""))</f>
        <v/>
      </c>
      <c r="O1168" s="6" t="str">
        <f>IF($A1168="","",IF(OR($J1168&lt;&gt;"x",$A1168&lt;=FinReleve),1,0))</f>
        <v/>
      </c>
      <c r="P1168" s="6" t="str">
        <f>IF($D1168="","",IF(AND($L1168="Crédit",OR(IFERROR(INDEX('Paramètres'!$O:$O,MATCH($D1168,'Paramètres'!$M:$M,0))&amp;"","")&lt;&gt;"",ISNUMBER(SEARCH("remboursement",IFERROR(INDEX('Paramètres'!$N:$N,MATCH($D1168,'Paramètres'!$M:$M,0))&amp;"",""))))),1,0))</f>
        <v/>
      </c>
      <c r="Q1168" s="6" t="str">
        <f>IF($K1168="","",IF(ISNUMBER(SEARCH("transfert-interne",IFERROR(INDEX('Paramètres'!$N:$N,MATCH($D1168,'Paramètres'!$M:$M,0))&amp;"",""))),0,IF($L1168="Débit",$K1168,IF($P1168=1,-$K1168,0))))</f>
        <v/>
      </c>
      <c r="R1168" s="6" t="str">
        <f>IF($K1168="","",IF($L1168="Crédit",$K1168,-$K1168))</f>
        <v/>
      </c>
      <c r="S1168" s="6" t="str">
        <f>IF($C1168="","",IFERROR(INDEX('Paramètres'!$H:$H,MATCH($C1168,'Paramètres'!$D:$D,0))&amp;"",""))</f>
        <v/>
      </c>
      <c r="T1168" s="6" t="str">
        <f>IF($K1168="","",IF($S1168="",0,IF(ISNUMBER(SEARCH("apport-exterieur",IFERROR(INDEX('Paramètres'!$N:$N,MATCH($D1168,'Paramètres'!$M:$M,0))&amp;"",""))),0,IF(OR(IFERROR(INDEX('Paramètres'!$I:$I,MATCH($C1168,'Paramètres'!$D:$D,0))&amp;"","")="Les deux",IFERROR(INDEX('Paramètres'!$I:$I,MATCH($C1168,'Paramètres'!$D:$D,0))&amp;"","")=IF($P1168=1,"Débit",$L1168)),-IF($P1168=1,-$K1168,$K1168),0))))</f>
        <v/>
      </c>
      <c r="U1168" s="6" t="str">
        <f>IF($K1168="","",IF(ISNUMBER(SEARCH("sortie-epargne",IFERROR(INDEX('Paramètres'!$N:$N,MATCH($D1168,'Paramètres'!$M:$M,0))&amp;"",""))),$K1168,0))</f>
        <v/>
      </c>
      <c r="V1168" s="6" t="str">
        <f>IF(AND($A1168&lt;&gt;"",$O1168=1,$L1168="Débit",N($Q1168)&gt;0,$A1168&gt;=Visualisation!$B$1,$A1168&lt;Visualisation!$D$1),MAX($V$1:V1167)+1,"")</f>
        <v/>
      </c>
    </row>
    <row r="1169" spans="1:22" x14ac:dyDescent="0.25">
      <c r="A1169" s="9"/>
      <c r="E1169" s="10"/>
      <c r="K1169" s="11" t="str">
        <f>IF($E1169="","",ROUND($E1169*IF(ISNA(MATCH($C1169,'Paramètres'!$D:$D,0)),1,IF(INDEX('Paramètres'!$J:$J,MATCH($C1169,'Paramètres'!$D:$D,0))="",1,INDEX('Paramètres'!$J:$J,MATCH($C1169,'Paramètres'!$D:$D,0)))),2))</f>
        <v/>
      </c>
      <c r="L1169" s="6" t="str">
        <f>IF($D1169="","",IF($F1169&lt;&gt;"",$F1169,IF(ISNA(MATCH($D1169,'Paramètres'!$M:$M,0)),"⚠ Type inconnu",IFERROR(INDEX('Paramètres'!$P:$P,MATCH($D1169,'Paramètres'!$M:$M,0))&amp;"",""))))</f>
        <v/>
      </c>
      <c r="M1169" s="6" t="str">
        <f>IF($D1169="","",IF(ISNA(MATCH($D1169,'Paramètres'!$M:$M,0)),"⚠ Type inconnu",IF($L1169="Crédit","",IFERROR(INDEX('Paramètres'!$O:$O,MATCH($D1169,'Paramètres'!$M:$M,0))&amp;"",""))))</f>
        <v/>
      </c>
      <c r="N1169" s="6" t="str">
        <f>IF($D1169="","",IFERROR(INDEX('Paramètres'!$Q:$Q,MATCH($D1169,'Paramètres'!$M:$M,0))&amp;"",""))</f>
        <v/>
      </c>
      <c r="O1169" s="6" t="str">
        <f>IF($A1169="","",IF(OR($J1169&lt;&gt;"x",$A1169&lt;=FinReleve),1,0))</f>
        <v/>
      </c>
      <c r="P1169" s="6" t="str">
        <f>IF($D1169="","",IF(AND($L1169="Crédit",OR(IFERROR(INDEX('Paramètres'!$O:$O,MATCH($D1169,'Paramètres'!$M:$M,0))&amp;"","")&lt;&gt;"",ISNUMBER(SEARCH("remboursement",IFERROR(INDEX('Paramètres'!$N:$N,MATCH($D1169,'Paramètres'!$M:$M,0))&amp;"",""))))),1,0))</f>
        <v/>
      </c>
      <c r="Q1169" s="6" t="str">
        <f>IF($K1169="","",IF(ISNUMBER(SEARCH("transfert-interne",IFERROR(INDEX('Paramètres'!$N:$N,MATCH($D1169,'Paramètres'!$M:$M,0))&amp;"",""))),0,IF($L1169="Débit",$K1169,IF($P1169=1,-$K1169,0))))</f>
        <v/>
      </c>
      <c r="R1169" s="6" t="str">
        <f>IF($K1169="","",IF($L1169="Crédit",$K1169,-$K1169))</f>
        <v/>
      </c>
      <c r="S1169" s="6" t="str">
        <f>IF($C1169="","",IFERROR(INDEX('Paramètres'!$H:$H,MATCH($C1169,'Paramètres'!$D:$D,0))&amp;"",""))</f>
        <v/>
      </c>
      <c r="T1169" s="6" t="str">
        <f>IF($K1169="","",IF($S1169="",0,IF(ISNUMBER(SEARCH("apport-exterieur",IFERROR(INDEX('Paramètres'!$N:$N,MATCH($D1169,'Paramètres'!$M:$M,0))&amp;"",""))),0,IF(OR(IFERROR(INDEX('Paramètres'!$I:$I,MATCH($C1169,'Paramètres'!$D:$D,0))&amp;"","")="Les deux",IFERROR(INDEX('Paramètres'!$I:$I,MATCH($C1169,'Paramètres'!$D:$D,0))&amp;"","")=IF($P1169=1,"Débit",$L1169)),-IF($P1169=1,-$K1169,$K1169),0))))</f>
        <v/>
      </c>
      <c r="U1169" s="6" t="str">
        <f>IF($K1169="","",IF(ISNUMBER(SEARCH("sortie-epargne",IFERROR(INDEX('Paramètres'!$N:$N,MATCH($D1169,'Paramètres'!$M:$M,0))&amp;"",""))),$K1169,0))</f>
        <v/>
      </c>
      <c r="V1169" s="6" t="str">
        <f>IF(AND($A1169&lt;&gt;"",$O1169=1,$L1169="Débit",N($Q1169)&gt;0,$A1169&gt;=Visualisation!$B$1,$A1169&lt;Visualisation!$D$1),MAX($V$1:V1168)+1,"")</f>
        <v/>
      </c>
    </row>
    <row r="1170" spans="1:22" x14ac:dyDescent="0.25">
      <c r="A1170" s="9"/>
      <c r="E1170" s="10"/>
      <c r="K1170" s="11" t="str">
        <f>IF($E1170="","",ROUND($E1170*IF(ISNA(MATCH($C1170,'Paramètres'!$D:$D,0)),1,IF(INDEX('Paramètres'!$J:$J,MATCH($C1170,'Paramètres'!$D:$D,0))="",1,INDEX('Paramètres'!$J:$J,MATCH($C1170,'Paramètres'!$D:$D,0)))),2))</f>
        <v/>
      </c>
      <c r="L1170" s="6" t="str">
        <f>IF($D1170="","",IF($F1170&lt;&gt;"",$F1170,IF(ISNA(MATCH($D1170,'Paramètres'!$M:$M,0)),"⚠ Type inconnu",IFERROR(INDEX('Paramètres'!$P:$P,MATCH($D1170,'Paramètres'!$M:$M,0))&amp;"",""))))</f>
        <v/>
      </c>
      <c r="M1170" s="6" t="str">
        <f>IF($D1170="","",IF(ISNA(MATCH($D1170,'Paramètres'!$M:$M,0)),"⚠ Type inconnu",IF($L1170="Crédit","",IFERROR(INDEX('Paramètres'!$O:$O,MATCH($D1170,'Paramètres'!$M:$M,0))&amp;"",""))))</f>
        <v/>
      </c>
      <c r="N1170" s="6" t="str">
        <f>IF($D1170="","",IFERROR(INDEX('Paramètres'!$Q:$Q,MATCH($D1170,'Paramètres'!$M:$M,0))&amp;"",""))</f>
        <v/>
      </c>
      <c r="O1170" s="6" t="str">
        <f>IF($A1170="","",IF(OR($J1170&lt;&gt;"x",$A1170&lt;=FinReleve),1,0))</f>
        <v/>
      </c>
      <c r="P1170" s="6" t="str">
        <f>IF($D1170="","",IF(AND($L1170="Crédit",OR(IFERROR(INDEX('Paramètres'!$O:$O,MATCH($D1170,'Paramètres'!$M:$M,0))&amp;"","")&lt;&gt;"",ISNUMBER(SEARCH("remboursement",IFERROR(INDEX('Paramètres'!$N:$N,MATCH($D1170,'Paramètres'!$M:$M,0))&amp;"",""))))),1,0))</f>
        <v/>
      </c>
      <c r="Q1170" s="6" t="str">
        <f>IF($K1170="","",IF(ISNUMBER(SEARCH("transfert-interne",IFERROR(INDEX('Paramètres'!$N:$N,MATCH($D1170,'Paramètres'!$M:$M,0))&amp;"",""))),0,IF($L1170="Débit",$K1170,IF($P1170=1,-$K1170,0))))</f>
        <v/>
      </c>
      <c r="R1170" s="6" t="str">
        <f>IF($K1170="","",IF($L1170="Crédit",$K1170,-$K1170))</f>
        <v/>
      </c>
      <c r="S1170" s="6" t="str">
        <f>IF($C1170="","",IFERROR(INDEX('Paramètres'!$H:$H,MATCH($C1170,'Paramètres'!$D:$D,0))&amp;"",""))</f>
        <v/>
      </c>
      <c r="T1170" s="6" t="str">
        <f>IF($K1170="","",IF($S1170="",0,IF(ISNUMBER(SEARCH("apport-exterieur",IFERROR(INDEX('Paramètres'!$N:$N,MATCH($D1170,'Paramètres'!$M:$M,0))&amp;"",""))),0,IF(OR(IFERROR(INDEX('Paramètres'!$I:$I,MATCH($C1170,'Paramètres'!$D:$D,0))&amp;"","")="Les deux",IFERROR(INDEX('Paramètres'!$I:$I,MATCH($C1170,'Paramètres'!$D:$D,0))&amp;"","")=IF($P1170=1,"Débit",$L1170)),-IF($P1170=1,-$K1170,$K1170),0))))</f>
        <v/>
      </c>
      <c r="U1170" s="6" t="str">
        <f>IF($K1170="","",IF(ISNUMBER(SEARCH("sortie-epargne",IFERROR(INDEX('Paramètres'!$N:$N,MATCH($D1170,'Paramètres'!$M:$M,0))&amp;"",""))),$K1170,0))</f>
        <v/>
      </c>
      <c r="V1170" s="6" t="str">
        <f>IF(AND($A1170&lt;&gt;"",$O1170=1,$L1170="Débit",N($Q1170)&gt;0,$A1170&gt;=Visualisation!$B$1,$A1170&lt;Visualisation!$D$1),MAX($V$1:V1169)+1,"")</f>
        <v/>
      </c>
    </row>
    <row r="1171" spans="1:22" x14ac:dyDescent="0.25">
      <c r="A1171" s="9"/>
      <c r="E1171" s="10"/>
      <c r="K1171" s="11" t="str">
        <f>IF($E1171="","",ROUND($E1171*IF(ISNA(MATCH($C1171,'Paramètres'!$D:$D,0)),1,IF(INDEX('Paramètres'!$J:$J,MATCH($C1171,'Paramètres'!$D:$D,0))="",1,INDEX('Paramètres'!$J:$J,MATCH($C1171,'Paramètres'!$D:$D,0)))),2))</f>
        <v/>
      </c>
      <c r="L1171" s="6" t="str">
        <f>IF($D1171="","",IF($F1171&lt;&gt;"",$F1171,IF(ISNA(MATCH($D1171,'Paramètres'!$M:$M,0)),"⚠ Type inconnu",IFERROR(INDEX('Paramètres'!$P:$P,MATCH($D1171,'Paramètres'!$M:$M,0))&amp;"",""))))</f>
        <v/>
      </c>
      <c r="M1171" s="6" t="str">
        <f>IF($D1171="","",IF(ISNA(MATCH($D1171,'Paramètres'!$M:$M,0)),"⚠ Type inconnu",IF($L1171="Crédit","",IFERROR(INDEX('Paramètres'!$O:$O,MATCH($D1171,'Paramètres'!$M:$M,0))&amp;"",""))))</f>
        <v/>
      </c>
      <c r="N1171" s="6" t="str">
        <f>IF($D1171="","",IFERROR(INDEX('Paramètres'!$Q:$Q,MATCH($D1171,'Paramètres'!$M:$M,0))&amp;"",""))</f>
        <v/>
      </c>
      <c r="O1171" s="6" t="str">
        <f>IF($A1171="","",IF(OR($J1171&lt;&gt;"x",$A1171&lt;=FinReleve),1,0))</f>
        <v/>
      </c>
      <c r="P1171" s="6" t="str">
        <f>IF($D1171="","",IF(AND($L1171="Crédit",OR(IFERROR(INDEX('Paramètres'!$O:$O,MATCH($D1171,'Paramètres'!$M:$M,0))&amp;"","")&lt;&gt;"",ISNUMBER(SEARCH("remboursement",IFERROR(INDEX('Paramètres'!$N:$N,MATCH($D1171,'Paramètres'!$M:$M,0))&amp;"",""))))),1,0))</f>
        <v/>
      </c>
      <c r="Q1171" s="6" t="str">
        <f>IF($K1171="","",IF(ISNUMBER(SEARCH("transfert-interne",IFERROR(INDEX('Paramètres'!$N:$N,MATCH($D1171,'Paramètres'!$M:$M,0))&amp;"",""))),0,IF($L1171="Débit",$K1171,IF($P1171=1,-$K1171,0))))</f>
        <v/>
      </c>
      <c r="R1171" s="6" t="str">
        <f>IF($K1171="","",IF($L1171="Crédit",$K1171,-$K1171))</f>
        <v/>
      </c>
      <c r="S1171" s="6" t="str">
        <f>IF($C1171="","",IFERROR(INDEX('Paramètres'!$H:$H,MATCH($C1171,'Paramètres'!$D:$D,0))&amp;"",""))</f>
        <v/>
      </c>
      <c r="T1171" s="6" t="str">
        <f>IF($K1171="","",IF($S1171="",0,IF(ISNUMBER(SEARCH("apport-exterieur",IFERROR(INDEX('Paramètres'!$N:$N,MATCH($D1171,'Paramètres'!$M:$M,0))&amp;"",""))),0,IF(OR(IFERROR(INDEX('Paramètres'!$I:$I,MATCH($C1171,'Paramètres'!$D:$D,0))&amp;"","")="Les deux",IFERROR(INDEX('Paramètres'!$I:$I,MATCH($C1171,'Paramètres'!$D:$D,0))&amp;"","")=IF($P1171=1,"Débit",$L1171)),-IF($P1171=1,-$K1171,$K1171),0))))</f>
        <v/>
      </c>
      <c r="U1171" s="6" t="str">
        <f>IF($K1171="","",IF(ISNUMBER(SEARCH("sortie-epargne",IFERROR(INDEX('Paramètres'!$N:$N,MATCH($D1171,'Paramètres'!$M:$M,0))&amp;"",""))),$K1171,0))</f>
        <v/>
      </c>
      <c r="V1171" s="6" t="str">
        <f>IF(AND($A1171&lt;&gt;"",$O1171=1,$L1171="Débit",N($Q1171)&gt;0,$A1171&gt;=Visualisation!$B$1,$A1171&lt;Visualisation!$D$1),MAX($V$1:V1170)+1,"")</f>
        <v/>
      </c>
    </row>
    <row r="1172" spans="1:22" x14ac:dyDescent="0.25">
      <c r="A1172" s="9"/>
      <c r="E1172" s="10"/>
      <c r="K1172" s="11" t="str">
        <f>IF($E1172="","",ROUND($E1172*IF(ISNA(MATCH($C1172,'Paramètres'!$D:$D,0)),1,IF(INDEX('Paramètres'!$J:$J,MATCH($C1172,'Paramètres'!$D:$D,0))="",1,INDEX('Paramètres'!$J:$J,MATCH($C1172,'Paramètres'!$D:$D,0)))),2))</f>
        <v/>
      </c>
      <c r="L1172" s="6" t="str">
        <f>IF($D1172="","",IF($F1172&lt;&gt;"",$F1172,IF(ISNA(MATCH($D1172,'Paramètres'!$M:$M,0)),"⚠ Type inconnu",IFERROR(INDEX('Paramètres'!$P:$P,MATCH($D1172,'Paramètres'!$M:$M,0))&amp;"",""))))</f>
        <v/>
      </c>
      <c r="M1172" s="6" t="str">
        <f>IF($D1172="","",IF(ISNA(MATCH($D1172,'Paramètres'!$M:$M,0)),"⚠ Type inconnu",IF($L1172="Crédit","",IFERROR(INDEX('Paramètres'!$O:$O,MATCH($D1172,'Paramètres'!$M:$M,0))&amp;"",""))))</f>
        <v/>
      </c>
      <c r="N1172" s="6" t="str">
        <f>IF($D1172="","",IFERROR(INDEX('Paramètres'!$Q:$Q,MATCH($D1172,'Paramètres'!$M:$M,0))&amp;"",""))</f>
        <v/>
      </c>
      <c r="O1172" s="6" t="str">
        <f>IF($A1172="","",IF(OR($J1172&lt;&gt;"x",$A1172&lt;=FinReleve),1,0))</f>
        <v/>
      </c>
      <c r="P1172" s="6" t="str">
        <f>IF($D1172="","",IF(AND($L1172="Crédit",OR(IFERROR(INDEX('Paramètres'!$O:$O,MATCH($D1172,'Paramètres'!$M:$M,0))&amp;"","")&lt;&gt;"",ISNUMBER(SEARCH("remboursement",IFERROR(INDEX('Paramètres'!$N:$N,MATCH($D1172,'Paramètres'!$M:$M,0))&amp;"",""))))),1,0))</f>
        <v/>
      </c>
      <c r="Q1172" s="6" t="str">
        <f>IF($K1172="","",IF(ISNUMBER(SEARCH("transfert-interne",IFERROR(INDEX('Paramètres'!$N:$N,MATCH($D1172,'Paramètres'!$M:$M,0))&amp;"",""))),0,IF($L1172="Débit",$K1172,IF($P1172=1,-$K1172,0))))</f>
        <v/>
      </c>
      <c r="R1172" s="6" t="str">
        <f>IF($K1172="","",IF($L1172="Crédit",$K1172,-$K1172))</f>
        <v/>
      </c>
      <c r="S1172" s="6" t="str">
        <f>IF($C1172="","",IFERROR(INDEX('Paramètres'!$H:$H,MATCH($C1172,'Paramètres'!$D:$D,0))&amp;"",""))</f>
        <v/>
      </c>
      <c r="T1172" s="6" t="str">
        <f>IF($K1172="","",IF($S1172="",0,IF(ISNUMBER(SEARCH("apport-exterieur",IFERROR(INDEX('Paramètres'!$N:$N,MATCH($D1172,'Paramètres'!$M:$M,0))&amp;"",""))),0,IF(OR(IFERROR(INDEX('Paramètres'!$I:$I,MATCH($C1172,'Paramètres'!$D:$D,0))&amp;"","")="Les deux",IFERROR(INDEX('Paramètres'!$I:$I,MATCH($C1172,'Paramètres'!$D:$D,0))&amp;"","")=IF($P1172=1,"Débit",$L1172)),-IF($P1172=1,-$K1172,$K1172),0))))</f>
        <v/>
      </c>
      <c r="U1172" s="6" t="str">
        <f>IF($K1172="","",IF(ISNUMBER(SEARCH("sortie-epargne",IFERROR(INDEX('Paramètres'!$N:$N,MATCH($D1172,'Paramètres'!$M:$M,0))&amp;"",""))),$K1172,0))</f>
        <v/>
      </c>
      <c r="V1172" s="6" t="str">
        <f>IF(AND($A1172&lt;&gt;"",$O1172=1,$L1172="Débit",N($Q1172)&gt;0,$A1172&gt;=Visualisation!$B$1,$A1172&lt;Visualisation!$D$1),MAX($V$1:V1171)+1,"")</f>
        <v/>
      </c>
    </row>
    <row r="1173" spans="1:22" x14ac:dyDescent="0.25">
      <c r="A1173" s="9"/>
      <c r="E1173" s="10"/>
      <c r="K1173" s="11" t="str">
        <f>IF($E1173="","",ROUND($E1173*IF(ISNA(MATCH($C1173,'Paramètres'!$D:$D,0)),1,IF(INDEX('Paramètres'!$J:$J,MATCH($C1173,'Paramètres'!$D:$D,0))="",1,INDEX('Paramètres'!$J:$J,MATCH($C1173,'Paramètres'!$D:$D,0)))),2))</f>
        <v/>
      </c>
      <c r="L1173" s="6" t="str">
        <f>IF($D1173="","",IF($F1173&lt;&gt;"",$F1173,IF(ISNA(MATCH($D1173,'Paramètres'!$M:$M,0)),"⚠ Type inconnu",IFERROR(INDEX('Paramètres'!$P:$P,MATCH($D1173,'Paramètres'!$M:$M,0))&amp;"",""))))</f>
        <v/>
      </c>
      <c r="M1173" s="6" t="str">
        <f>IF($D1173="","",IF(ISNA(MATCH($D1173,'Paramètres'!$M:$M,0)),"⚠ Type inconnu",IF($L1173="Crédit","",IFERROR(INDEX('Paramètres'!$O:$O,MATCH($D1173,'Paramètres'!$M:$M,0))&amp;"",""))))</f>
        <v/>
      </c>
      <c r="N1173" s="6" t="str">
        <f>IF($D1173="","",IFERROR(INDEX('Paramètres'!$Q:$Q,MATCH($D1173,'Paramètres'!$M:$M,0))&amp;"",""))</f>
        <v/>
      </c>
      <c r="O1173" s="6" t="str">
        <f>IF($A1173="","",IF(OR($J1173&lt;&gt;"x",$A1173&lt;=FinReleve),1,0))</f>
        <v/>
      </c>
      <c r="P1173" s="6" t="str">
        <f>IF($D1173="","",IF(AND($L1173="Crédit",OR(IFERROR(INDEX('Paramètres'!$O:$O,MATCH($D1173,'Paramètres'!$M:$M,0))&amp;"","")&lt;&gt;"",ISNUMBER(SEARCH("remboursement",IFERROR(INDEX('Paramètres'!$N:$N,MATCH($D1173,'Paramètres'!$M:$M,0))&amp;"",""))))),1,0))</f>
        <v/>
      </c>
      <c r="Q1173" s="6" t="str">
        <f>IF($K1173="","",IF(ISNUMBER(SEARCH("transfert-interne",IFERROR(INDEX('Paramètres'!$N:$N,MATCH($D1173,'Paramètres'!$M:$M,0))&amp;"",""))),0,IF($L1173="Débit",$K1173,IF($P1173=1,-$K1173,0))))</f>
        <v/>
      </c>
      <c r="R1173" s="6" t="str">
        <f>IF($K1173="","",IF($L1173="Crédit",$K1173,-$K1173))</f>
        <v/>
      </c>
      <c r="S1173" s="6" t="str">
        <f>IF($C1173="","",IFERROR(INDEX('Paramètres'!$H:$H,MATCH($C1173,'Paramètres'!$D:$D,0))&amp;"",""))</f>
        <v/>
      </c>
      <c r="T1173" s="6" t="str">
        <f>IF($K1173="","",IF($S1173="",0,IF(ISNUMBER(SEARCH("apport-exterieur",IFERROR(INDEX('Paramètres'!$N:$N,MATCH($D1173,'Paramètres'!$M:$M,0))&amp;"",""))),0,IF(OR(IFERROR(INDEX('Paramètres'!$I:$I,MATCH($C1173,'Paramètres'!$D:$D,0))&amp;"","")="Les deux",IFERROR(INDEX('Paramètres'!$I:$I,MATCH($C1173,'Paramètres'!$D:$D,0))&amp;"","")=IF($P1173=1,"Débit",$L1173)),-IF($P1173=1,-$K1173,$K1173),0))))</f>
        <v/>
      </c>
      <c r="U1173" s="6" t="str">
        <f>IF($K1173="","",IF(ISNUMBER(SEARCH("sortie-epargne",IFERROR(INDEX('Paramètres'!$N:$N,MATCH($D1173,'Paramètres'!$M:$M,0))&amp;"",""))),$K1173,0))</f>
        <v/>
      </c>
      <c r="V1173" s="6" t="str">
        <f>IF(AND($A1173&lt;&gt;"",$O1173=1,$L1173="Débit",N($Q1173)&gt;0,$A1173&gt;=Visualisation!$B$1,$A1173&lt;Visualisation!$D$1),MAX($V$1:V1172)+1,"")</f>
        <v/>
      </c>
    </row>
    <row r="1174" spans="1:22" x14ac:dyDescent="0.25">
      <c r="A1174" s="9"/>
      <c r="E1174" s="10"/>
      <c r="K1174" s="11" t="str">
        <f>IF($E1174="","",ROUND($E1174*IF(ISNA(MATCH($C1174,'Paramètres'!$D:$D,0)),1,IF(INDEX('Paramètres'!$J:$J,MATCH($C1174,'Paramètres'!$D:$D,0))="",1,INDEX('Paramètres'!$J:$J,MATCH($C1174,'Paramètres'!$D:$D,0)))),2))</f>
        <v/>
      </c>
      <c r="L1174" s="6" t="str">
        <f>IF($D1174="","",IF($F1174&lt;&gt;"",$F1174,IF(ISNA(MATCH($D1174,'Paramètres'!$M:$M,0)),"⚠ Type inconnu",IFERROR(INDEX('Paramètres'!$P:$P,MATCH($D1174,'Paramètres'!$M:$M,0))&amp;"",""))))</f>
        <v/>
      </c>
      <c r="M1174" s="6" t="str">
        <f>IF($D1174="","",IF(ISNA(MATCH($D1174,'Paramètres'!$M:$M,0)),"⚠ Type inconnu",IF($L1174="Crédit","",IFERROR(INDEX('Paramètres'!$O:$O,MATCH($D1174,'Paramètres'!$M:$M,0))&amp;"",""))))</f>
        <v/>
      </c>
      <c r="N1174" s="6" t="str">
        <f>IF($D1174="","",IFERROR(INDEX('Paramètres'!$Q:$Q,MATCH($D1174,'Paramètres'!$M:$M,0))&amp;"",""))</f>
        <v/>
      </c>
      <c r="O1174" s="6" t="str">
        <f>IF($A1174="","",IF(OR($J1174&lt;&gt;"x",$A1174&lt;=FinReleve),1,0))</f>
        <v/>
      </c>
      <c r="P1174" s="6" t="str">
        <f>IF($D1174="","",IF(AND($L1174="Crédit",OR(IFERROR(INDEX('Paramètres'!$O:$O,MATCH($D1174,'Paramètres'!$M:$M,0))&amp;"","")&lt;&gt;"",ISNUMBER(SEARCH("remboursement",IFERROR(INDEX('Paramètres'!$N:$N,MATCH($D1174,'Paramètres'!$M:$M,0))&amp;"",""))))),1,0))</f>
        <v/>
      </c>
      <c r="Q1174" s="6" t="str">
        <f>IF($K1174="","",IF(ISNUMBER(SEARCH("transfert-interne",IFERROR(INDEX('Paramètres'!$N:$N,MATCH($D1174,'Paramètres'!$M:$M,0))&amp;"",""))),0,IF($L1174="Débit",$K1174,IF($P1174=1,-$K1174,0))))</f>
        <v/>
      </c>
      <c r="R1174" s="6" t="str">
        <f>IF($K1174="","",IF($L1174="Crédit",$K1174,-$K1174))</f>
        <v/>
      </c>
      <c r="S1174" s="6" t="str">
        <f>IF($C1174="","",IFERROR(INDEX('Paramètres'!$H:$H,MATCH($C1174,'Paramètres'!$D:$D,0))&amp;"",""))</f>
        <v/>
      </c>
      <c r="T1174" s="6" t="str">
        <f>IF($K1174="","",IF($S1174="",0,IF(ISNUMBER(SEARCH("apport-exterieur",IFERROR(INDEX('Paramètres'!$N:$N,MATCH($D1174,'Paramètres'!$M:$M,0))&amp;"",""))),0,IF(OR(IFERROR(INDEX('Paramètres'!$I:$I,MATCH($C1174,'Paramètres'!$D:$D,0))&amp;"","")="Les deux",IFERROR(INDEX('Paramètres'!$I:$I,MATCH($C1174,'Paramètres'!$D:$D,0))&amp;"","")=IF($P1174=1,"Débit",$L1174)),-IF($P1174=1,-$K1174,$K1174),0))))</f>
        <v/>
      </c>
      <c r="U1174" s="6" t="str">
        <f>IF($K1174="","",IF(ISNUMBER(SEARCH("sortie-epargne",IFERROR(INDEX('Paramètres'!$N:$N,MATCH($D1174,'Paramètres'!$M:$M,0))&amp;"",""))),$K1174,0))</f>
        <v/>
      </c>
      <c r="V1174" s="6" t="str">
        <f>IF(AND($A1174&lt;&gt;"",$O1174=1,$L1174="Débit",N($Q1174)&gt;0,$A1174&gt;=Visualisation!$B$1,$A1174&lt;Visualisation!$D$1),MAX($V$1:V1173)+1,"")</f>
        <v/>
      </c>
    </row>
    <row r="1175" spans="1:22" x14ac:dyDescent="0.25">
      <c r="A1175" s="9"/>
      <c r="E1175" s="10"/>
      <c r="K1175" s="11" t="str">
        <f>IF($E1175="","",ROUND($E1175*IF(ISNA(MATCH($C1175,'Paramètres'!$D:$D,0)),1,IF(INDEX('Paramètres'!$J:$J,MATCH($C1175,'Paramètres'!$D:$D,0))="",1,INDEX('Paramètres'!$J:$J,MATCH($C1175,'Paramètres'!$D:$D,0)))),2))</f>
        <v/>
      </c>
      <c r="L1175" s="6" t="str">
        <f>IF($D1175="","",IF($F1175&lt;&gt;"",$F1175,IF(ISNA(MATCH($D1175,'Paramètres'!$M:$M,0)),"⚠ Type inconnu",IFERROR(INDEX('Paramètres'!$P:$P,MATCH($D1175,'Paramètres'!$M:$M,0))&amp;"",""))))</f>
        <v/>
      </c>
      <c r="M1175" s="6" t="str">
        <f>IF($D1175="","",IF(ISNA(MATCH($D1175,'Paramètres'!$M:$M,0)),"⚠ Type inconnu",IF($L1175="Crédit","",IFERROR(INDEX('Paramètres'!$O:$O,MATCH($D1175,'Paramètres'!$M:$M,0))&amp;"",""))))</f>
        <v/>
      </c>
      <c r="N1175" s="6" t="str">
        <f>IF($D1175="","",IFERROR(INDEX('Paramètres'!$Q:$Q,MATCH($D1175,'Paramètres'!$M:$M,0))&amp;"",""))</f>
        <v/>
      </c>
      <c r="O1175" s="6" t="str">
        <f>IF($A1175="","",IF(OR($J1175&lt;&gt;"x",$A1175&lt;=FinReleve),1,0))</f>
        <v/>
      </c>
      <c r="P1175" s="6" t="str">
        <f>IF($D1175="","",IF(AND($L1175="Crédit",OR(IFERROR(INDEX('Paramètres'!$O:$O,MATCH($D1175,'Paramètres'!$M:$M,0))&amp;"","")&lt;&gt;"",ISNUMBER(SEARCH("remboursement",IFERROR(INDEX('Paramètres'!$N:$N,MATCH($D1175,'Paramètres'!$M:$M,0))&amp;"",""))))),1,0))</f>
        <v/>
      </c>
      <c r="Q1175" s="6" t="str">
        <f>IF($K1175="","",IF(ISNUMBER(SEARCH("transfert-interne",IFERROR(INDEX('Paramètres'!$N:$N,MATCH($D1175,'Paramètres'!$M:$M,0))&amp;"",""))),0,IF($L1175="Débit",$K1175,IF($P1175=1,-$K1175,0))))</f>
        <v/>
      </c>
      <c r="R1175" s="6" t="str">
        <f>IF($K1175="","",IF($L1175="Crédit",$K1175,-$K1175))</f>
        <v/>
      </c>
      <c r="S1175" s="6" t="str">
        <f>IF($C1175="","",IFERROR(INDEX('Paramètres'!$H:$H,MATCH($C1175,'Paramètres'!$D:$D,0))&amp;"",""))</f>
        <v/>
      </c>
      <c r="T1175" s="6" t="str">
        <f>IF($K1175="","",IF($S1175="",0,IF(ISNUMBER(SEARCH("apport-exterieur",IFERROR(INDEX('Paramètres'!$N:$N,MATCH($D1175,'Paramètres'!$M:$M,0))&amp;"",""))),0,IF(OR(IFERROR(INDEX('Paramètres'!$I:$I,MATCH($C1175,'Paramètres'!$D:$D,0))&amp;"","")="Les deux",IFERROR(INDEX('Paramètres'!$I:$I,MATCH($C1175,'Paramètres'!$D:$D,0))&amp;"","")=IF($P1175=1,"Débit",$L1175)),-IF($P1175=1,-$K1175,$K1175),0))))</f>
        <v/>
      </c>
      <c r="U1175" s="6" t="str">
        <f>IF($K1175="","",IF(ISNUMBER(SEARCH("sortie-epargne",IFERROR(INDEX('Paramètres'!$N:$N,MATCH($D1175,'Paramètres'!$M:$M,0))&amp;"",""))),$K1175,0))</f>
        <v/>
      </c>
      <c r="V1175" s="6" t="str">
        <f>IF(AND($A1175&lt;&gt;"",$O1175=1,$L1175="Débit",N($Q1175)&gt;0,$A1175&gt;=Visualisation!$B$1,$A1175&lt;Visualisation!$D$1),MAX($V$1:V1174)+1,"")</f>
        <v/>
      </c>
    </row>
    <row r="1176" spans="1:22" x14ac:dyDescent="0.25">
      <c r="A1176" s="9"/>
      <c r="E1176" s="10"/>
      <c r="K1176" s="11" t="str">
        <f>IF($E1176="","",ROUND($E1176*IF(ISNA(MATCH($C1176,'Paramètres'!$D:$D,0)),1,IF(INDEX('Paramètres'!$J:$J,MATCH($C1176,'Paramètres'!$D:$D,0))="",1,INDEX('Paramètres'!$J:$J,MATCH($C1176,'Paramètres'!$D:$D,0)))),2))</f>
        <v/>
      </c>
      <c r="L1176" s="6" t="str">
        <f>IF($D1176="","",IF($F1176&lt;&gt;"",$F1176,IF(ISNA(MATCH($D1176,'Paramètres'!$M:$M,0)),"⚠ Type inconnu",IFERROR(INDEX('Paramètres'!$P:$P,MATCH($D1176,'Paramètres'!$M:$M,0))&amp;"",""))))</f>
        <v/>
      </c>
      <c r="M1176" s="6" t="str">
        <f>IF($D1176="","",IF(ISNA(MATCH($D1176,'Paramètres'!$M:$M,0)),"⚠ Type inconnu",IF($L1176="Crédit","",IFERROR(INDEX('Paramètres'!$O:$O,MATCH($D1176,'Paramètres'!$M:$M,0))&amp;"",""))))</f>
        <v/>
      </c>
      <c r="N1176" s="6" t="str">
        <f>IF($D1176="","",IFERROR(INDEX('Paramètres'!$Q:$Q,MATCH($D1176,'Paramètres'!$M:$M,0))&amp;"",""))</f>
        <v/>
      </c>
      <c r="O1176" s="6" t="str">
        <f>IF($A1176="","",IF(OR($J1176&lt;&gt;"x",$A1176&lt;=FinReleve),1,0))</f>
        <v/>
      </c>
      <c r="P1176" s="6" t="str">
        <f>IF($D1176="","",IF(AND($L1176="Crédit",OR(IFERROR(INDEX('Paramètres'!$O:$O,MATCH($D1176,'Paramètres'!$M:$M,0))&amp;"","")&lt;&gt;"",ISNUMBER(SEARCH("remboursement",IFERROR(INDEX('Paramètres'!$N:$N,MATCH($D1176,'Paramètres'!$M:$M,0))&amp;"",""))))),1,0))</f>
        <v/>
      </c>
      <c r="Q1176" s="6" t="str">
        <f>IF($K1176="","",IF(ISNUMBER(SEARCH("transfert-interne",IFERROR(INDEX('Paramètres'!$N:$N,MATCH($D1176,'Paramètres'!$M:$M,0))&amp;"",""))),0,IF($L1176="Débit",$K1176,IF($P1176=1,-$K1176,0))))</f>
        <v/>
      </c>
      <c r="R1176" s="6" t="str">
        <f>IF($K1176="","",IF($L1176="Crédit",$K1176,-$K1176))</f>
        <v/>
      </c>
      <c r="S1176" s="6" t="str">
        <f>IF($C1176="","",IFERROR(INDEX('Paramètres'!$H:$H,MATCH($C1176,'Paramètres'!$D:$D,0))&amp;"",""))</f>
        <v/>
      </c>
      <c r="T1176" s="6" t="str">
        <f>IF($K1176="","",IF($S1176="",0,IF(ISNUMBER(SEARCH("apport-exterieur",IFERROR(INDEX('Paramètres'!$N:$N,MATCH($D1176,'Paramètres'!$M:$M,0))&amp;"",""))),0,IF(OR(IFERROR(INDEX('Paramètres'!$I:$I,MATCH($C1176,'Paramètres'!$D:$D,0))&amp;"","")="Les deux",IFERROR(INDEX('Paramètres'!$I:$I,MATCH($C1176,'Paramètres'!$D:$D,0))&amp;"","")=IF($P1176=1,"Débit",$L1176)),-IF($P1176=1,-$K1176,$K1176),0))))</f>
        <v/>
      </c>
      <c r="U1176" s="6" t="str">
        <f>IF($K1176="","",IF(ISNUMBER(SEARCH("sortie-epargne",IFERROR(INDEX('Paramètres'!$N:$N,MATCH($D1176,'Paramètres'!$M:$M,0))&amp;"",""))),$K1176,0))</f>
        <v/>
      </c>
      <c r="V1176" s="6" t="str">
        <f>IF(AND($A1176&lt;&gt;"",$O1176=1,$L1176="Débit",N($Q1176)&gt;0,$A1176&gt;=Visualisation!$B$1,$A1176&lt;Visualisation!$D$1),MAX($V$1:V1175)+1,"")</f>
        <v/>
      </c>
    </row>
    <row r="1177" spans="1:22" x14ac:dyDescent="0.25">
      <c r="A1177" s="9"/>
      <c r="E1177" s="10"/>
      <c r="K1177" s="11" t="str">
        <f>IF($E1177="","",ROUND($E1177*IF(ISNA(MATCH($C1177,'Paramètres'!$D:$D,0)),1,IF(INDEX('Paramètres'!$J:$J,MATCH($C1177,'Paramètres'!$D:$D,0))="",1,INDEX('Paramètres'!$J:$J,MATCH($C1177,'Paramètres'!$D:$D,0)))),2))</f>
        <v/>
      </c>
      <c r="L1177" s="6" t="str">
        <f>IF($D1177="","",IF($F1177&lt;&gt;"",$F1177,IF(ISNA(MATCH($D1177,'Paramètres'!$M:$M,0)),"⚠ Type inconnu",IFERROR(INDEX('Paramètres'!$P:$P,MATCH($D1177,'Paramètres'!$M:$M,0))&amp;"",""))))</f>
        <v/>
      </c>
      <c r="M1177" s="6" t="str">
        <f>IF($D1177="","",IF(ISNA(MATCH($D1177,'Paramètres'!$M:$M,0)),"⚠ Type inconnu",IF($L1177="Crédit","",IFERROR(INDEX('Paramètres'!$O:$O,MATCH($D1177,'Paramètres'!$M:$M,0))&amp;"",""))))</f>
        <v/>
      </c>
      <c r="N1177" s="6" t="str">
        <f>IF($D1177="","",IFERROR(INDEX('Paramètres'!$Q:$Q,MATCH($D1177,'Paramètres'!$M:$M,0))&amp;"",""))</f>
        <v/>
      </c>
      <c r="O1177" s="6" t="str">
        <f>IF($A1177="","",IF(OR($J1177&lt;&gt;"x",$A1177&lt;=FinReleve),1,0))</f>
        <v/>
      </c>
      <c r="P1177" s="6" t="str">
        <f>IF($D1177="","",IF(AND($L1177="Crédit",OR(IFERROR(INDEX('Paramètres'!$O:$O,MATCH($D1177,'Paramètres'!$M:$M,0))&amp;"","")&lt;&gt;"",ISNUMBER(SEARCH("remboursement",IFERROR(INDEX('Paramètres'!$N:$N,MATCH($D1177,'Paramètres'!$M:$M,0))&amp;"",""))))),1,0))</f>
        <v/>
      </c>
      <c r="Q1177" s="6" t="str">
        <f>IF($K1177="","",IF(ISNUMBER(SEARCH("transfert-interne",IFERROR(INDEX('Paramètres'!$N:$N,MATCH($D1177,'Paramètres'!$M:$M,0))&amp;"",""))),0,IF($L1177="Débit",$K1177,IF($P1177=1,-$K1177,0))))</f>
        <v/>
      </c>
      <c r="R1177" s="6" t="str">
        <f>IF($K1177="","",IF($L1177="Crédit",$K1177,-$K1177))</f>
        <v/>
      </c>
      <c r="S1177" s="6" t="str">
        <f>IF($C1177="","",IFERROR(INDEX('Paramètres'!$H:$H,MATCH($C1177,'Paramètres'!$D:$D,0))&amp;"",""))</f>
        <v/>
      </c>
      <c r="T1177" s="6" t="str">
        <f>IF($K1177="","",IF($S1177="",0,IF(ISNUMBER(SEARCH("apport-exterieur",IFERROR(INDEX('Paramètres'!$N:$N,MATCH($D1177,'Paramètres'!$M:$M,0))&amp;"",""))),0,IF(OR(IFERROR(INDEX('Paramètres'!$I:$I,MATCH($C1177,'Paramètres'!$D:$D,0))&amp;"","")="Les deux",IFERROR(INDEX('Paramètres'!$I:$I,MATCH($C1177,'Paramètres'!$D:$D,0))&amp;"","")=IF($P1177=1,"Débit",$L1177)),-IF($P1177=1,-$K1177,$K1177),0))))</f>
        <v/>
      </c>
      <c r="U1177" s="6" t="str">
        <f>IF($K1177="","",IF(ISNUMBER(SEARCH("sortie-epargne",IFERROR(INDEX('Paramètres'!$N:$N,MATCH($D1177,'Paramètres'!$M:$M,0))&amp;"",""))),$K1177,0))</f>
        <v/>
      </c>
      <c r="V1177" s="6" t="str">
        <f>IF(AND($A1177&lt;&gt;"",$O1177=1,$L1177="Débit",N($Q1177)&gt;0,$A1177&gt;=Visualisation!$B$1,$A1177&lt;Visualisation!$D$1),MAX($V$1:V1176)+1,"")</f>
        <v/>
      </c>
    </row>
    <row r="1178" spans="1:22" x14ac:dyDescent="0.25">
      <c r="A1178" s="9"/>
      <c r="E1178" s="10"/>
      <c r="K1178" s="11" t="str">
        <f>IF($E1178="","",ROUND($E1178*IF(ISNA(MATCH($C1178,'Paramètres'!$D:$D,0)),1,IF(INDEX('Paramètres'!$J:$J,MATCH($C1178,'Paramètres'!$D:$D,0))="",1,INDEX('Paramètres'!$J:$J,MATCH($C1178,'Paramètres'!$D:$D,0)))),2))</f>
        <v/>
      </c>
      <c r="L1178" s="6" t="str">
        <f>IF($D1178="","",IF($F1178&lt;&gt;"",$F1178,IF(ISNA(MATCH($D1178,'Paramètres'!$M:$M,0)),"⚠ Type inconnu",IFERROR(INDEX('Paramètres'!$P:$P,MATCH($D1178,'Paramètres'!$M:$M,0))&amp;"",""))))</f>
        <v/>
      </c>
      <c r="M1178" s="6" t="str">
        <f>IF($D1178="","",IF(ISNA(MATCH($D1178,'Paramètres'!$M:$M,0)),"⚠ Type inconnu",IF($L1178="Crédit","",IFERROR(INDEX('Paramètres'!$O:$O,MATCH($D1178,'Paramètres'!$M:$M,0))&amp;"",""))))</f>
        <v/>
      </c>
      <c r="N1178" s="6" t="str">
        <f>IF($D1178="","",IFERROR(INDEX('Paramètres'!$Q:$Q,MATCH($D1178,'Paramètres'!$M:$M,0))&amp;"",""))</f>
        <v/>
      </c>
      <c r="O1178" s="6" t="str">
        <f>IF($A1178="","",IF(OR($J1178&lt;&gt;"x",$A1178&lt;=FinReleve),1,0))</f>
        <v/>
      </c>
      <c r="P1178" s="6" t="str">
        <f>IF($D1178="","",IF(AND($L1178="Crédit",OR(IFERROR(INDEX('Paramètres'!$O:$O,MATCH($D1178,'Paramètres'!$M:$M,0))&amp;"","")&lt;&gt;"",ISNUMBER(SEARCH("remboursement",IFERROR(INDEX('Paramètres'!$N:$N,MATCH($D1178,'Paramètres'!$M:$M,0))&amp;"",""))))),1,0))</f>
        <v/>
      </c>
      <c r="Q1178" s="6" t="str">
        <f>IF($K1178="","",IF(ISNUMBER(SEARCH("transfert-interne",IFERROR(INDEX('Paramètres'!$N:$N,MATCH($D1178,'Paramètres'!$M:$M,0))&amp;"",""))),0,IF($L1178="Débit",$K1178,IF($P1178=1,-$K1178,0))))</f>
        <v/>
      </c>
      <c r="R1178" s="6" t="str">
        <f>IF($K1178="","",IF($L1178="Crédit",$K1178,-$K1178))</f>
        <v/>
      </c>
      <c r="S1178" s="6" t="str">
        <f>IF($C1178="","",IFERROR(INDEX('Paramètres'!$H:$H,MATCH($C1178,'Paramètres'!$D:$D,0))&amp;"",""))</f>
        <v/>
      </c>
      <c r="T1178" s="6" t="str">
        <f>IF($K1178="","",IF($S1178="",0,IF(ISNUMBER(SEARCH("apport-exterieur",IFERROR(INDEX('Paramètres'!$N:$N,MATCH($D1178,'Paramètres'!$M:$M,0))&amp;"",""))),0,IF(OR(IFERROR(INDEX('Paramètres'!$I:$I,MATCH($C1178,'Paramètres'!$D:$D,0))&amp;"","")="Les deux",IFERROR(INDEX('Paramètres'!$I:$I,MATCH($C1178,'Paramètres'!$D:$D,0))&amp;"","")=IF($P1178=1,"Débit",$L1178)),-IF($P1178=1,-$K1178,$K1178),0))))</f>
        <v/>
      </c>
      <c r="U1178" s="6" t="str">
        <f>IF($K1178="","",IF(ISNUMBER(SEARCH("sortie-epargne",IFERROR(INDEX('Paramètres'!$N:$N,MATCH($D1178,'Paramètres'!$M:$M,0))&amp;"",""))),$K1178,0))</f>
        <v/>
      </c>
      <c r="V1178" s="6" t="str">
        <f>IF(AND($A1178&lt;&gt;"",$O1178=1,$L1178="Débit",N($Q1178)&gt;0,$A1178&gt;=Visualisation!$B$1,$A1178&lt;Visualisation!$D$1),MAX($V$1:V1177)+1,"")</f>
        <v/>
      </c>
    </row>
    <row r="1179" spans="1:22" x14ac:dyDescent="0.25">
      <c r="A1179" s="9"/>
      <c r="E1179" s="10"/>
      <c r="K1179" s="11" t="str">
        <f>IF($E1179="","",ROUND($E1179*IF(ISNA(MATCH($C1179,'Paramètres'!$D:$D,0)),1,IF(INDEX('Paramètres'!$J:$J,MATCH($C1179,'Paramètres'!$D:$D,0))="",1,INDEX('Paramètres'!$J:$J,MATCH($C1179,'Paramètres'!$D:$D,0)))),2))</f>
        <v/>
      </c>
      <c r="L1179" s="6" t="str">
        <f>IF($D1179="","",IF($F1179&lt;&gt;"",$F1179,IF(ISNA(MATCH($D1179,'Paramètres'!$M:$M,0)),"⚠ Type inconnu",IFERROR(INDEX('Paramètres'!$P:$P,MATCH($D1179,'Paramètres'!$M:$M,0))&amp;"",""))))</f>
        <v/>
      </c>
      <c r="M1179" s="6" t="str">
        <f>IF($D1179="","",IF(ISNA(MATCH($D1179,'Paramètres'!$M:$M,0)),"⚠ Type inconnu",IF($L1179="Crédit","",IFERROR(INDEX('Paramètres'!$O:$O,MATCH($D1179,'Paramètres'!$M:$M,0))&amp;"",""))))</f>
        <v/>
      </c>
      <c r="N1179" s="6" t="str">
        <f>IF($D1179="","",IFERROR(INDEX('Paramètres'!$Q:$Q,MATCH($D1179,'Paramètres'!$M:$M,0))&amp;"",""))</f>
        <v/>
      </c>
      <c r="O1179" s="6" t="str">
        <f>IF($A1179="","",IF(OR($J1179&lt;&gt;"x",$A1179&lt;=FinReleve),1,0))</f>
        <v/>
      </c>
      <c r="P1179" s="6" t="str">
        <f>IF($D1179="","",IF(AND($L1179="Crédit",OR(IFERROR(INDEX('Paramètres'!$O:$O,MATCH($D1179,'Paramètres'!$M:$M,0))&amp;"","")&lt;&gt;"",ISNUMBER(SEARCH("remboursement",IFERROR(INDEX('Paramètres'!$N:$N,MATCH($D1179,'Paramètres'!$M:$M,0))&amp;"",""))))),1,0))</f>
        <v/>
      </c>
      <c r="Q1179" s="6" t="str">
        <f>IF($K1179="","",IF(ISNUMBER(SEARCH("transfert-interne",IFERROR(INDEX('Paramètres'!$N:$N,MATCH($D1179,'Paramètres'!$M:$M,0))&amp;"",""))),0,IF($L1179="Débit",$K1179,IF($P1179=1,-$K1179,0))))</f>
        <v/>
      </c>
      <c r="R1179" s="6" t="str">
        <f>IF($K1179="","",IF($L1179="Crédit",$K1179,-$K1179))</f>
        <v/>
      </c>
      <c r="S1179" s="6" t="str">
        <f>IF($C1179="","",IFERROR(INDEX('Paramètres'!$H:$H,MATCH($C1179,'Paramètres'!$D:$D,0))&amp;"",""))</f>
        <v/>
      </c>
      <c r="T1179" s="6" t="str">
        <f>IF($K1179="","",IF($S1179="",0,IF(ISNUMBER(SEARCH("apport-exterieur",IFERROR(INDEX('Paramètres'!$N:$N,MATCH($D1179,'Paramètres'!$M:$M,0))&amp;"",""))),0,IF(OR(IFERROR(INDEX('Paramètres'!$I:$I,MATCH($C1179,'Paramètres'!$D:$D,0))&amp;"","")="Les deux",IFERROR(INDEX('Paramètres'!$I:$I,MATCH($C1179,'Paramètres'!$D:$D,0))&amp;"","")=IF($P1179=1,"Débit",$L1179)),-IF($P1179=1,-$K1179,$K1179),0))))</f>
        <v/>
      </c>
      <c r="U1179" s="6" t="str">
        <f>IF($K1179="","",IF(ISNUMBER(SEARCH("sortie-epargne",IFERROR(INDEX('Paramètres'!$N:$N,MATCH($D1179,'Paramètres'!$M:$M,0))&amp;"",""))),$K1179,0))</f>
        <v/>
      </c>
      <c r="V1179" s="6" t="str">
        <f>IF(AND($A1179&lt;&gt;"",$O1179=1,$L1179="Débit",N($Q1179)&gt;0,$A1179&gt;=Visualisation!$B$1,$A1179&lt;Visualisation!$D$1),MAX($V$1:V1178)+1,"")</f>
        <v/>
      </c>
    </row>
    <row r="1180" spans="1:22" x14ac:dyDescent="0.25">
      <c r="A1180" s="9"/>
      <c r="E1180" s="10"/>
      <c r="K1180" s="11" t="str">
        <f>IF($E1180="","",ROUND($E1180*IF(ISNA(MATCH($C1180,'Paramètres'!$D:$D,0)),1,IF(INDEX('Paramètres'!$J:$J,MATCH($C1180,'Paramètres'!$D:$D,0))="",1,INDEX('Paramètres'!$J:$J,MATCH($C1180,'Paramètres'!$D:$D,0)))),2))</f>
        <v/>
      </c>
      <c r="L1180" s="6" t="str">
        <f>IF($D1180="","",IF($F1180&lt;&gt;"",$F1180,IF(ISNA(MATCH($D1180,'Paramètres'!$M:$M,0)),"⚠ Type inconnu",IFERROR(INDEX('Paramètres'!$P:$P,MATCH($D1180,'Paramètres'!$M:$M,0))&amp;"",""))))</f>
        <v/>
      </c>
      <c r="M1180" s="6" t="str">
        <f>IF($D1180="","",IF(ISNA(MATCH($D1180,'Paramètres'!$M:$M,0)),"⚠ Type inconnu",IF($L1180="Crédit","",IFERROR(INDEX('Paramètres'!$O:$O,MATCH($D1180,'Paramètres'!$M:$M,0))&amp;"",""))))</f>
        <v/>
      </c>
      <c r="N1180" s="6" t="str">
        <f>IF($D1180="","",IFERROR(INDEX('Paramètres'!$Q:$Q,MATCH($D1180,'Paramètres'!$M:$M,0))&amp;"",""))</f>
        <v/>
      </c>
      <c r="O1180" s="6" t="str">
        <f>IF($A1180="","",IF(OR($J1180&lt;&gt;"x",$A1180&lt;=FinReleve),1,0))</f>
        <v/>
      </c>
      <c r="P1180" s="6" t="str">
        <f>IF($D1180="","",IF(AND($L1180="Crédit",OR(IFERROR(INDEX('Paramètres'!$O:$O,MATCH($D1180,'Paramètres'!$M:$M,0))&amp;"","")&lt;&gt;"",ISNUMBER(SEARCH("remboursement",IFERROR(INDEX('Paramètres'!$N:$N,MATCH($D1180,'Paramètres'!$M:$M,0))&amp;"",""))))),1,0))</f>
        <v/>
      </c>
      <c r="Q1180" s="6" t="str">
        <f>IF($K1180="","",IF(ISNUMBER(SEARCH("transfert-interne",IFERROR(INDEX('Paramètres'!$N:$N,MATCH($D1180,'Paramètres'!$M:$M,0))&amp;"",""))),0,IF($L1180="Débit",$K1180,IF($P1180=1,-$K1180,0))))</f>
        <v/>
      </c>
      <c r="R1180" s="6" t="str">
        <f>IF($K1180="","",IF($L1180="Crédit",$K1180,-$K1180))</f>
        <v/>
      </c>
      <c r="S1180" s="6" t="str">
        <f>IF($C1180="","",IFERROR(INDEX('Paramètres'!$H:$H,MATCH($C1180,'Paramètres'!$D:$D,0))&amp;"",""))</f>
        <v/>
      </c>
      <c r="T1180" s="6" t="str">
        <f>IF($K1180="","",IF($S1180="",0,IF(ISNUMBER(SEARCH("apport-exterieur",IFERROR(INDEX('Paramètres'!$N:$N,MATCH($D1180,'Paramètres'!$M:$M,0))&amp;"",""))),0,IF(OR(IFERROR(INDEX('Paramètres'!$I:$I,MATCH($C1180,'Paramètres'!$D:$D,0))&amp;"","")="Les deux",IFERROR(INDEX('Paramètres'!$I:$I,MATCH($C1180,'Paramètres'!$D:$D,0))&amp;"","")=IF($P1180=1,"Débit",$L1180)),-IF($P1180=1,-$K1180,$K1180),0))))</f>
        <v/>
      </c>
      <c r="U1180" s="6" t="str">
        <f>IF($K1180="","",IF(ISNUMBER(SEARCH("sortie-epargne",IFERROR(INDEX('Paramètres'!$N:$N,MATCH($D1180,'Paramètres'!$M:$M,0))&amp;"",""))),$K1180,0))</f>
        <v/>
      </c>
      <c r="V1180" s="6" t="str">
        <f>IF(AND($A1180&lt;&gt;"",$O1180=1,$L1180="Débit",N($Q1180)&gt;0,$A1180&gt;=Visualisation!$B$1,$A1180&lt;Visualisation!$D$1),MAX($V$1:V1179)+1,"")</f>
        <v/>
      </c>
    </row>
    <row r="1181" spans="1:22" x14ac:dyDescent="0.25">
      <c r="A1181" s="9"/>
      <c r="E1181" s="10"/>
      <c r="K1181" s="11" t="str">
        <f>IF($E1181="","",ROUND($E1181*IF(ISNA(MATCH($C1181,'Paramètres'!$D:$D,0)),1,IF(INDEX('Paramètres'!$J:$J,MATCH($C1181,'Paramètres'!$D:$D,0))="",1,INDEX('Paramètres'!$J:$J,MATCH($C1181,'Paramètres'!$D:$D,0)))),2))</f>
        <v/>
      </c>
      <c r="L1181" s="6" t="str">
        <f>IF($D1181="","",IF($F1181&lt;&gt;"",$F1181,IF(ISNA(MATCH($D1181,'Paramètres'!$M:$M,0)),"⚠ Type inconnu",IFERROR(INDEX('Paramètres'!$P:$P,MATCH($D1181,'Paramètres'!$M:$M,0))&amp;"",""))))</f>
        <v/>
      </c>
      <c r="M1181" s="6" t="str">
        <f>IF($D1181="","",IF(ISNA(MATCH($D1181,'Paramètres'!$M:$M,0)),"⚠ Type inconnu",IF($L1181="Crédit","",IFERROR(INDEX('Paramètres'!$O:$O,MATCH($D1181,'Paramètres'!$M:$M,0))&amp;"",""))))</f>
        <v/>
      </c>
      <c r="N1181" s="6" t="str">
        <f>IF($D1181="","",IFERROR(INDEX('Paramètres'!$Q:$Q,MATCH($D1181,'Paramètres'!$M:$M,0))&amp;"",""))</f>
        <v/>
      </c>
      <c r="O1181" s="6" t="str">
        <f>IF($A1181="","",IF(OR($J1181&lt;&gt;"x",$A1181&lt;=FinReleve),1,0))</f>
        <v/>
      </c>
      <c r="P1181" s="6" t="str">
        <f>IF($D1181="","",IF(AND($L1181="Crédit",OR(IFERROR(INDEX('Paramètres'!$O:$O,MATCH($D1181,'Paramètres'!$M:$M,0))&amp;"","")&lt;&gt;"",ISNUMBER(SEARCH("remboursement",IFERROR(INDEX('Paramètres'!$N:$N,MATCH($D1181,'Paramètres'!$M:$M,0))&amp;"",""))))),1,0))</f>
        <v/>
      </c>
      <c r="Q1181" s="6" t="str">
        <f>IF($K1181="","",IF(ISNUMBER(SEARCH("transfert-interne",IFERROR(INDEX('Paramètres'!$N:$N,MATCH($D1181,'Paramètres'!$M:$M,0))&amp;"",""))),0,IF($L1181="Débit",$K1181,IF($P1181=1,-$K1181,0))))</f>
        <v/>
      </c>
      <c r="R1181" s="6" t="str">
        <f>IF($K1181="","",IF($L1181="Crédit",$K1181,-$K1181))</f>
        <v/>
      </c>
      <c r="S1181" s="6" t="str">
        <f>IF($C1181="","",IFERROR(INDEX('Paramètres'!$H:$H,MATCH($C1181,'Paramètres'!$D:$D,0))&amp;"",""))</f>
        <v/>
      </c>
      <c r="T1181" s="6" t="str">
        <f>IF($K1181="","",IF($S1181="",0,IF(ISNUMBER(SEARCH("apport-exterieur",IFERROR(INDEX('Paramètres'!$N:$N,MATCH($D1181,'Paramètres'!$M:$M,0))&amp;"",""))),0,IF(OR(IFERROR(INDEX('Paramètres'!$I:$I,MATCH($C1181,'Paramètres'!$D:$D,0))&amp;"","")="Les deux",IFERROR(INDEX('Paramètres'!$I:$I,MATCH($C1181,'Paramètres'!$D:$D,0))&amp;"","")=IF($P1181=1,"Débit",$L1181)),-IF($P1181=1,-$K1181,$K1181),0))))</f>
        <v/>
      </c>
      <c r="U1181" s="6" t="str">
        <f>IF($K1181="","",IF(ISNUMBER(SEARCH("sortie-epargne",IFERROR(INDEX('Paramètres'!$N:$N,MATCH($D1181,'Paramètres'!$M:$M,0))&amp;"",""))),$K1181,0))</f>
        <v/>
      </c>
      <c r="V1181" s="6" t="str">
        <f>IF(AND($A1181&lt;&gt;"",$O1181=1,$L1181="Débit",N($Q1181)&gt;0,$A1181&gt;=Visualisation!$B$1,$A1181&lt;Visualisation!$D$1),MAX($V$1:V1180)+1,"")</f>
        <v/>
      </c>
    </row>
    <row r="1182" spans="1:22" x14ac:dyDescent="0.25">
      <c r="A1182" s="9"/>
      <c r="E1182" s="10"/>
      <c r="K1182" s="11" t="str">
        <f>IF($E1182="","",ROUND($E1182*IF(ISNA(MATCH($C1182,'Paramètres'!$D:$D,0)),1,IF(INDEX('Paramètres'!$J:$J,MATCH($C1182,'Paramètres'!$D:$D,0))="",1,INDEX('Paramètres'!$J:$J,MATCH($C1182,'Paramètres'!$D:$D,0)))),2))</f>
        <v/>
      </c>
      <c r="L1182" s="6" t="str">
        <f>IF($D1182="","",IF($F1182&lt;&gt;"",$F1182,IF(ISNA(MATCH($D1182,'Paramètres'!$M:$M,0)),"⚠ Type inconnu",IFERROR(INDEX('Paramètres'!$P:$P,MATCH($D1182,'Paramètres'!$M:$M,0))&amp;"",""))))</f>
        <v/>
      </c>
      <c r="M1182" s="6" t="str">
        <f>IF($D1182="","",IF(ISNA(MATCH($D1182,'Paramètres'!$M:$M,0)),"⚠ Type inconnu",IF($L1182="Crédit","",IFERROR(INDEX('Paramètres'!$O:$O,MATCH($D1182,'Paramètres'!$M:$M,0))&amp;"",""))))</f>
        <v/>
      </c>
      <c r="N1182" s="6" t="str">
        <f>IF($D1182="","",IFERROR(INDEX('Paramètres'!$Q:$Q,MATCH($D1182,'Paramètres'!$M:$M,0))&amp;"",""))</f>
        <v/>
      </c>
      <c r="O1182" s="6" t="str">
        <f>IF($A1182="","",IF(OR($J1182&lt;&gt;"x",$A1182&lt;=FinReleve),1,0))</f>
        <v/>
      </c>
      <c r="P1182" s="6" t="str">
        <f>IF($D1182="","",IF(AND($L1182="Crédit",OR(IFERROR(INDEX('Paramètres'!$O:$O,MATCH($D1182,'Paramètres'!$M:$M,0))&amp;"","")&lt;&gt;"",ISNUMBER(SEARCH("remboursement",IFERROR(INDEX('Paramètres'!$N:$N,MATCH($D1182,'Paramètres'!$M:$M,0))&amp;"",""))))),1,0))</f>
        <v/>
      </c>
      <c r="Q1182" s="6" t="str">
        <f>IF($K1182="","",IF(ISNUMBER(SEARCH("transfert-interne",IFERROR(INDEX('Paramètres'!$N:$N,MATCH($D1182,'Paramètres'!$M:$M,0))&amp;"",""))),0,IF($L1182="Débit",$K1182,IF($P1182=1,-$K1182,0))))</f>
        <v/>
      </c>
      <c r="R1182" s="6" t="str">
        <f>IF($K1182="","",IF($L1182="Crédit",$K1182,-$K1182))</f>
        <v/>
      </c>
      <c r="S1182" s="6" t="str">
        <f>IF($C1182="","",IFERROR(INDEX('Paramètres'!$H:$H,MATCH($C1182,'Paramètres'!$D:$D,0))&amp;"",""))</f>
        <v/>
      </c>
      <c r="T1182" s="6" t="str">
        <f>IF($K1182="","",IF($S1182="",0,IF(ISNUMBER(SEARCH("apport-exterieur",IFERROR(INDEX('Paramètres'!$N:$N,MATCH($D1182,'Paramètres'!$M:$M,0))&amp;"",""))),0,IF(OR(IFERROR(INDEX('Paramètres'!$I:$I,MATCH($C1182,'Paramètres'!$D:$D,0))&amp;"","")="Les deux",IFERROR(INDEX('Paramètres'!$I:$I,MATCH($C1182,'Paramètres'!$D:$D,0))&amp;"","")=IF($P1182=1,"Débit",$L1182)),-IF($P1182=1,-$K1182,$K1182),0))))</f>
        <v/>
      </c>
      <c r="U1182" s="6" t="str">
        <f>IF($K1182="","",IF(ISNUMBER(SEARCH("sortie-epargne",IFERROR(INDEX('Paramètres'!$N:$N,MATCH($D1182,'Paramètres'!$M:$M,0))&amp;"",""))),$K1182,0))</f>
        <v/>
      </c>
      <c r="V1182" s="6" t="str">
        <f>IF(AND($A1182&lt;&gt;"",$O1182=1,$L1182="Débit",N($Q1182)&gt;0,$A1182&gt;=Visualisation!$B$1,$A1182&lt;Visualisation!$D$1),MAX($V$1:V1181)+1,"")</f>
        <v/>
      </c>
    </row>
    <row r="1183" spans="1:22" x14ac:dyDescent="0.25">
      <c r="A1183" s="9"/>
      <c r="E1183" s="10"/>
      <c r="K1183" s="11" t="str">
        <f>IF($E1183="","",ROUND($E1183*IF(ISNA(MATCH($C1183,'Paramètres'!$D:$D,0)),1,IF(INDEX('Paramètres'!$J:$J,MATCH($C1183,'Paramètres'!$D:$D,0))="",1,INDEX('Paramètres'!$J:$J,MATCH($C1183,'Paramètres'!$D:$D,0)))),2))</f>
        <v/>
      </c>
      <c r="L1183" s="6" t="str">
        <f>IF($D1183="","",IF($F1183&lt;&gt;"",$F1183,IF(ISNA(MATCH($D1183,'Paramètres'!$M:$M,0)),"⚠ Type inconnu",IFERROR(INDEX('Paramètres'!$P:$P,MATCH($D1183,'Paramètres'!$M:$M,0))&amp;"",""))))</f>
        <v/>
      </c>
      <c r="M1183" s="6" t="str">
        <f>IF($D1183="","",IF(ISNA(MATCH($D1183,'Paramètres'!$M:$M,0)),"⚠ Type inconnu",IF($L1183="Crédit","",IFERROR(INDEX('Paramètres'!$O:$O,MATCH($D1183,'Paramètres'!$M:$M,0))&amp;"",""))))</f>
        <v/>
      </c>
      <c r="N1183" s="6" t="str">
        <f>IF($D1183="","",IFERROR(INDEX('Paramètres'!$Q:$Q,MATCH($D1183,'Paramètres'!$M:$M,0))&amp;"",""))</f>
        <v/>
      </c>
      <c r="O1183" s="6" t="str">
        <f>IF($A1183="","",IF(OR($J1183&lt;&gt;"x",$A1183&lt;=FinReleve),1,0))</f>
        <v/>
      </c>
      <c r="P1183" s="6" t="str">
        <f>IF($D1183="","",IF(AND($L1183="Crédit",OR(IFERROR(INDEX('Paramètres'!$O:$O,MATCH($D1183,'Paramètres'!$M:$M,0))&amp;"","")&lt;&gt;"",ISNUMBER(SEARCH("remboursement",IFERROR(INDEX('Paramètres'!$N:$N,MATCH($D1183,'Paramètres'!$M:$M,0))&amp;"",""))))),1,0))</f>
        <v/>
      </c>
      <c r="Q1183" s="6" t="str">
        <f>IF($K1183="","",IF(ISNUMBER(SEARCH("transfert-interne",IFERROR(INDEX('Paramètres'!$N:$N,MATCH($D1183,'Paramètres'!$M:$M,0))&amp;"",""))),0,IF($L1183="Débit",$K1183,IF($P1183=1,-$K1183,0))))</f>
        <v/>
      </c>
      <c r="R1183" s="6" t="str">
        <f>IF($K1183="","",IF($L1183="Crédit",$K1183,-$K1183))</f>
        <v/>
      </c>
      <c r="S1183" s="6" t="str">
        <f>IF($C1183="","",IFERROR(INDEX('Paramètres'!$H:$H,MATCH($C1183,'Paramètres'!$D:$D,0))&amp;"",""))</f>
        <v/>
      </c>
      <c r="T1183" s="6" t="str">
        <f>IF($K1183="","",IF($S1183="",0,IF(ISNUMBER(SEARCH("apport-exterieur",IFERROR(INDEX('Paramètres'!$N:$N,MATCH($D1183,'Paramètres'!$M:$M,0))&amp;"",""))),0,IF(OR(IFERROR(INDEX('Paramètres'!$I:$I,MATCH($C1183,'Paramètres'!$D:$D,0))&amp;"","")="Les deux",IFERROR(INDEX('Paramètres'!$I:$I,MATCH($C1183,'Paramètres'!$D:$D,0))&amp;"","")=IF($P1183=1,"Débit",$L1183)),-IF($P1183=1,-$K1183,$K1183),0))))</f>
        <v/>
      </c>
      <c r="U1183" s="6" t="str">
        <f>IF($K1183="","",IF(ISNUMBER(SEARCH("sortie-epargne",IFERROR(INDEX('Paramètres'!$N:$N,MATCH($D1183,'Paramètres'!$M:$M,0))&amp;"",""))),$K1183,0))</f>
        <v/>
      </c>
      <c r="V1183" s="6" t="str">
        <f>IF(AND($A1183&lt;&gt;"",$O1183=1,$L1183="Débit",N($Q1183)&gt;0,$A1183&gt;=Visualisation!$B$1,$A1183&lt;Visualisation!$D$1),MAX($V$1:V1182)+1,"")</f>
        <v/>
      </c>
    </row>
    <row r="1184" spans="1:22" x14ac:dyDescent="0.25">
      <c r="A1184" s="9"/>
      <c r="E1184" s="10"/>
      <c r="K1184" s="11" t="str">
        <f>IF($E1184="","",ROUND($E1184*IF(ISNA(MATCH($C1184,'Paramètres'!$D:$D,0)),1,IF(INDEX('Paramètres'!$J:$J,MATCH($C1184,'Paramètres'!$D:$D,0))="",1,INDEX('Paramètres'!$J:$J,MATCH($C1184,'Paramètres'!$D:$D,0)))),2))</f>
        <v/>
      </c>
      <c r="L1184" s="6" t="str">
        <f>IF($D1184="","",IF($F1184&lt;&gt;"",$F1184,IF(ISNA(MATCH($D1184,'Paramètres'!$M:$M,0)),"⚠ Type inconnu",IFERROR(INDEX('Paramètres'!$P:$P,MATCH($D1184,'Paramètres'!$M:$M,0))&amp;"",""))))</f>
        <v/>
      </c>
      <c r="M1184" s="6" t="str">
        <f>IF($D1184="","",IF(ISNA(MATCH($D1184,'Paramètres'!$M:$M,0)),"⚠ Type inconnu",IF($L1184="Crédit","",IFERROR(INDEX('Paramètres'!$O:$O,MATCH($D1184,'Paramètres'!$M:$M,0))&amp;"",""))))</f>
        <v/>
      </c>
      <c r="N1184" s="6" t="str">
        <f>IF($D1184="","",IFERROR(INDEX('Paramètres'!$Q:$Q,MATCH($D1184,'Paramètres'!$M:$M,0))&amp;"",""))</f>
        <v/>
      </c>
      <c r="O1184" s="6" t="str">
        <f>IF($A1184="","",IF(OR($J1184&lt;&gt;"x",$A1184&lt;=FinReleve),1,0))</f>
        <v/>
      </c>
      <c r="P1184" s="6" t="str">
        <f>IF($D1184="","",IF(AND($L1184="Crédit",OR(IFERROR(INDEX('Paramètres'!$O:$O,MATCH($D1184,'Paramètres'!$M:$M,0))&amp;"","")&lt;&gt;"",ISNUMBER(SEARCH("remboursement",IFERROR(INDEX('Paramètres'!$N:$N,MATCH($D1184,'Paramètres'!$M:$M,0))&amp;"",""))))),1,0))</f>
        <v/>
      </c>
      <c r="Q1184" s="6" t="str">
        <f>IF($K1184="","",IF(ISNUMBER(SEARCH("transfert-interne",IFERROR(INDEX('Paramètres'!$N:$N,MATCH($D1184,'Paramètres'!$M:$M,0))&amp;"",""))),0,IF($L1184="Débit",$K1184,IF($P1184=1,-$K1184,0))))</f>
        <v/>
      </c>
      <c r="R1184" s="6" t="str">
        <f>IF($K1184="","",IF($L1184="Crédit",$K1184,-$K1184))</f>
        <v/>
      </c>
      <c r="S1184" s="6" t="str">
        <f>IF($C1184="","",IFERROR(INDEX('Paramètres'!$H:$H,MATCH($C1184,'Paramètres'!$D:$D,0))&amp;"",""))</f>
        <v/>
      </c>
      <c r="T1184" s="6" t="str">
        <f>IF($K1184="","",IF($S1184="",0,IF(ISNUMBER(SEARCH("apport-exterieur",IFERROR(INDEX('Paramètres'!$N:$N,MATCH($D1184,'Paramètres'!$M:$M,0))&amp;"",""))),0,IF(OR(IFERROR(INDEX('Paramètres'!$I:$I,MATCH($C1184,'Paramètres'!$D:$D,0))&amp;"","")="Les deux",IFERROR(INDEX('Paramètres'!$I:$I,MATCH($C1184,'Paramètres'!$D:$D,0))&amp;"","")=IF($P1184=1,"Débit",$L1184)),-IF($P1184=1,-$K1184,$K1184),0))))</f>
        <v/>
      </c>
      <c r="U1184" s="6" t="str">
        <f>IF($K1184="","",IF(ISNUMBER(SEARCH("sortie-epargne",IFERROR(INDEX('Paramètres'!$N:$N,MATCH($D1184,'Paramètres'!$M:$M,0))&amp;"",""))),$K1184,0))</f>
        <v/>
      </c>
      <c r="V1184" s="6" t="str">
        <f>IF(AND($A1184&lt;&gt;"",$O1184=1,$L1184="Débit",N($Q1184)&gt;0,$A1184&gt;=Visualisation!$B$1,$A1184&lt;Visualisation!$D$1),MAX($V$1:V1183)+1,"")</f>
        <v/>
      </c>
    </row>
    <row r="1185" spans="1:22" x14ac:dyDescent="0.25">
      <c r="A1185" s="9"/>
      <c r="E1185" s="10"/>
      <c r="K1185" s="11" t="str">
        <f>IF($E1185="","",ROUND($E1185*IF(ISNA(MATCH($C1185,'Paramètres'!$D:$D,0)),1,IF(INDEX('Paramètres'!$J:$J,MATCH($C1185,'Paramètres'!$D:$D,0))="",1,INDEX('Paramètres'!$J:$J,MATCH($C1185,'Paramètres'!$D:$D,0)))),2))</f>
        <v/>
      </c>
      <c r="L1185" s="6" t="str">
        <f>IF($D1185="","",IF($F1185&lt;&gt;"",$F1185,IF(ISNA(MATCH($D1185,'Paramètres'!$M:$M,0)),"⚠ Type inconnu",IFERROR(INDEX('Paramètres'!$P:$P,MATCH($D1185,'Paramètres'!$M:$M,0))&amp;"",""))))</f>
        <v/>
      </c>
      <c r="M1185" s="6" t="str">
        <f>IF($D1185="","",IF(ISNA(MATCH($D1185,'Paramètres'!$M:$M,0)),"⚠ Type inconnu",IF($L1185="Crédit","",IFERROR(INDEX('Paramètres'!$O:$O,MATCH($D1185,'Paramètres'!$M:$M,0))&amp;"",""))))</f>
        <v/>
      </c>
      <c r="N1185" s="6" t="str">
        <f>IF($D1185="","",IFERROR(INDEX('Paramètres'!$Q:$Q,MATCH($D1185,'Paramètres'!$M:$M,0))&amp;"",""))</f>
        <v/>
      </c>
      <c r="O1185" s="6" t="str">
        <f>IF($A1185="","",IF(OR($J1185&lt;&gt;"x",$A1185&lt;=FinReleve),1,0))</f>
        <v/>
      </c>
      <c r="P1185" s="6" t="str">
        <f>IF($D1185="","",IF(AND($L1185="Crédit",OR(IFERROR(INDEX('Paramètres'!$O:$O,MATCH($D1185,'Paramètres'!$M:$M,0))&amp;"","")&lt;&gt;"",ISNUMBER(SEARCH("remboursement",IFERROR(INDEX('Paramètres'!$N:$N,MATCH($D1185,'Paramètres'!$M:$M,0))&amp;"",""))))),1,0))</f>
        <v/>
      </c>
      <c r="Q1185" s="6" t="str">
        <f>IF($K1185="","",IF(ISNUMBER(SEARCH("transfert-interne",IFERROR(INDEX('Paramètres'!$N:$N,MATCH($D1185,'Paramètres'!$M:$M,0))&amp;"",""))),0,IF($L1185="Débit",$K1185,IF($P1185=1,-$K1185,0))))</f>
        <v/>
      </c>
      <c r="R1185" s="6" t="str">
        <f>IF($K1185="","",IF($L1185="Crédit",$K1185,-$K1185))</f>
        <v/>
      </c>
      <c r="S1185" s="6" t="str">
        <f>IF($C1185="","",IFERROR(INDEX('Paramètres'!$H:$H,MATCH($C1185,'Paramètres'!$D:$D,0))&amp;"",""))</f>
        <v/>
      </c>
      <c r="T1185" s="6" t="str">
        <f>IF($K1185="","",IF($S1185="",0,IF(ISNUMBER(SEARCH("apport-exterieur",IFERROR(INDEX('Paramètres'!$N:$N,MATCH($D1185,'Paramètres'!$M:$M,0))&amp;"",""))),0,IF(OR(IFERROR(INDEX('Paramètres'!$I:$I,MATCH($C1185,'Paramètres'!$D:$D,0))&amp;"","")="Les deux",IFERROR(INDEX('Paramètres'!$I:$I,MATCH($C1185,'Paramètres'!$D:$D,0))&amp;"","")=IF($P1185=1,"Débit",$L1185)),-IF($P1185=1,-$K1185,$K1185),0))))</f>
        <v/>
      </c>
      <c r="U1185" s="6" t="str">
        <f>IF($K1185="","",IF(ISNUMBER(SEARCH("sortie-epargne",IFERROR(INDEX('Paramètres'!$N:$N,MATCH($D1185,'Paramètres'!$M:$M,0))&amp;"",""))),$K1185,0))</f>
        <v/>
      </c>
      <c r="V1185" s="6" t="str">
        <f>IF(AND($A1185&lt;&gt;"",$O1185=1,$L1185="Débit",N($Q1185)&gt;0,$A1185&gt;=Visualisation!$B$1,$A1185&lt;Visualisation!$D$1),MAX($V$1:V1184)+1,"")</f>
        <v/>
      </c>
    </row>
    <row r="1186" spans="1:22" x14ac:dyDescent="0.25">
      <c r="A1186" s="9"/>
      <c r="E1186" s="10"/>
      <c r="K1186" s="11" t="str">
        <f>IF($E1186="","",ROUND($E1186*IF(ISNA(MATCH($C1186,'Paramètres'!$D:$D,0)),1,IF(INDEX('Paramètres'!$J:$J,MATCH($C1186,'Paramètres'!$D:$D,0))="",1,INDEX('Paramètres'!$J:$J,MATCH($C1186,'Paramètres'!$D:$D,0)))),2))</f>
        <v/>
      </c>
      <c r="L1186" s="6" t="str">
        <f>IF($D1186="","",IF($F1186&lt;&gt;"",$F1186,IF(ISNA(MATCH($D1186,'Paramètres'!$M:$M,0)),"⚠ Type inconnu",IFERROR(INDEX('Paramètres'!$P:$P,MATCH($D1186,'Paramètres'!$M:$M,0))&amp;"",""))))</f>
        <v/>
      </c>
      <c r="M1186" s="6" t="str">
        <f>IF($D1186="","",IF(ISNA(MATCH($D1186,'Paramètres'!$M:$M,0)),"⚠ Type inconnu",IF($L1186="Crédit","",IFERROR(INDEX('Paramètres'!$O:$O,MATCH($D1186,'Paramètres'!$M:$M,0))&amp;"",""))))</f>
        <v/>
      </c>
      <c r="N1186" s="6" t="str">
        <f>IF($D1186="","",IFERROR(INDEX('Paramètres'!$Q:$Q,MATCH($D1186,'Paramètres'!$M:$M,0))&amp;"",""))</f>
        <v/>
      </c>
      <c r="O1186" s="6" t="str">
        <f>IF($A1186="","",IF(OR($J1186&lt;&gt;"x",$A1186&lt;=FinReleve),1,0))</f>
        <v/>
      </c>
      <c r="P1186" s="6" t="str">
        <f>IF($D1186="","",IF(AND($L1186="Crédit",OR(IFERROR(INDEX('Paramètres'!$O:$O,MATCH($D1186,'Paramètres'!$M:$M,0))&amp;"","")&lt;&gt;"",ISNUMBER(SEARCH("remboursement",IFERROR(INDEX('Paramètres'!$N:$N,MATCH($D1186,'Paramètres'!$M:$M,0))&amp;"",""))))),1,0))</f>
        <v/>
      </c>
      <c r="Q1186" s="6" t="str">
        <f>IF($K1186="","",IF(ISNUMBER(SEARCH("transfert-interne",IFERROR(INDEX('Paramètres'!$N:$N,MATCH($D1186,'Paramètres'!$M:$M,0))&amp;"",""))),0,IF($L1186="Débit",$K1186,IF($P1186=1,-$K1186,0))))</f>
        <v/>
      </c>
      <c r="R1186" s="6" t="str">
        <f>IF($K1186="","",IF($L1186="Crédit",$K1186,-$K1186))</f>
        <v/>
      </c>
      <c r="S1186" s="6" t="str">
        <f>IF($C1186="","",IFERROR(INDEX('Paramètres'!$H:$H,MATCH($C1186,'Paramètres'!$D:$D,0))&amp;"",""))</f>
        <v/>
      </c>
      <c r="T1186" s="6" t="str">
        <f>IF($K1186="","",IF($S1186="",0,IF(ISNUMBER(SEARCH("apport-exterieur",IFERROR(INDEX('Paramètres'!$N:$N,MATCH($D1186,'Paramètres'!$M:$M,0))&amp;"",""))),0,IF(OR(IFERROR(INDEX('Paramètres'!$I:$I,MATCH($C1186,'Paramètres'!$D:$D,0))&amp;"","")="Les deux",IFERROR(INDEX('Paramètres'!$I:$I,MATCH($C1186,'Paramètres'!$D:$D,0))&amp;"","")=IF($P1186=1,"Débit",$L1186)),-IF($P1186=1,-$K1186,$K1186),0))))</f>
        <v/>
      </c>
      <c r="U1186" s="6" t="str">
        <f>IF($K1186="","",IF(ISNUMBER(SEARCH("sortie-epargne",IFERROR(INDEX('Paramètres'!$N:$N,MATCH($D1186,'Paramètres'!$M:$M,0))&amp;"",""))),$K1186,0))</f>
        <v/>
      </c>
      <c r="V1186" s="6" t="str">
        <f>IF(AND($A1186&lt;&gt;"",$O1186=1,$L1186="Débit",N($Q1186)&gt;0,$A1186&gt;=Visualisation!$B$1,$A1186&lt;Visualisation!$D$1),MAX($V$1:V1185)+1,"")</f>
        <v/>
      </c>
    </row>
    <row r="1187" spans="1:22" x14ac:dyDescent="0.25">
      <c r="A1187" s="9"/>
      <c r="E1187" s="10"/>
      <c r="K1187" s="11" t="str">
        <f>IF($E1187="","",ROUND($E1187*IF(ISNA(MATCH($C1187,'Paramètres'!$D:$D,0)),1,IF(INDEX('Paramètres'!$J:$J,MATCH($C1187,'Paramètres'!$D:$D,0))="",1,INDEX('Paramètres'!$J:$J,MATCH($C1187,'Paramètres'!$D:$D,0)))),2))</f>
        <v/>
      </c>
      <c r="L1187" s="6" t="str">
        <f>IF($D1187="","",IF($F1187&lt;&gt;"",$F1187,IF(ISNA(MATCH($D1187,'Paramètres'!$M:$M,0)),"⚠ Type inconnu",IFERROR(INDEX('Paramètres'!$P:$P,MATCH($D1187,'Paramètres'!$M:$M,0))&amp;"",""))))</f>
        <v/>
      </c>
      <c r="M1187" s="6" t="str">
        <f>IF($D1187="","",IF(ISNA(MATCH($D1187,'Paramètres'!$M:$M,0)),"⚠ Type inconnu",IF($L1187="Crédit","",IFERROR(INDEX('Paramètres'!$O:$O,MATCH($D1187,'Paramètres'!$M:$M,0))&amp;"",""))))</f>
        <v/>
      </c>
      <c r="N1187" s="6" t="str">
        <f>IF($D1187="","",IFERROR(INDEX('Paramètres'!$Q:$Q,MATCH($D1187,'Paramètres'!$M:$M,0))&amp;"",""))</f>
        <v/>
      </c>
      <c r="O1187" s="6" t="str">
        <f>IF($A1187="","",IF(OR($J1187&lt;&gt;"x",$A1187&lt;=FinReleve),1,0))</f>
        <v/>
      </c>
      <c r="P1187" s="6" t="str">
        <f>IF($D1187="","",IF(AND($L1187="Crédit",OR(IFERROR(INDEX('Paramètres'!$O:$O,MATCH($D1187,'Paramètres'!$M:$M,0))&amp;"","")&lt;&gt;"",ISNUMBER(SEARCH("remboursement",IFERROR(INDEX('Paramètres'!$N:$N,MATCH($D1187,'Paramètres'!$M:$M,0))&amp;"",""))))),1,0))</f>
        <v/>
      </c>
      <c r="Q1187" s="6" t="str">
        <f>IF($K1187="","",IF(ISNUMBER(SEARCH("transfert-interne",IFERROR(INDEX('Paramètres'!$N:$N,MATCH($D1187,'Paramètres'!$M:$M,0))&amp;"",""))),0,IF($L1187="Débit",$K1187,IF($P1187=1,-$K1187,0))))</f>
        <v/>
      </c>
      <c r="R1187" s="6" t="str">
        <f>IF($K1187="","",IF($L1187="Crédit",$K1187,-$K1187))</f>
        <v/>
      </c>
      <c r="S1187" s="6" t="str">
        <f>IF($C1187="","",IFERROR(INDEX('Paramètres'!$H:$H,MATCH($C1187,'Paramètres'!$D:$D,0))&amp;"",""))</f>
        <v/>
      </c>
      <c r="T1187" s="6" t="str">
        <f>IF($K1187="","",IF($S1187="",0,IF(ISNUMBER(SEARCH("apport-exterieur",IFERROR(INDEX('Paramètres'!$N:$N,MATCH($D1187,'Paramètres'!$M:$M,0))&amp;"",""))),0,IF(OR(IFERROR(INDEX('Paramètres'!$I:$I,MATCH($C1187,'Paramètres'!$D:$D,0))&amp;"","")="Les deux",IFERROR(INDEX('Paramètres'!$I:$I,MATCH($C1187,'Paramètres'!$D:$D,0))&amp;"","")=IF($P1187=1,"Débit",$L1187)),-IF($P1187=1,-$K1187,$K1187),0))))</f>
        <v/>
      </c>
      <c r="U1187" s="6" t="str">
        <f>IF($K1187="","",IF(ISNUMBER(SEARCH("sortie-epargne",IFERROR(INDEX('Paramètres'!$N:$N,MATCH($D1187,'Paramètres'!$M:$M,0))&amp;"",""))),$K1187,0))</f>
        <v/>
      </c>
      <c r="V1187" s="6" t="str">
        <f>IF(AND($A1187&lt;&gt;"",$O1187=1,$L1187="Débit",N($Q1187)&gt;0,$A1187&gt;=Visualisation!$B$1,$A1187&lt;Visualisation!$D$1),MAX($V$1:V1186)+1,"")</f>
        <v/>
      </c>
    </row>
    <row r="1188" spans="1:22" x14ac:dyDescent="0.25">
      <c r="A1188" s="9"/>
      <c r="E1188" s="10"/>
      <c r="K1188" s="11" t="str">
        <f>IF($E1188="","",ROUND($E1188*IF(ISNA(MATCH($C1188,'Paramètres'!$D:$D,0)),1,IF(INDEX('Paramètres'!$J:$J,MATCH($C1188,'Paramètres'!$D:$D,0))="",1,INDEX('Paramètres'!$J:$J,MATCH($C1188,'Paramètres'!$D:$D,0)))),2))</f>
        <v/>
      </c>
      <c r="L1188" s="6" t="str">
        <f>IF($D1188="","",IF($F1188&lt;&gt;"",$F1188,IF(ISNA(MATCH($D1188,'Paramètres'!$M:$M,0)),"⚠ Type inconnu",IFERROR(INDEX('Paramètres'!$P:$P,MATCH($D1188,'Paramètres'!$M:$M,0))&amp;"",""))))</f>
        <v/>
      </c>
      <c r="M1188" s="6" t="str">
        <f>IF($D1188="","",IF(ISNA(MATCH($D1188,'Paramètres'!$M:$M,0)),"⚠ Type inconnu",IF($L1188="Crédit","",IFERROR(INDEX('Paramètres'!$O:$O,MATCH($D1188,'Paramètres'!$M:$M,0))&amp;"",""))))</f>
        <v/>
      </c>
      <c r="N1188" s="6" t="str">
        <f>IF($D1188="","",IFERROR(INDEX('Paramètres'!$Q:$Q,MATCH($D1188,'Paramètres'!$M:$M,0))&amp;"",""))</f>
        <v/>
      </c>
      <c r="O1188" s="6" t="str">
        <f>IF($A1188="","",IF(OR($J1188&lt;&gt;"x",$A1188&lt;=FinReleve),1,0))</f>
        <v/>
      </c>
      <c r="P1188" s="6" t="str">
        <f>IF($D1188="","",IF(AND($L1188="Crédit",OR(IFERROR(INDEX('Paramètres'!$O:$O,MATCH($D1188,'Paramètres'!$M:$M,0))&amp;"","")&lt;&gt;"",ISNUMBER(SEARCH("remboursement",IFERROR(INDEX('Paramètres'!$N:$N,MATCH($D1188,'Paramètres'!$M:$M,0))&amp;"",""))))),1,0))</f>
        <v/>
      </c>
      <c r="Q1188" s="6" t="str">
        <f>IF($K1188="","",IF(ISNUMBER(SEARCH("transfert-interne",IFERROR(INDEX('Paramètres'!$N:$N,MATCH($D1188,'Paramètres'!$M:$M,0))&amp;"",""))),0,IF($L1188="Débit",$K1188,IF($P1188=1,-$K1188,0))))</f>
        <v/>
      </c>
      <c r="R1188" s="6" t="str">
        <f>IF($K1188="","",IF($L1188="Crédit",$K1188,-$K1188))</f>
        <v/>
      </c>
      <c r="S1188" s="6" t="str">
        <f>IF($C1188="","",IFERROR(INDEX('Paramètres'!$H:$H,MATCH($C1188,'Paramètres'!$D:$D,0))&amp;"",""))</f>
        <v/>
      </c>
      <c r="T1188" s="6" t="str">
        <f>IF($K1188="","",IF($S1188="",0,IF(ISNUMBER(SEARCH("apport-exterieur",IFERROR(INDEX('Paramètres'!$N:$N,MATCH($D1188,'Paramètres'!$M:$M,0))&amp;"",""))),0,IF(OR(IFERROR(INDEX('Paramètres'!$I:$I,MATCH($C1188,'Paramètres'!$D:$D,0))&amp;"","")="Les deux",IFERROR(INDEX('Paramètres'!$I:$I,MATCH($C1188,'Paramètres'!$D:$D,0))&amp;"","")=IF($P1188=1,"Débit",$L1188)),-IF($P1188=1,-$K1188,$K1188),0))))</f>
        <v/>
      </c>
      <c r="U1188" s="6" t="str">
        <f>IF($K1188="","",IF(ISNUMBER(SEARCH("sortie-epargne",IFERROR(INDEX('Paramètres'!$N:$N,MATCH($D1188,'Paramètres'!$M:$M,0))&amp;"",""))),$K1188,0))</f>
        <v/>
      </c>
      <c r="V1188" s="6" t="str">
        <f>IF(AND($A1188&lt;&gt;"",$O1188=1,$L1188="Débit",N($Q1188)&gt;0,$A1188&gt;=Visualisation!$B$1,$A1188&lt;Visualisation!$D$1),MAX($V$1:V1187)+1,"")</f>
        <v/>
      </c>
    </row>
    <row r="1189" spans="1:22" x14ac:dyDescent="0.25">
      <c r="A1189" s="9"/>
      <c r="E1189" s="10"/>
      <c r="K1189" s="11" t="str">
        <f>IF($E1189="","",ROUND($E1189*IF(ISNA(MATCH($C1189,'Paramètres'!$D:$D,0)),1,IF(INDEX('Paramètres'!$J:$J,MATCH($C1189,'Paramètres'!$D:$D,0))="",1,INDEX('Paramètres'!$J:$J,MATCH($C1189,'Paramètres'!$D:$D,0)))),2))</f>
        <v/>
      </c>
      <c r="L1189" s="6" t="str">
        <f>IF($D1189="","",IF($F1189&lt;&gt;"",$F1189,IF(ISNA(MATCH($D1189,'Paramètres'!$M:$M,0)),"⚠ Type inconnu",IFERROR(INDEX('Paramètres'!$P:$P,MATCH($D1189,'Paramètres'!$M:$M,0))&amp;"",""))))</f>
        <v/>
      </c>
      <c r="M1189" s="6" t="str">
        <f>IF($D1189="","",IF(ISNA(MATCH($D1189,'Paramètres'!$M:$M,0)),"⚠ Type inconnu",IF($L1189="Crédit","",IFERROR(INDEX('Paramètres'!$O:$O,MATCH($D1189,'Paramètres'!$M:$M,0))&amp;"",""))))</f>
        <v/>
      </c>
      <c r="N1189" s="6" t="str">
        <f>IF($D1189="","",IFERROR(INDEX('Paramètres'!$Q:$Q,MATCH($D1189,'Paramètres'!$M:$M,0))&amp;"",""))</f>
        <v/>
      </c>
      <c r="O1189" s="6" t="str">
        <f>IF($A1189="","",IF(OR($J1189&lt;&gt;"x",$A1189&lt;=FinReleve),1,0))</f>
        <v/>
      </c>
      <c r="P1189" s="6" t="str">
        <f>IF($D1189="","",IF(AND($L1189="Crédit",OR(IFERROR(INDEX('Paramètres'!$O:$O,MATCH($D1189,'Paramètres'!$M:$M,0))&amp;"","")&lt;&gt;"",ISNUMBER(SEARCH("remboursement",IFERROR(INDEX('Paramètres'!$N:$N,MATCH($D1189,'Paramètres'!$M:$M,0))&amp;"",""))))),1,0))</f>
        <v/>
      </c>
      <c r="Q1189" s="6" t="str">
        <f>IF($K1189="","",IF(ISNUMBER(SEARCH("transfert-interne",IFERROR(INDEX('Paramètres'!$N:$N,MATCH($D1189,'Paramètres'!$M:$M,0))&amp;"",""))),0,IF($L1189="Débit",$K1189,IF($P1189=1,-$K1189,0))))</f>
        <v/>
      </c>
      <c r="R1189" s="6" t="str">
        <f>IF($K1189="","",IF($L1189="Crédit",$K1189,-$K1189))</f>
        <v/>
      </c>
      <c r="S1189" s="6" t="str">
        <f>IF($C1189="","",IFERROR(INDEX('Paramètres'!$H:$H,MATCH($C1189,'Paramètres'!$D:$D,0))&amp;"",""))</f>
        <v/>
      </c>
      <c r="T1189" s="6" t="str">
        <f>IF($K1189="","",IF($S1189="",0,IF(ISNUMBER(SEARCH("apport-exterieur",IFERROR(INDEX('Paramètres'!$N:$N,MATCH($D1189,'Paramètres'!$M:$M,0))&amp;"",""))),0,IF(OR(IFERROR(INDEX('Paramètres'!$I:$I,MATCH($C1189,'Paramètres'!$D:$D,0))&amp;"","")="Les deux",IFERROR(INDEX('Paramètres'!$I:$I,MATCH($C1189,'Paramètres'!$D:$D,0))&amp;"","")=IF($P1189=1,"Débit",$L1189)),-IF($P1189=1,-$K1189,$K1189),0))))</f>
        <v/>
      </c>
      <c r="U1189" s="6" t="str">
        <f>IF($K1189="","",IF(ISNUMBER(SEARCH("sortie-epargne",IFERROR(INDEX('Paramètres'!$N:$N,MATCH($D1189,'Paramètres'!$M:$M,0))&amp;"",""))),$K1189,0))</f>
        <v/>
      </c>
      <c r="V1189" s="6" t="str">
        <f>IF(AND($A1189&lt;&gt;"",$O1189=1,$L1189="Débit",N($Q1189)&gt;0,$A1189&gt;=Visualisation!$B$1,$A1189&lt;Visualisation!$D$1),MAX($V$1:V1188)+1,"")</f>
        <v/>
      </c>
    </row>
    <row r="1190" spans="1:22" x14ac:dyDescent="0.25">
      <c r="A1190" s="9"/>
      <c r="E1190" s="10"/>
      <c r="K1190" s="11" t="str">
        <f>IF($E1190="","",ROUND($E1190*IF(ISNA(MATCH($C1190,'Paramètres'!$D:$D,0)),1,IF(INDEX('Paramètres'!$J:$J,MATCH($C1190,'Paramètres'!$D:$D,0))="",1,INDEX('Paramètres'!$J:$J,MATCH($C1190,'Paramètres'!$D:$D,0)))),2))</f>
        <v/>
      </c>
      <c r="L1190" s="6" t="str">
        <f>IF($D1190="","",IF($F1190&lt;&gt;"",$F1190,IF(ISNA(MATCH($D1190,'Paramètres'!$M:$M,0)),"⚠ Type inconnu",IFERROR(INDEX('Paramètres'!$P:$P,MATCH($D1190,'Paramètres'!$M:$M,0))&amp;"",""))))</f>
        <v/>
      </c>
      <c r="M1190" s="6" t="str">
        <f>IF($D1190="","",IF(ISNA(MATCH($D1190,'Paramètres'!$M:$M,0)),"⚠ Type inconnu",IF($L1190="Crédit","",IFERROR(INDEX('Paramètres'!$O:$O,MATCH($D1190,'Paramètres'!$M:$M,0))&amp;"",""))))</f>
        <v/>
      </c>
      <c r="N1190" s="6" t="str">
        <f>IF($D1190="","",IFERROR(INDEX('Paramètres'!$Q:$Q,MATCH($D1190,'Paramètres'!$M:$M,0))&amp;"",""))</f>
        <v/>
      </c>
      <c r="O1190" s="6" t="str">
        <f>IF($A1190="","",IF(OR($J1190&lt;&gt;"x",$A1190&lt;=FinReleve),1,0))</f>
        <v/>
      </c>
      <c r="P1190" s="6" t="str">
        <f>IF($D1190="","",IF(AND($L1190="Crédit",OR(IFERROR(INDEX('Paramètres'!$O:$O,MATCH($D1190,'Paramètres'!$M:$M,0))&amp;"","")&lt;&gt;"",ISNUMBER(SEARCH("remboursement",IFERROR(INDEX('Paramètres'!$N:$N,MATCH($D1190,'Paramètres'!$M:$M,0))&amp;"",""))))),1,0))</f>
        <v/>
      </c>
      <c r="Q1190" s="6" t="str">
        <f>IF($K1190="","",IF(ISNUMBER(SEARCH("transfert-interne",IFERROR(INDEX('Paramètres'!$N:$N,MATCH($D1190,'Paramètres'!$M:$M,0))&amp;"",""))),0,IF($L1190="Débit",$K1190,IF($P1190=1,-$K1190,0))))</f>
        <v/>
      </c>
      <c r="R1190" s="6" t="str">
        <f>IF($K1190="","",IF($L1190="Crédit",$K1190,-$K1190))</f>
        <v/>
      </c>
      <c r="S1190" s="6" t="str">
        <f>IF($C1190="","",IFERROR(INDEX('Paramètres'!$H:$H,MATCH($C1190,'Paramètres'!$D:$D,0))&amp;"",""))</f>
        <v/>
      </c>
      <c r="T1190" s="6" t="str">
        <f>IF($K1190="","",IF($S1190="",0,IF(ISNUMBER(SEARCH("apport-exterieur",IFERROR(INDEX('Paramètres'!$N:$N,MATCH($D1190,'Paramètres'!$M:$M,0))&amp;"",""))),0,IF(OR(IFERROR(INDEX('Paramètres'!$I:$I,MATCH($C1190,'Paramètres'!$D:$D,0))&amp;"","")="Les deux",IFERROR(INDEX('Paramètres'!$I:$I,MATCH($C1190,'Paramètres'!$D:$D,0))&amp;"","")=IF($P1190=1,"Débit",$L1190)),-IF($P1190=1,-$K1190,$K1190),0))))</f>
        <v/>
      </c>
      <c r="U1190" s="6" t="str">
        <f>IF($K1190="","",IF(ISNUMBER(SEARCH("sortie-epargne",IFERROR(INDEX('Paramètres'!$N:$N,MATCH($D1190,'Paramètres'!$M:$M,0))&amp;"",""))),$K1190,0))</f>
        <v/>
      </c>
      <c r="V1190" s="6" t="str">
        <f>IF(AND($A1190&lt;&gt;"",$O1190=1,$L1190="Débit",N($Q1190)&gt;0,$A1190&gt;=Visualisation!$B$1,$A1190&lt;Visualisation!$D$1),MAX($V$1:V1189)+1,"")</f>
        <v/>
      </c>
    </row>
    <row r="1191" spans="1:22" x14ac:dyDescent="0.25">
      <c r="A1191" s="9"/>
      <c r="E1191" s="10"/>
      <c r="K1191" s="11" t="str">
        <f>IF($E1191="","",ROUND($E1191*IF(ISNA(MATCH($C1191,'Paramètres'!$D:$D,0)),1,IF(INDEX('Paramètres'!$J:$J,MATCH($C1191,'Paramètres'!$D:$D,0))="",1,INDEX('Paramètres'!$J:$J,MATCH($C1191,'Paramètres'!$D:$D,0)))),2))</f>
        <v/>
      </c>
      <c r="L1191" s="6" t="str">
        <f>IF($D1191="","",IF($F1191&lt;&gt;"",$F1191,IF(ISNA(MATCH($D1191,'Paramètres'!$M:$M,0)),"⚠ Type inconnu",IFERROR(INDEX('Paramètres'!$P:$P,MATCH($D1191,'Paramètres'!$M:$M,0))&amp;"",""))))</f>
        <v/>
      </c>
      <c r="M1191" s="6" t="str">
        <f>IF($D1191="","",IF(ISNA(MATCH($D1191,'Paramètres'!$M:$M,0)),"⚠ Type inconnu",IF($L1191="Crédit","",IFERROR(INDEX('Paramètres'!$O:$O,MATCH($D1191,'Paramètres'!$M:$M,0))&amp;"",""))))</f>
        <v/>
      </c>
      <c r="N1191" s="6" t="str">
        <f>IF($D1191="","",IFERROR(INDEX('Paramètres'!$Q:$Q,MATCH($D1191,'Paramètres'!$M:$M,0))&amp;"",""))</f>
        <v/>
      </c>
      <c r="O1191" s="6" t="str">
        <f>IF($A1191="","",IF(OR($J1191&lt;&gt;"x",$A1191&lt;=FinReleve),1,0))</f>
        <v/>
      </c>
      <c r="P1191" s="6" t="str">
        <f>IF($D1191="","",IF(AND($L1191="Crédit",OR(IFERROR(INDEX('Paramètres'!$O:$O,MATCH($D1191,'Paramètres'!$M:$M,0))&amp;"","")&lt;&gt;"",ISNUMBER(SEARCH("remboursement",IFERROR(INDEX('Paramètres'!$N:$N,MATCH($D1191,'Paramètres'!$M:$M,0))&amp;"",""))))),1,0))</f>
        <v/>
      </c>
      <c r="Q1191" s="6" t="str">
        <f>IF($K1191="","",IF(ISNUMBER(SEARCH("transfert-interne",IFERROR(INDEX('Paramètres'!$N:$N,MATCH($D1191,'Paramètres'!$M:$M,0))&amp;"",""))),0,IF($L1191="Débit",$K1191,IF($P1191=1,-$K1191,0))))</f>
        <v/>
      </c>
      <c r="R1191" s="6" t="str">
        <f>IF($K1191="","",IF($L1191="Crédit",$K1191,-$K1191))</f>
        <v/>
      </c>
      <c r="S1191" s="6" t="str">
        <f>IF($C1191="","",IFERROR(INDEX('Paramètres'!$H:$H,MATCH($C1191,'Paramètres'!$D:$D,0))&amp;"",""))</f>
        <v/>
      </c>
      <c r="T1191" s="6" t="str">
        <f>IF($K1191="","",IF($S1191="",0,IF(ISNUMBER(SEARCH("apport-exterieur",IFERROR(INDEX('Paramètres'!$N:$N,MATCH($D1191,'Paramètres'!$M:$M,0))&amp;"",""))),0,IF(OR(IFERROR(INDEX('Paramètres'!$I:$I,MATCH($C1191,'Paramètres'!$D:$D,0))&amp;"","")="Les deux",IFERROR(INDEX('Paramètres'!$I:$I,MATCH($C1191,'Paramètres'!$D:$D,0))&amp;"","")=IF($P1191=1,"Débit",$L1191)),-IF($P1191=1,-$K1191,$K1191),0))))</f>
        <v/>
      </c>
      <c r="U1191" s="6" t="str">
        <f>IF($K1191="","",IF(ISNUMBER(SEARCH("sortie-epargne",IFERROR(INDEX('Paramètres'!$N:$N,MATCH($D1191,'Paramètres'!$M:$M,0))&amp;"",""))),$K1191,0))</f>
        <v/>
      </c>
      <c r="V1191" s="6" t="str">
        <f>IF(AND($A1191&lt;&gt;"",$O1191=1,$L1191="Débit",N($Q1191)&gt;0,$A1191&gt;=Visualisation!$B$1,$A1191&lt;Visualisation!$D$1),MAX($V$1:V1190)+1,"")</f>
        <v/>
      </c>
    </row>
    <row r="1192" spans="1:22" x14ac:dyDescent="0.25">
      <c r="A1192" s="9"/>
      <c r="E1192" s="10"/>
      <c r="K1192" s="11" t="str">
        <f>IF($E1192="","",ROUND($E1192*IF(ISNA(MATCH($C1192,'Paramètres'!$D:$D,0)),1,IF(INDEX('Paramètres'!$J:$J,MATCH($C1192,'Paramètres'!$D:$D,0))="",1,INDEX('Paramètres'!$J:$J,MATCH($C1192,'Paramètres'!$D:$D,0)))),2))</f>
        <v/>
      </c>
      <c r="L1192" s="6" t="str">
        <f>IF($D1192="","",IF($F1192&lt;&gt;"",$F1192,IF(ISNA(MATCH($D1192,'Paramètres'!$M:$M,0)),"⚠ Type inconnu",IFERROR(INDEX('Paramètres'!$P:$P,MATCH($D1192,'Paramètres'!$M:$M,0))&amp;"",""))))</f>
        <v/>
      </c>
      <c r="M1192" s="6" t="str">
        <f>IF($D1192="","",IF(ISNA(MATCH($D1192,'Paramètres'!$M:$M,0)),"⚠ Type inconnu",IF($L1192="Crédit","",IFERROR(INDEX('Paramètres'!$O:$O,MATCH($D1192,'Paramètres'!$M:$M,0))&amp;"",""))))</f>
        <v/>
      </c>
      <c r="N1192" s="6" t="str">
        <f>IF($D1192="","",IFERROR(INDEX('Paramètres'!$Q:$Q,MATCH($D1192,'Paramètres'!$M:$M,0))&amp;"",""))</f>
        <v/>
      </c>
      <c r="O1192" s="6" t="str">
        <f>IF($A1192="","",IF(OR($J1192&lt;&gt;"x",$A1192&lt;=FinReleve),1,0))</f>
        <v/>
      </c>
      <c r="P1192" s="6" t="str">
        <f>IF($D1192="","",IF(AND($L1192="Crédit",OR(IFERROR(INDEX('Paramètres'!$O:$O,MATCH($D1192,'Paramètres'!$M:$M,0))&amp;"","")&lt;&gt;"",ISNUMBER(SEARCH("remboursement",IFERROR(INDEX('Paramètres'!$N:$N,MATCH($D1192,'Paramètres'!$M:$M,0))&amp;"",""))))),1,0))</f>
        <v/>
      </c>
      <c r="Q1192" s="6" t="str">
        <f>IF($K1192="","",IF(ISNUMBER(SEARCH("transfert-interne",IFERROR(INDEX('Paramètres'!$N:$N,MATCH($D1192,'Paramètres'!$M:$M,0))&amp;"",""))),0,IF($L1192="Débit",$K1192,IF($P1192=1,-$K1192,0))))</f>
        <v/>
      </c>
      <c r="R1192" s="6" t="str">
        <f>IF($K1192="","",IF($L1192="Crédit",$K1192,-$K1192))</f>
        <v/>
      </c>
      <c r="S1192" s="6" t="str">
        <f>IF($C1192="","",IFERROR(INDEX('Paramètres'!$H:$H,MATCH($C1192,'Paramètres'!$D:$D,0))&amp;"",""))</f>
        <v/>
      </c>
      <c r="T1192" s="6" t="str">
        <f>IF($K1192="","",IF($S1192="",0,IF(ISNUMBER(SEARCH("apport-exterieur",IFERROR(INDEX('Paramètres'!$N:$N,MATCH($D1192,'Paramètres'!$M:$M,0))&amp;"",""))),0,IF(OR(IFERROR(INDEX('Paramètres'!$I:$I,MATCH($C1192,'Paramètres'!$D:$D,0))&amp;"","")="Les deux",IFERROR(INDEX('Paramètres'!$I:$I,MATCH($C1192,'Paramètres'!$D:$D,0))&amp;"","")=IF($P1192=1,"Débit",$L1192)),-IF($P1192=1,-$K1192,$K1192),0))))</f>
        <v/>
      </c>
      <c r="U1192" s="6" t="str">
        <f>IF($K1192="","",IF(ISNUMBER(SEARCH("sortie-epargne",IFERROR(INDEX('Paramètres'!$N:$N,MATCH($D1192,'Paramètres'!$M:$M,0))&amp;"",""))),$K1192,0))</f>
        <v/>
      </c>
      <c r="V1192" s="6" t="str">
        <f>IF(AND($A1192&lt;&gt;"",$O1192=1,$L1192="Débit",N($Q1192)&gt;0,$A1192&gt;=Visualisation!$B$1,$A1192&lt;Visualisation!$D$1),MAX($V$1:V1191)+1,"")</f>
        <v/>
      </c>
    </row>
    <row r="1193" spans="1:22" x14ac:dyDescent="0.25">
      <c r="A1193" s="9"/>
      <c r="E1193" s="10"/>
      <c r="K1193" s="11" t="str">
        <f>IF($E1193="","",ROUND($E1193*IF(ISNA(MATCH($C1193,'Paramètres'!$D:$D,0)),1,IF(INDEX('Paramètres'!$J:$J,MATCH($C1193,'Paramètres'!$D:$D,0))="",1,INDEX('Paramètres'!$J:$J,MATCH($C1193,'Paramètres'!$D:$D,0)))),2))</f>
        <v/>
      </c>
      <c r="L1193" s="6" t="str">
        <f>IF($D1193="","",IF($F1193&lt;&gt;"",$F1193,IF(ISNA(MATCH($D1193,'Paramètres'!$M:$M,0)),"⚠ Type inconnu",IFERROR(INDEX('Paramètres'!$P:$P,MATCH($D1193,'Paramètres'!$M:$M,0))&amp;"",""))))</f>
        <v/>
      </c>
      <c r="M1193" s="6" t="str">
        <f>IF($D1193="","",IF(ISNA(MATCH($D1193,'Paramètres'!$M:$M,0)),"⚠ Type inconnu",IF($L1193="Crédit","",IFERROR(INDEX('Paramètres'!$O:$O,MATCH($D1193,'Paramètres'!$M:$M,0))&amp;"",""))))</f>
        <v/>
      </c>
      <c r="N1193" s="6" t="str">
        <f>IF($D1193="","",IFERROR(INDEX('Paramètres'!$Q:$Q,MATCH($D1193,'Paramètres'!$M:$M,0))&amp;"",""))</f>
        <v/>
      </c>
      <c r="O1193" s="6" t="str">
        <f>IF($A1193="","",IF(OR($J1193&lt;&gt;"x",$A1193&lt;=FinReleve),1,0))</f>
        <v/>
      </c>
      <c r="P1193" s="6" t="str">
        <f>IF($D1193="","",IF(AND($L1193="Crédit",OR(IFERROR(INDEX('Paramètres'!$O:$O,MATCH($D1193,'Paramètres'!$M:$M,0))&amp;"","")&lt;&gt;"",ISNUMBER(SEARCH("remboursement",IFERROR(INDEX('Paramètres'!$N:$N,MATCH($D1193,'Paramètres'!$M:$M,0))&amp;"",""))))),1,0))</f>
        <v/>
      </c>
      <c r="Q1193" s="6" t="str">
        <f>IF($K1193="","",IF(ISNUMBER(SEARCH("transfert-interne",IFERROR(INDEX('Paramètres'!$N:$N,MATCH($D1193,'Paramètres'!$M:$M,0))&amp;"",""))),0,IF($L1193="Débit",$K1193,IF($P1193=1,-$K1193,0))))</f>
        <v/>
      </c>
      <c r="R1193" s="6" t="str">
        <f>IF($K1193="","",IF($L1193="Crédit",$K1193,-$K1193))</f>
        <v/>
      </c>
      <c r="S1193" s="6" t="str">
        <f>IF($C1193="","",IFERROR(INDEX('Paramètres'!$H:$H,MATCH($C1193,'Paramètres'!$D:$D,0))&amp;"",""))</f>
        <v/>
      </c>
      <c r="T1193" s="6" t="str">
        <f>IF($K1193="","",IF($S1193="",0,IF(ISNUMBER(SEARCH("apport-exterieur",IFERROR(INDEX('Paramètres'!$N:$N,MATCH($D1193,'Paramètres'!$M:$M,0))&amp;"",""))),0,IF(OR(IFERROR(INDEX('Paramètres'!$I:$I,MATCH($C1193,'Paramètres'!$D:$D,0))&amp;"","")="Les deux",IFERROR(INDEX('Paramètres'!$I:$I,MATCH($C1193,'Paramètres'!$D:$D,0))&amp;"","")=IF($P1193=1,"Débit",$L1193)),-IF($P1193=1,-$K1193,$K1193),0))))</f>
        <v/>
      </c>
      <c r="U1193" s="6" t="str">
        <f>IF($K1193="","",IF(ISNUMBER(SEARCH("sortie-epargne",IFERROR(INDEX('Paramètres'!$N:$N,MATCH($D1193,'Paramètres'!$M:$M,0))&amp;"",""))),$K1193,0))</f>
        <v/>
      </c>
      <c r="V1193" s="6" t="str">
        <f>IF(AND($A1193&lt;&gt;"",$O1193=1,$L1193="Débit",N($Q1193)&gt;0,$A1193&gt;=Visualisation!$B$1,$A1193&lt;Visualisation!$D$1),MAX($V$1:V1192)+1,"")</f>
        <v/>
      </c>
    </row>
    <row r="1194" spans="1:22" x14ac:dyDescent="0.25">
      <c r="A1194" s="9"/>
      <c r="E1194" s="10"/>
      <c r="K1194" s="11" t="str">
        <f>IF($E1194="","",ROUND($E1194*IF(ISNA(MATCH($C1194,'Paramètres'!$D:$D,0)),1,IF(INDEX('Paramètres'!$J:$J,MATCH($C1194,'Paramètres'!$D:$D,0))="",1,INDEX('Paramètres'!$J:$J,MATCH($C1194,'Paramètres'!$D:$D,0)))),2))</f>
        <v/>
      </c>
      <c r="L1194" s="6" t="str">
        <f>IF($D1194="","",IF($F1194&lt;&gt;"",$F1194,IF(ISNA(MATCH($D1194,'Paramètres'!$M:$M,0)),"⚠ Type inconnu",IFERROR(INDEX('Paramètres'!$P:$P,MATCH($D1194,'Paramètres'!$M:$M,0))&amp;"",""))))</f>
        <v/>
      </c>
      <c r="M1194" s="6" t="str">
        <f>IF($D1194="","",IF(ISNA(MATCH($D1194,'Paramètres'!$M:$M,0)),"⚠ Type inconnu",IF($L1194="Crédit","",IFERROR(INDEX('Paramètres'!$O:$O,MATCH($D1194,'Paramètres'!$M:$M,0))&amp;"",""))))</f>
        <v/>
      </c>
      <c r="N1194" s="6" t="str">
        <f>IF($D1194="","",IFERROR(INDEX('Paramètres'!$Q:$Q,MATCH($D1194,'Paramètres'!$M:$M,0))&amp;"",""))</f>
        <v/>
      </c>
      <c r="O1194" s="6" t="str">
        <f>IF($A1194="","",IF(OR($J1194&lt;&gt;"x",$A1194&lt;=FinReleve),1,0))</f>
        <v/>
      </c>
      <c r="P1194" s="6" t="str">
        <f>IF($D1194="","",IF(AND($L1194="Crédit",OR(IFERROR(INDEX('Paramètres'!$O:$O,MATCH($D1194,'Paramètres'!$M:$M,0))&amp;"","")&lt;&gt;"",ISNUMBER(SEARCH("remboursement",IFERROR(INDEX('Paramètres'!$N:$N,MATCH($D1194,'Paramètres'!$M:$M,0))&amp;"",""))))),1,0))</f>
        <v/>
      </c>
      <c r="Q1194" s="6" t="str">
        <f>IF($K1194="","",IF(ISNUMBER(SEARCH("transfert-interne",IFERROR(INDEX('Paramètres'!$N:$N,MATCH($D1194,'Paramètres'!$M:$M,0))&amp;"",""))),0,IF($L1194="Débit",$K1194,IF($P1194=1,-$K1194,0))))</f>
        <v/>
      </c>
      <c r="R1194" s="6" t="str">
        <f>IF($K1194="","",IF($L1194="Crédit",$K1194,-$K1194))</f>
        <v/>
      </c>
      <c r="S1194" s="6" t="str">
        <f>IF($C1194="","",IFERROR(INDEX('Paramètres'!$H:$H,MATCH($C1194,'Paramètres'!$D:$D,0))&amp;"",""))</f>
        <v/>
      </c>
      <c r="T1194" s="6" t="str">
        <f>IF($K1194="","",IF($S1194="",0,IF(ISNUMBER(SEARCH("apport-exterieur",IFERROR(INDEX('Paramètres'!$N:$N,MATCH($D1194,'Paramètres'!$M:$M,0))&amp;"",""))),0,IF(OR(IFERROR(INDEX('Paramètres'!$I:$I,MATCH($C1194,'Paramètres'!$D:$D,0))&amp;"","")="Les deux",IFERROR(INDEX('Paramètres'!$I:$I,MATCH($C1194,'Paramètres'!$D:$D,0))&amp;"","")=IF($P1194=1,"Débit",$L1194)),-IF($P1194=1,-$K1194,$K1194),0))))</f>
        <v/>
      </c>
      <c r="U1194" s="6" t="str">
        <f>IF($K1194="","",IF(ISNUMBER(SEARCH("sortie-epargne",IFERROR(INDEX('Paramètres'!$N:$N,MATCH($D1194,'Paramètres'!$M:$M,0))&amp;"",""))),$K1194,0))</f>
        <v/>
      </c>
      <c r="V1194" s="6" t="str">
        <f>IF(AND($A1194&lt;&gt;"",$O1194=1,$L1194="Débit",N($Q1194)&gt;0,$A1194&gt;=Visualisation!$B$1,$A1194&lt;Visualisation!$D$1),MAX($V$1:V1193)+1,"")</f>
        <v/>
      </c>
    </row>
    <row r="1195" spans="1:22" x14ac:dyDescent="0.25">
      <c r="A1195" s="9"/>
      <c r="E1195" s="10"/>
      <c r="K1195" s="11" t="str">
        <f>IF($E1195="","",ROUND($E1195*IF(ISNA(MATCH($C1195,'Paramètres'!$D:$D,0)),1,IF(INDEX('Paramètres'!$J:$J,MATCH($C1195,'Paramètres'!$D:$D,0))="",1,INDEX('Paramètres'!$J:$J,MATCH($C1195,'Paramètres'!$D:$D,0)))),2))</f>
        <v/>
      </c>
      <c r="L1195" s="6" t="str">
        <f>IF($D1195="","",IF($F1195&lt;&gt;"",$F1195,IF(ISNA(MATCH($D1195,'Paramètres'!$M:$M,0)),"⚠ Type inconnu",IFERROR(INDEX('Paramètres'!$P:$P,MATCH($D1195,'Paramètres'!$M:$M,0))&amp;"",""))))</f>
        <v/>
      </c>
      <c r="M1195" s="6" t="str">
        <f>IF($D1195="","",IF(ISNA(MATCH($D1195,'Paramètres'!$M:$M,0)),"⚠ Type inconnu",IF($L1195="Crédit","",IFERROR(INDEX('Paramètres'!$O:$O,MATCH($D1195,'Paramètres'!$M:$M,0))&amp;"",""))))</f>
        <v/>
      </c>
      <c r="N1195" s="6" t="str">
        <f>IF($D1195="","",IFERROR(INDEX('Paramètres'!$Q:$Q,MATCH($D1195,'Paramètres'!$M:$M,0))&amp;"",""))</f>
        <v/>
      </c>
      <c r="O1195" s="6" t="str">
        <f>IF($A1195="","",IF(OR($J1195&lt;&gt;"x",$A1195&lt;=FinReleve),1,0))</f>
        <v/>
      </c>
      <c r="P1195" s="6" t="str">
        <f>IF($D1195="","",IF(AND($L1195="Crédit",OR(IFERROR(INDEX('Paramètres'!$O:$O,MATCH($D1195,'Paramètres'!$M:$M,0))&amp;"","")&lt;&gt;"",ISNUMBER(SEARCH("remboursement",IFERROR(INDEX('Paramètres'!$N:$N,MATCH($D1195,'Paramètres'!$M:$M,0))&amp;"",""))))),1,0))</f>
        <v/>
      </c>
      <c r="Q1195" s="6" t="str">
        <f>IF($K1195="","",IF(ISNUMBER(SEARCH("transfert-interne",IFERROR(INDEX('Paramètres'!$N:$N,MATCH($D1195,'Paramètres'!$M:$M,0))&amp;"",""))),0,IF($L1195="Débit",$K1195,IF($P1195=1,-$K1195,0))))</f>
        <v/>
      </c>
      <c r="R1195" s="6" t="str">
        <f>IF($K1195="","",IF($L1195="Crédit",$K1195,-$K1195))</f>
        <v/>
      </c>
      <c r="S1195" s="6" t="str">
        <f>IF($C1195="","",IFERROR(INDEX('Paramètres'!$H:$H,MATCH($C1195,'Paramètres'!$D:$D,0))&amp;"",""))</f>
        <v/>
      </c>
      <c r="T1195" s="6" t="str">
        <f>IF($K1195="","",IF($S1195="",0,IF(ISNUMBER(SEARCH("apport-exterieur",IFERROR(INDEX('Paramètres'!$N:$N,MATCH($D1195,'Paramètres'!$M:$M,0))&amp;"",""))),0,IF(OR(IFERROR(INDEX('Paramètres'!$I:$I,MATCH($C1195,'Paramètres'!$D:$D,0))&amp;"","")="Les deux",IFERROR(INDEX('Paramètres'!$I:$I,MATCH($C1195,'Paramètres'!$D:$D,0))&amp;"","")=IF($P1195=1,"Débit",$L1195)),-IF($P1195=1,-$K1195,$K1195),0))))</f>
        <v/>
      </c>
      <c r="U1195" s="6" t="str">
        <f>IF($K1195="","",IF(ISNUMBER(SEARCH("sortie-epargne",IFERROR(INDEX('Paramètres'!$N:$N,MATCH($D1195,'Paramètres'!$M:$M,0))&amp;"",""))),$K1195,0))</f>
        <v/>
      </c>
      <c r="V1195" s="6" t="str">
        <f>IF(AND($A1195&lt;&gt;"",$O1195=1,$L1195="Débit",N($Q1195)&gt;0,$A1195&gt;=Visualisation!$B$1,$A1195&lt;Visualisation!$D$1),MAX($V$1:V1194)+1,"")</f>
        <v/>
      </c>
    </row>
    <row r="1196" spans="1:22" x14ac:dyDescent="0.25">
      <c r="A1196" s="9"/>
      <c r="E1196" s="10"/>
      <c r="K1196" s="11" t="str">
        <f>IF($E1196="","",ROUND($E1196*IF(ISNA(MATCH($C1196,'Paramètres'!$D:$D,0)),1,IF(INDEX('Paramètres'!$J:$J,MATCH($C1196,'Paramètres'!$D:$D,0))="",1,INDEX('Paramètres'!$J:$J,MATCH($C1196,'Paramètres'!$D:$D,0)))),2))</f>
        <v/>
      </c>
      <c r="L1196" s="6" t="str">
        <f>IF($D1196="","",IF($F1196&lt;&gt;"",$F1196,IF(ISNA(MATCH($D1196,'Paramètres'!$M:$M,0)),"⚠ Type inconnu",IFERROR(INDEX('Paramètres'!$P:$P,MATCH($D1196,'Paramètres'!$M:$M,0))&amp;"",""))))</f>
        <v/>
      </c>
      <c r="M1196" s="6" t="str">
        <f>IF($D1196="","",IF(ISNA(MATCH($D1196,'Paramètres'!$M:$M,0)),"⚠ Type inconnu",IF($L1196="Crédit","",IFERROR(INDEX('Paramètres'!$O:$O,MATCH($D1196,'Paramètres'!$M:$M,0))&amp;"",""))))</f>
        <v/>
      </c>
      <c r="N1196" s="6" t="str">
        <f>IF($D1196="","",IFERROR(INDEX('Paramètres'!$Q:$Q,MATCH($D1196,'Paramètres'!$M:$M,0))&amp;"",""))</f>
        <v/>
      </c>
      <c r="O1196" s="6" t="str">
        <f>IF($A1196="","",IF(OR($J1196&lt;&gt;"x",$A1196&lt;=FinReleve),1,0))</f>
        <v/>
      </c>
      <c r="P1196" s="6" t="str">
        <f>IF($D1196="","",IF(AND($L1196="Crédit",OR(IFERROR(INDEX('Paramètres'!$O:$O,MATCH($D1196,'Paramètres'!$M:$M,0))&amp;"","")&lt;&gt;"",ISNUMBER(SEARCH("remboursement",IFERROR(INDEX('Paramètres'!$N:$N,MATCH($D1196,'Paramètres'!$M:$M,0))&amp;"",""))))),1,0))</f>
        <v/>
      </c>
      <c r="Q1196" s="6" t="str">
        <f>IF($K1196="","",IF(ISNUMBER(SEARCH("transfert-interne",IFERROR(INDEX('Paramètres'!$N:$N,MATCH($D1196,'Paramètres'!$M:$M,0))&amp;"",""))),0,IF($L1196="Débit",$K1196,IF($P1196=1,-$K1196,0))))</f>
        <v/>
      </c>
      <c r="R1196" s="6" t="str">
        <f>IF($K1196="","",IF($L1196="Crédit",$K1196,-$K1196))</f>
        <v/>
      </c>
      <c r="S1196" s="6" t="str">
        <f>IF($C1196="","",IFERROR(INDEX('Paramètres'!$H:$H,MATCH($C1196,'Paramètres'!$D:$D,0))&amp;"",""))</f>
        <v/>
      </c>
      <c r="T1196" s="6" t="str">
        <f>IF($K1196="","",IF($S1196="",0,IF(ISNUMBER(SEARCH("apport-exterieur",IFERROR(INDEX('Paramètres'!$N:$N,MATCH($D1196,'Paramètres'!$M:$M,0))&amp;"",""))),0,IF(OR(IFERROR(INDEX('Paramètres'!$I:$I,MATCH($C1196,'Paramètres'!$D:$D,0))&amp;"","")="Les deux",IFERROR(INDEX('Paramètres'!$I:$I,MATCH($C1196,'Paramètres'!$D:$D,0))&amp;"","")=IF($P1196=1,"Débit",$L1196)),-IF($P1196=1,-$K1196,$K1196),0))))</f>
        <v/>
      </c>
      <c r="U1196" s="6" t="str">
        <f>IF($K1196="","",IF(ISNUMBER(SEARCH("sortie-epargne",IFERROR(INDEX('Paramètres'!$N:$N,MATCH($D1196,'Paramètres'!$M:$M,0))&amp;"",""))),$K1196,0))</f>
        <v/>
      </c>
      <c r="V1196" s="6" t="str">
        <f>IF(AND($A1196&lt;&gt;"",$O1196=1,$L1196="Débit",N($Q1196)&gt;0,$A1196&gt;=Visualisation!$B$1,$A1196&lt;Visualisation!$D$1),MAX($V$1:V1195)+1,"")</f>
        <v/>
      </c>
    </row>
    <row r="1197" spans="1:22" x14ac:dyDescent="0.25">
      <c r="A1197" s="9"/>
      <c r="E1197" s="10"/>
      <c r="K1197" s="11" t="str">
        <f>IF($E1197="","",ROUND($E1197*IF(ISNA(MATCH($C1197,'Paramètres'!$D:$D,0)),1,IF(INDEX('Paramètres'!$J:$J,MATCH($C1197,'Paramètres'!$D:$D,0))="",1,INDEX('Paramètres'!$J:$J,MATCH($C1197,'Paramètres'!$D:$D,0)))),2))</f>
        <v/>
      </c>
      <c r="L1197" s="6" t="str">
        <f>IF($D1197="","",IF($F1197&lt;&gt;"",$F1197,IF(ISNA(MATCH($D1197,'Paramètres'!$M:$M,0)),"⚠ Type inconnu",IFERROR(INDEX('Paramètres'!$P:$P,MATCH($D1197,'Paramètres'!$M:$M,0))&amp;"",""))))</f>
        <v/>
      </c>
      <c r="M1197" s="6" t="str">
        <f>IF($D1197="","",IF(ISNA(MATCH($D1197,'Paramètres'!$M:$M,0)),"⚠ Type inconnu",IF($L1197="Crédit","",IFERROR(INDEX('Paramètres'!$O:$O,MATCH($D1197,'Paramètres'!$M:$M,0))&amp;"",""))))</f>
        <v/>
      </c>
      <c r="N1197" s="6" t="str">
        <f>IF($D1197="","",IFERROR(INDEX('Paramètres'!$Q:$Q,MATCH($D1197,'Paramètres'!$M:$M,0))&amp;"",""))</f>
        <v/>
      </c>
      <c r="O1197" s="6" t="str">
        <f>IF($A1197="","",IF(OR($J1197&lt;&gt;"x",$A1197&lt;=FinReleve),1,0))</f>
        <v/>
      </c>
      <c r="P1197" s="6" t="str">
        <f>IF($D1197="","",IF(AND($L1197="Crédit",OR(IFERROR(INDEX('Paramètres'!$O:$O,MATCH($D1197,'Paramètres'!$M:$M,0))&amp;"","")&lt;&gt;"",ISNUMBER(SEARCH("remboursement",IFERROR(INDEX('Paramètres'!$N:$N,MATCH($D1197,'Paramètres'!$M:$M,0))&amp;"",""))))),1,0))</f>
        <v/>
      </c>
      <c r="Q1197" s="6" t="str">
        <f>IF($K1197="","",IF(ISNUMBER(SEARCH("transfert-interne",IFERROR(INDEX('Paramètres'!$N:$N,MATCH($D1197,'Paramètres'!$M:$M,0))&amp;"",""))),0,IF($L1197="Débit",$K1197,IF($P1197=1,-$K1197,0))))</f>
        <v/>
      </c>
      <c r="R1197" s="6" t="str">
        <f>IF($K1197="","",IF($L1197="Crédit",$K1197,-$K1197))</f>
        <v/>
      </c>
      <c r="S1197" s="6" t="str">
        <f>IF($C1197="","",IFERROR(INDEX('Paramètres'!$H:$H,MATCH($C1197,'Paramètres'!$D:$D,0))&amp;"",""))</f>
        <v/>
      </c>
      <c r="T1197" s="6" t="str">
        <f>IF($K1197="","",IF($S1197="",0,IF(ISNUMBER(SEARCH("apport-exterieur",IFERROR(INDEX('Paramètres'!$N:$N,MATCH($D1197,'Paramètres'!$M:$M,0))&amp;"",""))),0,IF(OR(IFERROR(INDEX('Paramètres'!$I:$I,MATCH($C1197,'Paramètres'!$D:$D,0))&amp;"","")="Les deux",IFERROR(INDEX('Paramètres'!$I:$I,MATCH($C1197,'Paramètres'!$D:$D,0))&amp;"","")=IF($P1197=1,"Débit",$L1197)),-IF($P1197=1,-$K1197,$K1197),0))))</f>
        <v/>
      </c>
      <c r="U1197" s="6" t="str">
        <f>IF($K1197="","",IF(ISNUMBER(SEARCH("sortie-epargne",IFERROR(INDEX('Paramètres'!$N:$N,MATCH($D1197,'Paramètres'!$M:$M,0))&amp;"",""))),$K1197,0))</f>
        <v/>
      </c>
      <c r="V1197" s="6" t="str">
        <f>IF(AND($A1197&lt;&gt;"",$O1197=1,$L1197="Débit",N($Q1197)&gt;0,$A1197&gt;=Visualisation!$B$1,$A1197&lt;Visualisation!$D$1),MAX($V$1:V1196)+1,"")</f>
        <v/>
      </c>
    </row>
    <row r="1198" spans="1:22" x14ac:dyDescent="0.25">
      <c r="A1198" s="9"/>
      <c r="E1198" s="10"/>
      <c r="K1198" s="11" t="str">
        <f>IF($E1198="","",ROUND($E1198*IF(ISNA(MATCH($C1198,'Paramètres'!$D:$D,0)),1,IF(INDEX('Paramètres'!$J:$J,MATCH($C1198,'Paramètres'!$D:$D,0))="",1,INDEX('Paramètres'!$J:$J,MATCH($C1198,'Paramètres'!$D:$D,0)))),2))</f>
        <v/>
      </c>
      <c r="L1198" s="6" t="str">
        <f>IF($D1198="","",IF($F1198&lt;&gt;"",$F1198,IF(ISNA(MATCH($D1198,'Paramètres'!$M:$M,0)),"⚠ Type inconnu",IFERROR(INDEX('Paramètres'!$P:$P,MATCH($D1198,'Paramètres'!$M:$M,0))&amp;"",""))))</f>
        <v/>
      </c>
      <c r="M1198" s="6" t="str">
        <f>IF($D1198="","",IF(ISNA(MATCH($D1198,'Paramètres'!$M:$M,0)),"⚠ Type inconnu",IF($L1198="Crédit","",IFERROR(INDEX('Paramètres'!$O:$O,MATCH($D1198,'Paramètres'!$M:$M,0))&amp;"",""))))</f>
        <v/>
      </c>
      <c r="N1198" s="6" t="str">
        <f>IF($D1198="","",IFERROR(INDEX('Paramètres'!$Q:$Q,MATCH($D1198,'Paramètres'!$M:$M,0))&amp;"",""))</f>
        <v/>
      </c>
      <c r="O1198" s="6" t="str">
        <f>IF($A1198="","",IF(OR($J1198&lt;&gt;"x",$A1198&lt;=FinReleve),1,0))</f>
        <v/>
      </c>
      <c r="P1198" s="6" t="str">
        <f>IF($D1198="","",IF(AND($L1198="Crédit",OR(IFERROR(INDEX('Paramètres'!$O:$O,MATCH($D1198,'Paramètres'!$M:$M,0))&amp;"","")&lt;&gt;"",ISNUMBER(SEARCH("remboursement",IFERROR(INDEX('Paramètres'!$N:$N,MATCH($D1198,'Paramètres'!$M:$M,0))&amp;"",""))))),1,0))</f>
        <v/>
      </c>
      <c r="Q1198" s="6" t="str">
        <f>IF($K1198="","",IF(ISNUMBER(SEARCH("transfert-interne",IFERROR(INDEX('Paramètres'!$N:$N,MATCH($D1198,'Paramètres'!$M:$M,0))&amp;"",""))),0,IF($L1198="Débit",$K1198,IF($P1198=1,-$K1198,0))))</f>
        <v/>
      </c>
      <c r="R1198" s="6" t="str">
        <f>IF($K1198="","",IF($L1198="Crédit",$K1198,-$K1198))</f>
        <v/>
      </c>
      <c r="S1198" s="6" t="str">
        <f>IF($C1198="","",IFERROR(INDEX('Paramètres'!$H:$H,MATCH($C1198,'Paramètres'!$D:$D,0))&amp;"",""))</f>
        <v/>
      </c>
      <c r="T1198" s="6" t="str">
        <f>IF($K1198="","",IF($S1198="",0,IF(ISNUMBER(SEARCH("apport-exterieur",IFERROR(INDEX('Paramètres'!$N:$N,MATCH($D1198,'Paramètres'!$M:$M,0))&amp;"",""))),0,IF(OR(IFERROR(INDEX('Paramètres'!$I:$I,MATCH($C1198,'Paramètres'!$D:$D,0))&amp;"","")="Les deux",IFERROR(INDEX('Paramètres'!$I:$I,MATCH($C1198,'Paramètres'!$D:$D,0))&amp;"","")=IF($P1198=1,"Débit",$L1198)),-IF($P1198=1,-$K1198,$K1198),0))))</f>
        <v/>
      </c>
      <c r="U1198" s="6" t="str">
        <f>IF($K1198="","",IF(ISNUMBER(SEARCH("sortie-epargne",IFERROR(INDEX('Paramètres'!$N:$N,MATCH($D1198,'Paramètres'!$M:$M,0))&amp;"",""))),$K1198,0))</f>
        <v/>
      </c>
      <c r="V1198" s="6" t="str">
        <f>IF(AND($A1198&lt;&gt;"",$O1198=1,$L1198="Débit",N($Q1198)&gt;0,$A1198&gt;=Visualisation!$B$1,$A1198&lt;Visualisation!$D$1),MAX($V$1:V1197)+1,"")</f>
        <v/>
      </c>
    </row>
    <row r="1199" spans="1:22" x14ac:dyDescent="0.25">
      <c r="A1199" s="9"/>
      <c r="E1199" s="10"/>
      <c r="K1199" s="11" t="str">
        <f>IF($E1199="","",ROUND($E1199*IF(ISNA(MATCH($C1199,'Paramètres'!$D:$D,0)),1,IF(INDEX('Paramètres'!$J:$J,MATCH($C1199,'Paramètres'!$D:$D,0))="",1,INDEX('Paramètres'!$J:$J,MATCH($C1199,'Paramètres'!$D:$D,0)))),2))</f>
        <v/>
      </c>
      <c r="L1199" s="6" t="str">
        <f>IF($D1199="","",IF($F1199&lt;&gt;"",$F1199,IF(ISNA(MATCH($D1199,'Paramètres'!$M:$M,0)),"⚠ Type inconnu",IFERROR(INDEX('Paramètres'!$P:$P,MATCH($D1199,'Paramètres'!$M:$M,0))&amp;"",""))))</f>
        <v/>
      </c>
      <c r="M1199" s="6" t="str">
        <f>IF($D1199="","",IF(ISNA(MATCH($D1199,'Paramètres'!$M:$M,0)),"⚠ Type inconnu",IF($L1199="Crédit","",IFERROR(INDEX('Paramètres'!$O:$O,MATCH($D1199,'Paramètres'!$M:$M,0))&amp;"",""))))</f>
        <v/>
      </c>
      <c r="N1199" s="6" t="str">
        <f>IF($D1199="","",IFERROR(INDEX('Paramètres'!$Q:$Q,MATCH($D1199,'Paramètres'!$M:$M,0))&amp;"",""))</f>
        <v/>
      </c>
      <c r="O1199" s="6" t="str">
        <f>IF($A1199="","",IF(OR($J1199&lt;&gt;"x",$A1199&lt;=FinReleve),1,0))</f>
        <v/>
      </c>
      <c r="P1199" s="6" t="str">
        <f>IF($D1199="","",IF(AND($L1199="Crédit",OR(IFERROR(INDEX('Paramètres'!$O:$O,MATCH($D1199,'Paramètres'!$M:$M,0))&amp;"","")&lt;&gt;"",ISNUMBER(SEARCH("remboursement",IFERROR(INDEX('Paramètres'!$N:$N,MATCH($D1199,'Paramètres'!$M:$M,0))&amp;"",""))))),1,0))</f>
        <v/>
      </c>
      <c r="Q1199" s="6" t="str">
        <f>IF($K1199="","",IF(ISNUMBER(SEARCH("transfert-interne",IFERROR(INDEX('Paramètres'!$N:$N,MATCH($D1199,'Paramètres'!$M:$M,0))&amp;"",""))),0,IF($L1199="Débit",$K1199,IF($P1199=1,-$K1199,0))))</f>
        <v/>
      </c>
      <c r="R1199" s="6" t="str">
        <f>IF($K1199="","",IF($L1199="Crédit",$K1199,-$K1199))</f>
        <v/>
      </c>
      <c r="S1199" s="6" t="str">
        <f>IF($C1199="","",IFERROR(INDEX('Paramètres'!$H:$H,MATCH($C1199,'Paramètres'!$D:$D,0))&amp;"",""))</f>
        <v/>
      </c>
      <c r="T1199" s="6" t="str">
        <f>IF($K1199="","",IF($S1199="",0,IF(ISNUMBER(SEARCH("apport-exterieur",IFERROR(INDEX('Paramètres'!$N:$N,MATCH($D1199,'Paramètres'!$M:$M,0))&amp;"",""))),0,IF(OR(IFERROR(INDEX('Paramètres'!$I:$I,MATCH($C1199,'Paramètres'!$D:$D,0))&amp;"","")="Les deux",IFERROR(INDEX('Paramètres'!$I:$I,MATCH($C1199,'Paramètres'!$D:$D,0))&amp;"","")=IF($P1199=1,"Débit",$L1199)),-IF($P1199=1,-$K1199,$K1199),0))))</f>
        <v/>
      </c>
      <c r="U1199" s="6" t="str">
        <f>IF($K1199="","",IF(ISNUMBER(SEARCH("sortie-epargne",IFERROR(INDEX('Paramètres'!$N:$N,MATCH($D1199,'Paramètres'!$M:$M,0))&amp;"",""))),$K1199,0))</f>
        <v/>
      </c>
      <c r="V1199" s="6" t="str">
        <f>IF(AND($A1199&lt;&gt;"",$O1199=1,$L1199="Débit",N($Q1199)&gt;0,$A1199&gt;=Visualisation!$B$1,$A1199&lt;Visualisation!$D$1),MAX($V$1:V1198)+1,"")</f>
        <v/>
      </c>
    </row>
    <row r="1200" spans="1:22" x14ac:dyDescent="0.25">
      <c r="A1200" s="9"/>
      <c r="E1200" s="10"/>
      <c r="K1200" s="11" t="str">
        <f>IF($E1200="","",ROUND($E1200*IF(ISNA(MATCH($C1200,'Paramètres'!$D:$D,0)),1,IF(INDEX('Paramètres'!$J:$J,MATCH($C1200,'Paramètres'!$D:$D,0))="",1,INDEX('Paramètres'!$J:$J,MATCH($C1200,'Paramètres'!$D:$D,0)))),2))</f>
        <v/>
      </c>
      <c r="L1200" s="6" t="str">
        <f>IF($D1200="","",IF($F1200&lt;&gt;"",$F1200,IF(ISNA(MATCH($D1200,'Paramètres'!$M:$M,0)),"⚠ Type inconnu",IFERROR(INDEX('Paramètres'!$P:$P,MATCH($D1200,'Paramètres'!$M:$M,0))&amp;"",""))))</f>
        <v/>
      </c>
      <c r="M1200" s="6" t="str">
        <f>IF($D1200="","",IF(ISNA(MATCH($D1200,'Paramètres'!$M:$M,0)),"⚠ Type inconnu",IF($L1200="Crédit","",IFERROR(INDEX('Paramètres'!$O:$O,MATCH($D1200,'Paramètres'!$M:$M,0))&amp;"",""))))</f>
        <v/>
      </c>
      <c r="N1200" s="6" t="str">
        <f>IF($D1200="","",IFERROR(INDEX('Paramètres'!$Q:$Q,MATCH($D1200,'Paramètres'!$M:$M,0))&amp;"",""))</f>
        <v/>
      </c>
      <c r="O1200" s="6" t="str">
        <f>IF($A1200="","",IF(OR($J1200&lt;&gt;"x",$A1200&lt;=FinReleve),1,0))</f>
        <v/>
      </c>
      <c r="P1200" s="6" t="str">
        <f>IF($D1200="","",IF(AND($L1200="Crédit",OR(IFERROR(INDEX('Paramètres'!$O:$O,MATCH($D1200,'Paramètres'!$M:$M,0))&amp;"","")&lt;&gt;"",ISNUMBER(SEARCH("remboursement",IFERROR(INDEX('Paramètres'!$N:$N,MATCH($D1200,'Paramètres'!$M:$M,0))&amp;"",""))))),1,0))</f>
        <v/>
      </c>
      <c r="Q1200" s="6" t="str">
        <f>IF($K1200="","",IF(ISNUMBER(SEARCH("transfert-interne",IFERROR(INDEX('Paramètres'!$N:$N,MATCH($D1200,'Paramètres'!$M:$M,0))&amp;"",""))),0,IF($L1200="Débit",$K1200,IF($P1200=1,-$K1200,0))))</f>
        <v/>
      </c>
      <c r="R1200" s="6" t="str">
        <f>IF($K1200="","",IF($L1200="Crédit",$K1200,-$K1200))</f>
        <v/>
      </c>
      <c r="S1200" s="6" t="str">
        <f>IF($C1200="","",IFERROR(INDEX('Paramètres'!$H:$H,MATCH($C1200,'Paramètres'!$D:$D,0))&amp;"",""))</f>
        <v/>
      </c>
      <c r="T1200" s="6" t="str">
        <f>IF($K1200="","",IF($S1200="",0,IF(ISNUMBER(SEARCH("apport-exterieur",IFERROR(INDEX('Paramètres'!$N:$N,MATCH($D1200,'Paramètres'!$M:$M,0))&amp;"",""))),0,IF(OR(IFERROR(INDEX('Paramètres'!$I:$I,MATCH($C1200,'Paramètres'!$D:$D,0))&amp;"","")="Les deux",IFERROR(INDEX('Paramètres'!$I:$I,MATCH($C1200,'Paramètres'!$D:$D,0))&amp;"","")=IF($P1200=1,"Débit",$L1200)),-IF($P1200=1,-$K1200,$K1200),0))))</f>
        <v/>
      </c>
      <c r="U1200" s="6" t="str">
        <f>IF($K1200="","",IF(ISNUMBER(SEARCH("sortie-epargne",IFERROR(INDEX('Paramètres'!$N:$N,MATCH($D1200,'Paramètres'!$M:$M,0))&amp;"",""))),$K1200,0))</f>
        <v/>
      </c>
      <c r="V1200" s="6" t="str">
        <f>IF(AND($A1200&lt;&gt;"",$O1200=1,$L1200="Débit",N($Q1200)&gt;0,$A1200&gt;=Visualisation!$B$1,$A1200&lt;Visualisation!$D$1),MAX($V$1:V1199)+1,"")</f>
        <v/>
      </c>
    </row>
    <row r="1201" spans="1:22" x14ac:dyDescent="0.25">
      <c r="A1201" s="9"/>
      <c r="E1201" s="10"/>
      <c r="K1201" s="11" t="str">
        <f>IF($E1201="","",ROUND($E1201*IF(ISNA(MATCH($C1201,'Paramètres'!$D:$D,0)),1,IF(INDEX('Paramètres'!$J:$J,MATCH($C1201,'Paramètres'!$D:$D,0))="",1,INDEX('Paramètres'!$J:$J,MATCH($C1201,'Paramètres'!$D:$D,0)))),2))</f>
        <v/>
      </c>
      <c r="L1201" s="6" t="str">
        <f>IF($D1201="","",IF($F1201&lt;&gt;"",$F1201,IF(ISNA(MATCH($D1201,'Paramètres'!$M:$M,0)),"⚠ Type inconnu",IFERROR(INDEX('Paramètres'!$P:$P,MATCH($D1201,'Paramètres'!$M:$M,0))&amp;"",""))))</f>
        <v/>
      </c>
      <c r="M1201" s="6" t="str">
        <f>IF($D1201="","",IF(ISNA(MATCH($D1201,'Paramètres'!$M:$M,0)),"⚠ Type inconnu",IF($L1201="Crédit","",IFERROR(INDEX('Paramètres'!$O:$O,MATCH($D1201,'Paramètres'!$M:$M,0))&amp;"",""))))</f>
        <v/>
      </c>
      <c r="N1201" s="6" t="str">
        <f>IF($D1201="","",IFERROR(INDEX('Paramètres'!$Q:$Q,MATCH($D1201,'Paramètres'!$M:$M,0))&amp;"",""))</f>
        <v/>
      </c>
      <c r="O1201" s="6" t="str">
        <f>IF($A1201="","",IF(OR($J1201&lt;&gt;"x",$A1201&lt;=FinReleve),1,0))</f>
        <v/>
      </c>
      <c r="P1201" s="6" t="str">
        <f>IF($D1201="","",IF(AND($L1201="Crédit",OR(IFERROR(INDEX('Paramètres'!$O:$O,MATCH($D1201,'Paramètres'!$M:$M,0))&amp;"","")&lt;&gt;"",ISNUMBER(SEARCH("remboursement",IFERROR(INDEX('Paramètres'!$N:$N,MATCH($D1201,'Paramètres'!$M:$M,0))&amp;"",""))))),1,0))</f>
        <v/>
      </c>
      <c r="Q1201" s="6" t="str">
        <f>IF($K1201="","",IF(ISNUMBER(SEARCH("transfert-interne",IFERROR(INDEX('Paramètres'!$N:$N,MATCH($D1201,'Paramètres'!$M:$M,0))&amp;"",""))),0,IF($L1201="Débit",$K1201,IF($P1201=1,-$K1201,0))))</f>
        <v/>
      </c>
      <c r="R1201" s="6" t="str">
        <f>IF($K1201="","",IF($L1201="Crédit",$K1201,-$K1201))</f>
        <v/>
      </c>
      <c r="S1201" s="6" t="str">
        <f>IF($C1201="","",IFERROR(INDEX('Paramètres'!$H:$H,MATCH($C1201,'Paramètres'!$D:$D,0))&amp;"",""))</f>
        <v/>
      </c>
      <c r="T1201" s="6" t="str">
        <f>IF($K1201="","",IF($S1201="",0,IF(ISNUMBER(SEARCH("apport-exterieur",IFERROR(INDEX('Paramètres'!$N:$N,MATCH($D1201,'Paramètres'!$M:$M,0))&amp;"",""))),0,IF(OR(IFERROR(INDEX('Paramètres'!$I:$I,MATCH($C1201,'Paramètres'!$D:$D,0))&amp;"","")="Les deux",IFERROR(INDEX('Paramètres'!$I:$I,MATCH($C1201,'Paramètres'!$D:$D,0))&amp;"","")=IF($P1201=1,"Débit",$L1201)),-IF($P1201=1,-$K1201,$K1201),0))))</f>
        <v/>
      </c>
      <c r="U1201" s="6" t="str">
        <f>IF($K1201="","",IF(ISNUMBER(SEARCH("sortie-epargne",IFERROR(INDEX('Paramètres'!$N:$N,MATCH($D1201,'Paramètres'!$M:$M,0))&amp;"",""))),$K1201,0))</f>
        <v/>
      </c>
      <c r="V1201" s="6" t="str">
        <f>IF(AND($A1201&lt;&gt;"",$O1201=1,$L1201="Débit",N($Q1201)&gt;0,$A1201&gt;=Visualisation!$B$1,$A1201&lt;Visualisation!$D$1),MAX($V$1:V1200)+1,"")</f>
        <v/>
      </c>
    </row>
    <row r="1202" spans="1:22" x14ac:dyDescent="0.25">
      <c r="A1202" s="9"/>
      <c r="E1202" s="10"/>
      <c r="K1202" s="11" t="str">
        <f>IF($E1202="","",ROUND($E1202*IF(ISNA(MATCH($C1202,'Paramètres'!$D:$D,0)),1,IF(INDEX('Paramètres'!$J:$J,MATCH($C1202,'Paramètres'!$D:$D,0))="",1,INDEX('Paramètres'!$J:$J,MATCH($C1202,'Paramètres'!$D:$D,0)))),2))</f>
        <v/>
      </c>
      <c r="L1202" s="6" t="str">
        <f>IF($D1202="","",IF($F1202&lt;&gt;"",$F1202,IF(ISNA(MATCH($D1202,'Paramètres'!$M:$M,0)),"⚠ Type inconnu",IFERROR(INDEX('Paramètres'!$P:$P,MATCH($D1202,'Paramètres'!$M:$M,0))&amp;"",""))))</f>
        <v/>
      </c>
      <c r="M1202" s="6" t="str">
        <f>IF($D1202="","",IF(ISNA(MATCH($D1202,'Paramètres'!$M:$M,0)),"⚠ Type inconnu",IF($L1202="Crédit","",IFERROR(INDEX('Paramètres'!$O:$O,MATCH($D1202,'Paramètres'!$M:$M,0))&amp;"",""))))</f>
        <v/>
      </c>
      <c r="N1202" s="6" t="str">
        <f>IF($D1202="","",IFERROR(INDEX('Paramètres'!$Q:$Q,MATCH($D1202,'Paramètres'!$M:$M,0))&amp;"",""))</f>
        <v/>
      </c>
      <c r="O1202" s="6" t="str">
        <f>IF($A1202="","",IF(OR($J1202&lt;&gt;"x",$A1202&lt;=FinReleve),1,0))</f>
        <v/>
      </c>
      <c r="P1202" s="6" t="str">
        <f>IF($D1202="","",IF(AND($L1202="Crédit",OR(IFERROR(INDEX('Paramètres'!$O:$O,MATCH($D1202,'Paramètres'!$M:$M,0))&amp;"","")&lt;&gt;"",ISNUMBER(SEARCH("remboursement",IFERROR(INDEX('Paramètres'!$N:$N,MATCH($D1202,'Paramètres'!$M:$M,0))&amp;"",""))))),1,0))</f>
        <v/>
      </c>
      <c r="Q1202" s="6" t="str">
        <f>IF($K1202="","",IF(ISNUMBER(SEARCH("transfert-interne",IFERROR(INDEX('Paramètres'!$N:$N,MATCH($D1202,'Paramètres'!$M:$M,0))&amp;"",""))),0,IF($L1202="Débit",$K1202,IF($P1202=1,-$K1202,0))))</f>
        <v/>
      </c>
      <c r="R1202" s="6" t="str">
        <f>IF($K1202="","",IF($L1202="Crédit",$K1202,-$K1202))</f>
        <v/>
      </c>
      <c r="S1202" s="6" t="str">
        <f>IF($C1202="","",IFERROR(INDEX('Paramètres'!$H:$H,MATCH($C1202,'Paramètres'!$D:$D,0))&amp;"",""))</f>
        <v/>
      </c>
      <c r="T1202" s="6" t="str">
        <f>IF($K1202="","",IF($S1202="",0,IF(ISNUMBER(SEARCH("apport-exterieur",IFERROR(INDEX('Paramètres'!$N:$N,MATCH($D1202,'Paramètres'!$M:$M,0))&amp;"",""))),0,IF(OR(IFERROR(INDEX('Paramètres'!$I:$I,MATCH($C1202,'Paramètres'!$D:$D,0))&amp;"","")="Les deux",IFERROR(INDEX('Paramètres'!$I:$I,MATCH($C1202,'Paramètres'!$D:$D,0))&amp;"","")=IF($P1202=1,"Débit",$L1202)),-IF($P1202=1,-$K1202,$K1202),0))))</f>
        <v/>
      </c>
      <c r="U1202" s="6" t="str">
        <f>IF($K1202="","",IF(ISNUMBER(SEARCH("sortie-epargne",IFERROR(INDEX('Paramètres'!$N:$N,MATCH($D1202,'Paramètres'!$M:$M,0))&amp;"",""))),$K1202,0))</f>
        <v/>
      </c>
      <c r="V1202" s="6" t="str">
        <f>IF(AND($A1202&lt;&gt;"",$O1202=1,$L1202="Débit",N($Q1202)&gt;0,$A1202&gt;=Visualisation!$B$1,$A1202&lt;Visualisation!$D$1),MAX($V$1:V1201)+1,"")</f>
        <v/>
      </c>
    </row>
    <row r="1203" spans="1:22" x14ac:dyDescent="0.25">
      <c r="A1203" s="9"/>
      <c r="E1203" s="10"/>
      <c r="K1203" s="11" t="str">
        <f>IF($E1203="","",ROUND($E1203*IF(ISNA(MATCH($C1203,'Paramètres'!$D:$D,0)),1,IF(INDEX('Paramètres'!$J:$J,MATCH($C1203,'Paramètres'!$D:$D,0))="",1,INDEX('Paramètres'!$J:$J,MATCH($C1203,'Paramètres'!$D:$D,0)))),2))</f>
        <v/>
      </c>
      <c r="L1203" s="6" t="str">
        <f>IF($D1203="","",IF($F1203&lt;&gt;"",$F1203,IF(ISNA(MATCH($D1203,'Paramètres'!$M:$M,0)),"⚠ Type inconnu",IFERROR(INDEX('Paramètres'!$P:$P,MATCH($D1203,'Paramètres'!$M:$M,0))&amp;"",""))))</f>
        <v/>
      </c>
      <c r="M1203" s="6" t="str">
        <f>IF($D1203="","",IF(ISNA(MATCH($D1203,'Paramètres'!$M:$M,0)),"⚠ Type inconnu",IF($L1203="Crédit","",IFERROR(INDEX('Paramètres'!$O:$O,MATCH($D1203,'Paramètres'!$M:$M,0))&amp;"",""))))</f>
        <v/>
      </c>
      <c r="N1203" s="6" t="str">
        <f>IF($D1203="","",IFERROR(INDEX('Paramètres'!$Q:$Q,MATCH($D1203,'Paramètres'!$M:$M,0))&amp;"",""))</f>
        <v/>
      </c>
      <c r="O1203" s="6" t="str">
        <f>IF($A1203="","",IF(OR($J1203&lt;&gt;"x",$A1203&lt;=FinReleve),1,0))</f>
        <v/>
      </c>
      <c r="P1203" s="6" t="str">
        <f>IF($D1203="","",IF(AND($L1203="Crédit",OR(IFERROR(INDEX('Paramètres'!$O:$O,MATCH($D1203,'Paramètres'!$M:$M,0))&amp;"","")&lt;&gt;"",ISNUMBER(SEARCH("remboursement",IFERROR(INDEX('Paramètres'!$N:$N,MATCH($D1203,'Paramètres'!$M:$M,0))&amp;"",""))))),1,0))</f>
        <v/>
      </c>
      <c r="Q1203" s="6" t="str">
        <f>IF($K1203="","",IF(ISNUMBER(SEARCH("transfert-interne",IFERROR(INDEX('Paramètres'!$N:$N,MATCH($D1203,'Paramètres'!$M:$M,0))&amp;"",""))),0,IF($L1203="Débit",$K1203,IF($P1203=1,-$K1203,0))))</f>
        <v/>
      </c>
      <c r="R1203" s="6" t="str">
        <f>IF($K1203="","",IF($L1203="Crédit",$K1203,-$K1203))</f>
        <v/>
      </c>
      <c r="S1203" s="6" t="str">
        <f>IF($C1203="","",IFERROR(INDEX('Paramètres'!$H:$H,MATCH($C1203,'Paramètres'!$D:$D,0))&amp;"",""))</f>
        <v/>
      </c>
      <c r="T1203" s="6" t="str">
        <f>IF($K1203="","",IF($S1203="",0,IF(ISNUMBER(SEARCH("apport-exterieur",IFERROR(INDEX('Paramètres'!$N:$N,MATCH($D1203,'Paramètres'!$M:$M,0))&amp;"",""))),0,IF(OR(IFERROR(INDEX('Paramètres'!$I:$I,MATCH($C1203,'Paramètres'!$D:$D,0))&amp;"","")="Les deux",IFERROR(INDEX('Paramètres'!$I:$I,MATCH($C1203,'Paramètres'!$D:$D,0))&amp;"","")=IF($P1203=1,"Débit",$L1203)),-IF($P1203=1,-$K1203,$K1203),0))))</f>
        <v/>
      </c>
      <c r="U1203" s="6" t="str">
        <f>IF($K1203="","",IF(ISNUMBER(SEARCH("sortie-epargne",IFERROR(INDEX('Paramètres'!$N:$N,MATCH($D1203,'Paramètres'!$M:$M,0))&amp;"",""))),$K1203,0))</f>
        <v/>
      </c>
      <c r="V1203" s="6" t="str">
        <f>IF(AND($A1203&lt;&gt;"",$O1203=1,$L1203="Débit",N($Q1203)&gt;0,$A1203&gt;=Visualisation!$B$1,$A1203&lt;Visualisation!$D$1),MAX($V$1:V1202)+1,"")</f>
        <v/>
      </c>
    </row>
    <row r="1204" spans="1:22" x14ac:dyDescent="0.25">
      <c r="A1204" s="9"/>
      <c r="E1204" s="10"/>
      <c r="K1204" s="11" t="str">
        <f>IF($E1204="","",ROUND($E1204*IF(ISNA(MATCH($C1204,'Paramètres'!$D:$D,0)),1,IF(INDEX('Paramètres'!$J:$J,MATCH($C1204,'Paramètres'!$D:$D,0))="",1,INDEX('Paramètres'!$J:$J,MATCH($C1204,'Paramètres'!$D:$D,0)))),2))</f>
        <v/>
      </c>
      <c r="L1204" s="6" t="str">
        <f>IF($D1204="","",IF($F1204&lt;&gt;"",$F1204,IF(ISNA(MATCH($D1204,'Paramètres'!$M:$M,0)),"⚠ Type inconnu",IFERROR(INDEX('Paramètres'!$P:$P,MATCH($D1204,'Paramètres'!$M:$M,0))&amp;"",""))))</f>
        <v/>
      </c>
      <c r="M1204" s="6" t="str">
        <f>IF($D1204="","",IF(ISNA(MATCH($D1204,'Paramètres'!$M:$M,0)),"⚠ Type inconnu",IF($L1204="Crédit","",IFERROR(INDEX('Paramètres'!$O:$O,MATCH($D1204,'Paramètres'!$M:$M,0))&amp;"",""))))</f>
        <v/>
      </c>
      <c r="N1204" s="6" t="str">
        <f>IF($D1204="","",IFERROR(INDEX('Paramètres'!$Q:$Q,MATCH($D1204,'Paramètres'!$M:$M,0))&amp;"",""))</f>
        <v/>
      </c>
      <c r="O1204" s="6" t="str">
        <f>IF($A1204="","",IF(OR($J1204&lt;&gt;"x",$A1204&lt;=FinReleve),1,0))</f>
        <v/>
      </c>
      <c r="P1204" s="6" t="str">
        <f>IF($D1204="","",IF(AND($L1204="Crédit",OR(IFERROR(INDEX('Paramètres'!$O:$O,MATCH($D1204,'Paramètres'!$M:$M,0))&amp;"","")&lt;&gt;"",ISNUMBER(SEARCH("remboursement",IFERROR(INDEX('Paramètres'!$N:$N,MATCH($D1204,'Paramètres'!$M:$M,0))&amp;"",""))))),1,0))</f>
        <v/>
      </c>
      <c r="Q1204" s="6" t="str">
        <f>IF($K1204="","",IF(ISNUMBER(SEARCH("transfert-interne",IFERROR(INDEX('Paramètres'!$N:$N,MATCH($D1204,'Paramètres'!$M:$M,0))&amp;"",""))),0,IF($L1204="Débit",$K1204,IF($P1204=1,-$K1204,0))))</f>
        <v/>
      </c>
      <c r="R1204" s="6" t="str">
        <f>IF($K1204="","",IF($L1204="Crédit",$K1204,-$K1204))</f>
        <v/>
      </c>
      <c r="S1204" s="6" t="str">
        <f>IF($C1204="","",IFERROR(INDEX('Paramètres'!$H:$H,MATCH($C1204,'Paramètres'!$D:$D,0))&amp;"",""))</f>
        <v/>
      </c>
      <c r="T1204" s="6" t="str">
        <f>IF($K1204="","",IF($S1204="",0,IF(ISNUMBER(SEARCH("apport-exterieur",IFERROR(INDEX('Paramètres'!$N:$N,MATCH($D1204,'Paramètres'!$M:$M,0))&amp;"",""))),0,IF(OR(IFERROR(INDEX('Paramètres'!$I:$I,MATCH($C1204,'Paramètres'!$D:$D,0))&amp;"","")="Les deux",IFERROR(INDEX('Paramètres'!$I:$I,MATCH($C1204,'Paramètres'!$D:$D,0))&amp;"","")=IF($P1204=1,"Débit",$L1204)),-IF($P1204=1,-$K1204,$K1204),0))))</f>
        <v/>
      </c>
      <c r="U1204" s="6" t="str">
        <f>IF($K1204="","",IF(ISNUMBER(SEARCH("sortie-epargne",IFERROR(INDEX('Paramètres'!$N:$N,MATCH($D1204,'Paramètres'!$M:$M,0))&amp;"",""))),$K1204,0))</f>
        <v/>
      </c>
      <c r="V1204" s="6" t="str">
        <f>IF(AND($A1204&lt;&gt;"",$O1204=1,$L1204="Débit",N($Q1204)&gt;0,$A1204&gt;=Visualisation!$B$1,$A1204&lt;Visualisation!$D$1),MAX($V$1:V1203)+1,"")</f>
        <v/>
      </c>
    </row>
    <row r="1205" spans="1:22" x14ac:dyDescent="0.25">
      <c r="A1205" s="9"/>
      <c r="E1205" s="10"/>
      <c r="K1205" s="11" t="str">
        <f>IF($E1205="","",ROUND($E1205*IF(ISNA(MATCH($C1205,'Paramètres'!$D:$D,0)),1,IF(INDEX('Paramètres'!$J:$J,MATCH($C1205,'Paramètres'!$D:$D,0))="",1,INDEX('Paramètres'!$J:$J,MATCH($C1205,'Paramètres'!$D:$D,0)))),2))</f>
        <v/>
      </c>
      <c r="L1205" s="6" t="str">
        <f>IF($D1205="","",IF($F1205&lt;&gt;"",$F1205,IF(ISNA(MATCH($D1205,'Paramètres'!$M:$M,0)),"⚠ Type inconnu",IFERROR(INDEX('Paramètres'!$P:$P,MATCH($D1205,'Paramètres'!$M:$M,0))&amp;"",""))))</f>
        <v/>
      </c>
      <c r="M1205" s="6" t="str">
        <f>IF($D1205="","",IF(ISNA(MATCH($D1205,'Paramètres'!$M:$M,0)),"⚠ Type inconnu",IF($L1205="Crédit","",IFERROR(INDEX('Paramètres'!$O:$O,MATCH($D1205,'Paramètres'!$M:$M,0))&amp;"",""))))</f>
        <v/>
      </c>
      <c r="N1205" s="6" t="str">
        <f>IF($D1205="","",IFERROR(INDEX('Paramètres'!$Q:$Q,MATCH($D1205,'Paramètres'!$M:$M,0))&amp;"",""))</f>
        <v/>
      </c>
      <c r="O1205" s="6" t="str">
        <f>IF($A1205="","",IF(OR($J1205&lt;&gt;"x",$A1205&lt;=FinReleve),1,0))</f>
        <v/>
      </c>
      <c r="P1205" s="6" t="str">
        <f>IF($D1205="","",IF(AND($L1205="Crédit",OR(IFERROR(INDEX('Paramètres'!$O:$O,MATCH($D1205,'Paramètres'!$M:$M,0))&amp;"","")&lt;&gt;"",ISNUMBER(SEARCH("remboursement",IFERROR(INDEX('Paramètres'!$N:$N,MATCH($D1205,'Paramètres'!$M:$M,0))&amp;"",""))))),1,0))</f>
        <v/>
      </c>
      <c r="Q1205" s="6" t="str">
        <f>IF($K1205="","",IF(ISNUMBER(SEARCH("transfert-interne",IFERROR(INDEX('Paramètres'!$N:$N,MATCH($D1205,'Paramètres'!$M:$M,0))&amp;"",""))),0,IF($L1205="Débit",$K1205,IF($P1205=1,-$K1205,0))))</f>
        <v/>
      </c>
      <c r="R1205" s="6" t="str">
        <f>IF($K1205="","",IF($L1205="Crédit",$K1205,-$K1205))</f>
        <v/>
      </c>
      <c r="S1205" s="6" t="str">
        <f>IF($C1205="","",IFERROR(INDEX('Paramètres'!$H:$H,MATCH($C1205,'Paramètres'!$D:$D,0))&amp;"",""))</f>
        <v/>
      </c>
      <c r="T1205" s="6" t="str">
        <f>IF($K1205="","",IF($S1205="",0,IF(ISNUMBER(SEARCH("apport-exterieur",IFERROR(INDEX('Paramètres'!$N:$N,MATCH($D1205,'Paramètres'!$M:$M,0))&amp;"",""))),0,IF(OR(IFERROR(INDEX('Paramètres'!$I:$I,MATCH($C1205,'Paramètres'!$D:$D,0))&amp;"","")="Les deux",IFERROR(INDEX('Paramètres'!$I:$I,MATCH($C1205,'Paramètres'!$D:$D,0))&amp;"","")=IF($P1205=1,"Débit",$L1205)),-IF($P1205=1,-$K1205,$K1205),0))))</f>
        <v/>
      </c>
      <c r="U1205" s="6" t="str">
        <f>IF($K1205="","",IF(ISNUMBER(SEARCH("sortie-epargne",IFERROR(INDEX('Paramètres'!$N:$N,MATCH($D1205,'Paramètres'!$M:$M,0))&amp;"",""))),$K1205,0))</f>
        <v/>
      </c>
      <c r="V1205" s="6" t="str">
        <f>IF(AND($A1205&lt;&gt;"",$O1205=1,$L1205="Débit",N($Q1205)&gt;0,$A1205&gt;=Visualisation!$B$1,$A1205&lt;Visualisation!$D$1),MAX($V$1:V1204)+1,"")</f>
        <v/>
      </c>
    </row>
    <row r="1206" spans="1:22" x14ac:dyDescent="0.25">
      <c r="A1206" s="9"/>
      <c r="E1206" s="10"/>
      <c r="K1206" s="11" t="str">
        <f>IF($E1206="","",ROUND($E1206*IF(ISNA(MATCH($C1206,'Paramètres'!$D:$D,0)),1,IF(INDEX('Paramètres'!$J:$J,MATCH($C1206,'Paramètres'!$D:$D,0))="",1,INDEX('Paramètres'!$J:$J,MATCH($C1206,'Paramètres'!$D:$D,0)))),2))</f>
        <v/>
      </c>
      <c r="L1206" s="6" t="str">
        <f>IF($D1206="","",IF($F1206&lt;&gt;"",$F1206,IF(ISNA(MATCH($D1206,'Paramètres'!$M:$M,0)),"⚠ Type inconnu",IFERROR(INDEX('Paramètres'!$P:$P,MATCH($D1206,'Paramètres'!$M:$M,0))&amp;"",""))))</f>
        <v/>
      </c>
      <c r="M1206" s="6" t="str">
        <f>IF($D1206="","",IF(ISNA(MATCH($D1206,'Paramètres'!$M:$M,0)),"⚠ Type inconnu",IF($L1206="Crédit","",IFERROR(INDEX('Paramètres'!$O:$O,MATCH($D1206,'Paramètres'!$M:$M,0))&amp;"",""))))</f>
        <v/>
      </c>
      <c r="N1206" s="6" t="str">
        <f>IF($D1206="","",IFERROR(INDEX('Paramètres'!$Q:$Q,MATCH($D1206,'Paramètres'!$M:$M,0))&amp;"",""))</f>
        <v/>
      </c>
      <c r="O1206" s="6" t="str">
        <f>IF($A1206="","",IF(OR($J1206&lt;&gt;"x",$A1206&lt;=FinReleve),1,0))</f>
        <v/>
      </c>
      <c r="P1206" s="6" t="str">
        <f>IF($D1206="","",IF(AND($L1206="Crédit",OR(IFERROR(INDEX('Paramètres'!$O:$O,MATCH($D1206,'Paramètres'!$M:$M,0))&amp;"","")&lt;&gt;"",ISNUMBER(SEARCH("remboursement",IFERROR(INDEX('Paramètres'!$N:$N,MATCH($D1206,'Paramètres'!$M:$M,0))&amp;"",""))))),1,0))</f>
        <v/>
      </c>
      <c r="Q1206" s="6" t="str">
        <f>IF($K1206="","",IF(ISNUMBER(SEARCH("transfert-interne",IFERROR(INDEX('Paramètres'!$N:$N,MATCH($D1206,'Paramètres'!$M:$M,0))&amp;"",""))),0,IF($L1206="Débit",$K1206,IF($P1206=1,-$K1206,0))))</f>
        <v/>
      </c>
      <c r="R1206" s="6" t="str">
        <f>IF($K1206="","",IF($L1206="Crédit",$K1206,-$K1206))</f>
        <v/>
      </c>
      <c r="S1206" s="6" t="str">
        <f>IF($C1206="","",IFERROR(INDEX('Paramètres'!$H:$H,MATCH($C1206,'Paramètres'!$D:$D,0))&amp;"",""))</f>
        <v/>
      </c>
      <c r="T1206" s="6" t="str">
        <f>IF($K1206="","",IF($S1206="",0,IF(ISNUMBER(SEARCH("apport-exterieur",IFERROR(INDEX('Paramètres'!$N:$N,MATCH($D1206,'Paramètres'!$M:$M,0))&amp;"",""))),0,IF(OR(IFERROR(INDEX('Paramètres'!$I:$I,MATCH($C1206,'Paramètres'!$D:$D,0))&amp;"","")="Les deux",IFERROR(INDEX('Paramètres'!$I:$I,MATCH($C1206,'Paramètres'!$D:$D,0))&amp;"","")=IF($P1206=1,"Débit",$L1206)),-IF($P1206=1,-$K1206,$K1206),0))))</f>
        <v/>
      </c>
      <c r="U1206" s="6" t="str">
        <f>IF($K1206="","",IF(ISNUMBER(SEARCH("sortie-epargne",IFERROR(INDEX('Paramètres'!$N:$N,MATCH($D1206,'Paramètres'!$M:$M,0))&amp;"",""))),$K1206,0))</f>
        <v/>
      </c>
      <c r="V1206" s="6" t="str">
        <f>IF(AND($A1206&lt;&gt;"",$O1206=1,$L1206="Débit",N($Q1206)&gt;0,$A1206&gt;=Visualisation!$B$1,$A1206&lt;Visualisation!$D$1),MAX($V$1:V1205)+1,"")</f>
        <v/>
      </c>
    </row>
    <row r="1207" spans="1:22" x14ac:dyDescent="0.25">
      <c r="A1207" s="9"/>
      <c r="E1207" s="10"/>
      <c r="K1207" s="11" t="str">
        <f>IF($E1207="","",ROUND($E1207*IF(ISNA(MATCH($C1207,'Paramètres'!$D:$D,0)),1,IF(INDEX('Paramètres'!$J:$J,MATCH($C1207,'Paramètres'!$D:$D,0))="",1,INDEX('Paramètres'!$J:$J,MATCH($C1207,'Paramètres'!$D:$D,0)))),2))</f>
        <v/>
      </c>
      <c r="L1207" s="6" t="str">
        <f>IF($D1207="","",IF($F1207&lt;&gt;"",$F1207,IF(ISNA(MATCH($D1207,'Paramètres'!$M:$M,0)),"⚠ Type inconnu",IFERROR(INDEX('Paramètres'!$P:$P,MATCH($D1207,'Paramètres'!$M:$M,0))&amp;"",""))))</f>
        <v/>
      </c>
      <c r="M1207" s="6" t="str">
        <f>IF($D1207="","",IF(ISNA(MATCH($D1207,'Paramètres'!$M:$M,0)),"⚠ Type inconnu",IF($L1207="Crédit","",IFERROR(INDEX('Paramètres'!$O:$O,MATCH($D1207,'Paramètres'!$M:$M,0))&amp;"",""))))</f>
        <v/>
      </c>
      <c r="N1207" s="6" t="str">
        <f>IF($D1207="","",IFERROR(INDEX('Paramètres'!$Q:$Q,MATCH($D1207,'Paramètres'!$M:$M,0))&amp;"",""))</f>
        <v/>
      </c>
      <c r="O1207" s="6" t="str">
        <f>IF($A1207="","",IF(OR($J1207&lt;&gt;"x",$A1207&lt;=FinReleve),1,0))</f>
        <v/>
      </c>
      <c r="P1207" s="6" t="str">
        <f>IF($D1207="","",IF(AND($L1207="Crédit",OR(IFERROR(INDEX('Paramètres'!$O:$O,MATCH($D1207,'Paramètres'!$M:$M,0))&amp;"","")&lt;&gt;"",ISNUMBER(SEARCH("remboursement",IFERROR(INDEX('Paramètres'!$N:$N,MATCH($D1207,'Paramètres'!$M:$M,0))&amp;"",""))))),1,0))</f>
        <v/>
      </c>
      <c r="Q1207" s="6" t="str">
        <f>IF($K1207="","",IF(ISNUMBER(SEARCH("transfert-interne",IFERROR(INDEX('Paramètres'!$N:$N,MATCH($D1207,'Paramètres'!$M:$M,0))&amp;"",""))),0,IF($L1207="Débit",$K1207,IF($P1207=1,-$K1207,0))))</f>
        <v/>
      </c>
      <c r="R1207" s="6" t="str">
        <f>IF($K1207="","",IF($L1207="Crédit",$K1207,-$K1207))</f>
        <v/>
      </c>
      <c r="S1207" s="6" t="str">
        <f>IF($C1207="","",IFERROR(INDEX('Paramètres'!$H:$H,MATCH($C1207,'Paramètres'!$D:$D,0))&amp;"",""))</f>
        <v/>
      </c>
      <c r="T1207" s="6" t="str">
        <f>IF($K1207="","",IF($S1207="",0,IF(ISNUMBER(SEARCH("apport-exterieur",IFERROR(INDEX('Paramètres'!$N:$N,MATCH($D1207,'Paramètres'!$M:$M,0))&amp;"",""))),0,IF(OR(IFERROR(INDEX('Paramètres'!$I:$I,MATCH($C1207,'Paramètres'!$D:$D,0))&amp;"","")="Les deux",IFERROR(INDEX('Paramètres'!$I:$I,MATCH($C1207,'Paramètres'!$D:$D,0))&amp;"","")=IF($P1207=1,"Débit",$L1207)),-IF($P1207=1,-$K1207,$K1207),0))))</f>
        <v/>
      </c>
      <c r="U1207" s="6" t="str">
        <f>IF($K1207="","",IF(ISNUMBER(SEARCH("sortie-epargne",IFERROR(INDEX('Paramètres'!$N:$N,MATCH($D1207,'Paramètres'!$M:$M,0))&amp;"",""))),$K1207,0))</f>
        <v/>
      </c>
      <c r="V1207" s="6" t="str">
        <f>IF(AND($A1207&lt;&gt;"",$O1207=1,$L1207="Débit",N($Q1207)&gt;0,$A1207&gt;=Visualisation!$B$1,$A1207&lt;Visualisation!$D$1),MAX($V$1:V1206)+1,"")</f>
        <v/>
      </c>
    </row>
    <row r="1208" spans="1:22" x14ac:dyDescent="0.25">
      <c r="A1208" s="9"/>
      <c r="E1208" s="10"/>
      <c r="K1208" s="11" t="str">
        <f>IF($E1208="","",ROUND($E1208*IF(ISNA(MATCH($C1208,'Paramètres'!$D:$D,0)),1,IF(INDEX('Paramètres'!$J:$J,MATCH($C1208,'Paramètres'!$D:$D,0))="",1,INDEX('Paramètres'!$J:$J,MATCH($C1208,'Paramètres'!$D:$D,0)))),2))</f>
        <v/>
      </c>
      <c r="L1208" s="6" t="str">
        <f>IF($D1208="","",IF($F1208&lt;&gt;"",$F1208,IF(ISNA(MATCH($D1208,'Paramètres'!$M:$M,0)),"⚠ Type inconnu",IFERROR(INDEX('Paramètres'!$P:$P,MATCH($D1208,'Paramètres'!$M:$M,0))&amp;"",""))))</f>
        <v/>
      </c>
      <c r="M1208" s="6" t="str">
        <f>IF($D1208="","",IF(ISNA(MATCH($D1208,'Paramètres'!$M:$M,0)),"⚠ Type inconnu",IF($L1208="Crédit","",IFERROR(INDEX('Paramètres'!$O:$O,MATCH($D1208,'Paramètres'!$M:$M,0))&amp;"",""))))</f>
        <v/>
      </c>
      <c r="N1208" s="6" t="str">
        <f>IF($D1208="","",IFERROR(INDEX('Paramètres'!$Q:$Q,MATCH($D1208,'Paramètres'!$M:$M,0))&amp;"",""))</f>
        <v/>
      </c>
      <c r="O1208" s="6" t="str">
        <f>IF($A1208="","",IF(OR($J1208&lt;&gt;"x",$A1208&lt;=FinReleve),1,0))</f>
        <v/>
      </c>
      <c r="P1208" s="6" t="str">
        <f>IF($D1208="","",IF(AND($L1208="Crédit",OR(IFERROR(INDEX('Paramètres'!$O:$O,MATCH($D1208,'Paramètres'!$M:$M,0))&amp;"","")&lt;&gt;"",ISNUMBER(SEARCH("remboursement",IFERROR(INDEX('Paramètres'!$N:$N,MATCH($D1208,'Paramètres'!$M:$M,0))&amp;"",""))))),1,0))</f>
        <v/>
      </c>
      <c r="Q1208" s="6" t="str">
        <f>IF($K1208="","",IF(ISNUMBER(SEARCH("transfert-interne",IFERROR(INDEX('Paramètres'!$N:$N,MATCH($D1208,'Paramètres'!$M:$M,0))&amp;"",""))),0,IF($L1208="Débit",$K1208,IF($P1208=1,-$K1208,0))))</f>
        <v/>
      </c>
      <c r="R1208" s="6" t="str">
        <f>IF($K1208="","",IF($L1208="Crédit",$K1208,-$K1208))</f>
        <v/>
      </c>
      <c r="S1208" s="6" t="str">
        <f>IF($C1208="","",IFERROR(INDEX('Paramètres'!$H:$H,MATCH($C1208,'Paramètres'!$D:$D,0))&amp;"",""))</f>
        <v/>
      </c>
      <c r="T1208" s="6" t="str">
        <f>IF($K1208="","",IF($S1208="",0,IF(ISNUMBER(SEARCH("apport-exterieur",IFERROR(INDEX('Paramètres'!$N:$N,MATCH($D1208,'Paramètres'!$M:$M,0))&amp;"",""))),0,IF(OR(IFERROR(INDEX('Paramètres'!$I:$I,MATCH($C1208,'Paramètres'!$D:$D,0))&amp;"","")="Les deux",IFERROR(INDEX('Paramètres'!$I:$I,MATCH($C1208,'Paramètres'!$D:$D,0))&amp;"","")=IF($P1208=1,"Débit",$L1208)),-IF($P1208=1,-$K1208,$K1208),0))))</f>
        <v/>
      </c>
      <c r="U1208" s="6" t="str">
        <f>IF($K1208="","",IF(ISNUMBER(SEARCH("sortie-epargne",IFERROR(INDEX('Paramètres'!$N:$N,MATCH($D1208,'Paramètres'!$M:$M,0))&amp;"",""))),$K1208,0))</f>
        <v/>
      </c>
      <c r="V1208" s="6" t="str">
        <f>IF(AND($A1208&lt;&gt;"",$O1208=1,$L1208="Débit",N($Q1208)&gt;0,$A1208&gt;=Visualisation!$B$1,$A1208&lt;Visualisation!$D$1),MAX($V$1:V1207)+1,"")</f>
        <v/>
      </c>
    </row>
    <row r="1209" spans="1:22" x14ac:dyDescent="0.25">
      <c r="A1209" s="9"/>
      <c r="E1209" s="10"/>
      <c r="K1209" s="11" t="str">
        <f>IF($E1209="","",ROUND($E1209*IF(ISNA(MATCH($C1209,'Paramètres'!$D:$D,0)),1,IF(INDEX('Paramètres'!$J:$J,MATCH($C1209,'Paramètres'!$D:$D,0))="",1,INDEX('Paramètres'!$J:$J,MATCH($C1209,'Paramètres'!$D:$D,0)))),2))</f>
        <v/>
      </c>
      <c r="L1209" s="6" t="str">
        <f>IF($D1209="","",IF($F1209&lt;&gt;"",$F1209,IF(ISNA(MATCH($D1209,'Paramètres'!$M:$M,0)),"⚠ Type inconnu",IFERROR(INDEX('Paramètres'!$P:$P,MATCH($D1209,'Paramètres'!$M:$M,0))&amp;"",""))))</f>
        <v/>
      </c>
      <c r="M1209" s="6" t="str">
        <f>IF($D1209="","",IF(ISNA(MATCH($D1209,'Paramètres'!$M:$M,0)),"⚠ Type inconnu",IF($L1209="Crédit","",IFERROR(INDEX('Paramètres'!$O:$O,MATCH($D1209,'Paramètres'!$M:$M,0))&amp;"",""))))</f>
        <v/>
      </c>
      <c r="N1209" s="6" t="str">
        <f>IF($D1209="","",IFERROR(INDEX('Paramètres'!$Q:$Q,MATCH($D1209,'Paramètres'!$M:$M,0))&amp;"",""))</f>
        <v/>
      </c>
      <c r="O1209" s="6" t="str">
        <f>IF($A1209="","",IF(OR($J1209&lt;&gt;"x",$A1209&lt;=FinReleve),1,0))</f>
        <v/>
      </c>
      <c r="P1209" s="6" t="str">
        <f>IF($D1209="","",IF(AND($L1209="Crédit",OR(IFERROR(INDEX('Paramètres'!$O:$O,MATCH($D1209,'Paramètres'!$M:$M,0))&amp;"","")&lt;&gt;"",ISNUMBER(SEARCH("remboursement",IFERROR(INDEX('Paramètres'!$N:$N,MATCH($D1209,'Paramètres'!$M:$M,0))&amp;"",""))))),1,0))</f>
        <v/>
      </c>
      <c r="Q1209" s="6" t="str">
        <f>IF($K1209="","",IF(ISNUMBER(SEARCH("transfert-interne",IFERROR(INDEX('Paramètres'!$N:$N,MATCH($D1209,'Paramètres'!$M:$M,0))&amp;"",""))),0,IF($L1209="Débit",$K1209,IF($P1209=1,-$K1209,0))))</f>
        <v/>
      </c>
      <c r="R1209" s="6" t="str">
        <f>IF($K1209="","",IF($L1209="Crédit",$K1209,-$K1209))</f>
        <v/>
      </c>
      <c r="S1209" s="6" t="str">
        <f>IF($C1209="","",IFERROR(INDEX('Paramètres'!$H:$H,MATCH($C1209,'Paramètres'!$D:$D,0))&amp;"",""))</f>
        <v/>
      </c>
      <c r="T1209" s="6" t="str">
        <f>IF($K1209="","",IF($S1209="",0,IF(ISNUMBER(SEARCH("apport-exterieur",IFERROR(INDEX('Paramètres'!$N:$N,MATCH($D1209,'Paramètres'!$M:$M,0))&amp;"",""))),0,IF(OR(IFERROR(INDEX('Paramètres'!$I:$I,MATCH($C1209,'Paramètres'!$D:$D,0))&amp;"","")="Les deux",IFERROR(INDEX('Paramètres'!$I:$I,MATCH($C1209,'Paramètres'!$D:$D,0))&amp;"","")=IF($P1209=1,"Débit",$L1209)),-IF($P1209=1,-$K1209,$K1209),0))))</f>
        <v/>
      </c>
      <c r="U1209" s="6" t="str">
        <f>IF($K1209="","",IF(ISNUMBER(SEARCH("sortie-epargne",IFERROR(INDEX('Paramètres'!$N:$N,MATCH($D1209,'Paramètres'!$M:$M,0))&amp;"",""))),$K1209,0))</f>
        <v/>
      </c>
      <c r="V1209" s="6" t="str">
        <f>IF(AND($A1209&lt;&gt;"",$O1209=1,$L1209="Débit",N($Q1209)&gt;0,$A1209&gt;=Visualisation!$B$1,$A1209&lt;Visualisation!$D$1),MAX($V$1:V1208)+1,"")</f>
        <v/>
      </c>
    </row>
    <row r="1210" spans="1:22" x14ac:dyDescent="0.25">
      <c r="A1210" s="9"/>
      <c r="E1210" s="10"/>
      <c r="K1210" s="11" t="str">
        <f>IF($E1210="","",ROUND($E1210*IF(ISNA(MATCH($C1210,'Paramètres'!$D:$D,0)),1,IF(INDEX('Paramètres'!$J:$J,MATCH($C1210,'Paramètres'!$D:$D,0))="",1,INDEX('Paramètres'!$J:$J,MATCH($C1210,'Paramètres'!$D:$D,0)))),2))</f>
        <v/>
      </c>
      <c r="L1210" s="6" t="str">
        <f>IF($D1210="","",IF($F1210&lt;&gt;"",$F1210,IF(ISNA(MATCH($D1210,'Paramètres'!$M:$M,0)),"⚠ Type inconnu",IFERROR(INDEX('Paramètres'!$P:$P,MATCH($D1210,'Paramètres'!$M:$M,0))&amp;"",""))))</f>
        <v/>
      </c>
      <c r="M1210" s="6" t="str">
        <f>IF($D1210="","",IF(ISNA(MATCH($D1210,'Paramètres'!$M:$M,0)),"⚠ Type inconnu",IF($L1210="Crédit","",IFERROR(INDEX('Paramètres'!$O:$O,MATCH($D1210,'Paramètres'!$M:$M,0))&amp;"",""))))</f>
        <v/>
      </c>
      <c r="N1210" s="6" t="str">
        <f>IF($D1210="","",IFERROR(INDEX('Paramètres'!$Q:$Q,MATCH($D1210,'Paramètres'!$M:$M,0))&amp;"",""))</f>
        <v/>
      </c>
      <c r="O1210" s="6" t="str">
        <f>IF($A1210="","",IF(OR($J1210&lt;&gt;"x",$A1210&lt;=FinReleve),1,0))</f>
        <v/>
      </c>
      <c r="P1210" s="6" t="str">
        <f>IF($D1210="","",IF(AND($L1210="Crédit",OR(IFERROR(INDEX('Paramètres'!$O:$O,MATCH($D1210,'Paramètres'!$M:$M,0))&amp;"","")&lt;&gt;"",ISNUMBER(SEARCH("remboursement",IFERROR(INDEX('Paramètres'!$N:$N,MATCH($D1210,'Paramètres'!$M:$M,0))&amp;"",""))))),1,0))</f>
        <v/>
      </c>
      <c r="Q1210" s="6" t="str">
        <f>IF($K1210="","",IF(ISNUMBER(SEARCH("transfert-interne",IFERROR(INDEX('Paramètres'!$N:$N,MATCH($D1210,'Paramètres'!$M:$M,0))&amp;"",""))),0,IF($L1210="Débit",$K1210,IF($P1210=1,-$K1210,0))))</f>
        <v/>
      </c>
      <c r="R1210" s="6" t="str">
        <f>IF($K1210="","",IF($L1210="Crédit",$K1210,-$K1210))</f>
        <v/>
      </c>
      <c r="S1210" s="6" t="str">
        <f>IF($C1210="","",IFERROR(INDEX('Paramètres'!$H:$H,MATCH($C1210,'Paramètres'!$D:$D,0))&amp;"",""))</f>
        <v/>
      </c>
      <c r="T1210" s="6" t="str">
        <f>IF($K1210="","",IF($S1210="",0,IF(ISNUMBER(SEARCH("apport-exterieur",IFERROR(INDEX('Paramètres'!$N:$N,MATCH($D1210,'Paramètres'!$M:$M,0))&amp;"",""))),0,IF(OR(IFERROR(INDEX('Paramètres'!$I:$I,MATCH($C1210,'Paramètres'!$D:$D,0))&amp;"","")="Les deux",IFERROR(INDEX('Paramètres'!$I:$I,MATCH($C1210,'Paramètres'!$D:$D,0))&amp;"","")=IF($P1210=1,"Débit",$L1210)),-IF($P1210=1,-$K1210,$K1210),0))))</f>
        <v/>
      </c>
      <c r="U1210" s="6" t="str">
        <f>IF($K1210="","",IF(ISNUMBER(SEARCH("sortie-epargne",IFERROR(INDEX('Paramètres'!$N:$N,MATCH($D1210,'Paramètres'!$M:$M,0))&amp;"",""))),$K1210,0))</f>
        <v/>
      </c>
      <c r="V1210" s="6" t="str">
        <f>IF(AND($A1210&lt;&gt;"",$O1210=1,$L1210="Débit",N($Q1210)&gt;0,$A1210&gt;=Visualisation!$B$1,$A1210&lt;Visualisation!$D$1),MAX($V$1:V1209)+1,"")</f>
        <v/>
      </c>
    </row>
    <row r="1211" spans="1:22" x14ac:dyDescent="0.25">
      <c r="A1211" s="9"/>
      <c r="E1211" s="10"/>
      <c r="K1211" s="11" t="str">
        <f>IF($E1211="","",ROUND($E1211*IF(ISNA(MATCH($C1211,'Paramètres'!$D:$D,0)),1,IF(INDEX('Paramètres'!$J:$J,MATCH($C1211,'Paramètres'!$D:$D,0))="",1,INDEX('Paramètres'!$J:$J,MATCH($C1211,'Paramètres'!$D:$D,0)))),2))</f>
        <v/>
      </c>
      <c r="L1211" s="6" t="str">
        <f>IF($D1211="","",IF($F1211&lt;&gt;"",$F1211,IF(ISNA(MATCH($D1211,'Paramètres'!$M:$M,0)),"⚠ Type inconnu",IFERROR(INDEX('Paramètres'!$P:$P,MATCH($D1211,'Paramètres'!$M:$M,0))&amp;"",""))))</f>
        <v/>
      </c>
      <c r="M1211" s="6" t="str">
        <f>IF($D1211="","",IF(ISNA(MATCH($D1211,'Paramètres'!$M:$M,0)),"⚠ Type inconnu",IF($L1211="Crédit","",IFERROR(INDEX('Paramètres'!$O:$O,MATCH($D1211,'Paramètres'!$M:$M,0))&amp;"",""))))</f>
        <v/>
      </c>
      <c r="N1211" s="6" t="str">
        <f>IF($D1211="","",IFERROR(INDEX('Paramètres'!$Q:$Q,MATCH($D1211,'Paramètres'!$M:$M,0))&amp;"",""))</f>
        <v/>
      </c>
      <c r="O1211" s="6" t="str">
        <f>IF($A1211="","",IF(OR($J1211&lt;&gt;"x",$A1211&lt;=FinReleve),1,0))</f>
        <v/>
      </c>
      <c r="P1211" s="6" t="str">
        <f>IF($D1211="","",IF(AND($L1211="Crédit",OR(IFERROR(INDEX('Paramètres'!$O:$O,MATCH($D1211,'Paramètres'!$M:$M,0))&amp;"","")&lt;&gt;"",ISNUMBER(SEARCH("remboursement",IFERROR(INDEX('Paramètres'!$N:$N,MATCH($D1211,'Paramètres'!$M:$M,0))&amp;"",""))))),1,0))</f>
        <v/>
      </c>
      <c r="Q1211" s="6" t="str">
        <f>IF($K1211="","",IF(ISNUMBER(SEARCH("transfert-interne",IFERROR(INDEX('Paramètres'!$N:$N,MATCH($D1211,'Paramètres'!$M:$M,0))&amp;"",""))),0,IF($L1211="Débit",$K1211,IF($P1211=1,-$K1211,0))))</f>
        <v/>
      </c>
      <c r="R1211" s="6" t="str">
        <f>IF($K1211="","",IF($L1211="Crédit",$K1211,-$K1211))</f>
        <v/>
      </c>
      <c r="S1211" s="6" t="str">
        <f>IF($C1211="","",IFERROR(INDEX('Paramètres'!$H:$H,MATCH($C1211,'Paramètres'!$D:$D,0))&amp;"",""))</f>
        <v/>
      </c>
      <c r="T1211" s="6" t="str">
        <f>IF($K1211="","",IF($S1211="",0,IF(ISNUMBER(SEARCH("apport-exterieur",IFERROR(INDEX('Paramètres'!$N:$N,MATCH($D1211,'Paramètres'!$M:$M,0))&amp;"",""))),0,IF(OR(IFERROR(INDEX('Paramètres'!$I:$I,MATCH($C1211,'Paramètres'!$D:$D,0))&amp;"","")="Les deux",IFERROR(INDEX('Paramètres'!$I:$I,MATCH($C1211,'Paramètres'!$D:$D,0))&amp;"","")=IF($P1211=1,"Débit",$L1211)),-IF($P1211=1,-$K1211,$K1211),0))))</f>
        <v/>
      </c>
      <c r="U1211" s="6" t="str">
        <f>IF($K1211="","",IF(ISNUMBER(SEARCH("sortie-epargne",IFERROR(INDEX('Paramètres'!$N:$N,MATCH($D1211,'Paramètres'!$M:$M,0))&amp;"",""))),$K1211,0))</f>
        <v/>
      </c>
      <c r="V1211" s="6" t="str">
        <f>IF(AND($A1211&lt;&gt;"",$O1211=1,$L1211="Débit",N($Q1211)&gt;0,$A1211&gt;=Visualisation!$B$1,$A1211&lt;Visualisation!$D$1),MAX($V$1:V1210)+1,"")</f>
        <v/>
      </c>
    </row>
    <row r="1212" spans="1:22" x14ac:dyDescent="0.25">
      <c r="A1212" s="9"/>
      <c r="E1212" s="10"/>
      <c r="K1212" s="11" t="str">
        <f>IF($E1212="","",ROUND($E1212*IF(ISNA(MATCH($C1212,'Paramètres'!$D:$D,0)),1,IF(INDEX('Paramètres'!$J:$J,MATCH($C1212,'Paramètres'!$D:$D,0))="",1,INDEX('Paramètres'!$J:$J,MATCH($C1212,'Paramètres'!$D:$D,0)))),2))</f>
        <v/>
      </c>
      <c r="L1212" s="6" t="str">
        <f>IF($D1212="","",IF($F1212&lt;&gt;"",$F1212,IF(ISNA(MATCH($D1212,'Paramètres'!$M:$M,0)),"⚠ Type inconnu",IFERROR(INDEX('Paramètres'!$P:$P,MATCH($D1212,'Paramètres'!$M:$M,0))&amp;"",""))))</f>
        <v/>
      </c>
      <c r="M1212" s="6" t="str">
        <f>IF($D1212="","",IF(ISNA(MATCH($D1212,'Paramètres'!$M:$M,0)),"⚠ Type inconnu",IF($L1212="Crédit","",IFERROR(INDEX('Paramètres'!$O:$O,MATCH($D1212,'Paramètres'!$M:$M,0))&amp;"",""))))</f>
        <v/>
      </c>
      <c r="N1212" s="6" t="str">
        <f>IF($D1212="","",IFERROR(INDEX('Paramètres'!$Q:$Q,MATCH($D1212,'Paramètres'!$M:$M,0))&amp;"",""))</f>
        <v/>
      </c>
      <c r="O1212" s="6" t="str">
        <f>IF($A1212="","",IF(OR($J1212&lt;&gt;"x",$A1212&lt;=FinReleve),1,0))</f>
        <v/>
      </c>
      <c r="P1212" s="6" t="str">
        <f>IF($D1212="","",IF(AND($L1212="Crédit",OR(IFERROR(INDEX('Paramètres'!$O:$O,MATCH($D1212,'Paramètres'!$M:$M,0))&amp;"","")&lt;&gt;"",ISNUMBER(SEARCH("remboursement",IFERROR(INDEX('Paramètres'!$N:$N,MATCH($D1212,'Paramètres'!$M:$M,0))&amp;"",""))))),1,0))</f>
        <v/>
      </c>
      <c r="Q1212" s="6" t="str">
        <f>IF($K1212="","",IF(ISNUMBER(SEARCH("transfert-interne",IFERROR(INDEX('Paramètres'!$N:$N,MATCH($D1212,'Paramètres'!$M:$M,0))&amp;"",""))),0,IF($L1212="Débit",$K1212,IF($P1212=1,-$K1212,0))))</f>
        <v/>
      </c>
      <c r="R1212" s="6" t="str">
        <f>IF($K1212="","",IF($L1212="Crédit",$K1212,-$K1212))</f>
        <v/>
      </c>
      <c r="S1212" s="6" t="str">
        <f>IF($C1212="","",IFERROR(INDEX('Paramètres'!$H:$H,MATCH($C1212,'Paramètres'!$D:$D,0))&amp;"",""))</f>
        <v/>
      </c>
      <c r="T1212" s="6" t="str">
        <f>IF($K1212="","",IF($S1212="",0,IF(ISNUMBER(SEARCH("apport-exterieur",IFERROR(INDEX('Paramètres'!$N:$N,MATCH($D1212,'Paramètres'!$M:$M,0))&amp;"",""))),0,IF(OR(IFERROR(INDEX('Paramètres'!$I:$I,MATCH($C1212,'Paramètres'!$D:$D,0))&amp;"","")="Les deux",IFERROR(INDEX('Paramètres'!$I:$I,MATCH($C1212,'Paramètres'!$D:$D,0))&amp;"","")=IF($P1212=1,"Débit",$L1212)),-IF($P1212=1,-$K1212,$K1212),0))))</f>
        <v/>
      </c>
      <c r="U1212" s="6" t="str">
        <f>IF($K1212="","",IF(ISNUMBER(SEARCH("sortie-epargne",IFERROR(INDEX('Paramètres'!$N:$N,MATCH($D1212,'Paramètres'!$M:$M,0))&amp;"",""))),$K1212,0))</f>
        <v/>
      </c>
      <c r="V1212" s="6" t="str">
        <f>IF(AND($A1212&lt;&gt;"",$O1212=1,$L1212="Débit",N($Q1212)&gt;0,$A1212&gt;=Visualisation!$B$1,$A1212&lt;Visualisation!$D$1),MAX($V$1:V1211)+1,"")</f>
        <v/>
      </c>
    </row>
    <row r="1213" spans="1:22" x14ac:dyDescent="0.25">
      <c r="A1213" s="9"/>
      <c r="E1213" s="10"/>
      <c r="K1213" s="11" t="str">
        <f>IF($E1213="","",ROUND($E1213*IF(ISNA(MATCH($C1213,'Paramètres'!$D:$D,0)),1,IF(INDEX('Paramètres'!$J:$J,MATCH($C1213,'Paramètres'!$D:$D,0))="",1,INDEX('Paramètres'!$J:$J,MATCH($C1213,'Paramètres'!$D:$D,0)))),2))</f>
        <v/>
      </c>
      <c r="L1213" s="6" t="str">
        <f>IF($D1213="","",IF($F1213&lt;&gt;"",$F1213,IF(ISNA(MATCH($D1213,'Paramètres'!$M:$M,0)),"⚠ Type inconnu",IFERROR(INDEX('Paramètres'!$P:$P,MATCH($D1213,'Paramètres'!$M:$M,0))&amp;"",""))))</f>
        <v/>
      </c>
      <c r="M1213" s="6" t="str">
        <f>IF($D1213="","",IF(ISNA(MATCH($D1213,'Paramètres'!$M:$M,0)),"⚠ Type inconnu",IF($L1213="Crédit","",IFERROR(INDEX('Paramètres'!$O:$O,MATCH($D1213,'Paramètres'!$M:$M,0))&amp;"",""))))</f>
        <v/>
      </c>
      <c r="N1213" s="6" t="str">
        <f>IF($D1213="","",IFERROR(INDEX('Paramètres'!$Q:$Q,MATCH($D1213,'Paramètres'!$M:$M,0))&amp;"",""))</f>
        <v/>
      </c>
      <c r="O1213" s="6" t="str">
        <f>IF($A1213="","",IF(OR($J1213&lt;&gt;"x",$A1213&lt;=FinReleve),1,0))</f>
        <v/>
      </c>
      <c r="P1213" s="6" t="str">
        <f>IF($D1213="","",IF(AND($L1213="Crédit",OR(IFERROR(INDEX('Paramètres'!$O:$O,MATCH($D1213,'Paramètres'!$M:$M,0))&amp;"","")&lt;&gt;"",ISNUMBER(SEARCH("remboursement",IFERROR(INDEX('Paramètres'!$N:$N,MATCH($D1213,'Paramètres'!$M:$M,0))&amp;"",""))))),1,0))</f>
        <v/>
      </c>
      <c r="Q1213" s="6" t="str">
        <f>IF($K1213="","",IF(ISNUMBER(SEARCH("transfert-interne",IFERROR(INDEX('Paramètres'!$N:$N,MATCH($D1213,'Paramètres'!$M:$M,0))&amp;"",""))),0,IF($L1213="Débit",$K1213,IF($P1213=1,-$K1213,0))))</f>
        <v/>
      </c>
      <c r="R1213" s="6" t="str">
        <f>IF($K1213="","",IF($L1213="Crédit",$K1213,-$K1213))</f>
        <v/>
      </c>
      <c r="S1213" s="6" t="str">
        <f>IF($C1213="","",IFERROR(INDEX('Paramètres'!$H:$H,MATCH($C1213,'Paramètres'!$D:$D,0))&amp;"",""))</f>
        <v/>
      </c>
      <c r="T1213" s="6" t="str">
        <f>IF($K1213="","",IF($S1213="",0,IF(ISNUMBER(SEARCH("apport-exterieur",IFERROR(INDEX('Paramètres'!$N:$N,MATCH($D1213,'Paramètres'!$M:$M,0))&amp;"",""))),0,IF(OR(IFERROR(INDEX('Paramètres'!$I:$I,MATCH($C1213,'Paramètres'!$D:$D,0))&amp;"","")="Les deux",IFERROR(INDEX('Paramètres'!$I:$I,MATCH($C1213,'Paramètres'!$D:$D,0))&amp;"","")=IF($P1213=1,"Débit",$L1213)),-IF($P1213=1,-$K1213,$K1213),0))))</f>
        <v/>
      </c>
      <c r="U1213" s="6" t="str">
        <f>IF($K1213="","",IF(ISNUMBER(SEARCH("sortie-epargne",IFERROR(INDEX('Paramètres'!$N:$N,MATCH($D1213,'Paramètres'!$M:$M,0))&amp;"",""))),$K1213,0))</f>
        <v/>
      </c>
      <c r="V1213" s="6" t="str">
        <f>IF(AND($A1213&lt;&gt;"",$O1213=1,$L1213="Débit",N($Q1213)&gt;0,$A1213&gt;=Visualisation!$B$1,$A1213&lt;Visualisation!$D$1),MAX($V$1:V1212)+1,"")</f>
        <v/>
      </c>
    </row>
    <row r="1214" spans="1:22" x14ac:dyDescent="0.25">
      <c r="A1214" s="9"/>
      <c r="E1214" s="10"/>
      <c r="K1214" s="11" t="str">
        <f>IF($E1214="","",ROUND($E1214*IF(ISNA(MATCH($C1214,'Paramètres'!$D:$D,0)),1,IF(INDEX('Paramètres'!$J:$J,MATCH($C1214,'Paramètres'!$D:$D,0))="",1,INDEX('Paramètres'!$J:$J,MATCH($C1214,'Paramètres'!$D:$D,0)))),2))</f>
        <v/>
      </c>
      <c r="L1214" s="6" t="str">
        <f>IF($D1214="","",IF($F1214&lt;&gt;"",$F1214,IF(ISNA(MATCH($D1214,'Paramètres'!$M:$M,0)),"⚠ Type inconnu",IFERROR(INDEX('Paramètres'!$P:$P,MATCH($D1214,'Paramètres'!$M:$M,0))&amp;"",""))))</f>
        <v/>
      </c>
      <c r="M1214" s="6" t="str">
        <f>IF($D1214="","",IF(ISNA(MATCH($D1214,'Paramètres'!$M:$M,0)),"⚠ Type inconnu",IF($L1214="Crédit","",IFERROR(INDEX('Paramètres'!$O:$O,MATCH($D1214,'Paramètres'!$M:$M,0))&amp;"",""))))</f>
        <v/>
      </c>
      <c r="N1214" s="6" t="str">
        <f>IF($D1214="","",IFERROR(INDEX('Paramètres'!$Q:$Q,MATCH($D1214,'Paramètres'!$M:$M,0))&amp;"",""))</f>
        <v/>
      </c>
      <c r="O1214" s="6" t="str">
        <f>IF($A1214="","",IF(OR($J1214&lt;&gt;"x",$A1214&lt;=FinReleve),1,0))</f>
        <v/>
      </c>
      <c r="P1214" s="6" t="str">
        <f>IF($D1214="","",IF(AND($L1214="Crédit",OR(IFERROR(INDEX('Paramètres'!$O:$O,MATCH($D1214,'Paramètres'!$M:$M,0))&amp;"","")&lt;&gt;"",ISNUMBER(SEARCH("remboursement",IFERROR(INDEX('Paramètres'!$N:$N,MATCH($D1214,'Paramètres'!$M:$M,0))&amp;"",""))))),1,0))</f>
        <v/>
      </c>
      <c r="Q1214" s="6" t="str">
        <f>IF($K1214="","",IF(ISNUMBER(SEARCH("transfert-interne",IFERROR(INDEX('Paramètres'!$N:$N,MATCH($D1214,'Paramètres'!$M:$M,0))&amp;"",""))),0,IF($L1214="Débit",$K1214,IF($P1214=1,-$K1214,0))))</f>
        <v/>
      </c>
      <c r="R1214" s="6" t="str">
        <f>IF($K1214="","",IF($L1214="Crédit",$K1214,-$K1214))</f>
        <v/>
      </c>
      <c r="S1214" s="6" t="str">
        <f>IF($C1214="","",IFERROR(INDEX('Paramètres'!$H:$H,MATCH($C1214,'Paramètres'!$D:$D,0))&amp;"",""))</f>
        <v/>
      </c>
      <c r="T1214" s="6" t="str">
        <f>IF($K1214="","",IF($S1214="",0,IF(ISNUMBER(SEARCH("apport-exterieur",IFERROR(INDEX('Paramètres'!$N:$N,MATCH($D1214,'Paramètres'!$M:$M,0))&amp;"",""))),0,IF(OR(IFERROR(INDEX('Paramètres'!$I:$I,MATCH($C1214,'Paramètres'!$D:$D,0))&amp;"","")="Les deux",IFERROR(INDEX('Paramètres'!$I:$I,MATCH($C1214,'Paramètres'!$D:$D,0))&amp;"","")=IF($P1214=1,"Débit",$L1214)),-IF($P1214=1,-$K1214,$K1214),0))))</f>
        <v/>
      </c>
      <c r="U1214" s="6" t="str">
        <f>IF($K1214="","",IF(ISNUMBER(SEARCH("sortie-epargne",IFERROR(INDEX('Paramètres'!$N:$N,MATCH($D1214,'Paramètres'!$M:$M,0))&amp;"",""))),$K1214,0))</f>
        <v/>
      </c>
      <c r="V1214" s="6" t="str">
        <f>IF(AND($A1214&lt;&gt;"",$O1214=1,$L1214="Débit",N($Q1214)&gt;0,$A1214&gt;=Visualisation!$B$1,$A1214&lt;Visualisation!$D$1),MAX($V$1:V1213)+1,"")</f>
        <v/>
      </c>
    </row>
    <row r="1215" spans="1:22" x14ac:dyDescent="0.25">
      <c r="A1215" s="9"/>
      <c r="E1215" s="10"/>
      <c r="K1215" s="11" t="str">
        <f>IF($E1215="","",ROUND($E1215*IF(ISNA(MATCH($C1215,'Paramètres'!$D:$D,0)),1,IF(INDEX('Paramètres'!$J:$J,MATCH($C1215,'Paramètres'!$D:$D,0))="",1,INDEX('Paramètres'!$J:$J,MATCH($C1215,'Paramètres'!$D:$D,0)))),2))</f>
        <v/>
      </c>
      <c r="L1215" s="6" t="str">
        <f>IF($D1215="","",IF($F1215&lt;&gt;"",$F1215,IF(ISNA(MATCH($D1215,'Paramètres'!$M:$M,0)),"⚠ Type inconnu",IFERROR(INDEX('Paramètres'!$P:$P,MATCH($D1215,'Paramètres'!$M:$M,0))&amp;"",""))))</f>
        <v/>
      </c>
      <c r="M1215" s="6" t="str">
        <f>IF($D1215="","",IF(ISNA(MATCH($D1215,'Paramètres'!$M:$M,0)),"⚠ Type inconnu",IF($L1215="Crédit","",IFERROR(INDEX('Paramètres'!$O:$O,MATCH($D1215,'Paramètres'!$M:$M,0))&amp;"",""))))</f>
        <v/>
      </c>
      <c r="N1215" s="6" t="str">
        <f>IF($D1215="","",IFERROR(INDEX('Paramètres'!$Q:$Q,MATCH($D1215,'Paramètres'!$M:$M,0))&amp;"",""))</f>
        <v/>
      </c>
      <c r="O1215" s="6" t="str">
        <f>IF($A1215="","",IF(OR($J1215&lt;&gt;"x",$A1215&lt;=FinReleve),1,0))</f>
        <v/>
      </c>
      <c r="P1215" s="6" t="str">
        <f>IF($D1215="","",IF(AND($L1215="Crédit",OR(IFERROR(INDEX('Paramètres'!$O:$O,MATCH($D1215,'Paramètres'!$M:$M,0))&amp;"","")&lt;&gt;"",ISNUMBER(SEARCH("remboursement",IFERROR(INDEX('Paramètres'!$N:$N,MATCH($D1215,'Paramètres'!$M:$M,0))&amp;"",""))))),1,0))</f>
        <v/>
      </c>
      <c r="Q1215" s="6" t="str">
        <f>IF($K1215="","",IF(ISNUMBER(SEARCH("transfert-interne",IFERROR(INDEX('Paramètres'!$N:$N,MATCH($D1215,'Paramètres'!$M:$M,0))&amp;"",""))),0,IF($L1215="Débit",$K1215,IF($P1215=1,-$K1215,0))))</f>
        <v/>
      </c>
      <c r="R1215" s="6" t="str">
        <f>IF($K1215="","",IF($L1215="Crédit",$K1215,-$K1215))</f>
        <v/>
      </c>
      <c r="S1215" s="6" t="str">
        <f>IF($C1215="","",IFERROR(INDEX('Paramètres'!$H:$H,MATCH($C1215,'Paramètres'!$D:$D,0))&amp;"",""))</f>
        <v/>
      </c>
      <c r="T1215" s="6" t="str">
        <f>IF($K1215="","",IF($S1215="",0,IF(ISNUMBER(SEARCH("apport-exterieur",IFERROR(INDEX('Paramètres'!$N:$N,MATCH($D1215,'Paramètres'!$M:$M,0))&amp;"",""))),0,IF(OR(IFERROR(INDEX('Paramètres'!$I:$I,MATCH($C1215,'Paramètres'!$D:$D,0))&amp;"","")="Les deux",IFERROR(INDEX('Paramètres'!$I:$I,MATCH($C1215,'Paramètres'!$D:$D,0))&amp;"","")=IF($P1215=1,"Débit",$L1215)),-IF($P1215=1,-$K1215,$K1215),0))))</f>
        <v/>
      </c>
      <c r="U1215" s="6" t="str">
        <f>IF($K1215="","",IF(ISNUMBER(SEARCH("sortie-epargne",IFERROR(INDEX('Paramètres'!$N:$N,MATCH($D1215,'Paramètres'!$M:$M,0))&amp;"",""))),$K1215,0))</f>
        <v/>
      </c>
      <c r="V1215" s="6" t="str">
        <f>IF(AND($A1215&lt;&gt;"",$O1215=1,$L1215="Débit",N($Q1215)&gt;0,$A1215&gt;=Visualisation!$B$1,$A1215&lt;Visualisation!$D$1),MAX($V$1:V1214)+1,"")</f>
        <v/>
      </c>
    </row>
    <row r="1216" spans="1:22" x14ac:dyDescent="0.25">
      <c r="A1216" s="9"/>
      <c r="E1216" s="10"/>
      <c r="K1216" s="11" t="str">
        <f>IF($E1216="","",ROUND($E1216*IF(ISNA(MATCH($C1216,'Paramètres'!$D:$D,0)),1,IF(INDEX('Paramètres'!$J:$J,MATCH($C1216,'Paramètres'!$D:$D,0))="",1,INDEX('Paramètres'!$J:$J,MATCH($C1216,'Paramètres'!$D:$D,0)))),2))</f>
        <v/>
      </c>
      <c r="L1216" s="6" t="str">
        <f>IF($D1216="","",IF($F1216&lt;&gt;"",$F1216,IF(ISNA(MATCH($D1216,'Paramètres'!$M:$M,0)),"⚠ Type inconnu",IFERROR(INDEX('Paramètres'!$P:$P,MATCH($D1216,'Paramètres'!$M:$M,0))&amp;"",""))))</f>
        <v/>
      </c>
      <c r="M1216" s="6" t="str">
        <f>IF($D1216="","",IF(ISNA(MATCH($D1216,'Paramètres'!$M:$M,0)),"⚠ Type inconnu",IF($L1216="Crédit","",IFERROR(INDEX('Paramètres'!$O:$O,MATCH($D1216,'Paramètres'!$M:$M,0))&amp;"",""))))</f>
        <v/>
      </c>
      <c r="N1216" s="6" t="str">
        <f>IF($D1216="","",IFERROR(INDEX('Paramètres'!$Q:$Q,MATCH($D1216,'Paramètres'!$M:$M,0))&amp;"",""))</f>
        <v/>
      </c>
      <c r="O1216" s="6" t="str">
        <f>IF($A1216="","",IF(OR($J1216&lt;&gt;"x",$A1216&lt;=FinReleve),1,0))</f>
        <v/>
      </c>
      <c r="P1216" s="6" t="str">
        <f>IF($D1216="","",IF(AND($L1216="Crédit",OR(IFERROR(INDEX('Paramètres'!$O:$O,MATCH($D1216,'Paramètres'!$M:$M,0))&amp;"","")&lt;&gt;"",ISNUMBER(SEARCH("remboursement",IFERROR(INDEX('Paramètres'!$N:$N,MATCH($D1216,'Paramètres'!$M:$M,0))&amp;"",""))))),1,0))</f>
        <v/>
      </c>
      <c r="Q1216" s="6" t="str">
        <f>IF($K1216="","",IF(ISNUMBER(SEARCH("transfert-interne",IFERROR(INDEX('Paramètres'!$N:$N,MATCH($D1216,'Paramètres'!$M:$M,0))&amp;"",""))),0,IF($L1216="Débit",$K1216,IF($P1216=1,-$K1216,0))))</f>
        <v/>
      </c>
      <c r="R1216" s="6" t="str">
        <f>IF($K1216="","",IF($L1216="Crédit",$K1216,-$K1216))</f>
        <v/>
      </c>
      <c r="S1216" s="6" t="str">
        <f>IF($C1216="","",IFERROR(INDEX('Paramètres'!$H:$H,MATCH($C1216,'Paramètres'!$D:$D,0))&amp;"",""))</f>
        <v/>
      </c>
      <c r="T1216" s="6" t="str">
        <f>IF($K1216="","",IF($S1216="",0,IF(ISNUMBER(SEARCH("apport-exterieur",IFERROR(INDEX('Paramètres'!$N:$N,MATCH($D1216,'Paramètres'!$M:$M,0))&amp;"",""))),0,IF(OR(IFERROR(INDEX('Paramètres'!$I:$I,MATCH($C1216,'Paramètres'!$D:$D,0))&amp;"","")="Les deux",IFERROR(INDEX('Paramètres'!$I:$I,MATCH($C1216,'Paramètres'!$D:$D,0))&amp;"","")=IF($P1216=1,"Débit",$L1216)),-IF($P1216=1,-$K1216,$K1216),0))))</f>
        <v/>
      </c>
      <c r="U1216" s="6" t="str">
        <f>IF($K1216="","",IF(ISNUMBER(SEARCH("sortie-epargne",IFERROR(INDEX('Paramètres'!$N:$N,MATCH($D1216,'Paramètres'!$M:$M,0))&amp;"",""))),$K1216,0))</f>
        <v/>
      </c>
      <c r="V1216" s="6" t="str">
        <f>IF(AND($A1216&lt;&gt;"",$O1216=1,$L1216="Débit",N($Q1216)&gt;0,$A1216&gt;=Visualisation!$B$1,$A1216&lt;Visualisation!$D$1),MAX($V$1:V1215)+1,"")</f>
        <v/>
      </c>
    </row>
    <row r="1217" spans="1:22" x14ac:dyDescent="0.25">
      <c r="A1217" s="9"/>
      <c r="E1217" s="10"/>
      <c r="K1217" s="11" t="str">
        <f>IF($E1217="","",ROUND($E1217*IF(ISNA(MATCH($C1217,'Paramètres'!$D:$D,0)),1,IF(INDEX('Paramètres'!$J:$J,MATCH($C1217,'Paramètres'!$D:$D,0))="",1,INDEX('Paramètres'!$J:$J,MATCH($C1217,'Paramètres'!$D:$D,0)))),2))</f>
        <v/>
      </c>
      <c r="L1217" s="6" t="str">
        <f>IF($D1217="","",IF($F1217&lt;&gt;"",$F1217,IF(ISNA(MATCH($D1217,'Paramètres'!$M:$M,0)),"⚠ Type inconnu",IFERROR(INDEX('Paramètres'!$P:$P,MATCH($D1217,'Paramètres'!$M:$M,0))&amp;"",""))))</f>
        <v/>
      </c>
      <c r="M1217" s="6" t="str">
        <f>IF($D1217="","",IF(ISNA(MATCH($D1217,'Paramètres'!$M:$M,0)),"⚠ Type inconnu",IF($L1217="Crédit","",IFERROR(INDEX('Paramètres'!$O:$O,MATCH($D1217,'Paramètres'!$M:$M,0))&amp;"",""))))</f>
        <v/>
      </c>
      <c r="N1217" s="6" t="str">
        <f>IF($D1217="","",IFERROR(INDEX('Paramètres'!$Q:$Q,MATCH($D1217,'Paramètres'!$M:$M,0))&amp;"",""))</f>
        <v/>
      </c>
      <c r="O1217" s="6" t="str">
        <f>IF($A1217="","",IF(OR($J1217&lt;&gt;"x",$A1217&lt;=FinReleve),1,0))</f>
        <v/>
      </c>
      <c r="P1217" s="6" t="str">
        <f>IF($D1217="","",IF(AND($L1217="Crédit",OR(IFERROR(INDEX('Paramètres'!$O:$O,MATCH($D1217,'Paramètres'!$M:$M,0))&amp;"","")&lt;&gt;"",ISNUMBER(SEARCH("remboursement",IFERROR(INDEX('Paramètres'!$N:$N,MATCH($D1217,'Paramètres'!$M:$M,0))&amp;"",""))))),1,0))</f>
        <v/>
      </c>
      <c r="Q1217" s="6" t="str">
        <f>IF($K1217="","",IF(ISNUMBER(SEARCH("transfert-interne",IFERROR(INDEX('Paramètres'!$N:$N,MATCH($D1217,'Paramètres'!$M:$M,0))&amp;"",""))),0,IF($L1217="Débit",$K1217,IF($P1217=1,-$K1217,0))))</f>
        <v/>
      </c>
      <c r="R1217" s="6" t="str">
        <f>IF($K1217="","",IF($L1217="Crédit",$K1217,-$K1217))</f>
        <v/>
      </c>
      <c r="S1217" s="6" t="str">
        <f>IF($C1217="","",IFERROR(INDEX('Paramètres'!$H:$H,MATCH($C1217,'Paramètres'!$D:$D,0))&amp;"",""))</f>
        <v/>
      </c>
      <c r="T1217" s="6" t="str">
        <f>IF($K1217="","",IF($S1217="",0,IF(ISNUMBER(SEARCH("apport-exterieur",IFERROR(INDEX('Paramètres'!$N:$N,MATCH($D1217,'Paramètres'!$M:$M,0))&amp;"",""))),0,IF(OR(IFERROR(INDEX('Paramètres'!$I:$I,MATCH($C1217,'Paramètres'!$D:$D,0))&amp;"","")="Les deux",IFERROR(INDEX('Paramètres'!$I:$I,MATCH($C1217,'Paramètres'!$D:$D,0))&amp;"","")=IF($P1217=1,"Débit",$L1217)),-IF($P1217=1,-$K1217,$K1217),0))))</f>
        <v/>
      </c>
      <c r="U1217" s="6" t="str">
        <f>IF($K1217="","",IF(ISNUMBER(SEARCH("sortie-epargne",IFERROR(INDEX('Paramètres'!$N:$N,MATCH($D1217,'Paramètres'!$M:$M,0))&amp;"",""))),$K1217,0))</f>
        <v/>
      </c>
      <c r="V1217" s="6" t="str">
        <f>IF(AND($A1217&lt;&gt;"",$O1217=1,$L1217="Débit",N($Q1217)&gt;0,$A1217&gt;=Visualisation!$B$1,$A1217&lt;Visualisation!$D$1),MAX($V$1:V1216)+1,"")</f>
        <v/>
      </c>
    </row>
    <row r="1218" spans="1:22" x14ac:dyDescent="0.25">
      <c r="A1218" s="9"/>
      <c r="E1218" s="10"/>
      <c r="K1218" s="11" t="str">
        <f>IF($E1218="","",ROUND($E1218*IF(ISNA(MATCH($C1218,'Paramètres'!$D:$D,0)),1,IF(INDEX('Paramètres'!$J:$J,MATCH($C1218,'Paramètres'!$D:$D,0))="",1,INDEX('Paramètres'!$J:$J,MATCH($C1218,'Paramètres'!$D:$D,0)))),2))</f>
        <v/>
      </c>
      <c r="L1218" s="6" t="str">
        <f>IF($D1218="","",IF($F1218&lt;&gt;"",$F1218,IF(ISNA(MATCH($D1218,'Paramètres'!$M:$M,0)),"⚠ Type inconnu",IFERROR(INDEX('Paramètres'!$P:$P,MATCH($D1218,'Paramètres'!$M:$M,0))&amp;"",""))))</f>
        <v/>
      </c>
      <c r="M1218" s="6" t="str">
        <f>IF($D1218="","",IF(ISNA(MATCH($D1218,'Paramètres'!$M:$M,0)),"⚠ Type inconnu",IF($L1218="Crédit","",IFERROR(INDEX('Paramètres'!$O:$O,MATCH($D1218,'Paramètres'!$M:$M,0))&amp;"",""))))</f>
        <v/>
      </c>
      <c r="N1218" s="6" t="str">
        <f>IF($D1218="","",IFERROR(INDEX('Paramètres'!$Q:$Q,MATCH($D1218,'Paramètres'!$M:$M,0))&amp;"",""))</f>
        <v/>
      </c>
      <c r="O1218" s="6" t="str">
        <f>IF($A1218="","",IF(OR($J1218&lt;&gt;"x",$A1218&lt;=FinReleve),1,0))</f>
        <v/>
      </c>
      <c r="P1218" s="6" t="str">
        <f>IF($D1218="","",IF(AND($L1218="Crédit",OR(IFERROR(INDEX('Paramètres'!$O:$O,MATCH($D1218,'Paramètres'!$M:$M,0))&amp;"","")&lt;&gt;"",ISNUMBER(SEARCH("remboursement",IFERROR(INDEX('Paramètres'!$N:$N,MATCH($D1218,'Paramètres'!$M:$M,0))&amp;"",""))))),1,0))</f>
        <v/>
      </c>
      <c r="Q1218" s="6" t="str">
        <f>IF($K1218="","",IF(ISNUMBER(SEARCH("transfert-interne",IFERROR(INDEX('Paramètres'!$N:$N,MATCH($D1218,'Paramètres'!$M:$M,0))&amp;"",""))),0,IF($L1218="Débit",$K1218,IF($P1218=1,-$K1218,0))))</f>
        <v/>
      </c>
      <c r="R1218" s="6" t="str">
        <f>IF($K1218="","",IF($L1218="Crédit",$K1218,-$K1218))</f>
        <v/>
      </c>
      <c r="S1218" s="6" t="str">
        <f>IF($C1218="","",IFERROR(INDEX('Paramètres'!$H:$H,MATCH($C1218,'Paramètres'!$D:$D,0))&amp;"",""))</f>
        <v/>
      </c>
      <c r="T1218" s="6" t="str">
        <f>IF($K1218="","",IF($S1218="",0,IF(ISNUMBER(SEARCH("apport-exterieur",IFERROR(INDEX('Paramètres'!$N:$N,MATCH($D1218,'Paramètres'!$M:$M,0))&amp;"",""))),0,IF(OR(IFERROR(INDEX('Paramètres'!$I:$I,MATCH($C1218,'Paramètres'!$D:$D,0))&amp;"","")="Les deux",IFERROR(INDEX('Paramètres'!$I:$I,MATCH($C1218,'Paramètres'!$D:$D,0))&amp;"","")=IF($P1218=1,"Débit",$L1218)),-IF($P1218=1,-$K1218,$K1218),0))))</f>
        <v/>
      </c>
      <c r="U1218" s="6" t="str">
        <f>IF($K1218="","",IF(ISNUMBER(SEARCH("sortie-epargne",IFERROR(INDEX('Paramètres'!$N:$N,MATCH($D1218,'Paramètres'!$M:$M,0))&amp;"",""))),$K1218,0))</f>
        <v/>
      </c>
      <c r="V1218" s="6" t="str">
        <f>IF(AND($A1218&lt;&gt;"",$O1218=1,$L1218="Débit",N($Q1218)&gt;0,$A1218&gt;=Visualisation!$B$1,$A1218&lt;Visualisation!$D$1),MAX($V$1:V1217)+1,"")</f>
        <v/>
      </c>
    </row>
    <row r="1219" spans="1:22" x14ac:dyDescent="0.25">
      <c r="A1219" s="9"/>
      <c r="E1219" s="10"/>
      <c r="K1219" s="11" t="str">
        <f>IF($E1219="","",ROUND($E1219*IF(ISNA(MATCH($C1219,'Paramètres'!$D:$D,0)),1,IF(INDEX('Paramètres'!$J:$J,MATCH($C1219,'Paramètres'!$D:$D,0))="",1,INDEX('Paramètres'!$J:$J,MATCH($C1219,'Paramètres'!$D:$D,0)))),2))</f>
        <v/>
      </c>
      <c r="L1219" s="6" t="str">
        <f>IF($D1219="","",IF($F1219&lt;&gt;"",$F1219,IF(ISNA(MATCH($D1219,'Paramètres'!$M:$M,0)),"⚠ Type inconnu",IFERROR(INDEX('Paramètres'!$P:$P,MATCH($D1219,'Paramètres'!$M:$M,0))&amp;"",""))))</f>
        <v/>
      </c>
      <c r="M1219" s="6" t="str">
        <f>IF($D1219="","",IF(ISNA(MATCH($D1219,'Paramètres'!$M:$M,0)),"⚠ Type inconnu",IF($L1219="Crédit","",IFERROR(INDEX('Paramètres'!$O:$O,MATCH($D1219,'Paramètres'!$M:$M,0))&amp;"",""))))</f>
        <v/>
      </c>
      <c r="N1219" s="6" t="str">
        <f>IF($D1219="","",IFERROR(INDEX('Paramètres'!$Q:$Q,MATCH($D1219,'Paramètres'!$M:$M,0))&amp;"",""))</f>
        <v/>
      </c>
      <c r="O1219" s="6" t="str">
        <f>IF($A1219="","",IF(OR($J1219&lt;&gt;"x",$A1219&lt;=FinReleve),1,0))</f>
        <v/>
      </c>
      <c r="P1219" s="6" t="str">
        <f>IF($D1219="","",IF(AND($L1219="Crédit",OR(IFERROR(INDEX('Paramètres'!$O:$O,MATCH($D1219,'Paramètres'!$M:$M,0))&amp;"","")&lt;&gt;"",ISNUMBER(SEARCH("remboursement",IFERROR(INDEX('Paramètres'!$N:$N,MATCH($D1219,'Paramètres'!$M:$M,0))&amp;"",""))))),1,0))</f>
        <v/>
      </c>
      <c r="Q1219" s="6" t="str">
        <f>IF($K1219="","",IF(ISNUMBER(SEARCH("transfert-interne",IFERROR(INDEX('Paramètres'!$N:$N,MATCH($D1219,'Paramètres'!$M:$M,0))&amp;"",""))),0,IF($L1219="Débit",$K1219,IF($P1219=1,-$K1219,0))))</f>
        <v/>
      </c>
      <c r="R1219" s="6" t="str">
        <f>IF($K1219="","",IF($L1219="Crédit",$K1219,-$K1219))</f>
        <v/>
      </c>
      <c r="S1219" s="6" t="str">
        <f>IF($C1219="","",IFERROR(INDEX('Paramètres'!$H:$H,MATCH($C1219,'Paramètres'!$D:$D,0))&amp;"",""))</f>
        <v/>
      </c>
      <c r="T1219" s="6" t="str">
        <f>IF($K1219="","",IF($S1219="",0,IF(ISNUMBER(SEARCH("apport-exterieur",IFERROR(INDEX('Paramètres'!$N:$N,MATCH($D1219,'Paramètres'!$M:$M,0))&amp;"",""))),0,IF(OR(IFERROR(INDEX('Paramètres'!$I:$I,MATCH($C1219,'Paramètres'!$D:$D,0))&amp;"","")="Les deux",IFERROR(INDEX('Paramètres'!$I:$I,MATCH($C1219,'Paramètres'!$D:$D,0))&amp;"","")=IF($P1219=1,"Débit",$L1219)),-IF($P1219=1,-$K1219,$K1219),0))))</f>
        <v/>
      </c>
      <c r="U1219" s="6" t="str">
        <f>IF($K1219="","",IF(ISNUMBER(SEARCH("sortie-epargne",IFERROR(INDEX('Paramètres'!$N:$N,MATCH($D1219,'Paramètres'!$M:$M,0))&amp;"",""))),$K1219,0))</f>
        <v/>
      </c>
      <c r="V1219" s="6" t="str">
        <f>IF(AND($A1219&lt;&gt;"",$O1219=1,$L1219="Débit",N($Q1219)&gt;0,$A1219&gt;=Visualisation!$B$1,$A1219&lt;Visualisation!$D$1),MAX($V$1:V1218)+1,"")</f>
        <v/>
      </c>
    </row>
    <row r="1220" spans="1:22" x14ac:dyDescent="0.25">
      <c r="A1220" s="9"/>
      <c r="E1220" s="10"/>
      <c r="K1220" s="11" t="str">
        <f>IF($E1220="","",ROUND($E1220*IF(ISNA(MATCH($C1220,'Paramètres'!$D:$D,0)),1,IF(INDEX('Paramètres'!$J:$J,MATCH($C1220,'Paramètres'!$D:$D,0))="",1,INDEX('Paramètres'!$J:$J,MATCH($C1220,'Paramètres'!$D:$D,0)))),2))</f>
        <v/>
      </c>
      <c r="L1220" s="6" t="str">
        <f>IF($D1220="","",IF($F1220&lt;&gt;"",$F1220,IF(ISNA(MATCH($D1220,'Paramètres'!$M:$M,0)),"⚠ Type inconnu",IFERROR(INDEX('Paramètres'!$P:$P,MATCH($D1220,'Paramètres'!$M:$M,0))&amp;"",""))))</f>
        <v/>
      </c>
      <c r="M1220" s="6" t="str">
        <f>IF($D1220="","",IF(ISNA(MATCH($D1220,'Paramètres'!$M:$M,0)),"⚠ Type inconnu",IF($L1220="Crédit","",IFERROR(INDEX('Paramètres'!$O:$O,MATCH($D1220,'Paramètres'!$M:$M,0))&amp;"",""))))</f>
        <v/>
      </c>
      <c r="N1220" s="6" t="str">
        <f>IF($D1220="","",IFERROR(INDEX('Paramètres'!$Q:$Q,MATCH($D1220,'Paramètres'!$M:$M,0))&amp;"",""))</f>
        <v/>
      </c>
      <c r="O1220" s="6" t="str">
        <f>IF($A1220="","",IF(OR($J1220&lt;&gt;"x",$A1220&lt;=FinReleve),1,0))</f>
        <v/>
      </c>
      <c r="P1220" s="6" t="str">
        <f>IF($D1220="","",IF(AND($L1220="Crédit",OR(IFERROR(INDEX('Paramètres'!$O:$O,MATCH($D1220,'Paramètres'!$M:$M,0))&amp;"","")&lt;&gt;"",ISNUMBER(SEARCH("remboursement",IFERROR(INDEX('Paramètres'!$N:$N,MATCH($D1220,'Paramètres'!$M:$M,0))&amp;"",""))))),1,0))</f>
        <v/>
      </c>
      <c r="Q1220" s="6" t="str">
        <f>IF($K1220="","",IF(ISNUMBER(SEARCH("transfert-interne",IFERROR(INDEX('Paramètres'!$N:$N,MATCH($D1220,'Paramètres'!$M:$M,0))&amp;"",""))),0,IF($L1220="Débit",$K1220,IF($P1220=1,-$K1220,0))))</f>
        <v/>
      </c>
      <c r="R1220" s="6" t="str">
        <f>IF($K1220="","",IF($L1220="Crédit",$K1220,-$K1220))</f>
        <v/>
      </c>
      <c r="S1220" s="6" t="str">
        <f>IF($C1220="","",IFERROR(INDEX('Paramètres'!$H:$H,MATCH($C1220,'Paramètres'!$D:$D,0))&amp;"",""))</f>
        <v/>
      </c>
      <c r="T1220" s="6" t="str">
        <f>IF($K1220="","",IF($S1220="",0,IF(ISNUMBER(SEARCH("apport-exterieur",IFERROR(INDEX('Paramètres'!$N:$N,MATCH($D1220,'Paramètres'!$M:$M,0))&amp;"",""))),0,IF(OR(IFERROR(INDEX('Paramètres'!$I:$I,MATCH($C1220,'Paramètres'!$D:$D,0))&amp;"","")="Les deux",IFERROR(INDEX('Paramètres'!$I:$I,MATCH($C1220,'Paramètres'!$D:$D,0))&amp;"","")=IF($P1220=1,"Débit",$L1220)),-IF($P1220=1,-$K1220,$K1220),0))))</f>
        <v/>
      </c>
      <c r="U1220" s="6" t="str">
        <f>IF($K1220="","",IF(ISNUMBER(SEARCH("sortie-epargne",IFERROR(INDEX('Paramètres'!$N:$N,MATCH($D1220,'Paramètres'!$M:$M,0))&amp;"",""))),$K1220,0))</f>
        <v/>
      </c>
      <c r="V1220" s="6" t="str">
        <f>IF(AND($A1220&lt;&gt;"",$O1220=1,$L1220="Débit",N($Q1220)&gt;0,$A1220&gt;=Visualisation!$B$1,$A1220&lt;Visualisation!$D$1),MAX($V$1:V1219)+1,"")</f>
        <v/>
      </c>
    </row>
    <row r="1221" spans="1:22" x14ac:dyDescent="0.25">
      <c r="A1221" s="9"/>
      <c r="E1221" s="10"/>
      <c r="K1221" s="11" t="str">
        <f>IF($E1221="","",ROUND($E1221*IF(ISNA(MATCH($C1221,'Paramètres'!$D:$D,0)),1,IF(INDEX('Paramètres'!$J:$J,MATCH($C1221,'Paramètres'!$D:$D,0))="",1,INDEX('Paramètres'!$J:$J,MATCH($C1221,'Paramètres'!$D:$D,0)))),2))</f>
        <v/>
      </c>
      <c r="L1221" s="6" t="str">
        <f>IF($D1221="","",IF($F1221&lt;&gt;"",$F1221,IF(ISNA(MATCH($D1221,'Paramètres'!$M:$M,0)),"⚠ Type inconnu",IFERROR(INDEX('Paramètres'!$P:$P,MATCH($D1221,'Paramètres'!$M:$M,0))&amp;"",""))))</f>
        <v/>
      </c>
      <c r="M1221" s="6" t="str">
        <f>IF($D1221="","",IF(ISNA(MATCH($D1221,'Paramètres'!$M:$M,0)),"⚠ Type inconnu",IF($L1221="Crédit","",IFERROR(INDEX('Paramètres'!$O:$O,MATCH($D1221,'Paramètres'!$M:$M,0))&amp;"",""))))</f>
        <v/>
      </c>
      <c r="N1221" s="6" t="str">
        <f>IF($D1221="","",IFERROR(INDEX('Paramètres'!$Q:$Q,MATCH($D1221,'Paramètres'!$M:$M,0))&amp;"",""))</f>
        <v/>
      </c>
      <c r="O1221" s="6" t="str">
        <f>IF($A1221="","",IF(OR($J1221&lt;&gt;"x",$A1221&lt;=FinReleve),1,0))</f>
        <v/>
      </c>
      <c r="P1221" s="6" t="str">
        <f>IF($D1221="","",IF(AND($L1221="Crédit",OR(IFERROR(INDEX('Paramètres'!$O:$O,MATCH($D1221,'Paramètres'!$M:$M,0))&amp;"","")&lt;&gt;"",ISNUMBER(SEARCH("remboursement",IFERROR(INDEX('Paramètres'!$N:$N,MATCH($D1221,'Paramètres'!$M:$M,0))&amp;"",""))))),1,0))</f>
        <v/>
      </c>
      <c r="Q1221" s="6" t="str">
        <f>IF($K1221="","",IF(ISNUMBER(SEARCH("transfert-interne",IFERROR(INDEX('Paramètres'!$N:$N,MATCH($D1221,'Paramètres'!$M:$M,0))&amp;"",""))),0,IF($L1221="Débit",$K1221,IF($P1221=1,-$K1221,0))))</f>
        <v/>
      </c>
      <c r="R1221" s="6" t="str">
        <f>IF($K1221="","",IF($L1221="Crédit",$K1221,-$K1221))</f>
        <v/>
      </c>
      <c r="S1221" s="6" t="str">
        <f>IF($C1221="","",IFERROR(INDEX('Paramètres'!$H:$H,MATCH($C1221,'Paramètres'!$D:$D,0))&amp;"",""))</f>
        <v/>
      </c>
      <c r="T1221" s="6" t="str">
        <f>IF($K1221="","",IF($S1221="",0,IF(ISNUMBER(SEARCH("apport-exterieur",IFERROR(INDEX('Paramètres'!$N:$N,MATCH($D1221,'Paramètres'!$M:$M,0))&amp;"",""))),0,IF(OR(IFERROR(INDEX('Paramètres'!$I:$I,MATCH($C1221,'Paramètres'!$D:$D,0))&amp;"","")="Les deux",IFERROR(INDEX('Paramètres'!$I:$I,MATCH($C1221,'Paramètres'!$D:$D,0))&amp;"","")=IF($P1221=1,"Débit",$L1221)),-IF($P1221=1,-$K1221,$K1221),0))))</f>
        <v/>
      </c>
      <c r="U1221" s="6" t="str">
        <f>IF($K1221="","",IF(ISNUMBER(SEARCH("sortie-epargne",IFERROR(INDEX('Paramètres'!$N:$N,MATCH($D1221,'Paramètres'!$M:$M,0))&amp;"",""))),$K1221,0))</f>
        <v/>
      </c>
      <c r="V1221" s="6" t="str">
        <f>IF(AND($A1221&lt;&gt;"",$O1221=1,$L1221="Débit",N($Q1221)&gt;0,$A1221&gt;=Visualisation!$B$1,$A1221&lt;Visualisation!$D$1),MAX($V$1:V1220)+1,"")</f>
        <v/>
      </c>
    </row>
    <row r="1222" spans="1:22" x14ac:dyDescent="0.25">
      <c r="A1222" s="9"/>
      <c r="E1222" s="10"/>
      <c r="K1222" s="11" t="str">
        <f>IF($E1222="","",ROUND($E1222*IF(ISNA(MATCH($C1222,'Paramètres'!$D:$D,0)),1,IF(INDEX('Paramètres'!$J:$J,MATCH($C1222,'Paramètres'!$D:$D,0))="",1,INDEX('Paramètres'!$J:$J,MATCH($C1222,'Paramètres'!$D:$D,0)))),2))</f>
        <v/>
      </c>
      <c r="L1222" s="6" t="str">
        <f>IF($D1222="","",IF($F1222&lt;&gt;"",$F1222,IF(ISNA(MATCH($D1222,'Paramètres'!$M:$M,0)),"⚠ Type inconnu",IFERROR(INDEX('Paramètres'!$P:$P,MATCH($D1222,'Paramètres'!$M:$M,0))&amp;"",""))))</f>
        <v/>
      </c>
      <c r="M1222" s="6" t="str">
        <f>IF($D1222="","",IF(ISNA(MATCH($D1222,'Paramètres'!$M:$M,0)),"⚠ Type inconnu",IF($L1222="Crédit","",IFERROR(INDEX('Paramètres'!$O:$O,MATCH($D1222,'Paramètres'!$M:$M,0))&amp;"",""))))</f>
        <v/>
      </c>
      <c r="N1222" s="6" t="str">
        <f>IF($D1222="","",IFERROR(INDEX('Paramètres'!$Q:$Q,MATCH($D1222,'Paramètres'!$M:$M,0))&amp;"",""))</f>
        <v/>
      </c>
      <c r="O1222" s="6" t="str">
        <f>IF($A1222="","",IF(OR($J1222&lt;&gt;"x",$A1222&lt;=FinReleve),1,0))</f>
        <v/>
      </c>
      <c r="P1222" s="6" t="str">
        <f>IF($D1222="","",IF(AND($L1222="Crédit",OR(IFERROR(INDEX('Paramètres'!$O:$O,MATCH($D1222,'Paramètres'!$M:$M,0))&amp;"","")&lt;&gt;"",ISNUMBER(SEARCH("remboursement",IFERROR(INDEX('Paramètres'!$N:$N,MATCH($D1222,'Paramètres'!$M:$M,0))&amp;"",""))))),1,0))</f>
        <v/>
      </c>
      <c r="Q1222" s="6" t="str">
        <f>IF($K1222="","",IF(ISNUMBER(SEARCH("transfert-interne",IFERROR(INDEX('Paramètres'!$N:$N,MATCH($D1222,'Paramètres'!$M:$M,0))&amp;"",""))),0,IF($L1222="Débit",$K1222,IF($P1222=1,-$K1222,0))))</f>
        <v/>
      </c>
      <c r="R1222" s="6" t="str">
        <f>IF($K1222="","",IF($L1222="Crédit",$K1222,-$K1222))</f>
        <v/>
      </c>
      <c r="S1222" s="6" t="str">
        <f>IF($C1222="","",IFERROR(INDEX('Paramètres'!$H:$H,MATCH($C1222,'Paramètres'!$D:$D,0))&amp;"",""))</f>
        <v/>
      </c>
      <c r="T1222" s="6" t="str">
        <f>IF($K1222="","",IF($S1222="",0,IF(ISNUMBER(SEARCH("apport-exterieur",IFERROR(INDEX('Paramètres'!$N:$N,MATCH($D1222,'Paramètres'!$M:$M,0))&amp;"",""))),0,IF(OR(IFERROR(INDEX('Paramètres'!$I:$I,MATCH($C1222,'Paramètres'!$D:$D,0))&amp;"","")="Les deux",IFERROR(INDEX('Paramètres'!$I:$I,MATCH($C1222,'Paramètres'!$D:$D,0))&amp;"","")=IF($P1222=1,"Débit",$L1222)),-IF($P1222=1,-$K1222,$K1222),0))))</f>
        <v/>
      </c>
      <c r="U1222" s="6" t="str">
        <f>IF($K1222="","",IF(ISNUMBER(SEARCH("sortie-epargne",IFERROR(INDEX('Paramètres'!$N:$N,MATCH($D1222,'Paramètres'!$M:$M,0))&amp;"",""))),$K1222,0))</f>
        <v/>
      </c>
      <c r="V1222" s="6" t="str">
        <f>IF(AND($A1222&lt;&gt;"",$O1222=1,$L1222="Débit",N($Q1222)&gt;0,$A1222&gt;=Visualisation!$B$1,$A1222&lt;Visualisation!$D$1),MAX($V$1:V1221)+1,"")</f>
        <v/>
      </c>
    </row>
    <row r="1223" spans="1:22" x14ac:dyDescent="0.25">
      <c r="A1223" s="9"/>
      <c r="E1223" s="10"/>
      <c r="K1223" s="11" t="str">
        <f>IF($E1223="","",ROUND($E1223*IF(ISNA(MATCH($C1223,'Paramètres'!$D:$D,0)),1,IF(INDEX('Paramètres'!$J:$J,MATCH($C1223,'Paramètres'!$D:$D,0))="",1,INDEX('Paramètres'!$J:$J,MATCH($C1223,'Paramètres'!$D:$D,0)))),2))</f>
        <v/>
      </c>
      <c r="L1223" s="6" t="str">
        <f>IF($D1223="","",IF($F1223&lt;&gt;"",$F1223,IF(ISNA(MATCH($D1223,'Paramètres'!$M:$M,0)),"⚠ Type inconnu",IFERROR(INDEX('Paramètres'!$P:$P,MATCH($D1223,'Paramètres'!$M:$M,0))&amp;"",""))))</f>
        <v/>
      </c>
      <c r="M1223" s="6" t="str">
        <f>IF($D1223="","",IF(ISNA(MATCH($D1223,'Paramètres'!$M:$M,0)),"⚠ Type inconnu",IF($L1223="Crédit","",IFERROR(INDEX('Paramètres'!$O:$O,MATCH($D1223,'Paramètres'!$M:$M,0))&amp;"",""))))</f>
        <v/>
      </c>
      <c r="N1223" s="6" t="str">
        <f>IF($D1223="","",IFERROR(INDEX('Paramètres'!$Q:$Q,MATCH($D1223,'Paramètres'!$M:$M,0))&amp;"",""))</f>
        <v/>
      </c>
      <c r="O1223" s="6" t="str">
        <f>IF($A1223="","",IF(OR($J1223&lt;&gt;"x",$A1223&lt;=FinReleve),1,0))</f>
        <v/>
      </c>
      <c r="P1223" s="6" t="str">
        <f>IF($D1223="","",IF(AND($L1223="Crédit",OR(IFERROR(INDEX('Paramètres'!$O:$O,MATCH($D1223,'Paramètres'!$M:$M,0))&amp;"","")&lt;&gt;"",ISNUMBER(SEARCH("remboursement",IFERROR(INDEX('Paramètres'!$N:$N,MATCH($D1223,'Paramètres'!$M:$M,0))&amp;"",""))))),1,0))</f>
        <v/>
      </c>
      <c r="Q1223" s="6" t="str">
        <f>IF($K1223="","",IF(ISNUMBER(SEARCH("transfert-interne",IFERROR(INDEX('Paramètres'!$N:$N,MATCH($D1223,'Paramètres'!$M:$M,0))&amp;"",""))),0,IF($L1223="Débit",$K1223,IF($P1223=1,-$K1223,0))))</f>
        <v/>
      </c>
      <c r="R1223" s="6" t="str">
        <f>IF($K1223="","",IF($L1223="Crédit",$K1223,-$K1223))</f>
        <v/>
      </c>
      <c r="S1223" s="6" t="str">
        <f>IF($C1223="","",IFERROR(INDEX('Paramètres'!$H:$H,MATCH($C1223,'Paramètres'!$D:$D,0))&amp;"",""))</f>
        <v/>
      </c>
      <c r="T1223" s="6" t="str">
        <f>IF($K1223="","",IF($S1223="",0,IF(ISNUMBER(SEARCH("apport-exterieur",IFERROR(INDEX('Paramètres'!$N:$N,MATCH($D1223,'Paramètres'!$M:$M,0))&amp;"",""))),0,IF(OR(IFERROR(INDEX('Paramètres'!$I:$I,MATCH($C1223,'Paramètres'!$D:$D,0))&amp;"","")="Les deux",IFERROR(INDEX('Paramètres'!$I:$I,MATCH($C1223,'Paramètres'!$D:$D,0))&amp;"","")=IF($P1223=1,"Débit",$L1223)),-IF($P1223=1,-$K1223,$K1223),0))))</f>
        <v/>
      </c>
      <c r="U1223" s="6" t="str">
        <f>IF($K1223="","",IF(ISNUMBER(SEARCH("sortie-epargne",IFERROR(INDEX('Paramètres'!$N:$N,MATCH($D1223,'Paramètres'!$M:$M,0))&amp;"",""))),$K1223,0))</f>
        <v/>
      </c>
      <c r="V1223" s="6" t="str">
        <f>IF(AND($A1223&lt;&gt;"",$O1223=1,$L1223="Débit",N($Q1223)&gt;0,$A1223&gt;=Visualisation!$B$1,$A1223&lt;Visualisation!$D$1),MAX($V$1:V1222)+1,"")</f>
        <v/>
      </c>
    </row>
    <row r="1224" spans="1:22" x14ac:dyDescent="0.25">
      <c r="A1224" s="9"/>
      <c r="E1224" s="10"/>
      <c r="K1224" s="11" t="str">
        <f>IF($E1224="","",ROUND($E1224*IF(ISNA(MATCH($C1224,'Paramètres'!$D:$D,0)),1,IF(INDEX('Paramètres'!$J:$J,MATCH($C1224,'Paramètres'!$D:$D,0))="",1,INDEX('Paramètres'!$J:$J,MATCH($C1224,'Paramètres'!$D:$D,0)))),2))</f>
        <v/>
      </c>
      <c r="L1224" s="6" t="str">
        <f>IF($D1224="","",IF($F1224&lt;&gt;"",$F1224,IF(ISNA(MATCH($D1224,'Paramètres'!$M:$M,0)),"⚠ Type inconnu",IFERROR(INDEX('Paramètres'!$P:$P,MATCH($D1224,'Paramètres'!$M:$M,0))&amp;"",""))))</f>
        <v/>
      </c>
      <c r="M1224" s="6" t="str">
        <f>IF($D1224="","",IF(ISNA(MATCH($D1224,'Paramètres'!$M:$M,0)),"⚠ Type inconnu",IF($L1224="Crédit","",IFERROR(INDEX('Paramètres'!$O:$O,MATCH($D1224,'Paramètres'!$M:$M,0))&amp;"",""))))</f>
        <v/>
      </c>
      <c r="N1224" s="6" t="str">
        <f>IF($D1224="","",IFERROR(INDEX('Paramètres'!$Q:$Q,MATCH($D1224,'Paramètres'!$M:$M,0))&amp;"",""))</f>
        <v/>
      </c>
      <c r="O1224" s="6" t="str">
        <f>IF($A1224="","",IF(OR($J1224&lt;&gt;"x",$A1224&lt;=FinReleve),1,0))</f>
        <v/>
      </c>
      <c r="P1224" s="6" t="str">
        <f>IF($D1224="","",IF(AND($L1224="Crédit",OR(IFERROR(INDEX('Paramètres'!$O:$O,MATCH($D1224,'Paramètres'!$M:$M,0))&amp;"","")&lt;&gt;"",ISNUMBER(SEARCH("remboursement",IFERROR(INDEX('Paramètres'!$N:$N,MATCH($D1224,'Paramètres'!$M:$M,0))&amp;"",""))))),1,0))</f>
        <v/>
      </c>
      <c r="Q1224" s="6" t="str">
        <f>IF($K1224="","",IF(ISNUMBER(SEARCH("transfert-interne",IFERROR(INDEX('Paramètres'!$N:$N,MATCH($D1224,'Paramètres'!$M:$M,0))&amp;"",""))),0,IF($L1224="Débit",$K1224,IF($P1224=1,-$K1224,0))))</f>
        <v/>
      </c>
      <c r="R1224" s="6" t="str">
        <f>IF($K1224="","",IF($L1224="Crédit",$K1224,-$K1224))</f>
        <v/>
      </c>
      <c r="S1224" s="6" t="str">
        <f>IF($C1224="","",IFERROR(INDEX('Paramètres'!$H:$H,MATCH($C1224,'Paramètres'!$D:$D,0))&amp;"",""))</f>
        <v/>
      </c>
      <c r="T1224" s="6" t="str">
        <f>IF($K1224="","",IF($S1224="",0,IF(ISNUMBER(SEARCH("apport-exterieur",IFERROR(INDEX('Paramètres'!$N:$N,MATCH($D1224,'Paramètres'!$M:$M,0))&amp;"",""))),0,IF(OR(IFERROR(INDEX('Paramètres'!$I:$I,MATCH($C1224,'Paramètres'!$D:$D,0))&amp;"","")="Les deux",IFERROR(INDEX('Paramètres'!$I:$I,MATCH($C1224,'Paramètres'!$D:$D,0))&amp;"","")=IF($P1224=1,"Débit",$L1224)),-IF($P1224=1,-$K1224,$K1224),0))))</f>
        <v/>
      </c>
      <c r="U1224" s="6" t="str">
        <f>IF($K1224="","",IF(ISNUMBER(SEARCH("sortie-epargne",IFERROR(INDEX('Paramètres'!$N:$N,MATCH($D1224,'Paramètres'!$M:$M,0))&amp;"",""))),$K1224,0))</f>
        <v/>
      </c>
      <c r="V1224" s="6" t="str">
        <f>IF(AND($A1224&lt;&gt;"",$O1224=1,$L1224="Débit",N($Q1224)&gt;0,$A1224&gt;=Visualisation!$B$1,$A1224&lt;Visualisation!$D$1),MAX($V$1:V1223)+1,"")</f>
        <v/>
      </c>
    </row>
    <row r="1225" spans="1:22" x14ac:dyDescent="0.25">
      <c r="A1225" s="9"/>
      <c r="E1225" s="10"/>
      <c r="K1225" s="11" t="str">
        <f>IF($E1225="","",ROUND($E1225*IF(ISNA(MATCH($C1225,'Paramètres'!$D:$D,0)),1,IF(INDEX('Paramètres'!$J:$J,MATCH($C1225,'Paramètres'!$D:$D,0))="",1,INDEX('Paramètres'!$J:$J,MATCH($C1225,'Paramètres'!$D:$D,0)))),2))</f>
        <v/>
      </c>
      <c r="L1225" s="6" t="str">
        <f>IF($D1225="","",IF($F1225&lt;&gt;"",$F1225,IF(ISNA(MATCH($D1225,'Paramètres'!$M:$M,0)),"⚠ Type inconnu",IFERROR(INDEX('Paramètres'!$P:$P,MATCH($D1225,'Paramètres'!$M:$M,0))&amp;"",""))))</f>
        <v/>
      </c>
      <c r="M1225" s="6" t="str">
        <f>IF($D1225="","",IF(ISNA(MATCH($D1225,'Paramètres'!$M:$M,0)),"⚠ Type inconnu",IF($L1225="Crédit","",IFERROR(INDEX('Paramètres'!$O:$O,MATCH($D1225,'Paramètres'!$M:$M,0))&amp;"",""))))</f>
        <v/>
      </c>
      <c r="N1225" s="6" t="str">
        <f>IF($D1225="","",IFERROR(INDEX('Paramètres'!$Q:$Q,MATCH($D1225,'Paramètres'!$M:$M,0))&amp;"",""))</f>
        <v/>
      </c>
      <c r="O1225" s="6" t="str">
        <f>IF($A1225="","",IF(OR($J1225&lt;&gt;"x",$A1225&lt;=FinReleve),1,0))</f>
        <v/>
      </c>
      <c r="P1225" s="6" t="str">
        <f>IF($D1225="","",IF(AND($L1225="Crédit",OR(IFERROR(INDEX('Paramètres'!$O:$O,MATCH($D1225,'Paramètres'!$M:$M,0))&amp;"","")&lt;&gt;"",ISNUMBER(SEARCH("remboursement",IFERROR(INDEX('Paramètres'!$N:$N,MATCH($D1225,'Paramètres'!$M:$M,0))&amp;"",""))))),1,0))</f>
        <v/>
      </c>
      <c r="Q1225" s="6" t="str">
        <f>IF($K1225="","",IF(ISNUMBER(SEARCH("transfert-interne",IFERROR(INDEX('Paramètres'!$N:$N,MATCH($D1225,'Paramètres'!$M:$M,0))&amp;"",""))),0,IF($L1225="Débit",$K1225,IF($P1225=1,-$K1225,0))))</f>
        <v/>
      </c>
      <c r="R1225" s="6" t="str">
        <f>IF($K1225="","",IF($L1225="Crédit",$K1225,-$K1225))</f>
        <v/>
      </c>
      <c r="S1225" s="6" t="str">
        <f>IF($C1225="","",IFERROR(INDEX('Paramètres'!$H:$H,MATCH($C1225,'Paramètres'!$D:$D,0))&amp;"",""))</f>
        <v/>
      </c>
      <c r="T1225" s="6" t="str">
        <f>IF($K1225="","",IF($S1225="",0,IF(ISNUMBER(SEARCH("apport-exterieur",IFERROR(INDEX('Paramètres'!$N:$N,MATCH($D1225,'Paramètres'!$M:$M,0))&amp;"",""))),0,IF(OR(IFERROR(INDEX('Paramètres'!$I:$I,MATCH($C1225,'Paramètres'!$D:$D,0))&amp;"","")="Les deux",IFERROR(INDEX('Paramètres'!$I:$I,MATCH($C1225,'Paramètres'!$D:$D,0))&amp;"","")=IF($P1225=1,"Débit",$L1225)),-IF($P1225=1,-$K1225,$K1225),0))))</f>
        <v/>
      </c>
      <c r="U1225" s="6" t="str">
        <f>IF($K1225="","",IF(ISNUMBER(SEARCH("sortie-epargne",IFERROR(INDEX('Paramètres'!$N:$N,MATCH($D1225,'Paramètres'!$M:$M,0))&amp;"",""))),$K1225,0))</f>
        <v/>
      </c>
      <c r="V1225" s="6" t="str">
        <f>IF(AND($A1225&lt;&gt;"",$O1225=1,$L1225="Débit",N($Q1225)&gt;0,$A1225&gt;=Visualisation!$B$1,$A1225&lt;Visualisation!$D$1),MAX($V$1:V1224)+1,"")</f>
        <v/>
      </c>
    </row>
    <row r="1226" spans="1:22" x14ac:dyDescent="0.25">
      <c r="A1226" s="9"/>
      <c r="E1226" s="10"/>
      <c r="K1226" s="11" t="str">
        <f>IF($E1226="","",ROUND($E1226*IF(ISNA(MATCH($C1226,'Paramètres'!$D:$D,0)),1,IF(INDEX('Paramètres'!$J:$J,MATCH($C1226,'Paramètres'!$D:$D,0))="",1,INDEX('Paramètres'!$J:$J,MATCH($C1226,'Paramètres'!$D:$D,0)))),2))</f>
        <v/>
      </c>
      <c r="L1226" s="6" t="str">
        <f>IF($D1226="","",IF($F1226&lt;&gt;"",$F1226,IF(ISNA(MATCH($D1226,'Paramètres'!$M:$M,0)),"⚠ Type inconnu",IFERROR(INDEX('Paramètres'!$P:$P,MATCH($D1226,'Paramètres'!$M:$M,0))&amp;"",""))))</f>
        <v/>
      </c>
      <c r="M1226" s="6" t="str">
        <f>IF($D1226="","",IF(ISNA(MATCH($D1226,'Paramètres'!$M:$M,0)),"⚠ Type inconnu",IF($L1226="Crédit","",IFERROR(INDEX('Paramètres'!$O:$O,MATCH($D1226,'Paramètres'!$M:$M,0))&amp;"",""))))</f>
        <v/>
      </c>
      <c r="N1226" s="6" t="str">
        <f>IF($D1226="","",IFERROR(INDEX('Paramètres'!$Q:$Q,MATCH($D1226,'Paramètres'!$M:$M,0))&amp;"",""))</f>
        <v/>
      </c>
      <c r="O1226" s="6" t="str">
        <f>IF($A1226="","",IF(OR($J1226&lt;&gt;"x",$A1226&lt;=FinReleve),1,0))</f>
        <v/>
      </c>
      <c r="P1226" s="6" t="str">
        <f>IF($D1226="","",IF(AND($L1226="Crédit",OR(IFERROR(INDEX('Paramètres'!$O:$O,MATCH($D1226,'Paramètres'!$M:$M,0))&amp;"","")&lt;&gt;"",ISNUMBER(SEARCH("remboursement",IFERROR(INDEX('Paramètres'!$N:$N,MATCH($D1226,'Paramètres'!$M:$M,0))&amp;"",""))))),1,0))</f>
        <v/>
      </c>
      <c r="Q1226" s="6" t="str">
        <f>IF($K1226="","",IF(ISNUMBER(SEARCH("transfert-interne",IFERROR(INDEX('Paramètres'!$N:$N,MATCH($D1226,'Paramètres'!$M:$M,0))&amp;"",""))),0,IF($L1226="Débit",$K1226,IF($P1226=1,-$K1226,0))))</f>
        <v/>
      </c>
      <c r="R1226" s="6" t="str">
        <f>IF($K1226="","",IF($L1226="Crédit",$K1226,-$K1226))</f>
        <v/>
      </c>
      <c r="S1226" s="6" t="str">
        <f>IF($C1226="","",IFERROR(INDEX('Paramètres'!$H:$H,MATCH($C1226,'Paramètres'!$D:$D,0))&amp;"",""))</f>
        <v/>
      </c>
      <c r="T1226" s="6" t="str">
        <f>IF($K1226="","",IF($S1226="",0,IF(ISNUMBER(SEARCH("apport-exterieur",IFERROR(INDEX('Paramètres'!$N:$N,MATCH($D1226,'Paramètres'!$M:$M,0))&amp;"",""))),0,IF(OR(IFERROR(INDEX('Paramètres'!$I:$I,MATCH($C1226,'Paramètres'!$D:$D,0))&amp;"","")="Les deux",IFERROR(INDEX('Paramètres'!$I:$I,MATCH($C1226,'Paramètres'!$D:$D,0))&amp;"","")=IF($P1226=1,"Débit",$L1226)),-IF($P1226=1,-$K1226,$K1226),0))))</f>
        <v/>
      </c>
      <c r="U1226" s="6" t="str">
        <f>IF($K1226="","",IF(ISNUMBER(SEARCH("sortie-epargne",IFERROR(INDEX('Paramètres'!$N:$N,MATCH($D1226,'Paramètres'!$M:$M,0))&amp;"",""))),$K1226,0))</f>
        <v/>
      </c>
      <c r="V1226" s="6" t="str">
        <f>IF(AND($A1226&lt;&gt;"",$O1226=1,$L1226="Débit",N($Q1226)&gt;0,$A1226&gt;=Visualisation!$B$1,$A1226&lt;Visualisation!$D$1),MAX($V$1:V1225)+1,"")</f>
        <v/>
      </c>
    </row>
    <row r="1227" spans="1:22" x14ac:dyDescent="0.25">
      <c r="A1227" s="9"/>
      <c r="E1227" s="10"/>
      <c r="K1227" s="11" t="str">
        <f>IF($E1227="","",ROUND($E1227*IF(ISNA(MATCH($C1227,'Paramètres'!$D:$D,0)),1,IF(INDEX('Paramètres'!$J:$J,MATCH($C1227,'Paramètres'!$D:$D,0))="",1,INDEX('Paramètres'!$J:$J,MATCH($C1227,'Paramètres'!$D:$D,0)))),2))</f>
        <v/>
      </c>
      <c r="L1227" s="6" t="str">
        <f>IF($D1227="","",IF($F1227&lt;&gt;"",$F1227,IF(ISNA(MATCH($D1227,'Paramètres'!$M:$M,0)),"⚠ Type inconnu",IFERROR(INDEX('Paramètres'!$P:$P,MATCH($D1227,'Paramètres'!$M:$M,0))&amp;"",""))))</f>
        <v/>
      </c>
      <c r="M1227" s="6" t="str">
        <f>IF($D1227="","",IF(ISNA(MATCH($D1227,'Paramètres'!$M:$M,0)),"⚠ Type inconnu",IF($L1227="Crédit","",IFERROR(INDEX('Paramètres'!$O:$O,MATCH($D1227,'Paramètres'!$M:$M,0))&amp;"",""))))</f>
        <v/>
      </c>
      <c r="N1227" s="6" t="str">
        <f>IF($D1227="","",IFERROR(INDEX('Paramètres'!$Q:$Q,MATCH($D1227,'Paramètres'!$M:$M,0))&amp;"",""))</f>
        <v/>
      </c>
      <c r="O1227" s="6" t="str">
        <f>IF($A1227="","",IF(OR($J1227&lt;&gt;"x",$A1227&lt;=FinReleve),1,0))</f>
        <v/>
      </c>
      <c r="P1227" s="6" t="str">
        <f>IF($D1227="","",IF(AND($L1227="Crédit",OR(IFERROR(INDEX('Paramètres'!$O:$O,MATCH($D1227,'Paramètres'!$M:$M,0))&amp;"","")&lt;&gt;"",ISNUMBER(SEARCH("remboursement",IFERROR(INDEX('Paramètres'!$N:$N,MATCH($D1227,'Paramètres'!$M:$M,0))&amp;"",""))))),1,0))</f>
        <v/>
      </c>
      <c r="Q1227" s="6" t="str">
        <f>IF($K1227="","",IF(ISNUMBER(SEARCH("transfert-interne",IFERROR(INDEX('Paramètres'!$N:$N,MATCH($D1227,'Paramètres'!$M:$M,0))&amp;"",""))),0,IF($L1227="Débit",$K1227,IF($P1227=1,-$K1227,0))))</f>
        <v/>
      </c>
      <c r="R1227" s="6" t="str">
        <f>IF($K1227="","",IF($L1227="Crédit",$K1227,-$K1227))</f>
        <v/>
      </c>
      <c r="S1227" s="6" t="str">
        <f>IF($C1227="","",IFERROR(INDEX('Paramètres'!$H:$H,MATCH($C1227,'Paramètres'!$D:$D,0))&amp;"",""))</f>
        <v/>
      </c>
      <c r="T1227" s="6" t="str">
        <f>IF($K1227="","",IF($S1227="",0,IF(ISNUMBER(SEARCH("apport-exterieur",IFERROR(INDEX('Paramètres'!$N:$N,MATCH($D1227,'Paramètres'!$M:$M,0))&amp;"",""))),0,IF(OR(IFERROR(INDEX('Paramètres'!$I:$I,MATCH($C1227,'Paramètres'!$D:$D,0))&amp;"","")="Les deux",IFERROR(INDEX('Paramètres'!$I:$I,MATCH($C1227,'Paramètres'!$D:$D,0))&amp;"","")=IF($P1227=1,"Débit",$L1227)),-IF($P1227=1,-$K1227,$K1227),0))))</f>
        <v/>
      </c>
      <c r="U1227" s="6" t="str">
        <f>IF($K1227="","",IF(ISNUMBER(SEARCH("sortie-epargne",IFERROR(INDEX('Paramètres'!$N:$N,MATCH($D1227,'Paramètres'!$M:$M,0))&amp;"",""))),$K1227,0))</f>
        <v/>
      </c>
      <c r="V1227" s="6" t="str">
        <f>IF(AND($A1227&lt;&gt;"",$O1227=1,$L1227="Débit",N($Q1227)&gt;0,$A1227&gt;=Visualisation!$B$1,$A1227&lt;Visualisation!$D$1),MAX($V$1:V1226)+1,"")</f>
        <v/>
      </c>
    </row>
    <row r="1228" spans="1:22" x14ac:dyDescent="0.25">
      <c r="A1228" s="9"/>
      <c r="E1228" s="10"/>
      <c r="K1228" s="11" t="str">
        <f>IF($E1228="","",ROUND($E1228*IF(ISNA(MATCH($C1228,'Paramètres'!$D:$D,0)),1,IF(INDEX('Paramètres'!$J:$J,MATCH($C1228,'Paramètres'!$D:$D,0))="",1,INDEX('Paramètres'!$J:$J,MATCH($C1228,'Paramètres'!$D:$D,0)))),2))</f>
        <v/>
      </c>
      <c r="L1228" s="6" t="str">
        <f>IF($D1228="","",IF($F1228&lt;&gt;"",$F1228,IF(ISNA(MATCH($D1228,'Paramètres'!$M:$M,0)),"⚠ Type inconnu",IFERROR(INDEX('Paramètres'!$P:$P,MATCH($D1228,'Paramètres'!$M:$M,0))&amp;"",""))))</f>
        <v/>
      </c>
      <c r="M1228" s="6" t="str">
        <f>IF($D1228="","",IF(ISNA(MATCH($D1228,'Paramètres'!$M:$M,0)),"⚠ Type inconnu",IF($L1228="Crédit","",IFERROR(INDEX('Paramètres'!$O:$O,MATCH($D1228,'Paramètres'!$M:$M,0))&amp;"",""))))</f>
        <v/>
      </c>
      <c r="N1228" s="6" t="str">
        <f>IF($D1228="","",IFERROR(INDEX('Paramètres'!$Q:$Q,MATCH($D1228,'Paramètres'!$M:$M,0))&amp;"",""))</f>
        <v/>
      </c>
      <c r="O1228" s="6" t="str">
        <f>IF($A1228="","",IF(OR($J1228&lt;&gt;"x",$A1228&lt;=FinReleve),1,0))</f>
        <v/>
      </c>
      <c r="P1228" s="6" t="str">
        <f>IF($D1228="","",IF(AND($L1228="Crédit",OR(IFERROR(INDEX('Paramètres'!$O:$O,MATCH($D1228,'Paramètres'!$M:$M,0))&amp;"","")&lt;&gt;"",ISNUMBER(SEARCH("remboursement",IFERROR(INDEX('Paramètres'!$N:$N,MATCH($D1228,'Paramètres'!$M:$M,0))&amp;"",""))))),1,0))</f>
        <v/>
      </c>
      <c r="Q1228" s="6" t="str">
        <f>IF($K1228="","",IF(ISNUMBER(SEARCH("transfert-interne",IFERROR(INDEX('Paramètres'!$N:$N,MATCH($D1228,'Paramètres'!$M:$M,0))&amp;"",""))),0,IF($L1228="Débit",$K1228,IF($P1228=1,-$K1228,0))))</f>
        <v/>
      </c>
      <c r="R1228" s="6" t="str">
        <f>IF($K1228="","",IF($L1228="Crédit",$K1228,-$K1228))</f>
        <v/>
      </c>
      <c r="S1228" s="6" t="str">
        <f>IF($C1228="","",IFERROR(INDEX('Paramètres'!$H:$H,MATCH($C1228,'Paramètres'!$D:$D,0))&amp;"",""))</f>
        <v/>
      </c>
      <c r="T1228" s="6" t="str">
        <f>IF($K1228="","",IF($S1228="",0,IF(ISNUMBER(SEARCH("apport-exterieur",IFERROR(INDEX('Paramètres'!$N:$N,MATCH($D1228,'Paramètres'!$M:$M,0))&amp;"",""))),0,IF(OR(IFERROR(INDEX('Paramètres'!$I:$I,MATCH($C1228,'Paramètres'!$D:$D,0))&amp;"","")="Les deux",IFERROR(INDEX('Paramètres'!$I:$I,MATCH($C1228,'Paramètres'!$D:$D,0))&amp;"","")=IF($P1228=1,"Débit",$L1228)),-IF($P1228=1,-$K1228,$K1228),0))))</f>
        <v/>
      </c>
      <c r="U1228" s="6" t="str">
        <f>IF($K1228="","",IF(ISNUMBER(SEARCH("sortie-epargne",IFERROR(INDEX('Paramètres'!$N:$N,MATCH($D1228,'Paramètres'!$M:$M,0))&amp;"",""))),$K1228,0))</f>
        <v/>
      </c>
      <c r="V1228" s="6" t="str">
        <f>IF(AND($A1228&lt;&gt;"",$O1228=1,$L1228="Débit",N($Q1228)&gt;0,$A1228&gt;=Visualisation!$B$1,$A1228&lt;Visualisation!$D$1),MAX($V$1:V1227)+1,"")</f>
        <v/>
      </c>
    </row>
    <row r="1229" spans="1:22" x14ac:dyDescent="0.25">
      <c r="A1229" s="9"/>
      <c r="E1229" s="10"/>
      <c r="K1229" s="11" t="str">
        <f>IF($E1229="","",ROUND($E1229*IF(ISNA(MATCH($C1229,'Paramètres'!$D:$D,0)),1,IF(INDEX('Paramètres'!$J:$J,MATCH($C1229,'Paramètres'!$D:$D,0))="",1,INDEX('Paramètres'!$J:$J,MATCH($C1229,'Paramètres'!$D:$D,0)))),2))</f>
        <v/>
      </c>
      <c r="L1229" s="6" t="str">
        <f>IF($D1229="","",IF($F1229&lt;&gt;"",$F1229,IF(ISNA(MATCH($D1229,'Paramètres'!$M:$M,0)),"⚠ Type inconnu",IFERROR(INDEX('Paramètres'!$P:$P,MATCH($D1229,'Paramètres'!$M:$M,0))&amp;"",""))))</f>
        <v/>
      </c>
      <c r="M1229" s="6" t="str">
        <f>IF($D1229="","",IF(ISNA(MATCH($D1229,'Paramètres'!$M:$M,0)),"⚠ Type inconnu",IF($L1229="Crédit","",IFERROR(INDEX('Paramètres'!$O:$O,MATCH($D1229,'Paramètres'!$M:$M,0))&amp;"",""))))</f>
        <v/>
      </c>
      <c r="N1229" s="6" t="str">
        <f>IF($D1229="","",IFERROR(INDEX('Paramètres'!$Q:$Q,MATCH($D1229,'Paramètres'!$M:$M,0))&amp;"",""))</f>
        <v/>
      </c>
      <c r="O1229" s="6" t="str">
        <f>IF($A1229="","",IF(OR($J1229&lt;&gt;"x",$A1229&lt;=FinReleve),1,0))</f>
        <v/>
      </c>
      <c r="P1229" s="6" t="str">
        <f>IF($D1229="","",IF(AND($L1229="Crédit",OR(IFERROR(INDEX('Paramètres'!$O:$O,MATCH($D1229,'Paramètres'!$M:$M,0))&amp;"","")&lt;&gt;"",ISNUMBER(SEARCH("remboursement",IFERROR(INDEX('Paramètres'!$N:$N,MATCH($D1229,'Paramètres'!$M:$M,0))&amp;"",""))))),1,0))</f>
        <v/>
      </c>
      <c r="Q1229" s="6" t="str">
        <f>IF($K1229="","",IF(ISNUMBER(SEARCH("transfert-interne",IFERROR(INDEX('Paramètres'!$N:$N,MATCH($D1229,'Paramètres'!$M:$M,0))&amp;"",""))),0,IF($L1229="Débit",$K1229,IF($P1229=1,-$K1229,0))))</f>
        <v/>
      </c>
      <c r="R1229" s="6" t="str">
        <f>IF($K1229="","",IF($L1229="Crédit",$K1229,-$K1229))</f>
        <v/>
      </c>
      <c r="S1229" s="6" t="str">
        <f>IF($C1229="","",IFERROR(INDEX('Paramètres'!$H:$H,MATCH($C1229,'Paramètres'!$D:$D,0))&amp;"",""))</f>
        <v/>
      </c>
      <c r="T1229" s="6" t="str">
        <f>IF($K1229="","",IF($S1229="",0,IF(ISNUMBER(SEARCH("apport-exterieur",IFERROR(INDEX('Paramètres'!$N:$N,MATCH($D1229,'Paramètres'!$M:$M,0))&amp;"",""))),0,IF(OR(IFERROR(INDEX('Paramètres'!$I:$I,MATCH($C1229,'Paramètres'!$D:$D,0))&amp;"","")="Les deux",IFERROR(INDEX('Paramètres'!$I:$I,MATCH($C1229,'Paramètres'!$D:$D,0))&amp;"","")=IF($P1229=1,"Débit",$L1229)),-IF($P1229=1,-$K1229,$K1229),0))))</f>
        <v/>
      </c>
      <c r="U1229" s="6" t="str">
        <f>IF($K1229="","",IF(ISNUMBER(SEARCH("sortie-epargne",IFERROR(INDEX('Paramètres'!$N:$N,MATCH($D1229,'Paramètres'!$M:$M,0))&amp;"",""))),$K1229,0))</f>
        <v/>
      </c>
      <c r="V1229" s="6" t="str">
        <f>IF(AND($A1229&lt;&gt;"",$O1229=1,$L1229="Débit",N($Q1229)&gt;0,$A1229&gt;=Visualisation!$B$1,$A1229&lt;Visualisation!$D$1),MAX($V$1:V1228)+1,"")</f>
        <v/>
      </c>
    </row>
    <row r="1230" spans="1:22" x14ac:dyDescent="0.25">
      <c r="A1230" s="9"/>
      <c r="E1230" s="10"/>
      <c r="K1230" s="11" t="str">
        <f>IF($E1230="","",ROUND($E1230*IF(ISNA(MATCH($C1230,'Paramètres'!$D:$D,0)),1,IF(INDEX('Paramètres'!$J:$J,MATCH($C1230,'Paramètres'!$D:$D,0))="",1,INDEX('Paramètres'!$J:$J,MATCH($C1230,'Paramètres'!$D:$D,0)))),2))</f>
        <v/>
      </c>
      <c r="L1230" s="6" t="str">
        <f>IF($D1230="","",IF($F1230&lt;&gt;"",$F1230,IF(ISNA(MATCH($D1230,'Paramètres'!$M:$M,0)),"⚠ Type inconnu",IFERROR(INDEX('Paramètres'!$P:$P,MATCH($D1230,'Paramètres'!$M:$M,0))&amp;"",""))))</f>
        <v/>
      </c>
      <c r="M1230" s="6" t="str">
        <f>IF($D1230="","",IF(ISNA(MATCH($D1230,'Paramètres'!$M:$M,0)),"⚠ Type inconnu",IF($L1230="Crédit","",IFERROR(INDEX('Paramètres'!$O:$O,MATCH($D1230,'Paramètres'!$M:$M,0))&amp;"",""))))</f>
        <v/>
      </c>
      <c r="N1230" s="6" t="str">
        <f>IF($D1230="","",IFERROR(INDEX('Paramètres'!$Q:$Q,MATCH($D1230,'Paramètres'!$M:$M,0))&amp;"",""))</f>
        <v/>
      </c>
      <c r="O1230" s="6" t="str">
        <f>IF($A1230="","",IF(OR($J1230&lt;&gt;"x",$A1230&lt;=FinReleve),1,0))</f>
        <v/>
      </c>
      <c r="P1230" s="6" t="str">
        <f>IF($D1230="","",IF(AND($L1230="Crédit",OR(IFERROR(INDEX('Paramètres'!$O:$O,MATCH($D1230,'Paramètres'!$M:$M,0))&amp;"","")&lt;&gt;"",ISNUMBER(SEARCH("remboursement",IFERROR(INDEX('Paramètres'!$N:$N,MATCH($D1230,'Paramètres'!$M:$M,0))&amp;"",""))))),1,0))</f>
        <v/>
      </c>
      <c r="Q1230" s="6" t="str">
        <f>IF($K1230="","",IF(ISNUMBER(SEARCH("transfert-interne",IFERROR(INDEX('Paramètres'!$N:$N,MATCH($D1230,'Paramètres'!$M:$M,0))&amp;"",""))),0,IF($L1230="Débit",$K1230,IF($P1230=1,-$K1230,0))))</f>
        <v/>
      </c>
      <c r="R1230" s="6" t="str">
        <f>IF($K1230="","",IF($L1230="Crédit",$K1230,-$K1230))</f>
        <v/>
      </c>
      <c r="S1230" s="6" t="str">
        <f>IF($C1230="","",IFERROR(INDEX('Paramètres'!$H:$H,MATCH($C1230,'Paramètres'!$D:$D,0))&amp;"",""))</f>
        <v/>
      </c>
      <c r="T1230" s="6" t="str">
        <f>IF($K1230="","",IF($S1230="",0,IF(ISNUMBER(SEARCH("apport-exterieur",IFERROR(INDEX('Paramètres'!$N:$N,MATCH($D1230,'Paramètres'!$M:$M,0))&amp;"",""))),0,IF(OR(IFERROR(INDEX('Paramètres'!$I:$I,MATCH($C1230,'Paramètres'!$D:$D,0))&amp;"","")="Les deux",IFERROR(INDEX('Paramètres'!$I:$I,MATCH($C1230,'Paramètres'!$D:$D,0))&amp;"","")=IF($P1230=1,"Débit",$L1230)),-IF($P1230=1,-$K1230,$K1230),0))))</f>
        <v/>
      </c>
      <c r="U1230" s="6" t="str">
        <f>IF($K1230="","",IF(ISNUMBER(SEARCH("sortie-epargne",IFERROR(INDEX('Paramètres'!$N:$N,MATCH($D1230,'Paramètres'!$M:$M,0))&amp;"",""))),$K1230,0))</f>
        <v/>
      </c>
      <c r="V1230" s="6" t="str">
        <f>IF(AND($A1230&lt;&gt;"",$O1230=1,$L1230="Débit",N($Q1230)&gt;0,$A1230&gt;=Visualisation!$B$1,$A1230&lt;Visualisation!$D$1),MAX($V$1:V1229)+1,"")</f>
        <v/>
      </c>
    </row>
    <row r="1231" spans="1:22" x14ac:dyDescent="0.25">
      <c r="A1231" s="9"/>
      <c r="E1231" s="10"/>
      <c r="K1231" s="11" t="str">
        <f>IF($E1231="","",ROUND($E1231*IF(ISNA(MATCH($C1231,'Paramètres'!$D:$D,0)),1,IF(INDEX('Paramètres'!$J:$J,MATCH($C1231,'Paramètres'!$D:$D,0))="",1,INDEX('Paramètres'!$J:$J,MATCH($C1231,'Paramètres'!$D:$D,0)))),2))</f>
        <v/>
      </c>
      <c r="L1231" s="6" t="str">
        <f>IF($D1231="","",IF($F1231&lt;&gt;"",$F1231,IF(ISNA(MATCH($D1231,'Paramètres'!$M:$M,0)),"⚠ Type inconnu",IFERROR(INDEX('Paramètres'!$P:$P,MATCH($D1231,'Paramètres'!$M:$M,0))&amp;"",""))))</f>
        <v/>
      </c>
      <c r="M1231" s="6" t="str">
        <f>IF($D1231="","",IF(ISNA(MATCH($D1231,'Paramètres'!$M:$M,0)),"⚠ Type inconnu",IF($L1231="Crédit","",IFERROR(INDEX('Paramètres'!$O:$O,MATCH($D1231,'Paramètres'!$M:$M,0))&amp;"",""))))</f>
        <v/>
      </c>
      <c r="N1231" s="6" t="str">
        <f>IF($D1231="","",IFERROR(INDEX('Paramètres'!$Q:$Q,MATCH($D1231,'Paramètres'!$M:$M,0))&amp;"",""))</f>
        <v/>
      </c>
      <c r="O1231" s="6" t="str">
        <f>IF($A1231="","",IF(OR($J1231&lt;&gt;"x",$A1231&lt;=FinReleve),1,0))</f>
        <v/>
      </c>
      <c r="P1231" s="6" t="str">
        <f>IF($D1231="","",IF(AND($L1231="Crédit",OR(IFERROR(INDEX('Paramètres'!$O:$O,MATCH($D1231,'Paramètres'!$M:$M,0))&amp;"","")&lt;&gt;"",ISNUMBER(SEARCH("remboursement",IFERROR(INDEX('Paramètres'!$N:$N,MATCH($D1231,'Paramètres'!$M:$M,0))&amp;"",""))))),1,0))</f>
        <v/>
      </c>
      <c r="Q1231" s="6" t="str">
        <f>IF($K1231="","",IF(ISNUMBER(SEARCH("transfert-interne",IFERROR(INDEX('Paramètres'!$N:$N,MATCH($D1231,'Paramètres'!$M:$M,0))&amp;"",""))),0,IF($L1231="Débit",$K1231,IF($P1231=1,-$K1231,0))))</f>
        <v/>
      </c>
      <c r="R1231" s="6" t="str">
        <f>IF($K1231="","",IF($L1231="Crédit",$K1231,-$K1231))</f>
        <v/>
      </c>
      <c r="S1231" s="6" t="str">
        <f>IF($C1231="","",IFERROR(INDEX('Paramètres'!$H:$H,MATCH($C1231,'Paramètres'!$D:$D,0))&amp;"",""))</f>
        <v/>
      </c>
      <c r="T1231" s="6" t="str">
        <f>IF($K1231="","",IF($S1231="",0,IF(ISNUMBER(SEARCH("apport-exterieur",IFERROR(INDEX('Paramètres'!$N:$N,MATCH($D1231,'Paramètres'!$M:$M,0))&amp;"",""))),0,IF(OR(IFERROR(INDEX('Paramètres'!$I:$I,MATCH($C1231,'Paramètres'!$D:$D,0))&amp;"","")="Les deux",IFERROR(INDEX('Paramètres'!$I:$I,MATCH($C1231,'Paramètres'!$D:$D,0))&amp;"","")=IF($P1231=1,"Débit",$L1231)),-IF($P1231=1,-$K1231,$K1231),0))))</f>
        <v/>
      </c>
      <c r="U1231" s="6" t="str">
        <f>IF($K1231="","",IF(ISNUMBER(SEARCH("sortie-epargne",IFERROR(INDEX('Paramètres'!$N:$N,MATCH($D1231,'Paramètres'!$M:$M,0))&amp;"",""))),$K1231,0))</f>
        <v/>
      </c>
      <c r="V1231" s="6" t="str">
        <f>IF(AND($A1231&lt;&gt;"",$O1231=1,$L1231="Débit",N($Q1231)&gt;0,$A1231&gt;=Visualisation!$B$1,$A1231&lt;Visualisation!$D$1),MAX($V$1:V1230)+1,"")</f>
        <v/>
      </c>
    </row>
    <row r="1232" spans="1:22" x14ac:dyDescent="0.25">
      <c r="A1232" s="9"/>
      <c r="E1232" s="10"/>
      <c r="K1232" s="11" t="str">
        <f>IF($E1232="","",ROUND($E1232*IF(ISNA(MATCH($C1232,'Paramètres'!$D:$D,0)),1,IF(INDEX('Paramètres'!$J:$J,MATCH($C1232,'Paramètres'!$D:$D,0))="",1,INDEX('Paramètres'!$J:$J,MATCH($C1232,'Paramètres'!$D:$D,0)))),2))</f>
        <v/>
      </c>
      <c r="L1232" s="6" t="str">
        <f>IF($D1232="","",IF($F1232&lt;&gt;"",$F1232,IF(ISNA(MATCH($D1232,'Paramètres'!$M:$M,0)),"⚠ Type inconnu",IFERROR(INDEX('Paramètres'!$P:$P,MATCH($D1232,'Paramètres'!$M:$M,0))&amp;"",""))))</f>
        <v/>
      </c>
      <c r="M1232" s="6" t="str">
        <f>IF($D1232="","",IF(ISNA(MATCH($D1232,'Paramètres'!$M:$M,0)),"⚠ Type inconnu",IF($L1232="Crédit","",IFERROR(INDEX('Paramètres'!$O:$O,MATCH($D1232,'Paramètres'!$M:$M,0))&amp;"",""))))</f>
        <v/>
      </c>
      <c r="N1232" s="6" t="str">
        <f>IF($D1232="","",IFERROR(INDEX('Paramètres'!$Q:$Q,MATCH($D1232,'Paramètres'!$M:$M,0))&amp;"",""))</f>
        <v/>
      </c>
      <c r="O1232" s="6" t="str">
        <f>IF($A1232="","",IF(OR($J1232&lt;&gt;"x",$A1232&lt;=FinReleve),1,0))</f>
        <v/>
      </c>
      <c r="P1232" s="6" t="str">
        <f>IF($D1232="","",IF(AND($L1232="Crédit",OR(IFERROR(INDEX('Paramètres'!$O:$O,MATCH($D1232,'Paramètres'!$M:$M,0))&amp;"","")&lt;&gt;"",ISNUMBER(SEARCH("remboursement",IFERROR(INDEX('Paramètres'!$N:$N,MATCH($D1232,'Paramètres'!$M:$M,0))&amp;"",""))))),1,0))</f>
        <v/>
      </c>
      <c r="Q1232" s="6" t="str">
        <f>IF($K1232="","",IF(ISNUMBER(SEARCH("transfert-interne",IFERROR(INDEX('Paramètres'!$N:$N,MATCH($D1232,'Paramètres'!$M:$M,0))&amp;"",""))),0,IF($L1232="Débit",$K1232,IF($P1232=1,-$K1232,0))))</f>
        <v/>
      </c>
      <c r="R1232" s="6" t="str">
        <f>IF($K1232="","",IF($L1232="Crédit",$K1232,-$K1232))</f>
        <v/>
      </c>
      <c r="S1232" s="6" t="str">
        <f>IF($C1232="","",IFERROR(INDEX('Paramètres'!$H:$H,MATCH($C1232,'Paramètres'!$D:$D,0))&amp;"",""))</f>
        <v/>
      </c>
      <c r="T1232" s="6" t="str">
        <f>IF($K1232="","",IF($S1232="",0,IF(ISNUMBER(SEARCH("apport-exterieur",IFERROR(INDEX('Paramètres'!$N:$N,MATCH($D1232,'Paramètres'!$M:$M,0))&amp;"",""))),0,IF(OR(IFERROR(INDEX('Paramètres'!$I:$I,MATCH($C1232,'Paramètres'!$D:$D,0))&amp;"","")="Les deux",IFERROR(INDEX('Paramètres'!$I:$I,MATCH($C1232,'Paramètres'!$D:$D,0))&amp;"","")=IF($P1232=1,"Débit",$L1232)),-IF($P1232=1,-$K1232,$K1232),0))))</f>
        <v/>
      </c>
      <c r="U1232" s="6" t="str">
        <f>IF($K1232="","",IF(ISNUMBER(SEARCH("sortie-epargne",IFERROR(INDEX('Paramètres'!$N:$N,MATCH($D1232,'Paramètres'!$M:$M,0))&amp;"",""))),$K1232,0))</f>
        <v/>
      </c>
      <c r="V1232" s="6" t="str">
        <f>IF(AND($A1232&lt;&gt;"",$O1232=1,$L1232="Débit",N($Q1232)&gt;0,$A1232&gt;=Visualisation!$B$1,$A1232&lt;Visualisation!$D$1),MAX($V$1:V1231)+1,"")</f>
        <v/>
      </c>
    </row>
    <row r="1233" spans="1:22" x14ac:dyDescent="0.25">
      <c r="A1233" s="9"/>
      <c r="E1233" s="10"/>
      <c r="K1233" s="11" t="str">
        <f>IF($E1233="","",ROUND($E1233*IF(ISNA(MATCH($C1233,'Paramètres'!$D:$D,0)),1,IF(INDEX('Paramètres'!$J:$J,MATCH($C1233,'Paramètres'!$D:$D,0))="",1,INDEX('Paramètres'!$J:$J,MATCH($C1233,'Paramètres'!$D:$D,0)))),2))</f>
        <v/>
      </c>
      <c r="L1233" s="6" t="str">
        <f>IF($D1233="","",IF($F1233&lt;&gt;"",$F1233,IF(ISNA(MATCH($D1233,'Paramètres'!$M:$M,0)),"⚠ Type inconnu",IFERROR(INDEX('Paramètres'!$P:$P,MATCH($D1233,'Paramètres'!$M:$M,0))&amp;"",""))))</f>
        <v/>
      </c>
      <c r="M1233" s="6" t="str">
        <f>IF($D1233="","",IF(ISNA(MATCH($D1233,'Paramètres'!$M:$M,0)),"⚠ Type inconnu",IF($L1233="Crédit","",IFERROR(INDEX('Paramètres'!$O:$O,MATCH($D1233,'Paramètres'!$M:$M,0))&amp;"",""))))</f>
        <v/>
      </c>
      <c r="N1233" s="6" t="str">
        <f>IF($D1233="","",IFERROR(INDEX('Paramètres'!$Q:$Q,MATCH($D1233,'Paramètres'!$M:$M,0))&amp;"",""))</f>
        <v/>
      </c>
      <c r="O1233" s="6" t="str">
        <f>IF($A1233="","",IF(OR($J1233&lt;&gt;"x",$A1233&lt;=FinReleve),1,0))</f>
        <v/>
      </c>
      <c r="P1233" s="6" t="str">
        <f>IF($D1233="","",IF(AND($L1233="Crédit",OR(IFERROR(INDEX('Paramètres'!$O:$O,MATCH($D1233,'Paramètres'!$M:$M,0))&amp;"","")&lt;&gt;"",ISNUMBER(SEARCH("remboursement",IFERROR(INDEX('Paramètres'!$N:$N,MATCH($D1233,'Paramètres'!$M:$M,0))&amp;"",""))))),1,0))</f>
        <v/>
      </c>
      <c r="Q1233" s="6" t="str">
        <f>IF($K1233="","",IF(ISNUMBER(SEARCH("transfert-interne",IFERROR(INDEX('Paramètres'!$N:$N,MATCH($D1233,'Paramètres'!$M:$M,0))&amp;"",""))),0,IF($L1233="Débit",$K1233,IF($P1233=1,-$K1233,0))))</f>
        <v/>
      </c>
      <c r="R1233" s="6" t="str">
        <f>IF($K1233="","",IF($L1233="Crédit",$K1233,-$K1233))</f>
        <v/>
      </c>
      <c r="S1233" s="6" t="str">
        <f>IF($C1233="","",IFERROR(INDEX('Paramètres'!$H:$H,MATCH($C1233,'Paramètres'!$D:$D,0))&amp;"",""))</f>
        <v/>
      </c>
      <c r="T1233" s="6" t="str">
        <f>IF($K1233="","",IF($S1233="",0,IF(ISNUMBER(SEARCH("apport-exterieur",IFERROR(INDEX('Paramètres'!$N:$N,MATCH($D1233,'Paramètres'!$M:$M,0))&amp;"",""))),0,IF(OR(IFERROR(INDEX('Paramètres'!$I:$I,MATCH($C1233,'Paramètres'!$D:$D,0))&amp;"","")="Les deux",IFERROR(INDEX('Paramètres'!$I:$I,MATCH($C1233,'Paramètres'!$D:$D,0))&amp;"","")=IF($P1233=1,"Débit",$L1233)),-IF($P1233=1,-$K1233,$K1233),0))))</f>
        <v/>
      </c>
      <c r="U1233" s="6" t="str">
        <f>IF($K1233="","",IF(ISNUMBER(SEARCH("sortie-epargne",IFERROR(INDEX('Paramètres'!$N:$N,MATCH($D1233,'Paramètres'!$M:$M,0))&amp;"",""))),$K1233,0))</f>
        <v/>
      </c>
      <c r="V1233" s="6" t="str">
        <f>IF(AND($A1233&lt;&gt;"",$O1233=1,$L1233="Débit",N($Q1233)&gt;0,$A1233&gt;=Visualisation!$B$1,$A1233&lt;Visualisation!$D$1),MAX($V$1:V1232)+1,"")</f>
        <v/>
      </c>
    </row>
    <row r="1234" spans="1:22" x14ac:dyDescent="0.25">
      <c r="A1234" s="9"/>
      <c r="E1234" s="10"/>
      <c r="K1234" s="11" t="str">
        <f>IF($E1234="","",ROUND($E1234*IF(ISNA(MATCH($C1234,'Paramètres'!$D:$D,0)),1,IF(INDEX('Paramètres'!$J:$J,MATCH($C1234,'Paramètres'!$D:$D,0))="",1,INDEX('Paramètres'!$J:$J,MATCH($C1234,'Paramètres'!$D:$D,0)))),2))</f>
        <v/>
      </c>
      <c r="L1234" s="6" t="str">
        <f>IF($D1234="","",IF($F1234&lt;&gt;"",$F1234,IF(ISNA(MATCH($D1234,'Paramètres'!$M:$M,0)),"⚠ Type inconnu",IFERROR(INDEX('Paramètres'!$P:$P,MATCH($D1234,'Paramètres'!$M:$M,0))&amp;"",""))))</f>
        <v/>
      </c>
      <c r="M1234" s="6" t="str">
        <f>IF($D1234="","",IF(ISNA(MATCH($D1234,'Paramètres'!$M:$M,0)),"⚠ Type inconnu",IF($L1234="Crédit","",IFERROR(INDEX('Paramètres'!$O:$O,MATCH($D1234,'Paramètres'!$M:$M,0))&amp;"",""))))</f>
        <v/>
      </c>
      <c r="N1234" s="6" t="str">
        <f>IF($D1234="","",IFERROR(INDEX('Paramètres'!$Q:$Q,MATCH($D1234,'Paramètres'!$M:$M,0))&amp;"",""))</f>
        <v/>
      </c>
      <c r="O1234" s="6" t="str">
        <f>IF($A1234="","",IF(OR($J1234&lt;&gt;"x",$A1234&lt;=FinReleve),1,0))</f>
        <v/>
      </c>
      <c r="P1234" s="6" t="str">
        <f>IF($D1234="","",IF(AND($L1234="Crédit",OR(IFERROR(INDEX('Paramètres'!$O:$O,MATCH($D1234,'Paramètres'!$M:$M,0))&amp;"","")&lt;&gt;"",ISNUMBER(SEARCH("remboursement",IFERROR(INDEX('Paramètres'!$N:$N,MATCH($D1234,'Paramètres'!$M:$M,0))&amp;"",""))))),1,0))</f>
        <v/>
      </c>
      <c r="Q1234" s="6" t="str">
        <f>IF($K1234="","",IF(ISNUMBER(SEARCH("transfert-interne",IFERROR(INDEX('Paramètres'!$N:$N,MATCH($D1234,'Paramètres'!$M:$M,0))&amp;"",""))),0,IF($L1234="Débit",$K1234,IF($P1234=1,-$K1234,0))))</f>
        <v/>
      </c>
      <c r="R1234" s="6" t="str">
        <f>IF($K1234="","",IF($L1234="Crédit",$K1234,-$K1234))</f>
        <v/>
      </c>
      <c r="S1234" s="6" t="str">
        <f>IF($C1234="","",IFERROR(INDEX('Paramètres'!$H:$H,MATCH($C1234,'Paramètres'!$D:$D,0))&amp;"",""))</f>
        <v/>
      </c>
      <c r="T1234" s="6" t="str">
        <f>IF($K1234="","",IF($S1234="",0,IF(ISNUMBER(SEARCH("apport-exterieur",IFERROR(INDEX('Paramètres'!$N:$N,MATCH($D1234,'Paramètres'!$M:$M,0))&amp;"",""))),0,IF(OR(IFERROR(INDEX('Paramètres'!$I:$I,MATCH($C1234,'Paramètres'!$D:$D,0))&amp;"","")="Les deux",IFERROR(INDEX('Paramètres'!$I:$I,MATCH($C1234,'Paramètres'!$D:$D,0))&amp;"","")=IF($P1234=1,"Débit",$L1234)),-IF($P1234=1,-$K1234,$K1234),0))))</f>
        <v/>
      </c>
      <c r="U1234" s="6" t="str">
        <f>IF($K1234="","",IF(ISNUMBER(SEARCH("sortie-epargne",IFERROR(INDEX('Paramètres'!$N:$N,MATCH($D1234,'Paramètres'!$M:$M,0))&amp;"",""))),$K1234,0))</f>
        <v/>
      </c>
      <c r="V1234" s="6" t="str">
        <f>IF(AND($A1234&lt;&gt;"",$O1234=1,$L1234="Débit",N($Q1234)&gt;0,$A1234&gt;=Visualisation!$B$1,$A1234&lt;Visualisation!$D$1),MAX($V$1:V1233)+1,"")</f>
        <v/>
      </c>
    </row>
    <row r="1235" spans="1:22" x14ac:dyDescent="0.25">
      <c r="A1235" s="9"/>
      <c r="E1235" s="10"/>
      <c r="K1235" s="11" t="str">
        <f>IF($E1235="","",ROUND($E1235*IF(ISNA(MATCH($C1235,'Paramètres'!$D:$D,0)),1,IF(INDEX('Paramètres'!$J:$J,MATCH($C1235,'Paramètres'!$D:$D,0))="",1,INDEX('Paramètres'!$J:$J,MATCH($C1235,'Paramètres'!$D:$D,0)))),2))</f>
        <v/>
      </c>
      <c r="L1235" s="6" t="str">
        <f>IF($D1235="","",IF($F1235&lt;&gt;"",$F1235,IF(ISNA(MATCH($D1235,'Paramètres'!$M:$M,0)),"⚠ Type inconnu",IFERROR(INDEX('Paramètres'!$P:$P,MATCH($D1235,'Paramètres'!$M:$M,0))&amp;"",""))))</f>
        <v/>
      </c>
      <c r="M1235" s="6" t="str">
        <f>IF($D1235="","",IF(ISNA(MATCH($D1235,'Paramètres'!$M:$M,0)),"⚠ Type inconnu",IF($L1235="Crédit","",IFERROR(INDEX('Paramètres'!$O:$O,MATCH($D1235,'Paramètres'!$M:$M,0))&amp;"",""))))</f>
        <v/>
      </c>
      <c r="N1235" s="6" t="str">
        <f>IF($D1235="","",IFERROR(INDEX('Paramètres'!$Q:$Q,MATCH($D1235,'Paramètres'!$M:$M,0))&amp;"",""))</f>
        <v/>
      </c>
      <c r="O1235" s="6" t="str">
        <f>IF($A1235="","",IF(OR($J1235&lt;&gt;"x",$A1235&lt;=FinReleve),1,0))</f>
        <v/>
      </c>
      <c r="P1235" s="6" t="str">
        <f>IF($D1235="","",IF(AND($L1235="Crédit",OR(IFERROR(INDEX('Paramètres'!$O:$O,MATCH($D1235,'Paramètres'!$M:$M,0))&amp;"","")&lt;&gt;"",ISNUMBER(SEARCH("remboursement",IFERROR(INDEX('Paramètres'!$N:$N,MATCH($D1235,'Paramètres'!$M:$M,0))&amp;"",""))))),1,0))</f>
        <v/>
      </c>
      <c r="Q1235" s="6" t="str">
        <f>IF($K1235="","",IF(ISNUMBER(SEARCH("transfert-interne",IFERROR(INDEX('Paramètres'!$N:$N,MATCH($D1235,'Paramètres'!$M:$M,0))&amp;"",""))),0,IF($L1235="Débit",$K1235,IF($P1235=1,-$K1235,0))))</f>
        <v/>
      </c>
      <c r="R1235" s="6" t="str">
        <f>IF($K1235="","",IF($L1235="Crédit",$K1235,-$K1235))</f>
        <v/>
      </c>
      <c r="S1235" s="6" t="str">
        <f>IF($C1235="","",IFERROR(INDEX('Paramètres'!$H:$H,MATCH($C1235,'Paramètres'!$D:$D,0))&amp;"",""))</f>
        <v/>
      </c>
      <c r="T1235" s="6" t="str">
        <f>IF($K1235="","",IF($S1235="",0,IF(ISNUMBER(SEARCH("apport-exterieur",IFERROR(INDEX('Paramètres'!$N:$N,MATCH($D1235,'Paramètres'!$M:$M,0))&amp;"",""))),0,IF(OR(IFERROR(INDEX('Paramètres'!$I:$I,MATCH($C1235,'Paramètres'!$D:$D,0))&amp;"","")="Les deux",IFERROR(INDEX('Paramètres'!$I:$I,MATCH($C1235,'Paramètres'!$D:$D,0))&amp;"","")=IF($P1235=1,"Débit",$L1235)),-IF($P1235=1,-$K1235,$K1235),0))))</f>
        <v/>
      </c>
      <c r="U1235" s="6" t="str">
        <f>IF($K1235="","",IF(ISNUMBER(SEARCH("sortie-epargne",IFERROR(INDEX('Paramètres'!$N:$N,MATCH($D1235,'Paramètres'!$M:$M,0))&amp;"",""))),$K1235,0))</f>
        <v/>
      </c>
      <c r="V1235" s="6" t="str">
        <f>IF(AND($A1235&lt;&gt;"",$O1235=1,$L1235="Débit",N($Q1235)&gt;0,$A1235&gt;=Visualisation!$B$1,$A1235&lt;Visualisation!$D$1),MAX($V$1:V1234)+1,"")</f>
        <v/>
      </c>
    </row>
    <row r="1236" spans="1:22" x14ac:dyDescent="0.25">
      <c r="A1236" s="9"/>
      <c r="E1236" s="10"/>
      <c r="K1236" s="11" t="str">
        <f>IF($E1236="","",ROUND($E1236*IF(ISNA(MATCH($C1236,'Paramètres'!$D:$D,0)),1,IF(INDEX('Paramètres'!$J:$J,MATCH($C1236,'Paramètres'!$D:$D,0))="",1,INDEX('Paramètres'!$J:$J,MATCH($C1236,'Paramètres'!$D:$D,0)))),2))</f>
        <v/>
      </c>
      <c r="L1236" s="6" t="str">
        <f>IF($D1236="","",IF($F1236&lt;&gt;"",$F1236,IF(ISNA(MATCH($D1236,'Paramètres'!$M:$M,0)),"⚠ Type inconnu",IFERROR(INDEX('Paramètres'!$P:$P,MATCH($D1236,'Paramètres'!$M:$M,0))&amp;"",""))))</f>
        <v/>
      </c>
      <c r="M1236" s="6" t="str">
        <f>IF($D1236="","",IF(ISNA(MATCH($D1236,'Paramètres'!$M:$M,0)),"⚠ Type inconnu",IF($L1236="Crédit","",IFERROR(INDEX('Paramètres'!$O:$O,MATCH($D1236,'Paramètres'!$M:$M,0))&amp;"",""))))</f>
        <v/>
      </c>
      <c r="N1236" s="6" t="str">
        <f>IF($D1236="","",IFERROR(INDEX('Paramètres'!$Q:$Q,MATCH($D1236,'Paramètres'!$M:$M,0))&amp;"",""))</f>
        <v/>
      </c>
      <c r="O1236" s="6" t="str">
        <f>IF($A1236="","",IF(OR($J1236&lt;&gt;"x",$A1236&lt;=FinReleve),1,0))</f>
        <v/>
      </c>
      <c r="P1236" s="6" t="str">
        <f>IF($D1236="","",IF(AND($L1236="Crédit",OR(IFERROR(INDEX('Paramètres'!$O:$O,MATCH($D1236,'Paramètres'!$M:$M,0))&amp;"","")&lt;&gt;"",ISNUMBER(SEARCH("remboursement",IFERROR(INDEX('Paramètres'!$N:$N,MATCH($D1236,'Paramètres'!$M:$M,0))&amp;"",""))))),1,0))</f>
        <v/>
      </c>
      <c r="Q1236" s="6" t="str">
        <f>IF($K1236="","",IF(ISNUMBER(SEARCH("transfert-interne",IFERROR(INDEX('Paramètres'!$N:$N,MATCH($D1236,'Paramètres'!$M:$M,0))&amp;"",""))),0,IF($L1236="Débit",$K1236,IF($P1236=1,-$K1236,0))))</f>
        <v/>
      </c>
      <c r="R1236" s="6" t="str">
        <f>IF($K1236="","",IF($L1236="Crédit",$K1236,-$K1236))</f>
        <v/>
      </c>
      <c r="S1236" s="6" t="str">
        <f>IF($C1236="","",IFERROR(INDEX('Paramètres'!$H:$H,MATCH($C1236,'Paramètres'!$D:$D,0))&amp;"",""))</f>
        <v/>
      </c>
      <c r="T1236" s="6" t="str">
        <f>IF($K1236="","",IF($S1236="",0,IF(ISNUMBER(SEARCH("apport-exterieur",IFERROR(INDEX('Paramètres'!$N:$N,MATCH($D1236,'Paramètres'!$M:$M,0))&amp;"",""))),0,IF(OR(IFERROR(INDEX('Paramètres'!$I:$I,MATCH($C1236,'Paramètres'!$D:$D,0))&amp;"","")="Les deux",IFERROR(INDEX('Paramètres'!$I:$I,MATCH($C1236,'Paramètres'!$D:$D,0))&amp;"","")=IF($P1236=1,"Débit",$L1236)),-IF($P1236=1,-$K1236,$K1236),0))))</f>
        <v/>
      </c>
      <c r="U1236" s="6" t="str">
        <f>IF($K1236="","",IF(ISNUMBER(SEARCH("sortie-epargne",IFERROR(INDEX('Paramètres'!$N:$N,MATCH($D1236,'Paramètres'!$M:$M,0))&amp;"",""))),$K1236,0))</f>
        <v/>
      </c>
      <c r="V1236" s="6" t="str">
        <f>IF(AND($A1236&lt;&gt;"",$O1236=1,$L1236="Débit",N($Q1236)&gt;0,$A1236&gt;=Visualisation!$B$1,$A1236&lt;Visualisation!$D$1),MAX($V$1:V1235)+1,"")</f>
        <v/>
      </c>
    </row>
    <row r="1237" spans="1:22" x14ac:dyDescent="0.25">
      <c r="A1237" s="9"/>
      <c r="E1237" s="10"/>
      <c r="K1237" s="11" t="str">
        <f>IF($E1237="","",ROUND($E1237*IF(ISNA(MATCH($C1237,'Paramètres'!$D:$D,0)),1,IF(INDEX('Paramètres'!$J:$J,MATCH($C1237,'Paramètres'!$D:$D,0))="",1,INDEX('Paramètres'!$J:$J,MATCH($C1237,'Paramètres'!$D:$D,0)))),2))</f>
        <v/>
      </c>
      <c r="L1237" s="6" t="str">
        <f>IF($D1237="","",IF($F1237&lt;&gt;"",$F1237,IF(ISNA(MATCH($D1237,'Paramètres'!$M:$M,0)),"⚠ Type inconnu",IFERROR(INDEX('Paramètres'!$P:$P,MATCH($D1237,'Paramètres'!$M:$M,0))&amp;"",""))))</f>
        <v/>
      </c>
      <c r="M1237" s="6" t="str">
        <f>IF($D1237="","",IF(ISNA(MATCH($D1237,'Paramètres'!$M:$M,0)),"⚠ Type inconnu",IF($L1237="Crédit","",IFERROR(INDEX('Paramètres'!$O:$O,MATCH($D1237,'Paramètres'!$M:$M,0))&amp;"",""))))</f>
        <v/>
      </c>
      <c r="N1237" s="6" t="str">
        <f>IF($D1237="","",IFERROR(INDEX('Paramètres'!$Q:$Q,MATCH($D1237,'Paramètres'!$M:$M,0))&amp;"",""))</f>
        <v/>
      </c>
      <c r="O1237" s="6" t="str">
        <f>IF($A1237="","",IF(OR($J1237&lt;&gt;"x",$A1237&lt;=FinReleve),1,0))</f>
        <v/>
      </c>
      <c r="P1237" s="6" t="str">
        <f>IF($D1237="","",IF(AND($L1237="Crédit",OR(IFERROR(INDEX('Paramètres'!$O:$O,MATCH($D1237,'Paramètres'!$M:$M,0))&amp;"","")&lt;&gt;"",ISNUMBER(SEARCH("remboursement",IFERROR(INDEX('Paramètres'!$N:$N,MATCH($D1237,'Paramètres'!$M:$M,0))&amp;"",""))))),1,0))</f>
        <v/>
      </c>
      <c r="Q1237" s="6" t="str">
        <f>IF($K1237="","",IF(ISNUMBER(SEARCH("transfert-interne",IFERROR(INDEX('Paramètres'!$N:$N,MATCH($D1237,'Paramètres'!$M:$M,0))&amp;"",""))),0,IF($L1237="Débit",$K1237,IF($P1237=1,-$K1237,0))))</f>
        <v/>
      </c>
      <c r="R1237" s="6" t="str">
        <f>IF($K1237="","",IF($L1237="Crédit",$K1237,-$K1237))</f>
        <v/>
      </c>
      <c r="S1237" s="6" t="str">
        <f>IF($C1237="","",IFERROR(INDEX('Paramètres'!$H:$H,MATCH($C1237,'Paramètres'!$D:$D,0))&amp;"",""))</f>
        <v/>
      </c>
      <c r="T1237" s="6" t="str">
        <f>IF($K1237="","",IF($S1237="",0,IF(ISNUMBER(SEARCH("apport-exterieur",IFERROR(INDEX('Paramètres'!$N:$N,MATCH($D1237,'Paramètres'!$M:$M,0))&amp;"",""))),0,IF(OR(IFERROR(INDEX('Paramètres'!$I:$I,MATCH($C1237,'Paramètres'!$D:$D,0))&amp;"","")="Les deux",IFERROR(INDEX('Paramètres'!$I:$I,MATCH($C1237,'Paramètres'!$D:$D,0))&amp;"","")=IF($P1237=1,"Débit",$L1237)),-IF($P1237=1,-$K1237,$K1237),0))))</f>
        <v/>
      </c>
      <c r="U1237" s="6" t="str">
        <f>IF($K1237="","",IF(ISNUMBER(SEARCH("sortie-epargne",IFERROR(INDEX('Paramètres'!$N:$N,MATCH($D1237,'Paramètres'!$M:$M,0))&amp;"",""))),$K1237,0))</f>
        <v/>
      </c>
      <c r="V1237" s="6" t="str">
        <f>IF(AND($A1237&lt;&gt;"",$O1237=1,$L1237="Débit",N($Q1237)&gt;0,$A1237&gt;=Visualisation!$B$1,$A1237&lt;Visualisation!$D$1),MAX($V$1:V1236)+1,"")</f>
        <v/>
      </c>
    </row>
    <row r="1238" spans="1:22" x14ac:dyDescent="0.25">
      <c r="A1238" s="9"/>
      <c r="E1238" s="10"/>
      <c r="K1238" s="11" t="str">
        <f>IF($E1238="","",ROUND($E1238*IF(ISNA(MATCH($C1238,'Paramètres'!$D:$D,0)),1,IF(INDEX('Paramètres'!$J:$J,MATCH($C1238,'Paramètres'!$D:$D,0))="",1,INDEX('Paramètres'!$J:$J,MATCH($C1238,'Paramètres'!$D:$D,0)))),2))</f>
        <v/>
      </c>
      <c r="L1238" s="6" t="str">
        <f>IF($D1238="","",IF($F1238&lt;&gt;"",$F1238,IF(ISNA(MATCH($D1238,'Paramètres'!$M:$M,0)),"⚠ Type inconnu",IFERROR(INDEX('Paramètres'!$P:$P,MATCH($D1238,'Paramètres'!$M:$M,0))&amp;"",""))))</f>
        <v/>
      </c>
      <c r="M1238" s="6" t="str">
        <f>IF($D1238="","",IF(ISNA(MATCH($D1238,'Paramètres'!$M:$M,0)),"⚠ Type inconnu",IF($L1238="Crédit","",IFERROR(INDEX('Paramètres'!$O:$O,MATCH($D1238,'Paramètres'!$M:$M,0))&amp;"",""))))</f>
        <v/>
      </c>
      <c r="N1238" s="6" t="str">
        <f>IF($D1238="","",IFERROR(INDEX('Paramètres'!$Q:$Q,MATCH($D1238,'Paramètres'!$M:$M,0))&amp;"",""))</f>
        <v/>
      </c>
      <c r="O1238" s="6" t="str">
        <f>IF($A1238="","",IF(OR($J1238&lt;&gt;"x",$A1238&lt;=FinReleve),1,0))</f>
        <v/>
      </c>
      <c r="P1238" s="6" t="str">
        <f>IF($D1238="","",IF(AND($L1238="Crédit",OR(IFERROR(INDEX('Paramètres'!$O:$O,MATCH($D1238,'Paramètres'!$M:$M,0))&amp;"","")&lt;&gt;"",ISNUMBER(SEARCH("remboursement",IFERROR(INDEX('Paramètres'!$N:$N,MATCH($D1238,'Paramètres'!$M:$M,0))&amp;"",""))))),1,0))</f>
        <v/>
      </c>
      <c r="Q1238" s="6" t="str">
        <f>IF($K1238="","",IF(ISNUMBER(SEARCH("transfert-interne",IFERROR(INDEX('Paramètres'!$N:$N,MATCH($D1238,'Paramètres'!$M:$M,0))&amp;"",""))),0,IF($L1238="Débit",$K1238,IF($P1238=1,-$K1238,0))))</f>
        <v/>
      </c>
      <c r="R1238" s="6" t="str">
        <f>IF($K1238="","",IF($L1238="Crédit",$K1238,-$K1238))</f>
        <v/>
      </c>
      <c r="S1238" s="6" t="str">
        <f>IF($C1238="","",IFERROR(INDEX('Paramètres'!$H:$H,MATCH($C1238,'Paramètres'!$D:$D,0))&amp;"",""))</f>
        <v/>
      </c>
      <c r="T1238" s="6" t="str">
        <f>IF($K1238="","",IF($S1238="",0,IF(ISNUMBER(SEARCH("apport-exterieur",IFERROR(INDEX('Paramètres'!$N:$N,MATCH($D1238,'Paramètres'!$M:$M,0))&amp;"",""))),0,IF(OR(IFERROR(INDEX('Paramètres'!$I:$I,MATCH($C1238,'Paramètres'!$D:$D,0))&amp;"","")="Les deux",IFERROR(INDEX('Paramètres'!$I:$I,MATCH($C1238,'Paramètres'!$D:$D,0))&amp;"","")=IF($P1238=1,"Débit",$L1238)),-IF($P1238=1,-$K1238,$K1238),0))))</f>
        <v/>
      </c>
      <c r="U1238" s="6" t="str">
        <f>IF($K1238="","",IF(ISNUMBER(SEARCH("sortie-epargne",IFERROR(INDEX('Paramètres'!$N:$N,MATCH($D1238,'Paramètres'!$M:$M,0))&amp;"",""))),$K1238,0))</f>
        <v/>
      </c>
      <c r="V1238" s="6" t="str">
        <f>IF(AND($A1238&lt;&gt;"",$O1238=1,$L1238="Débit",N($Q1238)&gt;0,$A1238&gt;=Visualisation!$B$1,$A1238&lt;Visualisation!$D$1),MAX($V$1:V1237)+1,"")</f>
        <v/>
      </c>
    </row>
    <row r="1239" spans="1:22" x14ac:dyDescent="0.25">
      <c r="A1239" s="9"/>
      <c r="E1239" s="10"/>
      <c r="K1239" s="11" t="str">
        <f>IF($E1239="","",ROUND($E1239*IF(ISNA(MATCH($C1239,'Paramètres'!$D:$D,0)),1,IF(INDEX('Paramètres'!$J:$J,MATCH($C1239,'Paramètres'!$D:$D,0))="",1,INDEX('Paramètres'!$J:$J,MATCH($C1239,'Paramètres'!$D:$D,0)))),2))</f>
        <v/>
      </c>
      <c r="L1239" s="6" t="str">
        <f>IF($D1239="","",IF($F1239&lt;&gt;"",$F1239,IF(ISNA(MATCH($D1239,'Paramètres'!$M:$M,0)),"⚠ Type inconnu",IFERROR(INDEX('Paramètres'!$P:$P,MATCH($D1239,'Paramètres'!$M:$M,0))&amp;"",""))))</f>
        <v/>
      </c>
      <c r="M1239" s="6" t="str">
        <f>IF($D1239="","",IF(ISNA(MATCH($D1239,'Paramètres'!$M:$M,0)),"⚠ Type inconnu",IF($L1239="Crédit","",IFERROR(INDEX('Paramètres'!$O:$O,MATCH($D1239,'Paramètres'!$M:$M,0))&amp;"",""))))</f>
        <v/>
      </c>
      <c r="N1239" s="6" t="str">
        <f>IF($D1239="","",IFERROR(INDEX('Paramètres'!$Q:$Q,MATCH($D1239,'Paramètres'!$M:$M,0))&amp;"",""))</f>
        <v/>
      </c>
      <c r="O1239" s="6" t="str">
        <f>IF($A1239="","",IF(OR($J1239&lt;&gt;"x",$A1239&lt;=FinReleve),1,0))</f>
        <v/>
      </c>
      <c r="P1239" s="6" t="str">
        <f>IF($D1239="","",IF(AND($L1239="Crédit",OR(IFERROR(INDEX('Paramètres'!$O:$O,MATCH($D1239,'Paramètres'!$M:$M,0))&amp;"","")&lt;&gt;"",ISNUMBER(SEARCH("remboursement",IFERROR(INDEX('Paramètres'!$N:$N,MATCH($D1239,'Paramètres'!$M:$M,0))&amp;"",""))))),1,0))</f>
        <v/>
      </c>
      <c r="Q1239" s="6" t="str">
        <f>IF($K1239="","",IF(ISNUMBER(SEARCH("transfert-interne",IFERROR(INDEX('Paramètres'!$N:$N,MATCH($D1239,'Paramètres'!$M:$M,0))&amp;"",""))),0,IF($L1239="Débit",$K1239,IF($P1239=1,-$K1239,0))))</f>
        <v/>
      </c>
      <c r="R1239" s="6" t="str">
        <f>IF($K1239="","",IF($L1239="Crédit",$K1239,-$K1239))</f>
        <v/>
      </c>
      <c r="S1239" s="6" t="str">
        <f>IF($C1239="","",IFERROR(INDEX('Paramètres'!$H:$H,MATCH($C1239,'Paramètres'!$D:$D,0))&amp;"",""))</f>
        <v/>
      </c>
      <c r="T1239" s="6" t="str">
        <f>IF($K1239="","",IF($S1239="",0,IF(ISNUMBER(SEARCH("apport-exterieur",IFERROR(INDEX('Paramètres'!$N:$N,MATCH($D1239,'Paramètres'!$M:$M,0))&amp;"",""))),0,IF(OR(IFERROR(INDEX('Paramètres'!$I:$I,MATCH($C1239,'Paramètres'!$D:$D,0))&amp;"","")="Les deux",IFERROR(INDEX('Paramètres'!$I:$I,MATCH($C1239,'Paramètres'!$D:$D,0))&amp;"","")=IF($P1239=1,"Débit",$L1239)),-IF($P1239=1,-$K1239,$K1239),0))))</f>
        <v/>
      </c>
      <c r="U1239" s="6" t="str">
        <f>IF($K1239="","",IF(ISNUMBER(SEARCH("sortie-epargne",IFERROR(INDEX('Paramètres'!$N:$N,MATCH($D1239,'Paramètres'!$M:$M,0))&amp;"",""))),$K1239,0))</f>
        <v/>
      </c>
      <c r="V1239" s="6" t="str">
        <f>IF(AND($A1239&lt;&gt;"",$O1239=1,$L1239="Débit",N($Q1239)&gt;0,$A1239&gt;=Visualisation!$B$1,$A1239&lt;Visualisation!$D$1),MAX($V$1:V1238)+1,"")</f>
        <v/>
      </c>
    </row>
    <row r="1240" spans="1:22" x14ac:dyDescent="0.25">
      <c r="A1240" s="9"/>
      <c r="E1240" s="10"/>
      <c r="K1240" s="11" t="str">
        <f>IF($E1240="","",ROUND($E1240*IF(ISNA(MATCH($C1240,'Paramètres'!$D:$D,0)),1,IF(INDEX('Paramètres'!$J:$J,MATCH($C1240,'Paramètres'!$D:$D,0))="",1,INDEX('Paramètres'!$J:$J,MATCH($C1240,'Paramètres'!$D:$D,0)))),2))</f>
        <v/>
      </c>
      <c r="L1240" s="6" t="str">
        <f>IF($D1240="","",IF($F1240&lt;&gt;"",$F1240,IF(ISNA(MATCH($D1240,'Paramètres'!$M:$M,0)),"⚠ Type inconnu",IFERROR(INDEX('Paramètres'!$P:$P,MATCH($D1240,'Paramètres'!$M:$M,0))&amp;"",""))))</f>
        <v/>
      </c>
      <c r="M1240" s="6" t="str">
        <f>IF($D1240="","",IF(ISNA(MATCH($D1240,'Paramètres'!$M:$M,0)),"⚠ Type inconnu",IF($L1240="Crédit","",IFERROR(INDEX('Paramètres'!$O:$O,MATCH($D1240,'Paramètres'!$M:$M,0))&amp;"",""))))</f>
        <v/>
      </c>
      <c r="N1240" s="6" t="str">
        <f>IF($D1240="","",IFERROR(INDEX('Paramètres'!$Q:$Q,MATCH($D1240,'Paramètres'!$M:$M,0))&amp;"",""))</f>
        <v/>
      </c>
      <c r="O1240" s="6" t="str">
        <f>IF($A1240="","",IF(OR($J1240&lt;&gt;"x",$A1240&lt;=FinReleve),1,0))</f>
        <v/>
      </c>
      <c r="P1240" s="6" t="str">
        <f>IF($D1240="","",IF(AND($L1240="Crédit",OR(IFERROR(INDEX('Paramètres'!$O:$O,MATCH($D1240,'Paramètres'!$M:$M,0))&amp;"","")&lt;&gt;"",ISNUMBER(SEARCH("remboursement",IFERROR(INDEX('Paramètres'!$N:$N,MATCH($D1240,'Paramètres'!$M:$M,0))&amp;"",""))))),1,0))</f>
        <v/>
      </c>
      <c r="Q1240" s="6" t="str">
        <f>IF($K1240="","",IF(ISNUMBER(SEARCH("transfert-interne",IFERROR(INDEX('Paramètres'!$N:$N,MATCH($D1240,'Paramètres'!$M:$M,0))&amp;"",""))),0,IF($L1240="Débit",$K1240,IF($P1240=1,-$K1240,0))))</f>
        <v/>
      </c>
      <c r="R1240" s="6" t="str">
        <f>IF($K1240="","",IF($L1240="Crédit",$K1240,-$K1240))</f>
        <v/>
      </c>
      <c r="S1240" s="6" t="str">
        <f>IF($C1240="","",IFERROR(INDEX('Paramètres'!$H:$H,MATCH($C1240,'Paramètres'!$D:$D,0))&amp;"",""))</f>
        <v/>
      </c>
      <c r="T1240" s="6" t="str">
        <f>IF($K1240="","",IF($S1240="",0,IF(ISNUMBER(SEARCH("apport-exterieur",IFERROR(INDEX('Paramètres'!$N:$N,MATCH($D1240,'Paramètres'!$M:$M,0))&amp;"",""))),0,IF(OR(IFERROR(INDEX('Paramètres'!$I:$I,MATCH($C1240,'Paramètres'!$D:$D,0))&amp;"","")="Les deux",IFERROR(INDEX('Paramètres'!$I:$I,MATCH($C1240,'Paramètres'!$D:$D,0))&amp;"","")=IF($P1240=1,"Débit",$L1240)),-IF($P1240=1,-$K1240,$K1240),0))))</f>
        <v/>
      </c>
      <c r="U1240" s="6" t="str">
        <f>IF($K1240="","",IF(ISNUMBER(SEARCH("sortie-epargne",IFERROR(INDEX('Paramètres'!$N:$N,MATCH($D1240,'Paramètres'!$M:$M,0))&amp;"",""))),$K1240,0))</f>
        <v/>
      </c>
      <c r="V1240" s="6" t="str">
        <f>IF(AND($A1240&lt;&gt;"",$O1240=1,$L1240="Débit",N($Q1240)&gt;0,$A1240&gt;=Visualisation!$B$1,$A1240&lt;Visualisation!$D$1),MAX($V$1:V1239)+1,"")</f>
        <v/>
      </c>
    </row>
    <row r="1241" spans="1:22" x14ac:dyDescent="0.25">
      <c r="A1241" s="9"/>
      <c r="E1241" s="10"/>
      <c r="K1241" s="11" t="str">
        <f>IF($E1241="","",ROUND($E1241*IF(ISNA(MATCH($C1241,'Paramètres'!$D:$D,0)),1,IF(INDEX('Paramètres'!$J:$J,MATCH($C1241,'Paramètres'!$D:$D,0))="",1,INDEX('Paramètres'!$J:$J,MATCH($C1241,'Paramètres'!$D:$D,0)))),2))</f>
        <v/>
      </c>
      <c r="L1241" s="6" t="str">
        <f>IF($D1241="","",IF($F1241&lt;&gt;"",$F1241,IF(ISNA(MATCH($D1241,'Paramètres'!$M:$M,0)),"⚠ Type inconnu",IFERROR(INDEX('Paramètres'!$P:$P,MATCH($D1241,'Paramètres'!$M:$M,0))&amp;"",""))))</f>
        <v/>
      </c>
      <c r="M1241" s="6" t="str">
        <f>IF($D1241="","",IF(ISNA(MATCH($D1241,'Paramètres'!$M:$M,0)),"⚠ Type inconnu",IF($L1241="Crédit","",IFERROR(INDEX('Paramètres'!$O:$O,MATCH($D1241,'Paramètres'!$M:$M,0))&amp;"",""))))</f>
        <v/>
      </c>
      <c r="N1241" s="6" t="str">
        <f>IF($D1241="","",IFERROR(INDEX('Paramètres'!$Q:$Q,MATCH($D1241,'Paramètres'!$M:$M,0))&amp;"",""))</f>
        <v/>
      </c>
      <c r="O1241" s="6" t="str">
        <f>IF($A1241="","",IF(OR($J1241&lt;&gt;"x",$A1241&lt;=FinReleve),1,0))</f>
        <v/>
      </c>
      <c r="P1241" s="6" t="str">
        <f>IF($D1241="","",IF(AND($L1241="Crédit",OR(IFERROR(INDEX('Paramètres'!$O:$O,MATCH($D1241,'Paramètres'!$M:$M,0))&amp;"","")&lt;&gt;"",ISNUMBER(SEARCH("remboursement",IFERROR(INDEX('Paramètres'!$N:$N,MATCH($D1241,'Paramètres'!$M:$M,0))&amp;"",""))))),1,0))</f>
        <v/>
      </c>
      <c r="Q1241" s="6" t="str">
        <f>IF($K1241="","",IF(ISNUMBER(SEARCH("transfert-interne",IFERROR(INDEX('Paramètres'!$N:$N,MATCH($D1241,'Paramètres'!$M:$M,0))&amp;"",""))),0,IF($L1241="Débit",$K1241,IF($P1241=1,-$K1241,0))))</f>
        <v/>
      </c>
      <c r="R1241" s="6" t="str">
        <f>IF($K1241="","",IF($L1241="Crédit",$K1241,-$K1241))</f>
        <v/>
      </c>
      <c r="S1241" s="6" t="str">
        <f>IF($C1241="","",IFERROR(INDEX('Paramètres'!$H:$H,MATCH($C1241,'Paramètres'!$D:$D,0))&amp;"",""))</f>
        <v/>
      </c>
      <c r="T1241" s="6" t="str">
        <f>IF($K1241="","",IF($S1241="",0,IF(ISNUMBER(SEARCH("apport-exterieur",IFERROR(INDEX('Paramètres'!$N:$N,MATCH($D1241,'Paramètres'!$M:$M,0))&amp;"",""))),0,IF(OR(IFERROR(INDEX('Paramètres'!$I:$I,MATCH($C1241,'Paramètres'!$D:$D,0))&amp;"","")="Les deux",IFERROR(INDEX('Paramètres'!$I:$I,MATCH($C1241,'Paramètres'!$D:$D,0))&amp;"","")=IF($P1241=1,"Débit",$L1241)),-IF($P1241=1,-$K1241,$K1241),0))))</f>
        <v/>
      </c>
      <c r="U1241" s="6" t="str">
        <f>IF($K1241="","",IF(ISNUMBER(SEARCH("sortie-epargne",IFERROR(INDEX('Paramètres'!$N:$N,MATCH($D1241,'Paramètres'!$M:$M,0))&amp;"",""))),$K1241,0))</f>
        <v/>
      </c>
      <c r="V1241" s="6" t="str">
        <f>IF(AND($A1241&lt;&gt;"",$O1241=1,$L1241="Débit",N($Q1241)&gt;0,$A1241&gt;=Visualisation!$B$1,$A1241&lt;Visualisation!$D$1),MAX($V$1:V1240)+1,"")</f>
        <v/>
      </c>
    </row>
    <row r="1242" spans="1:22" x14ac:dyDescent="0.25">
      <c r="A1242" s="9"/>
      <c r="E1242" s="10"/>
      <c r="K1242" s="11" t="str">
        <f>IF($E1242="","",ROUND($E1242*IF(ISNA(MATCH($C1242,'Paramètres'!$D:$D,0)),1,IF(INDEX('Paramètres'!$J:$J,MATCH($C1242,'Paramètres'!$D:$D,0))="",1,INDEX('Paramètres'!$J:$J,MATCH($C1242,'Paramètres'!$D:$D,0)))),2))</f>
        <v/>
      </c>
      <c r="L1242" s="6" t="str">
        <f>IF($D1242="","",IF($F1242&lt;&gt;"",$F1242,IF(ISNA(MATCH($D1242,'Paramètres'!$M:$M,0)),"⚠ Type inconnu",IFERROR(INDEX('Paramètres'!$P:$P,MATCH($D1242,'Paramètres'!$M:$M,0))&amp;"",""))))</f>
        <v/>
      </c>
      <c r="M1242" s="6" t="str">
        <f>IF($D1242="","",IF(ISNA(MATCH($D1242,'Paramètres'!$M:$M,0)),"⚠ Type inconnu",IF($L1242="Crédit","",IFERROR(INDEX('Paramètres'!$O:$O,MATCH($D1242,'Paramètres'!$M:$M,0))&amp;"",""))))</f>
        <v/>
      </c>
      <c r="N1242" s="6" t="str">
        <f>IF($D1242="","",IFERROR(INDEX('Paramètres'!$Q:$Q,MATCH($D1242,'Paramètres'!$M:$M,0))&amp;"",""))</f>
        <v/>
      </c>
      <c r="O1242" s="6" t="str">
        <f>IF($A1242="","",IF(OR($J1242&lt;&gt;"x",$A1242&lt;=FinReleve),1,0))</f>
        <v/>
      </c>
      <c r="P1242" s="6" t="str">
        <f>IF($D1242="","",IF(AND($L1242="Crédit",OR(IFERROR(INDEX('Paramètres'!$O:$O,MATCH($D1242,'Paramètres'!$M:$M,0))&amp;"","")&lt;&gt;"",ISNUMBER(SEARCH("remboursement",IFERROR(INDEX('Paramètres'!$N:$N,MATCH($D1242,'Paramètres'!$M:$M,0))&amp;"",""))))),1,0))</f>
        <v/>
      </c>
      <c r="Q1242" s="6" t="str">
        <f>IF($K1242="","",IF(ISNUMBER(SEARCH("transfert-interne",IFERROR(INDEX('Paramètres'!$N:$N,MATCH($D1242,'Paramètres'!$M:$M,0))&amp;"",""))),0,IF($L1242="Débit",$K1242,IF($P1242=1,-$K1242,0))))</f>
        <v/>
      </c>
      <c r="R1242" s="6" t="str">
        <f>IF($K1242="","",IF($L1242="Crédit",$K1242,-$K1242))</f>
        <v/>
      </c>
      <c r="S1242" s="6" t="str">
        <f>IF($C1242="","",IFERROR(INDEX('Paramètres'!$H:$H,MATCH($C1242,'Paramètres'!$D:$D,0))&amp;"",""))</f>
        <v/>
      </c>
      <c r="T1242" s="6" t="str">
        <f>IF($K1242="","",IF($S1242="",0,IF(ISNUMBER(SEARCH("apport-exterieur",IFERROR(INDEX('Paramètres'!$N:$N,MATCH($D1242,'Paramètres'!$M:$M,0))&amp;"",""))),0,IF(OR(IFERROR(INDEX('Paramètres'!$I:$I,MATCH($C1242,'Paramètres'!$D:$D,0))&amp;"","")="Les deux",IFERROR(INDEX('Paramètres'!$I:$I,MATCH($C1242,'Paramètres'!$D:$D,0))&amp;"","")=IF($P1242=1,"Débit",$L1242)),-IF($P1242=1,-$K1242,$K1242),0))))</f>
        <v/>
      </c>
      <c r="U1242" s="6" t="str">
        <f>IF($K1242="","",IF(ISNUMBER(SEARCH("sortie-epargne",IFERROR(INDEX('Paramètres'!$N:$N,MATCH($D1242,'Paramètres'!$M:$M,0))&amp;"",""))),$K1242,0))</f>
        <v/>
      </c>
      <c r="V1242" s="6" t="str">
        <f>IF(AND($A1242&lt;&gt;"",$O1242=1,$L1242="Débit",N($Q1242)&gt;0,$A1242&gt;=Visualisation!$B$1,$A1242&lt;Visualisation!$D$1),MAX($V$1:V1241)+1,"")</f>
        <v/>
      </c>
    </row>
    <row r="1243" spans="1:22" x14ac:dyDescent="0.25">
      <c r="A1243" s="9"/>
      <c r="E1243" s="10"/>
      <c r="K1243" s="11" t="str">
        <f>IF($E1243="","",ROUND($E1243*IF(ISNA(MATCH($C1243,'Paramètres'!$D:$D,0)),1,IF(INDEX('Paramètres'!$J:$J,MATCH($C1243,'Paramètres'!$D:$D,0))="",1,INDEX('Paramètres'!$J:$J,MATCH($C1243,'Paramètres'!$D:$D,0)))),2))</f>
        <v/>
      </c>
      <c r="L1243" s="6" t="str">
        <f>IF($D1243="","",IF($F1243&lt;&gt;"",$F1243,IF(ISNA(MATCH($D1243,'Paramètres'!$M:$M,0)),"⚠ Type inconnu",IFERROR(INDEX('Paramètres'!$P:$P,MATCH($D1243,'Paramètres'!$M:$M,0))&amp;"",""))))</f>
        <v/>
      </c>
      <c r="M1243" s="6" t="str">
        <f>IF($D1243="","",IF(ISNA(MATCH($D1243,'Paramètres'!$M:$M,0)),"⚠ Type inconnu",IF($L1243="Crédit","",IFERROR(INDEX('Paramètres'!$O:$O,MATCH($D1243,'Paramètres'!$M:$M,0))&amp;"",""))))</f>
        <v/>
      </c>
      <c r="N1243" s="6" t="str">
        <f>IF($D1243="","",IFERROR(INDEX('Paramètres'!$Q:$Q,MATCH($D1243,'Paramètres'!$M:$M,0))&amp;"",""))</f>
        <v/>
      </c>
      <c r="O1243" s="6" t="str">
        <f>IF($A1243="","",IF(OR($J1243&lt;&gt;"x",$A1243&lt;=FinReleve),1,0))</f>
        <v/>
      </c>
      <c r="P1243" s="6" t="str">
        <f>IF($D1243="","",IF(AND($L1243="Crédit",OR(IFERROR(INDEX('Paramètres'!$O:$O,MATCH($D1243,'Paramètres'!$M:$M,0))&amp;"","")&lt;&gt;"",ISNUMBER(SEARCH("remboursement",IFERROR(INDEX('Paramètres'!$N:$N,MATCH($D1243,'Paramètres'!$M:$M,0))&amp;"",""))))),1,0))</f>
        <v/>
      </c>
      <c r="Q1243" s="6" t="str">
        <f>IF($K1243="","",IF(ISNUMBER(SEARCH("transfert-interne",IFERROR(INDEX('Paramètres'!$N:$N,MATCH($D1243,'Paramètres'!$M:$M,0))&amp;"",""))),0,IF($L1243="Débit",$K1243,IF($P1243=1,-$K1243,0))))</f>
        <v/>
      </c>
      <c r="R1243" s="6" t="str">
        <f>IF($K1243="","",IF($L1243="Crédit",$K1243,-$K1243))</f>
        <v/>
      </c>
      <c r="S1243" s="6" t="str">
        <f>IF($C1243="","",IFERROR(INDEX('Paramètres'!$H:$H,MATCH($C1243,'Paramètres'!$D:$D,0))&amp;"",""))</f>
        <v/>
      </c>
      <c r="T1243" s="6" t="str">
        <f>IF($K1243="","",IF($S1243="",0,IF(ISNUMBER(SEARCH("apport-exterieur",IFERROR(INDEX('Paramètres'!$N:$N,MATCH($D1243,'Paramètres'!$M:$M,0))&amp;"",""))),0,IF(OR(IFERROR(INDEX('Paramètres'!$I:$I,MATCH($C1243,'Paramètres'!$D:$D,0))&amp;"","")="Les deux",IFERROR(INDEX('Paramètres'!$I:$I,MATCH($C1243,'Paramètres'!$D:$D,0))&amp;"","")=IF($P1243=1,"Débit",$L1243)),-IF($P1243=1,-$K1243,$K1243),0))))</f>
        <v/>
      </c>
      <c r="U1243" s="6" t="str">
        <f>IF($K1243="","",IF(ISNUMBER(SEARCH("sortie-epargne",IFERROR(INDEX('Paramètres'!$N:$N,MATCH($D1243,'Paramètres'!$M:$M,0))&amp;"",""))),$K1243,0))</f>
        <v/>
      </c>
      <c r="V1243" s="6" t="str">
        <f>IF(AND($A1243&lt;&gt;"",$O1243=1,$L1243="Débit",N($Q1243)&gt;0,$A1243&gt;=Visualisation!$B$1,$A1243&lt;Visualisation!$D$1),MAX($V$1:V1242)+1,"")</f>
        <v/>
      </c>
    </row>
    <row r="1244" spans="1:22" x14ac:dyDescent="0.25">
      <c r="A1244" s="9"/>
      <c r="E1244" s="10"/>
      <c r="K1244" s="11" t="str">
        <f>IF($E1244="","",ROUND($E1244*IF(ISNA(MATCH($C1244,'Paramètres'!$D:$D,0)),1,IF(INDEX('Paramètres'!$J:$J,MATCH($C1244,'Paramètres'!$D:$D,0))="",1,INDEX('Paramètres'!$J:$J,MATCH($C1244,'Paramètres'!$D:$D,0)))),2))</f>
        <v/>
      </c>
      <c r="L1244" s="6" t="str">
        <f>IF($D1244="","",IF($F1244&lt;&gt;"",$F1244,IF(ISNA(MATCH($D1244,'Paramètres'!$M:$M,0)),"⚠ Type inconnu",IFERROR(INDEX('Paramètres'!$P:$P,MATCH($D1244,'Paramètres'!$M:$M,0))&amp;"",""))))</f>
        <v/>
      </c>
      <c r="M1244" s="6" t="str">
        <f>IF($D1244="","",IF(ISNA(MATCH($D1244,'Paramètres'!$M:$M,0)),"⚠ Type inconnu",IF($L1244="Crédit","",IFERROR(INDEX('Paramètres'!$O:$O,MATCH($D1244,'Paramètres'!$M:$M,0))&amp;"",""))))</f>
        <v/>
      </c>
      <c r="N1244" s="6" t="str">
        <f>IF($D1244="","",IFERROR(INDEX('Paramètres'!$Q:$Q,MATCH($D1244,'Paramètres'!$M:$M,0))&amp;"",""))</f>
        <v/>
      </c>
      <c r="O1244" s="6" t="str">
        <f>IF($A1244="","",IF(OR($J1244&lt;&gt;"x",$A1244&lt;=FinReleve),1,0))</f>
        <v/>
      </c>
      <c r="P1244" s="6" t="str">
        <f>IF($D1244="","",IF(AND($L1244="Crédit",OR(IFERROR(INDEX('Paramètres'!$O:$O,MATCH($D1244,'Paramètres'!$M:$M,0))&amp;"","")&lt;&gt;"",ISNUMBER(SEARCH("remboursement",IFERROR(INDEX('Paramètres'!$N:$N,MATCH($D1244,'Paramètres'!$M:$M,0))&amp;"",""))))),1,0))</f>
        <v/>
      </c>
      <c r="Q1244" s="6" t="str">
        <f>IF($K1244="","",IF(ISNUMBER(SEARCH("transfert-interne",IFERROR(INDEX('Paramètres'!$N:$N,MATCH($D1244,'Paramètres'!$M:$M,0))&amp;"",""))),0,IF($L1244="Débit",$K1244,IF($P1244=1,-$K1244,0))))</f>
        <v/>
      </c>
      <c r="R1244" s="6" t="str">
        <f>IF($K1244="","",IF($L1244="Crédit",$K1244,-$K1244))</f>
        <v/>
      </c>
      <c r="S1244" s="6" t="str">
        <f>IF($C1244="","",IFERROR(INDEX('Paramètres'!$H:$H,MATCH($C1244,'Paramètres'!$D:$D,0))&amp;"",""))</f>
        <v/>
      </c>
      <c r="T1244" s="6" t="str">
        <f>IF($K1244="","",IF($S1244="",0,IF(ISNUMBER(SEARCH("apport-exterieur",IFERROR(INDEX('Paramètres'!$N:$N,MATCH($D1244,'Paramètres'!$M:$M,0))&amp;"",""))),0,IF(OR(IFERROR(INDEX('Paramètres'!$I:$I,MATCH($C1244,'Paramètres'!$D:$D,0))&amp;"","")="Les deux",IFERROR(INDEX('Paramètres'!$I:$I,MATCH($C1244,'Paramètres'!$D:$D,0))&amp;"","")=IF($P1244=1,"Débit",$L1244)),-IF($P1244=1,-$K1244,$K1244),0))))</f>
        <v/>
      </c>
      <c r="U1244" s="6" t="str">
        <f>IF($K1244="","",IF(ISNUMBER(SEARCH("sortie-epargne",IFERROR(INDEX('Paramètres'!$N:$N,MATCH($D1244,'Paramètres'!$M:$M,0))&amp;"",""))),$K1244,0))</f>
        <v/>
      </c>
      <c r="V1244" s="6" t="str">
        <f>IF(AND($A1244&lt;&gt;"",$O1244=1,$L1244="Débit",N($Q1244)&gt;0,$A1244&gt;=Visualisation!$B$1,$A1244&lt;Visualisation!$D$1),MAX($V$1:V1243)+1,"")</f>
        <v/>
      </c>
    </row>
    <row r="1245" spans="1:22" x14ac:dyDescent="0.25">
      <c r="A1245" s="9"/>
      <c r="E1245" s="10"/>
      <c r="K1245" s="11" t="str">
        <f>IF($E1245="","",ROUND($E1245*IF(ISNA(MATCH($C1245,'Paramètres'!$D:$D,0)),1,IF(INDEX('Paramètres'!$J:$J,MATCH($C1245,'Paramètres'!$D:$D,0))="",1,INDEX('Paramètres'!$J:$J,MATCH($C1245,'Paramètres'!$D:$D,0)))),2))</f>
        <v/>
      </c>
      <c r="L1245" s="6" t="str">
        <f>IF($D1245="","",IF($F1245&lt;&gt;"",$F1245,IF(ISNA(MATCH($D1245,'Paramètres'!$M:$M,0)),"⚠ Type inconnu",IFERROR(INDEX('Paramètres'!$P:$P,MATCH($D1245,'Paramètres'!$M:$M,0))&amp;"",""))))</f>
        <v/>
      </c>
      <c r="M1245" s="6" t="str">
        <f>IF($D1245="","",IF(ISNA(MATCH($D1245,'Paramètres'!$M:$M,0)),"⚠ Type inconnu",IF($L1245="Crédit","",IFERROR(INDEX('Paramètres'!$O:$O,MATCH($D1245,'Paramètres'!$M:$M,0))&amp;"",""))))</f>
        <v/>
      </c>
      <c r="N1245" s="6" t="str">
        <f>IF($D1245="","",IFERROR(INDEX('Paramètres'!$Q:$Q,MATCH($D1245,'Paramètres'!$M:$M,0))&amp;"",""))</f>
        <v/>
      </c>
      <c r="O1245" s="6" t="str">
        <f>IF($A1245="","",IF(OR($J1245&lt;&gt;"x",$A1245&lt;=FinReleve),1,0))</f>
        <v/>
      </c>
      <c r="P1245" s="6" t="str">
        <f>IF($D1245="","",IF(AND($L1245="Crédit",OR(IFERROR(INDEX('Paramètres'!$O:$O,MATCH($D1245,'Paramètres'!$M:$M,0))&amp;"","")&lt;&gt;"",ISNUMBER(SEARCH("remboursement",IFERROR(INDEX('Paramètres'!$N:$N,MATCH($D1245,'Paramètres'!$M:$M,0))&amp;"",""))))),1,0))</f>
        <v/>
      </c>
      <c r="Q1245" s="6" t="str">
        <f>IF($K1245="","",IF(ISNUMBER(SEARCH("transfert-interne",IFERROR(INDEX('Paramètres'!$N:$N,MATCH($D1245,'Paramètres'!$M:$M,0))&amp;"",""))),0,IF($L1245="Débit",$K1245,IF($P1245=1,-$K1245,0))))</f>
        <v/>
      </c>
      <c r="R1245" s="6" t="str">
        <f>IF($K1245="","",IF($L1245="Crédit",$K1245,-$K1245))</f>
        <v/>
      </c>
      <c r="S1245" s="6" t="str">
        <f>IF($C1245="","",IFERROR(INDEX('Paramètres'!$H:$H,MATCH($C1245,'Paramètres'!$D:$D,0))&amp;"",""))</f>
        <v/>
      </c>
      <c r="T1245" s="6" t="str">
        <f>IF($K1245="","",IF($S1245="",0,IF(ISNUMBER(SEARCH("apport-exterieur",IFERROR(INDEX('Paramètres'!$N:$N,MATCH($D1245,'Paramètres'!$M:$M,0))&amp;"",""))),0,IF(OR(IFERROR(INDEX('Paramètres'!$I:$I,MATCH($C1245,'Paramètres'!$D:$D,0))&amp;"","")="Les deux",IFERROR(INDEX('Paramètres'!$I:$I,MATCH($C1245,'Paramètres'!$D:$D,0))&amp;"","")=IF($P1245=1,"Débit",$L1245)),-IF($P1245=1,-$K1245,$K1245),0))))</f>
        <v/>
      </c>
      <c r="U1245" s="6" t="str">
        <f>IF($K1245="","",IF(ISNUMBER(SEARCH("sortie-epargne",IFERROR(INDEX('Paramètres'!$N:$N,MATCH($D1245,'Paramètres'!$M:$M,0))&amp;"",""))),$K1245,0))</f>
        <v/>
      </c>
      <c r="V1245" s="6" t="str">
        <f>IF(AND($A1245&lt;&gt;"",$O1245=1,$L1245="Débit",N($Q1245)&gt;0,$A1245&gt;=Visualisation!$B$1,$A1245&lt;Visualisation!$D$1),MAX($V$1:V1244)+1,"")</f>
        <v/>
      </c>
    </row>
    <row r="1246" spans="1:22" x14ac:dyDescent="0.25">
      <c r="A1246" s="9"/>
      <c r="E1246" s="10"/>
      <c r="K1246" s="11" t="str">
        <f>IF($E1246="","",ROUND($E1246*IF(ISNA(MATCH($C1246,'Paramètres'!$D:$D,0)),1,IF(INDEX('Paramètres'!$J:$J,MATCH($C1246,'Paramètres'!$D:$D,0))="",1,INDEX('Paramètres'!$J:$J,MATCH($C1246,'Paramètres'!$D:$D,0)))),2))</f>
        <v/>
      </c>
      <c r="L1246" s="6" t="str">
        <f>IF($D1246="","",IF($F1246&lt;&gt;"",$F1246,IF(ISNA(MATCH($D1246,'Paramètres'!$M:$M,0)),"⚠ Type inconnu",IFERROR(INDEX('Paramètres'!$P:$P,MATCH($D1246,'Paramètres'!$M:$M,0))&amp;"",""))))</f>
        <v/>
      </c>
      <c r="M1246" s="6" t="str">
        <f>IF($D1246="","",IF(ISNA(MATCH($D1246,'Paramètres'!$M:$M,0)),"⚠ Type inconnu",IF($L1246="Crédit","",IFERROR(INDEX('Paramètres'!$O:$O,MATCH($D1246,'Paramètres'!$M:$M,0))&amp;"",""))))</f>
        <v/>
      </c>
      <c r="N1246" s="6" t="str">
        <f>IF($D1246="","",IFERROR(INDEX('Paramètres'!$Q:$Q,MATCH($D1246,'Paramètres'!$M:$M,0))&amp;"",""))</f>
        <v/>
      </c>
      <c r="O1246" s="6" t="str">
        <f>IF($A1246="","",IF(OR($J1246&lt;&gt;"x",$A1246&lt;=FinReleve),1,0))</f>
        <v/>
      </c>
      <c r="P1246" s="6" t="str">
        <f>IF($D1246="","",IF(AND($L1246="Crédit",OR(IFERROR(INDEX('Paramètres'!$O:$O,MATCH($D1246,'Paramètres'!$M:$M,0))&amp;"","")&lt;&gt;"",ISNUMBER(SEARCH("remboursement",IFERROR(INDEX('Paramètres'!$N:$N,MATCH($D1246,'Paramètres'!$M:$M,0))&amp;"",""))))),1,0))</f>
        <v/>
      </c>
      <c r="Q1246" s="6" t="str">
        <f>IF($K1246="","",IF(ISNUMBER(SEARCH("transfert-interne",IFERROR(INDEX('Paramètres'!$N:$N,MATCH($D1246,'Paramètres'!$M:$M,0))&amp;"",""))),0,IF($L1246="Débit",$K1246,IF($P1246=1,-$K1246,0))))</f>
        <v/>
      </c>
      <c r="R1246" s="6" t="str">
        <f>IF($K1246="","",IF($L1246="Crédit",$K1246,-$K1246))</f>
        <v/>
      </c>
      <c r="S1246" s="6" t="str">
        <f>IF($C1246="","",IFERROR(INDEX('Paramètres'!$H:$H,MATCH($C1246,'Paramètres'!$D:$D,0))&amp;"",""))</f>
        <v/>
      </c>
      <c r="T1246" s="6" t="str">
        <f>IF($K1246="","",IF($S1246="",0,IF(ISNUMBER(SEARCH("apport-exterieur",IFERROR(INDEX('Paramètres'!$N:$N,MATCH($D1246,'Paramètres'!$M:$M,0))&amp;"",""))),0,IF(OR(IFERROR(INDEX('Paramètres'!$I:$I,MATCH($C1246,'Paramètres'!$D:$D,0))&amp;"","")="Les deux",IFERROR(INDEX('Paramètres'!$I:$I,MATCH($C1246,'Paramètres'!$D:$D,0))&amp;"","")=IF($P1246=1,"Débit",$L1246)),-IF($P1246=1,-$K1246,$K1246),0))))</f>
        <v/>
      </c>
      <c r="U1246" s="6" t="str">
        <f>IF($K1246="","",IF(ISNUMBER(SEARCH("sortie-epargne",IFERROR(INDEX('Paramètres'!$N:$N,MATCH($D1246,'Paramètres'!$M:$M,0))&amp;"",""))),$K1246,0))</f>
        <v/>
      </c>
      <c r="V1246" s="6" t="str">
        <f>IF(AND($A1246&lt;&gt;"",$O1246=1,$L1246="Débit",N($Q1246)&gt;0,$A1246&gt;=Visualisation!$B$1,$A1246&lt;Visualisation!$D$1),MAX($V$1:V1245)+1,"")</f>
        <v/>
      </c>
    </row>
    <row r="1247" spans="1:22" x14ac:dyDescent="0.25">
      <c r="A1247" s="9"/>
      <c r="E1247" s="10"/>
      <c r="K1247" s="11" t="str">
        <f>IF($E1247="","",ROUND($E1247*IF(ISNA(MATCH($C1247,'Paramètres'!$D:$D,0)),1,IF(INDEX('Paramètres'!$J:$J,MATCH($C1247,'Paramètres'!$D:$D,0))="",1,INDEX('Paramètres'!$J:$J,MATCH($C1247,'Paramètres'!$D:$D,0)))),2))</f>
        <v/>
      </c>
      <c r="L1247" s="6" t="str">
        <f>IF($D1247="","",IF($F1247&lt;&gt;"",$F1247,IF(ISNA(MATCH($D1247,'Paramètres'!$M:$M,0)),"⚠ Type inconnu",IFERROR(INDEX('Paramètres'!$P:$P,MATCH($D1247,'Paramètres'!$M:$M,0))&amp;"",""))))</f>
        <v/>
      </c>
      <c r="M1247" s="6" t="str">
        <f>IF($D1247="","",IF(ISNA(MATCH($D1247,'Paramètres'!$M:$M,0)),"⚠ Type inconnu",IF($L1247="Crédit","",IFERROR(INDEX('Paramètres'!$O:$O,MATCH($D1247,'Paramètres'!$M:$M,0))&amp;"",""))))</f>
        <v/>
      </c>
      <c r="N1247" s="6" t="str">
        <f>IF($D1247="","",IFERROR(INDEX('Paramètres'!$Q:$Q,MATCH($D1247,'Paramètres'!$M:$M,0))&amp;"",""))</f>
        <v/>
      </c>
      <c r="O1247" s="6" t="str">
        <f>IF($A1247="","",IF(OR($J1247&lt;&gt;"x",$A1247&lt;=FinReleve),1,0))</f>
        <v/>
      </c>
      <c r="P1247" s="6" t="str">
        <f>IF($D1247="","",IF(AND($L1247="Crédit",OR(IFERROR(INDEX('Paramètres'!$O:$O,MATCH($D1247,'Paramètres'!$M:$M,0))&amp;"","")&lt;&gt;"",ISNUMBER(SEARCH("remboursement",IFERROR(INDEX('Paramètres'!$N:$N,MATCH($D1247,'Paramètres'!$M:$M,0))&amp;"",""))))),1,0))</f>
        <v/>
      </c>
      <c r="Q1247" s="6" t="str">
        <f>IF($K1247="","",IF(ISNUMBER(SEARCH("transfert-interne",IFERROR(INDEX('Paramètres'!$N:$N,MATCH($D1247,'Paramètres'!$M:$M,0))&amp;"",""))),0,IF($L1247="Débit",$K1247,IF($P1247=1,-$K1247,0))))</f>
        <v/>
      </c>
      <c r="R1247" s="6" t="str">
        <f>IF($K1247="","",IF($L1247="Crédit",$K1247,-$K1247))</f>
        <v/>
      </c>
      <c r="S1247" s="6" t="str">
        <f>IF($C1247="","",IFERROR(INDEX('Paramètres'!$H:$H,MATCH($C1247,'Paramètres'!$D:$D,0))&amp;"",""))</f>
        <v/>
      </c>
      <c r="T1247" s="6" t="str">
        <f>IF($K1247="","",IF($S1247="",0,IF(ISNUMBER(SEARCH("apport-exterieur",IFERROR(INDEX('Paramètres'!$N:$N,MATCH($D1247,'Paramètres'!$M:$M,0))&amp;"",""))),0,IF(OR(IFERROR(INDEX('Paramètres'!$I:$I,MATCH($C1247,'Paramètres'!$D:$D,0))&amp;"","")="Les deux",IFERROR(INDEX('Paramètres'!$I:$I,MATCH($C1247,'Paramètres'!$D:$D,0))&amp;"","")=IF($P1247=1,"Débit",$L1247)),-IF($P1247=1,-$K1247,$K1247),0))))</f>
        <v/>
      </c>
      <c r="U1247" s="6" t="str">
        <f>IF($K1247="","",IF(ISNUMBER(SEARCH("sortie-epargne",IFERROR(INDEX('Paramètres'!$N:$N,MATCH($D1247,'Paramètres'!$M:$M,0))&amp;"",""))),$K1247,0))</f>
        <v/>
      </c>
      <c r="V1247" s="6" t="str">
        <f>IF(AND($A1247&lt;&gt;"",$O1247=1,$L1247="Débit",N($Q1247)&gt;0,$A1247&gt;=Visualisation!$B$1,$A1247&lt;Visualisation!$D$1),MAX($V$1:V1246)+1,"")</f>
        <v/>
      </c>
    </row>
    <row r="1248" spans="1:22" x14ac:dyDescent="0.25">
      <c r="A1248" s="9"/>
      <c r="E1248" s="10"/>
      <c r="K1248" s="11" t="str">
        <f>IF($E1248="","",ROUND($E1248*IF(ISNA(MATCH($C1248,'Paramètres'!$D:$D,0)),1,IF(INDEX('Paramètres'!$J:$J,MATCH($C1248,'Paramètres'!$D:$D,0))="",1,INDEX('Paramètres'!$J:$J,MATCH($C1248,'Paramètres'!$D:$D,0)))),2))</f>
        <v/>
      </c>
      <c r="L1248" s="6" t="str">
        <f>IF($D1248="","",IF($F1248&lt;&gt;"",$F1248,IF(ISNA(MATCH($D1248,'Paramètres'!$M:$M,0)),"⚠ Type inconnu",IFERROR(INDEX('Paramètres'!$P:$P,MATCH($D1248,'Paramètres'!$M:$M,0))&amp;"",""))))</f>
        <v/>
      </c>
      <c r="M1248" s="6" t="str">
        <f>IF($D1248="","",IF(ISNA(MATCH($D1248,'Paramètres'!$M:$M,0)),"⚠ Type inconnu",IF($L1248="Crédit","",IFERROR(INDEX('Paramètres'!$O:$O,MATCH($D1248,'Paramètres'!$M:$M,0))&amp;"",""))))</f>
        <v/>
      </c>
      <c r="N1248" s="6" t="str">
        <f>IF($D1248="","",IFERROR(INDEX('Paramètres'!$Q:$Q,MATCH($D1248,'Paramètres'!$M:$M,0))&amp;"",""))</f>
        <v/>
      </c>
      <c r="O1248" s="6" t="str">
        <f>IF($A1248="","",IF(OR($J1248&lt;&gt;"x",$A1248&lt;=FinReleve),1,0))</f>
        <v/>
      </c>
      <c r="P1248" s="6" t="str">
        <f>IF($D1248="","",IF(AND($L1248="Crédit",OR(IFERROR(INDEX('Paramètres'!$O:$O,MATCH($D1248,'Paramètres'!$M:$M,0))&amp;"","")&lt;&gt;"",ISNUMBER(SEARCH("remboursement",IFERROR(INDEX('Paramètres'!$N:$N,MATCH($D1248,'Paramètres'!$M:$M,0))&amp;"",""))))),1,0))</f>
        <v/>
      </c>
      <c r="Q1248" s="6" t="str">
        <f>IF($K1248="","",IF(ISNUMBER(SEARCH("transfert-interne",IFERROR(INDEX('Paramètres'!$N:$N,MATCH($D1248,'Paramètres'!$M:$M,0))&amp;"",""))),0,IF($L1248="Débit",$K1248,IF($P1248=1,-$K1248,0))))</f>
        <v/>
      </c>
      <c r="R1248" s="6" t="str">
        <f>IF($K1248="","",IF($L1248="Crédit",$K1248,-$K1248))</f>
        <v/>
      </c>
      <c r="S1248" s="6" t="str">
        <f>IF($C1248="","",IFERROR(INDEX('Paramètres'!$H:$H,MATCH($C1248,'Paramètres'!$D:$D,0))&amp;"",""))</f>
        <v/>
      </c>
      <c r="T1248" s="6" t="str">
        <f>IF($K1248="","",IF($S1248="",0,IF(ISNUMBER(SEARCH("apport-exterieur",IFERROR(INDEX('Paramètres'!$N:$N,MATCH($D1248,'Paramètres'!$M:$M,0))&amp;"",""))),0,IF(OR(IFERROR(INDEX('Paramètres'!$I:$I,MATCH($C1248,'Paramètres'!$D:$D,0))&amp;"","")="Les deux",IFERROR(INDEX('Paramètres'!$I:$I,MATCH($C1248,'Paramètres'!$D:$D,0))&amp;"","")=IF($P1248=1,"Débit",$L1248)),-IF($P1248=1,-$K1248,$K1248),0))))</f>
        <v/>
      </c>
      <c r="U1248" s="6" t="str">
        <f>IF($K1248="","",IF(ISNUMBER(SEARCH("sortie-epargne",IFERROR(INDEX('Paramètres'!$N:$N,MATCH($D1248,'Paramètres'!$M:$M,0))&amp;"",""))),$K1248,0))</f>
        <v/>
      </c>
      <c r="V1248" s="6" t="str">
        <f>IF(AND($A1248&lt;&gt;"",$O1248=1,$L1248="Débit",N($Q1248)&gt;0,$A1248&gt;=Visualisation!$B$1,$A1248&lt;Visualisation!$D$1),MAX($V$1:V1247)+1,"")</f>
        <v/>
      </c>
    </row>
    <row r="1249" spans="1:22" x14ac:dyDescent="0.25">
      <c r="A1249" s="9"/>
      <c r="E1249" s="10"/>
      <c r="K1249" s="11" t="str">
        <f>IF($E1249="","",ROUND($E1249*IF(ISNA(MATCH($C1249,'Paramètres'!$D:$D,0)),1,IF(INDEX('Paramètres'!$J:$J,MATCH($C1249,'Paramètres'!$D:$D,0))="",1,INDEX('Paramètres'!$J:$J,MATCH($C1249,'Paramètres'!$D:$D,0)))),2))</f>
        <v/>
      </c>
      <c r="L1249" s="6" t="str">
        <f>IF($D1249="","",IF($F1249&lt;&gt;"",$F1249,IF(ISNA(MATCH($D1249,'Paramètres'!$M:$M,0)),"⚠ Type inconnu",IFERROR(INDEX('Paramètres'!$P:$P,MATCH($D1249,'Paramètres'!$M:$M,0))&amp;"",""))))</f>
        <v/>
      </c>
      <c r="M1249" s="6" t="str">
        <f>IF($D1249="","",IF(ISNA(MATCH($D1249,'Paramètres'!$M:$M,0)),"⚠ Type inconnu",IF($L1249="Crédit","",IFERROR(INDEX('Paramètres'!$O:$O,MATCH($D1249,'Paramètres'!$M:$M,0))&amp;"",""))))</f>
        <v/>
      </c>
      <c r="N1249" s="6" t="str">
        <f>IF($D1249="","",IFERROR(INDEX('Paramètres'!$Q:$Q,MATCH($D1249,'Paramètres'!$M:$M,0))&amp;"",""))</f>
        <v/>
      </c>
      <c r="O1249" s="6" t="str">
        <f>IF($A1249="","",IF(OR($J1249&lt;&gt;"x",$A1249&lt;=FinReleve),1,0))</f>
        <v/>
      </c>
      <c r="P1249" s="6" t="str">
        <f>IF($D1249="","",IF(AND($L1249="Crédit",OR(IFERROR(INDEX('Paramètres'!$O:$O,MATCH($D1249,'Paramètres'!$M:$M,0))&amp;"","")&lt;&gt;"",ISNUMBER(SEARCH("remboursement",IFERROR(INDEX('Paramètres'!$N:$N,MATCH($D1249,'Paramètres'!$M:$M,0))&amp;"",""))))),1,0))</f>
        <v/>
      </c>
      <c r="Q1249" s="6" t="str">
        <f>IF($K1249="","",IF(ISNUMBER(SEARCH("transfert-interne",IFERROR(INDEX('Paramètres'!$N:$N,MATCH($D1249,'Paramètres'!$M:$M,0))&amp;"",""))),0,IF($L1249="Débit",$K1249,IF($P1249=1,-$K1249,0))))</f>
        <v/>
      </c>
      <c r="R1249" s="6" t="str">
        <f>IF($K1249="","",IF($L1249="Crédit",$K1249,-$K1249))</f>
        <v/>
      </c>
      <c r="S1249" s="6" t="str">
        <f>IF($C1249="","",IFERROR(INDEX('Paramètres'!$H:$H,MATCH($C1249,'Paramètres'!$D:$D,0))&amp;"",""))</f>
        <v/>
      </c>
      <c r="T1249" s="6" t="str">
        <f>IF($K1249="","",IF($S1249="",0,IF(ISNUMBER(SEARCH("apport-exterieur",IFERROR(INDEX('Paramètres'!$N:$N,MATCH($D1249,'Paramètres'!$M:$M,0))&amp;"",""))),0,IF(OR(IFERROR(INDEX('Paramètres'!$I:$I,MATCH($C1249,'Paramètres'!$D:$D,0))&amp;"","")="Les deux",IFERROR(INDEX('Paramètres'!$I:$I,MATCH($C1249,'Paramètres'!$D:$D,0))&amp;"","")=IF($P1249=1,"Débit",$L1249)),-IF($P1249=1,-$K1249,$K1249),0))))</f>
        <v/>
      </c>
      <c r="U1249" s="6" t="str">
        <f>IF($K1249="","",IF(ISNUMBER(SEARCH("sortie-epargne",IFERROR(INDEX('Paramètres'!$N:$N,MATCH($D1249,'Paramètres'!$M:$M,0))&amp;"",""))),$K1249,0))</f>
        <v/>
      </c>
      <c r="V1249" s="6" t="str">
        <f>IF(AND($A1249&lt;&gt;"",$O1249=1,$L1249="Débit",N($Q1249)&gt;0,$A1249&gt;=Visualisation!$B$1,$A1249&lt;Visualisation!$D$1),MAX($V$1:V1248)+1,"")</f>
        <v/>
      </c>
    </row>
    <row r="1250" spans="1:22" x14ac:dyDescent="0.25">
      <c r="A1250" s="9"/>
      <c r="E1250" s="10"/>
      <c r="K1250" s="11" t="str">
        <f>IF($E1250="","",ROUND($E1250*IF(ISNA(MATCH($C1250,'Paramètres'!$D:$D,0)),1,IF(INDEX('Paramètres'!$J:$J,MATCH($C1250,'Paramètres'!$D:$D,0))="",1,INDEX('Paramètres'!$J:$J,MATCH($C1250,'Paramètres'!$D:$D,0)))),2))</f>
        <v/>
      </c>
      <c r="L1250" s="6" t="str">
        <f>IF($D1250="","",IF($F1250&lt;&gt;"",$F1250,IF(ISNA(MATCH($D1250,'Paramètres'!$M:$M,0)),"⚠ Type inconnu",IFERROR(INDEX('Paramètres'!$P:$P,MATCH($D1250,'Paramètres'!$M:$M,0))&amp;"",""))))</f>
        <v/>
      </c>
      <c r="M1250" s="6" t="str">
        <f>IF($D1250="","",IF(ISNA(MATCH($D1250,'Paramètres'!$M:$M,0)),"⚠ Type inconnu",IF($L1250="Crédit","",IFERROR(INDEX('Paramètres'!$O:$O,MATCH($D1250,'Paramètres'!$M:$M,0))&amp;"",""))))</f>
        <v/>
      </c>
      <c r="N1250" s="6" t="str">
        <f>IF($D1250="","",IFERROR(INDEX('Paramètres'!$Q:$Q,MATCH($D1250,'Paramètres'!$M:$M,0))&amp;"",""))</f>
        <v/>
      </c>
      <c r="O1250" s="6" t="str">
        <f>IF($A1250="","",IF(OR($J1250&lt;&gt;"x",$A1250&lt;=FinReleve),1,0))</f>
        <v/>
      </c>
      <c r="P1250" s="6" t="str">
        <f>IF($D1250="","",IF(AND($L1250="Crédit",OR(IFERROR(INDEX('Paramètres'!$O:$O,MATCH($D1250,'Paramètres'!$M:$M,0))&amp;"","")&lt;&gt;"",ISNUMBER(SEARCH("remboursement",IFERROR(INDEX('Paramètres'!$N:$N,MATCH($D1250,'Paramètres'!$M:$M,0))&amp;"",""))))),1,0))</f>
        <v/>
      </c>
      <c r="Q1250" s="6" t="str">
        <f>IF($K1250="","",IF(ISNUMBER(SEARCH("transfert-interne",IFERROR(INDEX('Paramètres'!$N:$N,MATCH($D1250,'Paramètres'!$M:$M,0))&amp;"",""))),0,IF($L1250="Débit",$K1250,IF($P1250=1,-$K1250,0))))</f>
        <v/>
      </c>
      <c r="R1250" s="6" t="str">
        <f>IF($K1250="","",IF($L1250="Crédit",$K1250,-$K1250))</f>
        <v/>
      </c>
      <c r="S1250" s="6" t="str">
        <f>IF($C1250="","",IFERROR(INDEX('Paramètres'!$H:$H,MATCH($C1250,'Paramètres'!$D:$D,0))&amp;"",""))</f>
        <v/>
      </c>
      <c r="T1250" s="6" t="str">
        <f>IF($K1250="","",IF($S1250="",0,IF(ISNUMBER(SEARCH("apport-exterieur",IFERROR(INDEX('Paramètres'!$N:$N,MATCH($D1250,'Paramètres'!$M:$M,0))&amp;"",""))),0,IF(OR(IFERROR(INDEX('Paramètres'!$I:$I,MATCH($C1250,'Paramètres'!$D:$D,0))&amp;"","")="Les deux",IFERROR(INDEX('Paramètres'!$I:$I,MATCH($C1250,'Paramètres'!$D:$D,0))&amp;"","")=IF($P1250=1,"Débit",$L1250)),-IF($P1250=1,-$K1250,$K1250),0))))</f>
        <v/>
      </c>
      <c r="U1250" s="6" t="str">
        <f>IF($K1250="","",IF(ISNUMBER(SEARCH("sortie-epargne",IFERROR(INDEX('Paramètres'!$N:$N,MATCH($D1250,'Paramètres'!$M:$M,0))&amp;"",""))),$K1250,0))</f>
        <v/>
      </c>
      <c r="V1250" s="6" t="str">
        <f>IF(AND($A1250&lt;&gt;"",$O1250=1,$L1250="Débit",N($Q1250)&gt;0,$A1250&gt;=Visualisation!$B$1,$A1250&lt;Visualisation!$D$1),MAX($V$1:V1249)+1,"")</f>
        <v/>
      </c>
    </row>
    <row r="1251" spans="1:22" x14ac:dyDescent="0.25">
      <c r="A1251" s="9"/>
      <c r="E1251" s="10"/>
      <c r="K1251" s="11" t="str">
        <f>IF($E1251="","",ROUND($E1251*IF(ISNA(MATCH($C1251,'Paramètres'!$D:$D,0)),1,IF(INDEX('Paramètres'!$J:$J,MATCH($C1251,'Paramètres'!$D:$D,0))="",1,INDEX('Paramètres'!$J:$J,MATCH($C1251,'Paramètres'!$D:$D,0)))),2))</f>
        <v/>
      </c>
      <c r="L1251" s="6" t="str">
        <f>IF($D1251="","",IF($F1251&lt;&gt;"",$F1251,IF(ISNA(MATCH($D1251,'Paramètres'!$M:$M,0)),"⚠ Type inconnu",IFERROR(INDEX('Paramètres'!$P:$P,MATCH($D1251,'Paramètres'!$M:$M,0))&amp;"",""))))</f>
        <v/>
      </c>
      <c r="M1251" s="6" t="str">
        <f>IF($D1251="","",IF(ISNA(MATCH($D1251,'Paramètres'!$M:$M,0)),"⚠ Type inconnu",IF($L1251="Crédit","",IFERROR(INDEX('Paramètres'!$O:$O,MATCH($D1251,'Paramètres'!$M:$M,0))&amp;"",""))))</f>
        <v/>
      </c>
      <c r="N1251" s="6" t="str">
        <f>IF($D1251="","",IFERROR(INDEX('Paramètres'!$Q:$Q,MATCH($D1251,'Paramètres'!$M:$M,0))&amp;"",""))</f>
        <v/>
      </c>
      <c r="O1251" s="6" t="str">
        <f>IF($A1251="","",IF(OR($J1251&lt;&gt;"x",$A1251&lt;=FinReleve),1,0))</f>
        <v/>
      </c>
      <c r="P1251" s="6" t="str">
        <f>IF($D1251="","",IF(AND($L1251="Crédit",OR(IFERROR(INDEX('Paramètres'!$O:$O,MATCH($D1251,'Paramètres'!$M:$M,0))&amp;"","")&lt;&gt;"",ISNUMBER(SEARCH("remboursement",IFERROR(INDEX('Paramètres'!$N:$N,MATCH($D1251,'Paramètres'!$M:$M,0))&amp;"",""))))),1,0))</f>
        <v/>
      </c>
      <c r="Q1251" s="6" t="str">
        <f>IF($K1251="","",IF(ISNUMBER(SEARCH("transfert-interne",IFERROR(INDEX('Paramètres'!$N:$N,MATCH($D1251,'Paramètres'!$M:$M,0))&amp;"",""))),0,IF($L1251="Débit",$K1251,IF($P1251=1,-$K1251,0))))</f>
        <v/>
      </c>
      <c r="R1251" s="6" t="str">
        <f>IF($K1251="","",IF($L1251="Crédit",$K1251,-$K1251))</f>
        <v/>
      </c>
      <c r="S1251" s="6" t="str">
        <f>IF($C1251="","",IFERROR(INDEX('Paramètres'!$H:$H,MATCH($C1251,'Paramètres'!$D:$D,0))&amp;"",""))</f>
        <v/>
      </c>
      <c r="T1251" s="6" t="str">
        <f>IF($K1251="","",IF($S1251="",0,IF(ISNUMBER(SEARCH("apport-exterieur",IFERROR(INDEX('Paramètres'!$N:$N,MATCH($D1251,'Paramètres'!$M:$M,0))&amp;"",""))),0,IF(OR(IFERROR(INDEX('Paramètres'!$I:$I,MATCH($C1251,'Paramètres'!$D:$D,0))&amp;"","")="Les deux",IFERROR(INDEX('Paramètres'!$I:$I,MATCH($C1251,'Paramètres'!$D:$D,0))&amp;"","")=IF($P1251=1,"Débit",$L1251)),-IF($P1251=1,-$K1251,$K1251),0))))</f>
        <v/>
      </c>
      <c r="U1251" s="6" t="str">
        <f>IF($K1251="","",IF(ISNUMBER(SEARCH("sortie-epargne",IFERROR(INDEX('Paramètres'!$N:$N,MATCH($D1251,'Paramètres'!$M:$M,0))&amp;"",""))),$K1251,0))</f>
        <v/>
      </c>
      <c r="V1251" s="6" t="str">
        <f>IF(AND($A1251&lt;&gt;"",$O1251=1,$L1251="Débit",N($Q1251)&gt;0,$A1251&gt;=Visualisation!$B$1,$A1251&lt;Visualisation!$D$1),MAX($V$1:V1250)+1,"")</f>
        <v/>
      </c>
    </row>
    <row r="1252" spans="1:22" x14ac:dyDescent="0.25">
      <c r="A1252" s="9"/>
      <c r="E1252" s="10"/>
      <c r="K1252" s="11" t="str">
        <f>IF($E1252="","",ROUND($E1252*IF(ISNA(MATCH($C1252,'Paramètres'!$D:$D,0)),1,IF(INDEX('Paramètres'!$J:$J,MATCH($C1252,'Paramètres'!$D:$D,0))="",1,INDEX('Paramètres'!$J:$J,MATCH($C1252,'Paramètres'!$D:$D,0)))),2))</f>
        <v/>
      </c>
      <c r="L1252" s="6" t="str">
        <f>IF($D1252="","",IF($F1252&lt;&gt;"",$F1252,IF(ISNA(MATCH($D1252,'Paramètres'!$M:$M,0)),"⚠ Type inconnu",IFERROR(INDEX('Paramètres'!$P:$P,MATCH($D1252,'Paramètres'!$M:$M,0))&amp;"",""))))</f>
        <v/>
      </c>
      <c r="M1252" s="6" t="str">
        <f>IF($D1252="","",IF(ISNA(MATCH($D1252,'Paramètres'!$M:$M,0)),"⚠ Type inconnu",IF($L1252="Crédit","",IFERROR(INDEX('Paramètres'!$O:$O,MATCH($D1252,'Paramètres'!$M:$M,0))&amp;"",""))))</f>
        <v/>
      </c>
      <c r="N1252" s="6" t="str">
        <f>IF($D1252="","",IFERROR(INDEX('Paramètres'!$Q:$Q,MATCH($D1252,'Paramètres'!$M:$M,0))&amp;"",""))</f>
        <v/>
      </c>
      <c r="O1252" s="6" t="str">
        <f>IF($A1252="","",IF(OR($J1252&lt;&gt;"x",$A1252&lt;=FinReleve),1,0))</f>
        <v/>
      </c>
      <c r="P1252" s="6" t="str">
        <f>IF($D1252="","",IF(AND($L1252="Crédit",OR(IFERROR(INDEX('Paramètres'!$O:$O,MATCH($D1252,'Paramètres'!$M:$M,0))&amp;"","")&lt;&gt;"",ISNUMBER(SEARCH("remboursement",IFERROR(INDEX('Paramètres'!$N:$N,MATCH($D1252,'Paramètres'!$M:$M,0))&amp;"",""))))),1,0))</f>
        <v/>
      </c>
      <c r="Q1252" s="6" t="str">
        <f>IF($K1252="","",IF(ISNUMBER(SEARCH("transfert-interne",IFERROR(INDEX('Paramètres'!$N:$N,MATCH($D1252,'Paramètres'!$M:$M,0))&amp;"",""))),0,IF($L1252="Débit",$K1252,IF($P1252=1,-$K1252,0))))</f>
        <v/>
      </c>
      <c r="R1252" s="6" t="str">
        <f>IF($K1252="","",IF($L1252="Crédit",$K1252,-$K1252))</f>
        <v/>
      </c>
      <c r="S1252" s="6" t="str">
        <f>IF($C1252="","",IFERROR(INDEX('Paramètres'!$H:$H,MATCH($C1252,'Paramètres'!$D:$D,0))&amp;"",""))</f>
        <v/>
      </c>
      <c r="T1252" s="6" t="str">
        <f>IF($K1252="","",IF($S1252="",0,IF(ISNUMBER(SEARCH("apport-exterieur",IFERROR(INDEX('Paramètres'!$N:$N,MATCH($D1252,'Paramètres'!$M:$M,0))&amp;"",""))),0,IF(OR(IFERROR(INDEX('Paramètres'!$I:$I,MATCH($C1252,'Paramètres'!$D:$D,0))&amp;"","")="Les deux",IFERROR(INDEX('Paramètres'!$I:$I,MATCH($C1252,'Paramètres'!$D:$D,0))&amp;"","")=IF($P1252=1,"Débit",$L1252)),-IF($P1252=1,-$K1252,$K1252),0))))</f>
        <v/>
      </c>
      <c r="U1252" s="6" t="str">
        <f>IF($K1252="","",IF(ISNUMBER(SEARCH("sortie-epargne",IFERROR(INDEX('Paramètres'!$N:$N,MATCH($D1252,'Paramètres'!$M:$M,0))&amp;"",""))),$K1252,0))</f>
        <v/>
      </c>
      <c r="V1252" s="6" t="str">
        <f>IF(AND($A1252&lt;&gt;"",$O1252=1,$L1252="Débit",N($Q1252)&gt;0,$A1252&gt;=Visualisation!$B$1,$A1252&lt;Visualisation!$D$1),MAX($V$1:V1251)+1,"")</f>
        <v/>
      </c>
    </row>
    <row r="1253" spans="1:22" x14ac:dyDescent="0.25">
      <c r="A1253" s="9"/>
      <c r="E1253" s="10"/>
      <c r="K1253" s="11" t="str">
        <f>IF($E1253="","",ROUND($E1253*IF(ISNA(MATCH($C1253,'Paramètres'!$D:$D,0)),1,IF(INDEX('Paramètres'!$J:$J,MATCH($C1253,'Paramètres'!$D:$D,0))="",1,INDEX('Paramètres'!$J:$J,MATCH($C1253,'Paramètres'!$D:$D,0)))),2))</f>
        <v/>
      </c>
      <c r="L1253" s="6" t="str">
        <f>IF($D1253="","",IF($F1253&lt;&gt;"",$F1253,IF(ISNA(MATCH($D1253,'Paramètres'!$M:$M,0)),"⚠ Type inconnu",IFERROR(INDEX('Paramètres'!$P:$P,MATCH($D1253,'Paramètres'!$M:$M,0))&amp;"",""))))</f>
        <v/>
      </c>
      <c r="M1253" s="6" t="str">
        <f>IF($D1253="","",IF(ISNA(MATCH($D1253,'Paramètres'!$M:$M,0)),"⚠ Type inconnu",IF($L1253="Crédit","",IFERROR(INDEX('Paramètres'!$O:$O,MATCH($D1253,'Paramètres'!$M:$M,0))&amp;"",""))))</f>
        <v/>
      </c>
      <c r="N1253" s="6" t="str">
        <f>IF($D1253="","",IFERROR(INDEX('Paramètres'!$Q:$Q,MATCH($D1253,'Paramètres'!$M:$M,0))&amp;"",""))</f>
        <v/>
      </c>
      <c r="O1253" s="6" t="str">
        <f>IF($A1253="","",IF(OR($J1253&lt;&gt;"x",$A1253&lt;=FinReleve),1,0))</f>
        <v/>
      </c>
      <c r="P1253" s="6" t="str">
        <f>IF($D1253="","",IF(AND($L1253="Crédit",OR(IFERROR(INDEX('Paramètres'!$O:$O,MATCH($D1253,'Paramètres'!$M:$M,0))&amp;"","")&lt;&gt;"",ISNUMBER(SEARCH("remboursement",IFERROR(INDEX('Paramètres'!$N:$N,MATCH($D1253,'Paramètres'!$M:$M,0))&amp;"",""))))),1,0))</f>
        <v/>
      </c>
      <c r="Q1253" s="6" t="str">
        <f>IF($K1253="","",IF(ISNUMBER(SEARCH("transfert-interne",IFERROR(INDEX('Paramètres'!$N:$N,MATCH($D1253,'Paramètres'!$M:$M,0))&amp;"",""))),0,IF($L1253="Débit",$K1253,IF($P1253=1,-$K1253,0))))</f>
        <v/>
      </c>
      <c r="R1253" s="6" t="str">
        <f>IF($K1253="","",IF($L1253="Crédit",$K1253,-$K1253))</f>
        <v/>
      </c>
      <c r="S1253" s="6" t="str">
        <f>IF($C1253="","",IFERROR(INDEX('Paramètres'!$H:$H,MATCH($C1253,'Paramètres'!$D:$D,0))&amp;"",""))</f>
        <v/>
      </c>
      <c r="T1253" s="6" t="str">
        <f>IF($K1253="","",IF($S1253="",0,IF(ISNUMBER(SEARCH("apport-exterieur",IFERROR(INDEX('Paramètres'!$N:$N,MATCH($D1253,'Paramètres'!$M:$M,0))&amp;"",""))),0,IF(OR(IFERROR(INDEX('Paramètres'!$I:$I,MATCH($C1253,'Paramètres'!$D:$D,0))&amp;"","")="Les deux",IFERROR(INDEX('Paramètres'!$I:$I,MATCH($C1253,'Paramètres'!$D:$D,0))&amp;"","")=IF($P1253=1,"Débit",$L1253)),-IF($P1253=1,-$K1253,$K1253),0))))</f>
        <v/>
      </c>
      <c r="U1253" s="6" t="str">
        <f>IF($K1253="","",IF(ISNUMBER(SEARCH("sortie-epargne",IFERROR(INDEX('Paramètres'!$N:$N,MATCH($D1253,'Paramètres'!$M:$M,0))&amp;"",""))),$K1253,0))</f>
        <v/>
      </c>
      <c r="V1253" s="6" t="str">
        <f>IF(AND($A1253&lt;&gt;"",$O1253=1,$L1253="Débit",N($Q1253)&gt;0,$A1253&gt;=Visualisation!$B$1,$A1253&lt;Visualisation!$D$1),MAX($V$1:V1252)+1,"")</f>
        <v/>
      </c>
    </row>
    <row r="1254" spans="1:22" x14ac:dyDescent="0.25">
      <c r="A1254" s="9"/>
      <c r="E1254" s="10"/>
      <c r="K1254" s="11" t="str">
        <f>IF($E1254="","",ROUND($E1254*IF(ISNA(MATCH($C1254,'Paramètres'!$D:$D,0)),1,IF(INDEX('Paramètres'!$J:$J,MATCH($C1254,'Paramètres'!$D:$D,0))="",1,INDEX('Paramètres'!$J:$J,MATCH($C1254,'Paramètres'!$D:$D,0)))),2))</f>
        <v/>
      </c>
      <c r="L1254" s="6" t="str">
        <f>IF($D1254="","",IF($F1254&lt;&gt;"",$F1254,IF(ISNA(MATCH($D1254,'Paramètres'!$M:$M,0)),"⚠ Type inconnu",IFERROR(INDEX('Paramètres'!$P:$P,MATCH($D1254,'Paramètres'!$M:$M,0))&amp;"",""))))</f>
        <v/>
      </c>
      <c r="M1254" s="6" t="str">
        <f>IF($D1254="","",IF(ISNA(MATCH($D1254,'Paramètres'!$M:$M,0)),"⚠ Type inconnu",IF($L1254="Crédit","",IFERROR(INDEX('Paramètres'!$O:$O,MATCH($D1254,'Paramètres'!$M:$M,0))&amp;"",""))))</f>
        <v/>
      </c>
      <c r="N1254" s="6" t="str">
        <f>IF($D1254="","",IFERROR(INDEX('Paramètres'!$Q:$Q,MATCH($D1254,'Paramètres'!$M:$M,0))&amp;"",""))</f>
        <v/>
      </c>
      <c r="O1254" s="6" t="str">
        <f>IF($A1254="","",IF(OR($J1254&lt;&gt;"x",$A1254&lt;=FinReleve),1,0))</f>
        <v/>
      </c>
      <c r="P1254" s="6" t="str">
        <f>IF($D1254="","",IF(AND($L1254="Crédit",OR(IFERROR(INDEX('Paramètres'!$O:$O,MATCH($D1254,'Paramètres'!$M:$M,0))&amp;"","")&lt;&gt;"",ISNUMBER(SEARCH("remboursement",IFERROR(INDEX('Paramètres'!$N:$N,MATCH($D1254,'Paramètres'!$M:$M,0))&amp;"",""))))),1,0))</f>
        <v/>
      </c>
      <c r="Q1254" s="6" t="str">
        <f>IF($K1254="","",IF(ISNUMBER(SEARCH("transfert-interne",IFERROR(INDEX('Paramètres'!$N:$N,MATCH($D1254,'Paramètres'!$M:$M,0))&amp;"",""))),0,IF($L1254="Débit",$K1254,IF($P1254=1,-$K1254,0))))</f>
        <v/>
      </c>
      <c r="R1254" s="6" t="str">
        <f>IF($K1254="","",IF($L1254="Crédit",$K1254,-$K1254))</f>
        <v/>
      </c>
      <c r="S1254" s="6" t="str">
        <f>IF($C1254="","",IFERROR(INDEX('Paramètres'!$H:$H,MATCH($C1254,'Paramètres'!$D:$D,0))&amp;"",""))</f>
        <v/>
      </c>
      <c r="T1254" s="6" t="str">
        <f>IF($K1254="","",IF($S1254="",0,IF(ISNUMBER(SEARCH("apport-exterieur",IFERROR(INDEX('Paramètres'!$N:$N,MATCH($D1254,'Paramètres'!$M:$M,0))&amp;"",""))),0,IF(OR(IFERROR(INDEX('Paramètres'!$I:$I,MATCH($C1254,'Paramètres'!$D:$D,0))&amp;"","")="Les deux",IFERROR(INDEX('Paramètres'!$I:$I,MATCH($C1254,'Paramètres'!$D:$D,0))&amp;"","")=IF($P1254=1,"Débit",$L1254)),-IF($P1254=1,-$K1254,$K1254),0))))</f>
        <v/>
      </c>
      <c r="U1254" s="6" t="str">
        <f>IF($K1254="","",IF(ISNUMBER(SEARCH("sortie-epargne",IFERROR(INDEX('Paramètres'!$N:$N,MATCH($D1254,'Paramètres'!$M:$M,0))&amp;"",""))),$K1254,0))</f>
        <v/>
      </c>
      <c r="V1254" s="6" t="str">
        <f>IF(AND($A1254&lt;&gt;"",$O1254=1,$L1254="Débit",N($Q1254)&gt;0,$A1254&gt;=Visualisation!$B$1,$A1254&lt;Visualisation!$D$1),MAX($V$1:V1253)+1,"")</f>
        <v/>
      </c>
    </row>
    <row r="1255" spans="1:22" x14ac:dyDescent="0.25">
      <c r="A1255" s="9"/>
      <c r="E1255" s="10"/>
      <c r="K1255" s="11" t="str">
        <f>IF($E1255="","",ROUND($E1255*IF(ISNA(MATCH($C1255,'Paramètres'!$D:$D,0)),1,IF(INDEX('Paramètres'!$J:$J,MATCH($C1255,'Paramètres'!$D:$D,0))="",1,INDEX('Paramètres'!$J:$J,MATCH($C1255,'Paramètres'!$D:$D,0)))),2))</f>
        <v/>
      </c>
      <c r="L1255" s="6" t="str">
        <f>IF($D1255="","",IF($F1255&lt;&gt;"",$F1255,IF(ISNA(MATCH($D1255,'Paramètres'!$M:$M,0)),"⚠ Type inconnu",IFERROR(INDEX('Paramètres'!$P:$P,MATCH($D1255,'Paramètres'!$M:$M,0))&amp;"",""))))</f>
        <v/>
      </c>
      <c r="M1255" s="6" t="str">
        <f>IF($D1255="","",IF(ISNA(MATCH($D1255,'Paramètres'!$M:$M,0)),"⚠ Type inconnu",IF($L1255="Crédit","",IFERROR(INDEX('Paramètres'!$O:$O,MATCH($D1255,'Paramètres'!$M:$M,0))&amp;"",""))))</f>
        <v/>
      </c>
      <c r="N1255" s="6" t="str">
        <f>IF($D1255="","",IFERROR(INDEX('Paramètres'!$Q:$Q,MATCH($D1255,'Paramètres'!$M:$M,0))&amp;"",""))</f>
        <v/>
      </c>
      <c r="O1255" s="6" t="str">
        <f>IF($A1255="","",IF(OR($J1255&lt;&gt;"x",$A1255&lt;=FinReleve),1,0))</f>
        <v/>
      </c>
      <c r="P1255" s="6" t="str">
        <f>IF($D1255="","",IF(AND($L1255="Crédit",OR(IFERROR(INDEX('Paramètres'!$O:$O,MATCH($D1255,'Paramètres'!$M:$M,0))&amp;"","")&lt;&gt;"",ISNUMBER(SEARCH("remboursement",IFERROR(INDEX('Paramètres'!$N:$N,MATCH($D1255,'Paramètres'!$M:$M,0))&amp;"",""))))),1,0))</f>
        <v/>
      </c>
      <c r="Q1255" s="6" t="str">
        <f>IF($K1255="","",IF(ISNUMBER(SEARCH("transfert-interne",IFERROR(INDEX('Paramètres'!$N:$N,MATCH($D1255,'Paramètres'!$M:$M,0))&amp;"",""))),0,IF($L1255="Débit",$K1255,IF($P1255=1,-$K1255,0))))</f>
        <v/>
      </c>
      <c r="R1255" s="6" t="str">
        <f>IF($K1255="","",IF($L1255="Crédit",$K1255,-$K1255))</f>
        <v/>
      </c>
      <c r="S1255" s="6" t="str">
        <f>IF($C1255="","",IFERROR(INDEX('Paramètres'!$H:$H,MATCH($C1255,'Paramètres'!$D:$D,0))&amp;"",""))</f>
        <v/>
      </c>
      <c r="T1255" s="6" t="str">
        <f>IF($K1255="","",IF($S1255="",0,IF(ISNUMBER(SEARCH("apport-exterieur",IFERROR(INDEX('Paramètres'!$N:$N,MATCH($D1255,'Paramètres'!$M:$M,0))&amp;"",""))),0,IF(OR(IFERROR(INDEX('Paramètres'!$I:$I,MATCH($C1255,'Paramètres'!$D:$D,0))&amp;"","")="Les deux",IFERROR(INDEX('Paramètres'!$I:$I,MATCH($C1255,'Paramètres'!$D:$D,0))&amp;"","")=IF($P1255=1,"Débit",$L1255)),-IF($P1255=1,-$K1255,$K1255),0))))</f>
        <v/>
      </c>
      <c r="U1255" s="6" t="str">
        <f>IF($K1255="","",IF(ISNUMBER(SEARCH("sortie-epargne",IFERROR(INDEX('Paramètres'!$N:$N,MATCH($D1255,'Paramètres'!$M:$M,0))&amp;"",""))),$K1255,0))</f>
        <v/>
      </c>
      <c r="V1255" s="6" t="str">
        <f>IF(AND($A1255&lt;&gt;"",$O1255=1,$L1255="Débit",N($Q1255)&gt;0,$A1255&gt;=Visualisation!$B$1,$A1255&lt;Visualisation!$D$1),MAX($V$1:V1254)+1,"")</f>
        <v/>
      </c>
    </row>
    <row r="1256" spans="1:22" x14ac:dyDescent="0.25">
      <c r="A1256" s="9"/>
      <c r="E1256" s="10"/>
      <c r="K1256" s="11" t="str">
        <f>IF($E1256="","",ROUND($E1256*IF(ISNA(MATCH($C1256,'Paramètres'!$D:$D,0)),1,IF(INDEX('Paramètres'!$J:$J,MATCH($C1256,'Paramètres'!$D:$D,0))="",1,INDEX('Paramètres'!$J:$J,MATCH($C1256,'Paramètres'!$D:$D,0)))),2))</f>
        <v/>
      </c>
      <c r="L1256" s="6" t="str">
        <f>IF($D1256="","",IF($F1256&lt;&gt;"",$F1256,IF(ISNA(MATCH($D1256,'Paramètres'!$M:$M,0)),"⚠ Type inconnu",IFERROR(INDEX('Paramètres'!$P:$P,MATCH($D1256,'Paramètres'!$M:$M,0))&amp;"",""))))</f>
        <v/>
      </c>
      <c r="M1256" s="6" t="str">
        <f>IF($D1256="","",IF(ISNA(MATCH($D1256,'Paramètres'!$M:$M,0)),"⚠ Type inconnu",IF($L1256="Crédit","",IFERROR(INDEX('Paramètres'!$O:$O,MATCH($D1256,'Paramètres'!$M:$M,0))&amp;"",""))))</f>
        <v/>
      </c>
      <c r="N1256" s="6" t="str">
        <f>IF($D1256="","",IFERROR(INDEX('Paramètres'!$Q:$Q,MATCH($D1256,'Paramètres'!$M:$M,0))&amp;"",""))</f>
        <v/>
      </c>
      <c r="O1256" s="6" t="str">
        <f>IF($A1256="","",IF(OR($J1256&lt;&gt;"x",$A1256&lt;=FinReleve),1,0))</f>
        <v/>
      </c>
      <c r="P1256" s="6" t="str">
        <f>IF($D1256="","",IF(AND($L1256="Crédit",OR(IFERROR(INDEX('Paramètres'!$O:$O,MATCH($D1256,'Paramètres'!$M:$M,0))&amp;"","")&lt;&gt;"",ISNUMBER(SEARCH("remboursement",IFERROR(INDEX('Paramètres'!$N:$N,MATCH($D1256,'Paramètres'!$M:$M,0))&amp;"",""))))),1,0))</f>
        <v/>
      </c>
      <c r="Q1256" s="6" t="str">
        <f>IF($K1256="","",IF(ISNUMBER(SEARCH("transfert-interne",IFERROR(INDEX('Paramètres'!$N:$N,MATCH($D1256,'Paramètres'!$M:$M,0))&amp;"",""))),0,IF($L1256="Débit",$K1256,IF($P1256=1,-$K1256,0))))</f>
        <v/>
      </c>
      <c r="R1256" s="6" t="str">
        <f>IF($K1256="","",IF($L1256="Crédit",$K1256,-$K1256))</f>
        <v/>
      </c>
      <c r="S1256" s="6" t="str">
        <f>IF($C1256="","",IFERROR(INDEX('Paramètres'!$H:$H,MATCH($C1256,'Paramètres'!$D:$D,0))&amp;"",""))</f>
        <v/>
      </c>
      <c r="T1256" s="6" t="str">
        <f>IF($K1256="","",IF($S1256="",0,IF(ISNUMBER(SEARCH("apport-exterieur",IFERROR(INDEX('Paramètres'!$N:$N,MATCH($D1256,'Paramètres'!$M:$M,0))&amp;"",""))),0,IF(OR(IFERROR(INDEX('Paramètres'!$I:$I,MATCH($C1256,'Paramètres'!$D:$D,0))&amp;"","")="Les deux",IFERROR(INDEX('Paramètres'!$I:$I,MATCH($C1256,'Paramètres'!$D:$D,0))&amp;"","")=IF($P1256=1,"Débit",$L1256)),-IF($P1256=1,-$K1256,$K1256),0))))</f>
        <v/>
      </c>
      <c r="U1256" s="6" t="str">
        <f>IF($K1256="","",IF(ISNUMBER(SEARCH("sortie-epargne",IFERROR(INDEX('Paramètres'!$N:$N,MATCH($D1256,'Paramètres'!$M:$M,0))&amp;"",""))),$K1256,0))</f>
        <v/>
      </c>
      <c r="V1256" s="6" t="str">
        <f>IF(AND($A1256&lt;&gt;"",$O1256=1,$L1256="Débit",N($Q1256)&gt;0,$A1256&gt;=Visualisation!$B$1,$A1256&lt;Visualisation!$D$1),MAX($V$1:V1255)+1,"")</f>
        <v/>
      </c>
    </row>
    <row r="1257" spans="1:22" x14ac:dyDescent="0.25">
      <c r="A1257" s="9"/>
      <c r="E1257" s="10"/>
      <c r="K1257" s="11" t="str">
        <f>IF($E1257="","",ROUND($E1257*IF(ISNA(MATCH($C1257,'Paramètres'!$D:$D,0)),1,IF(INDEX('Paramètres'!$J:$J,MATCH($C1257,'Paramètres'!$D:$D,0))="",1,INDEX('Paramètres'!$J:$J,MATCH($C1257,'Paramètres'!$D:$D,0)))),2))</f>
        <v/>
      </c>
      <c r="L1257" s="6" t="str">
        <f>IF($D1257="","",IF($F1257&lt;&gt;"",$F1257,IF(ISNA(MATCH($D1257,'Paramètres'!$M:$M,0)),"⚠ Type inconnu",IFERROR(INDEX('Paramètres'!$P:$P,MATCH($D1257,'Paramètres'!$M:$M,0))&amp;"",""))))</f>
        <v/>
      </c>
      <c r="M1257" s="6" t="str">
        <f>IF($D1257="","",IF(ISNA(MATCH($D1257,'Paramètres'!$M:$M,0)),"⚠ Type inconnu",IF($L1257="Crédit","",IFERROR(INDEX('Paramètres'!$O:$O,MATCH($D1257,'Paramètres'!$M:$M,0))&amp;"",""))))</f>
        <v/>
      </c>
      <c r="N1257" s="6" t="str">
        <f>IF($D1257="","",IFERROR(INDEX('Paramètres'!$Q:$Q,MATCH($D1257,'Paramètres'!$M:$M,0))&amp;"",""))</f>
        <v/>
      </c>
      <c r="O1257" s="6" t="str">
        <f>IF($A1257="","",IF(OR($J1257&lt;&gt;"x",$A1257&lt;=FinReleve),1,0))</f>
        <v/>
      </c>
      <c r="P1257" s="6" t="str">
        <f>IF($D1257="","",IF(AND($L1257="Crédit",OR(IFERROR(INDEX('Paramètres'!$O:$O,MATCH($D1257,'Paramètres'!$M:$M,0))&amp;"","")&lt;&gt;"",ISNUMBER(SEARCH("remboursement",IFERROR(INDEX('Paramètres'!$N:$N,MATCH($D1257,'Paramètres'!$M:$M,0))&amp;"",""))))),1,0))</f>
        <v/>
      </c>
      <c r="Q1257" s="6" t="str">
        <f>IF($K1257="","",IF(ISNUMBER(SEARCH("transfert-interne",IFERROR(INDEX('Paramètres'!$N:$N,MATCH($D1257,'Paramètres'!$M:$M,0))&amp;"",""))),0,IF($L1257="Débit",$K1257,IF($P1257=1,-$K1257,0))))</f>
        <v/>
      </c>
      <c r="R1257" s="6" t="str">
        <f>IF($K1257="","",IF($L1257="Crédit",$K1257,-$K1257))</f>
        <v/>
      </c>
      <c r="S1257" s="6" t="str">
        <f>IF($C1257="","",IFERROR(INDEX('Paramètres'!$H:$H,MATCH($C1257,'Paramètres'!$D:$D,0))&amp;"",""))</f>
        <v/>
      </c>
      <c r="T1257" s="6" t="str">
        <f>IF($K1257="","",IF($S1257="",0,IF(ISNUMBER(SEARCH("apport-exterieur",IFERROR(INDEX('Paramètres'!$N:$N,MATCH($D1257,'Paramètres'!$M:$M,0))&amp;"",""))),0,IF(OR(IFERROR(INDEX('Paramètres'!$I:$I,MATCH($C1257,'Paramètres'!$D:$D,0))&amp;"","")="Les deux",IFERROR(INDEX('Paramètres'!$I:$I,MATCH($C1257,'Paramètres'!$D:$D,0))&amp;"","")=IF($P1257=1,"Débit",$L1257)),-IF($P1257=1,-$K1257,$K1257),0))))</f>
        <v/>
      </c>
      <c r="U1257" s="6" t="str">
        <f>IF($K1257="","",IF(ISNUMBER(SEARCH("sortie-epargne",IFERROR(INDEX('Paramètres'!$N:$N,MATCH($D1257,'Paramètres'!$M:$M,0))&amp;"",""))),$K1257,0))</f>
        <v/>
      </c>
      <c r="V1257" s="6" t="str">
        <f>IF(AND($A1257&lt;&gt;"",$O1257=1,$L1257="Débit",N($Q1257)&gt;0,$A1257&gt;=Visualisation!$B$1,$A1257&lt;Visualisation!$D$1),MAX($V$1:V1256)+1,"")</f>
        <v/>
      </c>
    </row>
    <row r="1258" spans="1:22" x14ac:dyDescent="0.25">
      <c r="A1258" s="9"/>
      <c r="E1258" s="10"/>
      <c r="K1258" s="11" t="str">
        <f>IF($E1258="","",ROUND($E1258*IF(ISNA(MATCH($C1258,'Paramètres'!$D:$D,0)),1,IF(INDEX('Paramètres'!$J:$J,MATCH($C1258,'Paramètres'!$D:$D,0))="",1,INDEX('Paramètres'!$J:$J,MATCH($C1258,'Paramètres'!$D:$D,0)))),2))</f>
        <v/>
      </c>
      <c r="L1258" s="6" t="str">
        <f>IF($D1258="","",IF($F1258&lt;&gt;"",$F1258,IF(ISNA(MATCH($D1258,'Paramètres'!$M:$M,0)),"⚠ Type inconnu",IFERROR(INDEX('Paramètres'!$P:$P,MATCH($D1258,'Paramètres'!$M:$M,0))&amp;"",""))))</f>
        <v/>
      </c>
      <c r="M1258" s="6" t="str">
        <f>IF($D1258="","",IF(ISNA(MATCH($D1258,'Paramètres'!$M:$M,0)),"⚠ Type inconnu",IF($L1258="Crédit","",IFERROR(INDEX('Paramètres'!$O:$O,MATCH($D1258,'Paramètres'!$M:$M,0))&amp;"",""))))</f>
        <v/>
      </c>
      <c r="N1258" s="6" t="str">
        <f>IF($D1258="","",IFERROR(INDEX('Paramètres'!$Q:$Q,MATCH($D1258,'Paramètres'!$M:$M,0))&amp;"",""))</f>
        <v/>
      </c>
      <c r="O1258" s="6" t="str">
        <f>IF($A1258="","",IF(OR($J1258&lt;&gt;"x",$A1258&lt;=FinReleve),1,0))</f>
        <v/>
      </c>
      <c r="P1258" s="6" t="str">
        <f>IF($D1258="","",IF(AND($L1258="Crédit",OR(IFERROR(INDEX('Paramètres'!$O:$O,MATCH($D1258,'Paramètres'!$M:$M,0))&amp;"","")&lt;&gt;"",ISNUMBER(SEARCH("remboursement",IFERROR(INDEX('Paramètres'!$N:$N,MATCH($D1258,'Paramètres'!$M:$M,0))&amp;"",""))))),1,0))</f>
        <v/>
      </c>
      <c r="Q1258" s="6" t="str">
        <f>IF($K1258="","",IF(ISNUMBER(SEARCH("transfert-interne",IFERROR(INDEX('Paramètres'!$N:$N,MATCH($D1258,'Paramètres'!$M:$M,0))&amp;"",""))),0,IF($L1258="Débit",$K1258,IF($P1258=1,-$K1258,0))))</f>
        <v/>
      </c>
      <c r="R1258" s="6" t="str">
        <f>IF($K1258="","",IF($L1258="Crédit",$K1258,-$K1258))</f>
        <v/>
      </c>
      <c r="S1258" s="6" t="str">
        <f>IF($C1258="","",IFERROR(INDEX('Paramètres'!$H:$H,MATCH($C1258,'Paramètres'!$D:$D,0))&amp;"",""))</f>
        <v/>
      </c>
      <c r="T1258" s="6" t="str">
        <f>IF($K1258="","",IF($S1258="",0,IF(ISNUMBER(SEARCH("apport-exterieur",IFERROR(INDEX('Paramètres'!$N:$N,MATCH($D1258,'Paramètres'!$M:$M,0))&amp;"",""))),0,IF(OR(IFERROR(INDEX('Paramètres'!$I:$I,MATCH($C1258,'Paramètres'!$D:$D,0))&amp;"","")="Les deux",IFERROR(INDEX('Paramètres'!$I:$I,MATCH($C1258,'Paramètres'!$D:$D,0))&amp;"","")=IF($P1258=1,"Débit",$L1258)),-IF($P1258=1,-$K1258,$K1258),0))))</f>
        <v/>
      </c>
      <c r="U1258" s="6" t="str">
        <f>IF($K1258="","",IF(ISNUMBER(SEARCH("sortie-epargne",IFERROR(INDEX('Paramètres'!$N:$N,MATCH($D1258,'Paramètres'!$M:$M,0))&amp;"",""))),$K1258,0))</f>
        <v/>
      </c>
      <c r="V1258" s="6" t="str">
        <f>IF(AND($A1258&lt;&gt;"",$O1258=1,$L1258="Débit",N($Q1258)&gt;0,$A1258&gt;=Visualisation!$B$1,$A1258&lt;Visualisation!$D$1),MAX($V$1:V1257)+1,"")</f>
        <v/>
      </c>
    </row>
    <row r="1259" spans="1:22" x14ac:dyDescent="0.25">
      <c r="A1259" s="9"/>
      <c r="E1259" s="10"/>
      <c r="K1259" s="11" t="str">
        <f>IF($E1259="","",ROUND($E1259*IF(ISNA(MATCH($C1259,'Paramètres'!$D:$D,0)),1,IF(INDEX('Paramètres'!$J:$J,MATCH($C1259,'Paramètres'!$D:$D,0))="",1,INDEX('Paramètres'!$J:$J,MATCH($C1259,'Paramètres'!$D:$D,0)))),2))</f>
        <v/>
      </c>
      <c r="L1259" s="6" t="str">
        <f>IF($D1259="","",IF($F1259&lt;&gt;"",$F1259,IF(ISNA(MATCH($D1259,'Paramètres'!$M:$M,0)),"⚠ Type inconnu",IFERROR(INDEX('Paramètres'!$P:$P,MATCH($D1259,'Paramètres'!$M:$M,0))&amp;"",""))))</f>
        <v/>
      </c>
      <c r="M1259" s="6" t="str">
        <f>IF($D1259="","",IF(ISNA(MATCH($D1259,'Paramètres'!$M:$M,0)),"⚠ Type inconnu",IF($L1259="Crédit","",IFERROR(INDEX('Paramètres'!$O:$O,MATCH($D1259,'Paramètres'!$M:$M,0))&amp;"",""))))</f>
        <v/>
      </c>
      <c r="N1259" s="6" t="str">
        <f>IF($D1259="","",IFERROR(INDEX('Paramètres'!$Q:$Q,MATCH($D1259,'Paramètres'!$M:$M,0))&amp;"",""))</f>
        <v/>
      </c>
      <c r="O1259" s="6" t="str">
        <f>IF($A1259="","",IF(OR($J1259&lt;&gt;"x",$A1259&lt;=FinReleve),1,0))</f>
        <v/>
      </c>
      <c r="P1259" s="6" t="str">
        <f>IF($D1259="","",IF(AND($L1259="Crédit",OR(IFERROR(INDEX('Paramètres'!$O:$O,MATCH($D1259,'Paramètres'!$M:$M,0))&amp;"","")&lt;&gt;"",ISNUMBER(SEARCH("remboursement",IFERROR(INDEX('Paramètres'!$N:$N,MATCH($D1259,'Paramètres'!$M:$M,0))&amp;"",""))))),1,0))</f>
        <v/>
      </c>
      <c r="Q1259" s="6" t="str">
        <f>IF($K1259="","",IF(ISNUMBER(SEARCH("transfert-interne",IFERROR(INDEX('Paramètres'!$N:$N,MATCH($D1259,'Paramètres'!$M:$M,0))&amp;"",""))),0,IF($L1259="Débit",$K1259,IF($P1259=1,-$K1259,0))))</f>
        <v/>
      </c>
      <c r="R1259" s="6" t="str">
        <f>IF($K1259="","",IF($L1259="Crédit",$K1259,-$K1259))</f>
        <v/>
      </c>
      <c r="S1259" s="6" t="str">
        <f>IF($C1259="","",IFERROR(INDEX('Paramètres'!$H:$H,MATCH($C1259,'Paramètres'!$D:$D,0))&amp;"",""))</f>
        <v/>
      </c>
      <c r="T1259" s="6" t="str">
        <f>IF($K1259="","",IF($S1259="",0,IF(ISNUMBER(SEARCH("apport-exterieur",IFERROR(INDEX('Paramètres'!$N:$N,MATCH($D1259,'Paramètres'!$M:$M,0))&amp;"",""))),0,IF(OR(IFERROR(INDEX('Paramètres'!$I:$I,MATCH($C1259,'Paramètres'!$D:$D,0))&amp;"","")="Les deux",IFERROR(INDEX('Paramètres'!$I:$I,MATCH($C1259,'Paramètres'!$D:$D,0))&amp;"","")=IF($P1259=1,"Débit",$L1259)),-IF($P1259=1,-$K1259,$K1259),0))))</f>
        <v/>
      </c>
      <c r="U1259" s="6" t="str">
        <f>IF($K1259="","",IF(ISNUMBER(SEARCH("sortie-epargne",IFERROR(INDEX('Paramètres'!$N:$N,MATCH($D1259,'Paramètres'!$M:$M,0))&amp;"",""))),$K1259,0))</f>
        <v/>
      </c>
      <c r="V1259" s="6" t="str">
        <f>IF(AND($A1259&lt;&gt;"",$O1259=1,$L1259="Débit",N($Q1259)&gt;0,$A1259&gt;=Visualisation!$B$1,$A1259&lt;Visualisation!$D$1),MAX($V$1:V1258)+1,"")</f>
        <v/>
      </c>
    </row>
    <row r="1260" spans="1:22" x14ac:dyDescent="0.25">
      <c r="A1260" s="9"/>
      <c r="E1260" s="10"/>
      <c r="K1260" s="11" t="str">
        <f>IF($E1260="","",ROUND($E1260*IF(ISNA(MATCH($C1260,'Paramètres'!$D:$D,0)),1,IF(INDEX('Paramètres'!$J:$J,MATCH($C1260,'Paramètres'!$D:$D,0))="",1,INDEX('Paramètres'!$J:$J,MATCH($C1260,'Paramètres'!$D:$D,0)))),2))</f>
        <v/>
      </c>
      <c r="L1260" s="6" t="str">
        <f>IF($D1260="","",IF($F1260&lt;&gt;"",$F1260,IF(ISNA(MATCH($D1260,'Paramètres'!$M:$M,0)),"⚠ Type inconnu",IFERROR(INDEX('Paramètres'!$P:$P,MATCH($D1260,'Paramètres'!$M:$M,0))&amp;"",""))))</f>
        <v/>
      </c>
      <c r="M1260" s="6" t="str">
        <f>IF($D1260="","",IF(ISNA(MATCH($D1260,'Paramètres'!$M:$M,0)),"⚠ Type inconnu",IF($L1260="Crédit","",IFERROR(INDEX('Paramètres'!$O:$O,MATCH($D1260,'Paramètres'!$M:$M,0))&amp;"",""))))</f>
        <v/>
      </c>
      <c r="N1260" s="6" t="str">
        <f>IF($D1260="","",IFERROR(INDEX('Paramètres'!$Q:$Q,MATCH($D1260,'Paramètres'!$M:$M,0))&amp;"",""))</f>
        <v/>
      </c>
      <c r="O1260" s="6" t="str">
        <f>IF($A1260="","",IF(OR($J1260&lt;&gt;"x",$A1260&lt;=FinReleve),1,0))</f>
        <v/>
      </c>
      <c r="P1260" s="6" t="str">
        <f>IF($D1260="","",IF(AND($L1260="Crédit",OR(IFERROR(INDEX('Paramètres'!$O:$O,MATCH($D1260,'Paramètres'!$M:$M,0))&amp;"","")&lt;&gt;"",ISNUMBER(SEARCH("remboursement",IFERROR(INDEX('Paramètres'!$N:$N,MATCH($D1260,'Paramètres'!$M:$M,0))&amp;"",""))))),1,0))</f>
        <v/>
      </c>
      <c r="Q1260" s="6" t="str">
        <f>IF($K1260="","",IF(ISNUMBER(SEARCH("transfert-interne",IFERROR(INDEX('Paramètres'!$N:$N,MATCH($D1260,'Paramètres'!$M:$M,0))&amp;"",""))),0,IF($L1260="Débit",$K1260,IF($P1260=1,-$K1260,0))))</f>
        <v/>
      </c>
      <c r="R1260" s="6" t="str">
        <f>IF($K1260="","",IF($L1260="Crédit",$K1260,-$K1260))</f>
        <v/>
      </c>
      <c r="S1260" s="6" t="str">
        <f>IF($C1260="","",IFERROR(INDEX('Paramètres'!$H:$H,MATCH($C1260,'Paramètres'!$D:$D,0))&amp;"",""))</f>
        <v/>
      </c>
      <c r="T1260" s="6" t="str">
        <f>IF($K1260="","",IF($S1260="",0,IF(ISNUMBER(SEARCH("apport-exterieur",IFERROR(INDEX('Paramètres'!$N:$N,MATCH($D1260,'Paramètres'!$M:$M,0))&amp;"",""))),0,IF(OR(IFERROR(INDEX('Paramètres'!$I:$I,MATCH($C1260,'Paramètres'!$D:$D,0))&amp;"","")="Les deux",IFERROR(INDEX('Paramètres'!$I:$I,MATCH($C1260,'Paramètres'!$D:$D,0))&amp;"","")=IF($P1260=1,"Débit",$L1260)),-IF($P1260=1,-$K1260,$K1260),0))))</f>
        <v/>
      </c>
      <c r="U1260" s="6" t="str">
        <f>IF($K1260="","",IF(ISNUMBER(SEARCH("sortie-epargne",IFERROR(INDEX('Paramètres'!$N:$N,MATCH($D1260,'Paramètres'!$M:$M,0))&amp;"",""))),$K1260,0))</f>
        <v/>
      </c>
      <c r="V1260" s="6" t="str">
        <f>IF(AND($A1260&lt;&gt;"",$O1260=1,$L1260="Débit",N($Q1260)&gt;0,$A1260&gt;=Visualisation!$B$1,$A1260&lt;Visualisation!$D$1),MAX($V$1:V1259)+1,"")</f>
        <v/>
      </c>
    </row>
    <row r="1261" spans="1:22" x14ac:dyDescent="0.25">
      <c r="A1261" s="9"/>
      <c r="E1261" s="10"/>
      <c r="K1261" s="11" t="str">
        <f>IF($E1261="","",ROUND($E1261*IF(ISNA(MATCH($C1261,'Paramètres'!$D:$D,0)),1,IF(INDEX('Paramètres'!$J:$J,MATCH($C1261,'Paramètres'!$D:$D,0))="",1,INDEX('Paramètres'!$J:$J,MATCH($C1261,'Paramètres'!$D:$D,0)))),2))</f>
        <v/>
      </c>
      <c r="L1261" s="6" t="str">
        <f>IF($D1261="","",IF($F1261&lt;&gt;"",$F1261,IF(ISNA(MATCH($D1261,'Paramètres'!$M:$M,0)),"⚠ Type inconnu",IFERROR(INDEX('Paramètres'!$P:$P,MATCH($D1261,'Paramètres'!$M:$M,0))&amp;"",""))))</f>
        <v/>
      </c>
      <c r="M1261" s="6" t="str">
        <f>IF($D1261="","",IF(ISNA(MATCH($D1261,'Paramètres'!$M:$M,0)),"⚠ Type inconnu",IF($L1261="Crédit","",IFERROR(INDEX('Paramètres'!$O:$O,MATCH($D1261,'Paramètres'!$M:$M,0))&amp;"",""))))</f>
        <v/>
      </c>
      <c r="N1261" s="6" t="str">
        <f>IF($D1261="","",IFERROR(INDEX('Paramètres'!$Q:$Q,MATCH($D1261,'Paramètres'!$M:$M,0))&amp;"",""))</f>
        <v/>
      </c>
      <c r="O1261" s="6" t="str">
        <f>IF($A1261="","",IF(OR($J1261&lt;&gt;"x",$A1261&lt;=FinReleve),1,0))</f>
        <v/>
      </c>
      <c r="P1261" s="6" t="str">
        <f>IF($D1261="","",IF(AND($L1261="Crédit",OR(IFERROR(INDEX('Paramètres'!$O:$O,MATCH($D1261,'Paramètres'!$M:$M,0))&amp;"","")&lt;&gt;"",ISNUMBER(SEARCH("remboursement",IFERROR(INDEX('Paramètres'!$N:$N,MATCH($D1261,'Paramètres'!$M:$M,0))&amp;"",""))))),1,0))</f>
        <v/>
      </c>
      <c r="Q1261" s="6" t="str">
        <f>IF($K1261="","",IF(ISNUMBER(SEARCH("transfert-interne",IFERROR(INDEX('Paramètres'!$N:$N,MATCH($D1261,'Paramètres'!$M:$M,0))&amp;"",""))),0,IF($L1261="Débit",$K1261,IF($P1261=1,-$K1261,0))))</f>
        <v/>
      </c>
      <c r="R1261" s="6" t="str">
        <f>IF($K1261="","",IF($L1261="Crédit",$K1261,-$K1261))</f>
        <v/>
      </c>
      <c r="S1261" s="6" t="str">
        <f>IF($C1261="","",IFERROR(INDEX('Paramètres'!$H:$H,MATCH($C1261,'Paramètres'!$D:$D,0))&amp;"",""))</f>
        <v/>
      </c>
      <c r="T1261" s="6" t="str">
        <f>IF($K1261="","",IF($S1261="",0,IF(ISNUMBER(SEARCH("apport-exterieur",IFERROR(INDEX('Paramètres'!$N:$N,MATCH($D1261,'Paramètres'!$M:$M,0))&amp;"",""))),0,IF(OR(IFERROR(INDEX('Paramètres'!$I:$I,MATCH($C1261,'Paramètres'!$D:$D,0))&amp;"","")="Les deux",IFERROR(INDEX('Paramètres'!$I:$I,MATCH($C1261,'Paramètres'!$D:$D,0))&amp;"","")=IF($P1261=1,"Débit",$L1261)),-IF($P1261=1,-$K1261,$K1261),0))))</f>
        <v/>
      </c>
      <c r="U1261" s="6" t="str">
        <f>IF($K1261="","",IF(ISNUMBER(SEARCH("sortie-epargne",IFERROR(INDEX('Paramètres'!$N:$N,MATCH($D1261,'Paramètres'!$M:$M,0))&amp;"",""))),$K1261,0))</f>
        <v/>
      </c>
      <c r="V1261" s="6" t="str">
        <f>IF(AND($A1261&lt;&gt;"",$O1261=1,$L1261="Débit",N($Q1261)&gt;0,$A1261&gt;=Visualisation!$B$1,$A1261&lt;Visualisation!$D$1),MAX($V$1:V1260)+1,"")</f>
        <v/>
      </c>
    </row>
    <row r="1262" spans="1:22" x14ac:dyDescent="0.25">
      <c r="A1262" s="9"/>
      <c r="E1262" s="10"/>
      <c r="K1262" s="11" t="str">
        <f>IF($E1262="","",ROUND($E1262*IF(ISNA(MATCH($C1262,'Paramètres'!$D:$D,0)),1,IF(INDEX('Paramètres'!$J:$J,MATCH($C1262,'Paramètres'!$D:$D,0))="",1,INDEX('Paramètres'!$J:$J,MATCH($C1262,'Paramètres'!$D:$D,0)))),2))</f>
        <v/>
      </c>
      <c r="L1262" s="6" t="str">
        <f>IF($D1262="","",IF($F1262&lt;&gt;"",$F1262,IF(ISNA(MATCH($D1262,'Paramètres'!$M:$M,0)),"⚠ Type inconnu",IFERROR(INDEX('Paramètres'!$P:$P,MATCH($D1262,'Paramètres'!$M:$M,0))&amp;"",""))))</f>
        <v/>
      </c>
      <c r="M1262" s="6" t="str">
        <f>IF($D1262="","",IF(ISNA(MATCH($D1262,'Paramètres'!$M:$M,0)),"⚠ Type inconnu",IF($L1262="Crédit","",IFERROR(INDEX('Paramètres'!$O:$O,MATCH($D1262,'Paramètres'!$M:$M,0))&amp;"",""))))</f>
        <v/>
      </c>
      <c r="N1262" s="6" t="str">
        <f>IF($D1262="","",IFERROR(INDEX('Paramètres'!$Q:$Q,MATCH($D1262,'Paramètres'!$M:$M,0))&amp;"",""))</f>
        <v/>
      </c>
      <c r="O1262" s="6" t="str">
        <f>IF($A1262="","",IF(OR($J1262&lt;&gt;"x",$A1262&lt;=FinReleve),1,0))</f>
        <v/>
      </c>
      <c r="P1262" s="6" t="str">
        <f>IF($D1262="","",IF(AND($L1262="Crédit",OR(IFERROR(INDEX('Paramètres'!$O:$O,MATCH($D1262,'Paramètres'!$M:$M,0))&amp;"","")&lt;&gt;"",ISNUMBER(SEARCH("remboursement",IFERROR(INDEX('Paramètres'!$N:$N,MATCH($D1262,'Paramètres'!$M:$M,0))&amp;"",""))))),1,0))</f>
        <v/>
      </c>
      <c r="Q1262" s="6" t="str">
        <f>IF($K1262="","",IF(ISNUMBER(SEARCH("transfert-interne",IFERROR(INDEX('Paramètres'!$N:$N,MATCH($D1262,'Paramètres'!$M:$M,0))&amp;"",""))),0,IF($L1262="Débit",$K1262,IF($P1262=1,-$K1262,0))))</f>
        <v/>
      </c>
      <c r="R1262" s="6" t="str">
        <f>IF($K1262="","",IF($L1262="Crédit",$K1262,-$K1262))</f>
        <v/>
      </c>
      <c r="S1262" s="6" t="str">
        <f>IF($C1262="","",IFERROR(INDEX('Paramètres'!$H:$H,MATCH($C1262,'Paramètres'!$D:$D,0))&amp;"",""))</f>
        <v/>
      </c>
      <c r="T1262" s="6" t="str">
        <f>IF($K1262="","",IF($S1262="",0,IF(ISNUMBER(SEARCH("apport-exterieur",IFERROR(INDEX('Paramètres'!$N:$N,MATCH($D1262,'Paramètres'!$M:$M,0))&amp;"",""))),0,IF(OR(IFERROR(INDEX('Paramètres'!$I:$I,MATCH($C1262,'Paramètres'!$D:$D,0))&amp;"","")="Les deux",IFERROR(INDEX('Paramètres'!$I:$I,MATCH($C1262,'Paramètres'!$D:$D,0))&amp;"","")=IF($P1262=1,"Débit",$L1262)),-IF($P1262=1,-$K1262,$K1262),0))))</f>
        <v/>
      </c>
      <c r="U1262" s="6" t="str">
        <f>IF($K1262="","",IF(ISNUMBER(SEARCH("sortie-epargne",IFERROR(INDEX('Paramètres'!$N:$N,MATCH($D1262,'Paramètres'!$M:$M,0))&amp;"",""))),$K1262,0))</f>
        <v/>
      </c>
      <c r="V1262" s="6" t="str">
        <f>IF(AND($A1262&lt;&gt;"",$O1262=1,$L1262="Débit",N($Q1262)&gt;0,$A1262&gt;=Visualisation!$B$1,$A1262&lt;Visualisation!$D$1),MAX($V$1:V1261)+1,"")</f>
        <v/>
      </c>
    </row>
    <row r="1263" spans="1:22" x14ac:dyDescent="0.25">
      <c r="A1263" s="9"/>
      <c r="E1263" s="10"/>
      <c r="K1263" s="11" t="str">
        <f>IF($E1263="","",ROUND($E1263*IF(ISNA(MATCH($C1263,'Paramètres'!$D:$D,0)),1,IF(INDEX('Paramètres'!$J:$J,MATCH($C1263,'Paramètres'!$D:$D,0))="",1,INDEX('Paramètres'!$J:$J,MATCH($C1263,'Paramètres'!$D:$D,0)))),2))</f>
        <v/>
      </c>
      <c r="L1263" s="6" t="str">
        <f>IF($D1263="","",IF($F1263&lt;&gt;"",$F1263,IF(ISNA(MATCH($D1263,'Paramètres'!$M:$M,0)),"⚠ Type inconnu",IFERROR(INDEX('Paramètres'!$P:$P,MATCH($D1263,'Paramètres'!$M:$M,0))&amp;"",""))))</f>
        <v/>
      </c>
      <c r="M1263" s="6" t="str">
        <f>IF($D1263="","",IF(ISNA(MATCH($D1263,'Paramètres'!$M:$M,0)),"⚠ Type inconnu",IF($L1263="Crédit","",IFERROR(INDEX('Paramètres'!$O:$O,MATCH($D1263,'Paramètres'!$M:$M,0))&amp;"",""))))</f>
        <v/>
      </c>
      <c r="N1263" s="6" t="str">
        <f>IF($D1263="","",IFERROR(INDEX('Paramètres'!$Q:$Q,MATCH($D1263,'Paramètres'!$M:$M,0))&amp;"",""))</f>
        <v/>
      </c>
      <c r="O1263" s="6" t="str">
        <f>IF($A1263="","",IF(OR($J1263&lt;&gt;"x",$A1263&lt;=FinReleve),1,0))</f>
        <v/>
      </c>
      <c r="P1263" s="6" t="str">
        <f>IF($D1263="","",IF(AND($L1263="Crédit",OR(IFERROR(INDEX('Paramètres'!$O:$O,MATCH($D1263,'Paramètres'!$M:$M,0))&amp;"","")&lt;&gt;"",ISNUMBER(SEARCH("remboursement",IFERROR(INDEX('Paramètres'!$N:$N,MATCH($D1263,'Paramètres'!$M:$M,0))&amp;"",""))))),1,0))</f>
        <v/>
      </c>
      <c r="Q1263" s="6" t="str">
        <f>IF($K1263="","",IF(ISNUMBER(SEARCH("transfert-interne",IFERROR(INDEX('Paramètres'!$N:$N,MATCH($D1263,'Paramètres'!$M:$M,0))&amp;"",""))),0,IF($L1263="Débit",$K1263,IF($P1263=1,-$K1263,0))))</f>
        <v/>
      </c>
      <c r="R1263" s="6" t="str">
        <f>IF($K1263="","",IF($L1263="Crédit",$K1263,-$K1263))</f>
        <v/>
      </c>
      <c r="S1263" s="6" t="str">
        <f>IF($C1263="","",IFERROR(INDEX('Paramètres'!$H:$H,MATCH($C1263,'Paramètres'!$D:$D,0))&amp;"",""))</f>
        <v/>
      </c>
      <c r="T1263" s="6" t="str">
        <f>IF($K1263="","",IF($S1263="",0,IF(ISNUMBER(SEARCH("apport-exterieur",IFERROR(INDEX('Paramètres'!$N:$N,MATCH($D1263,'Paramètres'!$M:$M,0))&amp;"",""))),0,IF(OR(IFERROR(INDEX('Paramètres'!$I:$I,MATCH($C1263,'Paramètres'!$D:$D,0))&amp;"","")="Les deux",IFERROR(INDEX('Paramètres'!$I:$I,MATCH($C1263,'Paramètres'!$D:$D,0))&amp;"","")=IF($P1263=1,"Débit",$L1263)),-IF($P1263=1,-$K1263,$K1263),0))))</f>
        <v/>
      </c>
      <c r="U1263" s="6" t="str">
        <f>IF($K1263="","",IF(ISNUMBER(SEARCH("sortie-epargne",IFERROR(INDEX('Paramètres'!$N:$N,MATCH($D1263,'Paramètres'!$M:$M,0))&amp;"",""))),$K1263,0))</f>
        <v/>
      </c>
      <c r="V1263" s="6" t="str">
        <f>IF(AND($A1263&lt;&gt;"",$O1263=1,$L1263="Débit",N($Q1263)&gt;0,$A1263&gt;=Visualisation!$B$1,$A1263&lt;Visualisation!$D$1),MAX($V$1:V1262)+1,"")</f>
        <v/>
      </c>
    </row>
    <row r="1264" spans="1:22" x14ac:dyDescent="0.25">
      <c r="A1264" s="9"/>
      <c r="E1264" s="10"/>
      <c r="K1264" s="11" t="str">
        <f>IF($E1264="","",ROUND($E1264*IF(ISNA(MATCH($C1264,'Paramètres'!$D:$D,0)),1,IF(INDEX('Paramètres'!$J:$J,MATCH($C1264,'Paramètres'!$D:$D,0))="",1,INDEX('Paramètres'!$J:$J,MATCH($C1264,'Paramètres'!$D:$D,0)))),2))</f>
        <v/>
      </c>
      <c r="L1264" s="6" t="str">
        <f>IF($D1264="","",IF($F1264&lt;&gt;"",$F1264,IF(ISNA(MATCH($D1264,'Paramètres'!$M:$M,0)),"⚠ Type inconnu",IFERROR(INDEX('Paramètres'!$P:$P,MATCH($D1264,'Paramètres'!$M:$M,0))&amp;"",""))))</f>
        <v/>
      </c>
      <c r="M1264" s="6" t="str">
        <f>IF($D1264="","",IF(ISNA(MATCH($D1264,'Paramètres'!$M:$M,0)),"⚠ Type inconnu",IF($L1264="Crédit","",IFERROR(INDEX('Paramètres'!$O:$O,MATCH($D1264,'Paramètres'!$M:$M,0))&amp;"",""))))</f>
        <v/>
      </c>
      <c r="N1264" s="6" t="str">
        <f>IF($D1264="","",IFERROR(INDEX('Paramètres'!$Q:$Q,MATCH($D1264,'Paramètres'!$M:$M,0))&amp;"",""))</f>
        <v/>
      </c>
      <c r="O1264" s="6" t="str">
        <f>IF($A1264="","",IF(OR($J1264&lt;&gt;"x",$A1264&lt;=FinReleve),1,0))</f>
        <v/>
      </c>
      <c r="P1264" s="6" t="str">
        <f>IF($D1264="","",IF(AND($L1264="Crédit",OR(IFERROR(INDEX('Paramètres'!$O:$O,MATCH($D1264,'Paramètres'!$M:$M,0))&amp;"","")&lt;&gt;"",ISNUMBER(SEARCH("remboursement",IFERROR(INDEX('Paramètres'!$N:$N,MATCH($D1264,'Paramètres'!$M:$M,0))&amp;"",""))))),1,0))</f>
        <v/>
      </c>
      <c r="Q1264" s="6" t="str">
        <f>IF($K1264="","",IF(ISNUMBER(SEARCH("transfert-interne",IFERROR(INDEX('Paramètres'!$N:$N,MATCH($D1264,'Paramètres'!$M:$M,0))&amp;"",""))),0,IF($L1264="Débit",$K1264,IF($P1264=1,-$K1264,0))))</f>
        <v/>
      </c>
      <c r="R1264" s="6" t="str">
        <f>IF($K1264="","",IF($L1264="Crédit",$K1264,-$K1264))</f>
        <v/>
      </c>
      <c r="S1264" s="6" t="str">
        <f>IF($C1264="","",IFERROR(INDEX('Paramètres'!$H:$H,MATCH($C1264,'Paramètres'!$D:$D,0))&amp;"",""))</f>
        <v/>
      </c>
      <c r="T1264" s="6" t="str">
        <f>IF($K1264="","",IF($S1264="",0,IF(ISNUMBER(SEARCH("apport-exterieur",IFERROR(INDEX('Paramètres'!$N:$N,MATCH($D1264,'Paramètres'!$M:$M,0))&amp;"",""))),0,IF(OR(IFERROR(INDEX('Paramètres'!$I:$I,MATCH($C1264,'Paramètres'!$D:$D,0))&amp;"","")="Les deux",IFERROR(INDEX('Paramètres'!$I:$I,MATCH($C1264,'Paramètres'!$D:$D,0))&amp;"","")=IF($P1264=1,"Débit",$L1264)),-IF($P1264=1,-$K1264,$K1264),0))))</f>
        <v/>
      </c>
      <c r="U1264" s="6" t="str">
        <f>IF($K1264="","",IF(ISNUMBER(SEARCH("sortie-epargne",IFERROR(INDEX('Paramètres'!$N:$N,MATCH($D1264,'Paramètres'!$M:$M,0))&amp;"",""))),$K1264,0))</f>
        <v/>
      </c>
      <c r="V1264" s="6" t="str">
        <f>IF(AND($A1264&lt;&gt;"",$O1264=1,$L1264="Débit",N($Q1264)&gt;0,$A1264&gt;=Visualisation!$B$1,$A1264&lt;Visualisation!$D$1),MAX($V$1:V1263)+1,"")</f>
        <v/>
      </c>
    </row>
    <row r="1265" spans="1:22" x14ac:dyDescent="0.25">
      <c r="A1265" s="9"/>
      <c r="E1265" s="10"/>
      <c r="K1265" s="11" t="str">
        <f>IF($E1265="","",ROUND($E1265*IF(ISNA(MATCH($C1265,'Paramètres'!$D:$D,0)),1,IF(INDEX('Paramètres'!$J:$J,MATCH($C1265,'Paramètres'!$D:$D,0))="",1,INDEX('Paramètres'!$J:$J,MATCH($C1265,'Paramètres'!$D:$D,0)))),2))</f>
        <v/>
      </c>
      <c r="L1265" s="6" t="str">
        <f>IF($D1265="","",IF($F1265&lt;&gt;"",$F1265,IF(ISNA(MATCH($D1265,'Paramètres'!$M:$M,0)),"⚠ Type inconnu",IFERROR(INDEX('Paramètres'!$P:$P,MATCH($D1265,'Paramètres'!$M:$M,0))&amp;"",""))))</f>
        <v/>
      </c>
      <c r="M1265" s="6" t="str">
        <f>IF($D1265="","",IF(ISNA(MATCH($D1265,'Paramètres'!$M:$M,0)),"⚠ Type inconnu",IF($L1265="Crédit","",IFERROR(INDEX('Paramètres'!$O:$O,MATCH($D1265,'Paramètres'!$M:$M,0))&amp;"",""))))</f>
        <v/>
      </c>
      <c r="N1265" s="6" t="str">
        <f>IF($D1265="","",IFERROR(INDEX('Paramètres'!$Q:$Q,MATCH($D1265,'Paramètres'!$M:$M,0))&amp;"",""))</f>
        <v/>
      </c>
      <c r="O1265" s="6" t="str">
        <f>IF($A1265="","",IF(OR($J1265&lt;&gt;"x",$A1265&lt;=FinReleve),1,0))</f>
        <v/>
      </c>
      <c r="P1265" s="6" t="str">
        <f>IF($D1265="","",IF(AND($L1265="Crédit",OR(IFERROR(INDEX('Paramètres'!$O:$O,MATCH($D1265,'Paramètres'!$M:$M,0))&amp;"","")&lt;&gt;"",ISNUMBER(SEARCH("remboursement",IFERROR(INDEX('Paramètres'!$N:$N,MATCH($D1265,'Paramètres'!$M:$M,0))&amp;"",""))))),1,0))</f>
        <v/>
      </c>
      <c r="Q1265" s="6" t="str">
        <f>IF($K1265="","",IF(ISNUMBER(SEARCH("transfert-interne",IFERROR(INDEX('Paramètres'!$N:$N,MATCH($D1265,'Paramètres'!$M:$M,0))&amp;"",""))),0,IF($L1265="Débit",$K1265,IF($P1265=1,-$K1265,0))))</f>
        <v/>
      </c>
      <c r="R1265" s="6" t="str">
        <f>IF($K1265="","",IF($L1265="Crédit",$K1265,-$K1265))</f>
        <v/>
      </c>
      <c r="S1265" s="6" t="str">
        <f>IF($C1265="","",IFERROR(INDEX('Paramètres'!$H:$H,MATCH($C1265,'Paramètres'!$D:$D,0))&amp;"",""))</f>
        <v/>
      </c>
      <c r="T1265" s="6" t="str">
        <f>IF($K1265="","",IF($S1265="",0,IF(ISNUMBER(SEARCH("apport-exterieur",IFERROR(INDEX('Paramètres'!$N:$N,MATCH($D1265,'Paramètres'!$M:$M,0))&amp;"",""))),0,IF(OR(IFERROR(INDEX('Paramètres'!$I:$I,MATCH($C1265,'Paramètres'!$D:$D,0))&amp;"","")="Les deux",IFERROR(INDEX('Paramètres'!$I:$I,MATCH($C1265,'Paramètres'!$D:$D,0))&amp;"","")=IF($P1265=1,"Débit",$L1265)),-IF($P1265=1,-$K1265,$K1265),0))))</f>
        <v/>
      </c>
      <c r="U1265" s="6" t="str">
        <f>IF($K1265="","",IF(ISNUMBER(SEARCH("sortie-epargne",IFERROR(INDEX('Paramètres'!$N:$N,MATCH($D1265,'Paramètres'!$M:$M,0))&amp;"",""))),$K1265,0))</f>
        <v/>
      </c>
      <c r="V1265" s="6" t="str">
        <f>IF(AND($A1265&lt;&gt;"",$O1265=1,$L1265="Débit",N($Q1265)&gt;0,$A1265&gt;=Visualisation!$B$1,$A1265&lt;Visualisation!$D$1),MAX($V$1:V1264)+1,"")</f>
        <v/>
      </c>
    </row>
    <row r="1266" spans="1:22" x14ac:dyDescent="0.25">
      <c r="A1266" s="9"/>
      <c r="E1266" s="10"/>
      <c r="K1266" s="11" t="str">
        <f>IF($E1266="","",ROUND($E1266*IF(ISNA(MATCH($C1266,'Paramètres'!$D:$D,0)),1,IF(INDEX('Paramètres'!$J:$J,MATCH($C1266,'Paramètres'!$D:$D,0))="",1,INDEX('Paramètres'!$J:$J,MATCH($C1266,'Paramètres'!$D:$D,0)))),2))</f>
        <v/>
      </c>
      <c r="L1266" s="6" t="str">
        <f>IF($D1266="","",IF($F1266&lt;&gt;"",$F1266,IF(ISNA(MATCH($D1266,'Paramètres'!$M:$M,0)),"⚠ Type inconnu",IFERROR(INDEX('Paramètres'!$P:$P,MATCH($D1266,'Paramètres'!$M:$M,0))&amp;"",""))))</f>
        <v/>
      </c>
      <c r="M1266" s="6" t="str">
        <f>IF($D1266="","",IF(ISNA(MATCH($D1266,'Paramètres'!$M:$M,0)),"⚠ Type inconnu",IF($L1266="Crédit","",IFERROR(INDEX('Paramètres'!$O:$O,MATCH($D1266,'Paramètres'!$M:$M,0))&amp;"",""))))</f>
        <v/>
      </c>
      <c r="N1266" s="6" t="str">
        <f>IF($D1266="","",IFERROR(INDEX('Paramètres'!$Q:$Q,MATCH($D1266,'Paramètres'!$M:$M,0))&amp;"",""))</f>
        <v/>
      </c>
      <c r="O1266" s="6" t="str">
        <f>IF($A1266="","",IF(OR($J1266&lt;&gt;"x",$A1266&lt;=FinReleve),1,0))</f>
        <v/>
      </c>
      <c r="P1266" s="6" t="str">
        <f>IF($D1266="","",IF(AND($L1266="Crédit",OR(IFERROR(INDEX('Paramètres'!$O:$O,MATCH($D1266,'Paramètres'!$M:$M,0))&amp;"","")&lt;&gt;"",ISNUMBER(SEARCH("remboursement",IFERROR(INDEX('Paramètres'!$N:$N,MATCH($D1266,'Paramètres'!$M:$M,0))&amp;"",""))))),1,0))</f>
        <v/>
      </c>
      <c r="Q1266" s="6" t="str">
        <f>IF($K1266="","",IF(ISNUMBER(SEARCH("transfert-interne",IFERROR(INDEX('Paramètres'!$N:$N,MATCH($D1266,'Paramètres'!$M:$M,0))&amp;"",""))),0,IF($L1266="Débit",$K1266,IF($P1266=1,-$K1266,0))))</f>
        <v/>
      </c>
      <c r="R1266" s="6" t="str">
        <f>IF($K1266="","",IF($L1266="Crédit",$K1266,-$K1266))</f>
        <v/>
      </c>
      <c r="S1266" s="6" t="str">
        <f>IF($C1266="","",IFERROR(INDEX('Paramètres'!$H:$H,MATCH($C1266,'Paramètres'!$D:$D,0))&amp;"",""))</f>
        <v/>
      </c>
      <c r="T1266" s="6" t="str">
        <f>IF($K1266="","",IF($S1266="",0,IF(ISNUMBER(SEARCH("apport-exterieur",IFERROR(INDEX('Paramètres'!$N:$N,MATCH($D1266,'Paramètres'!$M:$M,0))&amp;"",""))),0,IF(OR(IFERROR(INDEX('Paramètres'!$I:$I,MATCH($C1266,'Paramètres'!$D:$D,0))&amp;"","")="Les deux",IFERROR(INDEX('Paramètres'!$I:$I,MATCH($C1266,'Paramètres'!$D:$D,0))&amp;"","")=IF($P1266=1,"Débit",$L1266)),-IF($P1266=1,-$K1266,$K1266),0))))</f>
        <v/>
      </c>
      <c r="U1266" s="6" t="str">
        <f>IF($K1266="","",IF(ISNUMBER(SEARCH("sortie-epargne",IFERROR(INDEX('Paramètres'!$N:$N,MATCH($D1266,'Paramètres'!$M:$M,0))&amp;"",""))),$K1266,0))</f>
        <v/>
      </c>
      <c r="V1266" s="6" t="str">
        <f>IF(AND($A1266&lt;&gt;"",$O1266=1,$L1266="Débit",N($Q1266)&gt;0,$A1266&gt;=Visualisation!$B$1,$A1266&lt;Visualisation!$D$1),MAX($V$1:V1265)+1,"")</f>
        <v/>
      </c>
    </row>
    <row r="1267" spans="1:22" x14ac:dyDescent="0.25">
      <c r="A1267" s="9"/>
      <c r="E1267" s="10"/>
      <c r="K1267" s="11" t="str">
        <f>IF($E1267="","",ROUND($E1267*IF(ISNA(MATCH($C1267,'Paramètres'!$D:$D,0)),1,IF(INDEX('Paramètres'!$J:$J,MATCH($C1267,'Paramètres'!$D:$D,0))="",1,INDEX('Paramètres'!$J:$J,MATCH($C1267,'Paramètres'!$D:$D,0)))),2))</f>
        <v/>
      </c>
      <c r="L1267" s="6" t="str">
        <f>IF($D1267="","",IF($F1267&lt;&gt;"",$F1267,IF(ISNA(MATCH($D1267,'Paramètres'!$M:$M,0)),"⚠ Type inconnu",IFERROR(INDEX('Paramètres'!$P:$P,MATCH($D1267,'Paramètres'!$M:$M,0))&amp;"",""))))</f>
        <v/>
      </c>
      <c r="M1267" s="6" t="str">
        <f>IF($D1267="","",IF(ISNA(MATCH($D1267,'Paramètres'!$M:$M,0)),"⚠ Type inconnu",IF($L1267="Crédit","",IFERROR(INDEX('Paramètres'!$O:$O,MATCH($D1267,'Paramètres'!$M:$M,0))&amp;"",""))))</f>
        <v/>
      </c>
      <c r="N1267" s="6" t="str">
        <f>IF($D1267="","",IFERROR(INDEX('Paramètres'!$Q:$Q,MATCH($D1267,'Paramètres'!$M:$M,0))&amp;"",""))</f>
        <v/>
      </c>
      <c r="O1267" s="6" t="str">
        <f>IF($A1267="","",IF(OR($J1267&lt;&gt;"x",$A1267&lt;=FinReleve),1,0))</f>
        <v/>
      </c>
      <c r="P1267" s="6" t="str">
        <f>IF($D1267="","",IF(AND($L1267="Crédit",OR(IFERROR(INDEX('Paramètres'!$O:$O,MATCH($D1267,'Paramètres'!$M:$M,0))&amp;"","")&lt;&gt;"",ISNUMBER(SEARCH("remboursement",IFERROR(INDEX('Paramètres'!$N:$N,MATCH($D1267,'Paramètres'!$M:$M,0))&amp;"",""))))),1,0))</f>
        <v/>
      </c>
      <c r="Q1267" s="6" t="str">
        <f>IF($K1267="","",IF(ISNUMBER(SEARCH("transfert-interne",IFERROR(INDEX('Paramètres'!$N:$N,MATCH($D1267,'Paramètres'!$M:$M,0))&amp;"",""))),0,IF($L1267="Débit",$K1267,IF($P1267=1,-$K1267,0))))</f>
        <v/>
      </c>
      <c r="R1267" s="6" t="str">
        <f>IF($K1267="","",IF($L1267="Crédit",$K1267,-$K1267))</f>
        <v/>
      </c>
      <c r="S1267" s="6" t="str">
        <f>IF($C1267="","",IFERROR(INDEX('Paramètres'!$H:$H,MATCH($C1267,'Paramètres'!$D:$D,0))&amp;"",""))</f>
        <v/>
      </c>
      <c r="T1267" s="6" t="str">
        <f>IF($K1267="","",IF($S1267="",0,IF(ISNUMBER(SEARCH("apport-exterieur",IFERROR(INDEX('Paramètres'!$N:$N,MATCH($D1267,'Paramètres'!$M:$M,0))&amp;"",""))),0,IF(OR(IFERROR(INDEX('Paramètres'!$I:$I,MATCH($C1267,'Paramètres'!$D:$D,0))&amp;"","")="Les deux",IFERROR(INDEX('Paramètres'!$I:$I,MATCH($C1267,'Paramètres'!$D:$D,0))&amp;"","")=IF($P1267=1,"Débit",$L1267)),-IF($P1267=1,-$K1267,$K1267),0))))</f>
        <v/>
      </c>
      <c r="U1267" s="6" t="str">
        <f>IF($K1267="","",IF(ISNUMBER(SEARCH("sortie-epargne",IFERROR(INDEX('Paramètres'!$N:$N,MATCH($D1267,'Paramètres'!$M:$M,0))&amp;"",""))),$K1267,0))</f>
        <v/>
      </c>
      <c r="V1267" s="6" t="str">
        <f>IF(AND($A1267&lt;&gt;"",$O1267=1,$L1267="Débit",N($Q1267)&gt;0,$A1267&gt;=Visualisation!$B$1,$A1267&lt;Visualisation!$D$1),MAX($V$1:V1266)+1,"")</f>
        <v/>
      </c>
    </row>
    <row r="1268" spans="1:22" x14ac:dyDescent="0.25">
      <c r="A1268" s="9"/>
      <c r="E1268" s="10"/>
      <c r="K1268" s="11" t="str">
        <f>IF($E1268="","",ROUND($E1268*IF(ISNA(MATCH($C1268,'Paramètres'!$D:$D,0)),1,IF(INDEX('Paramètres'!$J:$J,MATCH($C1268,'Paramètres'!$D:$D,0))="",1,INDEX('Paramètres'!$J:$J,MATCH($C1268,'Paramètres'!$D:$D,0)))),2))</f>
        <v/>
      </c>
      <c r="L1268" s="6" t="str">
        <f>IF($D1268="","",IF($F1268&lt;&gt;"",$F1268,IF(ISNA(MATCH($D1268,'Paramètres'!$M:$M,0)),"⚠ Type inconnu",IFERROR(INDEX('Paramètres'!$P:$P,MATCH($D1268,'Paramètres'!$M:$M,0))&amp;"",""))))</f>
        <v/>
      </c>
      <c r="M1268" s="6" t="str">
        <f>IF($D1268="","",IF(ISNA(MATCH($D1268,'Paramètres'!$M:$M,0)),"⚠ Type inconnu",IF($L1268="Crédit","",IFERROR(INDEX('Paramètres'!$O:$O,MATCH($D1268,'Paramètres'!$M:$M,0))&amp;"",""))))</f>
        <v/>
      </c>
      <c r="N1268" s="6" t="str">
        <f>IF($D1268="","",IFERROR(INDEX('Paramètres'!$Q:$Q,MATCH($D1268,'Paramètres'!$M:$M,0))&amp;"",""))</f>
        <v/>
      </c>
      <c r="O1268" s="6" t="str">
        <f>IF($A1268="","",IF(OR($J1268&lt;&gt;"x",$A1268&lt;=FinReleve),1,0))</f>
        <v/>
      </c>
      <c r="P1268" s="6" t="str">
        <f>IF($D1268="","",IF(AND($L1268="Crédit",OR(IFERROR(INDEX('Paramètres'!$O:$O,MATCH($D1268,'Paramètres'!$M:$M,0))&amp;"","")&lt;&gt;"",ISNUMBER(SEARCH("remboursement",IFERROR(INDEX('Paramètres'!$N:$N,MATCH($D1268,'Paramètres'!$M:$M,0))&amp;"",""))))),1,0))</f>
        <v/>
      </c>
      <c r="Q1268" s="6" t="str">
        <f>IF($K1268="","",IF(ISNUMBER(SEARCH("transfert-interne",IFERROR(INDEX('Paramètres'!$N:$N,MATCH($D1268,'Paramètres'!$M:$M,0))&amp;"",""))),0,IF($L1268="Débit",$K1268,IF($P1268=1,-$K1268,0))))</f>
        <v/>
      </c>
      <c r="R1268" s="6" t="str">
        <f>IF($K1268="","",IF($L1268="Crédit",$K1268,-$K1268))</f>
        <v/>
      </c>
      <c r="S1268" s="6" t="str">
        <f>IF($C1268="","",IFERROR(INDEX('Paramètres'!$H:$H,MATCH($C1268,'Paramètres'!$D:$D,0))&amp;"",""))</f>
        <v/>
      </c>
      <c r="T1268" s="6" t="str">
        <f>IF($K1268="","",IF($S1268="",0,IF(ISNUMBER(SEARCH("apport-exterieur",IFERROR(INDEX('Paramètres'!$N:$N,MATCH($D1268,'Paramètres'!$M:$M,0))&amp;"",""))),0,IF(OR(IFERROR(INDEX('Paramètres'!$I:$I,MATCH($C1268,'Paramètres'!$D:$D,0))&amp;"","")="Les deux",IFERROR(INDEX('Paramètres'!$I:$I,MATCH($C1268,'Paramètres'!$D:$D,0))&amp;"","")=IF($P1268=1,"Débit",$L1268)),-IF($P1268=1,-$K1268,$K1268),0))))</f>
        <v/>
      </c>
      <c r="U1268" s="6" t="str">
        <f>IF($K1268="","",IF(ISNUMBER(SEARCH("sortie-epargne",IFERROR(INDEX('Paramètres'!$N:$N,MATCH($D1268,'Paramètres'!$M:$M,0))&amp;"",""))),$K1268,0))</f>
        <v/>
      </c>
      <c r="V1268" s="6" t="str">
        <f>IF(AND($A1268&lt;&gt;"",$O1268=1,$L1268="Débit",N($Q1268)&gt;0,$A1268&gt;=Visualisation!$B$1,$A1268&lt;Visualisation!$D$1),MAX($V$1:V1267)+1,"")</f>
        <v/>
      </c>
    </row>
    <row r="1269" spans="1:22" x14ac:dyDescent="0.25">
      <c r="A1269" s="9"/>
      <c r="E1269" s="10"/>
      <c r="K1269" s="11" t="str">
        <f>IF($E1269="","",ROUND($E1269*IF(ISNA(MATCH($C1269,'Paramètres'!$D:$D,0)),1,IF(INDEX('Paramètres'!$J:$J,MATCH($C1269,'Paramètres'!$D:$D,0))="",1,INDEX('Paramètres'!$J:$J,MATCH($C1269,'Paramètres'!$D:$D,0)))),2))</f>
        <v/>
      </c>
      <c r="L1269" s="6" t="str">
        <f>IF($D1269="","",IF($F1269&lt;&gt;"",$F1269,IF(ISNA(MATCH($D1269,'Paramètres'!$M:$M,0)),"⚠ Type inconnu",IFERROR(INDEX('Paramètres'!$P:$P,MATCH($D1269,'Paramètres'!$M:$M,0))&amp;"",""))))</f>
        <v/>
      </c>
      <c r="M1269" s="6" t="str">
        <f>IF($D1269="","",IF(ISNA(MATCH($D1269,'Paramètres'!$M:$M,0)),"⚠ Type inconnu",IF($L1269="Crédit","",IFERROR(INDEX('Paramètres'!$O:$O,MATCH($D1269,'Paramètres'!$M:$M,0))&amp;"",""))))</f>
        <v/>
      </c>
      <c r="N1269" s="6" t="str">
        <f>IF($D1269="","",IFERROR(INDEX('Paramètres'!$Q:$Q,MATCH($D1269,'Paramètres'!$M:$M,0))&amp;"",""))</f>
        <v/>
      </c>
      <c r="O1269" s="6" t="str">
        <f>IF($A1269="","",IF(OR($J1269&lt;&gt;"x",$A1269&lt;=FinReleve),1,0))</f>
        <v/>
      </c>
      <c r="P1269" s="6" t="str">
        <f>IF($D1269="","",IF(AND($L1269="Crédit",OR(IFERROR(INDEX('Paramètres'!$O:$O,MATCH($D1269,'Paramètres'!$M:$M,0))&amp;"","")&lt;&gt;"",ISNUMBER(SEARCH("remboursement",IFERROR(INDEX('Paramètres'!$N:$N,MATCH($D1269,'Paramètres'!$M:$M,0))&amp;"",""))))),1,0))</f>
        <v/>
      </c>
      <c r="Q1269" s="6" t="str">
        <f>IF($K1269="","",IF(ISNUMBER(SEARCH("transfert-interne",IFERROR(INDEX('Paramètres'!$N:$N,MATCH($D1269,'Paramètres'!$M:$M,0))&amp;"",""))),0,IF($L1269="Débit",$K1269,IF($P1269=1,-$K1269,0))))</f>
        <v/>
      </c>
      <c r="R1269" s="6" t="str">
        <f>IF($K1269="","",IF($L1269="Crédit",$K1269,-$K1269))</f>
        <v/>
      </c>
      <c r="S1269" s="6" t="str">
        <f>IF($C1269="","",IFERROR(INDEX('Paramètres'!$H:$H,MATCH($C1269,'Paramètres'!$D:$D,0))&amp;"",""))</f>
        <v/>
      </c>
      <c r="T1269" s="6" t="str">
        <f>IF($K1269="","",IF($S1269="",0,IF(ISNUMBER(SEARCH("apport-exterieur",IFERROR(INDEX('Paramètres'!$N:$N,MATCH($D1269,'Paramètres'!$M:$M,0))&amp;"",""))),0,IF(OR(IFERROR(INDEX('Paramètres'!$I:$I,MATCH($C1269,'Paramètres'!$D:$D,0))&amp;"","")="Les deux",IFERROR(INDEX('Paramètres'!$I:$I,MATCH($C1269,'Paramètres'!$D:$D,0))&amp;"","")=IF($P1269=1,"Débit",$L1269)),-IF($P1269=1,-$K1269,$K1269),0))))</f>
        <v/>
      </c>
      <c r="U1269" s="6" t="str">
        <f>IF($K1269="","",IF(ISNUMBER(SEARCH("sortie-epargne",IFERROR(INDEX('Paramètres'!$N:$N,MATCH($D1269,'Paramètres'!$M:$M,0))&amp;"",""))),$K1269,0))</f>
        <v/>
      </c>
      <c r="V1269" s="6" t="str">
        <f>IF(AND($A1269&lt;&gt;"",$O1269=1,$L1269="Débit",N($Q1269)&gt;0,$A1269&gt;=Visualisation!$B$1,$A1269&lt;Visualisation!$D$1),MAX($V$1:V1268)+1,"")</f>
        <v/>
      </c>
    </row>
    <row r="1270" spans="1:22" x14ac:dyDescent="0.25">
      <c r="A1270" s="9"/>
      <c r="E1270" s="10"/>
      <c r="K1270" s="11" t="str">
        <f>IF($E1270="","",ROUND($E1270*IF(ISNA(MATCH($C1270,'Paramètres'!$D:$D,0)),1,IF(INDEX('Paramètres'!$J:$J,MATCH($C1270,'Paramètres'!$D:$D,0))="",1,INDEX('Paramètres'!$J:$J,MATCH($C1270,'Paramètres'!$D:$D,0)))),2))</f>
        <v/>
      </c>
      <c r="L1270" s="6" t="str">
        <f>IF($D1270="","",IF($F1270&lt;&gt;"",$F1270,IF(ISNA(MATCH($D1270,'Paramètres'!$M:$M,0)),"⚠ Type inconnu",IFERROR(INDEX('Paramètres'!$P:$P,MATCH($D1270,'Paramètres'!$M:$M,0))&amp;"",""))))</f>
        <v/>
      </c>
      <c r="M1270" s="6" t="str">
        <f>IF($D1270="","",IF(ISNA(MATCH($D1270,'Paramètres'!$M:$M,0)),"⚠ Type inconnu",IF($L1270="Crédit","",IFERROR(INDEX('Paramètres'!$O:$O,MATCH($D1270,'Paramètres'!$M:$M,0))&amp;"",""))))</f>
        <v/>
      </c>
      <c r="N1270" s="6" t="str">
        <f>IF($D1270="","",IFERROR(INDEX('Paramètres'!$Q:$Q,MATCH($D1270,'Paramètres'!$M:$M,0))&amp;"",""))</f>
        <v/>
      </c>
      <c r="O1270" s="6" t="str">
        <f>IF($A1270="","",IF(OR($J1270&lt;&gt;"x",$A1270&lt;=FinReleve),1,0))</f>
        <v/>
      </c>
      <c r="P1270" s="6" t="str">
        <f>IF($D1270="","",IF(AND($L1270="Crédit",OR(IFERROR(INDEX('Paramètres'!$O:$O,MATCH($D1270,'Paramètres'!$M:$M,0))&amp;"","")&lt;&gt;"",ISNUMBER(SEARCH("remboursement",IFERROR(INDEX('Paramètres'!$N:$N,MATCH($D1270,'Paramètres'!$M:$M,0))&amp;"",""))))),1,0))</f>
        <v/>
      </c>
      <c r="Q1270" s="6" t="str">
        <f>IF($K1270="","",IF(ISNUMBER(SEARCH("transfert-interne",IFERROR(INDEX('Paramètres'!$N:$N,MATCH($D1270,'Paramètres'!$M:$M,0))&amp;"",""))),0,IF($L1270="Débit",$K1270,IF($P1270=1,-$K1270,0))))</f>
        <v/>
      </c>
      <c r="R1270" s="6" t="str">
        <f>IF($K1270="","",IF($L1270="Crédit",$K1270,-$K1270))</f>
        <v/>
      </c>
      <c r="S1270" s="6" t="str">
        <f>IF($C1270="","",IFERROR(INDEX('Paramètres'!$H:$H,MATCH($C1270,'Paramètres'!$D:$D,0))&amp;"",""))</f>
        <v/>
      </c>
      <c r="T1270" s="6" t="str">
        <f>IF($K1270="","",IF($S1270="",0,IF(ISNUMBER(SEARCH("apport-exterieur",IFERROR(INDEX('Paramètres'!$N:$N,MATCH($D1270,'Paramètres'!$M:$M,0))&amp;"",""))),0,IF(OR(IFERROR(INDEX('Paramètres'!$I:$I,MATCH($C1270,'Paramètres'!$D:$D,0))&amp;"","")="Les deux",IFERROR(INDEX('Paramètres'!$I:$I,MATCH($C1270,'Paramètres'!$D:$D,0))&amp;"","")=IF($P1270=1,"Débit",$L1270)),-IF($P1270=1,-$K1270,$K1270),0))))</f>
        <v/>
      </c>
      <c r="U1270" s="6" t="str">
        <f>IF($K1270="","",IF(ISNUMBER(SEARCH("sortie-epargne",IFERROR(INDEX('Paramètres'!$N:$N,MATCH($D1270,'Paramètres'!$M:$M,0))&amp;"",""))),$K1270,0))</f>
        <v/>
      </c>
      <c r="V1270" s="6" t="str">
        <f>IF(AND($A1270&lt;&gt;"",$O1270=1,$L1270="Débit",N($Q1270)&gt;0,$A1270&gt;=Visualisation!$B$1,$A1270&lt;Visualisation!$D$1),MAX($V$1:V1269)+1,"")</f>
        <v/>
      </c>
    </row>
    <row r="1271" spans="1:22" x14ac:dyDescent="0.25">
      <c r="A1271" s="9"/>
      <c r="E1271" s="10"/>
      <c r="K1271" s="11" t="str">
        <f>IF($E1271="","",ROUND($E1271*IF(ISNA(MATCH($C1271,'Paramètres'!$D:$D,0)),1,IF(INDEX('Paramètres'!$J:$J,MATCH($C1271,'Paramètres'!$D:$D,0))="",1,INDEX('Paramètres'!$J:$J,MATCH($C1271,'Paramètres'!$D:$D,0)))),2))</f>
        <v/>
      </c>
      <c r="L1271" s="6" t="str">
        <f>IF($D1271="","",IF($F1271&lt;&gt;"",$F1271,IF(ISNA(MATCH($D1271,'Paramètres'!$M:$M,0)),"⚠ Type inconnu",IFERROR(INDEX('Paramètres'!$P:$P,MATCH($D1271,'Paramètres'!$M:$M,0))&amp;"",""))))</f>
        <v/>
      </c>
      <c r="M1271" s="6" t="str">
        <f>IF($D1271="","",IF(ISNA(MATCH($D1271,'Paramètres'!$M:$M,0)),"⚠ Type inconnu",IF($L1271="Crédit","",IFERROR(INDEX('Paramètres'!$O:$O,MATCH($D1271,'Paramètres'!$M:$M,0))&amp;"",""))))</f>
        <v/>
      </c>
      <c r="N1271" s="6" t="str">
        <f>IF($D1271="","",IFERROR(INDEX('Paramètres'!$Q:$Q,MATCH($D1271,'Paramètres'!$M:$M,0))&amp;"",""))</f>
        <v/>
      </c>
      <c r="O1271" s="6" t="str">
        <f>IF($A1271="","",IF(OR($J1271&lt;&gt;"x",$A1271&lt;=FinReleve),1,0))</f>
        <v/>
      </c>
      <c r="P1271" s="6" t="str">
        <f>IF($D1271="","",IF(AND($L1271="Crédit",OR(IFERROR(INDEX('Paramètres'!$O:$O,MATCH($D1271,'Paramètres'!$M:$M,0))&amp;"","")&lt;&gt;"",ISNUMBER(SEARCH("remboursement",IFERROR(INDEX('Paramètres'!$N:$N,MATCH($D1271,'Paramètres'!$M:$M,0))&amp;"",""))))),1,0))</f>
        <v/>
      </c>
      <c r="Q1271" s="6" t="str">
        <f>IF($K1271="","",IF(ISNUMBER(SEARCH("transfert-interne",IFERROR(INDEX('Paramètres'!$N:$N,MATCH($D1271,'Paramètres'!$M:$M,0))&amp;"",""))),0,IF($L1271="Débit",$K1271,IF($P1271=1,-$K1271,0))))</f>
        <v/>
      </c>
      <c r="R1271" s="6" t="str">
        <f>IF($K1271="","",IF($L1271="Crédit",$K1271,-$K1271))</f>
        <v/>
      </c>
      <c r="S1271" s="6" t="str">
        <f>IF($C1271="","",IFERROR(INDEX('Paramètres'!$H:$H,MATCH($C1271,'Paramètres'!$D:$D,0))&amp;"",""))</f>
        <v/>
      </c>
      <c r="T1271" s="6" t="str">
        <f>IF($K1271="","",IF($S1271="",0,IF(ISNUMBER(SEARCH("apport-exterieur",IFERROR(INDEX('Paramètres'!$N:$N,MATCH($D1271,'Paramètres'!$M:$M,0))&amp;"",""))),0,IF(OR(IFERROR(INDEX('Paramètres'!$I:$I,MATCH($C1271,'Paramètres'!$D:$D,0))&amp;"","")="Les deux",IFERROR(INDEX('Paramètres'!$I:$I,MATCH($C1271,'Paramètres'!$D:$D,0))&amp;"","")=IF($P1271=1,"Débit",$L1271)),-IF($P1271=1,-$K1271,$K1271),0))))</f>
        <v/>
      </c>
      <c r="U1271" s="6" t="str">
        <f>IF($K1271="","",IF(ISNUMBER(SEARCH("sortie-epargne",IFERROR(INDEX('Paramètres'!$N:$N,MATCH($D1271,'Paramètres'!$M:$M,0))&amp;"",""))),$K1271,0))</f>
        <v/>
      </c>
      <c r="V1271" s="6" t="str">
        <f>IF(AND($A1271&lt;&gt;"",$O1271=1,$L1271="Débit",N($Q1271)&gt;0,$A1271&gt;=Visualisation!$B$1,$A1271&lt;Visualisation!$D$1),MAX($V$1:V1270)+1,"")</f>
        <v/>
      </c>
    </row>
    <row r="1272" spans="1:22" x14ac:dyDescent="0.25">
      <c r="A1272" s="9"/>
      <c r="E1272" s="10"/>
      <c r="K1272" s="11" t="str">
        <f>IF($E1272="","",ROUND($E1272*IF(ISNA(MATCH($C1272,'Paramètres'!$D:$D,0)),1,IF(INDEX('Paramètres'!$J:$J,MATCH($C1272,'Paramètres'!$D:$D,0))="",1,INDEX('Paramètres'!$J:$J,MATCH($C1272,'Paramètres'!$D:$D,0)))),2))</f>
        <v/>
      </c>
      <c r="L1272" s="6" t="str">
        <f>IF($D1272="","",IF($F1272&lt;&gt;"",$F1272,IF(ISNA(MATCH($D1272,'Paramètres'!$M:$M,0)),"⚠ Type inconnu",IFERROR(INDEX('Paramètres'!$P:$P,MATCH($D1272,'Paramètres'!$M:$M,0))&amp;"",""))))</f>
        <v/>
      </c>
      <c r="M1272" s="6" t="str">
        <f>IF($D1272="","",IF(ISNA(MATCH($D1272,'Paramètres'!$M:$M,0)),"⚠ Type inconnu",IF($L1272="Crédit","",IFERROR(INDEX('Paramètres'!$O:$O,MATCH($D1272,'Paramètres'!$M:$M,0))&amp;"",""))))</f>
        <v/>
      </c>
      <c r="N1272" s="6" t="str">
        <f>IF($D1272="","",IFERROR(INDEX('Paramètres'!$Q:$Q,MATCH($D1272,'Paramètres'!$M:$M,0))&amp;"",""))</f>
        <v/>
      </c>
      <c r="O1272" s="6" t="str">
        <f>IF($A1272="","",IF(OR($J1272&lt;&gt;"x",$A1272&lt;=FinReleve),1,0))</f>
        <v/>
      </c>
      <c r="P1272" s="6" t="str">
        <f>IF($D1272="","",IF(AND($L1272="Crédit",OR(IFERROR(INDEX('Paramètres'!$O:$O,MATCH($D1272,'Paramètres'!$M:$M,0))&amp;"","")&lt;&gt;"",ISNUMBER(SEARCH("remboursement",IFERROR(INDEX('Paramètres'!$N:$N,MATCH($D1272,'Paramètres'!$M:$M,0))&amp;"",""))))),1,0))</f>
        <v/>
      </c>
      <c r="Q1272" s="6" t="str">
        <f>IF($K1272="","",IF(ISNUMBER(SEARCH("transfert-interne",IFERROR(INDEX('Paramètres'!$N:$N,MATCH($D1272,'Paramètres'!$M:$M,0))&amp;"",""))),0,IF($L1272="Débit",$K1272,IF($P1272=1,-$K1272,0))))</f>
        <v/>
      </c>
      <c r="R1272" s="6" t="str">
        <f>IF($K1272="","",IF($L1272="Crédit",$K1272,-$K1272))</f>
        <v/>
      </c>
      <c r="S1272" s="6" t="str">
        <f>IF($C1272="","",IFERROR(INDEX('Paramètres'!$H:$H,MATCH($C1272,'Paramètres'!$D:$D,0))&amp;"",""))</f>
        <v/>
      </c>
      <c r="T1272" s="6" t="str">
        <f>IF($K1272="","",IF($S1272="",0,IF(ISNUMBER(SEARCH("apport-exterieur",IFERROR(INDEX('Paramètres'!$N:$N,MATCH($D1272,'Paramètres'!$M:$M,0))&amp;"",""))),0,IF(OR(IFERROR(INDEX('Paramètres'!$I:$I,MATCH($C1272,'Paramètres'!$D:$D,0))&amp;"","")="Les deux",IFERROR(INDEX('Paramètres'!$I:$I,MATCH($C1272,'Paramètres'!$D:$D,0))&amp;"","")=IF($P1272=1,"Débit",$L1272)),-IF($P1272=1,-$K1272,$K1272),0))))</f>
        <v/>
      </c>
      <c r="U1272" s="6" t="str">
        <f>IF($K1272="","",IF(ISNUMBER(SEARCH("sortie-epargne",IFERROR(INDEX('Paramètres'!$N:$N,MATCH($D1272,'Paramètres'!$M:$M,0))&amp;"",""))),$K1272,0))</f>
        <v/>
      </c>
      <c r="V1272" s="6" t="str">
        <f>IF(AND($A1272&lt;&gt;"",$O1272=1,$L1272="Débit",N($Q1272)&gt;0,$A1272&gt;=Visualisation!$B$1,$A1272&lt;Visualisation!$D$1),MAX($V$1:V1271)+1,"")</f>
        <v/>
      </c>
    </row>
    <row r="1273" spans="1:22" x14ac:dyDescent="0.25">
      <c r="A1273" s="9"/>
      <c r="E1273" s="10"/>
      <c r="K1273" s="11" t="str">
        <f>IF($E1273="","",ROUND($E1273*IF(ISNA(MATCH($C1273,'Paramètres'!$D:$D,0)),1,IF(INDEX('Paramètres'!$J:$J,MATCH($C1273,'Paramètres'!$D:$D,0))="",1,INDEX('Paramètres'!$J:$J,MATCH($C1273,'Paramètres'!$D:$D,0)))),2))</f>
        <v/>
      </c>
      <c r="L1273" s="6" t="str">
        <f>IF($D1273="","",IF($F1273&lt;&gt;"",$F1273,IF(ISNA(MATCH($D1273,'Paramètres'!$M:$M,0)),"⚠ Type inconnu",IFERROR(INDEX('Paramètres'!$P:$P,MATCH($D1273,'Paramètres'!$M:$M,0))&amp;"",""))))</f>
        <v/>
      </c>
      <c r="M1273" s="6" t="str">
        <f>IF($D1273="","",IF(ISNA(MATCH($D1273,'Paramètres'!$M:$M,0)),"⚠ Type inconnu",IF($L1273="Crédit","",IFERROR(INDEX('Paramètres'!$O:$O,MATCH($D1273,'Paramètres'!$M:$M,0))&amp;"",""))))</f>
        <v/>
      </c>
      <c r="N1273" s="6" t="str">
        <f>IF($D1273="","",IFERROR(INDEX('Paramètres'!$Q:$Q,MATCH($D1273,'Paramètres'!$M:$M,0))&amp;"",""))</f>
        <v/>
      </c>
      <c r="O1273" s="6" t="str">
        <f>IF($A1273="","",IF(OR($J1273&lt;&gt;"x",$A1273&lt;=FinReleve),1,0))</f>
        <v/>
      </c>
      <c r="P1273" s="6" t="str">
        <f>IF($D1273="","",IF(AND($L1273="Crédit",OR(IFERROR(INDEX('Paramètres'!$O:$O,MATCH($D1273,'Paramètres'!$M:$M,0))&amp;"","")&lt;&gt;"",ISNUMBER(SEARCH("remboursement",IFERROR(INDEX('Paramètres'!$N:$N,MATCH($D1273,'Paramètres'!$M:$M,0))&amp;"",""))))),1,0))</f>
        <v/>
      </c>
      <c r="Q1273" s="6" t="str">
        <f>IF($K1273="","",IF(ISNUMBER(SEARCH("transfert-interne",IFERROR(INDEX('Paramètres'!$N:$N,MATCH($D1273,'Paramètres'!$M:$M,0))&amp;"",""))),0,IF($L1273="Débit",$K1273,IF($P1273=1,-$K1273,0))))</f>
        <v/>
      </c>
      <c r="R1273" s="6" t="str">
        <f>IF($K1273="","",IF($L1273="Crédit",$K1273,-$K1273))</f>
        <v/>
      </c>
      <c r="S1273" s="6" t="str">
        <f>IF($C1273="","",IFERROR(INDEX('Paramètres'!$H:$H,MATCH($C1273,'Paramètres'!$D:$D,0))&amp;"",""))</f>
        <v/>
      </c>
      <c r="T1273" s="6" t="str">
        <f>IF($K1273="","",IF($S1273="",0,IF(ISNUMBER(SEARCH("apport-exterieur",IFERROR(INDEX('Paramètres'!$N:$N,MATCH($D1273,'Paramètres'!$M:$M,0))&amp;"",""))),0,IF(OR(IFERROR(INDEX('Paramètres'!$I:$I,MATCH($C1273,'Paramètres'!$D:$D,0))&amp;"","")="Les deux",IFERROR(INDEX('Paramètres'!$I:$I,MATCH($C1273,'Paramètres'!$D:$D,0))&amp;"","")=IF($P1273=1,"Débit",$L1273)),-IF($P1273=1,-$K1273,$K1273),0))))</f>
        <v/>
      </c>
      <c r="U1273" s="6" t="str">
        <f>IF($K1273="","",IF(ISNUMBER(SEARCH("sortie-epargne",IFERROR(INDEX('Paramètres'!$N:$N,MATCH($D1273,'Paramètres'!$M:$M,0))&amp;"",""))),$K1273,0))</f>
        <v/>
      </c>
      <c r="V1273" s="6" t="str">
        <f>IF(AND($A1273&lt;&gt;"",$O1273=1,$L1273="Débit",N($Q1273)&gt;0,$A1273&gt;=Visualisation!$B$1,$A1273&lt;Visualisation!$D$1),MAX($V$1:V1272)+1,"")</f>
        <v/>
      </c>
    </row>
    <row r="1274" spans="1:22" x14ac:dyDescent="0.25">
      <c r="A1274" s="9"/>
      <c r="E1274" s="10"/>
      <c r="K1274" s="11" t="str">
        <f>IF($E1274="","",ROUND($E1274*IF(ISNA(MATCH($C1274,'Paramètres'!$D:$D,0)),1,IF(INDEX('Paramètres'!$J:$J,MATCH($C1274,'Paramètres'!$D:$D,0))="",1,INDEX('Paramètres'!$J:$J,MATCH($C1274,'Paramètres'!$D:$D,0)))),2))</f>
        <v/>
      </c>
      <c r="L1274" s="6" t="str">
        <f>IF($D1274="","",IF($F1274&lt;&gt;"",$F1274,IF(ISNA(MATCH($D1274,'Paramètres'!$M:$M,0)),"⚠ Type inconnu",IFERROR(INDEX('Paramètres'!$P:$P,MATCH($D1274,'Paramètres'!$M:$M,0))&amp;"",""))))</f>
        <v/>
      </c>
      <c r="M1274" s="6" t="str">
        <f>IF($D1274="","",IF(ISNA(MATCH($D1274,'Paramètres'!$M:$M,0)),"⚠ Type inconnu",IF($L1274="Crédit","",IFERROR(INDEX('Paramètres'!$O:$O,MATCH($D1274,'Paramètres'!$M:$M,0))&amp;"",""))))</f>
        <v/>
      </c>
      <c r="N1274" s="6" t="str">
        <f>IF($D1274="","",IFERROR(INDEX('Paramètres'!$Q:$Q,MATCH($D1274,'Paramètres'!$M:$M,0))&amp;"",""))</f>
        <v/>
      </c>
      <c r="O1274" s="6" t="str">
        <f>IF($A1274="","",IF(OR($J1274&lt;&gt;"x",$A1274&lt;=FinReleve),1,0))</f>
        <v/>
      </c>
      <c r="P1274" s="6" t="str">
        <f>IF($D1274="","",IF(AND($L1274="Crédit",OR(IFERROR(INDEX('Paramètres'!$O:$O,MATCH($D1274,'Paramètres'!$M:$M,0))&amp;"","")&lt;&gt;"",ISNUMBER(SEARCH("remboursement",IFERROR(INDEX('Paramètres'!$N:$N,MATCH($D1274,'Paramètres'!$M:$M,0))&amp;"",""))))),1,0))</f>
        <v/>
      </c>
      <c r="Q1274" s="6" t="str">
        <f>IF($K1274="","",IF(ISNUMBER(SEARCH("transfert-interne",IFERROR(INDEX('Paramètres'!$N:$N,MATCH($D1274,'Paramètres'!$M:$M,0))&amp;"",""))),0,IF($L1274="Débit",$K1274,IF($P1274=1,-$K1274,0))))</f>
        <v/>
      </c>
      <c r="R1274" s="6" t="str">
        <f>IF($K1274="","",IF($L1274="Crédit",$K1274,-$K1274))</f>
        <v/>
      </c>
      <c r="S1274" s="6" t="str">
        <f>IF($C1274="","",IFERROR(INDEX('Paramètres'!$H:$H,MATCH($C1274,'Paramètres'!$D:$D,0))&amp;"",""))</f>
        <v/>
      </c>
      <c r="T1274" s="6" t="str">
        <f>IF($K1274="","",IF($S1274="",0,IF(ISNUMBER(SEARCH("apport-exterieur",IFERROR(INDEX('Paramètres'!$N:$N,MATCH($D1274,'Paramètres'!$M:$M,0))&amp;"",""))),0,IF(OR(IFERROR(INDEX('Paramètres'!$I:$I,MATCH($C1274,'Paramètres'!$D:$D,0))&amp;"","")="Les deux",IFERROR(INDEX('Paramètres'!$I:$I,MATCH($C1274,'Paramètres'!$D:$D,0))&amp;"","")=IF($P1274=1,"Débit",$L1274)),-IF($P1274=1,-$K1274,$K1274),0))))</f>
        <v/>
      </c>
      <c r="U1274" s="6" t="str">
        <f>IF($K1274="","",IF(ISNUMBER(SEARCH("sortie-epargne",IFERROR(INDEX('Paramètres'!$N:$N,MATCH($D1274,'Paramètres'!$M:$M,0))&amp;"",""))),$K1274,0))</f>
        <v/>
      </c>
      <c r="V1274" s="6" t="str">
        <f>IF(AND($A1274&lt;&gt;"",$O1274=1,$L1274="Débit",N($Q1274)&gt;0,$A1274&gt;=Visualisation!$B$1,$A1274&lt;Visualisation!$D$1),MAX($V$1:V1273)+1,"")</f>
        <v/>
      </c>
    </row>
    <row r="1275" spans="1:22" x14ac:dyDescent="0.25">
      <c r="A1275" s="9"/>
      <c r="E1275" s="10"/>
      <c r="K1275" s="11" t="str">
        <f>IF($E1275="","",ROUND($E1275*IF(ISNA(MATCH($C1275,'Paramètres'!$D:$D,0)),1,IF(INDEX('Paramètres'!$J:$J,MATCH($C1275,'Paramètres'!$D:$D,0))="",1,INDEX('Paramètres'!$J:$J,MATCH($C1275,'Paramètres'!$D:$D,0)))),2))</f>
        <v/>
      </c>
      <c r="L1275" s="6" t="str">
        <f>IF($D1275="","",IF($F1275&lt;&gt;"",$F1275,IF(ISNA(MATCH($D1275,'Paramètres'!$M:$M,0)),"⚠ Type inconnu",IFERROR(INDEX('Paramètres'!$P:$P,MATCH($D1275,'Paramètres'!$M:$M,0))&amp;"",""))))</f>
        <v/>
      </c>
      <c r="M1275" s="6" t="str">
        <f>IF($D1275="","",IF(ISNA(MATCH($D1275,'Paramètres'!$M:$M,0)),"⚠ Type inconnu",IF($L1275="Crédit","",IFERROR(INDEX('Paramètres'!$O:$O,MATCH($D1275,'Paramètres'!$M:$M,0))&amp;"",""))))</f>
        <v/>
      </c>
      <c r="N1275" s="6" t="str">
        <f>IF($D1275="","",IFERROR(INDEX('Paramètres'!$Q:$Q,MATCH($D1275,'Paramètres'!$M:$M,0))&amp;"",""))</f>
        <v/>
      </c>
      <c r="O1275" s="6" t="str">
        <f>IF($A1275="","",IF(OR($J1275&lt;&gt;"x",$A1275&lt;=FinReleve),1,0))</f>
        <v/>
      </c>
      <c r="P1275" s="6" t="str">
        <f>IF($D1275="","",IF(AND($L1275="Crédit",OR(IFERROR(INDEX('Paramètres'!$O:$O,MATCH($D1275,'Paramètres'!$M:$M,0))&amp;"","")&lt;&gt;"",ISNUMBER(SEARCH("remboursement",IFERROR(INDEX('Paramètres'!$N:$N,MATCH($D1275,'Paramètres'!$M:$M,0))&amp;"",""))))),1,0))</f>
        <v/>
      </c>
      <c r="Q1275" s="6" t="str">
        <f>IF($K1275="","",IF(ISNUMBER(SEARCH("transfert-interne",IFERROR(INDEX('Paramètres'!$N:$N,MATCH($D1275,'Paramètres'!$M:$M,0))&amp;"",""))),0,IF($L1275="Débit",$K1275,IF($P1275=1,-$K1275,0))))</f>
        <v/>
      </c>
      <c r="R1275" s="6" t="str">
        <f>IF($K1275="","",IF($L1275="Crédit",$K1275,-$K1275))</f>
        <v/>
      </c>
      <c r="S1275" s="6" t="str">
        <f>IF($C1275="","",IFERROR(INDEX('Paramètres'!$H:$H,MATCH($C1275,'Paramètres'!$D:$D,0))&amp;"",""))</f>
        <v/>
      </c>
      <c r="T1275" s="6" t="str">
        <f>IF($K1275="","",IF($S1275="",0,IF(ISNUMBER(SEARCH("apport-exterieur",IFERROR(INDEX('Paramètres'!$N:$N,MATCH($D1275,'Paramètres'!$M:$M,0))&amp;"",""))),0,IF(OR(IFERROR(INDEX('Paramètres'!$I:$I,MATCH($C1275,'Paramètres'!$D:$D,0))&amp;"","")="Les deux",IFERROR(INDEX('Paramètres'!$I:$I,MATCH($C1275,'Paramètres'!$D:$D,0))&amp;"","")=IF($P1275=1,"Débit",$L1275)),-IF($P1275=1,-$K1275,$K1275),0))))</f>
        <v/>
      </c>
      <c r="U1275" s="6" t="str">
        <f>IF($K1275="","",IF(ISNUMBER(SEARCH("sortie-epargne",IFERROR(INDEX('Paramètres'!$N:$N,MATCH($D1275,'Paramètres'!$M:$M,0))&amp;"",""))),$K1275,0))</f>
        <v/>
      </c>
      <c r="V1275" s="6" t="str">
        <f>IF(AND($A1275&lt;&gt;"",$O1275=1,$L1275="Débit",N($Q1275)&gt;0,$A1275&gt;=Visualisation!$B$1,$A1275&lt;Visualisation!$D$1),MAX($V$1:V1274)+1,"")</f>
        <v/>
      </c>
    </row>
    <row r="1276" spans="1:22" x14ac:dyDescent="0.25">
      <c r="A1276" s="9"/>
      <c r="E1276" s="10"/>
      <c r="K1276" s="11" t="str">
        <f>IF($E1276="","",ROUND($E1276*IF(ISNA(MATCH($C1276,'Paramètres'!$D:$D,0)),1,IF(INDEX('Paramètres'!$J:$J,MATCH($C1276,'Paramètres'!$D:$D,0))="",1,INDEX('Paramètres'!$J:$J,MATCH($C1276,'Paramètres'!$D:$D,0)))),2))</f>
        <v/>
      </c>
      <c r="L1276" s="6" t="str">
        <f>IF($D1276="","",IF($F1276&lt;&gt;"",$F1276,IF(ISNA(MATCH($D1276,'Paramètres'!$M:$M,0)),"⚠ Type inconnu",IFERROR(INDEX('Paramètres'!$P:$P,MATCH($D1276,'Paramètres'!$M:$M,0))&amp;"",""))))</f>
        <v/>
      </c>
      <c r="M1276" s="6" t="str">
        <f>IF($D1276="","",IF(ISNA(MATCH($D1276,'Paramètres'!$M:$M,0)),"⚠ Type inconnu",IF($L1276="Crédit","",IFERROR(INDEX('Paramètres'!$O:$O,MATCH($D1276,'Paramètres'!$M:$M,0))&amp;"",""))))</f>
        <v/>
      </c>
      <c r="N1276" s="6" t="str">
        <f>IF($D1276="","",IFERROR(INDEX('Paramètres'!$Q:$Q,MATCH($D1276,'Paramètres'!$M:$M,0))&amp;"",""))</f>
        <v/>
      </c>
      <c r="O1276" s="6" t="str">
        <f>IF($A1276="","",IF(OR($J1276&lt;&gt;"x",$A1276&lt;=FinReleve),1,0))</f>
        <v/>
      </c>
      <c r="P1276" s="6" t="str">
        <f>IF($D1276="","",IF(AND($L1276="Crédit",OR(IFERROR(INDEX('Paramètres'!$O:$O,MATCH($D1276,'Paramètres'!$M:$M,0))&amp;"","")&lt;&gt;"",ISNUMBER(SEARCH("remboursement",IFERROR(INDEX('Paramètres'!$N:$N,MATCH($D1276,'Paramètres'!$M:$M,0))&amp;"",""))))),1,0))</f>
        <v/>
      </c>
      <c r="Q1276" s="6" t="str">
        <f>IF($K1276="","",IF(ISNUMBER(SEARCH("transfert-interne",IFERROR(INDEX('Paramètres'!$N:$N,MATCH($D1276,'Paramètres'!$M:$M,0))&amp;"",""))),0,IF($L1276="Débit",$K1276,IF($P1276=1,-$K1276,0))))</f>
        <v/>
      </c>
      <c r="R1276" s="6" t="str">
        <f>IF($K1276="","",IF($L1276="Crédit",$K1276,-$K1276))</f>
        <v/>
      </c>
      <c r="S1276" s="6" t="str">
        <f>IF($C1276="","",IFERROR(INDEX('Paramètres'!$H:$H,MATCH($C1276,'Paramètres'!$D:$D,0))&amp;"",""))</f>
        <v/>
      </c>
      <c r="T1276" s="6" t="str">
        <f>IF($K1276="","",IF($S1276="",0,IF(ISNUMBER(SEARCH("apport-exterieur",IFERROR(INDEX('Paramètres'!$N:$N,MATCH($D1276,'Paramètres'!$M:$M,0))&amp;"",""))),0,IF(OR(IFERROR(INDEX('Paramètres'!$I:$I,MATCH($C1276,'Paramètres'!$D:$D,0))&amp;"","")="Les deux",IFERROR(INDEX('Paramètres'!$I:$I,MATCH($C1276,'Paramètres'!$D:$D,0))&amp;"","")=IF($P1276=1,"Débit",$L1276)),-IF($P1276=1,-$K1276,$K1276),0))))</f>
        <v/>
      </c>
      <c r="U1276" s="6" t="str">
        <f>IF($K1276="","",IF(ISNUMBER(SEARCH("sortie-epargne",IFERROR(INDEX('Paramètres'!$N:$N,MATCH($D1276,'Paramètres'!$M:$M,0))&amp;"",""))),$K1276,0))</f>
        <v/>
      </c>
      <c r="V1276" s="6" t="str">
        <f>IF(AND($A1276&lt;&gt;"",$O1276=1,$L1276="Débit",N($Q1276)&gt;0,$A1276&gt;=Visualisation!$B$1,$A1276&lt;Visualisation!$D$1),MAX($V$1:V1275)+1,"")</f>
        <v/>
      </c>
    </row>
    <row r="1277" spans="1:22" x14ac:dyDescent="0.25">
      <c r="A1277" s="9"/>
      <c r="E1277" s="10"/>
      <c r="K1277" s="11" t="str">
        <f>IF($E1277="","",ROUND($E1277*IF(ISNA(MATCH($C1277,'Paramètres'!$D:$D,0)),1,IF(INDEX('Paramètres'!$J:$J,MATCH($C1277,'Paramètres'!$D:$D,0))="",1,INDEX('Paramètres'!$J:$J,MATCH($C1277,'Paramètres'!$D:$D,0)))),2))</f>
        <v/>
      </c>
      <c r="L1277" s="6" t="str">
        <f>IF($D1277="","",IF($F1277&lt;&gt;"",$F1277,IF(ISNA(MATCH($D1277,'Paramètres'!$M:$M,0)),"⚠ Type inconnu",IFERROR(INDEX('Paramètres'!$P:$P,MATCH($D1277,'Paramètres'!$M:$M,0))&amp;"",""))))</f>
        <v/>
      </c>
      <c r="M1277" s="6" t="str">
        <f>IF($D1277="","",IF(ISNA(MATCH($D1277,'Paramètres'!$M:$M,0)),"⚠ Type inconnu",IF($L1277="Crédit","",IFERROR(INDEX('Paramètres'!$O:$O,MATCH($D1277,'Paramètres'!$M:$M,0))&amp;"",""))))</f>
        <v/>
      </c>
      <c r="N1277" s="6" t="str">
        <f>IF($D1277="","",IFERROR(INDEX('Paramètres'!$Q:$Q,MATCH($D1277,'Paramètres'!$M:$M,0))&amp;"",""))</f>
        <v/>
      </c>
      <c r="O1277" s="6" t="str">
        <f>IF($A1277="","",IF(OR($J1277&lt;&gt;"x",$A1277&lt;=FinReleve),1,0))</f>
        <v/>
      </c>
      <c r="P1277" s="6" t="str">
        <f>IF($D1277="","",IF(AND($L1277="Crédit",OR(IFERROR(INDEX('Paramètres'!$O:$O,MATCH($D1277,'Paramètres'!$M:$M,0))&amp;"","")&lt;&gt;"",ISNUMBER(SEARCH("remboursement",IFERROR(INDEX('Paramètres'!$N:$N,MATCH($D1277,'Paramètres'!$M:$M,0))&amp;"",""))))),1,0))</f>
        <v/>
      </c>
      <c r="Q1277" s="6" t="str">
        <f>IF($K1277="","",IF(ISNUMBER(SEARCH("transfert-interne",IFERROR(INDEX('Paramètres'!$N:$N,MATCH($D1277,'Paramètres'!$M:$M,0))&amp;"",""))),0,IF($L1277="Débit",$K1277,IF($P1277=1,-$K1277,0))))</f>
        <v/>
      </c>
      <c r="R1277" s="6" t="str">
        <f>IF($K1277="","",IF($L1277="Crédit",$K1277,-$K1277))</f>
        <v/>
      </c>
      <c r="S1277" s="6" t="str">
        <f>IF($C1277="","",IFERROR(INDEX('Paramètres'!$H:$H,MATCH($C1277,'Paramètres'!$D:$D,0))&amp;"",""))</f>
        <v/>
      </c>
      <c r="T1277" s="6" t="str">
        <f>IF($K1277="","",IF($S1277="",0,IF(ISNUMBER(SEARCH("apport-exterieur",IFERROR(INDEX('Paramètres'!$N:$N,MATCH($D1277,'Paramètres'!$M:$M,0))&amp;"",""))),0,IF(OR(IFERROR(INDEX('Paramètres'!$I:$I,MATCH($C1277,'Paramètres'!$D:$D,0))&amp;"","")="Les deux",IFERROR(INDEX('Paramètres'!$I:$I,MATCH($C1277,'Paramètres'!$D:$D,0))&amp;"","")=IF($P1277=1,"Débit",$L1277)),-IF($P1277=1,-$K1277,$K1277),0))))</f>
        <v/>
      </c>
      <c r="U1277" s="6" t="str">
        <f>IF($K1277="","",IF(ISNUMBER(SEARCH("sortie-epargne",IFERROR(INDEX('Paramètres'!$N:$N,MATCH($D1277,'Paramètres'!$M:$M,0))&amp;"",""))),$K1277,0))</f>
        <v/>
      </c>
      <c r="V1277" s="6" t="str">
        <f>IF(AND($A1277&lt;&gt;"",$O1277=1,$L1277="Débit",N($Q1277)&gt;0,$A1277&gt;=Visualisation!$B$1,$A1277&lt;Visualisation!$D$1),MAX($V$1:V1276)+1,"")</f>
        <v/>
      </c>
    </row>
    <row r="1278" spans="1:22" x14ac:dyDescent="0.25">
      <c r="A1278" s="9"/>
      <c r="E1278" s="10"/>
      <c r="K1278" s="11" t="str">
        <f>IF($E1278="","",ROUND($E1278*IF(ISNA(MATCH($C1278,'Paramètres'!$D:$D,0)),1,IF(INDEX('Paramètres'!$J:$J,MATCH($C1278,'Paramètres'!$D:$D,0))="",1,INDEX('Paramètres'!$J:$J,MATCH($C1278,'Paramètres'!$D:$D,0)))),2))</f>
        <v/>
      </c>
      <c r="L1278" s="6" t="str">
        <f>IF($D1278="","",IF($F1278&lt;&gt;"",$F1278,IF(ISNA(MATCH($D1278,'Paramètres'!$M:$M,0)),"⚠ Type inconnu",IFERROR(INDEX('Paramètres'!$P:$P,MATCH($D1278,'Paramètres'!$M:$M,0))&amp;"",""))))</f>
        <v/>
      </c>
      <c r="M1278" s="6" t="str">
        <f>IF($D1278="","",IF(ISNA(MATCH($D1278,'Paramètres'!$M:$M,0)),"⚠ Type inconnu",IF($L1278="Crédit","",IFERROR(INDEX('Paramètres'!$O:$O,MATCH($D1278,'Paramètres'!$M:$M,0))&amp;"",""))))</f>
        <v/>
      </c>
      <c r="N1278" s="6" t="str">
        <f>IF($D1278="","",IFERROR(INDEX('Paramètres'!$Q:$Q,MATCH($D1278,'Paramètres'!$M:$M,0))&amp;"",""))</f>
        <v/>
      </c>
      <c r="O1278" s="6" t="str">
        <f>IF($A1278="","",IF(OR($J1278&lt;&gt;"x",$A1278&lt;=FinReleve),1,0))</f>
        <v/>
      </c>
      <c r="P1278" s="6" t="str">
        <f>IF($D1278="","",IF(AND($L1278="Crédit",OR(IFERROR(INDEX('Paramètres'!$O:$O,MATCH($D1278,'Paramètres'!$M:$M,0))&amp;"","")&lt;&gt;"",ISNUMBER(SEARCH("remboursement",IFERROR(INDEX('Paramètres'!$N:$N,MATCH($D1278,'Paramètres'!$M:$M,0))&amp;"",""))))),1,0))</f>
        <v/>
      </c>
      <c r="Q1278" s="6" t="str">
        <f>IF($K1278="","",IF(ISNUMBER(SEARCH("transfert-interne",IFERROR(INDEX('Paramètres'!$N:$N,MATCH($D1278,'Paramètres'!$M:$M,0))&amp;"",""))),0,IF($L1278="Débit",$K1278,IF($P1278=1,-$K1278,0))))</f>
        <v/>
      </c>
      <c r="R1278" s="6" t="str">
        <f>IF($K1278="","",IF($L1278="Crédit",$K1278,-$K1278))</f>
        <v/>
      </c>
      <c r="S1278" s="6" t="str">
        <f>IF($C1278="","",IFERROR(INDEX('Paramètres'!$H:$H,MATCH($C1278,'Paramètres'!$D:$D,0))&amp;"",""))</f>
        <v/>
      </c>
      <c r="T1278" s="6" t="str">
        <f>IF($K1278="","",IF($S1278="",0,IF(ISNUMBER(SEARCH("apport-exterieur",IFERROR(INDEX('Paramètres'!$N:$N,MATCH($D1278,'Paramètres'!$M:$M,0))&amp;"",""))),0,IF(OR(IFERROR(INDEX('Paramètres'!$I:$I,MATCH($C1278,'Paramètres'!$D:$D,0))&amp;"","")="Les deux",IFERROR(INDEX('Paramètres'!$I:$I,MATCH($C1278,'Paramètres'!$D:$D,0))&amp;"","")=IF($P1278=1,"Débit",$L1278)),-IF($P1278=1,-$K1278,$K1278),0))))</f>
        <v/>
      </c>
      <c r="U1278" s="6" t="str">
        <f>IF($K1278="","",IF(ISNUMBER(SEARCH("sortie-epargne",IFERROR(INDEX('Paramètres'!$N:$N,MATCH($D1278,'Paramètres'!$M:$M,0))&amp;"",""))),$K1278,0))</f>
        <v/>
      </c>
      <c r="V1278" s="6" t="str">
        <f>IF(AND($A1278&lt;&gt;"",$O1278=1,$L1278="Débit",N($Q1278)&gt;0,$A1278&gt;=Visualisation!$B$1,$A1278&lt;Visualisation!$D$1),MAX($V$1:V1277)+1,"")</f>
        <v/>
      </c>
    </row>
    <row r="1279" spans="1:22" x14ac:dyDescent="0.25">
      <c r="A1279" s="9"/>
      <c r="E1279" s="10"/>
      <c r="K1279" s="11" t="str">
        <f>IF($E1279="","",ROUND($E1279*IF(ISNA(MATCH($C1279,'Paramètres'!$D:$D,0)),1,IF(INDEX('Paramètres'!$J:$J,MATCH($C1279,'Paramètres'!$D:$D,0))="",1,INDEX('Paramètres'!$J:$J,MATCH($C1279,'Paramètres'!$D:$D,0)))),2))</f>
        <v/>
      </c>
      <c r="L1279" s="6" t="str">
        <f>IF($D1279="","",IF($F1279&lt;&gt;"",$F1279,IF(ISNA(MATCH($D1279,'Paramètres'!$M:$M,0)),"⚠ Type inconnu",IFERROR(INDEX('Paramètres'!$P:$P,MATCH($D1279,'Paramètres'!$M:$M,0))&amp;"",""))))</f>
        <v/>
      </c>
      <c r="M1279" s="6" t="str">
        <f>IF($D1279="","",IF(ISNA(MATCH($D1279,'Paramètres'!$M:$M,0)),"⚠ Type inconnu",IF($L1279="Crédit","",IFERROR(INDEX('Paramètres'!$O:$O,MATCH($D1279,'Paramètres'!$M:$M,0))&amp;"",""))))</f>
        <v/>
      </c>
      <c r="N1279" s="6" t="str">
        <f>IF($D1279="","",IFERROR(INDEX('Paramètres'!$Q:$Q,MATCH($D1279,'Paramètres'!$M:$M,0))&amp;"",""))</f>
        <v/>
      </c>
      <c r="O1279" s="6" t="str">
        <f>IF($A1279="","",IF(OR($J1279&lt;&gt;"x",$A1279&lt;=FinReleve),1,0))</f>
        <v/>
      </c>
      <c r="P1279" s="6" t="str">
        <f>IF($D1279="","",IF(AND($L1279="Crédit",OR(IFERROR(INDEX('Paramètres'!$O:$O,MATCH($D1279,'Paramètres'!$M:$M,0))&amp;"","")&lt;&gt;"",ISNUMBER(SEARCH("remboursement",IFERROR(INDEX('Paramètres'!$N:$N,MATCH($D1279,'Paramètres'!$M:$M,0))&amp;"",""))))),1,0))</f>
        <v/>
      </c>
      <c r="Q1279" s="6" t="str">
        <f>IF($K1279="","",IF(ISNUMBER(SEARCH("transfert-interne",IFERROR(INDEX('Paramètres'!$N:$N,MATCH($D1279,'Paramètres'!$M:$M,0))&amp;"",""))),0,IF($L1279="Débit",$K1279,IF($P1279=1,-$K1279,0))))</f>
        <v/>
      </c>
      <c r="R1279" s="6" t="str">
        <f>IF($K1279="","",IF($L1279="Crédit",$K1279,-$K1279))</f>
        <v/>
      </c>
      <c r="S1279" s="6" t="str">
        <f>IF($C1279="","",IFERROR(INDEX('Paramètres'!$H:$H,MATCH($C1279,'Paramètres'!$D:$D,0))&amp;"",""))</f>
        <v/>
      </c>
      <c r="T1279" s="6" t="str">
        <f>IF($K1279="","",IF($S1279="",0,IF(ISNUMBER(SEARCH("apport-exterieur",IFERROR(INDEX('Paramètres'!$N:$N,MATCH($D1279,'Paramètres'!$M:$M,0))&amp;"",""))),0,IF(OR(IFERROR(INDEX('Paramètres'!$I:$I,MATCH($C1279,'Paramètres'!$D:$D,0))&amp;"","")="Les deux",IFERROR(INDEX('Paramètres'!$I:$I,MATCH($C1279,'Paramètres'!$D:$D,0))&amp;"","")=IF($P1279=1,"Débit",$L1279)),-IF($P1279=1,-$K1279,$K1279),0))))</f>
        <v/>
      </c>
      <c r="U1279" s="6" t="str">
        <f>IF($K1279="","",IF(ISNUMBER(SEARCH("sortie-epargne",IFERROR(INDEX('Paramètres'!$N:$N,MATCH($D1279,'Paramètres'!$M:$M,0))&amp;"",""))),$K1279,0))</f>
        <v/>
      </c>
      <c r="V1279" s="6" t="str">
        <f>IF(AND($A1279&lt;&gt;"",$O1279=1,$L1279="Débit",N($Q1279)&gt;0,$A1279&gt;=Visualisation!$B$1,$A1279&lt;Visualisation!$D$1),MAX($V$1:V1278)+1,"")</f>
        <v/>
      </c>
    </row>
    <row r="1280" spans="1:22" x14ac:dyDescent="0.25">
      <c r="A1280" s="9"/>
      <c r="E1280" s="10"/>
      <c r="K1280" s="11" t="str">
        <f>IF($E1280="","",ROUND($E1280*IF(ISNA(MATCH($C1280,'Paramètres'!$D:$D,0)),1,IF(INDEX('Paramètres'!$J:$J,MATCH($C1280,'Paramètres'!$D:$D,0))="",1,INDEX('Paramètres'!$J:$J,MATCH($C1280,'Paramètres'!$D:$D,0)))),2))</f>
        <v/>
      </c>
      <c r="L1280" s="6" t="str">
        <f>IF($D1280="","",IF($F1280&lt;&gt;"",$F1280,IF(ISNA(MATCH($D1280,'Paramètres'!$M:$M,0)),"⚠ Type inconnu",IFERROR(INDEX('Paramètres'!$P:$P,MATCH($D1280,'Paramètres'!$M:$M,0))&amp;"",""))))</f>
        <v/>
      </c>
      <c r="M1280" s="6" t="str">
        <f>IF($D1280="","",IF(ISNA(MATCH($D1280,'Paramètres'!$M:$M,0)),"⚠ Type inconnu",IF($L1280="Crédit","",IFERROR(INDEX('Paramètres'!$O:$O,MATCH($D1280,'Paramètres'!$M:$M,0))&amp;"",""))))</f>
        <v/>
      </c>
      <c r="N1280" s="6" t="str">
        <f>IF($D1280="","",IFERROR(INDEX('Paramètres'!$Q:$Q,MATCH($D1280,'Paramètres'!$M:$M,0))&amp;"",""))</f>
        <v/>
      </c>
      <c r="O1280" s="6" t="str">
        <f>IF($A1280="","",IF(OR($J1280&lt;&gt;"x",$A1280&lt;=FinReleve),1,0))</f>
        <v/>
      </c>
      <c r="P1280" s="6" t="str">
        <f>IF($D1280="","",IF(AND($L1280="Crédit",OR(IFERROR(INDEX('Paramètres'!$O:$O,MATCH($D1280,'Paramètres'!$M:$M,0))&amp;"","")&lt;&gt;"",ISNUMBER(SEARCH("remboursement",IFERROR(INDEX('Paramètres'!$N:$N,MATCH($D1280,'Paramètres'!$M:$M,0))&amp;"",""))))),1,0))</f>
        <v/>
      </c>
      <c r="Q1280" s="6" t="str">
        <f>IF($K1280="","",IF(ISNUMBER(SEARCH("transfert-interne",IFERROR(INDEX('Paramètres'!$N:$N,MATCH($D1280,'Paramètres'!$M:$M,0))&amp;"",""))),0,IF($L1280="Débit",$K1280,IF($P1280=1,-$K1280,0))))</f>
        <v/>
      </c>
      <c r="R1280" s="6" t="str">
        <f>IF($K1280="","",IF($L1280="Crédit",$K1280,-$K1280))</f>
        <v/>
      </c>
      <c r="S1280" s="6" t="str">
        <f>IF($C1280="","",IFERROR(INDEX('Paramètres'!$H:$H,MATCH($C1280,'Paramètres'!$D:$D,0))&amp;"",""))</f>
        <v/>
      </c>
      <c r="T1280" s="6" t="str">
        <f>IF($K1280="","",IF($S1280="",0,IF(ISNUMBER(SEARCH("apport-exterieur",IFERROR(INDEX('Paramètres'!$N:$N,MATCH($D1280,'Paramètres'!$M:$M,0))&amp;"",""))),0,IF(OR(IFERROR(INDEX('Paramètres'!$I:$I,MATCH($C1280,'Paramètres'!$D:$D,0))&amp;"","")="Les deux",IFERROR(INDEX('Paramètres'!$I:$I,MATCH($C1280,'Paramètres'!$D:$D,0))&amp;"","")=IF($P1280=1,"Débit",$L1280)),-IF($P1280=1,-$K1280,$K1280),0))))</f>
        <v/>
      </c>
      <c r="U1280" s="6" t="str">
        <f>IF($K1280="","",IF(ISNUMBER(SEARCH("sortie-epargne",IFERROR(INDEX('Paramètres'!$N:$N,MATCH($D1280,'Paramètres'!$M:$M,0))&amp;"",""))),$K1280,0))</f>
        <v/>
      </c>
      <c r="V1280" s="6" t="str">
        <f>IF(AND($A1280&lt;&gt;"",$O1280=1,$L1280="Débit",N($Q1280)&gt;0,$A1280&gt;=Visualisation!$B$1,$A1280&lt;Visualisation!$D$1),MAX($V$1:V1279)+1,"")</f>
        <v/>
      </c>
    </row>
    <row r="1281" spans="1:22" x14ac:dyDescent="0.25">
      <c r="A1281" s="9"/>
      <c r="E1281" s="10"/>
      <c r="K1281" s="11" t="str">
        <f>IF($E1281="","",ROUND($E1281*IF(ISNA(MATCH($C1281,'Paramètres'!$D:$D,0)),1,IF(INDEX('Paramètres'!$J:$J,MATCH($C1281,'Paramètres'!$D:$D,0))="",1,INDEX('Paramètres'!$J:$J,MATCH($C1281,'Paramètres'!$D:$D,0)))),2))</f>
        <v/>
      </c>
      <c r="L1281" s="6" t="str">
        <f>IF($D1281="","",IF($F1281&lt;&gt;"",$F1281,IF(ISNA(MATCH($D1281,'Paramètres'!$M:$M,0)),"⚠ Type inconnu",IFERROR(INDEX('Paramètres'!$P:$P,MATCH($D1281,'Paramètres'!$M:$M,0))&amp;"",""))))</f>
        <v/>
      </c>
      <c r="M1281" s="6" t="str">
        <f>IF($D1281="","",IF(ISNA(MATCH($D1281,'Paramètres'!$M:$M,0)),"⚠ Type inconnu",IF($L1281="Crédit","",IFERROR(INDEX('Paramètres'!$O:$O,MATCH($D1281,'Paramètres'!$M:$M,0))&amp;"",""))))</f>
        <v/>
      </c>
      <c r="N1281" s="6" t="str">
        <f>IF($D1281="","",IFERROR(INDEX('Paramètres'!$Q:$Q,MATCH($D1281,'Paramètres'!$M:$M,0))&amp;"",""))</f>
        <v/>
      </c>
      <c r="O1281" s="6" t="str">
        <f>IF($A1281="","",IF(OR($J1281&lt;&gt;"x",$A1281&lt;=FinReleve),1,0))</f>
        <v/>
      </c>
      <c r="P1281" s="6" t="str">
        <f>IF($D1281="","",IF(AND($L1281="Crédit",OR(IFERROR(INDEX('Paramètres'!$O:$O,MATCH($D1281,'Paramètres'!$M:$M,0))&amp;"","")&lt;&gt;"",ISNUMBER(SEARCH("remboursement",IFERROR(INDEX('Paramètres'!$N:$N,MATCH($D1281,'Paramètres'!$M:$M,0))&amp;"",""))))),1,0))</f>
        <v/>
      </c>
      <c r="Q1281" s="6" t="str">
        <f>IF($K1281="","",IF(ISNUMBER(SEARCH("transfert-interne",IFERROR(INDEX('Paramètres'!$N:$N,MATCH($D1281,'Paramètres'!$M:$M,0))&amp;"",""))),0,IF($L1281="Débit",$K1281,IF($P1281=1,-$K1281,0))))</f>
        <v/>
      </c>
      <c r="R1281" s="6" t="str">
        <f>IF($K1281="","",IF($L1281="Crédit",$K1281,-$K1281))</f>
        <v/>
      </c>
      <c r="S1281" s="6" t="str">
        <f>IF($C1281="","",IFERROR(INDEX('Paramètres'!$H:$H,MATCH($C1281,'Paramètres'!$D:$D,0))&amp;"",""))</f>
        <v/>
      </c>
      <c r="T1281" s="6" t="str">
        <f>IF($K1281="","",IF($S1281="",0,IF(ISNUMBER(SEARCH("apport-exterieur",IFERROR(INDEX('Paramètres'!$N:$N,MATCH($D1281,'Paramètres'!$M:$M,0))&amp;"",""))),0,IF(OR(IFERROR(INDEX('Paramètres'!$I:$I,MATCH($C1281,'Paramètres'!$D:$D,0))&amp;"","")="Les deux",IFERROR(INDEX('Paramètres'!$I:$I,MATCH($C1281,'Paramètres'!$D:$D,0))&amp;"","")=IF($P1281=1,"Débit",$L1281)),-IF($P1281=1,-$K1281,$K1281),0))))</f>
        <v/>
      </c>
      <c r="U1281" s="6" t="str">
        <f>IF($K1281="","",IF(ISNUMBER(SEARCH("sortie-epargne",IFERROR(INDEX('Paramètres'!$N:$N,MATCH($D1281,'Paramètres'!$M:$M,0))&amp;"",""))),$K1281,0))</f>
        <v/>
      </c>
      <c r="V1281" s="6" t="str">
        <f>IF(AND($A1281&lt;&gt;"",$O1281=1,$L1281="Débit",N($Q1281)&gt;0,$A1281&gt;=Visualisation!$B$1,$A1281&lt;Visualisation!$D$1),MAX($V$1:V1280)+1,"")</f>
        <v/>
      </c>
    </row>
    <row r="1282" spans="1:22" x14ac:dyDescent="0.25">
      <c r="A1282" s="9"/>
      <c r="E1282" s="10"/>
      <c r="K1282" s="11" t="str">
        <f>IF($E1282="","",ROUND($E1282*IF(ISNA(MATCH($C1282,'Paramètres'!$D:$D,0)),1,IF(INDEX('Paramètres'!$J:$J,MATCH($C1282,'Paramètres'!$D:$D,0))="",1,INDEX('Paramètres'!$J:$J,MATCH($C1282,'Paramètres'!$D:$D,0)))),2))</f>
        <v/>
      </c>
      <c r="L1282" s="6" t="str">
        <f>IF($D1282="","",IF($F1282&lt;&gt;"",$F1282,IF(ISNA(MATCH($D1282,'Paramètres'!$M:$M,0)),"⚠ Type inconnu",IFERROR(INDEX('Paramètres'!$P:$P,MATCH($D1282,'Paramètres'!$M:$M,0))&amp;"",""))))</f>
        <v/>
      </c>
      <c r="M1282" s="6" t="str">
        <f>IF($D1282="","",IF(ISNA(MATCH($D1282,'Paramètres'!$M:$M,0)),"⚠ Type inconnu",IF($L1282="Crédit","",IFERROR(INDEX('Paramètres'!$O:$O,MATCH($D1282,'Paramètres'!$M:$M,0))&amp;"",""))))</f>
        <v/>
      </c>
      <c r="N1282" s="6" t="str">
        <f>IF($D1282="","",IFERROR(INDEX('Paramètres'!$Q:$Q,MATCH($D1282,'Paramètres'!$M:$M,0))&amp;"",""))</f>
        <v/>
      </c>
      <c r="O1282" s="6" t="str">
        <f>IF($A1282="","",IF(OR($J1282&lt;&gt;"x",$A1282&lt;=FinReleve),1,0))</f>
        <v/>
      </c>
      <c r="P1282" s="6" t="str">
        <f>IF($D1282="","",IF(AND($L1282="Crédit",OR(IFERROR(INDEX('Paramètres'!$O:$O,MATCH($D1282,'Paramètres'!$M:$M,0))&amp;"","")&lt;&gt;"",ISNUMBER(SEARCH("remboursement",IFERROR(INDEX('Paramètres'!$N:$N,MATCH($D1282,'Paramètres'!$M:$M,0))&amp;"",""))))),1,0))</f>
        <v/>
      </c>
      <c r="Q1282" s="6" t="str">
        <f>IF($K1282="","",IF(ISNUMBER(SEARCH("transfert-interne",IFERROR(INDEX('Paramètres'!$N:$N,MATCH($D1282,'Paramètres'!$M:$M,0))&amp;"",""))),0,IF($L1282="Débit",$K1282,IF($P1282=1,-$K1282,0))))</f>
        <v/>
      </c>
      <c r="R1282" s="6" t="str">
        <f>IF($K1282="","",IF($L1282="Crédit",$K1282,-$K1282))</f>
        <v/>
      </c>
      <c r="S1282" s="6" t="str">
        <f>IF($C1282="","",IFERROR(INDEX('Paramètres'!$H:$H,MATCH($C1282,'Paramètres'!$D:$D,0))&amp;"",""))</f>
        <v/>
      </c>
      <c r="T1282" s="6" t="str">
        <f>IF($K1282="","",IF($S1282="",0,IF(ISNUMBER(SEARCH("apport-exterieur",IFERROR(INDEX('Paramètres'!$N:$N,MATCH($D1282,'Paramètres'!$M:$M,0))&amp;"",""))),0,IF(OR(IFERROR(INDEX('Paramètres'!$I:$I,MATCH($C1282,'Paramètres'!$D:$D,0))&amp;"","")="Les deux",IFERROR(INDEX('Paramètres'!$I:$I,MATCH($C1282,'Paramètres'!$D:$D,0))&amp;"","")=IF($P1282=1,"Débit",$L1282)),-IF($P1282=1,-$K1282,$K1282),0))))</f>
        <v/>
      </c>
      <c r="U1282" s="6" t="str">
        <f>IF($K1282="","",IF(ISNUMBER(SEARCH("sortie-epargne",IFERROR(INDEX('Paramètres'!$N:$N,MATCH($D1282,'Paramètres'!$M:$M,0))&amp;"",""))),$K1282,0))</f>
        <v/>
      </c>
      <c r="V1282" s="6" t="str">
        <f>IF(AND($A1282&lt;&gt;"",$O1282=1,$L1282="Débit",N($Q1282)&gt;0,$A1282&gt;=Visualisation!$B$1,$A1282&lt;Visualisation!$D$1),MAX($V$1:V1281)+1,"")</f>
        <v/>
      </c>
    </row>
    <row r="1283" spans="1:22" x14ac:dyDescent="0.25">
      <c r="A1283" s="9"/>
      <c r="E1283" s="10"/>
      <c r="K1283" s="11" t="str">
        <f>IF($E1283="","",ROUND($E1283*IF(ISNA(MATCH($C1283,'Paramètres'!$D:$D,0)),1,IF(INDEX('Paramètres'!$J:$J,MATCH($C1283,'Paramètres'!$D:$D,0))="",1,INDEX('Paramètres'!$J:$J,MATCH($C1283,'Paramètres'!$D:$D,0)))),2))</f>
        <v/>
      </c>
      <c r="L1283" s="6" t="str">
        <f>IF($D1283="","",IF($F1283&lt;&gt;"",$F1283,IF(ISNA(MATCH($D1283,'Paramètres'!$M:$M,0)),"⚠ Type inconnu",IFERROR(INDEX('Paramètres'!$P:$P,MATCH($D1283,'Paramètres'!$M:$M,0))&amp;"",""))))</f>
        <v/>
      </c>
      <c r="M1283" s="6" t="str">
        <f>IF($D1283="","",IF(ISNA(MATCH($D1283,'Paramètres'!$M:$M,0)),"⚠ Type inconnu",IF($L1283="Crédit","",IFERROR(INDEX('Paramètres'!$O:$O,MATCH($D1283,'Paramètres'!$M:$M,0))&amp;"",""))))</f>
        <v/>
      </c>
      <c r="N1283" s="6" t="str">
        <f>IF($D1283="","",IFERROR(INDEX('Paramètres'!$Q:$Q,MATCH($D1283,'Paramètres'!$M:$M,0))&amp;"",""))</f>
        <v/>
      </c>
      <c r="O1283" s="6" t="str">
        <f>IF($A1283="","",IF(OR($J1283&lt;&gt;"x",$A1283&lt;=FinReleve),1,0))</f>
        <v/>
      </c>
      <c r="P1283" s="6" t="str">
        <f>IF($D1283="","",IF(AND($L1283="Crédit",OR(IFERROR(INDEX('Paramètres'!$O:$O,MATCH($D1283,'Paramètres'!$M:$M,0))&amp;"","")&lt;&gt;"",ISNUMBER(SEARCH("remboursement",IFERROR(INDEX('Paramètres'!$N:$N,MATCH($D1283,'Paramètres'!$M:$M,0))&amp;"",""))))),1,0))</f>
        <v/>
      </c>
      <c r="Q1283" s="6" t="str">
        <f>IF($K1283="","",IF(ISNUMBER(SEARCH("transfert-interne",IFERROR(INDEX('Paramètres'!$N:$N,MATCH($D1283,'Paramètres'!$M:$M,0))&amp;"",""))),0,IF($L1283="Débit",$K1283,IF($P1283=1,-$K1283,0))))</f>
        <v/>
      </c>
      <c r="R1283" s="6" t="str">
        <f>IF($K1283="","",IF($L1283="Crédit",$K1283,-$K1283))</f>
        <v/>
      </c>
      <c r="S1283" s="6" t="str">
        <f>IF($C1283="","",IFERROR(INDEX('Paramètres'!$H:$H,MATCH($C1283,'Paramètres'!$D:$D,0))&amp;"",""))</f>
        <v/>
      </c>
      <c r="T1283" s="6" t="str">
        <f>IF($K1283="","",IF($S1283="",0,IF(ISNUMBER(SEARCH("apport-exterieur",IFERROR(INDEX('Paramètres'!$N:$N,MATCH($D1283,'Paramètres'!$M:$M,0))&amp;"",""))),0,IF(OR(IFERROR(INDEX('Paramètres'!$I:$I,MATCH($C1283,'Paramètres'!$D:$D,0))&amp;"","")="Les deux",IFERROR(INDEX('Paramètres'!$I:$I,MATCH($C1283,'Paramètres'!$D:$D,0))&amp;"","")=IF($P1283=1,"Débit",$L1283)),-IF($P1283=1,-$K1283,$K1283),0))))</f>
        <v/>
      </c>
      <c r="U1283" s="6" t="str">
        <f>IF($K1283="","",IF(ISNUMBER(SEARCH("sortie-epargne",IFERROR(INDEX('Paramètres'!$N:$N,MATCH($D1283,'Paramètres'!$M:$M,0))&amp;"",""))),$K1283,0))</f>
        <v/>
      </c>
      <c r="V1283" s="6" t="str">
        <f>IF(AND($A1283&lt;&gt;"",$O1283=1,$L1283="Débit",N($Q1283)&gt;0,$A1283&gt;=Visualisation!$B$1,$A1283&lt;Visualisation!$D$1),MAX($V$1:V1282)+1,"")</f>
        <v/>
      </c>
    </row>
    <row r="1284" spans="1:22" x14ac:dyDescent="0.25">
      <c r="A1284" s="9"/>
      <c r="E1284" s="10"/>
      <c r="K1284" s="11" t="str">
        <f>IF($E1284="","",ROUND($E1284*IF(ISNA(MATCH($C1284,'Paramètres'!$D:$D,0)),1,IF(INDEX('Paramètres'!$J:$J,MATCH($C1284,'Paramètres'!$D:$D,0))="",1,INDEX('Paramètres'!$J:$J,MATCH($C1284,'Paramètres'!$D:$D,0)))),2))</f>
        <v/>
      </c>
      <c r="L1284" s="6" t="str">
        <f>IF($D1284="","",IF($F1284&lt;&gt;"",$F1284,IF(ISNA(MATCH($D1284,'Paramètres'!$M:$M,0)),"⚠ Type inconnu",IFERROR(INDEX('Paramètres'!$P:$P,MATCH($D1284,'Paramètres'!$M:$M,0))&amp;"",""))))</f>
        <v/>
      </c>
      <c r="M1284" s="6" t="str">
        <f>IF($D1284="","",IF(ISNA(MATCH($D1284,'Paramètres'!$M:$M,0)),"⚠ Type inconnu",IF($L1284="Crédit","",IFERROR(INDEX('Paramètres'!$O:$O,MATCH($D1284,'Paramètres'!$M:$M,0))&amp;"",""))))</f>
        <v/>
      </c>
      <c r="N1284" s="6" t="str">
        <f>IF($D1284="","",IFERROR(INDEX('Paramètres'!$Q:$Q,MATCH($D1284,'Paramètres'!$M:$M,0))&amp;"",""))</f>
        <v/>
      </c>
      <c r="O1284" s="6" t="str">
        <f>IF($A1284="","",IF(OR($J1284&lt;&gt;"x",$A1284&lt;=FinReleve),1,0))</f>
        <v/>
      </c>
      <c r="P1284" s="6" t="str">
        <f>IF($D1284="","",IF(AND($L1284="Crédit",OR(IFERROR(INDEX('Paramètres'!$O:$O,MATCH($D1284,'Paramètres'!$M:$M,0))&amp;"","")&lt;&gt;"",ISNUMBER(SEARCH("remboursement",IFERROR(INDEX('Paramètres'!$N:$N,MATCH($D1284,'Paramètres'!$M:$M,0))&amp;"",""))))),1,0))</f>
        <v/>
      </c>
      <c r="Q1284" s="6" t="str">
        <f>IF($K1284="","",IF(ISNUMBER(SEARCH("transfert-interne",IFERROR(INDEX('Paramètres'!$N:$N,MATCH($D1284,'Paramètres'!$M:$M,0))&amp;"",""))),0,IF($L1284="Débit",$K1284,IF($P1284=1,-$K1284,0))))</f>
        <v/>
      </c>
      <c r="R1284" s="6" t="str">
        <f>IF($K1284="","",IF($L1284="Crédit",$K1284,-$K1284))</f>
        <v/>
      </c>
      <c r="S1284" s="6" t="str">
        <f>IF($C1284="","",IFERROR(INDEX('Paramètres'!$H:$H,MATCH($C1284,'Paramètres'!$D:$D,0))&amp;"",""))</f>
        <v/>
      </c>
      <c r="T1284" s="6" t="str">
        <f>IF($K1284="","",IF($S1284="",0,IF(ISNUMBER(SEARCH("apport-exterieur",IFERROR(INDEX('Paramètres'!$N:$N,MATCH($D1284,'Paramètres'!$M:$M,0))&amp;"",""))),0,IF(OR(IFERROR(INDEX('Paramètres'!$I:$I,MATCH($C1284,'Paramètres'!$D:$D,0))&amp;"","")="Les deux",IFERROR(INDEX('Paramètres'!$I:$I,MATCH($C1284,'Paramètres'!$D:$D,0))&amp;"","")=IF($P1284=1,"Débit",$L1284)),-IF($P1284=1,-$K1284,$K1284),0))))</f>
        <v/>
      </c>
      <c r="U1284" s="6" t="str">
        <f>IF($K1284="","",IF(ISNUMBER(SEARCH("sortie-epargne",IFERROR(INDEX('Paramètres'!$N:$N,MATCH($D1284,'Paramètres'!$M:$M,0))&amp;"",""))),$K1284,0))</f>
        <v/>
      </c>
      <c r="V1284" s="6" t="str">
        <f>IF(AND($A1284&lt;&gt;"",$O1284=1,$L1284="Débit",N($Q1284)&gt;0,$A1284&gt;=Visualisation!$B$1,$A1284&lt;Visualisation!$D$1),MAX($V$1:V1283)+1,"")</f>
        <v/>
      </c>
    </row>
    <row r="1285" spans="1:22" x14ac:dyDescent="0.25">
      <c r="A1285" s="9"/>
      <c r="E1285" s="10"/>
      <c r="K1285" s="11" t="str">
        <f>IF($E1285="","",ROUND($E1285*IF(ISNA(MATCH($C1285,'Paramètres'!$D:$D,0)),1,IF(INDEX('Paramètres'!$J:$J,MATCH($C1285,'Paramètres'!$D:$D,0))="",1,INDEX('Paramètres'!$J:$J,MATCH($C1285,'Paramètres'!$D:$D,0)))),2))</f>
        <v/>
      </c>
      <c r="L1285" s="6" t="str">
        <f>IF($D1285="","",IF($F1285&lt;&gt;"",$F1285,IF(ISNA(MATCH($D1285,'Paramètres'!$M:$M,0)),"⚠ Type inconnu",IFERROR(INDEX('Paramètres'!$P:$P,MATCH($D1285,'Paramètres'!$M:$M,0))&amp;"",""))))</f>
        <v/>
      </c>
      <c r="M1285" s="6" t="str">
        <f>IF($D1285="","",IF(ISNA(MATCH($D1285,'Paramètres'!$M:$M,0)),"⚠ Type inconnu",IF($L1285="Crédit","",IFERROR(INDEX('Paramètres'!$O:$O,MATCH($D1285,'Paramètres'!$M:$M,0))&amp;"",""))))</f>
        <v/>
      </c>
      <c r="N1285" s="6" t="str">
        <f>IF($D1285="","",IFERROR(INDEX('Paramètres'!$Q:$Q,MATCH($D1285,'Paramètres'!$M:$M,0))&amp;"",""))</f>
        <v/>
      </c>
      <c r="O1285" s="6" t="str">
        <f>IF($A1285="","",IF(OR($J1285&lt;&gt;"x",$A1285&lt;=FinReleve),1,0))</f>
        <v/>
      </c>
      <c r="P1285" s="6" t="str">
        <f>IF($D1285="","",IF(AND($L1285="Crédit",OR(IFERROR(INDEX('Paramètres'!$O:$O,MATCH($D1285,'Paramètres'!$M:$M,0))&amp;"","")&lt;&gt;"",ISNUMBER(SEARCH("remboursement",IFERROR(INDEX('Paramètres'!$N:$N,MATCH($D1285,'Paramètres'!$M:$M,0))&amp;"",""))))),1,0))</f>
        <v/>
      </c>
      <c r="Q1285" s="6" t="str">
        <f>IF($K1285="","",IF(ISNUMBER(SEARCH("transfert-interne",IFERROR(INDEX('Paramètres'!$N:$N,MATCH($D1285,'Paramètres'!$M:$M,0))&amp;"",""))),0,IF($L1285="Débit",$K1285,IF($P1285=1,-$K1285,0))))</f>
        <v/>
      </c>
      <c r="R1285" s="6" t="str">
        <f>IF($K1285="","",IF($L1285="Crédit",$K1285,-$K1285))</f>
        <v/>
      </c>
      <c r="S1285" s="6" t="str">
        <f>IF($C1285="","",IFERROR(INDEX('Paramètres'!$H:$H,MATCH($C1285,'Paramètres'!$D:$D,0))&amp;"",""))</f>
        <v/>
      </c>
      <c r="T1285" s="6" t="str">
        <f>IF($K1285="","",IF($S1285="",0,IF(ISNUMBER(SEARCH("apport-exterieur",IFERROR(INDEX('Paramètres'!$N:$N,MATCH($D1285,'Paramètres'!$M:$M,0))&amp;"",""))),0,IF(OR(IFERROR(INDEX('Paramètres'!$I:$I,MATCH($C1285,'Paramètres'!$D:$D,0))&amp;"","")="Les deux",IFERROR(INDEX('Paramètres'!$I:$I,MATCH($C1285,'Paramètres'!$D:$D,0))&amp;"","")=IF($P1285=1,"Débit",$L1285)),-IF($P1285=1,-$K1285,$K1285),0))))</f>
        <v/>
      </c>
      <c r="U1285" s="6" t="str">
        <f>IF($K1285="","",IF(ISNUMBER(SEARCH("sortie-epargne",IFERROR(INDEX('Paramètres'!$N:$N,MATCH($D1285,'Paramètres'!$M:$M,0))&amp;"",""))),$K1285,0))</f>
        <v/>
      </c>
      <c r="V1285" s="6" t="str">
        <f>IF(AND($A1285&lt;&gt;"",$O1285=1,$L1285="Débit",N($Q1285)&gt;0,$A1285&gt;=Visualisation!$B$1,$A1285&lt;Visualisation!$D$1),MAX($V$1:V1284)+1,"")</f>
        <v/>
      </c>
    </row>
    <row r="1286" spans="1:22" x14ac:dyDescent="0.25">
      <c r="A1286" s="9"/>
      <c r="E1286" s="10"/>
      <c r="K1286" s="11" t="str">
        <f>IF($E1286="","",ROUND($E1286*IF(ISNA(MATCH($C1286,'Paramètres'!$D:$D,0)),1,IF(INDEX('Paramètres'!$J:$J,MATCH($C1286,'Paramètres'!$D:$D,0))="",1,INDEX('Paramètres'!$J:$J,MATCH($C1286,'Paramètres'!$D:$D,0)))),2))</f>
        <v/>
      </c>
      <c r="L1286" s="6" t="str">
        <f>IF($D1286="","",IF($F1286&lt;&gt;"",$F1286,IF(ISNA(MATCH($D1286,'Paramètres'!$M:$M,0)),"⚠ Type inconnu",IFERROR(INDEX('Paramètres'!$P:$P,MATCH($D1286,'Paramètres'!$M:$M,0))&amp;"",""))))</f>
        <v/>
      </c>
      <c r="M1286" s="6" t="str">
        <f>IF($D1286="","",IF(ISNA(MATCH($D1286,'Paramètres'!$M:$M,0)),"⚠ Type inconnu",IF($L1286="Crédit","",IFERROR(INDEX('Paramètres'!$O:$O,MATCH($D1286,'Paramètres'!$M:$M,0))&amp;"",""))))</f>
        <v/>
      </c>
      <c r="N1286" s="6" t="str">
        <f>IF($D1286="","",IFERROR(INDEX('Paramètres'!$Q:$Q,MATCH($D1286,'Paramètres'!$M:$M,0))&amp;"",""))</f>
        <v/>
      </c>
      <c r="O1286" s="6" t="str">
        <f>IF($A1286="","",IF(OR($J1286&lt;&gt;"x",$A1286&lt;=FinReleve),1,0))</f>
        <v/>
      </c>
      <c r="P1286" s="6" t="str">
        <f>IF($D1286="","",IF(AND($L1286="Crédit",OR(IFERROR(INDEX('Paramètres'!$O:$O,MATCH($D1286,'Paramètres'!$M:$M,0))&amp;"","")&lt;&gt;"",ISNUMBER(SEARCH("remboursement",IFERROR(INDEX('Paramètres'!$N:$N,MATCH($D1286,'Paramètres'!$M:$M,0))&amp;"",""))))),1,0))</f>
        <v/>
      </c>
      <c r="Q1286" s="6" t="str">
        <f>IF($K1286="","",IF(ISNUMBER(SEARCH("transfert-interne",IFERROR(INDEX('Paramètres'!$N:$N,MATCH($D1286,'Paramètres'!$M:$M,0))&amp;"",""))),0,IF($L1286="Débit",$K1286,IF($P1286=1,-$K1286,0))))</f>
        <v/>
      </c>
      <c r="R1286" s="6" t="str">
        <f>IF($K1286="","",IF($L1286="Crédit",$K1286,-$K1286))</f>
        <v/>
      </c>
      <c r="S1286" s="6" t="str">
        <f>IF($C1286="","",IFERROR(INDEX('Paramètres'!$H:$H,MATCH($C1286,'Paramètres'!$D:$D,0))&amp;"",""))</f>
        <v/>
      </c>
      <c r="T1286" s="6" t="str">
        <f>IF($K1286="","",IF($S1286="",0,IF(ISNUMBER(SEARCH("apport-exterieur",IFERROR(INDEX('Paramètres'!$N:$N,MATCH($D1286,'Paramètres'!$M:$M,0))&amp;"",""))),0,IF(OR(IFERROR(INDEX('Paramètres'!$I:$I,MATCH($C1286,'Paramètres'!$D:$D,0))&amp;"","")="Les deux",IFERROR(INDEX('Paramètres'!$I:$I,MATCH($C1286,'Paramètres'!$D:$D,0))&amp;"","")=IF($P1286=1,"Débit",$L1286)),-IF($P1286=1,-$K1286,$K1286),0))))</f>
        <v/>
      </c>
      <c r="U1286" s="6" t="str">
        <f>IF($K1286="","",IF(ISNUMBER(SEARCH("sortie-epargne",IFERROR(INDEX('Paramètres'!$N:$N,MATCH($D1286,'Paramètres'!$M:$M,0))&amp;"",""))),$K1286,0))</f>
        <v/>
      </c>
      <c r="V1286" s="6" t="str">
        <f>IF(AND($A1286&lt;&gt;"",$O1286=1,$L1286="Débit",N($Q1286)&gt;0,$A1286&gt;=Visualisation!$B$1,$A1286&lt;Visualisation!$D$1),MAX($V$1:V1285)+1,"")</f>
        <v/>
      </c>
    </row>
    <row r="1287" spans="1:22" x14ac:dyDescent="0.25">
      <c r="A1287" s="9"/>
      <c r="E1287" s="10"/>
      <c r="K1287" s="11" t="str">
        <f>IF($E1287="","",ROUND($E1287*IF(ISNA(MATCH($C1287,'Paramètres'!$D:$D,0)),1,IF(INDEX('Paramètres'!$J:$J,MATCH($C1287,'Paramètres'!$D:$D,0))="",1,INDEX('Paramètres'!$J:$J,MATCH($C1287,'Paramètres'!$D:$D,0)))),2))</f>
        <v/>
      </c>
      <c r="L1287" s="6" t="str">
        <f>IF($D1287="","",IF($F1287&lt;&gt;"",$F1287,IF(ISNA(MATCH($D1287,'Paramètres'!$M:$M,0)),"⚠ Type inconnu",IFERROR(INDEX('Paramètres'!$P:$P,MATCH($D1287,'Paramètres'!$M:$M,0))&amp;"",""))))</f>
        <v/>
      </c>
      <c r="M1287" s="6" t="str">
        <f>IF($D1287="","",IF(ISNA(MATCH($D1287,'Paramètres'!$M:$M,0)),"⚠ Type inconnu",IF($L1287="Crédit","",IFERROR(INDEX('Paramètres'!$O:$O,MATCH($D1287,'Paramètres'!$M:$M,0))&amp;"",""))))</f>
        <v/>
      </c>
      <c r="N1287" s="6" t="str">
        <f>IF($D1287="","",IFERROR(INDEX('Paramètres'!$Q:$Q,MATCH($D1287,'Paramètres'!$M:$M,0))&amp;"",""))</f>
        <v/>
      </c>
      <c r="O1287" s="6" t="str">
        <f>IF($A1287="","",IF(OR($J1287&lt;&gt;"x",$A1287&lt;=FinReleve),1,0))</f>
        <v/>
      </c>
      <c r="P1287" s="6" t="str">
        <f>IF($D1287="","",IF(AND($L1287="Crédit",OR(IFERROR(INDEX('Paramètres'!$O:$O,MATCH($D1287,'Paramètres'!$M:$M,0))&amp;"","")&lt;&gt;"",ISNUMBER(SEARCH("remboursement",IFERROR(INDEX('Paramètres'!$N:$N,MATCH($D1287,'Paramètres'!$M:$M,0))&amp;"",""))))),1,0))</f>
        <v/>
      </c>
      <c r="Q1287" s="6" t="str">
        <f>IF($K1287="","",IF(ISNUMBER(SEARCH("transfert-interne",IFERROR(INDEX('Paramètres'!$N:$N,MATCH($D1287,'Paramètres'!$M:$M,0))&amp;"",""))),0,IF($L1287="Débit",$K1287,IF($P1287=1,-$K1287,0))))</f>
        <v/>
      </c>
      <c r="R1287" s="6" t="str">
        <f>IF($K1287="","",IF($L1287="Crédit",$K1287,-$K1287))</f>
        <v/>
      </c>
      <c r="S1287" s="6" t="str">
        <f>IF($C1287="","",IFERROR(INDEX('Paramètres'!$H:$H,MATCH($C1287,'Paramètres'!$D:$D,0))&amp;"",""))</f>
        <v/>
      </c>
      <c r="T1287" s="6" t="str">
        <f>IF($K1287="","",IF($S1287="",0,IF(ISNUMBER(SEARCH("apport-exterieur",IFERROR(INDEX('Paramètres'!$N:$N,MATCH($D1287,'Paramètres'!$M:$M,0))&amp;"",""))),0,IF(OR(IFERROR(INDEX('Paramètres'!$I:$I,MATCH($C1287,'Paramètres'!$D:$D,0))&amp;"","")="Les deux",IFERROR(INDEX('Paramètres'!$I:$I,MATCH($C1287,'Paramètres'!$D:$D,0))&amp;"","")=IF($P1287=1,"Débit",$L1287)),-IF($P1287=1,-$K1287,$K1287),0))))</f>
        <v/>
      </c>
      <c r="U1287" s="6" t="str">
        <f>IF($K1287="","",IF(ISNUMBER(SEARCH("sortie-epargne",IFERROR(INDEX('Paramètres'!$N:$N,MATCH($D1287,'Paramètres'!$M:$M,0))&amp;"",""))),$K1287,0))</f>
        <v/>
      </c>
      <c r="V1287" s="6" t="str">
        <f>IF(AND($A1287&lt;&gt;"",$O1287=1,$L1287="Débit",N($Q1287)&gt;0,$A1287&gt;=Visualisation!$B$1,$A1287&lt;Visualisation!$D$1),MAX($V$1:V1286)+1,"")</f>
        <v/>
      </c>
    </row>
    <row r="1288" spans="1:22" x14ac:dyDescent="0.25">
      <c r="A1288" s="9"/>
      <c r="E1288" s="10"/>
      <c r="K1288" s="11" t="str">
        <f>IF($E1288="","",ROUND($E1288*IF(ISNA(MATCH($C1288,'Paramètres'!$D:$D,0)),1,IF(INDEX('Paramètres'!$J:$J,MATCH($C1288,'Paramètres'!$D:$D,0))="",1,INDEX('Paramètres'!$J:$J,MATCH($C1288,'Paramètres'!$D:$D,0)))),2))</f>
        <v/>
      </c>
      <c r="L1288" s="6" t="str">
        <f>IF($D1288="","",IF($F1288&lt;&gt;"",$F1288,IF(ISNA(MATCH($D1288,'Paramètres'!$M:$M,0)),"⚠ Type inconnu",IFERROR(INDEX('Paramètres'!$P:$P,MATCH($D1288,'Paramètres'!$M:$M,0))&amp;"",""))))</f>
        <v/>
      </c>
      <c r="M1288" s="6" t="str">
        <f>IF($D1288="","",IF(ISNA(MATCH($D1288,'Paramètres'!$M:$M,0)),"⚠ Type inconnu",IF($L1288="Crédit","",IFERROR(INDEX('Paramètres'!$O:$O,MATCH($D1288,'Paramètres'!$M:$M,0))&amp;"",""))))</f>
        <v/>
      </c>
      <c r="N1288" s="6" t="str">
        <f>IF($D1288="","",IFERROR(INDEX('Paramètres'!$Q:$Q,MATCH($D1288,'Paramètres'!$M:$M,0))&amp;"",""))</f>
        <v/>
      </c>
      <c r="O1288" s="6" t="str">
        <f>IF($A1288="","",IF(OR($J1288&lt;&gt;"x",$A1288&lt;=FinReleve),1,0))</f>
        <v/>
      </c>
      <c r="P1288" s="6" t="str">
        <f>IF($D1288="","",IF(AND($L1288="Crédit",OR(IFERROR(INDEX('Paramètres'!$O:$O,MATCH($D1288,'Paramètres'!$M:$M,0))&amp;"","")&lt;&gt;"",ISNUMBER(SEARCH("remboursement",IFERROR(INDEX('Paramètres'!$N:$N,MATCH($D1288,'Paramètres'!$M:$M,0))&amp;"",""))))),1,0))</f>
        <v/>
      </c>
      <c r="Q1288" s="6" t="str">
        <f>IF($K1288="","",IF(ISNUMBER(SEARCH("transfert-interne",IFERROR(INDEX('Paramètres'!$N:$N,MATCH($D1288,'Paramètres'!$M:$M,0))&amp;"",""))),0,IF($L1288="Débit",$K1288,IF($P1288=1,-$K1288,0))))</f>
        <v/>
      </c>
      <c r="R1288" s="6" t="str">
        <f>IF($K1288="","",IF($L1288="Crédit",$K1288,-$K1288))</f>
        <v/>
      </c>
      <c r="S1288" s="6" t="str">
        <f>IF($C1288="","",IFERROR(INDEX('Paramètres'!$H:$H,MATCH($C1288,'Paramètres'!$D:$D,0))&amp;"",""))</f>
        <v/>
      </c>
      <c r="T1288" s="6" t="str">
        <f>IF($K1288="","",IF($S1288="",0,IF(ISNUMBER(SEARCH("apport-exterieur",IFERROR(INDEX('Paramètres'!$N:$N,MATCH($D1288,'Paramètres'!$M:$M,0))&amp;"",""))),0,IF(OR(IFERROR(INDEX('Paramètres'!$I:$I,MATCH($C1288,'Paramètres'!$D:$D,0))&amp;"","")="Les deux",IFERROR(INDEX('Paramètres'!$I:$I,MATCH($C1288,'Paramètres'!$D:$D,0))&amp;"","")=IF($P1288=1,"Débit",$L1288)),-IF($P1288=1,-$K1288,$K1288),0))))</f>
        <v/>
      </c>
      <c r="U1288" s="6" t="str">
        <f>IF($K1288="","",IF(ISNUMBER(SEARCH("sortie-epargne",IFERROR(INDEX('Paramètres'!$N:$N,MATCH($D1288,'Paramètres'!$M:$M,0))&amp;"",""))),$K1288,0))</f>
        <v/>
      </c>
      <c r="V1288" s="6" t="str">
        <f>IF(AND($A1288&lt;&gt;"",$O1288=1,$L1288="Débit",N($Q1288)&gt;0,$A1288&gt;=Visualisation!$B$1,$A1288&lt;Visualisation!$D$1),MAX($V$1:V1287)+1,"")</f>
        <v/>
      </c>
    </row>
    <row r="1289" spans="1:22" x14ac:dyDescent="0.25">
      <c r="A1289" s="9"/>
      <c r="E1289" s="10"/>
      <c r="K1289" s="11" t="str">
        <f>IF($E1289="","",ROUND($E1289*IF(ISNA(MATCH($C1289,'Paramètres'!$D:$D,0)),1,IF(INDEX('Paramètres'!$J:$J,MATCH($C1289,'Paramètres'!$D:$D,0))="",1,INDEX('Paramètres'!$J:$J,MATCH($C1289,'Paramètres'!$D:$D,0)))),2))</f>
        <v/>
      </c>
      <c r="L1289" s="6" t="str">
        <f>IF($D1289="","",IF($F1289&lt;&gt;"",$F1289,IF(ISNA(MATCH($D1289,'Paramètres'!$M:$M,0)),"⚠ Type inconnu",IFERROR(INDEX('Paramètres'!$P:$P,MATCH($D1289,'Paramètres'!$M:$M,0))&amp;"",""))))</f>
        <v/>
      </c>
      <c r="M1289" s="6" t="str">
        <f>IF($D1289="","",IF(ISNA(MATCH($D1289,'Paramètres'!$M:$M,0)),"⚠ Type inconnu",IF($L1289="Crédit","",IFERROR(INDEX('Paramètres'!$O:$O,MATCH($D1289,'Paramètres'!$M:$M,0))&amp;"",""))))</f>
        <v/>
      </c>
      <c r="N1289" s="6" t="str">
        <f>IF($D1289="","",IFERROR(INDEX('Paramètres'!$Q:$Q,MATCH($D1289,'Paramètres'!$M:$M,0))&amp;"",""))</f>
        <v/>
      </c>
      <c r="O1289" s="6" t="str">
        <f>IF($A1289="","",IF(OR($J1289&lt;&gt;"x",$A1289&lt;=FinReleve),1,0))</f>
        <v/>
      </c>
      <c r="P1289" s="6" t="str">
        <f>IF($D1289="","",IF(AND($L1289="Crédit",OR(IFERROR(INDEX('Paramètres'!$O:$O,MATCH($D1289,'Paramètres'!$M:$M,0))&amp;"","")&lt;&gt;"",ISNUMBER(SEARCH("remboursement",IFERROR(INDEX('Paramètres'!$N:$N,MATCH($D1289,'Paramètres'!$M:$M,0))&amp;"",""))))),1,0))</f>
        <v/>
      </c>
      <c r="Q1289" s="6" t="str">
        <f>IF($K1289="","",IF(ISNUMBER(SEARCH("transfert-interne",IFERROR(INDEX('Paramètres'!$N:$N,MATCH($D1289,'Paramètres'!$M:$M,0))&amp;"",""))),0,IF($L1289="Débit",$K1289,IF($P1289=1,-$K1289,0))))</f>
        <v/>
      </c>
      <c r="R1289" s="6" t="str">
        <f>IF($K1289="","",IF($L1289="Crédit",$K1289,-$K1289))</f>
        <v/>
      </c>
      <c r="S1289" s="6" t="str">
        <f>IF($C1289="","",IFERROR(INDEX('Paramètres'!$H:$H,MATCH($C1289,'Paramètres'!$D:$D,0))&amp;"",""))</f>
        <v/>
      </c>
      <c r="T1289" s="6" t="str">
        <f>IF($K1289="","",IF($S1289="",0,IF(ISNUMBER(SEARCH("apport-exterieur",IFERROR(INDEX('Paramètres'!$N:$N,MATCH($D1289,'Paramètres'!$M:$M,0))&amp;"",""))),0,IF(OR(IFERROR(INDEX('Paramètres'!$I:$I,MATCH($C1289,'Paramètres'!$D:$D,0))&amp;"","")="Les deux",IFERROR(INDEX('Paramètres'!$I:$I,MATCH($C1289,'Paramètres'!$D:$D,0))&amp;"","")=IF($P1289=1,"Débit",$L1289)),-IF($P1289=1,-$K1289,$K1289),0))))</f>
        <v/>
      </c>
      <c r="U1289" s="6" t="str">
        <f>IF($K1289="","",IF(ISNUMBER(SEARCH("sortie-epargne",IFERROR(INDEX('Paramètres'!$N:$N,MATCH($D1289,'Paramètres'!$M:$M,0))&amp;"",""))),$K1289,0))</f>
        <v/>
      </c>
      <c r="V1289" s="6" t="str">
        <f>IF(AND($A1289&lt;&gt;"",$O1289=1,$L1289="Débit",N($Q1289)&gt;0,$A1289&gt;=Visualisation!$B$1,$A1289&lt;Visualisation!$D$1),MAX($V$1:V1288)+1,"")</f>
        <v/>
      </c>
    </row>
    <row r="1290" spans="1:22" x14ac:dyDescent="0.25">
      <c r="A1290" s="9"/>
      <c r="E1290" s="10"/>
      <c r="K1290" s="11" t="str">
        <f>IF($E1290="","",ROUND($E1290*IF(ISNA(MATCH($C1290,'Paramètres'!$D:$D,0)),1,IF(INDEX('Paramètres'!$J:$J,MATCH($C1290,'Paramètres'!$D:$D,0))="",1,INDEX('Paramètres'!$J:$J,MATCH($C1290,'Paramètres'!$D:$D,0)))),2))</f>
        <v/>
      </c>
      <c r="L1290" s="6" t="str">
        <f>IF($D1290="","",IF($F1290&lt;&gt;"",$F1290,IF(ISNA(MATCH($D1290,'Paramètres'!$M:$M,0)),"⚠ Type inconnu",IFERROR(INDEX('Paramètres'!$P:$P,MATCH($D1290,'Paramètres'!$M:$M,0))&amp;"",""))))</f>
        <v/>
      </c>
      <c r="M1290" s="6" t="str">
        <f>IF($D1290="","",IF(ISNA(MATCH($D1290,'Paramètres'!$M:$M,0)),"⚠ Type inconnu",IF($L1290="Crédit","",IFERROR(INDEX('Paramètres'!$O:$O,MATCH($D1290,'Paramètres'!$M:$M,0))&amp;"",""))))</f>
        <v/>
      </c>
      <c r="N1290" s="6" t="str">
        <f>IF($D1290="","",IFERROR(INDEX('Paramètres'!$Q:$Q,MATCH($D1290,'Paramètres'!$M:$M,0))&amp;"",""))</f>
        <v/>
      </c>
      <c r="O1290" s="6" t="str">
        <f>IF($A1290="","",IF(OR($J1290&lt;&gt;"x",$A1290&lt;=FinReleve),1,0))</f>
        <v/>
      </c>
      <c r="P1290" s="6" t="str">
        <f>IF($D1290="","",IF(AND($L1290="Crédit",OR(IFERROR(INDEX('Paramètres'!$O:$O,MATCH($D1290,'Paramètres'!$M:$M,0))&amp;"","")&lt;&gt;"",ISNUMBER(SEARCH("remboursement",IFERROR(INDEX('Paramètres'!$N:$N,MATCH($D1290,'Paramètres'!$M:$M,0))&amp;"",""))))),1,0))</f>
        <v/>
      </c>
      <c r="Q1290" s="6" t="str">
        <f>IF($K1290="","",IF(ISNUMBER(SEARCH("transfert-interne",IFERROR(INDEX('Paramètres'!$N:$N,MATCH($D1290,'Paramètres'!$M:$M,0))&amp;"",""))),0,IF($L1290="Débit",$K1290,IF($P1290=1,-$K1290,0))))</f>
        <v/>
      </c>
      <c r="R1290" s="6" t="str">
        <f>IF($K1290="","",IF($L1290="Crédit",$K1290,-$K1290))</f>
        <v/>
      </c>
      <c r="S1290" s="6" t="str">
        <f>IF($C1290="","",IFERROR(INDEX('Paramètres'!$H:$H,MATCH($C1290,'Paramètres'!$D:$D,0))&amp;"",""))</f>
        <v/>
      </c>
      <c r="T1290" s="6" t="str">
        <f>IF($K1290="","",IF($S1290="",0,IF(ISNUMBER(SEARCH("apport-exterieur",IFERROR(INDEX('Paramètres'!$N:$N,MATCH($D1290,'Paramètres'!$M:$M,0))&amp;"",""))),0,IF(OR(IFERROR(INDEX('Paramètres'!$I:$I,MATCH($C1290,'Paramètres'!$D:$D,0))&amp;"","")="Les deux",IFERROR(INDEX('Paramètres'!$I:$I,MATCH($C1290,'Paramètres'!$D:$D,0))&amp;"","")=IF($P1290=1,"Débit",$L1290)),-IF($P1290=1,-$K1290,$K1290),0))))</f>
        <v/>
      </c>
      <c r="U1290" s="6" t="str">
        <f>IF($K1290="","",IF(ISNUMBER(SEARCH("sortie-epargne",IFERROR(INDEX('Paramètres'!$N:$N,MATCH($D1290,'Paramètres'!$M:$M,0))&amp;"",""))),$K1290,0))</f>
        <v/>
      </c>
      <c r="V1290" s="6" t="str">
        <f>IF(AND($A1290&lt;&gt;"",$O1290=1,$L1290="Débit",N($Q1290)&gt;0,$A1290&gt;=Visualisation!$B$1,$A1290&lt;Visualisation!$D$1),MAX($V$1:V1289)+1,"")</f>
        <v/>
      </c>
    </row>
    <row r="1291" spans="1:22" x14ac:dyDescent="0.25">
      <c r="A1291" s="9"/>
      <c r="E1291" s="10"/>
      <c r="K1291" s="11" t="str">
        <f>IF($E1291="","",ROUND($E1291*IF(ISNA(MATCH($C1291,'Paramètres'!$D:$D,0)),1,IF(INDEX('Paramètres'!$J:$J,MATCH($C1291,'Paramètres'!$D:$D,0))="",1,INDEX('Paramètres'!$J:$J,MATCH($C1291,'Paramètres'!$D:$D,0)))),2))</f>
        <v/>
      </c>
      <c r="L1291" s="6" t="str">
        <f>IF($D1291="","",IF($F1291&lt;&gt;"",$F1291,IF(ISNA(MATCH($D1291,'Paramètres'!$M:$M,0)),"⚠ Type inconnu",IFERROR(INDEX('Paramètres'!$P:$P,MATCH($D1291,'Paramètres'!$M:$M,0))&amp;"",""))))</f>
        <v/>
      </c>
      <c r="M1291" s="6" t="str">
        <f>IF($D1291="","",IF(ISNA(MATCH($D1291,'Paramètres'!$M:$M,0)),"⚠ Type inconnu",IF($L1291="Crédit","",IFERROR(INDEX('Paramètres'!$O:$O,MATCH($D1291,'Paramètres'!$M:$M,0))&amp;"",""))))</f>
        <v/>
      </c>
      <c r="N1291" s="6" t="str">
        <f>IF($D1291="","",IFERROR(INDEX('Paramètres'!$Q:$Q,MATCH($D1291,'Paramètres'!$M:$M,0))&amp;"",""))</f>
        <v/>
      </c>
      <c r="O1291" s="6" t="str">
        <f>IF($A1291="","",IF(OR($J1291&lt;&gt;"x",$A1291&lt;=FinReleve),1,0))</f>
        <v/>
      </c>
      <c r="P1291" s="6" t="str">
        <f>IF($D1291="","",IF(AND($L1291="Crédit",OR(IFERROR(INDEX('Paramètres'!$O:$O,MATCH($D1291,'Paramètres'!$M:$M,0))&amp;"","")&lt;&gt;"",ISNUMBER(SEARCH("remboursement",IFERROR(INDEX('Paramètres'!$N:$N,MATCH($D1291,'Paramètres'!$M:$M,0))&amp;"",""))))),1,0))</f>
        <v/>
      </c>
      <c r="Q1291" s="6" t="str">
        <f>IF($K1291="","",IF(ISNUMBER(SEARCH("transfert-interne",IFERROR(INDEX('Paramètres'!$N:$N,MATCH($D1291,'Paramètres'!$M:$M,0))&amp;"",""))),0,IF($L1291="Débit",$K1291,IF($P1291=1,-$K1291,0))))</f>
        <v/>
      </c>
      <c r="R1291" s="6" t="str">
        <f>IF($K1291="","",IF($L1291="Crédit",$K1291,-$K1291))</f>
        <v/>
      </c>
      <c r="S1291" s="6" t="str">
        <f>IF($C1291="","",IFERROR(INDEX('Paramètres'!$H:$H,MATCH($C1291,'Paramètres'!$D:$D,0))&amp;"",""))</f>
        <v/>
      </c>
      <c r="T1291" s="6" t="str">
        <f>IF($K1291="","",IF($S1291="",0,IF(ISNUMBER(SEARCH("apport-exterieur",IFERROR(INDEX('Paramètres'!$N:$N,MATCH($D1291,'Paramètres'!$M:$M,0))&amp;"",""))),0,IF(OR(IFERROR(INDEX('Paramètres'!$I:$I,MATCH($C1291,'Paramètres'!$D:$D,0))&amp;"","")="Les deux",IFERROR(INDEX('Paramètres'!$I:$I,MATCH($C1291,'Paramètres'!$D:$D,0))&amp;"","")=IF($P1291=1,"Débit",$L1291)),-IF($P1291=1,-$K1291,$K1291),0))))</f>
        <v/>
      </c>
      <c r="U1291" s="6" t="str">
        <f>IF($K1291="","",IF(ISNUMBER(SEARCH("sortie-epargne",IFERROR(INDEX('Paramètres'!$N:$N,MATCH($D1291,'Paramètres'!$M:$M,0))&amp;"",""))),$K1291,0))</f>
        <v/>
      </c>
      <c r="V1291" s="6" t="str">
        <f>IF(AND($A1291&lt;&gt;"",$O1291=1,$L1291="Débit",N($Q1291)&gt;0,$A1291&gt;=Visualisation!$B$1,$A1291&lt;Visualisation!$D$1),MAX($V$1:V1290)+1,"")</f>
        <v/>
      </c>
    </row>
    <row r="1292" spans="1:22" x14ac:dyDescent="0.25">
      <c r="A1292" s="9"/>
      <c r="E1292" s="10"/>
      <c r="K1292" s="11" t="str">
        <f>IF($E1292="","",ROUND($E1292*IF(ISNA(MATCH($C1292,'Paramètres'!$D:$D,0)),1,IF(INDEX('Paramètres'!$J:$J,MATCH($C1292,'Paramètres'!$D:$D,0))="",1,INDEX('Paramètres'!$J:$J,MATCH($C1292,'Paramètres'!$D:$D,0)))),2))</f>
        <v/>
      </c>
      <c r="L1292" s="6" t="str">
        <f>IF($D1292="","",IF($F1292&lt;&gt;"",$F1292,IF(ISNA(MATCH($D1292,'Paramètres'!$M:$M,0)),"⚠ Type inconnu",IFERROR(INDEX('Paramètres'!$P:$P,MATCH($D1292,'Paramètres'!$M:$M,0))&amp;"",""))))</f>
        <v/>
      </c>
      <c r="M1292" s="6" t="str">
        <f>IF($D1292="","",IF(ISNA(MATCH($D1292,'Paramètres'!$M:$M,0)),"⚠ Type inconnu",IF($L1292="Crédit","",IFERROR(INDEX('Paramètres'!$O:$O,MATCH($D1292,'Paramètres'!$M:$M,0))&amp;"",""))))</f>
        <v/>
      </c>
      <c r="N1292" s="6" t="str">
        <f>IF($D1292="","",IFERROR(INDEX('Paramètres'!$Q:$Q,MATCH($D1292,'Paramètres'!$M:$M,0))&amp;"",""))</f>
        <v/>
      </c>
      <c r="O1292" s="6" t="str">
        <f>IF($A1292="","",IF(OR($J1292&lt;&gt;"x",$A1292&lt;=FinReleve),1,0))</f>
        <v/>
      </c>
      <c r="P1292" s="6" t="str">
        <f>IF($D1292="","",IF(AND($L1292="Crédit",OR(IFERROR(INDEX('Paramètres'!$O:$O,MATCH($D1292,'Paramètres'!$M:$M,0))&amp;"","")&lt;&gt;"",ISNUMBER(SEARCH("remboursement",IFERROR(INDEX('Paramètres'!$N:$N,MATCH($D1292,'Paramètres'!$M:$M,0))&amp;"",""))))),1,0))</f>
        <v/>
      </c>
      <c r="Q1292" s="6" t="str">
        <f>IF($K1292="","",IF(ISNUMBER(SEARCH("transfert-interne",IFERROR(INDEX('Paramètres'!$N:$N,MATCH($D1292,'Paramètres'!$M:$M,0))&amp;"",""))),0,IF($L1292="Débit",$K1292,IF($P1292=1,-$K1292,0))))</f>
        <v/>
      </c>
      <c r="R1292" s="6" t="str">
        <f>IF($K1292="","",IF($L1292="Crédit",$K1292,-$K1292))</f>
        <v/>
      </c>
      <c r="S1292" s="6" t="str">
        <f>IF($C1292="","",IFERROR(INDEX('Paramètres'!$H:$H,MATCH($C1292,'Paramètres'!$D:$D,0))&amp;"",""))</f>
        <v/>
      </c>
      <c r="T1292" s="6" t="str">
        <f>IF($K1292="","",IF($S1292="",0,IF(ISNUMBER(SEARCH("apport-exterieur",IFERROR(INDEX('Paramètres'!$N:$N,MATCH($D1292,'Paramètres'!$M:$M,0))&amp;"",""))),0,IF(OR(IFERROR(INDEX('Paramètres'!$I:$I,MATCH($C1292,'Paramètres'!$D:$D,0))&amp;"","")="Les deux",IFERROR(INDEX('Paramètres'!$I:$I,MATCH($C1292,'Paramètres'!$D:$D,0))&amp;"","")=IF($P1292=1,"Débit",$L1292)),-IF($P1292=1,-$K1292,$K1292),0))))</f>
        <v/>
      </c>
      <c r="U1292" s="6" t="str">
        <f>IF($K1292="","",IF(ISNUMBER(SEARCH("sortie-epargne",IFERROR(INDEX('Paramètres'!$N:$N,MATCH($D1292,'Paramètres'!$M:$M,0))&amp;"",""))),$K1292,0))</f>
        <v/>
      </c>
      <c r="V1292" s="6" t="str">
        <f>IF(AND($A1292&lt;&gt;"",$O1292=1,$L1292="Débit",N($Q1292)&gt;0,$A1292&gt;=Visualisation!$B$1,$A1292&lt;Visualisation!$D$1),MAX($V$1:V1291)+1,"")</f>
        <v/>
      </c>
    </row>
    <row r="1293" spans="1:22" x14ac:dyDescent="0.25">
      <c r="A1293" s="9"/>
      <c r="E1293" s="10"/>
      <c r="K1293" s="11" t="str">
        <f>IF($E1293="","",ROUND($E1293*IF(ISNA(MATCH($C1293,'Paramètres'!$D:$D,0)),1,IF(INDEX('Paramètres'!$J:$J,MATCH($C1293,'Paramètres'!$D:$D,0))="",1,INDEX('Paramètres'!$J:$J,MATCH($C1293,'Paramètres'!$D:$D,0)))),2))</f>
        <v/>
      </c>
      <c r="L1293" s="6" t="str">
        <f>IF($D1293="","",IF($F1293&lt;&gt;"",$F1293,IF(ISNA(MATCH($D1293,'Paramètres'!$M:$M,0)),"⚠ Type inconnu",IFERROR(INDEX('Paramètres'!$P:$P,MATCH($D1293,'Paramètres'!$M:$M,0))&amp;"",""))))</f>
        <v/>
      </c>
      <c r="M1293" s="6" t="str">
        <f>IF($D1293="","",IF(ISNA(MATCH($D1293,'Paramètres'!$M:$M,0)),"⚠ Type inconnu",IF($L1293="Crédit","",IFERROR(INDEX('Paramètres'!$O:$O,MATCH($D1293,'Paramètres'!$M:$M,0))&amp;"",""))))</f>
        <v/>
      </c>
      <c r="N1293" s="6" t="str">
        <f>IF($D1293="","",IFERROR(INDEX('Paramètres'!$Q:$Q,MATCH($D1293,'Paramètres'!$M:$M,0))&amp;"",""))</f>
        <v/>
      </c>
      <c r="O1293" s="6" t="str">
        <f>IF($A1293="","",IF(OR($J1293&lt;&gt;"x",$A1293&lt;=FinReleve),1,0))</f>
        <v/>
      </c>
      <c r="P1293" s="6" t="str">
        <f>IF($D1293="","",IF(AND($L1293="Crédit",OR(IFERROR(INDEX('Paramètres'!$O:$O,MATCH($D1293,'Paramètres'!$M:$M,0))&amp;"","")&lt;&gt;"",ISNUMBER(SEARCH("remboursement",IFERROR(INDEX('Paramètres'!$N:$N,MATCH($D1293,'Paramètres'!$M:$M,0))&amp;"",""))))),1,0))</f>
        <v/>
      </c>
      <c r="Q1293" s="6" t="str">
        <f>IF($K1293="","",IF(ISNUMBER(SEARCH("transfert-interne",IFERROR(INDEX('Paramètres'!$N:$N,MATCH($D1293,'Paramètres'!$M:$M,0))&amp;"",""))),0,IF($L1293="Débit",$K1293,IF($P1293=1,-$K1293,0))))</f>
        <v/>
      </c>
      <c r="R1293" s="6" t="str">
        <f>IF($K1293="","",IF($L1293="Crédit",$K1293,-$K1293))</f>
        <v/>
      </c>
      <c r="S1293" s="6" t="str">
        <f>IF($C1293="","",IFERROR(INDEX('Paramètres'!$H:$H,MATCH($C1293,'Paramètres'!$D:$D,0))&amp;"",""))</f>
        <v/>
      </c>
      <c r="T1293" s="6" t="str">
        <f>IF($K1293="","",IF($S1293="",0,IF(ISNUMBER(SEARCH("apport-exterieur",IFERROR(INDEX('Paramètres'!$N:$N,MATCH($D1293,'Paramètres'!$M:$M,0))&amp;"",""))),0,IF(OR(IFERROR(INDEX('Paramètres'!$I:$I,MATCH($C1293,'Paramètres'!$D:$D,0))&amp;"","")="Les deux",IFERROR(INDEX('Paramètres'!$I:$I,MATCH($C1293,'Paramètres'!$D:$D,0))&amp;"","")=IF($P1293=1,"Débit",$L1293)),-IF($P1293=1,-$K1293,$K1293),0))))</f>
        <v/>
      </c>
      <c r="U1293" s="6" t="str">
        <f>IF($K1293="","",IF(ISNUMBER(SEARCH("sortie-epargne",IFERROR(INDEX('Paramètres'!$N:$N,MATCH($D1293,'Paramètres'!$M:$M,0))&amp;"",""))),$K1293,0))</f>
        <v/>
      </c>
      <c r="V1293" s="6" t="str">
        <f>IF(AND($A1293&lt;&gt;"",$O1293=1,$L1293="Débit",N($Q1293)&gt;0,$A1293&gt;=Visualisation!$B$1,$A1293&lt;Visualisation!$D$1),MAX($V$1:V1292)+1,"")</f>
        <v/>
      </c>
    </row>
    <row r="1294" spans="1:22" x14ac:dyDescent="0.25">
      <c r="A1294" s="9"/>
      <c r="E1294" s="10"/>
      <c r="K1294" s="11" t="str">
        <f>IF($E1294="","",ROUND($E1294*IF(ISNA(MATCH($C1294,'Paramètres'!$D:$D,0)),1,IF(INDEX('Paramètres'!$J:$J,MATCH($C1294,'Paramètres'!$D:$D,0))="",1,INDEX('Paramètres'!$J:$J,MATCH($C1294,'Paramètres'!$D:$D,0)))),2))</f>
        <v/>
      </c>
      <c r="L1294" s="6" t="str">
        <f>IF($D1294="","",IF($F1294&lt;&gt;"",$F1294,IF(ISNA(MATCH($D1294,'Paramètres'!$M:$M,0)),"⚠ Type inconnu",IFERROR(INDEX('Paramètres'!$P:$P,MATCH($D1294,'Paramètres'!$M:$M,0))&amp;"",""))))</f>
        <v/>
      </c>
      <c r="M1294" s="6" t="str">
        <f>IF($D1294="","",IF(ISNA(MATCH($D1294,'Paramètres'!$M:$M,0)),"⚠ Type inconnu",IF($L1294="Crédit","",IFERROR(INDEX('Paramètres'!$O:$O,MATCH($D1294,'Paramètres'!$M:$M,0))&amp;"",""))))</f>
        <v/>
      </c>
      <c r="N1294" s="6" t="str">
        <f>IF($D1294="","",IFERROR(INDEX('Paramètres'!$Q:$Q,MATCH($D1294,'Paramètres'!$M:$M,0))&amp;"",""))</f>
        <v/>
      </c>
      <c r="O1294" s="6" t="str">
        <f>IF($A1294="","",IF(OR($J1294&lt;&gt;"x",$A1294&lt;=FinReleve),1,0))</f>
        <v/>
      </c>
      <c r="P1294" s="6" t="str">
        <f>IF($D1294="","",IF(AND($L1294="Crédit",OR(IFERROR(INDEX('Paramètres'!$O:$O,MATCH($D1294,'Paramètres'!$M:$M,0))&amp;"","")&lt;&gt;"",ISNUMBER(SEARCH("remboursement",IFERROR(INDEX('Paramètres'!$N:$N,MATCH($D1294,'Paramètres'!$M:$M,0))&amp;"",""))))),1,0))</f>
        <v/>
      </c>
      <c r="Q1294" s="6" t="str">
        <f>IF($K1294="","",IF(ISNUMBER(SEARCH("transfert-interne",IFERROR(INDEX('Paramètres'!$N:$N,MATCH($D1294,'Paramètres'!$M:$M,0))&amp;"",""))),0,IF($L1294="Débit",$K1294,IF($P1294=1,-$K1294,0))))</f>
        <v/>
      </c>
      <c r="R1294" s="6" t="str">
        <f>IF($K1294="","",IF($L1294="Crédit",$K1294,-$K1294))</f>
        <v/>
      </c>
      <c r="S1294" s="6" t="str">
        <f>IF($C1294="","",IFERROR(INDEX('Paramètres'!$H:$H,MATCH($C1294,'Paramètres'!$D:$D,0))&amp;"",""))</f>
        <v/>
      </c>
      <c r="T1294" s="6" t="str">
        <f>IF($K1294="","",IF($S1294="",0,IF(ISNUMBER(SEARCH("apport-exterieur",IFERROR(INDEX('Paramètres'!$N:$N,MATCH($D1294,'Paramètres'!$M:$M,0))&amp;"",""))),0,IF(OR(IFERROR(INDEX('Paramètres'!$I:$I,MATCH($C1294,'Paramètres'!$D:$D,0))&amp;"","")="Les deux",IFERROR(INDEX('Paramètres'!$I:$I,MATCH($C1294,'Paramètres'!$D:$D,0))&amp;"","")=IF($P1294=1,"Débit",$L1294)),-IF($P1294=1,-$K1294,$K1294),0))))</f>
        <v/>
      </c>
      <c r="U1294" s="6" t="str">
        <f>IF($K1294="","",IF(ISNUMBER(SEARCH("sortie-epargne",IFERROR(INDEX('Paramètres'!$N:$N,MATCH($D1294,'Paramètres'!$M:$M,0))&amp;"",""))),$K1294,0))</f>
        <v/>
      </c>
      <c r="V1294" s="6" t="str">
        <f>IF(AND($A1294&lt;&gt;"",$O1294=1,$L1294="Débit",N($Q1294)&gt;0,$A1294&gt;=Visualisation!$B$1,$A1294&lt;Visualisation!$D$1),MAX($V$1:V1293)+1,"")</f>
        <v/>
      </c>
    </row>
    <row r="1295" spans="1:22" x14ac:dyDescent="0.25">
      <c r="A1295" s="9"/>
      <c r="E1295" s="10"/>
      <c r="K1295" s="11" t="str">
        <f>IF($E1295="","",ROUND($E1295*IF(ISNA(MATCH($C1295,'Paramètres'!$D:$D,0)),1,IF(INDEX('Paramètres'!$J:$J,MATCH($C1295,'Paramètres'!$D:$D,0))="",1,INDEX('Paramètres'!$J:$J,MATCH($C1295,'Paramètres'!$D:$D,0)))),2))</f>
        <v/>
      </c>
      <c r="L1295" s="6" t="str">
        <f>IF($D1295="","",IF($F1295&lt;&gt;"",$F1295,IF(ISNA(MATCH($D1295,'Paramètres'!$M:$M,0)),"⚠ Type inconnu",IFERROR(INDEX('Paramètres'!$P:$P,MATCH($D1295,'Paramètres'!$M:$M,0))&amp;"",""))))</f>
        <v/>
      </c>
      <c r="M1295" s="6" t="str">
        <f>IF($D1295="","",IF(ISNA(MATCH($D1295,'Paramètres'!$M:$M,0)),"⚠ Type inconnu",IF($L1295="Crédit","",IFERROR(INDEX('Paramètres'!$O:$O,MATCH($D1295,'Paramètres'!$M:$M,0))&amp;"",""))))</f>
        <v/>
      </c>
      <c r="N1295" s="6" t="str">
        <f>IF($D1295="","",IFERROR(INDEX('Paramètres'!$Q:$Q,MATCH($D1295,'Paramètres'!$M:$M,0))&amp;"",""))</f>
        <v/>
      </c>
      <c r="O1295" s="6" t="str">
        <f>IF($A1295="","",IF(OR($J1295&lt;&gt;"x",$A1295&lt;=FinReleve),1,0))</f>
        <v/>
      </c>
      <c r="P1295" s="6" t="str">
        <f>IF($D1295="","",IF(AND($L1295="Crédit",OR(IFERROR(INDEX('Paramètres'!$O:$O,MATCH($D1295,'Paramètres'!$M:$M,0))&amp;"","")&lt;&gt;"",ISNUMBER(SEARCH("remboursement",IFERROR(INDEX('Paramètres'!$N:$N,MATCH($D1295,'Paramètres'!$M:$M,0))&amp;"",""))))),1,0))</f>
        <v/>
      </c>
      <c r="Q1295" s="6" t="str">
        <f>IF($K1295="","",IF(ISNUMBER(SEARCH("transfert-interne",IFERROR(INDEX('Paramètres'!$N:$N,MATCH($D1295,'Paramètres'!$M:$M,0))&amp;"",""))),0,IF($L1295="Débit",$K1295,IF($P1295=1,-$K1295,0))))</f>
        <v/>
      </c>
      <c r="R1295" s="6" t="str">
        <f>IF($K1295="","",IF($L1295="Crédit",$K1295,-$K1295))</f>
        <v/>
      </c>
      <c r="S1295" s="6" t="str">
        <f>IF($C1295="","",IFERROR(INDEX('Paramètres'!$H:$H,MATCH($C1295,'Paramètres'!$D:$D,0))&amp;"",""))</f>
        <v/>
      </c>
      <c r="T1295" s="6" t="str">
        <f>IF($K1295="","",IF($S1295="",0,IF(ISNUMBER(SEARCH("apport-exterieur",IFERROR(INDEX('Paramètres'!$N:$N,MATCH($D1295,'Paramètres'!$M:$M,0))&amp;"",""))),0,IF(OR(IFERROR(INDEX('Paramètres'!$I:$I,MATCH($C1295,'Paramètres'!$D:$D,0))&amp;"","")="Les deux",IFERROR(INDEX('Paramètres'!$I:$I,MATCH($C1295,'Paramètres'!$D:$D,0))&amp;"","")=IF($P1295=1,"Débit",$L1295)),-IF($P1295=1,-$K1295,$K1295),0))))</f>
        <v/>
      </c>
      <c r="U1295" s="6" t="str">
        <f>IF($K1295="","",IF(ISNUMBER(SEARCH("sortie-epargne",IFERROR(INDEX('Paramètres'!$N:$N,MATCH($D1295,'Paramètres'!$M:$M,0))&amp;"",""))),$K1295,0))</f>
        <v/>
      </c>
      <c r="V1295" s="6" t="str">
        <f>IF(AND($A1295&lt;&gt;"",$O1295=1,$L1295="Débit",N($Q1295)&gt;0,$A1295&gt;=Visualisation!$B$1,$A1295&lt;Visualisation!$D$1),MAX($V$1:V1294)+1,"")</f>
        <v/>
      </c>
    </row>
    <row r="1296" spans="1:22" x14ac:dyDescent="0.25">
      <c r="A1296" s="9"/>
      <c r="E1296" s="10"/>
      <c r="K1296" s="11" t="str">
        <f>IF($E1296="","",ROUND($E1296*IF(ISNA(MATCH($C1296,'Paramètres'!$D:$D,0)),1,IF(INDEX('Paramètres'!$J:$J,MATCH($C1296,'Paramètres'!$D:$D,0))="",1,INDEX('Paramètres'!$J:$J,MATCH($C1296,'Paramètres'!$D:$D,0)))),2))</f>
        <v/>
      </c>
      <c r="L1296" s="6" t="str">
        <f>IF($D1296="","",IF($F1296&lt;&gt;"",$F1296,IF(ISNA(MATCH($D1296,'Paramètres'!$M:$M,0)),"⚠ Type inconnu",IFERROR(INDEX('Paramètres'!$P:$P,MATCH($D1296,'Paramètres'!$M:$M,0))&amp;"",""))))</f>
        <v/>
      </c>
      <c r="M1296" s="6" t="str">
        <f>IF($D1296="","",IF(ISNA(MATCH($D1296,'Paramètres'!$M:$M,0)),"⚠ Type inconnu",IF($L1296="Crédit","",IFERROR(INDEX('Paramètres'!$O:$O,MATCH($D1296,'Paramètres'!$M:$M,0))&amp;"",""))))</f>
        <v/>
      </c>
      <c r="N1296" s="6" t="str">
        <f>IF($D1296="","",IFERROR(INDEX('Paramètres'!$Q:$Q,MATCH($D1296,'Paramètres'!$M:$M,0))&amp;"",""))</f>
        <v/>
      </c>
      <c r="O1296" s="6" t="str">
        <f>IF($A1296="","",IF(OR($J1296&lt;&gt;"x",$A1296&lt;=FinReleve),1,0))</f>
        <v/>
      </c>
      <c r="P1296" s="6" t="str">
        <f>IF($D1296="","",IF(AND($L1296="Crédit",OR(IFERROR(INDEX('Paramètres'!$O:$O,MATCH($D1296,'Paramètres'!$M:$M,0))&amp;"","")&lt;&gt;"",ISNUMBER(SEARCH("remboursement",IFERROR(INDEX('Paramètres'!$N:$N,MATCH($D1296,'Paramètres'!$M:$M,0))&amp;"",""))))),1,0))</f>
        <v/>
      </c>
      <c r="Q1296" s="6" t="str">
        <f>IF($K1296="","",IF(ISNUMBER(SEARCH("transfert-interne",IFERROR(INDEX('Paramètres'!$N:$N,MATCH($D1296,'Paramètres'!$M:$M,0))&amp;"",""))),0,IF($L1296="Débit",$K1296,IF($P1296=1,-$K1296,0))))</f>
        <v/>
      </c>
      <c r="R1296" s="6" t="str">
        <f>IF($K1296="","",IF($L1296="Crédit",$K1296,-$K1296))</f>
        <v/>
      </c>
      <c r="S1296" s="6" t="str">
        <f>IF($C1296="","",IFERROR(INDEX('Paramètres'!$H:$H,MATCH($C1296,'Paramètres'!$D:$D,0))&amp;"",""))</f>
        <v/>
      </c>
      <c r="T1296" s="6" t="str">
        <f>IF($K1296="","",IF($S1296="",0,IF(ISNUMBER(SEARCH("apport-exterieur",IFERROR(INDEX('Paramètres'!$N:$N,MATCH($D1296,'Paramètres'!$M:$M,0))&amp;"",""))),0,IF(OR(IFERROR(INDEX('Paramètres'!$I:$I,MATCH($C1296,'Paramètres'!$D:$D,0))&amp;"","")="Les deux",IFERROR(INDEX('Paramètres'!$I:$I,MATCH($C1296,'Paramètres'!$D:$D,0))&amp;"","")=IF($P1296=1,"Débit",$L1296)),-IF($P1296=1,-$K1296,$K1296),0))))</f>
        <v/>
      </c>
      <c r="U1296" s="6" t="str">
        <f>IF($K1296="","",IF(ISNUMBER(SEARCH("sortie-epargne",IFERROR(INDEX('Paramètres'!$N:$N,MATCH($D1296,'Paramètres'!$M:$M,0))&amp;"",""))),$K1296,0))</f>
        <v/>
      </c>
      <c r="V1296" s="6" t="str">
        <f>IF(AND($A1296&lt;&gt;"",$O1296=1,$L1296="Débit",N($Q1296)&gt;0,$A1296&gt;=Visualisation!$B$1,$A1296&lt;Visualisation!$D$1),MAX($V$1:V1295)+1,"")</f>
        <v/>
      </c>
    </row>
    <row r="1297" spans="1:22" x14ac:dyDescent="0.25">
      <c r="A1297" s="9"/>
      <c r="E1297" s="10"/>
      <c r="K1297" s="11" t="str">
        <f>IF($E1297="","",ROUND($E1297*IF(ISNA(MATCH($C1297,'Paramètres'!$D:$D,0)),1,IF(INDEX('Paramètres'!$J:$J,MATCH($C1297,'Paramètres'!$D:$D,0))="",1,INDEX('Paramètres'!$J:$J,MATCH($C1297,'Paramètres'!$D:$D,0)))),2))</f>
        <v/>
      </c>
      <c r="L1297" s="6" t="str">
        <f>IF($D1297="","",IF($F1297&lt;&gt;"",$F1297,IF(ISNA(MATCH($D1297,'Paramètres'!$M:$M,0)),"⚠ Type inconnu",IFERROR(INDEX('Paramètres'!$P:$P,MATCH($D1297,'Paramètres'!$M:$M,0))&amp;"",""))))</f>
        <v/>
      </c>
      <c r="M1297" s="6" t="str">
        <f>IF($D1297="","",IF(ISNA(MATCH($D1297,'Paramètres'!$M:$M,0)),"⚠ Type inconnu",IF($L1297="Crédit","",IFERROR(INDEX('Paramètres'!$O:$O,MATCH($D1297,'Paramètres'!$M:$M,0))&amp;"",""))))</f>
        <v/>
      </c>
      <c r="N1297" s="6" t="str">
        <f>IF($D1297="","",IFERROR(INDEX('Paramètres'!$Q:$Q,MATCH($D1297,'Paramètres'!$M:$M,0))&amp;"",""))</f>
        <v/>
      </c>
      <c r="O1297" s="6" t="str">
        <f>IF($A1297="","",IF(OR($J1297&lt;&gt;"x",$A1297&lt;=FinReleve),1,0))</f>
        <v/>
      </c>
      <c r="P1297" s="6" t="str">
        <f>IF($D1297="","",IF(AND($L1297="Crédit",OR(IFERROR(INDEX('Paramètres'!$O:$O,MATCH($D1297,'Paramètres'!$M:$M,0))&amp;"","")&lt;&gt;"",ISNUMBER(SEARCH("remboursement",IFERROR(INDEX('Paramètres'!$N:$N,MATCH($D1297,'Paramètres'!$M:$M,0))&amp;"",""))))),1,0))</f>
        <v/>
      </c>
      <c r="Q1297" s="6" t="str">
        <f>IF($K1297="","",IF(ISNUMBER(SEARCH("transfert-interne",IFERROR(INDEX('Paramètres'!$N:$N,MATCH($D1297,'Paramètres'!$M:$M,0))&amp;"",""))),0,IF($L1297="Débit",$K1297,IF($P1297=1,-$K1297,0))))</f>
        <v/>
      </c>
      <c r="R1297" s="6" t="str">
        <f>IF($K1297="","",IF($L1297="Crédit",$K1297,-$K1297))</f>
        <v/>
      </c>
      <c r="S1297" s="6" t="str">
        <f>IF($C1297="","",IFERROR(INDEX('Paramètres'!$H:$H,MATCH($C1297,'Paramètres'!$D:$D,0))&amp;"",""))</f>
        <v/>
      </c>
      <c r="T1297" s="6" t="str">
        <f>IF($K1297="","",IF($S1297="",0,IF(ISNUMBER(SEARCH("apport-exterieur",IFERROR(INDEX('Paramètres'!$N:$N,MATCH($D1297,'Paramètres'!$M:$M,0))&amp;"",""))),0,IF(OR(IFERROR(INDEX('Paramètres'!$I:$I,MATCH($C1297,'Paramètres'!$D:$D,0))&amp;"","")="Les deux",IFERROR(INDEX('Paramètres'!$I:$I,MATCH($C1297,'Paramètres'!$D:$D,0))&amp;"","")=IF($P1297=1,"Débit",$L1297)),-IF($P1297=1,-$K1297,$K1297),0))))</f>
        <v/>
      </c>
      <c r="U1297" s="6" t="str">
        <f>IF($K1297="","",IF(ISNUMBER(SEARCH("sortie-epargne",IFERROR(INDEX('Paramètres'!$N:$N,MATCH($D1297,'Paramètres'!$M:$M,0))&amp;"",""))),$K1297,0))</f>
        <v/>
      </c>
      <c r="V1297" s="6" t="str">
        <f>IF(AND($A1297&lt;&gt;"",$O1297=1,$L1297="Débit",N($Q1297)&gt;0,$A1297&gt;=Visualisation!$B$1,$A1297&lt;Visualisation!$D$1),MAX($V$1:V1296)+1,"")</f>
        <v/>
      </c>
    </row>
    <row r="1298" spans="1:22" x14ac:dyDescent="0.25">
      <c r="A1298" s="9"/>
      <c r="E1298" s="10"/>
      <c r="K1298" s="11" t="str">
        <f>IF($E1298="","",ROUND($E1298*IF(ISNA(MATCH($C1298,'Paramètres'!$D:$D,0)),1,IF(INDEX('Paramètres'!$J:$J,MATCH($C1298,'Paramètres'!$D:$D,0))="",1,INDEX('Paramètres'!$J:$J,MATCH($C1298,'Paramètres'!$D:$D,0)))),2))</f>
        <v/>
      </c>
      <c r="L1298" s="6" t="str">
        <f>IF($D1298="","",IF($F1298&lt;&gt;"",$F1298,IF(ISNA(MATCH($D1298,'Paramètres'!$M:$M,0)),"⚠ Type inconnu",IFERROR(INDEX('Paramètres'!$P:$P,MATCH($D1298,'Paramètres'!$M:$M,0))&amp;"",""))))</f>
        <v/>
      </c>
      <c r="M1298" s="6" t="str">
        <f>IF($D1298="","",IF(ISNA(MATCH($D1298,'Paramètres'!$M:$M,0)),"⚠ Type inconnu",IF($L1298="Crédit","",IFERROR(INDEX('Paramètres'!$O:$O,MATCH($D1298,'Paramètres'!$M:$M,0))&amp;"",""))))</f>
        <v/>
      </c>
      <c r="N1298" s="6" t="str">
        <f>IF($D1298="","",IFERROR(INDEX('Paramètres'!$Q:$Q,MATCH($D1298,'Paramètres'!$M:$M,0))&amp;"",""))</f>
        <v/>
      </c>
      <c r="O1298" s="6" t="str">
        <f>IF($A1298="","",IF(OR($J1298&lt;&gt;"x",$A1298&lt;=FinReleve),1,0))</f>
        <v/>
      </c>
      <c r="P1298" s="6" t="str">
        <f>IF($D1298="","",IF(AND($L1298="Crédit",OR(IFERROR(INDEX('Paramètres'!$O:$O,MATCH($D1298,'Paramètres'!$M:$M,0))&amp;"","")&lt;&gt;"",ISNUMBER(SEARCH("remboursement",IFERROR(INDEX('Paramètres'!$N:$N,MATCH($D1298,'Paramètres'!$M:$M,0))&amp;"",""))))),1,0))</f>
        <v/>
      </c>
      <c r="Q1298" s="6" t="str">
        <f>IF($K1298="","",IF(ISNUMBER(SEARCH("transfert-interne",IFERROR(INDEX('Paramètres'!$N:$N,MATCH($D1298,'Paramètres'!$M:$M,0))&amp;"",""))),0,IF($L1298="Débit",$K1298,IF($P1298=1,-$K1298,0))))</f>
        <v/>
      </c>
      <c r="R1298" s="6" t="str">
        <f>IF($K1298="","",IF($L1298="Crédit",$K1298,-$K1298))</f>
        <v/>
      </c>
      <c r="S1298" s="6" t="str">
        <f>IF($C1298="","",IFERROR(INDEX('Paramètres'!$H:$H,MATCH($C1298,'Paramètres'!$D:$D,0))&amp;"",""))</f>
        <v/>
      </c>
      <c r="T1298" s="6" t="str">
        <f>IF($K1298="","",IF($S1298="",0,IF(ISNUMBER(SEARCH("apport-exterieur",IFERROR(INDEX('Paramètres'!$N:$N,MATCH($D1298,'Paramètres'!$M:$M,0))&amp;"",""))),0,IF(OR(IFERROR(INDEX('Paramètres'!$I:$I,MATCH($C1298,'Paramètres'!$D:$D,0))&amp;"","")="Les deux",IFERROR(INDEX('Paramètres'!$I:$I,MATCH($C1298,'Paramètres'!$D:$D,0))&amp;"","")=IF($P1298=1,"Débit",$L1298)),-IF($P1298=1,-$K1298,$K1298),0))))</f>
        <v/>
      </c>
      <c r="U1298" s="6" t="str">
        <f>IF($K1298="","",IF(ISNUMBER(SEARCH("sortie-epargne",IFERROR(INDEX('Paramètres'!$N:$N,MATCH($D1298,'Paramètres'!$M:$M,0))&amp;"",""))),$K1298,0))</f>
        <v/>
      </c>
      <c r="V1298" s="6" t="str">
        <f>IF(AND($A1298&lt;&gt;"",$O1298=1,$L1298="Débit",N($Q1298)&gt;0,$A1298&gt;=Visualisation!$B$1,$A1298&lt;Visualisation!$D$1),MAX($V$1:V1297)+1,"")</f>
        <v/>
      </c>
    </row>
    <row r="1299" spans="1:22" x14ac:dyDescent="0.25">
      <c r="A1299" s="9"/>
      <c r="E1299" s="10"/>
      <c r="K1299" s="11" t="str">
        <f>IF($E1299="","",ROUND($E1299*IF(ISNA(MATCH($C1299,'Paramètres'!$D:$D,0)),1,IF(INDEX('Paramètres'!$J:$J,MATCH($C1299,'Paramètres'!$D:$D,0))="",1,INDEX('Paramètres'!$J:$J,MATCH($C1299,'Paramètres'!$D:$D,0)))),2))</f>
        <v/>
      </c>
      <c r="L1299" s="6" t="str">
        <f>IF($D1299="","",IF($F1299&lt;&gt;"",$F1299,IF(ISNA(MATCH($D1299,'Paramètres'!$M:$M,0)),"⚠ Type inconnu",IFERROR(INDEX('Paramètres'!$P:$P,MATCH($D1299,'Paramètres'!$M:$M,0))&amp;"",""))))</f>
        <v/>
      </c>
      <c r="M1299" s="6" t="str">
        <f>IF($D1299="","",IF(ISNA(MATCH($D1299,'Paramètres'!$M:$M,0)),"⚠ Type inconnu",IF($L1299="Crédit","",IFERROR(INDEX('Paramètres'!$O:$O,MATCH($D1299,'Paramètres'!$M:$M,0))&amp;"",""))))</f>
        <v/>
      </c>
      <c r="N1299" s="6" t="str">
        <f>IF($D1299="","",IFERROR(INDEX('Paramètres'!$Q:$Q,MATCH($D1299,'Paramètres'!$M:$M,0))&amp;"",""))</f>
        <v/>
      </c>
      <c r="O1299" s="6" t="str">
        <f>IF($A1299="","",IF(OR($J1299&lt;&gt;"x",$A1299&lt;=FinReleve),1,0))</f>
        <v/>
      </c>
      <c r="P1299" s="6" t="str">
        <f>IF($D1299="","",IF(AND($L1299="Crédit",OR(IFERROR(INDEX('Paramètres'!$O:$O,MATCH($D1299,'Paramètres'!$M:$M,0))&amp;"","")&lt;&gt;"",ISNUMBER(SEARCH("remboursement",IFERROR(INDEX('Paramètres'!$N:$N,MATCH($D1299,'Paramètres'!$M:$M,0))&amp;"",""))))),1,0))</f>
        <v/>
      </c>
      <c r="Q1299" s="6" t="str">
        <f>IF($K1299="","",IF(ISNUMBER(SEARCH("transfert-interne",IFERROR(INDEX('Paramètres'!$N:$N,MATCH($D1299,'Paramètres'!$M:$M,0))&amp;"",""))),0,IF($L1299="Débit",$K1299,IF($P1299=1,-$K1299,0))))</f>
        <v/>
      </c>
      <c r="R1299" s="6" t="str">
        <f>IF($K1299="","",IF($L1299="Crédit",$K1299,-$K1299))</f>
        <v/>
      </c>
      <c r="S1299" s="6" t="str">
        <f>IF($C1299="","",IFERROR(INDEX('Paramètres'!$H:$H,MATCH($C1299,'Paramètres'!$D:$D,0))&amp;"",""))</f>
        <v/>
      </c>
      <c r="T1299" s="6" t="str">
        <f>IF($K1299="","",IF($S1299="",0,IF(ISNUMBER(SEARCH("apport-exterieur",IFERROR(INDEX('Paramètres'!$N:$N,MATCH($D1299,'Paramètres'!$M:$M,0))&amp;"",""))),0,IF(OR(IFERROR(INDEX('Paramètres'!$I:$I,MATCH($C1299,'Paramètres'!$D:$D,0))&amp;"","")="Les deux",IFERROR(INDEX('Paramètres'!$I:$I,MATCH($C1299,'Paramètres'!$D:$D,0))&amp;"","")=IF($P1299=1,"Débit",$L1299)),-IF($P1299=1,-$K1299,$K1299),0))))</f>
        <v/>
      </c>
      <c r="U1299" s="6" t="str">
        <f>IF($K1299="","",IF(ISNUMBER(SEARCH("sortie-epargne",IFERROR(INDEX('Paramètres'!$N:$N,MATCH($D1299,'Paramètres'!$M:$M,0))&amp;"",""))),$K1299,0))</f>
        <v/>
      </c>
      <c r="V1299" s="6" t="str">
        <f>IF(AND($A1299&lt;&gt;"",$O1299=1,$L1299="Débit",N($Q1299)&gt;0,$A1299&gt;=Visualisation!$B$1,$A1299&lt;Visualisation!$D$1),MAX($V$1:V1298)+1,"")</f>
        <v/>
      </c>
    </row>
    <row r="1300" spans="1:22" x14ac:dyDescent="0.25">
      <c r="A1300" s="9"/>
      <c r="E1300" s="10"/>
      <c r="K1300" s="11" t="str">
        <f>IF($E1300="","",ROUND($E1300*IF(ISNA(MATCH($C1300,'Paramètres'!$D:$D,0)),1,IF(INDEX('Paramètres'!$J:$J,MATCH($C1300,'Paramètres'!$D:$D,0))="",1,INDEX('Paramètres'!$J:$J,MATCH($C1300,'Paramètres'!$D:$D,0)))),2))</f>
        <v/>
      </c>
      <c r="L1300" s="6" t="str">
        <f>IF($D1300="","",IF($F1300&lt;&gt;"",$F1300,IF(ISNA(MATCH($D1300,'Paramètres'!$M:$M,0)),"⚠ Type inconnu",IFERROR(INDEX('Paramètres'!$P:$P,MATCH($D1300,'Paramètres'!$M:$M,0))&amp;"",""))))</f>
        <v/>
      </c>
      <c r="M1300" s="6" t="str">
        <f>IF($D1300="","",IF(ISNA(MATCH($D1300,'Paramètres'!$M:$M,0)),"⚠ Type inconnu",IF($L1300="Crédit","",IFERROR(INDEX('Paramètres'!$O:$O,MATCH($D1300,'Paramètres'!$M:$M,0))&amp;"",""))))</f>
        <v/>
      </c>
      <c r="N1300" s="6" t="str">
        <f>IF($D1300="","",IFERROR(INDEX('Paramètres'!$Q:$Q,MATCH($D1300,'Paramètres'!$M:$M,0))&amp;"",""))</f>
        <v/>
      </c>
      <c r="O1300" s="6" t="str">
        <f>IF($A1300="","",IF(OR($J1300&lt;&gt;"x",$A1300&lt;=FinReleve),1,0))</f>
        <v/>
      </c>
      <c r="P1300" s="6" t="str">
        <f>IF($D1300="","",IF(AND($L1300="Crédit",OR(IFERROR(INDEX('Paramètres'!$O:$O,MATCH($D1300,'Paramètres'!$M:$M,0))&amp;"","")&lt;&gt;"",ISNUMBER(SEARCH("remboursement",IFERROR(INDEX('Paramètres'!$N:$N,MATCH($D1300,'Paramètres'!$M:$M,0))&amp;"",""))))),1,0))</f>
        <v/>
      </c>
      <c r="Q1300" s="6" t="str">
        <f>IF($K1300="","",IF(ISNUMBER(SEARCH("transfert-interne",IFERROR(INDEX('Paramètres'!$N:$N,MATCH($D1300,'Paramètres'!$M:$M,0))&amp;"",""))),0,IF($L1300="Débit",$K1300,IF($P1300=1,-$K1300,0))))</f>
        <v/>
      </c>
      <c r="R1300" s="6" t="str">
        <f>IF($K1300="","",IF($L1300="Crédit",$K1300,-$K1300))</f>
        <v/>
      </c>
      <c r="S1300" s="6" t="str">
        <f>IF($C1300="","",IFERROR(INDEX('Paramètres'!$H:$H,MATCH($C1300,'Paramètres'!$D:$D,0))&amp;"",""))</f>
        <v/>
      </c>
      <c r="T1300" s="6" t="str">
        <f>IF($K1300="","",IF($S1300="",0,IF(ISNUMBER(SEARCH("apport-exterieur",IFERROR(INDEX('Paramètres'!$N:$N,MATCH($D1300,'Paramètres'!$M:$M,0))&amp;"",""))),0,IF(OR(IFERROR(INDEX('Paramètres'!$I:$I,MATCH($C1300,'Paramètres'!$D:$D,0))&amp;"","")="Les deux",IFERROR(INDEX('Paramètres'!$I:$I,MATCH($C1300,'Paramètres'!$D:$D,0))&amp;"","")=IF($P1300=1,"Débit",$L1300)),-IF($P1300=1,-$K1300,$K1300),0))))</f>
        <v/>
      </c>
      <c r="U1300" s="6" t="str">
        <f>IF($K1300="","",IF(ISNUMBER(SEARCH("sortie-epargne",IFERROR(INDEX('Paramètres'!$N:$N,MATCH($D1300,'Paramètres'!$M:$M,0))&amp;"",""))),$K1300,0))</f>
        <v/>
      </c>
      <c r="V1300" s="6" t="str">
        <f>IF(AND($A1300&lt;&gt;"",$O1300=1,$L1300="Débit",N($Q1300)&gt;0,$A1300&gt;=Visualisation!$B$1,$A1300&lt;Visualisation!$D$1),MAX($V$1:V1299)+1,"")</f>
        <v/>
      </c>
    </row>
    <row r="1301" spans="1:22" x14ac:dyDescent="0.25">
      <c r="A1301" s="9"/>
      <c r="E1301" s="10"/>
      <c r="K1301" s="11" t="str">
        <f>IF($E1301="","",ROUND($E1301*IF(ISNA(MATCH($C1301,'Paramètres'!$D:$D,0)),1,IF(INDEX('Paramètres'!$J:$J,MATCH($C1301,'Paramètres'!$D:$D,0))="",1,INDEX('Paramètres'!$J:$J,MATCH($C1301,'Paramètres'!$D:$D,0)))),2))</f>
        <v/>
      </c>
      <c r="L1301" s="6" t="str">
        <f>IF($D1301="","",IF($F1301&lt;&gt;"",$F1301,IF(ISNA(MATCH($D1301,'Paramètres'!$M:$M,0)),"⚠ Type inconnu",IFERROR(INDEX('Paramètres'!$P:$P,MATCH($D1301,'Paramètres'!$M:$M,0))&amp;"",""))))</f>
        <v/>
      </c>
      <c r="M1301" s="6" t="str">
        <f>IF($D1301="","",IF(ISNA(MATCH($D1301,'Paramètres'!$M:$M,0)),"⚠ Type inconnu",IF($L1301="Crédit","",IFERROR(INDEX('Paramètres'!$O:$O,MATCH($D1301,'Paramètres'!$M:$M,0))&amp;"",""))))</f>
        <v/>
      </c>
      <c r="N1301" s="6" t="str">
        <f>IF($D1301="","",IFERROR(INDEX('Paramètres'!$Q:$Q,MATCH($D1301,'Paramètres'!$M:$M,0))&amp;"",""))</f>
        <v/>
      </c>
      <c r="O1301" s="6" t="str">
        <f>IF($A1301="","",IF(OR($J1301&lt;&gt;"x",$A1301&lt;=FinReleve),1,0))</f>
        <v/>
      </c>
      <c r="P1301" s="6" t="str">
        <f>IF($D1301="","",IF(AND($L1301="Crédit",OR(IFERROR(INDEX('Paramètres'!$O:$O,MATCH($D1301,'Paramètres'!$M:$M,0))&amp;"","")&lt;&gt;"",ISNUMBER(SEARCH("remboursement",IFERROR(INDEX('Paramètres'!$N:$N,MATCH($D1301,'Paramètres'!$M:$M,0))&amp;"",""))))),1,0))</f>
        <v/>
      </c>
      <c r="Q1301" s="6" t="str">
        <f>IF($K1301="","",IF(ISNUMBER(SEARCH("transfert-interne",IFERROR(INDEX('Paramètres'!$N:$N,MATCH($D1301,'Paramètres'!$M:$M,0))&amp;"",""))),0,IF($L1301="Débit",$K1301,IF($P1301=1,-$K1301,0))))</f>
        <v/>
      </c>
      <c r="R1301" s="6" t="str">
        <f>IF($K1301="","",IF($L1301="Crédit",$K1301,-$K1301))</f>
        <v/>
      </c>
      <c r="S1301" s="6" t="str">
        <f>IF($C1301="","",IFERROR(INDEX('Paramètres'!$H:$H,MATCH($C1301,'Paramètres'!$D:$D,0))&amp;"",""))</f>
        <v/>
      </c>
      <c r="T1301" s="6" t="str">
        <f>IF($K1301="","",IF($S1301="",0,IF(ISNUMBER(SEARCH("apport-exterieur",IFERROR(INDEX('Paramètres'!$N:$N,MATCH($D1301,'Paramètres'!$M:$M,0))&amp;"",""))),0,IF(OR(IFERROR(INDEX('Paramètres'!$I:$I,MATCH($C1301,'Paramètres'!$D:$D,0))&amp;"","")="Les deux",IFERROR(INDEX('Paramètres'!$I:$I,MATCH($C1301,'Paramètres'!$D:$D,0))&amp;"","")=IF($P1301=1,"Débit",$L1301)),-IF($P1301=1,-$K1301,$K1301),0))))</f>
        <v/>
      </c>
      <c r="U1301" s="6" t="str">
        <f>IF($K1301="","",IF(ISNUMBER(SEARCH("sortie-epargne",IFERROR(INDEX('Paramètres'!$N:$N,MATCH($D1301,'Paramètres'!$M:$M,0))&amp;"",""))),$K1301,0))</f>
        <v/>
      </c>
      <c r="V1301" s="6" t="str">
        <f>IF(AND($A1301&lt;&gt;"",$O1301=1,$L1301="Débit",N($Q1301)&gt;0,$A1301&gt;=Visualisation!$B$1,$A1301&lt;Visualisation!$D$1),MAX($V$1:V1300)+1,"")</f>
        <v/>
      </c>
    </row>
    <row r="1302" spans="1:22" x14ac:dyDescent="0.25">
      <c r="A1302" s="9"/>
      <c r="E1302" s="10"/>
      <c r="K1302" s="11" t="str">
        <f>IF($E1302="","",ROUND($E1302*IF(ISNA(MATCH($C1302,'Paramètres'!$D:$D,0)),1,IF(INDEX('Paramètres'!$J:$J,MATCH($C1302,'Paramètres'!$D:$D,0))="",1,INDEX('Paramètres'!$J:$J,MATCH($C1302,'Paramètres'!$D:$D,0)))),2))</f>
        <v/>
      </c>
      <c r="L1302" s="6" t="str">
        <f>IF($D1302="","",IF($F1302&lt;&gt;"",$F1302,IF(ISNA(MATCH($D1302,'Paramètres'!$M:$M,0)),"⚠ Type inconnu",IFERROR(INDEX('Paramètres'!$P:$P,MATCH($D1302,'Paramètres'!$M:$M,0))&amp;"",""))))</f>
        <v/>
      </c>
      <c r="M1302" s="6" t="str">
        <f>IF($D1302="","",IF(ISNA(MATCH($D1302,'Paramètres'!$M:$M,0)),"⚠ Type inconnu",IF($L1302="Crédit","",IFERROR(INDEX('Paramètres'!$O:$O,MATCH($D1302,'Paramètres'!$M:$M,0))&amp;"",""))))</f>
        <v/>
      </c>
      <c r="N1302" s="6" t="str">
        <f>IF($D1302="","",IFERROR(INDEX('Paramètres'!$Q:$Q,MATCH($D1302,'Paramètres'!$M:$M,0))&amp;"",""))</f>
        <v/>
      </c>
      <c r="O1302" s="6" t="str">
        <f>IF($A1302="","",IF(OR($J1302&lt;&gt;"x",$A1302&lt;=FinReleve),1,0))</f>
        <v/>
      </c>
      <c r="P1302" s="6" t="str">
        <f>IF($D1302="","",IF(AND($L1302="Crédit",OR(IFERROR(INDEX('Paramètres'!$O:$O,MATCH($D1302,'Paramètres'!$M:$M,0))&amp;"","")&lt;&gt;"",ISNUMBER(SEARCH("remboursement",IFERROR(INDEX('Paramètres'!$N:$N,MATCH($D1302,'Paramètres'!$M:$M,0))&amp;"",""))))),1,0))</f>
        <v/>
      </c>
      <c r="Q1302" s="6" t="str">
        <f>IF($K1302="","",IF(ISNUMBER(SEARCH("transfert-interne",IFERROR(INDEX('Paramètres'!$N:$N,MATCH($D1302,'Paramètres'!$M:$M,0))&amp;"",""))),0,IF($L1302="Débit",$K1302,IF($P1302=1,-$K1302,0))))</f>
        <v/>
      </c>
      <c r="R1302" s="6" t="str">
        <f>IF($K1302="","",IF($L1302="Crédit",$K1302,-$K1302))</f>
        <v/>
      </c>
      <c r="S1302" s="6" t="str">
        <f>IF($C1302="","",IFERROR(INDEX('Paramètres'!$H:$H,MATCH($C1302,'Paramètres'!$D:$D,0))&amp;"",""))</f>
        <v/>
      </c>
      <c r="T1302" s="6" t="str">
        <f>IF($K1302="","",IF($S1302="",0,IF(ISNUMBER(SEARCH("apport-exterieur",IFERROR(INDEX('Paramètres'!$N:$N,MATCH($D1302,'Paramètres'!$M:$M,0))&amp;"",""))),0,IF(OR(IFERROR(INDEX('Paramètres'!$I:$I,MATCH($C1302,'Paramètres'!$D:$D,0))&amp;"","")="Les deux",IFERROR(INDEX('Paramètres'!$I:$I,MATCH($C1302,'Paramètres'!$D:$D,0))&amp;"","")=IF($P1302=1,"Débit",$L1302)),-IF($P1302=1,-$K1302,$K1302),0))))</f>
        <v/>
      </c>
      <c r="U1302" s="6" t="str">
        <f>IF($K1302="","",IF(ISNUMBER(SEARCH("sortie-epargne",IFERROR(INDEX('Paramètres'!$N:$N,MATCH($D1302,'Paramètres'!$M:$M,0))&amp;"",""))),$K1302,0))</f>
        <v/>
      </c>
      <c r="V1302" s="6" t="str">
        <f>IF(AND($A1302&lt;&gt;"",$O1302=1,$L1302="Débit",N($Q1302)&gt;0,$A1302&gt;=Visualisation!$B$1,$A1302&lt;Visualisation!$D$1),MAX($V$1:V1301)+1,"")</f>
        <v/>
      </c>
    </row>
    <row r="1303" spans="1:22" x14ac:dyDescent="0.25">
      <c r="A1303" s="9"/>
      <c r="E1303" s="10"/>
      <c r="K1303" s="11" t="str">
        <f>IF($E1303="","",ROUND($E1303*IF(ISNA(MATCH($C1303,'Paramètres'!$D:$D,0)),1,IF(INDEX('Paramètres'!$J:$J,MATCH($C1303,'Paramètres'!$D:$D,0))="",1,INDEX('Paramètres'!$J:$J,MATCH($C1303,'Paramètres'!$D:$D,0)))),2))</f>
        <v/>
      </c>
      <c r="L1303" s="6" t="str">
        <f>IF($D1303="","",IF($F1303&lt;&gt;"",$F1303,IF(ISNA(MATCH($D1303,'Paramètres'!$M:$M,0)),"⚠ Type inconnu",IFERROR(INDEX('Paramètres'!$P:$P,MATCH($D1303,'Paramètres'!$M:$M,0))&amp;"",""))))</f>
        <v/>
      </c>
      <c r="M1303" s="6" t="str">
        <f>IF($D1303="","",IF(ISNA(MATCH($D1303,'Paramètres'!$M:$M,0)),"⚠ Type inconnu",IF($L1303="Crédit","",IFERROR(INDEX('Paramètres'!$O:$O,MATCH($D1303,'Paramètres'!$M:$M,0))&amp;"",""))))</f>
        <v/>
      </c>
      <c r="N1303" s="6" t="str">
        <f>IF($D1303="","",IFERROR(INDEX('Paramètres'!$Q:$Q,MATCH($D1303,'Paramètres'!$M:$M,0))&amp;"",""))</f>
        <v/>
      </c>
      <c r="O1303" s="6" t="str">
        <f>IF($A1303="","",IF(OR($J1303&lt;&gt;"x",$A1303&lt;=FinReleve),1,0))</f>
        <v/>
      </c>
      <c r="P1303" s="6" t="str">
        <f>IF($D1303="","",IF(AND($L1303="Crédit",OR(IFERROR(INDEX('Paramètres'!$O:$O,MATCH($D1303,'Paramètres'!$M:$M,0))&amp;"","")&lt;&gt;"",ISNUMBER(SEARCH("remboursement",IFERROR(INDEX('Paramètres'!$N:$N,MATCH($D1303,'Paramètres'!$M:$M,0))&amp;"",""))))),1,0))</f>
        <v/>
      </c>
      <c r="Q1303" s="6" t="str">
        <f>IF($K1303="","",IF(ISNUMBER(SEARCH("transfert-interne",IFERROR(INDEX('Paramètres'!$N:$N,MATCH($D1303,'Paramètres'!$M:$M,0))&amp;"",""))),0,IF($L1303="Débit",$K1303,IF($P1303=1,-$K1303,0))))</f>
        <v/>
      </c>
      <c r="R1303" s="6" t="str">
        <f>IF($K1303="","",IF($L1303="Crédit",$K1303,-$K1303))</f>
        <v/>
      </c>
      <c r="S1303" s="6" t="str">
        <f>IF($C1303="","",IFERROR(INDEX('Paramètres'!$H:$H,MATCH($C1303,'Paramètres'!$D:$D,0))&amp;"",""))</f>
        <v/>
      </c>
      <c r="T1303" s="6" t="str">
        <f>IF($K1303="","",IF($S1303="",0,IF(ISNUMBER(SEARCH("apport-exterieur",IFERROR(INDEX('Paramètres'!$N:$N,MATCH($D1303,'Paramètres'!$M:$M,0))&amp;"",""))),0,IF(OR(IFERROR(INDEX('Paramètres'!$I:$I,MATCH($C1303,'Paramètres'!$D:$D,0))&amp;"","")="Les deux",IFERROR(INDEX('Paramètres'!$I:$I,MATCH($C1303,'Paramètres'!$D:$D,0))&amp;"","")=IF($P1303=1,"Débit",$L1303)),-IF($P1303=1,-$K1303,$K1303),0))))</f>
        <v/>
      </c>
      <c r="U1303" s="6" t="str">
        <f>IF($K1303="","",IF(ISNUMBER(SEARCH("sortie-epargne",IFERROR(INDEX('Paramètres'!$N:$N,MATCH($D1303,'Paramètres'!$M:$M,0))&amp;"",""))),$K1303,0))</f>
        <v/>
      </c>
      <c r="V1303" s="6" t="str">
        <f>IF(AND($A1303&lt;&gt;"",$O1303=1,$L1303="Débit",N($Q1303)&gt;0,$A1303&gt;=Visualisation!$B$1,$A1303&lt;Visualisation!$D$1),MAX($V$1:V1302)+1,"")</f>
        <v/>
      </c>
    </row>
    <row r="1304" spans="1:22" x14ac:dyDescent="0.25">
      <c r="A1304" s="9"/>
      <c r="E1304" s="10"/>
      <c r="K1304" s="11" t="str">
        <f>IF($E1304="","",ROUND($E1304*IF(ISNA(MATCH($C1304,'Paramètres'!$D:$D,0)),1,IF(INDEX('Paramètres'!$J:$J,MATCH($C1304,'Paramètres'!$D:$D,0))="",1,INDEX('Paramètres'!$J:$J,MATCH($C1304,'Paramètres'!$D:$D,0)))),2))</f>
        <v/>
      </c>
      <c r="L1304" s="6" t="str">
        <f>IF($D1304="","",IF($F1304&lt;&gt;"",$F1304,IF(ISNA(MATCH($D1304,'Paramètres'!$M:$M,0)),"⚠ Type inconnu",IFERROR(INDEX('Paramètres'!$P:$P,MATCH($D1304,'Paramètres'!$M:$M,0))&amp;"",""))))</f>
        <v/>
      </c>
      <c r="M1304" s="6" t="str">
        <f>IF($D1304="","",IF(ISNA(MATCH($D1304,'Paramètres'!$M:$M,0)),"⚠ Type inconnu",IF($L1304="Crédit","",IFERROR(INDEX('Paramètres'!$O:$O,MATCH($D1304,'Paramètres'!$M:$M,0))&amp;"",""))))</f>
        <v/>
      </c>
      <c r="N1304" s="6" t="str">
        <f>IF($D1304="","",IFERROR(INDEX('Paramètres'!$Q:$Q,MATCH($D1304,'Paramètres'!$M:$M,0))&amp;"",""))</f>
        <v/>
      </c>
      <c r="O1304" s="6" t="str">
        <f>IF($A1304="","",IF(OR($J1304&lt;&gt;"x",$A1304&lt;=FinReleve),1,0))</f>
        <v/>
      </c>
      <c r="P1304" s="6" t="str">
        <f>IF($D1304="","",IF(AND($L1304="Crédit",OR(IFERROR(INDEX('Paramètres'!$O:$O,MATCH($D1304,'Paramètres'!$M:$M,0))&amp;"","")&lt;&gt;"",ISNUMBER(SEARCH("remboursement",IFERROR(INDEX('Paramètres'!$N:$N,MATCH($D1304,'Paramètres'!$M:$M,0))&amp;"",""))))),1,0))</f>
        <v/>
      </c>
      <c r="Q1304" s="6" t="str">
        <f>IF($K1304="","",IF(ISNUMBER(SEARCH("transfert-interne",IFERROR(INDEX('Paramètres'!$N:$N,MATCH($D1304,'Paramètres'!$M:$M,0))&amp;"",""))),0,IF($L1304="Débit",$K1304,IF($P1304=1,-$K1304,0))))</f>
        <v/>
      </c>
      <c r="R1304" s="6" t="str">
        <f>IF($K1304="","",IF($L1304="Crédit",$K1304,-$K1304))</f>
        <v/>
      </c>
      <c r="S1304" s="6" t="str">
        <f>IF($C1304="","",IFERROR(INDEX('Paramètres'!$H:$H,MATCH($C1304,'Paramètres'!$D:$D,0))&amp;"",""))</f>
        <v/>
      </c>
      <c r="T1304" s="6" t="str">
        <f>IF($K1304="","",IF($S1304="",0,IF(ISNUMBER(SEARCH("apport-exterieur",IFERROR(INDEX('Paramètres'!$N:$N,MATCH($D1304,'Paramètres'!$M:$M,0))&amp;"",""))),0,IF(OR(IFERROR(INDEX('Paramètres'!$I:$I,MATCH($C1304,'Paramètres'!$D:$D,0))&amp;"","")="Les deux",IFERROR(INDEX('Paramètres'!$I:$I,MATCH($C1304,'Paramètres'!$D:$D,0))&amp;"","")=IF($P1304=1,"Débit",$L1304)),-IF($P1304=1,-$K1304,$K1304),0))))</f>
        <v/>
      </c>
      <c r="U1304" s="6" t="str">
        <f>IF($K1304="","",IF(ISNUMBER(SEARCH("sortie-epargne",IFERROR(INDEX('Paramètres'!$N:$N,MATCH($D1304,'Paramètres'!$M:$M,0))&amp;"",""))),$K1304,0))</f>
        <v/>
      </c>
      <c r="V1304" s="6" t="str">
        <f>IF(AND($A1304&lt;&gt;"",$O1304=1,$L1304="Débit",N($Q1304)&gt;0,$A1304&gt;=Visualisation!$B$1,$A1304&lt;Visualisation!$D$1),MAX($V$1:V1303)+1,"")</f>
        <v/>
      </c>
    </row>
    <row r="1305" spans="1:22" x14ac:dyDescent="0.25">
      <c r="A1305" s="9"/>
      <c r="E1305" s="10"/>
      <c r="K1305" s="11" t="str">
        <f>IF($E1305="","",ROUND($E1305*IF(ISNA(MATCH($C1305,'Paramètres'!$D:$D,0)),1,IF(INDEX('Paramètres'!$J:$J,MATCH($C1305,'Paramètres'!$D:$D,0))="",1,INDEX('Paramètres'!$J:$J,MATCH($C1305,'Paramètres'!$D:$D,0)))),2))</f>
        <v/>
      </c>
      <c r="L1305" s="6" t="str">
        <f>IF($D1305="","",IF($F1305&lt;&gt;"",$F1305,IF(ISNA(MATCH($D1305,'Paramètres'!$M:$M,0)),"⚠ Type inconnu",IFERROR(INDEX('Paramètres'!$P:$P,MATCH($D1305,'Paramètres'!$M:$M,0))&amp;"",""))))</f>
        <v/>
      </c>
      <c r="M1305" s="6" t="str">
        <f>IF($D1305="","",IF(ISNA(MATCH($D1305,'Paramètres'!$M:$M,0)),"⚠ Type inconnu",IF($L1305="Crédit","",IFERROR(INDEX('Paramètres'!$O:$O,MATCH($D1305,'Paramètres'!$M:$M,0))&amp;"",""))))</f>
        <v/>
      </c>
      <c r="N1305" s="6" t="str">
        <f>IF($D1305="","",IFERROR(INDEX('Paramètres'!$Q:$Q,MATCH($D1305,'Paramètres'!$M:$M,0))&amp;"",""))</f>
        <v/>
      </c>
      <c r="O1305" s="6" t="str">
        <f>IF($A1305="","",IF(OR($J1305&lt;&gt;"x",$A1305&lt;=FinReleve),1,0))</f>
        <v/>
      </c>
      <c r="P1305" s="6" t="str">
        <f>IF($D1305="","",IF(AND($L1305="Crédit",OR(IFERROR(INDEX('Paramètres'!$O:$O,MATCH($D1305,'Paramètres'!$M:$M,0))&amp;"","")&lt;&gt;"",ISNUMBER(SEARCH("remboursement",IFERROR(INDEX('Paramètres'!$N:$N,MATCH($D1305,'Paramètres'!$M:$M,0))&amp;"",""))))),1,0))</f>
        <v/>
      </c>
      <c r="Q1305" s="6" t="str">
        <f>IF($K1305="","",IF(ISNUMBER(SEARCH("transfert-interne",IFERROR(INDEX('Paramètres'!$N:$N,MATCH($D1305,'Paramètres'!$M:$M,0))&amp;"",""))),0,IF($L1305="Débit",$K1305,IF($P1305=1,-$K1305,0))))</f>
        <v/>
      </c>
      <c r="R1305" s="6" t="str">
        <f>IF($K1305="","",IF($L1305="Crédit",$K1305,-$K1305))</f>
        <v/>
      </c>
      <c r="S1305" s="6" t="str">
        <f>IF($C1305="","",IFERROR(INDEX('Paramètres'!$H:$H,MATCH($C1305,'Paramètres'!$D:$D,0))&amp;"",""))</f>
        <v/>
      </c>
      <c r="T1305" s="6" t="str">
        <f>IF($K1305="","",IF($S1305="",0,IF(ISNUMBER(SEARCH("apport-exterieur",IFERROR(INDEX('Paramètres'!$N:$N,MATCH($D1305,'Paramètres'!$M:$M,0))&amp;"",""))),0,IF(OR(IFERROR(INDEX('Paramètres'!$I:$I,MATCH($C1305,'Paramètres'!$D:$D,0))&amp;"","")="Les deux",IFERROR(INDEX('Paramètres'!$I:$I,MATCH($C1305,'Paramètres'!$D:$D,0))&amp;"","")=IF($P1305=1,"Débit",$L1305)),-IF($P1305=1,-$K1305,$K1305),0))))</f>
        <v/>
      </c>
      <c r="U1305" s="6" t="str">
        <f>IF($K1305="","",IF(ISNUMBER(SEARCH("sortie-epargne",IFERROR(INDEX('Paramètres'!$N:$N,MATCH($D1305,'Paramètres'!$M:$M,0))&amp;"",""))),$K1305,0))</f>
        <v/>
      </c>
      <c r="V1305" s="6" t="str">
        <f>IF(AND($A1305&lt;&gt;"",$O1305=1,$L1305="Débit",N($Q1305)&gt;0,$A1305&gt;=Visualisation!$B$1,$A1305&lt;Visualisation!$D$1),MAX($V$1:V1304)+1,"")</f>
        <v/>
      </c>
    </row>
    <row r="1306" spans="1:22" x14ac:dyDescent="0.25">
      <c r="A1306" s="9"/>
      <c r="E1306" s="10"/>
      <c r="K1306" s="11" t="str">
        <f>IF($E1306="","",ROUND($E1306*IF(ISNA(MATCH($C1306,'Paramètres'!$D:$D,0)),1,IF(INDEX('Paramètres'!$J:$J,MATCH($C1306,'Paramètres'!$D:$D,0))="",1,INDEX('Paramètres'!$J:$J,MATCH($C1306,'Paramètres'!$D:$D,0)))),2))</f>
        <v/>
      </c>
      <c r="L1306" s="6" t="str">
        <f>IF($D1306="","",IF($F1306&lt;&gt;"",$F1306,IF(ISNA(MATCH($D1306,'Paramètres'!$M:$M,0)),"⚠ Type inconnu",IFERROR(INDEX('Paramètres'!$P:$P,MATCH($D1306,'Paramètres'!$M:$M,0))&amp;"",""))))</f>
        <v/>
      </c>
      <c r="M1306" s="6" t="str">
        <f>IF($D1306="","",IF(ISNA(MATCH($D1306,'Paramètres'!$M:$M,0)),"⚠ Type inconnu",IF($L1306="Crédit","",IFERROR(INDEX('Paramètres'!$O:$O,MATCH($D1306,'Paramètres'!$M:$M,0))&amp;"",""))))</f>
        <v/>
      </c>
      <c r="N1306" s="6" t="str">
        <f>IF($D1306="","",IFERROR(INDEX('Paramètres'!$Q:$Q,MATCH($D1306,'Paramètres'!$M:$M,0))&amp;"",""))</f>
        <v/>
      </c>
      <c r="O1306" s="6" t="str">
        <f>IF($A1306="","",IF(OR($J1306&lt;&gt;"x",$A1306&lt;=FinReleve),1,0))</f>
        <v/>
      </c>
      <c r="P1306" s="6" t="str">
        <f>IF($D1306="","",IF(AND($L1306="Crédit",OR(IFERROR(INDEX('Paramètres'!$O:$O,MATCH($D1306,'Paramètres'!$M:$M,0))&amp;"","")&lt;&gt;"",ISNUMBER(SEARCH("remboursement",IFERROR(INDEX('Paramètres'!$N:$N,MATCH($D1306,'Paramètres'!$M:$M,0))&amp;"",""))))),1,0))</f>
        <v/>
      </c>
      <c r="Q1306" s="6" t="str">
        <f>IF($K1306="","",IF(ISNUMBER(SEARCH("transfert-interne",IFERROR(INDEX('Paramètres'!$N:$N,MATCH($D1306,'Paramètres'!$M:$M,0))&amp;"",""))),0,IF($L1306="Débit",$K1306,IF($P1306=1,-$K1306,0))))</f>
        <v/>
      </c>
      <c r="R1306" s="6" t="str">
        <f>IF($K1306="","",IF($L1306="Crédit",$K1306,-$K1306))</f>
        <v/>
      </c>
      <c r="S1306" s="6" t="str">
        <f>IF($C1306="","",IFERROR(INDEX('Paramètres'!$H:$H,MATCH($C1306,'Paramètres'!$D:$D,0))&amp;"",""))</f>
        <v/>
      </c>
      <c r="T1306" s="6" t="str">
        <f>IF($K1306="","",IF($S1306="",0,IF(ISNUMBER(SEARCH("apport-exterieur",IFERROR(INDEX('Paramètres'!$N:$N,MATCH($D1306,'Paramètres'!$M:$M,0))&amp;"",""))),0,IF(OR(IFERROR(INDEX('Paramètres'!$I:$I,MATCH($C1306,'Paramètres'!$D:$D,0))&amp;"","")="Les deux",IFERROR(INDEX('Paramètres'!$I:$I,MATCH($C1306,'Paramètres'!$D:$D,0))&amp;"","")=IF($P1306=1,"Débit",$L1306)),-IF($P1306=1,-$K1306,$K1306),0))))</f>
        <v/>
      </c>
      <c r="U1306" s="6" t="str">
        <f>IF($K1306="","",IF(ISNUMBER(SEARCH("sortie-epargne",IFERROR(INDEX('Paramètres'!$N:$N,MATCH($D1306,'Paramètres'!$M:$M,0))&amp;"",""))),$K1306,0))</f>
        <v/>
      </c>
      <c r="V1306" s="6" t="str">
        <f>IF(AND($A1306&lt;&gt;"",$O1306=1,$L1306="Débit",N($Q1306)&gt;0,$A1306&gt;=Visualisation!$B$1,$A1306&lt;Visualisation!$D$1),MAX($V$1:V1305)+1,"")</f>
        <v/>
      </c>
    </row>
    <row r="1307" spans="1:22" x14ac:dyDescent="0.25">
      <c r="A1307" s="9"/>
      <c r="E1307" s="10"/>
      <c r="K1307" s="11" t="str">
        <f>IF($E1307="","",ROUND($E1307*IF(ISNA(MATCH($C1307,'Paramètres'!$D:$D,0)),1,IF(INDEX('Paramètres'!$J:$J,MATCH($C1307,'Paramètres'!$D:$D,0))="",1,INDEX('Paramètres'!$J:$J,MATCH($C1307,'Paramètres'!$D:$D,0)))),2))</f>
        <v/>
      </c>
      <c r="L1307" s="6" t="str">
        <f>IF($D1307="","",IF($F1307&lt;&gt;"",$F1307,IF(ISNA(MATCH($D1307,'Paramètres'!$M:$M,0)),"⚠ Type inconnu",IFERROR(INDEX('Paramètres'!$P:$P,MATCH($D1307,'Paramètres'!$M:$M,0))&amp;"",""))))</f>
        <v/>
      </c>
      <c r="M1307" s="6" t="str">
        <f>IF($D1307="","",IF(ISNA(MATCH($D1307,'Paramètres'!$M:$M,0)),"⚠ Type inconnu",IF($L1307="Crédit","",IFERROR(INDEX('Paramètres'!$O:$O,MATCH($D1307,'Paramètres'!$M:$M,0))&amp;"",""))))</f>
        <v/>
      </c>
      <c r="N1307" s="6" t="str">
        <f>IF($D1307="","",IFERROR(INDEX('Paramètres'!$Q:$Q,MATCH($D1307,'Paramètres'!$M:$M,0))&amp;"",""))</f>
        <v/>
      </c>
      <c r="O1307" s="6" t="str">
        <f>IF($A1307="","",IF(OR($J1307&lt;&gt;"x",$A1307&lt;=FinReleve),1,0))</f>
        <v/>
      </c>
      <c r="P1307" s="6" t="str">
        <f>IF($D1307="","",IF(AND($L1307="Crédit",OR(IFERROR(INDEX('Paramètres'!$O:$O,MATCH($D1307,'Paramètres'!$M:$M,0))&amp;"","")&lt;&gt;"",ISNUMBER(SEARCH("remboursement",IFERROR(INDEX('Paramètres'!$N:$N,MATCH($D1307,'Paramètres'!$M:$M,0))&amp;"",""))))),1,0))</f>
        <v/>
      </c>
      <c r="Q1307" s="6" t="str">
        <f>IF($K1307="","",IF(ISNUMBER(SEARCH("transfert-interne",IFERROR(INDEX('Paramètres'!$N:$N,MATCH($D1307,'Paramètres'!$M:$M,0))&amp;"",""))),0,IF($L1307="Débit",$K1307,IF($P1307=1,-$K1307,0))))</f>
        <v/>
      </c>
      <c r="R1307" s="6" t="str">
        <f>IF($K1307="","",IF($L1307="Crédit",$K1307,-$K1307))</f>
        <v/>
      </c>
      <c r="S1307" s="6" t="str">
        <f>IF($C1307="","",IFERROR(INDEX('Paramètres'!$H:$H,MATCH($C1307,'Paramètres'!$D:$D,0))&amp;"",""))</f>
        <v/>
      </c>
      <c r="T1307" s="6" t="str">
        <f>IF($K1307="","",IF($S1307="",0,IF(ISNUMBER(SEARCH("apport-exterieur",IFERROR(INDEX('Paramètres'!$N:$N,MATCH($D1307,'Paramètres'!$M:$M,0))&amp;"",""))),0,IF(OR(IFERROR(INDEX('Paramètres'!$I:$I,MATCH($C1307,'Paramètres'!$D:$D,0))&amp;"","")="Les deux",IFERROR(INDEX('Paramètres'!$I:$I,MATCH($C1307,'Paramètres'!$D:$D,0))&amp;"","")=IF($P1307=1,"Débit",$L1307)),-IF($P1307=1,-$K1307,$K1307),0))))</f>
        <v/>
      </c>
      <c r="U1307" s="6" t="str">
        <f>IF($K1307="","",IF(ISNUMBER(SEARCH("sortie-epargne",IFERROR(INDEX('Paramètres'!$N:$N,MATCH($D1307,'Paramètres'!$M:$M,0))&amp;"",""))),$K1307,0))</f>
        <v/>
      </c>
      <c r="V1307" s="6" t="str">
        <f>IF(AND($A1307&lt;&gt;"",$O1307=1,$L1307="Débit",N($Q1307)&gt;0,$A1307&gt;=Visualisation!$B$1,$A1307&lt;Visualisation!$D$1),MAX($V$1:V1306)+1,"")</f>
        <v/>
      </c>
    </row>
    <row r="1308" spans="1:22" x14ac:dyDescent="0.25">
      <c r="A1308" s="9"/>
      <c r="E1308" s="10"/>
      <c r="K1308" s="11" t="str">
        <f>IF($E1308="","",ROUND($E1308*IF(ISNA(MATCH($C1308,'Paramètres'!$D:$D,0)),1,IF(INDEX('Paramètres'!$J:$J,MATCH($C1308,'Paramètres'!$D:$D,0))="",1,INDEX('Paramètres'!$J:$J,MATCH($C1308,'Paramètres'!$D:$D,0)))),2))</f>
        <v/>
      </c>
      <c r="L1308" s="6" t="str">
        <f>IF($D1308="","",IF($F1308&lt;&gt;"",$F1308,IF(ISNA(MATCH($D1308,'Paramètres'!$M:$M,0)),"⚠ Type inconnu",IFERROR(INDEX('Paramètres'!$P:$P,MATCH($D1308,'Paramètres'!$M:$M,0))&amp;"",""))))</f>
        <v/>
      </c>
      <c r="M1308" s="6" t="str">
        <f>IF($D1308="","",IF(ISNA(MATCH($D1308,'Paramètres'!$M:$M,0)),"⚠ Type inconnu",IF($L1308="Crédit","",IFERROR(INDEX('Paramètres'!$O:$O,MATCH($D1308,'Paramètres'!$M:$M,0))&amp;"",""))))</f>
        <v/>
      </c>
      <c r="N1308" s="6" t="str">
        <f>IF($D1308="","",IFERROR(INDEX('Paramètres'!$Q:$Q,MATCH($D1308,'Paramètres'!$M:$M,0))&amp;"",""))</f>
        <v/>
      </c>
      <c r="O1308" s="6" t="str">
        <f>IF($A1308="","",IF(OR($J1308&lt;&gt;"x",$A1308&lt;=FinReleve),1,0))</f>
        <v/>
      </c>
      <c r="P1308" s="6" t="str">
        <f>IF($D1308="","",IF(AND($L1308="Crédit",OR(IFERROR(INDEX('Paramètres'!$O:$O,MATCH($D1308,'Paramètres'!$M:$M,0))&amp;"","")&lt;&gt;"",ISNUMBER(SEARCH("remboursement",IFERROR(INDEX('Paramètres'!$N:$N,MATCH($D1308,'Paramètres'!$M:$M,0))&amp;"",""))))),1,0))</f>
        <v/>
      </c>
      <c r="Q1308" s="6" t="str">
        <f>IF($K1308="","",IF(ISNUMBER(SEARCH("transfert-interne",IFERROR(INDEX('Paramètres'!$N:$N,MATCH($D1308,'Paramètres'!$M:$M,0))&amp;"",""))),0,IF($L1308="Débit",$K1308,IF($P1308=1,-$K1308,0))))</f>
        <v/>
      </c>
      <c r="R1308" s="6" t="str">
        <f>IF($K1308="","",IF($L1308="Crédit",$K1308,-$K1308))</f>
        <v/>
      </c>
      <c r="S1308" s="6" t="str">
        <f>IF($C1308="","",IFERROR(INDEX('Paramètres'!$H:$H,MATCH($C1308,'Paramètres'!$D:$D,0))&amp;"",""))</f>
        <v/>
      </c>
      <c r="T1308" s="6" t="str">
        <f>IF($K1308="","",IF($S1308="",0,IF(ISNUMBER(SEARCH("apport-exterieur",IFERROR(INDEX('Paramètres'!$N:$N,MATCH($D1308,'Paramètres'!$M:$M,0))&amp;"",""))),0,IF(OR(IFERROR(INDEX('Paramètres'!$I:$I,MATCH($C1308,'Paramètres'!$D:$D,0))&amp;"","")="Les deux",IFERROR(INDEX('Paramètres'!$I:$I,MATCH($C1308,'Paramètres'!$D:$D,0))&amp;"","")=IF($P1308=1,"Débit",$L1308)),-IF($P1308=1,-$K1308,$K1308),0))))</f>
        <v/>
      </c>
      <c r="U1308" s="6" t="str">
        <f>IF($K1308="","",IF(ISNUMBER(SEARCH("sortie-epargne",IFERROR(INDEX('Paramètres'!$N:$N,MATCH($D1308,'Paramètres'!$M:$M,0))&amp;"",""))),$K1308,0))</f>
        <v/>
      </c>
      <c r="V1308" s="6" t="str">
        <f>IF(AND($A1308&lt;&gt;"",$O1308=1,$L1308="Débit",N($Q1308)&gt;0,$A1308&gt;=Visualisation!$B$1,$A1308&lt;Visualisation!$D$1),MAX($V$1:V1307)+1,"")</f>
        <v/>
      </c>
    </row>
    <row r="1309" spans="1:22" x14ac:dyDescent="0.25">
      <c r="A1309" s="9"/>
      <c r="E1309" s="10"/>
      <c r="K1309" s="11" t="str">
        <f>IF($E1309="","",ROUND($E1309*IF(ISNA(MATCH($C1309,'Paramètres'!$D:$D,0)),1,IF(INDEX('Paramètres'!$J:$J,MATCH($C1309,'Paramètres'!$D:$D,0))="",1,INDEX('Paramètres'!$J:$J,MATCH($C1309,'Paramètres'!$D:$D,0)))),2))</f>
        <v/>
      </c>
      <c r="L1309" s="6" t="str">
        <f>IF($D1309="","",IF($F1309&lt;&gt;"",$F1309,IF(ISNA(MATCH($D1309,'Paramètres'!$M:$M,0)),"⚠ Type inconnu",IFERROR(INDEX('Paramètres'!$P:$P,MATCH($D1309,'Paramètres'!$M:$M,0))&amp;"",""))))</f>
        <v/>
      </c>
      <c r="M1309" s="6" t="str">
        <f>IF($D1309="","",IF(ISNA(MATCH($D1309,'Paramètres'!$M:$M,0)),"⚠ Type inconnu",IF($L1309="Crédit","",IFERROR(INDEX('Paramètres'!$O:$O,MATCH($D1309,'Paramètres'!$M:$M,0))&amp;"",""))))</f>
        <v/>
      </c>
      <c r="N1309" s="6" t="str">
        <f>IF($D1309="","",IFERROR(INDEX('Paramètres'!$Q:$Q,MATCH($D1309,'Paramètres'!$M:$M,0))&amp;"",""))</f>
        <v/>
      </c>
      <c r="O1309" s="6" t="str">
        <f>IF($A1309="","",IF(OR($J1309&lt;&gt;"x",$A1309&lt;=FinReleve),1,0))</f>
        <v/>
      </c>
      <c r="P1309" s="6" t="str">
        <f>IF($D1309="","",IF(AND($L1309="Crédit",OR(IFERROR(INDEX('Paramètres'!$O:$O,MATCH($D1309,'Paramètres'!$M:$M,0))&amp;"","")&lt;&gt;"",ISNUMBER(SEARCH("remboursement",IFERROR(INDEX('Paramètres'!$N:$N,MATCH($D1309,'Paramètres'!$M:$M,0))&amp;"",""))))),1,0))</f>
        <v/>
      </c>
      <c r="Q1309" s="6" t="str">
        <f>IF($K1309="","",IF(ISNUMBER(SEARCH("transfert-interne",IFERROR(INDEX('Paramètres'!$N:$N,MATCH($D1309,'Paramètres'!$M:$M,0))&amp;"",""))),0,IF($L1309="Débit",$K1309,IF($P1309=1,-$K1309,0))))</f>
        <v/>
      </c>
      <c r="R1309" s="6" t="str">
        <f>IF($K1309="","",IF($L1309="Crédit",$K1309,-$K1309))</f>
        <v/>
      </c>
      <c r="S1309" s="6" t="str">
        <f>IF($C1309="","",IFERROR(INDEX('Paramètres'!$H:$H,MATCH($C1309,'Paramètres'!$D:$D,0))&amp;"",""))</f>
        <v/>
      </c>
      <c r="T1309" s="6" t="str">
        <f>IF($K1309="","",IF($S1309="",0,IF(ISNUMBER(SEARCH("apport-exterieur",IFERROR(INDEX('Paramètres'!$N:$N,MATCH($D1309,'Paramètres'!$M:$M,0))&amp;"",""))),0,IF(OR(IFERROR(INDEX('Paramètres'!$I:$I,MATCH($C1309,'Paramètres'!$D:$D,0))&amp;"","")="Les deux",IFERROR(INDEX('Paramètres'!$I:$I,MATCH($C1309,'Paramètres'!$D:$D,0))&amp;"","")=IF($P1309=1,"Débit",$L1309)),-IF($P1309=1,-$K1309,$K1309),0))))</f>
        <v/>
      </c>
      <c r="U1309" s="6" t="str">
        <f>IF($K1309="","",IF(ISNUMBER(SEARCH("sortie-epargne",IFERROR(INDEX('Paramètres'!$N:$N,MATCH($D1309,'Paramètres'!$M:$M,0))&amp;"",""))),$K1309,0))</f>
        <v/>
      </c>
      <c r="V1309" s="6" t="str">
        <f>IF(AND($A1309&lt;&gt;"",$O1309=1,$L1309="Débit",N($Q1309)&gt;0,$A1309&gt;=Visualisation!$B$1,$A1309&lt;Visualisation!$D$1),MAX($V$1:V1308)+1,"")</f>
        <v/>
      </c>
    </row>
    <row r="1310" spans="1:22" x14ac:dyDescent="0.25">
      <c r="A1310" s="9"/>
      <c r="E1310" s="10"/>
      <c r="K1310" s="11" t="str">
        <f>IF($E1310="","",ROUND($E1310*IF(ISNA(MATCH($C1310,'Paramètres'!$D:$D,0)),1,IF(INDEX('Paramètres'!$J:$J,MATCH($C1310,'Paramètres'!$D:$D,0))="",1,INDEX('Paramètres'!$J:$J,MATCH($C1310,'Paramètres'!$D:$D,0)))),2))</f>
        <v/>
      </c>
      <c r="L1310" s="6" t="str">
        <f>IF($D1310="","",IF($F1310&lt;&gt;"",$F1310,IF(ISNA(MATCH($D1310,'Paramètres'!$M:$M,0)),"⚠ Type inconnu",IFERROR(INDEX('Paramètres'!$P:$P,MATCH($D1310,'Paramètres'!$M:$M,0))&amp;"",""))))</f>
        <v/>
      </c>
      <c r="M1310" s="6" t="str">
        <f>IF($D1310="","",IF(ISNA(MATCH($D1310,'Paramètres'!$M:$M,0)),"⚠ Type inconnu",IF($L1310="Crédit","",IFERROR(INDEX('Paramètres'!$O:$O,MATCH($D1310,'Paramètres'!$M:$M,0))&amp;"",""))))</f>
        <v/>
      </c>
      <c r="N1310" s="6" t="str">
        <f>IF($D1310="","",IFERROR(INDEX('Paramètres'!$Q:$Q,MATCH($D1310,'Paramètres'!$M:$M,0))&amp;"",""))</f>
        <v/>
      </c>
      <c r="O1310" s="6" t="str">
        <f>IF($A1310="","",IF(OR($J1310&lt;&gt;"x",$A1310&lt;=FinReleve),1,0))</f>
        <v/>
      </c>
      <c r="P1310" s="6" t="str">
        <f>IF($D1310="","",IF(AND($L1310="Crédit",OR(IFERROR(INDEX('Paramètres'!$O:$O,MATCH($D1310,'Paramètres'!$M:$M,0))&amp;"","")&lt;&gt;"",ISNUMBER(SEARCH("remboursement",IFERROR(INDEX('Paramètres'!$N:$N,MATCH($D1310,'Paramètres'!$M:$M,0))&amp;"",""))))),1,0))</f>
        <v/>
      </c>
      <c r="Q1310" s="6" t="str">
        <f>IF($K1310="","",IF(ISNUMBER(SEARCH("transfert-interne",IFERROR(INDEX('Paramètres'!$N:$N,MATCH($D1310,'Paramètres'!$M:$M,0))&amp;"",""))),0,IF($L1310="Débit",$K1310,IF($P1310=1,-$K1310,0))))</f>
        <v/>
      </c>
      <c r="R1310" s="6" t="str">
        <f>IF($K1310="","",IF($L1310="Crédit",$K1310,-$K1310))</f>
        <v/>
      </c>
      <c r="S1310" s="6" t="str">
        <f>IF($C1310="","",IFERROR(INDEX('Paramètres'!$H:$H,MATCH($C1310,'Paramètres'!$D:$D,0))&amp;"",""))</f>
        <v/>
      </c>
      <c r="T1310" s="6" t="str">
        <f>IF($K1310="","",IF($S1310="",0,IF(ISNUMBER(SEARCH("apport-exterieur",IFERROR(INDEX('Paramètres'!$N:$N,MATCH($D1310,'Paramètres'!$M:$M,0))&amp;"",""))),0,IF(OR(IFERROR(INDEX('Paramètres'!$I:$I,MATCH($C1310,'Paramètres'!$D:$D,0))&amp;"","")="Les deux",IFERROR(INDEX('Paramètres'!$I:$I,MATCH($C1310,'Paramètres'!$D:$D,0))&amp;"","")=IF($P1310=1,"Débit",$L1310)),-IF($P1310=1,-$K1310,$K1310),0))))</f>
        <v/>
      </c>
      <c r="U1310" s="6" t="str">
        <f>IF($K1310="","",IF(ISNUMBER(SEARCH("sortie-epargne",IFERROR(INDEX('Paramètres'!$N:$N,MATCH($D1310,'Paramètres'!$M:$M,0))&amp;"",""))),$K1310,0))</f>
        <v/>
      </c>
      <c r="V1310" s="6" t="str">
        <f>IF(AND($A1310&lt;&gt;"",$O1310=1,$L1310="Débit",N($Q1310)&gt;0,$A1310&gt;=Visualisation!$B$1,$A1310&lt;Visualisation!$D$1),MAX($V$1:V1309)+1,"")</f>
        <v/>
      </c>
    </row>
    <row r="1311" spans="1:22" x14ac:dyDescent="0.25">
      <c r="A1311" s="9"/>
      <c r="E1311" s="10"/>
      <c r="K1311" s="11" t="str">
        <f>IF($E1311="","",ROUND($E1311*IF(ISNA(MATCH($C1311,'Paramètres'!$D:$D,0)),1,IF(INDEX('Paramètres'!$J:$J,MATCH($C1311,'Paramètres'!$D:$D,0))="",1,INDEX('Paramètres'!$J:$J,MATCH($C1311,'Paramètres'!$D:$D,0)))),2))</f>
        <v/>
      </c>
      <c r="L1311" s="6" t="str">
        <f>IF($D1311="","",IF($F1311&lt;&gt;"",$F1311,IF(ISNA(MATCH($D1311,'Paramètres'!$M:$M,0)),"⚠ Type inconnu",IFERROR(INDEX('Paramètres'!$P:$P,MATCH($D1311,'Paramètres'!$M:$M,0))&amp;"",""))))</f>
        <v/>
      </c>
      <c r="M1311" s="6" t="str">
        <f>IF($D1311="","",IF(ISNA(MATCH($D1311,'Paramètres'!$M:$M,0)),"⚠ Type inconnu",IF($L1311="Crédit","",IFERROR(INDEX('Paramètres'!$O:$O,MATCH($D1311,'Paramètres'!$M:$M,0))&amp;"",""))))</f>
        <v/>
      </c>
      <c r="N1311" s="6" t="str">
        <f>IF($D1311="","",IFERROR(INDEX('Paramètres'!$Q:$Q,MATCH($D1311,'Paramètres'!$M:$M,0))&amp;"",""))</f>
        <v/>
      </c>
      <c r="O1311" s="6" t="str">
        <f>IF($A1311="","",IF(OR($J1311&lt;&gt;"x",$A1311&lt;=FinReleve),1,0))</f>
        <v/>
      </c>
      <c r="P1311" s="6" t="str">
        <f>IF($D1311="","",IF(AND($L1311="Crédit",OR(IFERROR(INDEX('Paramètres'!$O:$O,MATCH($D1311,'Paramètres'!$M:$M,0))&amp;"","")&lt;&gt;"",ISNUMBER(SEARCH("remboursement",IFERROR(INDEX('Paramètres'!$N:$N,MATCH($D1311,'Paramètres'!$M:$M,0))&amp;"",""))))),1,0))</f>
        <v/>
      </c>
      <c r="Q1311" s="6" t="str">
        <f>IF($K1311="","",IF(ISNUMBER(SEARCH("transfert-interne",IFERROR(INDEX('Paramètres'!$N:$N,MATCH($D1311,'Paramètres'!$M:$M,0))&amp;"",""))),0,IF($L1311="Débit",$K1311,IF($P1311=1,-$K1311,0))))</f>
        <v/>
      </c>
      <c r="R1311" s="6" t="str">
        <f>IF($K1311="","",IF($L1311="Crédit",$K1311,-$K1311))</f>
        <v/>
      </c>
      <c r="S1311" s="6" t="str">
        <f>IF($C1311="","",IFERROR(INDEX('Paramètres'!$H:$H,MATCH($C1311,'Paramètres'!$D:$D,0))&amp;"",""))</f>
        <v/>
      </c>
      <c r="T1311" s="6" t="str">
        <f>IF($K1311="","",IF($S1311="",0,IF(ISNUMBER(SEARCH("apport-exterieur",IFERROR(INDEX('Paramètres'!$N:$N,MATCH($D1311,'Paramètres'!$M:$M,0))&amp;"",""))),0,IF(OR(IFERROR(INDEX('Paramètres'!$I:$I,MATCH($C1311,'Paramètres'!$D:$D,0))&amp;"","")="Les deux",IFERROR(INDEX('Paramètres'!$I:$I,MATCH($C1311,'Paramètres'!$D:$D,0))&amp;"","")=IF($P1311=1,"Débit",$L1311)),-IF($P1311=1,-$K1311,$K1311),0))))</f>
        <v/>
      </c>
      <c r="U1311" s="6" t="str">
        <f>IF($K1311="","",IF(ISNUMBER(SEARCH("sortie-epargne",IFERROR(INDEX('Paramètres'!$N:$N,MATCH($D1311,'Paramètres'!$M:$M,0))&amp;"",""))),$K1311,0))</f>
        <v/>
      </c>
      <c r="V1311" s="6" t="str">
        <f>IF(AND($A1311&lt;&gt;"",$O1311=1,$L1311="Débit",N($Q1311)&gt;0,$A1311&gt;=Visualisation!$B$1,$A1311&lt;Visualisation!$D$1),MAX($V$1:V1310)+1,"")</f>
        <v/>
      </c>
    </row>
    <row r="1312" spans="1:22" x14ac:dyDescent="0.25">
      <c r="A1312" s="9"/>
      <c r="E1312" s="10"/>
      <c r="K1312" s="11" t="str">
        <f>IF($E1312="","",ROUND($E1312*IF(ISNA(MATCH($C1312,'Paramètres'!$D:$D,0)),1,IF(INDEX('Paramètres'!$J:$J,MATCH($C1312,'Paramètres'!$D:$D,0))="",1,INDEX('Paramètres'!$J:$J,MATCH($C1312,'Paramètres'!$D:$D,0)))),2))</f>
        <v/>
      </c>
      <c r="L1312" s="6" t="str">
        <f>IF($D1312="","",IF($F1312&lt;&gt;"",$F1312,IF(ISNA(MATCH($D1312,'Paramètres'!$M:$M,0)),"⚠ Type inconnu",IFERROR(INDEX('Paramètres'!$P:$P,MATCH($D1312,'Paramètres'!$M:$M,0))&amp;"",""))))</f>
        <v/>
      </c>
      <c r="M1312" s="6" t="str">
        <f>IF($D1312="","",IF(ISNA(MATCH($D1312,'Paramètres'!$M:$M,0)),"⚠ Type inconnu",IF($L1312="Crédit","",IFERROR(INDEX('Paramètres'!$O:$O,MATCH($D1312,'Paramètres'!$M:$M,0))&amp;"",""))))</f>
        <v/>
      </c>
      <c r="N1312" s="6" t="str">
        <f>IF($D1312="","",IFERROR(INDEX('Paramètres'!$Q:$Q,MATCH($D1312,'Paramètres'!$M:$M,0))&amp;"",""))</f>
        <v/>
      </c>
      <c r="O1312" s="6" t="str">
        <f>IF($A1312="","",IF(OR($J1312&lt;&gt;"x",$A1312&lt;=FinReleve),1,0))</f>
        <v/>
      </c>
      <c r="P1312" s="6" t="str">
        <f>IF($D1312="","",IF(AND($L1312="Crédit",OR(IFERROR(INDEX('Paramètres'!$O:$O,MATCH($D1312,'Paramètres'!$M:$M,0))&amp;"","")&lt;&gt;"",ISNUMBER(SEARCH("remboursement",IFERROR(INDEX('Paramètres'!$N:$N,MATCH($D1312,'Paramètres'!$M:$M,0))&amp;"",""))))),1,0))</f>
        <v/>
      </c>
      <c r="Q1312" s="6" t="str">
        <f>IF($K1312="","",IF(ISNUMBER(SEARCH("transfert-interne",IFERROR(INDEX('Paramètres'!$N:$N,MATCH($D1312,'Paramètres'!$M:$M,0))&amp;"",""))),0,IF($L1312="Débit",$K1312,IF($P1312=1,-$K1312,0))))</f>
        <v/>
      </c>
      <c r="R1312" s="6" t="str">
        <f>IF($K1312="","",IF($L1312="Crédit",$K1312,-$K1312))</f>
        <v/>
      </c>
      <c r="S1312" s="6" t="str">
        <f>IF($C1312="","",IFERROR(INDEX('Paramètres'!$H:$H,MATCH($C1312,'Paramètres'!$D:$D,0))&amp;"",""))</f>
        <v/>
      </c>
      <c r="T1312" s="6" t="str">
        <f>IF($K1312="","",IF($S1312="",0,IF(ISNUMBER(SEARCH("apport-exterieur",IFERROR(INDEX('Paramètres'!$N:$N,MATCH($D1312,'Paramètres'!$M:$M,0))&amp;"",""))),0,IF(OR(IFERROR(INDEX('Paramètres'!$I:$I,MATCH($C1312,'Paramètres'!$D:$D,0))&amp;"","")="Les deux",IFERROR(INDEX('Paramètres'!$I:$I,MATCH($C1312,'Paramètres'!$D:$D,0))&amp;"","")=IF($P1312=1,"Débit",$L1312)),-IF($P1312=1,-$K1312,$K1312),0))))</f>
        <v/>
      </c>
      <c r="U1312" s="6" t="str">
        <f>IF($K1312="","",IF(ISNUMBER(SEARCH("sortie-epargne",IFERROR(INDEX('Paramètres'!$N:$N,MATCH($D1312,'Paramètres'!$M:$M,0))&amp;"",""))),$K1312,0))</f>
        <v/>
      </c>
      <c r="V1312" s="6" t="str">
        <f>IF(AND($A1312&lt;&gt;"",$O1312=1,$L1312="Débit",N($Q1312)&gt;0,$A1312&gt;=Visualisation!$B$1,$A1312&lt;Visualisation!$D$1),MAX($V$1:V1311)+1,"")</f>
        <v/>
      </c>
    </row>
    <row r="1313" spans="1:22" x14ac:dyDescent="0.25">
      <c r="A1313" s="9"/>
      <c r="E1313" s="10"/>
      <c r="K1313" s="11" t="str">
        <f>IF($E1313="","",ROUND($E1313*IF(ISNA(MATCH($C1313,'Paramètres'!$D:$D,0)),1,IF(INDEX('Paramètres'!$J:$J,MATCH($C1313,'Paramètres'!$D:$D,0))="",1,INDEX('Paramètres'!$J:$J,MATCH($C1313,'Paramètres'!$D:$D,0)))),2))</f>
        <v/>
      </c>
      <c r="L1313" s="6" t="str">
        <f>IF($D1313="","",IF($F1313&lt;&gt;"",$F1313,IF(ISNA(MATCH($D1313,'Paramètres'!$M:$M,0)),"⚠ Type inconnu",IFERROR(INDEX('Paramètres'!$P:$P,MATCH($D1313,'Paramètres'!$M:$M,0))&amp;"",""))))</f>
        <v/>
      </c>
      <c r="M1313" s="6" t="str">
        <f>IF($D1313="","",IF(ISNA(MATCH($D1313,'Paramètres'!$M:$M,0)),"⚠ Type inconnu",IF($L1313="Crédit","",IFERROR(INDEX('Paramètres'!$O:$O,MATCH($D1313,'Paramètres'!$M:$M,0))&amp;"",""))))</f>
        <v/>
      </c>
      <c r="N1313" s="6" t="str">
        <f>IF($D1313="","",IFERROR(INDEX('Paramètres'!$Q:$Q,MATCH($D1313,'Paramètres'!$M:$M,0))&amp;"",""))</f>
        <v/>
      </c>
      <c r="O1313" s="6" t="str">
        <f>IF($A1313="","",IF(OR($J1313&lt;&gt;"x",$A1313&lt;=FinReleve),1,0))</f>
        <v/>
      </c>
      <c r="P1313" s="6" t="str">
        <f>IF($D1313="","",IF(AND($L1313="Crédit",OR(IFERROR(INDEX('Paramètres'!$O:$O,MATCH($D1313,'Paramètres'!$M:$M,0))&amp;"","")&lt;&gt;"",ISNUMBER(SEARCH("remboursement",IFERROR(INDEX('Paramètres'!$N:$N,MATCH($D1313,'Paramètres'!$M:$M,0))&amp;"",""))))),1,0))</f>
        <v/>
      </c>
      <c r="Q1313" s="6" t="str">
        <f>IF($K1313="","",IF(ISNUMBER(SEARCH("transfert-interne",IFERROR(INDEX('Paramètres'!$N:$N,MATCH($D1313,'Paramètres'!$M:$M,0))&amp;"",""))),0,IF($L1313="Débit",$K1313,IF($P1313=1,-$K1313,0))))</f>
        <v/>
      </c>
      <c r="R1313" s="6" t="str">
        <f>IF($K1313="","",IF($L1313="Crédit",$K1313,-$K1313))</f>
        <v/>
      </c>
      <c r="S1313" s="6" t="str">
        <f>IF($C1313="","",IFERROR(INDEX('Paramètres'!$H:$H,MATCH($C1313,'Paramètres'!$D:$D,0))&amp;"",""))</f>
        <v/>
      </c>
      <c r="T1313" s="6" t="str">
        <f>IF($K1313="","",IF($S1313="",0,IF(ISNUMBER(SEARCH("apport-exterieur",IFERROR(INDEX('Paramètres'!$N:$N,MATCH($D1313,'Paramètres'!$M:$M,0))&amp;"",""))),0,IF(OR(IFERROR(INDEX('Paramètres'!$I:$I,MATCH($C1313,'Paramètres'!$D:$D,0))&amp;"","")="Les deux",IFERROR(INDEX('Paramètres'!$I:$I,MATCH($C1313,'Paramètres'!$D:$D,0))&amp;"","")=IF($P1313=1,"Débit",$L1313)),-IF($P1313=1,-$K1313,$K1313),0))))</f>
        <v/>
      </c>
      <c r="U1313" s="6" t="str">
        <f>IF($K1313="","",IF(ISNUMBER(SEARCH("sortie-epargne",IFERROR(INDEX('Paramètres'!$N:$N,MATCH($D1313,'Paramètres'!$M:$M,0))&amp;"",""))),$K1313,0))</f>
        <v/>
      </c>
      <c r="V1313" s="6" t="str">
        <f>IF(AND($A1313&lt;&gt;"",$O1313=1,$L1313="Débit",N($Q1313)&gt;0,$A1313&gt;=Visualisation!$B$1,$A1313&lt;Visualisation!$D$1),MAX($V$1:V1312)+1,"")</f>
        <v/>
      </c>
    </row>
    <row r="1314" spans="1:22" x14ac:dyDescent="0.25">
      <c r="A1314" s="9"/>
      <c r="E1314" s="10"/>
      <c r="K1314" s="11" t="str">
        <f>IF($E1314="","",ROUND($E1314*IF(ISNA(MATCH($C1314,'Paramètres'!$D:$D,0)),1,IF(INDEX('Paramètres'!$J:$J,MATCH($C1314,'Paramètres'!$D:$D,0))="",1,INDEX('Paramètres'!$J:$J,MATCH($C1314,'Paramètres'!$D:$D,0)))),2))</f>
        <v/>
      </c>
      <c r="L1314" s="6" t="str">
        <f>IF($D1314="","",IF($F1314&lt;&gt;"",$F1314,IF(ISNA(MATCH($D1314,'Paramètres'!$M:$M,0)),"⚠ Type inconnu",IFERROR(INDEX('Paramètres'!$P:$P,MATCH($D1314,'Paramètres'!$M:$M,0))&amp;"",""))))</f>
        <v/>
      </c>
      <c r="M1314" s="6" t="str">
        <f>IF($D1314="","",IF(ISNA(MATCH($D1314,'Paramètres'!$M:$M,0)),"⚠ Type inconnu",IF($L1314="Crédit","",IFERROR(INDEX('Paramètres'!$O:$O,MATCH($D1314,'Paramètres'!$M:$M,0))&amp;"",""))))</f>
        <v/>
      </c>
      <c r="N1314" s="6" t="str">
        <f>IF($D1314="","",IFERROR(INDEX('Paramètres'!$Q:$Q,MATCH($D1314,'Paramètres'!$M:$M,0))&amp;"",""))</f>
        <v/>
      </c>
      <c r="O1314" s="6" t="str">
        <f>IF($A1314="","",IF(OR($J1314&lt;&gt;"x",$A1314&lt;=FinReleve),1,0))</f>
        <v/>
      </c>
      <c r="P1314" s="6" t="str">
        <f>IF($D1314="","",IF(AND($L1314="Crédit",OR(IFERROR(INDEX('Paramètres'!$O:$O,MATCH($D1314,'Paramètres'!$M:$M,0))&amp;"","")&lt;&gt;"",ISNUMBER(SEARCH("remboursement",IFERROR(INDEX('Paramètres'!$N:$N,MATCH($D1314,'Paramètres'!$M:$M,0))&amp;"",""))))),1,0))</f>
        <v/>
      </c>
      <c r="Q1314" s="6" t="str">
        <f>IF($K1314="","",IF(ISNUMBER(SEARCH("transfert-interne",IFERROR(INDEX('Paramètres'!$N:$N,MATCH($D1314,'Paramètres'!$M:$M,0))&amp;"",""))),0,IF($L1314="Débit",$K1314,IF($P1314=1,-$K1314,0))))</f>
        <v/>
      </c>
      <c r="R1314" s="6" t="str">
        <f>IF($K1314="","",IF($L1314="Crédit",$K1314,-$K1314))</f>
        <v/>
      </c>
      <c r="S1314" s="6" t="str">
        <f>IF($C1314="","",IFERROR(INDEX('Paramètres'!$H:$H,MATCH($C1314,'Paramètres'!$D:$D,0))&amp;"",""))</f>
        <v/>
      </c>
      <c r="T1314" s="6" t="str">
        <f>IF($K1314="","",IF($S1314="",0,IF(ISNUMBER(SEARCH("apport-exterieur",IFERROR(INDEX('Paramètres'!$N:$N,MATCH($D1314,'Paramètres'!$M:$M,0))&amp;"",""))),0,IF(OR(IFERROR(INDEX('Paramètres'!$I:$I,MATCH($C1314,'Paramètres'!$D:$D,0))&amp;"","")="Les deux",IFERROR(INDEX('Paramètres'!$I:$I,MATCH($C1314,'Paramètres'!$D:$D,0))&amp;"","")=IF($P1314=1,"Débit",$L1314)),-IF($P1314=1,-$K1314,$K1314),0))))</f>
        <v/>
      </c>
      <c r="U1314" s="6" t="str">
        <f>IF($K1314="","",IF(ISNUMBER(SEARCH("sortie-epargne",IFERROR(INDEX('Paramètres'!$N:$N,MATCH($D1314,'Paramètres'!$M:$M,0))&amp;"",""))),$K1314,0))</f>
        <v/>
      </c>
      <c r="V1314" s="6" t="str">
        <f>IF(AND($A1314&lt;&gt;"",$O1314=1,$L1314="Débit",N($Q1314)&gt;0,$A1314&gt;=Visualisation!$B$1,$A1314&lt;Visualisation!$D$1),MAX($V$1:V1313)+1,"")</f>
        <v/>
      </c>
    </row>
    <row r="1315" spans="1:22" x14ac:dyDescent="0.25">
      <c r="A1315" s="9"/>
      <c r="E1315" s="10"/>
      <c r="K1315" s="11" t="str">
        <f>IF($E1315="","",ROUND($E1315*IF(ISNA(MATCH($C1315,'Paramètres'!$D:$D,0)),1,IF(INDEX('Paramètres'!$J:$J,MATCH($C1315,'Paramètres'!$D:$D,0))="",1,INDEX('Paramètres'!$J:$J,MATCH($C1315,'Paramètres'!$D:$D,0)))),2))</f>
        <v/>
      </c>
      <c r="L1315" s="6" t="str">
        <f>IF($D1315="","",IF($F1315&lt;&gt;"",$F1315,IF(ISNA(MATCH($D1315,'Paramètres'!$M:$M,0)),"⚠ Type inconnu",IFERROR(INDEX('Paramètres'!$P:$P,MATCH($D1315,'Paramètres'!$M:$M,0))&amp;"",""))))</f>
        <v/>
      </c>
      <c r="M1315" s="6" t="str">
        <f>IF($D1315="","",IF(ISNA(MATCH($D1315,'Paramètres'!$M:$M,0)),"⚠ Type inconnu",IF($L1315="Crédit","",IFERROR(INDEX('Paramètres'!$O:$O,MATCH($D1315,'Paramètres'!$M:$M,0))&amp;"",""))))</f>
        <v/>
      </c>
      <c r="N1315" s="6" t="str">
        <f>IF($D1315="","",IFERROR(INDEX('Paramètres'!$Q:$Q,MATCH($D1315,'Paramètres'!$M:$M,0))&amp;"",""))</f>
        <v/>
      </c>
      <c r="O1315" s="6" t="str">
        <f>IF($A1315="","",IF(OR($J1315&lt;&gt;"x",$A1315&lt;=FinReleve),1,0))</f>
        <v/>
      </c>
      <c r="P1315" s="6" t="str">
        <f>IF($D1315="","",IF(AND($L1315="Crédit",OR(IFERROR(INDEX('Paramètres'!$O:$O,MATCH($D1315,'Paramètres'!$M:$M,0))&amp;"","")&lt;&gt;"",ISNUMBER(SEARCH("remboursement",IFERROR(INDEX('Paramètres'!$N:$N,MATCH($D1315,'Paramètres'!$M:$M,0))&amp;"",""))))),1,0))</f>
        <v/>
      </c>
      <c r="Q1315" s="6" t="str">
        <f>IF($K1315="","",IF(ISNUMBER(SEARCH("transfert-interne",IFERROR(INDEX('Paramètres'!$N:$N,MATCH($D1315,'Paramètres'!$M:$M,0))&amp;"",""))),0,IF($L1315="Débit",$K1315,IF($P1315=1,-$K1315,0))))</f>
        <v/>
      </c>
      <c r="R1315" s="6" t="str">
        <f>IF($K1315="","",IF($L1315="Crédit",$K1315,-$K1315))</f>
        <v/>
      </c>
      <c r="S1315" s="6" t="str">
        <f>IF($C1315="","",IFERROR(INDEX('Paramètres'!$H:$H,MATCH($C1315,'Paramètres'!$D:$D,0))&amp;"",""))</f>
        <v/>
      </c>
      <c r="T1315" s="6" t="str">
        <f>IF($K1315="","",IF($S1315="",0,IF(ISNUMBER(SEARCH("apport-exterieur",IFERROR(INDEX('Paramètres'!$N:$N,MATCH($D1315,'Paramètres'!$M:$M,0))&amp;"",""))),0,IF(OR(IFERROR(INDEX('Paramètres'!$I:$I,MATCH($C1315,'Paramètres'!$D:$D,0))&amp;"","")="Les deux",IFERROR(INDEX('Paramètres'!$I:$I,MATCH($C1315,'Paramètres'!$D:$D,0))&amp;"","")=IF($P1315=1,"Débit",$L1315)),-IF($P1315=1,-$K1315,$K1315),0))))</f>
        <v/>
      </c>
      <c r="U1315" s="6" t="str">
        <f>IF($K1315="","",IF(ISNUMBER(SEARCH("sortie-epargne",IFERROR(INDEX('Paramètres'!$N:$N,MATCH($D1315,'Paramètres'!$M:$M,0))&amp;"",""))),$K1315,0))</f>
        <v/>
      </c>
      <c r="V1315" s="6" t="str">
        <f>IF(AND($A1315&lt;&gt;"",$O1315=1,$L1315="Débit",N($Q1315)&gt;0,$A1315&gt;=Visualisation!$B$1,$A1315&lt;Visualisation!$D$1),MAX($V$1:V1314)+1,"")</f>
        <v/>
      </c>
    </row>
    <row r="1316" spans="1:22" x14ac:dyDescent="0.25">
      <c r="A1316" s="9"/>
      <c r="E1316" s="10"/>
      <c r="K1316" s="11" t="str">
        <f>IF($E1316="","",ROUND($E1316*IF(ISNA(MATCH($C1316,'Paramètres'!$D:$D,0)),1,IF(INDEX('Paramètres'!$J:$J,MATCH($C1316,'Paramètres'!$D:$D,0))="",1,INDEX('Paramètres'!$J:$J,MATCH($C1316,'Paramètres'!$D:$D,0)))),2))</f>
        <v/>
      </c>
      <c r="L1316" s="6" t="str">
        <f>IF($D1316="","",IF($F1316&lt;&gt;"",$F1316,IF(ISNA(MATCH($D1316,'Paramètres'!$M:$M,0)),"⚠ Type inconnu",IFERROR(INDEX('Paramètres'!$P:$P,MATCH($D1316,'Paramètres'!$M:$M,0))&amp;"",""))))</f>
        <v/>
      </c>
      <c r="M1316" s="6" t="str">
        <f>IF($D1316="","",IF(ISNA(MATCH($D1316,'Paramètres'!$M:$M,0)),"⚠ Type inconnu",IF($L1316="Crédit","",IFERROR(INDEX('Paramètres'!$O:$O,MATCH($D1316,'Paramètres'!$M:$M,0))&amp;"",""))))</f>
        <v/>
      </c>
      <c r="N1316" s="6" t="str">
        <f>IF($D1316="","",IFERROR(INDEX('Paramètres'!$Q:$Q,MATCH($D1316,'Paramètres'!$M:$M,0))&amp;"",""))</f>
        <v/>
      </c>
      <c r="O1316" s="6" t="str">
        <f>IF($A1316="","",IF(OR($J1316&lt;&gt;"x",$A1316&lt;=FinReleve),1,0))</f>
        <v/>
      </c>
      <c r="P1316" s="6" t="str">
        <f>IF($D1316="","",IF(AND($L1316="Crédit",OR(IFERROR(INDEX('Paramètres'!$O:$O,MATCH($D1316,'Paramètres'!$M:$M,0))&amp;"","")&lt;&gt;"",ISNUMBER(SEARCH("remboursement",IFERROR(INDEX('Paramètres'!$N:$N,MATCH($D1316,'Paramètres'!$M:$M,0))&amp;"",""))))),1,0))</f>
        <v/>
      </c>
      <c r="Q1316" s="6" t="str">
        <f>IF($K1316="","",IF(ISNUMBER(SEARCH("transfert-interne",IFERROR(INDEX('Paramètres'!$N:$N,MATCH($D1316,'Paramètres'!$M:$M,0))&amp;"",""))),0,IF($L1316="Débit",$K1316,IF($P1316=1,-$K1316,0))))</f>
        <v/>
      </c>
      <c r="R1316" s="6" t="str">
        <f>IF($K1316="","",IF($L1316="Crédit",$K1316,-$K1316))</f>
        <v/>
      </c>
      <c r="S1316" s="6" t="str">
        <f>IF($C1316="","",IFERROR(INDEX('Paramètres'!$H:$H,MATCH($C1316,'Paramètres'!$D:$D,0))&amp;"",""))</f>
        <v/>
      </c>
      <c r="T1316" s="6" t="str">
        <f>IF($K1316="","",IF($S1316="",0,IF(ISNUMBER(SEARCH("apport-exterieur",IFERROR(INDEX('Paramètres'!$N:$N,MATCH($D1316,'Paramètres'!$M:$M,0))&amp;"",""))),0,IF(OR(IFERROR(INDEX('Paramètres'!$I:$I,MATCH($C1316,'Paramètres'!$D:$D,0))&amp;"","")="Les deux",IFERROR(INDEX('Paramètres'!$I:$I,MATCH($C1316,'Paramètres'!$D:$D,0))&amp;"","")=IF($P1316=1,"Débit",$L1316)),-IF($P1316=1,-$K1316,$K1316),0))))</f>
        <v/>
      </c>
      <c r="U1316" s="6" t="str">
        <f>IF($K1316="","",IF(ISNUMBER(SEARCH("sortie-epargne",IFERROR(INDEX('Paramètres'!$N:$N,MATCH($D1316,'Paramètres'!$M:$M,0))&amp;"",""))),$K1316,0))</f>
        <v/>
      </c>
      <c r="V1316" s="6" t="str">
        <f>IF(AND($A1316&lt;&gt;"",$O1316=1,$L1316="Débit",N($Q1316)&gt;0,$A1316&gt;=Visualisation!$B$1,$A1316&lt;Visualisation!$D$1),MAX($V$1:V1315)+1,"")</f>
        <v/>
      </c>
    </row>
    <row r="1317" spans="1:22" x14ac:dyDescent="0.25">
      <c r="A1317" s="9"/>
      <c r="E1317" s="10"/>
      <c r="K1317" s="11" t="str">
        <f>IF($E1317="","",ROUND($E1317*IF(ISNA(MATCH($C1317,'Paramètres'!$D:$D,0)),1,IF(INDEX('Paramètres'!$J:$J,MATCH($C1317,'Paramètres'!$D:$D,0))="",1,INDEX('Paramètres'!$J:$J,MATCH($C1317,'Paramètres'!$D:$D,0)))),2))</f>
        <v/>
      </c>
      <c r="L1317" s="6" t="str">
        <f>IF($D1317="","",IF($F1317&lt;&gt;"",$F1317,IF(ISNA(MATCH($D1317,'Paramètres'!$M:$M,0)),"⚠ Type inconnu",IFERROR(INDEX('Paramètres'!$P:$P,MATCH($D1317,'Paramètres'!$M:$M,0))&amp;"",""))))</f>
        <v/>
      </c>
      <c r="M1317" s="6" t="str">
        <f>IF($D1317="","",IF(ISNA(MATCH($D1317,'Paramètres'!$M:$M,0)),"⚠ Type inconnu",IF($L1317="Crédit","",IFERROR(INDEX('Paramètres'!$O:$O,MATCH($D1317,'Paramètres'!$M:$M,0))&amp;"",""))))</f>
        <v/>
      </c>
      <c r="N1317" s="6" t="str">
        <f>IF($D1317="","",IFERROR(INDEX('Paramètres'!$Q:$Q,MATCH($D1317,'Paramètres'!$M:$M,0))&amp;"",""))</f>
        <v/>
      </c>
      <c r="O1317" s="6" t="str">
        <f>IF($A1317="","",IF(OR($J1317&lt;&gt;"x",$A1317&lt;=FinReleve),1,0))</f>
        <v/>
      </c>
      <c r="P1317" s="6" t="str">
        <f>IF($D1317="","",IF(AND($L1317="Crédit",OR(IFERROR(INDEX('Paramètres'!$O:$O,MATCH($D1317,'Paramètres'!$M:$M,0))&amp;"","")&lt;&gt;"",ISNUMBER(SEARCH("remboursement",IFERROR(INDEX('Paramètres'!$N:$N,MATCH($D1317,'Paramètres'!$M:$M,0))&amp;"",""))))),1,0))</f>
        <v/>
      </c>
      <c r="Q1317" s="6" t="str">
        <f>IF($K1317="","",IF(ISNUMBER(SEARCH("transfert-interne",IFERROR(INDEX('Paramètres'!$N:$N,MATCH($D1317,'Paramètres'!$M:$M,0))&amp;"",""))),0,IF($L1317="Débit",$K1317,IF($P1317=1,-$K1317,0))))</f>
        <v/>
      </c>
      <c r="R1317" s="6" t="str">
        <f>IF($K1317="","",IF($L1317="Crédit",$K1317,-$K1317))</f>
        <v/>
      </c>
      <c r="S1317" s="6" t="str">
        <f>IF($C1317="","",IFERROR(INDEX('Paramètres'!$H:$H,MATCH($C1317,'Paramètres'!$D:$D,0))&amp;"",""))</f>
        <v/>
      </c>
      <c r="T1317" s="6" t="str">
        <f>IF($K1317="","",IF($S1317="",0,IF(ISNUMBER(SEARCH("apport-exterieur",IFERROR(INDEX('Paramètres'!$N:$N,MATCH($D1317,'Paramètres'!$M:$M,0))&amp;"",""))),0,IF(OR(IFERROR(INDEX('Paramètres'!$I:$I,MATCH($C1317,'Paramètres'!$D:$D,0))&amp;"","")="Les deux",IFERROR(INDEX('Paramètres'!$I:$I,MATCH($C1317,'Paramètres'!$D:$D,0))&amp;"","")=IF($P1317=1,"Débit",$L1317)),-IF($P1317=1,-$K1317,$K1317),0))))</f>
        <v/>
      </c>
      <c r="U1317" s="6" t="str">
        <f>IF($K1317="","",IF(ISNUMBER(SEARCH("sortie-epargne",IFERROR(INDEX('Paramètres'!$N:$N,MATCH($D1317,'Paramètres'!$M:$M,0))&amp;"",""))),$K1317,0))</f>
        <v/>
      </c>
      <c r="V1317" s="6" t="str">
        <f>IF(AND($A1317&lt;&gt;"",$O1317=1,$L1317="Débit",N($Q1317)&gt;0,$A1317&gt;=Visualisation!$B$1,$A1317&lt;Visualisation!$D$1),MAX($V$1:V1316)+1,"")</f>
        <v/>
      </c>
    </row>
    <row r="1318" spans="1:22" x14ac:dyDescent="0.25">
      <c r="A1318" s="9"/>
      <c r="E1318" s="10"/>
      <c r="K1318" s="11" t="str">
        <f>IF($E1318="","",ROUND($E1318*IF(ISNA(MATCH($C1318,'Paramètres'!$D:$D,0)),1,IF(INDEX('Paramètres'!$J:$J,MATCH($C1318,'Paramètres'!$D:$D,0))="",1,INDEX('Paramètres'!$J:$J,MATCH($C1318,'Paramètres'!$D:$D,0)))),2))</f>
        <v/>
      </c>
      <c r="L1318" s="6" t="str">
        <f>IF($D1318="","",IF($F1318&lt;&gt;"",$F1318,IF(ISNA(MATCH($D1318,'Paramètres'!$M:$M,0)),"⚠ Type inconnu",IFERROR(INDEX('Paramètres'!$P:$P,MATCH($D1318,'Paramètres'!$M:$M,0))&amp;"",""))))</f>
        <v/>
      </c>
      <c r="M1318" s="6" t="str">
        <f>IF($D1318="","",IF(ISNA(MATCH($D1318,'Paramètres'!$M:$M,0)),"⚠ Type inconnu",IF($L1318="Crédit","",IFERROR(INDEX('Paramètres'!$O:$O,MATCH($D1318,'Paramètres'!$M:$M,0))&amp;"",""))))</f>
        <v/>
      </c>
      <c r="N1318" s="6" t="str">
        <f>IF($D1318="","",IFERROR(INDEX('Paramètres'!$Q:$Q,MATCH($D1318,'Paramètres'!$M:$M,0))&amp;"",""))</f>
        <v/>
      </c>
      <c r="O1318" s="6" t="str">
        <f>IF($A1318="","",IF(OR($J1318&lt;&gt;"x",$A1318&lt;=FinReleve),1,0))</f>
        <v/>
      </c>
      <c r="P1318" s="6" t="str">
        <f>IF($D1318="","",IF(AND($L1318="Crédit",OR(IFERROR(INDEX('Paramètres'!$O:$O,MATCH($D1318,'Paramètres'!$M:$M,0))&amp;"","")&lt;&gt;"",ISNUMBER(SEARCH("remboursement",IFERROR(INDEX('Paramètres'!$N:$N,MATCH($D1318,'Paramètres'!$M:$M,0))&amp;"",""))))),1,0))</f>
        <v/>
      </c>
      <c r="Q1318" s="6" t="str">
        <f>IF($K1318="","",IF(ISNUMBER(SEARCH("transfert-interne",IFERROR(INDEX('Paramètres'!$N:$N,MATCH($D1318,'Paramètres'!$M:$M,0))&amp;"",""))),0,IF($L1318="Débit",$K1318,IF($P1318=1,-$K1318,0))))</f>
        <v/>
      </c>
      <c r="R1318" s="6" t="str">
        <f>IF($K1318="","",IF($L1318="Crédit",$K1318,-$K1318))</f>
        <v/>
      </c>
      <c r="S1318" s="6" t="str">
        <f>IF($C1318="","",IFERROR(INDEX('Paramètres'!$H:$H,MATCH($C1318,'Paramètres'!$D:$D,0))&amp;"",""))</f>
        <v/>
      </c>
      <c r="T1318" s="6" t="str">
        <f>IF($K1318="","",IF($S1318="",0,IF(ISNUMBER(SEARCH("apport-exterieur",IFERROR(INDEX('Paramètres'!$N:$N,MATCH($D1318,'Paramètres'!$M:$M,0))&amp;"",""))),0,IF(OR(IFERROR(INDEX('Paramètres'!$I:$I,MATCH($C1318,'Paramètres'!$D:$D,0))&amp;"","")="Les deux",IFERROR(INDEX('Paramètres'!$I:$I,MATCH($C1318,'Paramètres'!$D:$D,0))&amp;"","")=IF($P1318=1,"Débit",$L1318)),-IF($P1318=1,-$K1318,$K1318),0))))</f>
        <v/>
      </c>
      <c r="U1318" s="6" t="str">
        <f>IF($K1318="","",IF(ISNUMBER(SEARCH("sortie-epargne",IFERROR(INDEX('Paramètres'!$N:$N,MATCH($D1318,'Paramètres'!$M:$M,0))&amp;"",""))),$K1318,0))</f>
        <v/>
      </c>
      <c r="V1318" s="6" t="str">
        <f>IF(AND($A1318&lt;&gt;"",$O1318=1,$L1318="Débit",N($Q1318)&gt;0,$A1318&gt;=Visualisation!$B$1,$A1318&lt;Visualisation!$D$1),MAX($V$1:V1317)+1,"")</f>
        <v/>
      </c>
    </row>
    <row r="1319" spans="1:22" x14ac:dyDescent="0.25">
      <c r="A1319" s="9"/>
      <c r="E1319" s="10"/>
      <c r="K1319" s="11" t="str">
        <f>IF($E1319="","",ROUND($E1319*IF(ISNA(MATCH($C1319,'Paramètres'!$D:$D,0)),1,IF(INDEX('Paramètres'!$J:$J,MATCH($C1319,'Paramètres'!$D:$D,0))="",1,INDEX('Paramètres'!$J:$J,MATCH($C1319,'Paramètres'!$D:$D,0)))),2))</f>
        <v/>
      </c>
      <c r="L1319" s="6" t="str">
        <f>IF($D1319="","",IF($F1319&lt;&gt;"",$F1319,IF(ISNA(MATCH($D1319,'Paramètres'!$M:$M,0)),"⚠ Type inconnu",IFERROR(INDEX('Paramètres'!$P:$P,MATCH($D1319,'Paramètres'!$M:$M,0))&amp;"",""))))</f>
        <v/>
      </c>
      <c r="M1319" s="6" t="str">
        <f>IF($D1319="","",IF(ISNA(MATCH($D1319,'Paramètres'!$M:$M,0)),"⚠ Type inconnu",IF($L1319="Crédit","",IFERROR(INDEX('Paramètres'!$O:$O,MATCH($D1319,'Paramètres'!$M:$M,0))&amp;"",""))))</f>
        <v/>
      </c>
      <c r="N1319" s="6" t="str">
        <f>IF($D1319="","",IFERROR(INDEX('Paramètres'!$Q:$Q,MATCH($D1319,'Paramètres'!$M:$M,0))&amp;"",""))</f>
        <v/>
      </c>
      <c r="O1319" s="6" t="str">
        <f>IF($A1319="","",IF(OR($J1319&lt;&gt;"x",$A1319&lt;=FinReleve),1,0))</f>
        <v/>
      </c>
      <c r="P1319" s="6" t="str">
        <f>IF($D1319="","",IF(AND($L1319="Crédit",OR(IFERROR(INDEX('Paramètres'!$O:$O,MATCH($D1319,'Paramètres'!$M:$M,0))&amp;"","")&lt;&gt;"",ISNUMBER(SEARCH("remboursement",IFERROR(INDEX('Paramètres'!$N:$N,MATCH($D1319,'Paramètres'!$M:$M,0))&amp;"",""))))),1,0))</f>
        <v/>
      </c>
      <c r="Q1319" s="6" t="str">
        <f>IF($K1319="","",IF(ISNUMBER(SEARCH("transfert-interne",IFERROR(INDEX('Paramètres'!$N:$N,MATCH($D1319,'Paramètres'!$M:$M,0))&amp;"",""))),0,IF($L1319="Débit",$K1319,IF($P1319=1,-$K1319,0))))</f>
        <v/>
      </c>
      <c r="R1319" s="6" t="str">
        <f>IF($K1319="","",IF($L1319="Crédit",$K1319,-$K1319))</f>
        <v/>
      </c>
      <c r="S1319" s="6" t="str">
        <f>IF($C1319="","",IFERROR(INDEX('Paramètres'!$H:$H,MATCH($C1319,'Paramètres'!$D:$D,0))&amp;"",""))</f>
        <v/>
      </c>
      <c r="T1319" s="6" t="str">
        <f>IF($K1319="","",IF($S1319="",0,IF(ISNUMBER(SEARCH("apport-exterieur",IFERROR(INDEX('Paramètres'!$N:$N,MATCH($D1319,'Paramètres'!$M:$M,0))&amp;"",""))),0,IF(OR(IFERROR(INDEX('Paramètres'!$I:$I,MATCH($C1319,'Paramètres'!$D:$D,0))&amp;"","")="Les deux",IFERROR(INDEX('Paramètres'!$I:$I,MATCH($C1319,'Paramètres'!$D:$D,0))&amp;"","")=IF($P1319=1,"Débit",$L1319)),-IF($P1319=1,-$K1319,$K1319),0))))</f>
        <v/>
      </c>
      <c r="U1319" s="6" t="str">
        <f>IF($K1319="","",IF(ISNUMBER(SEARCH("sortie-epargne",IFERROR(INDEX('Paramètres'!$N:$N,MATCH($D1319,'Paramètres'!$M:$M,0))&amp;"",""))),$K1319,0))</f>
        <v/>
      </c>
      <c r="V1319" s="6" t="str">
        <f>IF(AND($A1319&lt;&gt;"",$O1319=1,$L1319="Débit",N($Q1319)&gt;0,$A1319&gt;=Visualisation!$B$1,$A1319&lt;Visualisation!$D$1),MAX($V$1:V1318)+1,"")</f>
        <v/>
      </c>
    </row>
    <row r="1320" spans="1:22" x14ac:dyDescent="0.25">
      <c r="A1320" s="9"/>
      <c r="E1320" s="10"/>
      <c r="K1320" s="11" t="str">
        <f>IF($E1320="","",ROUND($E1320*IF(ISNA(MATCH($C1320,'Paramètres'!$D:$D,0)),1,IF(INDEX('Paramètres'!$J:$J,MATCH($C1320,'Paramètres'!$D:$D,0))="",1,INDEX('Paramètres'!$J:$J,MATCH($C1320,'Paramètres'!$D:$D,0)))),2))</f>
        <v/>
      </c>
      <c r="L1320" s="6" t="str">
        <f>IF($D1320="","",IF($F1320&lt;&gt;"",$F1320,IF(ISNA(MATCH($D1320,'Paramètres'!$M:$M,0)),"⚠ Type inconnu",IFERROR(INDEX('Paramètres'!$P:$P,MATCH($D1320,'Paramètres'!$M:$M,0))&amp;"",""))))</f>
        <v/>
      </c>
      <c r="M1320" s="6" t="str">
        <f>IF($D1320="","",IF(ISNA(MATCH($D1320,'Paramètres'!$M:$M,0)),"⚠ Type inconnu",IF($L1320="Crédit","",IFERROR(INDEX('Paramètres'!$O:$O,MATCH($D1320,'Paramètres'!$M:$M,0))&amp;"",""))))</f>
        <v/>
      </c>
      <c r="N1320" s="6" t="str">
        <f>IF($D1320="","",IFERROR(INDEX('Paramètres'!$Q:$Q,MATCH($D1320,'Paramètres'!$M:$M,0))&amp;"",""))</f>
        <v/>
      </c>
      <c r="O1320" s="6" t="str">
        <f>IF($A1320="","",IF(OR($J1320&lt;&gt;"x",$A1320&lt;=FinReleve),1,0))</f>
        <v/>
      </c>
      <c r="P1320" s="6" t="str">
        <f>IF($D1320="","",IF(AND($L1320="Crédit",OR(IFERROR(INDEX('Paramètres'!$O:$O,MATCH($D1320,'Paramètres'!$M:$M,0))&amp;"","")&lt;&gt;"",ISNUMBER(SEARCH("remboursement",IFERROR(INDEX('Paramètres'!$N:$N,MATCH($D1320,'Paramètres'!$M:$M,0))&amp;"",""))))),1,0))</f>
        <v/>
      </c>
      <c r="Q1320" s="6" t="str">
        <f>IF($K1320="","",IF(ISNUMBER(SEARCH("transfert-interne",IFERROR(INDEX('Paramètres'!$N:$N,MATCH($D1320,'Paramètres'!$M:$M,0))&amp;"",""))),0,IF($L1320="Débit",$K1320,IF($P1320=1,-$K1320,0))))</f>
        <v/>
      </c>
      <c r="R1320" s="6" t="str">
        <f>IF($K1320="","",IF($L1320="Crédit",$K1320,-$K1320))</f>
        <v/>
      </c>
      <c r="S1320" s="6" t="str">
        <f>IF($C1320="","",IFERROR(INDEX('Paramètres'!$H:$H,MATCH($C1320,'Paramètres'!$D:$D,0))&amp;"",""))</f>
        <v/>
      </c>
      <c r="T1320" s="6" t="str">
        <f>IF($K1320="","",IF($S1320="",0,IF(ISNUMBER(SEARCH("apport-exterieur",IFERROR(INDEX('Paramètres'!$N:$N,MATCH($D1320,'Paramètres'!$M:$M,0))&amp;"",""))),0,IF(OR(IFERROR(INDEX('Paramètres'!$I:$I,MATCH($C1320,'Paramètres'!$D:$D,0))&amp;"","")="Les deux",IFERROR(INDEX('Paramètres'!$I:$I,MATCH($C1320,'Paramètres'!$D:$D,0))&amp;"","")=IF($P1320=1,"Débit",$L1320)),-IF($P1320=1,-$K1320,$K1320),0))))</f>
        <v/>
      </c>
      <c r="U1320" s="6" t="str">
        <f>IF($K1320="","",IF(ISNUMBER(SEARCH("sortie-epargne",IFERROR(INDEX('Paramètres'!$N:$N,MATCH($D1320,'Paramètres'!$M:$M,0))&amp;"",""))),$K1320,0))</f>
        <v/>
      </c>
      <c r="V1320" s="6" t="str">
        <f>IF(AND($A1320&lt;&gt;"",$O1320=1,$L1320="Débit",N($Q1320)&gt;0,$A1320&gt;=Visualisation!$B$1,$A1320&lt;Visualisation!$D$1),MAX($V$1:V1319)+1,"")</f>
        <v/>
      </c>
    </row>
    <row r="1321" spans="1:22" x14ac:dyDescent="0.25">
      <c r="A1321" s="9"/>
      <c r="E1321" s="10"/>
      <c r="K1321" s="11" t="str">
        <f>IF($E1321="","",ROUND($E1321*IF(ISNA(MATCH($C1321,'Paramètres'!$D:$D,0)),1,IF(INDEX('Paramètres'!$J:$J,MATCH($C1321,'Paramètres'!$D:$D,0))="",1,INDEX('Paramètres'!$J:$J,MATCH($C1321,'Paramètres'!$D:$D,0)))),2))</f>
        <v/>
      </c>
      <c r="L1321" s="6" t="str">
        <f>IF($D1321="","",IF($F1321&lt;&gt;"",$F1321,IF(ISNA(MATCH($D1321,'Paramètres'!$M:$M,0)),"⚠ Type inconnu",IFERROR(INDEX('Paramètres'!$P:$P,MATCH($D1321,'Paramètres'!$M:$M,0))&amp;"",""))))</f>
        <v/>
      </c>
      <c r="M1321" s="6" t="str">
        <f>IF($D1321="","",IF(ISNA(MATCH($D1321,'Paramètres'!$M:$M,0)),"⚠ Type inconnu",IF($L1321="Crédit","",IFERROR(INDEX('Paramètres'!$O:$O,MATCH($D1321,'Paramètres'!$M:$M,0))&amp;"",""))))</f>
        <v/>
      </c>
      <c r="N1321" s="6" t="str">
        <f>IF($D1321="","",IFERROR(INDEX('Paramètres'!$Q:$Q,MATCH($D1321,'Paramètres'!$M:$M,0))&amp;"",""))</f>
        <v/>
      </c>
      <c r="O1321" s="6" t="str">
        <f>IF($A1321="","",IF(OR($J1321&lt;&gt;"x",$A1321&lt;=FinReleve),1,0))</f>
        <v/>
      </c>
      <c r="P1321" s="6" t="str">
        <f>IF($D1321="","",IF(AND($L1321="Crédit",OR(IFERROR(INDEX('Paramètres'!$O:$O,MATCH($D1321,'Paramètres'!$M:$M,0))&amp;"","")&lt;&gt;"",ISNUMBER(SEARCH("remboursement",IFERROR(INDEX('Paramètres'!$N:$N,MATCH($D1321,'Paramètres'!$M:$M,0))&amp;"",""))))),1,0))</f>
        <v/>
      </c>
      <c r="Q1321" s="6" t="str">
        <f>IF($K1321="","",IF(ISNUMBER(SEARCH("transfert-interne",IFERROR(INDEX('Paramètres'!$N:$N,MATCH($D1321,'Paramètres'!$M:$M,0))&amp;"",""))),0,IF($L1321="Débit",$K1321,IF($P1321=1,-$K1321,0))))</f>
        <v/>
      </c>
      <c r="R1321" s="6" t="str">
        <f>IF($K1321="","",IF($L1321="Crédit",$K1321,-$K1321))</f>
        <v/>
      </c>
      <c r="S1321" s="6" t="str">
        <f>IF($C1321="","",IFERROR(INDEX('Paramètres'!$H:$H,MATCH($C1321,'Paramètres'!$D:$D,0))&amp;"",""))</f>
        <v/>
      </c>
      <c r="T1321" s="6" t="str">
        <f>IF($K1321="","",IF($S1321="",0,IF(ISNUMBER(SEARCH("apport-exterieur",IFERROR(INDEX('Paramètres'!$N:$N,MATCH($D1321,'Paramètres'!$M:$M,0))&amp;"",""))),0,IF(OR(IFERROR(INDEX('Paramètres'!$I:$I,MATCH($C1321,'Paramètres'!$D:$D,0))&amp;"","")="Les deux",IFERROR(INDEX('Paramètres'!$I:$I,MATCH($C1321,'Paramètres'!$D:$D,0))&amp;"","")=IF($P1321=1,"Débit",$L1321)),-IF($P1321=1,-$K1321,$K1321),0))))</f>
        <v/>
      </c>
      <c r="U1321" s="6" t="str">
        <f>IF($K1321="","",IF(ISNUMBER(SEARCH("sortie-epargne",IFERROR(INDEX('Paramètres'!$N:$N,MATCH($D1321,'Paramètres'!$M:$M,0))&amp;"",""))),$K1321,0))</f>
        <v/>
      </c>
      <c r="V1321" s="6" t="str">
        <f>IF(AND($A1321&lt;&gt;"",$O1321=1,$L1321="Débit",N($Q1321)&gt;0,$A1321&gt;=Visualisation!$B$1,$A1321&lt;Visualisation!$D$1),MAX($V$1:V1320)+1,"")</f>
        <v/>
      </c>
    </row>
    <row r="1322" spans="1:22" x14ac:dyDescent="0.25">
      <c r="A1322" s="9"/>
      <c r="E1322" s="10"/>
      <c r="K1322" s="11" t="str">
        <f>IF($E1322="","",ROUND($E1322*IF(ISNA(MATCH($C1322,'Paramètres'!$D:$D,0)),1,IF(INDEX('Paramètres'!$J:$J,MATCH($C1322,'Paramètres'!$D:$D,0))="",1,INDEX('Paramètres'!$J:$J,MATCH($C1322,'Paramètres'!$D:$D,0)))),2))</f>
        <v/>
      </c>
      <c r="L1322" s="6" t="str">
        <f>IF($D1322="","",IF($F1322&lt;&gt;"",$F1322,IF(ISNA(MATCH($D1322,'Paramètres'!$M:$M,0)),"⚠ Type inconnu",IFERROR(INDEX('Paramètres'!$P:$P,MATCH($D1322,'Paramètres'!$M:$M,0))&amp;"",""))))</f>
        <v/>
      </c>
      <c r="M1322" s="6" t="str">
        <f>IF($D1322="","",IF(ISNA(MATCH($D1322,'Paramètres'!$M:$M,0)),"⚠ Type inconnu",IF($L1322="Crédit","",IFERROR(INDEX('Paramètres'!$O:$O,MATCH($D1322,'Paramètres'!$M:$M,0))&amp;"",""))))</f>
        <v/>
      </c>
      <c r="N1322" s="6" t="str">
        <f>IF($D1322="","",IFERROR(INDEX('Paramètres'!$Q:$Q,MATCH($D1322,'Paramètres'!$M:$M,0))&amp;"",""))</f>
        <v/>
      </c>
      <c r="O1322" s="6" t="str">
        <f>IF($A1322="","",IF(OR($J1322&lt;&gt;"x",$A1322&lt;=FinReleve),1,0))</f>
        <v/>
      </c>
      <c r="P1322" s="6" t="str">
        <f>IF($D1322="","",IF(AND($L1322="Crédit",OR(IFERROR(INDEX('Paramètres'!$O:$O,MATCH($D1322,'Paramètres'!$M:$M,0))&amp;"","")&lt;&gt;"",ISNUMBER(SEARCH("remboursement",IFERROR(INDEX('Paramètres'!$N:$N,MATCH($D1322,'Paramètres'!$M:$M,0))&amp;"",""))))),1,0))</f>
        <v/>
      </c>
      <c r="Q1322" s="6" t="str">
        <f>IF($K1322="","",IF(ISNUMBER(SEARCH("transfert-interne",IFERROR(INDEX('Paramètres'!$N:$N,MATCH($D1322,'Paramètres'!$M:$M,0))&amp;"",""))),0,IF($L1322="Débit",$K1322,IF($P1322=1,-$K1322,0))))</f>
        <v/>
      </c>
      <c r="R1322" s="6" t="str">
        <f>IF($K1322="","",IF($L1322="Crédit",$K1322,-$K1322))</f>
        <v/>
      </c>
      <c r="S1322" s="6" t="str">
        <f>IF($C1322="","",IFERROR(INDEX('Paramètres'!$H:$H,MATCH($C1322,'Paramètres'!$D:$D,0))&amp;"",""))</f>
        <v/>
      </c>
      <c r="T1322" s="6" t="str">
        <f>IF($K1322="","",IF($S1322="",0,IF(ISNUMBER(SEARCH("apport-exterieur",IFERROR(INDEX('Paramètres'!$N:$N,MATCH($D1322,'Paramètres'!$M:$M,0))&amp;"",""))),0,IF(OR(IFERROR(INDEX('Paramètres'!$I:$I,MATCH($C1322,'Paramètres'!$D:$D,0))&amp;"","")="Les deux",IFERROR(INDEX('Paramètres'!$I:$I,MATCH($C1322,'Paramètres'!$D:$D,0))&amp;"","")=IF($P1322=1,"Débit",$L1322)),-IF($P1322=1,-$K1322,$K1322),0))))</f>
        <v/>
      </c>
      <c r="U1322" s="6" t="str">
        <f>IF($K1322="","",IF(ISNUMBER(SEARCH("sortie-epargne",IFERROR(INDEX('Paramètres'!$N:$N,MATCH($D1322,'Paramètres'!$M:$M,0))&amp;"",""))),$K1322,0))</f>
        <v/>
      </c>
      <c r="V1322" s="6" t="str">
        <f>IF(AND($A1322&lt;&gt;"",$O1322=1,$L1322="Débit",N($Q1322)&gt;0,$A1322&gt;=Visualisation!$B$1,$A1322&lt;Visualisation!$D$1),MAX($V$1:V1321)+1,"")</f>
        <v/>
      </c>
    </row>
    <row r="1323" spans="1:22" x14ac:dyDescent="0.25">
      <c r="A1323" s="9"/>
      <c r="E1323" s="10"/>
      <c r="K1323" s="11" t="str">
        <f>IF($E1323="","",ROUND($E1323*IF(ISNA(MATCH($C1323,'Paramètres'!$D:$D,0)),1,IF(INDEX('Paramètres'!$J:$J,MATCH($C1323,'Paramètres'!$D:$D,0))="",1,INDEX('Paramètres'!$J:$J,MATCH($C1323,'Paramètres'!$D:$D,0)))),2))</f>
        <v/>
      </c>
      <c r="L1323" s="6" t="str">
        <f>IF($D1323="","",IF($F1323&lt;&gt;"",$F1323,IF(ISNA(MATCH($D1323,'Paramètres'!$M:$M,0)),"⚠ Type inconnu",IFERROR(INDEX('Paramètres'!$P:$P,MATCH($D1323,'Paramètres'!$M:$M,0))&amp;"",""))))</f>
        <v/>
      </c>
      <c r="M1323" s="6" t="str">
        <f>IF($D1323="","",IF(ISNA(MATCH($D1323,'Paramètres'!$M:$M,0)),"⚠ Type inconnu",IF($L1323="Crédit","",IFERROR(INDEX('Paramètres'!$O:$O,MATCH($D1323,'Paramètres'!$M:$M,0))&amp;"",""))))</f>
        <v/>
      </c>
      <c r="N1323" s="6" t="str">
        <f>IF($D1323="","",IFERROR(INDEX('Paramètres'!$Q:$Q,MATCH($D1323,'Paramètres'!$M:$M,0))&amp;"",""))</f>
        <v/>
      </c>
      <c r="O1323" s="6" t="str">
        <f>IF($A1323="","",IF(OR($J1323&lt;&gt;"x",$A1323&lt;=FinReleve),1,0))</f>
        <v/>
      </c>
      <c r="P1323" s="6" t="str">
        <f>IF($D1323="","",IF(AND($L1323="Crédit",OR(IFERROR(INDEX('Paramètres'!$O:$O,MATCH($D1323,'Paramètres'!$M:$M,0))&amp;"","")&lt;&gt;"",ISNUMBER(SEARCH("remboursement",IFERROR(INDEX('Paramètres'!$N:$N,MATCH($D1323,'Paramètres'!$M:$M,0))&amp;"",""))))),1,0))</f>
        <v/>
      </c>
      <c r="Q1323" s="6" t="str">
        <f>IF($K1323="","",IF(ISNUMBER(SEARCH("transfert-interne",IFERROR(INDEX('Paramètres'!$N:$N,MATCH($D1323,'Paramètres'!$M:$M,0))&amp;"",""))),0,IF($L1323="Débit",$K1323,IF($P1323=1,-$K1323,0))))</f>
        <v/>
      </c>
      <c r="R1323" s="6" t="str">
        <f>IF($K1323="","",IF($L1323="Crédit",$K1323,-$K1323))</f>
        <v/>
      </c>
      <c r="S1323" s="6" t="str">
        <f>IF($C1323="","",IFERROR(INDEX('Paramètres'!$H:$H,MATCH($C1323,'Paramètres'!$D:$D,0))&amp;"",""))</f>
        <v/>
      </c>
      <c r="T1323" s="6" t="str">
        <f>IF($K1323="","",IF($S1323="",0,IF(ISNUMBER(SEARCH("apport-exterieur",IFERROR(INDEX('Paramètres'!$N:$N,MATCH($D1323,'Paramètres'!$M:$M,0))&amp;"",""))),0,IF(OR(IFERROR(INDEX('Paramètres'!$I:$I,MATCH($C1323,'Paramètres'!$D:$D,0))&amp;"","")="Les deux",IFERROR(INDEX('Paramètres'!$I:$I,MATCH($C1323,'Paramètres'!$D:$D,0))&amp;"","")=IF($P1323=1,"Débit",$L1323)),-IF($P1323=1,-$K1323,$K1323),0))))</f>
        <v/>
      </c>
      <c r="U1323" s="6" t="str">
        <f>IF($K1323="","",IF(ISNUMBER(SEARCH("sortie-epargne",IFERROR(INDEX('Paramètres'!$N:$N,MATCH($D1323,'Paramètres'!$M:$M,0))&amp;"",""))),$K1323,0))</f>
        <v/>
      </c>
      <c r="V1323" s="6" t="str">
        <f>IF(AND($A1323&lt;&gt;"",$O1323=1,$L1323="Débit",N($Q1323)&gt;0,$A1323&gt;=Visualisation!$B$1,$A1323&lt;Visualisation!$D$1),MAX($V$1:V1322)+1,"")</f>
        <v/>
      </c>
    </row>
    <row r="1324" spans="1:22" x14ac:dyDescent="0.25">
      <c r="A1324" s="9"/>
      <c r="E1324" s="10"/>
      <c r="K1324" s="11" t="str">
        <f>IF($E1324="","",ROUND($E1324*IF(ISNA(MATCH($C1324,'Paramètres'!$D:$D,0)),1,IF(INDEX('Paramètres'!$J:$J,MATCH($C1324,'Paramètres'!$D:$D,0))="",1,INDEX('Paramètres'!$J:$J,MATCH($C1324,'Paramètres'!$D:$D,0)))),2))</f>
        <v/>
      </c>
      <c r="L1324" s="6" t="str">
        <f>IF($D1324="","",IF($F1324&lt;&gt;"",$F1324,IF(ISNA(MATCH($D1324,'Paramètres'!$M:$M,0)),"⚠ Type inconnu",IFERROR(INDEX('Paramètres'!$P:$P,MATCH($D1324,'Paramètres'!$M:$M,0))&amp;"",""))))</f>
        <v/>
      </c>
      <c r="M1324" s="6" t="str">
        <f>IF($D1324="","",IF(ISNA(MATCH($D1324,'Paramètres'!$M:$M,0)),"⚠ Type inconnu",IF($L1324="Crédit","",IFERROR(INDEX('Paramètres'!$O:$O,MATCH($D1324,'Paramètres'!$M:$M,0))&amp;"",""))))</f>
        <v/>
      </c>
      <c r="N1324" s="6" t="str">
        <f>IF($D1324="","",IFERROR(INDEX('Paramètres'!$Q:$Q,MATCH($D1324,'Paramètres'!$M:$M,0))&amp;"",""))</f>
        <v/>
      </c>
      <c r="O1324" s="6" t="str">
        <f>IF($A1324="","",IF(OR($J1324&lt;&gt;"x",$A1324&lt;=FinReleve),1,0))</f>
        <v/>
      </c>
      <c r="P1324" s="6" t="str">
        <f>IF($D1324="","",IF(AND($L1324="Crédit",OR(IFERROR(INDEX('Paramètres'!$O:$O,MATCH($D1324,'Paramètres'!$M:$M,0))&amp;"","")&lt;&gt;"",ISNUMBER(SEARCH("remboursement",IFERROR(INDEX('Paramètres'!$N:$N,MATCH($D1324,'Paramètres'!$M:$M,0))&amp;"",""))))),1,0))</f>
        <v/>
      </c>
      <c r="Q1324" s="6" t="str">
        <f>IF($K1324="","",IF(ISNUMBER(SEARCH("transfert-interne",IFERROR(INDEX('Paramètres'!$N:$N,MATCH($D1324,'Paramètres'!$M:$M,0))&amp;"",""))),0,IF($L1324="Débit",$K1324,IF($P1324=1,-$K1324,0))))</f>
        <v/>
      </c>
      <c r="R1324" s="6" t="str">
        <f>IF($K1324="","",IF($L1324="Crédit",$K1324,-$K1324))</f>
        <v/>
      </c>
      <c r="S1324" s="6" t="str">
        <f>IF($C1324="","",IFERROR(INDEX('Paramètres'!$H:$H,MATCH($C1324,'Paramètres'!$D:$D,0))&amp;"",""))</f>
        <v/>
      </c>
      <c r="T1324" s="6" t="str">
        <f>IF($K1324="","",IF($S1324="",0,IF(ISNUMBER(SEARCH("apport-exterieur",IFERROR(INDEX('Paramètres'!$N:$N,MATCH($D1324,'Paramètres'!$M:$M,0))&amp;"",""))),0,IF(OR(IFERROR(INDEX('Paramètres'!$I:$I,MATCH($C1324,'Paramètres'!$D:$D,0))&amp;"","")="Les deux",IFERROR(INDEX('Paramètres'!$I:$I,MATCH($C1324,'Paramètres'!$D:$D,0))&amp;"","")=IF($P1324=1,"Débit",$L1324)),-IF($P1324=1,-$K1324,$K1324),0))))</f>
        <v/>
      </c>
      <c r="U1324" s="6" t="str">
        <f>IF($K1324="","",IF(ISNUMBER(SEARCH("sortie-epargne",IFERROR(INDEX('Paramètres'!$N:$N,MATCH($D1324,'Paramètres'!$M:$M,0))&amp;"",""))),$K1324,0))</f>
        <v/>
      </c>
      <c r="V1324" s="6" t="str">
        <f>IF(AND($A1324&lt;&gt;"",$O1324=1,$L1324="Débit",N($Q1324)&gt;0,$A1324&gt;=Visualisation!$B$1,$A1324&lt;Visualisation!$D$1),MAX($V$1:V1323)+1,"")</f>
        <v/>
      </c>
    </row>
    <row r="1325" spans="1:22" x14ac:dyDescent="0.25">
      <c r="A1325" s="9"/>
      <c r="E1325" s="10"/>
      <c r="K1325" s="11" t="str">
        <f>IF($E1325="","",ROUND($E1325*IF(ISNA(MATCH($C1325,'Paramètres'!$D:$D,0)),1,IF(INDEX('Paramètres'!$J:$J,MATCH($C1325,'Paramètres'!$D:$D,0))="",1,INDEX('Paramètres'!$J:$J,MATCH($C1325,'Paramètres'!$D:$D,0)))),2))</f>
        <v/>
      </c>
      <c r="L1325" s="6" t="str">
        <f>IF($D1325="","",IF($F1325&lt;&gt;"",$F1325,IF(ISNA(MATCH($D1325,'Paramètres'!$M:$M,0)),"⚠ Type inconnu",IFERROR(INDEX('Paramètres'!$P:$P,MATCH($D1325,'Paramètres'!$M:$M,0))&amp;"",""))))</f>
        <v/>
      </c>
      <c r="M1325" s="6" t="str">
        <f>IF($D1325="","",IF(ISNA(MATCH($D1325,'Paramètres'!$M:$M,0)),"⚠ Type inconnu",IF($L1325="Crédit","",IFERROR(INDEX('Paramètres'!$O:$O,MATCH($D1325,'Paramètres'!$M:$M,0))&amp;"",""))))</f>
        <v/>
      </c>
      <c r="N1325" s="6" t="str">
        <f>IF($D1325="","",IFERROR(INDEX('Paramètres'!$Q:$Q,MATCH($D1325,'Paramètres'!$M:$M,0))&amp;"",""))</f>
        <v/>
      </c>
      <c r="O1325" s="6" t="str">
        <f>IF($A1325="","",IF(OR($J1325&lt;&gt;"x",$A1325&lt;=FinReleve),1,0))</f>
        <v/>
      </c>
      <c r="P1325" s="6" t="str">
        <f>IF($D1325="","",IF(AND($L1325="Crédit",OR(IFERROR(INDEX('Paramètres'!$O:$O,MATCH($D1325,'Paramètres'!$M:$M,0))&amp;"","")&lt;&gt;"",ISNUMBER(SEARCH("remboursement",IFERROR(INDEX('Paramètres'!$N:$N,MATCH($D1325,'Paramètres'!$M:$M,0))&amp;"",""))))),1,0))</f>
        <v/>
      </c>
      <c r="Q1325" s="6" t="str">
        <f>IF($K1325="","",IF(ISNUMBER(SEARCH("transfert-interne",IFERROR(INDEX('Paramètres'!$N:$N,MATCH($D1325,'Paramètres'!$M:$M,0))&amp;"",""))),0,IF($L1325="Débit",$K1325,IF($P1325=1,-$K1325,0))))</f>
        <v/>
      </c>
      <c r="R1325" s="6" t="str">
        <f>IF($K1325="","",IF($L1325="Crédit",$K1325,-$K1325))</f>
        <v/>
      </c>
      <c r="S1325" s="6" t="str">
        <f>IF($C1325="","",IFERROR(INDEX('Paramètres'!$H:$H,MATCH($C1325,'Paramètres'!$D:$D,0))&amp;"",""))</f>
        <v/>
      </c>
      <c r="T1325" s="6" t="str">
        <f>IF($K1325="","",IF($S1325="",0,IF(ISNUMBER(SEARCH("apport-exterieur",IFERROR(INDEX('Paramètres'!$N:$N,MATCH($D1325,'Paramètres'!$M:$M,0))&amp;"",""))),0,IF(OR(IFERROR(INDEX('Paramètres'!$I:$I,MATCH($C1325,'Paramètres'!$D:$D,0))&amp;"","")="Les deux",IFERROR(INDEX('Paramètres'!$I:$I,MATCH($C1325,'Paramètres'!$D:$D,0))&amp;"","")=IF($P1325=1,"Débit",$L1325)),-IF($P1325=1,-$K1325,$K1325),0))))</f>
        <v/>
      </c>
      <c r="U1325" s="6" t="str">
        <f>IF($K1325="","",IF(ISNUMBER(SEARCH("sortie-epargne",IFERROR(INDEX('Paramètres'!$N:$N,MATCH($D1325,'Paramètres'!$M:$M,0))&amp;"",""))),$K1325,0))</f>
        <v/>
      </c>
      <c r="V1325" s="6" t="str">
        <f>IF(AND($A1325&lt;&gt;"",$O1325=1,$L1325="Débit",N($Q1325)&gt;0,$A1325&gt;=Visualisation!$B$1,$A1325&lt;Visualisation!$D$1),MAX($V$1:V1324)+1,"")</f>
        <v/>
      </c>
    </row>
    <row r="1326" spans="1:22" x14ac:dyDescent="0.25">
      <c r="A1326" s="9"/>
      <c r="E1326" s="10"/>
      <c r="K1326" s="11" t="str">
        <f>IF($E1326="","",ROUND($E1326*IF(ISNA(MATCH($C1326,'Paramètres'!$D:$D,0)),1,IF(INDEX('Paramètres'!$J:$J,MATCH($C1326,'Paramètres'!$D:$D,0))="",1,INDEX('Paramètres'!$J:$J,MATCH($C1326,'Paramètres'!$D:$D,0)))),2))</f>
        <v/>
      </c>
      <c r="L1326" s="6" t="str">
        <f>IF($D1326="","",IF($F1326&lt;&gt;"",$F1326,IF(ISNA(MATCH($D1326,'Paramètres'!$M:$M,0)),"⚠ Type inconnu",IFERROR(INDEX('Paramètres'!$P:$P,MATCH($D1326,'Paramètres'!$M:$M,0))&amp;"",""))))</f>
        <v/>
      </c>
      <c r="M1326" s="6" t="str">
        <f>IF($D1326="","",IF(ISNA(MATCH($D1326,'Paramètres'!$M:$M,0)),"⚠ Type inconnu",IF($L1326="Crédit","",IFERROR(INDEX('Paramètres'!$O:$O,MATCH($D1326,'Paramètres'!$M:$M,0))&amp;"",""))))</f>
        <v/>
      </c>
      <c r="N1326" s="6" t="str">
        <f>IF($D1326="","",IFERROR(INDEX('Paramètres'!$Q:$Q,MATCH($D1326,'Paramètres'!$M:$M,0))&amp;"",""))</f>
        <v/>
      </c>
      <c r="O1326" s="6" t="str">
        <f>IF($A1326="","",IF(OR($J1326&lt;&gt;"x",$A1326&lt;=FinReleve),1,0))</f>
        <v/>
      </c>
      <c r="P1326" s="6" t="str">
        <f>IF($D1326="","",IF(AND($L1326="Crédit",OR(IFERROR(INDEX('Paramètres'!$O:$O,MATCH($D1326,'Paramètres'!$M:$M,0))&amp;"","")&lt;&gt;"",ISNUMBER(SEARCH("remboursement",IFERROR(INDEX('Paramètres'!$N:$N,MATCH($D1326,'Paramètres'!$M:$M,0))&amp;"",""))))),1,0))</f>
        <v/>
      </c>
      <c r="Q1326" s="6" t="str">
        <f>IF($K1326="","",IF(ISNUMBER(SEARCH("transfert-interne",IFERROR(INDEX('Paramètres'!$N:$N,MATCH($D1326,'Paramètres'!$M:$M,0))&amp;"",""))),0,IF($L1326="Débit",$K1326,IF($P1326=1,-$K1326,0))))</f>
        <v/>
      </c>
      <c r="R1326" s="6" t="str">
        <f>IF($K1326="","",IF($L1326="Crédit",$K1326,-$K1326))</f>
        <v/>
      </c>
      <c r="S1326" s="6" t="str">
        <f>IF($C1326="","",IFERROR(INDEX('Paramètres'!$H:$H,MATCH($C1326,'Paramètres'!$D:$D,0))&amp;"",""))</f>
        <v/>
      </c>
      <c r="T1326" s="6" t="str">
        <f>IF($K1326="","",IF($S1326="",0,IF(ISNUMBER(SEARCH("apport-exterieur",IFERROR(INDEX('Paramètres'!$N:$N,MATCH($D1326,'Paramètres'!$M:$M,0))&amp;"",""))),0,IF(OR(IFERROR(INDEX('Paramètres'!$I:$I,MATCH($C1326,'Paramètres'!$D:$D,0))&amp;"","")="Les deux",IFERROR(INDEX('Paramètres'!$I:$I,MATCH($C1326,'Paramètres'!$D:$D,0))&amp;"","")=IF($P1326=1,"Débit",$L1326)),-IF($P1326=1,-$K1326,$K1326),0))))</f>
        <v/>
      </c>
      <c r="U1326" s="6" t="str">
        <f>IF($K1326="","",IF(ISNUMBER(SEARCH("sortie-epargne",IFERROR(INDEX('Paramètres'!$N:$N,MATCH($D1326,'Paramètres'!$M:$M,0))&amp;"",""))),$K1326,0))</f>
        <v/>
      </c>
      <c r="V1326" s="6" t="str">
        <f>IF(AND($A1326&lt;&gt;"",$O1326=1,$L1326="Débit",N($Q1326)&gt;0,$A1326&gt;=Visualisation!$B$1,$A1326&lt;Visualisation!$D$1),MAX($V$1:V1325)+1,"")</f>
        <v/>
      </c>
    </row>
    <row r="1327" spans="1:22" x14ac:dyDescent="0.25">
      <c r="A1327" s="9"/>
      <c r="E1327" s="10"/>
      <c r="K1327" s="11" t="str">
        <f>IF($E1327="","",ROUND($E1327*IF(ISNA(MATCH($C1327,'Paramètres'!$D:$D,0)),1,IF(INDEX('Paramètres'!$J:$J,MATCH($C1327,'Paramètres'!$D:$D,0))="",1,INDEX('Paramètres'!$J:$J,MATCH($C1327,'Paramètres'!$D:$D,0)))),2))</f>
        <v/>
      </c>
      <c r="L1327" s="6" t="str">
        <f>IF($D1327="","",IF($F1327&lt;&gt;"",$F1327,IF(ISNA(MATCH($D1327,'Paramètres'!$M:$M,0)),"⚠ Type inconnu",IFERROR(INDEX('Paramètres'!$P:$P,MATCH($D1327,'Paramètres'!$M:$M,0))&amp;"",""))))</f>
        <v/>
      </c>
      <c r="M1327" s="6" t="str">
        <f>IF($D1327="","",IF(ISNA(MATCH($D1327,'Paramètres'!$M:$M,0)),"⚠ Type inconnu",IF($L1327="Crédit","",IFERROR(INDEX('Paramètres'!$O:$O,MATCH($D1327,'Paramètres'!$M:$M,0))&amp;"",""))))</f>
        <v/>
      </c>
      <c r="N1327" s="6" t="str">
        <f>IF($D1327="","",IFERROR(INDEX('Paramètres'!$Q:$Q,MATCH($D1327,'Paramètres'!$M:$M,0))&amp;"",""))</f>
        <v/>
      </c>
      <c r="O1327" s="6" t="str">
        <f>IF($A1327="","",IF(OR($J1327&lt;&gt;"x",$A1327&lt;=FinReleve),1,0))</f>
        <v/>
      </c>
      <c r="P1327" s="6" t="str">
        <f>IF($D1327="","",IF(AND($L1327="Crédit",OR(IFERROR(INDEX('Paramètres'!$O:$O,MATCH($D1327,'Paramètres'!$M:$M,0))&amp;"","")&lt;&gt;"",ISNUMBER(SEARCH("remboursement",IFERROR(INDEX('Paramètres'!$N:$N,MATCH($D1327,'Paramètres'!$M:$M,0))&amp;"",""))))),1,0))</f>
        <v/>
      </c>
      <c r="Q1327" s="6" t="str">
        <f>IF($K1327="","",IF(ISNUMBER(SEARCH("transfert-interne",IFERROR(INDEX('Paramètres'!$N:$N,MATCH($D1327,'Paramètres'!$M:$M,0))&amp;"",""))),0,IF($L1327="Débit",$K1327,IF($P1327=1,-$K1327,0))))</f>
        <v/>
      </c>
      <c r="R1327" s="6" t="str">
        <f>IF($K1327="","",IF($L1327="Crédit",$K1327,-$K1327))</f>
        <v/>
      </c>
      <c r="S1327" s="6" t="str">
        <f>IF($C1327="","",IFERROR(INDEX('Paramètres'!$H:$H,MATCH($C1327,'Paramètres'!$D:$D,0))&amp;"",""))</f>
        <v/>
      </c>
      <c r="T1327" s="6" t="str">
        <f>IF($K1327="","",IF($S1327="",0,IF(ISNUMBER(SEARCH("apport-exterieur",IFERROR(INDEX('Paramètres'!$N:$N,MATCH($D1327,'Paramètres'!$M:$M,0))&amp;"",""))),0,IF(OR(IFERROR(INDEX('Paramètres'!$I:$I,MATCH($C1327,'Paramètres'!$D:$D,0))&amp;"","")="Les deux",IFERROR(INDEX('Paramètres'!$I:$I,MATCH($C1327,'Paramètres'!$D:$D,0))&amp;"","")=IF($P1327=1,"Débit",$L1327)),-IF($P1327=1,-$K1327,$K1327),0))))</f>
        <v/>
      </c>
      <c r="U1327" s="6" t="str">
        <f>IF($K1327="","",IF(ISNUMBER(SEARCH("sortie-epargne",IFERROR(INDEX('Paramètres'!$N:$N,MATCH($D1327,'Paramètres'!$M:$M,0))&amp;"",""))),$K1327,0))</f>
        <v/>
      </c>
      <c r="V1327" s="6" t="str">
        <f>IF(AND($A1327&lt;&gt;"",$O1327=1,$L1327="Débit",N($Q1327)&gt;0,$A1327&gt;=Visualisation!$B$1,$A1327&lt;Visualisation!$D$1),MAX($V$1:V1326)+1,"")</f>
        <v/>
      </c>
    </row>
    <row r="1328" spans="1:22" x14ac:dyDescent="0.25">
      <c r="A1328" s="9"/>
      <c r="E1328" s="10"/>
      <c r="K1328" s="11" t="str">
        <f>IF($E1328="","",ROUND($E1328*IF(ISNA(MATCH($C1328,'Paramètres'!$D:$D,0)),1,IF(INDEX('Paramètres'!$J:$J,MATCH($C1328,'Paramètres'!$D:$D,0))="",1,INDEX('Paramètres'!$J:$J,MATCH($C1328,'Paramètres'!$D:$D,0)))),2))</f>
        <v/>
      </c>
      <c r="L1328" s="6" t="str">
        <f>IF($D1328="","",IF($F1328&lt;&gt;"",$F1328,IF(ISNA(MATCH($D1328,'Paramètres'!$M:$M,0)),"⚠ Type inconnu",IFERROR(INDEX('Paramètres'!$P:$P,MATCH($D1328,'Paramètres'!$M:$M,0))&amp;"",""))))</f>
        <v/>
      </c>
      <c r="M1328" s="6" t="str">
        <f>IF($D1328="","",IF(ISNA(MATCH($D1328,'Paramètres'!$M:$M,0)),"⚠ Type inconnu",IF($L1328="Crédit","",IFERROR(INDEX('Paramètres'!$O:$O,MATCH($D1328,'Paramètres'!$M:$M,0))&amp;"",""))))</f>
        <v/>
      </c>
      <c r="N1328" s="6" t="str">
        <f>IF($D1328="","",IFERROR(INDEX('Paramètres'!$Q:$Q,MATCH($D1328,'Paramètres'!$M:$M,0))&amp;"",""))</f>
        <v/>
      </c>
      <c r="O1328" s="6" t="str">
        <f>IF($A1328="","",IF(OR($J1328&lt;&gt;"x",$A1328&lt;=FinReleve),1,0))</f>
        <v/>
      </c>
      <c r="P1328" s="6" t="str">
        <f>IF($D1328="","",IF(AND($L1328="Crédit",OR(IFERROR(INDEX('Paramètres'!$O:$O,MATCH($D1328,'Paramètres'!$M:$M,0))&amp;"","")&lt;&gt;"",ISNUMBER(SEARCH("remboursement",IFERROR(INDEX('Paramètres'!$N:$N,MATCH($D1328,'Paramètres'!$M:$M,0))&amp;"",""))))),1,0))</f>
        <v/>
      </c>
      <c r="Q1328" s="6" t="str">
        <f>IF($K1328="","",IF(ISNUMBER(SEARCH("transfert-interne",IFERROR(INDEX('Paramètres'!$N:$N,MATCH($D1328,'Paramètres'!$M:$M,0))&amp;"",""))),0,IF($L1328="Débit",$K1328,IF($P1328=1,-$K1328,0))))</f>
        <v/>
      </c>
      <c r="R1328" s="6" t="str">
        <f>IF($K1328="","",IF($L1328="Crédit",$K1328,-$K1328))</f>
        <v/>
      </c>
      <c r="S1328" s="6" t="str">
        <f>IF($C1328="","",IFERROR(INDEX('Paramètres'!$H:$H,MATCH($C1328,'Paramètres'!$D:$D,0))&amp;"",""))</f>
        <v/>
      </c>
      <c r="T1328" s="6" t="str">
        <f>IF($K1328="","",IF($S1328="",0,IF(ISNUMBER(SEARCH("apport-exterieur",IFERROR(INDEX('Paramètres'!$N:$N,MATCH($D1328,'Paramètres'!$M:$M,0))&amp;"",""))),0,IF(OR(IFERROR(INDEX('Paramètres'!$I:$I,MATCH($C1328,'Paramètres'!$D:$D,0))&amp;"","")="Les deux",IFERROR(INDEX('Paramètres'!$I:$I,MATCH($C1328,'Paramètres'!$D:$D,0))&amp;"","")=IF($P1328=1,"Débit",$L1328)),-IF($P1328=1,-$K1328,$K1328),0))))</f>
        <v/>
      </c>
      <c r="U1328" s="6" t="str">
        <f>IF($K1328="","",IF(ISNUMBER(SEARCH("sortie-epargne",IFERROR(INDEX('Paramètres'!$N:$N,MATCH($D1328,'Paramètres'!$M:$M,0))&amp;"",""))),$K1328,0))</f>
        <v/>
      </c>
      <c r="V1328" s="6" t="str">
        <f>IF(AND($A1328&lt;&gt;"",$O1328=1,$L1328="Débit",N($Q1328)&gt;0,$A1328&gt;=Visualisation!$B$1,$A1328&lt;Visualisation!$D$1),MAX($V$1:V1327)+1,"")</f>
        <v/>
      </c>
    </row>
    <row r="1329" spans="1:22" x14ac:dyDescent="0.25">
      <c r="A1329" s="9"/>
      <c r="E1329" s="10"/>
      <c r="K1329" s="11" t="str">
        <f>IF($E1329="","",ROUND($E1329*IF(ISNA(MATCH($C1329,'Paramètres'!$D:$D,0)),1,IF(INDEX('Paramètres'!$J:$J,MATCH($C1329,'Paramètres'!$D:$D,0))="",1,INDEX('Paramètres'!$J:$J,MATCH($C1329,'Paramètres'!$D:$D,0)))),2))</f>
        <v/>
      </c>
      <c r="L1329" s="6" t="str">
        <f>IF($D1329="","",IF($F1329&lt;&gt;"",$F1329,IF(ISNA(MATCH($D1329,'Paramètres'!$M:$M,0)),"⚠ Type inconnu",IFERROR(INDEX('Paramètres'!$P:$P,MATCH($D1329,'Paramètres'!$M:$M,0))&amp;"",""))))</f>
        <v/>
      </c>
      <c r="M1329" s="6" t="str">
        <f>IF($D1329="","",IF(ISNA(MATCH($D1329,'Paramètres'!$M:$M,0)),"⚠ Type inconnu",IF($L1329="Crédit","",IFERROR(INDEX('Paramètres'!$O:$O,MATCH($D1329,'Paramètres'!$M:$M,0))&amp;"",""))))</f>
        <v/>
      </c>
      <c r="N1329" s="6" t="str">
        <f>IF($D1329="","",IFERROR(INDEX('Paramètres'!$Q:$Q,MATCH($D1329,'Paramètres'!$M:$M,0))&amp;"",""))</f>
        <v/>
      </c>
      <c r="O1329" s="6" t="str">
        <f>IF($A1329="","",IF(OR($J1329&lt;&gt;"x",$A1329&lt;=FinReleve),1,0))</f>
        <v/>
      </c>
      <c r="P1329" s="6" t="str">
        <f>IF($D1329="","",IF(AND($L1329="Crédit",OR(IFERROR(INDEX('Paramètres'!$O:$O,MATCH($D1329,'Paramètres'!$M:$M,0))&amp;"","")&lt;&gt;"",ISNUMBER(SEARCH("remboursement",IFERROR(INDEX('Paramètres'!$N:$N,MATCH($D1329,'Paramètres'!$M:$M,0))&amp;"",""))))),1,0))</f>
        <v/>
      </c>
      <c r="Q1329" s="6" t="str">
        <f>IF($K1329="","",IF(ISNUMBER(SEARCH("transfert-interne",IFERROR(INDEX('Paramètres'!$N:$N,MATCH($D1329,'Paramètres'!$M:$M,0))&amp;"",""))),0,IF($L1329="Débit",$K1329,IF($P1329=1,-$K1329,0))))</f>
        <v/>
      </c>
      <c r="R1329" s="6" t="str">
        <f>IF($K1329="","",IF($L1329="Crédit",$K1329,-$K1329))</f>
        <v/>
      </c>
      <c r="S1329" s="6" t="str">
        <f>IF($C1329="","",IFERROR(INDEX('Paramètres'!$H:$H,MATCH($C1329,'Paramètres'!$D:$D,0))&amp;"",""))</f>
        <v/>
      </c>
      <c r="T1329" s="6" t="str">
        <f>IF($K1329="","",IF($S1329="",0,IF(ISNUMBER(SEARCH("apport-exterieur",IFERROR(INDEX('Paramètres'!$N:$N,MATCH($D1329,'Paramètres'!$M:$M,0))&amp;"",""))),0,IF(OR(IFERROR(INDEX('Paramètres'!$I:$I,MATCH($C1329,'Paramètres'!$D:$D,0))&amp;"","")="Les deux",IFERROR(INDEX('Paramètres'!$I:$I,MATCH($C1329,'Paramètres'!$D:$D,0))&amp;"","")=IF($P1329=1,"Débit",$L1329)),-IF($P1329=1,-$K1329,$K1329),0))))</f>
        <v/>
      </c>
      <c r="U1329" s="6" t="str">
        <f>IF($K1329="","",IF(ISNUMBER(SEARCH("sortie-epargne",IFERROR(INDEX('Paramètres'!$N:$N,MATCH($D1329,'Paramètres'!$M:$M,0))&amp;"",""))),$K1329,0))</f>
        <v/>
      </c>
      <c r="V1329" s="6" t="str">
        <f>IF(AND($A1329&lt;&gt;"",$O1329=1,$L1329="Débit",N($Q1329)&gt;0,$A1329&gt;=Visualisation!$B$1,$A1329&lt;Visualisation!$D$1),MAX($V$1:V1328)+1,"")</f>
        <v/>
      </c>
    </row>
    <row r="1330" spans="1:22" x14ac:dyDescent="0.25">
      <c r="A1330" s="9"/>
      <c r="E1330" s="10"/>
      <c r="K1330" s="11" t="str">
        <f>IF($E1330="","",ROUND($E1330*IF(ISNA(MATCH($C1330,'Paramètres'!$D:$D,0)),1,IF(INDEX('Paramètres'!$J:$J,MATCH($C1330,'Paramètres'!$D:$D,0))="",1,INDEX('Paramètres'!$J:$J,MATCH($C1330,'Paramètres'!$D:$D,0)))),2))</f>
        <v/>
      </c>
      <c r="L1330" s="6" t="str">
        <f>IF($D1330="","",IF($F1330&lt;&gt;"",$F1330,IF(ISNA(MATCH($D1330,'Paramètres'!$M:$M,0)),"⚠ Type inconnu",IFERROR(INDEX('Paramètres'!$P:$P,MATCH($D1330,'Paramètres'!$M:$M,0))&amp;"",""))))</f>
        <v/>
      </c>
      <c r="M1330" s="6" t="str">
        <f>IF($D1330="","",IF(ISNA(MATCH($D1330,'Paramètres'!$M:$M,0)),"⚠ Type inconnu",IF($L1330="Crédit","",IFERROR(INDEX('Paramètres'!$O:$O,MATCH($D1330,'Paramètres'!$M:$M,0))&amp;"",""))))</f>
        <v/>
      </c>
      <c r="N1330" s="6" t="str">
        <f>IF($D1330="","",IFERROR(INDEX('Paramètres'!$Q:$Q,MATCH($D1330,'Paramètres'!$M:$M,0))&amp;"",""))</f>
        <v/>
      </c>
      <c r="O1330" s="6" t="str">
        <f>IF($A1330="","",IF(OR($J1330&lt;&gt;"x",$A1330&lt;=FinReleve),1,0))</f>
        <v/>
      </c>
      <c r="P1330" s="6" t="str">
        <f>IF($D1330="","",IF(AND($L1330="Crédit",OR(IFERROR(INDEX('Paramètres'!$O:$O,MATCH($D1330,'Paramètres'!$M:$M,0))&amp;"","")&lt;&gt;"",ISNUMBER(SEARCH("remboursement",IFERROR(INDEX('Paramètres'!$N:$N,MATCH($D1330,'Paramètres'!$M:$M,0))&amp;"",""))))),1,0))</f>
        <v/>
      </c>
      <c r="Q1330" s="6" t="str">
        <f>IF($K1330="","",IF(ISNUMBER(SEARCH("transfert-interne",IFERROR(INDEX('Paramètres'!$N:$N,MATCH($D1330,'Paramètres'!$M:$M,0))&amp;"",""))),0,IF($L1330="Débit",$K1330,IF($P1330=1,-$K1330,0))))</f>
        <v/>
      </c>
      <c r="R1330" s="6" t="str">
        <f>IF($K1330="","",IF($L1330="Crédit",$K1330,-$K1330))</f>
        <v/>
      </c>
      <c r="S1330" s="6" t="str">
        <f>IF($C1330="","",IFERROR(INDEX('Paramètres'!$H:$H,MATCH($C1330,'Paramètres'!$D:$D,0))&amp;"",""))</f>
        <v/>
      </c>
      <c r="T1330" s="6" t="str">
        <f>IF($K1330="","",IF($S1330="",0,IF(ISNUMBER(SEARCH("apport-exterieur",IFERROR(INDEX('Paramètres'!$N:$N,MATCH($D1330,'Paramètres'!$M:$M,0))&amp;"",""))),0,IF(OR(IFERROR(INDEX('Paramètres'!$I:$I,MATCH($C1330,'Paramètres'!$D:$D,0))&amp;"","")="Les deux",IFERROR(INDEX('Paramètres'!$I:$I,MATCH($C1330,'Paramètres'!$D:$D,0))&amp;"","")=IF($P1330=1,"Débit",$L1330)),-IF($P1330=1,-$K1330,$K1330),0))))</f>
        <v/>
      </c>
      <c r="U1330" s="6" t="str">
        <f>IF($K1330="","",IF(ISNUMBER(SEARCH("sortie-epargne",IFERROR(INDEX('Paramètres'!$N:$N,MATCH($D1330,'Paramètres'!$M:$M,0))&amp;"",""))),$K1330,0))</f>
        <v/>
      </c>
      <c r="V1330" s="6" t="str">
        <f>IF(AND($A1330&lt;&gt;"",$O1330=1,$L1330="Débit",N($Q1330)&gt;0,$A1330&gt;=Visualisation!$B$1,$A1330&lt;Visualisation!$D$1),MAX($V$1:V1329)+1,"")</f>
        <v/>
      </c>
    </row>
    <row r="1331" spans="1:22" x14ac:dyDescent="0.25">
      <c r="A1331" s="9"/>
      <c r="E1331" s="10"/>
      <c r="K1331" s="11" t="str">
        <f>IF($E1331="","",ROUND($E1331*IF(ISNA(MATCH($C1331,'Paramètres'!$D:$D,0)),1,IF(INDEX('Paramètres'!$J:$J,MATCH($C1331,'Paramètres'!$D:$D,0))="",1,INDEX('Paramètres'!$J:$J,MATCH($C1331,'Paramètres'!$D:$D,0)))),2))</f>
        <v/>
      </c>
      <c r="L1331" s="6" t="str">
        <f>IF($D1331="","",IF($F1331&lt;&gt;"",$F1331,IF(ISNA(MATCH($D1331,'Paramètres'!$M:$M,0)),"⚠ Type inconnu",IFERROR(INDEX('Paramètres'!$P:$P,MATCH($D1331,'Paramètres'!$M:$M,0))&amp;"",""))))</f>
        <v/>
      </c>
      <c r="M1331" s="6" t="str">
        <f>IF($D1331="","",IF(ISNA(MATCH($D1331,'Paramètres'!$M:$M,0)),"⚠ Type inconnu",IF($L1331="Crédit","",IFERROR(INDEX('Paramètres'!$O:$O,MATCH($D1331,'Paramètres'!$M:$M,0))&amp;"",""))))</f>
        <v/>
      </c>
      <c r="N1331" s="6" t="str">
        <f>IF($D1331="","",IFERROR(INDEX('Paramètres'!$Q:$Q,MATCH($D1331,'Paramètres'!$M:$M,0))&amp;"",""))</f>
        <v/>
      </c>
      <c r="O1331" s="6" t="str">
        <f>IF($A1331="","",IF(OR($J1331&lt;&gt;"x",$A1331&lt;=FinReleve),1,0))</f>
        <v/>
      </c>
      <c r="P1331" s="6" t="str">
        <f>IF($D1331="","",IF(AND($L1331="Crédit",OR(IFERROR(INDEX('Paramètres'!$O:$O,MATCH($D1331,'Paramètres'!$M:$M,0))&amp;"","")&lt;&gt;"",ISNUMBER(SEARCH("remboursement",IFERROR(INDEX('Paramètres'!$N:$N,MATCH($D1331,'Paramètres'!$M:$M,0))&amp;"",""))))),1,0))</f>
        <v/>
      </c>
      <c r="Q1331" s="6" t="str">
        <f>IF($K1331="","",IF(ISNUMBER(SEARCH("transfert-interne",IFERROR(INDEX('Paramètres'!$N:$N,MATCH($D1331,'Paramètres'!$M:$M,0))&amp;"",""))),0,IF($L1331="Débit",$K1331,IF($P1331=1,-$K1331,0))))</f>
        <v/>
      </c>
      <c r="R1331" s="6" t="str">
        <f>IF($K1331="","",IF($L1331="Crédit",$K1331,-$K1331))</f>
        <v/>
      </c>
      <c r="S1331" s="6" t="str">
        <f>IF($C1331="","",IFERROR(INDEX('Paramètres'!$H:$H,MATCH($C1331,'Paramètres'!$D:$D,0))&amp;"",""))</f>
        <v/>
      </c>
      <c r="T1331" s="6" t="str">
        <f>IF($K1331="","",IF($S1331="",0,IF(ISNUMBER(SEARCH("apport-exterieur",IFERROR(INDEX('Paramètres'!$N:$N,MATCH($D1331,'Paramètres'!$M:$M,0))&amp;"",""))),0,IF(OR(IFERROR(INDEX('Paramètres'!$I:$I,MATCH($C1331,'Paramètres'!$D:$D,0))&amp;"","")="Les deux",IFERROR(INDEX('Paramètres'!$I:$I,MATCH($C1331,'Paramètres'!$D:$D,0))&amp;"","")=IF($P1331=1,"Débit",$L1331)),-IF($P1331=1,-$K1331,$K1331),0))))</f>
        <v/>
      </c>
      <c r="U1331" s="6" t="str">
        <f>IF($K1331="","",IF(ISNUMBER(SEARCH("sortie-epargne",IFERROR(INDEX('Paramètres'!$N:$N,MATCH($D1331,'Paramètres'!$M:$M,0))&amp;"",""))),$K1331,0))</f>
        <v/>
      </c>
      <c r="V1331" s="6" t="str">
        <f>IF(AND($A1331&lt;&gt;"",$O1331=1,$L1331="Débit",N($Q1331)&gt;0,$A1331&gt;=Visualisation!$B$1,$A1331&lt;Visualisation!$D$1),MAX($V$1:V1330)+1,"")</f>
        <v/>
      </c>
    </row>
    <row r="1332" spans="1:22" x14ac:dyDescent="0.25">
      <c r="A1332" s="9"/>
      <c r="E1332" s="10"/>
      <c r="K1332" s="11" t="str">
        <f>IF($E1332="","",ROUND($E1332*IF(ISNA(MATCH($C1332,'Paramètres'!$D:$D,0)),1,IF(INDEX('Paramètres'!$J:$J,MATCH($C1332,'Paramètres'!$D:$D,0))="",1,INDEX('Paramètres'!$J:$J,MATCH($C1332,'Paramètres'!$D:$D,0)))),2))</f>
        <v/>
      </c>
      <c r="L1332" s="6" t="str">
        <f>IF($D1332="","",IF($F1332&lt;&gt;"",$F1332,IF(ISNA(MATCH($D1332,'Paramètres'!$M:$M,0)),"⚠ Type inconnu",IFERROR(INDEX('Paramètres'!$P:$P,MATCH($D1332,'Paramètres'!$M:$M,0))&amp;"",""))))</f>
        <v/>
      </c>
      <c r="M1332" s="6" t="str">
        <f>IF($D1332="","",IF(ISNA(MATCH($D1332,'Paramètres'!$M:$M,0)),"⚠ Type inconnu",IF($L1332="Crédit","",IFERROR(INDEX('Paramètres'!$O:$O,MATCH($D1332,'Paramètres'!$M:$M,0))&amp;"",""))))</f>
        <v/>
      </c>
      <c r="N1332" s="6" t="str">
        <f>IF($D1332="","",IFERROR(INDEX('Paramètres'!$Q:$Q,MATCH($D1332,'Paramètres'!$M:$M,0))&amp;"",""))</f>
        <v/>
      </c>
      <c r="O1332" s="6" t="str">
        <f>IF($A1332="","",IF(OR($J1332&lt;&gt;"x",$A1332&lt;=FinReleve),1,0))</f>
        <v/>
      </c>
      <c r="P1332" s="6" t="str">
        <f>IF($D1332="","",IF(AND($L1332="Crédit",OR(IFERROR(INDEX('Paramètres'!$O:$O,MATCH($D1332,'Paramètres'!$M:$M,0))&amp;"","")&lt;&gt;"",ISNUMBER(SEARCH("remboursement",IFERROR(INDEX('Paramètres'!$N:$N,MATCH($D1332,'Paramètres'!$M:$M,0))&amp;"",""))))),1,0))</f>
        <v/>
      </c>
      <c r="Q1332" s="6" t="str">
        <f>IF($K1332="","",IF(ISNUMBER(SEARCH("transfert-interne",IFERROR(INDEX('Paramètres'!$N:$N,MATCH($D1332,'Paramètres'!$M:$M,0))&amp;"",""))),0,IF($L1332="Débit",$K1332,IF($P1332=1,-$K1332,0))))</f>
        <v/>
      </c>
      <c r="R1332" s="6" t="str">
        <f>IF($K1332="","",IF($L1332="Crédit",$K1332,-$K1332))</f>
        <v/>
      </c>
      <c r="S1332" s="6" t="str">
        <f>IF($C1332="","",IFERROR(INDEX('Paramètres'!$H:$H,MATCH($C1332,'Paramètres'!$D:$D,0))&amp;"",""))</f>
        <v/>
      </c>
      <c r="T1332" s="6" t="str">
        <f>IF($K1332="","",IF($S1332="",0,IF(ISNUMBER(SEARCH("apport-exterieur",IFERROR(INDEX('Paramètres'!$N:$N,MATCH($D1332,'Paramètres'!$M:$M,0))&amp;"",""))),0,IF(OR(IFERROR(INDEX('Paramètres'!$I:$I,MATCH($C1332,'Paramètres'!$D:$D,0))&amp;"","")="Les deux",IFERROR(INDEX('Paramètres'!$I:$I,MATCH($C1332,'Paramètres'!$D:$D,0))&amp;"","")=IF($P1332=1,"Débit",$L1332)),-IF($P1332=1,-$K1332,$K1332),0))))</f>
        <v/>
      </c>
      <c r="U1332" s="6" t="str">
        <f>IF($K1332="","",IF(ISNUMBER(SEARCH("sortie-epargne",IFERROR(INDEX('Paramètres'!$N:$N,MATCH($D1332,'Paramètres'!$M:$M,0))&amp;"",""))),$K1332,0))</f>
        <v/>
      </c>
      <c r="V1332" s="6" t="str">
        <f>IF(AND($A1332&lt;&gt;"",$O1332=1,$L1332="Débit",N($Q1332)&gt;0,$A1332&gt;=Visualisation!$B$1,$A1332&lt;Visualisation!$D$1),MAX($V$1:V1331)+1,"")</f>
        <v/>
      </c>
    </row>
    <row r="1333" spans="1:22" x14ac:dyDescent="0.25">
      <c r="A1333" s="9"/>
      <c r="E1333" s="10"/>
      <c r="K1333" s="11" t="str">
        <f>IF($E1333="","",ROUND($E1333*IF(ISNA(MATCH($C1333,'Paramètres'!$D:$D,0)),1,IF(INDEX('Paramètres'!$J:$J,MATCH($C1333,'Paramètres'!$D:$D,0))="",1,INDEX('Paramètres'!$J:$J,MATCH($C1333,'Paramètres'!$D:$D,0)))),2))</f>
        <v/>
      </c>
      <c r="L1333" s="6" t="str">
        <f>IF($D1333="","",IF($F1333&lt;&gt;"",$F1333,IF(ISNA(MATCH($D1333,'Paramètres'!$M:$M,0)),"⚠ Type inconnu",IFERROR(INDEX('Paramètres'!$P:$P,MATCH($D1333,'Paramètres'!$M:$M,0))&amp;"",""))))</f>
        <v/>
      </c>
      <c r="M1333" s="6" t="str">
        <f>IF($D1333="","",IF(ISNA(MATCH($D1333,'Paramètres'!$M:$M,0)),"⚠ Type inconnu",IF($L1333="Crédit","",IFERROR(INDEX('Paramètres'!$O:$O,MATCH($D1333,'Paramètres'!$M:$M,0))&amp;"",""))))</f>
        <v/>
      </c>
      <c r="N1333" s="6" t="str">
        <f>IF($D1333="","",IFERROR(INDEX('Paramètres'!$Q:$Q,MATCH($D1333,'Paramètres'!$M:$M,0))&amp;"",""))</f>
        <v/>
      </c>
      <c r="O1333" s="6" t="str">
        <f>IF($A1333="","",IF(OR($J1333&lt;&gt;"x",$A1333&lt;=FinReleve),1,0))</f>
        <v/>
      </c>
      <c r="P1333" s="6" t="str">
        <f>IF($D1333="","",IF(AND($L1333="Crédit",OR(IFERROR(INDEX('Paramètres'!$O:$O,MATCH($D1333,'Paramètres'!$M:$M,0))&amp;"","")&lt;&gt;"",ISNUMBER(SEARCH("remboursement",IFERROR(INDEX('Paramètres'!$N:$N,MATCH($D1333,'Paramètres'!$M:$M,0))&amp;"",""))))),1,0))</f>
        <v/>
      </c>
      <c r="Q1333" s="6" t="str">
        <f>IF($K1333="","",IF(ISNUMBER(SEARCH("transfert-interne",IFERROR(INDEX('Paramètres'!$N:$N,MATCH($D1333,'Paramètres'!$M:$M,0))&amp;"",""))),0,IF($L1333="Débit",$K1333,IF($P1333=1,-$K1333,0))))</f>
        <v/>
      </c>
      <c r="R1333" s="6" t="str">
        <f>IF($K1333="","",IF($L1333="Crédit",$K1333,-$K1333))</f>
        <v/>
      </c>
      <c r="S1333" s="6" t="str">
        <f>IF($C1333="","",IFERROR(INDEX('Paramètres'!$H:$H,MATCH($C1333,'Paramètres'!$D:$D,0))&amp;"",""))</f>
        <v/>
      </c>
      <c r="T1333" s="6" t="str">
        <f>IF($K1333="","",IF($S1333="",0,IF(ISNUMBER(SEARCH("apport-exterieur",IFERROR(INDEX('Paramètres'!$N:$N,MATCH($D1333,'Paramètres'!$M:$M,0))&amp;"",""))),0,IF(OR(IFERROR(INDEX('Paramètres'!$I:$I,MATCH($C1333,'Paramètres'!$D:$D,0))&amp;"","")="Les deux",IFERROR(INDEX('Paramètres'!$I:$I,MATCH($C1333,'Paramètres'!$D:$D,0))&amp;"","")=IF($P1333=1,"Débit",$L1333)),-IF($P1333=1,-$K1333,$K1333),0))))</f>
        <v/>
      </c>
      <c r="U1333" s="6" t="str">
        <f>IF($K1333="","",IF(ISNUMBER(SEARCH("sortie-epargne",IFERROR(INDEX('Paramètres'!$N:$N,MATCH($D1333,'Paramètres'!$M:$M,0))&amp;"",""))),$K1333,0))</f>
        <v/>
      </c>
      <c r="V1333" s="6" t="str">
        <f>IF(AND($A1333&lt;&gt;"",$O1333=1,$L1333="Débit",N($Q1333)&gt;0,$A1333&gt;=Visualisation!$B$1,$A1333&lt;Visualisation!$D$1),MAX($V$1:V1332)+1,"")</f>
        <v/>
      </c>
    </row>
    <row r="1334" spans="1:22" x14ac:dyDescent="0.25">
      <c r="A1334" s="9"/>
      <c r="E1334" s="10"/>
      <c r="K1334" s="11" t="str">
        <f>IF($E1334="","",ROUND($E1334*IF(ISNA(MATCH($C1334,'Paramètres'!$D:$D,0)),1,IF(INDEX('Paramètres'!$J:$J,MATCH($C1334,'Paramètres'!$D:$D,0))="",1,INDEX('Paramètres'!$J:$J,MATCH($C1334,'Paramètres'!$D:$D,0)))),2))</f>
        <v/>
      </c>
      <c r="L1334" s="6" t="str">
        <f>IF($D1334="","",IF($F1334&lt;&gt;"",$F1334,IF(ISNA(MATCH($D1334,'Paramètres'!$M:$M,0)),"⚠ Type inconnu",IFERROR(INDEX('Paramètres'!$P:$P,MATCH($D1334,'Paramètres'!$M:$M,0))&amp;"",""))))</f>
        <v/>
      </c>
      <c r="M1334" s="6" t="str">
        <f>IF($D1334="","",IF(ISNA(MATCH($D1334,'Paramètres'!$M:$M,0)),"⚠ Type inconnu",IF($L1334="Crédit","",IFERROR(INDEX('Paramètres'!$O:$O,MATCH($D1334,'Paramètres'!$M:$M,0))&amp;"",""))))</f>
        <v/>
      </c>
      <c r="N1334" s="6" t="str">
        <f>IF($D1334="","",IFERROR(INDEX('Paramètres'!$Q:$Q,MATCH($D1334,'Paramètres'!$M:$M,0))&amp;"",""))</f>
        <v/>
      </c>
      <c r="O1334" s="6" t="str">
        <f>IF($A1334="","",IF(OR($J1334&lt;&gt;"x",$A1334&lt;=FinReleve),1,0))</f>
        <v/>
      </c>
      <c r="P1334" s="6" t="str">
        <f>IF($D1334="","",IF(AND($L1334="Crédit",OR(IFERROR(INDEX('Paramètres'!$O:$O,MATCH($D1334,'Paramètres'!$M:$M,0))&amp;"","")&lt;&gt;"",ISNUMBER(SEARCH("remboursement",IFERROR(INDEX('Paramètres'!$N:$N,MATCH($D1334,'Paramètres'!$M:$M,0))&amp;"",""))))),1,0))</f>
        <v/>
      </c>
      <c r="Q1334" s="6" t="str">
        <f>IF($K1334="","",IF(ISNUMBER(SEARCH("transfert-interne",IFERROR(INDEX('Paramètres'!$N:$N,MATCH($D1334,'Paramètres'!$M:$M,0))&amp;"",""))),0,IF($L1334="Débit",$K1334,IF($P1334=1,-$K1334,0))))</f>
        <v/>
      </c>
      <c r="R1334" s="6" t="str">
        <f>IF($K1334="","",IF($L1334="Crédit",$K1334,-$K1334))</f>
        <v/>
      </c>
      <c r="S1334" s="6" t="str">
        <f>IF($C1334="","",IFERROR(INDEX('Paramètres'!$H:$H,MATCH($C1334,'Paramètres'!$D:$D,0))&amp;"",""))</f>
        <v/>
      </c>
      <c r="T1334" s="6" t="str">
        <f>IF($K1334="","",IF($S1334="",0,IF(ISNUMBER(SEARCH("apport-exterieur",IFERROR(INDEX('Paramètres'!$N:$N,MATCH($D1334,'Paramètres'!$M:$M,0))&amp;"",""))),0,IF(OR(IFERROR(INDEX('Paramètres'!$I:$I,MATCH($C1334,'Paramètres'!$D:$D,0))&amp;"","")="Les deux",IFERROR(INDEX('Paramètres'!$I:$I,MATCH($C1334,'Paramètres'!$D:$D,0))&amp;"","")=IF($P1334=1,"Débit",$L1334)),-IF($P1334=1,-$K1334,$K1334),0))))</f>
        <v/>
      </c>
      <c r="U1334" s="6" t="str">
        <f>IF($K1334="","",IF(ISNUMBER(SEARCH("sortie-epargne",IFERROR(INDEX('Paramètres'!$N:$N,MATCH($D1334,'Paramètres'!$M:$M,0))&amp;"",""))),$K1334,0))</f>
        <v/>
      </c>
      <c r="V1334" s="6" t="str">
        <f>IF(AND($A1334&lt;&gt;"",$O1334=1,$L1334="Débit",N($Q1334)&gt;0,$A1334&gt;=Visualisation!$B$1,$A1334&lt;Visualisation!$D$1),MAX($V$1:V1333)+1,"")</f>
        <v/>
      </c>
    </row>
    <row r="1335" spans="1:22" x14ac:dyDescent="0.25">
      <c r="A1335" s="9"/>
      <c r="E1335" s="10"/>
      <c r="K1335" s="11" t="str">
        <f>IF($E1335="","",ROUND($E1335*IF(ISNA(MATCH($C1335,'Paramètres'!$D:$D,0)),1,IF(INDEX('Paramètres'!$J:$J,MATCH($C1335,'Paramètres'!$D:$D,0))="",1,INDEX('Paramètres'!$J:$J,MATCH($C1335,'Paramètres'!$D:$D,0)))),2))</f>
        <v/>
      </c>
      <c r="L1335" s="6" t="str">
        <f>IF($D1335="","",IF($F1335&lt;&gt;"",$F1335,IF(ISNA(MATCH($D1335,'Paramètres'!$M:$M,0)),"⚠ Type inconnu",IFERROR(INDEX('Paramètres'!$P:$P,MATCH($D1335,'Paramètres'!$M:$M,0))&amp;"",""))))</f>
        <v/>
      </c>
      <c r="M1335" s="6" t="str">
        <f>IF($D1335="","",IF(ISNA(MATCH($D1335,'Paramètres'!$M:$M,0)),"⚠ Type inconnu",IF($L1335="Crédit","",IFERROR(INDEX('Paramètres'!$O:$O,MATCH($D1335,'Paramètres'!$M:$M,0))&amp;"",""))))</f>
        <v/>
      </c>
      <c r="N1335" s="6" t="str">
        <f>IF($D1335="","",IFERROR(INDEX('Paramètres'!$Q:$Q,MATCH($D1335,'Paramètres'!$M:$M,0))&amp;"",""))</f>
        <v/>
      </c>
      <c r="O1335" s="6" t="str">
        <f>IF($A1335="","",IF(OR($J1335&lt;&gt;"x",$A1335&lt;=FinReleve),1,0))</f>
        <v/>
      </c>
      <c r="P1335" s="6" t="str">
        <f>IF($D1335="","",IF(AND($L1335="Crédit",OR(IFERROR(INDEX('Paramètres'!$O:$O,MATCH($D1335,'Paramètres'!$M:$M,0))&amp;"","")&lt;&gt;"",ISNUMBER(SEARCH("remboursement",IFERROR(INDEX('Paramètres'!$N:$N,MATCH($D1335,'Paramètres'!$M:$M,0))&amp;"",""))))),1,0))</f>
        <v/>
      </c>
      <c r="Q1335" s="6" t="str">
        <f>IF($K1335="","",IF(ISNUMBER(SEARCH("transfert-interne",IFERROR(INDEX('Paramètres'!$N:$N,MATCH($D1335,'Paramètres'!$M:$M,0))&amp;"",""))),0,IF($L1335="Débit",$K1335,IF($P1335=1,-$K1335,0))))</f>
        <v/>
      </c>
      <c r="R1335" s="6" t="str">
        <f>IF($K1335="","",IF($L1335="Crédit",$K1335,-$K1335))</f>
        <v/>
      </c>
      <c r="S1335" s="6" t="str">
        <f>IF($C1335="","",IFERROR(INDEX('Paramètres'!$H:$H,MATCH($C1335,'Paramètres'!$D:$D,0))&amp;"",""))</f>
        <v/>
      </c>
      <c r="T1335" s="6" t="str">
        <f>IF($K1335="","",IF($S1335="",0,IF(ISNUMBER(SEARCH("apport-exterieur",IFERROR(INDEX('Paramètres'!$N:$N,MATCH($D1335,'Paramètres'!$M:$M,0))&amp;"",""))),0,IF(OR(IFERROR(INDEX('Paramètres'!$I:$I,MATCH($C1335,'Paramètres'!$D:$D,0))&amp;"","")="Les deux",IFERROR(INDEX('Paramètres'!$I:$I,MATCH($C1335,'Paramètres'!$D:$D,0))&amp;"","")=IF($P1335=1,"Débit",$L1335)),-IF($P1335=1,-$K1335,$K1335),0))))</f>
        <v/>
      </c>
      <c r="U1335" s="6" t="str">
        <f>IF($K1335="","",IF(ISNUMBER(SEARCH("sortie-epargne",IFERROR(INDEX('Paramètres'!$N:$N,MATCH($D1335,'Paramètres'!$M:$M,0))&amp;"",""))),$K1335,0))</f>
        <v/>
      </c>
      <c r="V1335" s="6" t="str">
        <f>IF(AND($A1335&lt;&gt;"",$O1335=1,$L1335="Débit",N($Q1335)&gt;0,$A1335&gt;=Visualisation!$B$1,$A1335&lt;Visualisation!$D$1),MAX($V$1:V1334)+1,"")</f>
        <v/>
      </c>
    </row>
    <row r="1336" spans="1:22" x14ac:dyDescent="0.25">
      <c r="A1336" s="9"/>
      <c r="E1336" s="10"/>
      <c r="K1336" s="11" t="str">
        <f>IF($E1336="","",ROUND($E1336*IF(ISNA(MATCH($C1336,'Paramètres'!$D:$D,0)),1,IF(INDEX('Paramètres'!$J:$J,MATCH($C1336,'Paramètres'!$D:$D,0))="",1,INDEX('Paramètres'!$J:$J,MATCH($C1336,'Paramètres'!$D:$D,0)))),2))</f>
        <v/>
      </c>
      <c r="L1336" s="6" t="str">
        <f>IF($D1336="","",IF($F1336&lt;&gt;"",$F1336,IF(ISNA(MATCH($D1336,'Paramètres'!$M:$M,0)),"⚠ Type inconnu",IFERROR(INDEX('Paramètres'!$P:$P,MATCH($D1336,'Paramètres'!$M:$M,0))&amp;"",""))))</f>
        <v/>
      </c>
      <c r="M1336" s="6" t="str">
        <f>IF($D1336="","",IF(ISNA(MATCH($D1336,'Paramètres'!$M:$M,0)),"⚠ Type inconnu",IF($L1336="Crédit","",IFERROR(INDEX('Paramètres'!$O:$O,MATCH($D1336,'Paramètres'!$M:$M,0))&amp;"",""))))</f>
        <v/>
      </c>
      <c r="N1336" s="6" t="str">
        <f>IF($D1336="","",IFERROR(INDEX('Paramètres'!$Q:$Q,MATCH($D1336,'Paramètres'!$M:$M,0))&amp;"",""))</f>
        <v/>
      </c>
      <c r="O1336" s="6" t="str">
        <f>IF($A1336="","",IF(OR($J1336&lt;&gt;"x",$A1336&lt;=FinReleve),1,0))</f>
        <v/>
      </c>
      <c r="P1336" s="6" t="str">
        <f>IF($D1336="","",IF(AND($L1336="Crédit",OR(IFERROR(INDEX('Paramètres'!$O:$O,MATCH($D1336,'Paramètres'!$M:$M,0))&amp;"","")&lt;&gt;"",ISNUMBER(SEARCH("remboursement",IFERROR(INDEX('Paramètres'!$N:$N,MATCH($D1336,'Paramètres'!$M:$M,0))&amp;"",""))))),1,0))</f>
        <v/>
      </c>
      <c r="Q1336" s="6" t="str">
        <f>IF($K1336="","",IF(ISNUMBER(SEARCH("transfert-interne",IFERROR(INDEX('Paramètres'!$N:$N,MATCH($D1336,'Paramètres'!$M:$M,0))&amp;"",""))),0,IF($L1336="Débit",$K1336,IF($P1336=1,-$K1336,0))))</f>
        <v/>
      </c>
      <c r="R1336" s="6" t="str">
        <f>IF($K1336="","",IF($L1336="Crédit",$K1336,-$K1336))</f>
        <v/>
      </c>
      <c r="S1336" s="6" t="str">
        <f>IF($C1336="","",IFERROR(INDEX('Paramètres'!$H:$H,MATCH($C1336,'Paramètres'!$D:$D,0))&amp;"",""))</f>
        <v/>
      </c>
      <c r="T1336" s="6" t="str">
        <f>IF($K1336="","",IF($S1336="",0,IF(ISNUMBER(SEARCH("apport-exterieur",IFERROR(INDEX('Paramètres'!$N:$N,MATCH($D1336,'Paramètres'!$M:$M,0))&amp;"",""))),0,IF(OR(IFERROR(INDEX('Paramètres'!$I:$I,MATCH($C1336,'Paramètres'!$D:$D,0))&amp;"","")="Les deux",IFERROR(INDEX('Paramètres'!$I:$I,MATCH($C1336,'Paramètres'!$D:$D,0))&amp;"","")=IF($P1336=1,"Débit",$L1336)),-IF($P1336=1,-$K1336,$K1336),0))))</f>
        <v/>
      </c>
      <c r="U1336" s="6" t="str">
        <f>IF($K1336="","",IF(ISNUMBER(SEARCH("sortie-epargne",IFERROR(INDEX('Paramètres'!$N:$N,MATCH($D1336,'Paramètres'!$M:$M,0))&amp;"",""))),$K1336,0))</f>
        <v/>
      </c>
      <c r="V1336" s="6" t="str">
        <f>IF(AND($A1336&lt;&gt;"",$O1336=1,$L1336="Débit",N($Q1336)&gt;0,$A1336&gt;=Visualisation!$B$1,$A1336&lt;Visualisation!$D$1),MAX($V$1:V1335)+1,"")</f>
        <v/>
      </c>
    </row>
    <row r="1337" spans="1:22" x14ac:dyDescent="0.25">
      <c r="A1337" s="9"/>
      <c r="E1337" s="10"/>
      <c r="K1337" s="11" t="str">
        <f>IF($E1337="","",ROUND($E1337*IF(ISNA(MATCH($C1337,'Paramètres'!$D:$D,0)),1,IF(INDEX('Paramètres'!$J:$J,MATCH($C1337,'Paramètres'!$D:$D,0))="",1,INDEX('Paramètres'!$J:$J,MATCH($C1337,'Paramètres'!$D:$D,0)))),2))</f>
        <v/>
      </c>
      <c r="L1337" s="6" t="str">
        <f>IF($D1337="","",IF($F1337&lt;&gt;"",$F1337,IF(ISNA(MATCH($D1337,'Paramètres'!$M:$M,0)),"⚠ Type inconnu",IFERROR(INDEX('Paramètres'!$P:$P,MATCH($D1337,'Paramètres'!$M:$M,0))&amp;"",""))))</f>
        <v/>
      </c>
      <c r="M1337" s="6" t="str">
        <f>IF($D1337="","",IF(ISNA(MATCH($D1337,'Paramètres'!$M:$M,0)),"⚠ Type inconnu",IF($L1337="Crédit","",IFERROR(INDEX('Paramètres'!$O:$O,MATCH($D1337,'Paramètres'!$M:$M,0))&amp;"",""))))</f>
        <v/>
      </c>
      <c r="N1337" s="6" t="str">
        <f>IF($D1337="","",IFERROR(INDEX('Paramètres'!$Q:$Q,MATCH($D1337,'Paramètres'!$M:$M,0))&amp;"",""))</f>
        <v/>
      </c>
      <c r="O1337" s="6" t="str">
        <f>IF($A1337="","",IF(OR($J1337&lt;&gt;"x",$A1337&lt;=FinReleve),1,0))</f>
        <v/>
      </c>
      <c r="P1337" s="6" t="str">
        <f>IF($D1337="","",IF(AND($L1337="Crédit",OR(IFERROR(INDEX('Paramètres'!$O:$O,MATCH($D1337,'Paramètres'!$M:$M,0))&amp;"","")&lt;&gt;"",ISNUMBER(SEARCH("remboursement",IFERROR(INDEX('Paramètres'!$N:$N,MATCH($D1337,'Paramètres'!$M:$M,0))&amp;"",""))))),1,0))</f>
        <v/>
      </c>
      <c r="Q1337" s="6" t="str">
        <f>IF($K1337="","",IF(ISNUMBER(SEARCH("transfert-interne",IFERROR(INDEX('Paramètres'!$N:$N,MATCH($D1337,'Paramètres'!$M:$M,0))&amp;"",""))),0,IF($L1337="Débit",$K1337,IF($P1337=1,-$K1337,0))))</f>
        <v/>
      </c>
      <c r="R1337" s="6" t="str">
        <f>IF($K1337="","",IF($L1337="Crédit",$K1337,-$K1337))</f>
        <v/>
      </c>
      <c r="S1337" s="6" t="str">
        <f>IF($C1337="","",IFERROR(INDEX('Paramètres'!$H:$H,MATCH($C1337,'Paramètres'!$D:$D,0))&amp;"",""))</f>
        <v/>
      </c>
      <c r="T1337" s="6" t="str">
        <f>IF($K1337="","",IF($S1337="",0,IF(ISNUMBER(SEARCH("apport-exterieur",IFERROR(INDEX('Paramètres'!$N:$N,MATCH($D1337,'Paramètres'!$M:$M,0))&amp;"",""))),0,IF(OR(IFERROR(INDEX('Paramètres'!$I:$I,MATCH($C1337,'Paramètres'!$D:$D,0))&amp;"","")="Les deux",IFERROR(INDEX('Paramètres'!$I:$I,MATCH($C1337,'Paramètres'!$D:$D,0))&amp;"","")=IF($P1337=1,"Débit",$L1337)),-IF($P1337=1,-$K1337,$K1337),0))))</f>
        <v/>
      </c>
      <c r="U1337" s="6" t="str">
        <f>IF($K1337="","",IF(ISNUMBER(SEARCH("sortie-epargne",IFERROR(INDEX('Paramètres'!$N:$N,MATCH($D1337,'Paramètres'!$M:$M,0))&amp;"",""))),$K1337,0))</f>
        <v/>
      </c>
      <c r="V1337" s="6" t="str">
        <f>IF(AND($A1337&lt;&gt;"",$O1337=1,$L1337="Débit",N($Q1337)&gt;0,$A1337&gt;=Visualisation!$B$1,$A1337&lt;Visualisation!$D$1),MAX($V$1:V1336)+1,"")</f>
        <v/>
      </c>
    </row>
    <row r="1338" spans="1:22" x14ac:dyDescent="0.25">
      <c r="A1338" s="9"/>
      <c r="E1338" s="10"/>
      <c r="K1338" s="11" t="str">
        <f>IF($E1338="","",ROUND($E1338*IF(ISNA(MATCH($C1338,'Paramètres'!$D:$D,0)),1,IF(INDEX('Paramètres'!$J:$J,MATCH($C1338,'Paramètres'!$D:$D,0))="",1,INDEX('Paramètres'!$J:$J,MATCH($C1338,'Paramètres'!$D:$D,0)))),2))</f>
        <v/>
      </c>
      <c r="L1338" s="6" t="str">
        <f>IF($D1338="","",IF($F1338&lt;&gt;"",$F1338,IF(ISNA(MATCH($D1338,'Paramètres'!$M:$M,0)),"⚠ Type inconnu",IFERROR(INDEX('Paramètres'!$P:$P,MATCH($D1338,'Paramètres'!$M:$M,0))&amp;"",""))))</f>
        <v/>
      </c>
      <c r="M1338" s="6" t="str">
        <f>IF($D1338="","",IF(ISNA(MATCH($D1338,'Paramètres'!$M:$M,0)),"⚠ Type inconnu",IF($L1338="Crédit","",IFERROR(INDEX('Paramètres'!$O:$O,MATCH($D1338,'Paramètres'!$M:$M,0))&amp;"",""))))</f>
        <v/>
      </c>
      <c r="N1338" s="6" t="str">
        <f>IF($D1338="","",IFERROR(INDEX('Paramètres'!$Q:$Q,MATCH($D1338,'Paramètres'!$M:$M,0))&amp;"",""))</f>
        <v/>
      </c>
      <c r="O1338" s="6" t="str">
        <f>IF($A1338="","",IF(OR($J1338&lt;&gt;"x",$A1338&lt;=FinReleve),1,0))</f>
        <v/>
      </c>
      <c r="P1338" s="6" t="str">
        <f>IF($D1338="","",IF(AND($L1338="Crédit",OR(IFERROR(INDEX('Paramètres'!$O:$O,MATCH($D1338,'Paramètres'!$M:$M,0))&amp;"","")&lt;&gt;"",ISNUMBER(SEARCH("remboursement",IFERROR(INDEX('Paramètres'!$N:$N,MATCH($D1338,'Paramètres'!$M:$M,0))&amp;"",""))))),1,0))</f>
        <v/>
      </c>
      <c r="Q1338" s="6" t="str">
        <f>IF($K1338="","",IF(ISNUMBER(SEARCH("transfert-interne",IFERROR(INDEX('Paramètres'!$N:$N,MATCH($D1338,'Paramètres'!$M:$M,0))&amp;"",""))),0,IF($L1338="Débit",$K1338,IF($P1338=1,-$K1338,0))))</f>
        <v/>
      </c>
      <c r="R1338" s="6" t="str">
        <f>IF($K1338="","",IF($L1338="Crédit",$K1338,-$K1338))</f>
        <v/>
      </c>
      <c r="S1338" s="6" t="str">
        <f>IF($C1338="","",IFERROR(INDEX('Paramètres'!$H:$H,MATCH($C1338,'Paramètres'!$D:$D,0))&amp;"",""))</f>
        <v/>
      </c>
      <c r="T1338" s="6" t="str">
        <f>IF($K1338="","",IF($S1338="",0,IF(ISNUMBER(SEARCH("apport-exterieur",IFERROR(INDEX('Paramètres'!$N:$N,MATCH($D1338,'Paramètres'!$M:$M,0))&amp;"",""))),0,IF(OR(IFERROR(INDEX('Paramètres'!$I:$I,MATCH($C1338,'Paramètres'!$D:$D,0))&amp;"","")="Les deux",IFERROR(INDEX('Paramètres'!$I:$I,MATCH($C1338,'Paramètres'!$D:$D,0))&amp;"","")=IF($P1338=1,"Débit",$L1338)),-IF($P1338=1,-$K1338,$K1338),0))))</f>
        <v/>
      </c>
      <c r="U1338" s="6" t="str">
        <f>IF($K1338="","",IF(ISNUMBER(SEARCH("sortie-epargne",IFERROR(INDEX('Paramètres'!$N:$N,MATCH($D1338,'Paramètres'!$M:$M,0))&amp;"",""))),$K1338,0))</f>
        <v/>
      </c>
      <c r="V1338" s="6" t="str">
        <f>IF(AND($A1338&lt;&gt;"",$O1338=1,$L1338="Débit",N($Q1338)&gt;0,$A1338&gt;=Visualisation!$B$1,$A1338&lt;Visualisation!$D$1),MAX($V$1:V1337)+1,"")</f>
        <v/>
      </c>
    </row>
    <row r="1339" spans="1:22" x14ac:dyDescent="0.25">
      <c r="A1339" s="9"/>
      <c r="E1339" s="10"/>
      <c r="K1339" s="11" t="str">
        <f>IF($E1339="","",ROUND($E1339*IF(ISNA(MATCH($C1339,'Paramètres'!$D:$D,0)),1,IF(INDEX('Paramètres'!$J:$J,MATCH($C1339,'Paramètres'!$D:$D,0))="",1,INDEX('Paramètres'!$J:$J,MATCH($C1339,'Paramètres'!$D:$D,0)))),2))</f>
        <v/>
      </c>
      <c r="L1339" s="6" t="str">
        <f>IF($D1339="","",IF($F1339&lt;&gt;"",$F1339,IF(ISNA(MATCH($D1339,'Paramètres'!$M:$M,0)),"⚠ Type inconnu",IFERROR(INDEX('Paramètres'!$P:$P,MATCH($D1339,'Paramètres'!$M:$M,0))&amp;"",""))))</f>
        <v/>
      </c>
      <c r="M1339" s="6" t="str">
        <f>IF($D1339="","",IF(ISNA(MATCH($D1339,'Paramètres'!$M:$M,0)),"⚠ Type inconnu",IF($L1339="Crédit","",IFERROR(INDEX('Paramètres'!$O:$O,MATCH($D1339,'Paramètres'!$M:$M,0))&amp;"",""))))</f>
        <v/>
      </c>
      <c r="N1339" s="6" t="str">
        <f>IF($D1339="","",IFERROR(INDEX('Paramètres'!$Q:$Q,MATCH($D1339,'Paramètres'!$M:$M,0))&amp;"",""))</f>
        <v/>
      </c>
      <c r="O1339" s="6" t="str">
        <f>IF($A1339="","",IF(OR($J1339&lt;&gt;"x",$A1339&lt;=FinReleve),1,0))</f>
        <v/>
      </c>
      <c r="P1339" s="6" t="str">
        <f>IF($D1339="","",IF(AND($L1339="Crédit",OR(IFERROR(INDEX('Paramètres'!$O:$O,MATCH($D1339,'Paramètres'!$M:$M,0))&amp;"","")&lt;&gt;"",ISNUMBER(SEARCH("remboursement",IFERROR(INDEX('Paramètres'!$N:$N,MATCH($D1339,'Paramètres'!$M:$M,0))&amp;"",""))))),1,0))</f>
        <v/>
      </c>
      <c r="Q1339" s="6" t="str">
        <f>IF($K1339="","",IF(ISNUMBER(SEARCH("transfert-interne",IFERROR(INDEX('Paramètres'!$N:$N,MATCH($D1339,'Paramètres'!$M:$M,0))&amp;"",""))),0,IF($L1339="Débit",$K1339,IF($P1339=1,-$K1339,0))))</f>
        <v/>
      </c>
      <c r="R1339" s="6" t="str">
        <f>IF($K1339="","",IF($L1339="Crédit",$K1339,-$K1339))</f>
        <v/>
      </c>
      <c r="S1339" s="6" t="str">
        <f>IF($C1339="","",IFERROR(INDEX('Paramètres'!$H:$H,MATCH($C1339,'Paramètres'!$D:$D,0))&amp;"",""))</f>
        <v/>
      </c>
      <c r="T1339" s="6" t="str">
        <f>IF($K1339="","",IF($S1339="",0,IF(ISNUMBER(SEARCH("apport-exterieur",IFERROR(INDEX('Paramètres'!$N:$N,MATCH($D1339,'Paramètres'!$M:$M,0))&amp;"",""))),0,IF(OR(IFERROR(INDEX('Paramètres'!$I:$I,MATCH($C1339,'Paramètres'!$D:$D,0))&amp;"","")="Les deux",IFERROR(INDEX('Paramètres'!$I:$I,MATCH($C1339,'Paramètres'!$D:$D,0))&amp;"","")=IF($P1339=1,"Débit",$L1339)),-IF($P1339=1,-$K1339,$K1339),0))))</f>
        <v/>
      </c>
      <c r="U1339" s="6" t="str">
        <f>IF($K1339="","",IF(ISNUMBER(SEARCH("sortie-epargne",IFERROR(INDEX('Paramètres'!$N:$N,MATCH($D1339,'Paramètres'!$M:$M,0))&amp;"",""))),$K1339,0))</f>
        <v/>
      </c>
      <c r="V1339" s="6" t="str">
        <f>IF(AND($A1339&lt;&gt;"",$O1339=1,$L1339="Débit",N($Q1339)&gt;0,$A1339&gt;=Visualisation!$B$1,$A1339&lt;Visualisation!$D$1),MAX($V$1:V1338)+1,"")</f>
        <v/>
      </c>
    </row>
    <row r="1340" spans="1:22" x14ac:dyDescent="0.25">
      <c r="A1340" s="9"/>
      <c r="E1340" s="10"/>
      <c r="K1340" s="11" t="str">
        <f>IF($E1340="","",ROUND($E1340*IF(ISNA(MATCH($C1340,'Paramètres'!$D:$D,0)),1,IF(INDEX('Paramètres'!$J:$J,MATCH($C1340,'Paramètres'!$D:$D,0))="",1,INDEX('Paramètres'!$J:$J,MATCH($C1340,'Paramètres'!$D:$D,0)))),2))</f>
        <v/>
      </c>
      <c r="L1340" s="6" t="str">
        <f>IF($D1340="","",IF($F1340&lt;&gt;"",$F1340,IF(ISNA(MATCH($D1340,'Paramètres'!$M:$M,0)),"⚠ Type inconnu",IFERROR(INDEX('Paramètres'!$P:$P,MATCH($D1340,'Paramètres'!$M:$M,0))&amp;"",""))))</f>
        <v/>
      </c>
      <c r="M1340" s="6" t="str">
        <f>IF($D1340="","",IF(ISNA(MATCH($D1340,'Paramètres'!$M:$M,0)),"⚠ Type inconnu",IF($L1340="Crédit","",IFERROR(INDEX('Paramètres'!$O:$O,MATCH($D1340,'Paramètres'!$M:$M,0))&amp;"",""))))</f>
        <v/>
      </c>
      <c r="N1340" s="6" t="str">
        <f>IF($D1340="","",IFERROR(INDEX('Paramètres'!$Q:$Q,MATCH($D1340,'Paramètres'!$M:$M,0))&amp;"",""))</f>
        <v/>
      </c>
      <c r="O1340" s="6" t="str">
        <f>IF($A1340="","",IF(OR($J1340&lt;&gt;"x",$A1340&lt;=FinReleve),1,0))</f>
        <v/>
      </c>
      <c r="P1340" s="6" t="str">
        <f>IF($D1340="","",IF(AND($L1340="Crédit",OR(IFERROR(INDEX('Paramètres'!$O:$O,MATCH($D1340,'Paramètres'!$M:$M,0))&amp;"","")&lt;&gt;"",ISNUMBER(SEARCH("remboursement",IFERROR(INDEX('Paramètres'!$N:$N,MATCH($D1340,'Paramètres'!$M:$M,0))&amp;"",""))))),1,0))</f>
        <v/>
      </c>
      <c r="Q1340" s="6" t="str">
        <f>IF($K1340="","",IF(ISNUMBER(SEARCH("transfert-interne",IFERROR(INDEX('Paramètres'!$N:$N,MATCH($D1340,'Paramètres'!$M:$M,0))&amp;"",""))),0,IF($L1340="Débit",$K1340,IF($P1340=1,-$K1340,0))))</f>
        <v/>
      </c>
      <c r="R1340" s="6" t="str">
        <f>IF($K1340="","",IF($L1340="Crédit",$K1340,-$K1340))</f>
        <v/>
      </c>
      <c r="S1340" s="6" t="str">
        <f>IF($C1340="","",IFERROR(INDEX('Paramètres'!$H:$H,MATCH($C1340,'Paramètres'!$D:$D,0))&amp;"",""))</f>
        <v/>
      </c>
      <c r="T1340" s="6" t="str">
        <f>IF($K1340="","",IF($S1340="",0,IF(ISNUMBER(SEARCH("apport-exterieur",IFERROR(INDEX('Paramètres'!$N:$N,MATCH($D1340,'Paramètres'!$M:$M,0))&amp;"",""))),0,IF(OR(IFERROR(INDEX('Paramètres'!$I:$I,MATCH($C1340,'Paramètres'!$D:$D,0))&amp;"","")="Les deux",IFERROR(INDEX('Paramètres'!$I:$I,MATCH($C1340,'Paramètres'!$D:$D,0))&amp;"","")=IF($P1340=1,"Débit",$L1340)),-IF($P1340=1,-$K1340,$K1340),0))))</f>
        <v/>
      </c>
      <c r="U1340" s="6" t="str">
        <f>IF($K1340="","",IF(ISNUMBER(SEARCH("sortie-epargne",IFERROR(INDEX('Paramètres'!$N:$N,MATCH($D1340,'Paramètres'!$M:$M,0))&amp;"",""))),$K1340,0))</f>
        <v/>
      </c>
      <c r="V1340" s="6" t="str">
        <f>IF(AND($A1340&lt;&gt;"",$O1340=1,$L1340="Débit",N($Q1340)&gt;0,$A1340&gt;=Visualisation!$B$1,$A1340&lt;Visualisation!$D$1),MAX($V$1:V1339)+1,"")</f>
        <v/>
      </c>
    </row>
    <row r="1341" spans="1:22" x14ac:dyDescent="0.25">
      <c r="A1341" s="9"/>
      <c r="E1341" s="10"/>
      <c r="K1341" s="11" t="str">
        <f>IF($E1341="","",ROUND($E1341*IF(ISNA(MATCH($C1341,'Paramètres'!$D:$D,0)),1,IF(INDEX('Paramètres'!$J:$J,MATCH($C1341,'Paramètres'!$D:$D,0))="",1,INDEX('Paramètres'!$J:$J,MATCH($C1341,'Paramètres'!$D:$D,0)))),2))</f>
        <v/>
      </c>
      <c r="L1341" s="6" t="str">
        <f>IF($D1341="","",IF($F1341&lt;&gt;"",$F1341,IF(ISNA(MATCH($D1341,'Paramètres'!$M:$M,0)),"⚠ Type inconnu",IFERROR(INDEX('Paramètres'!$P:$P,MATCH($D1341,'Paramètres'!$M:$M,0))&amp;"",""))))</f>
        <v/>
      </c>
      <c r="M1341" s="6" t="str">
        <f>IF($D1341="","",IF(ISNA(MATCH($D1341,'Paramètres'!$M:$M,0)),"⚠ Type inconnu",IF($L1341="Crédit","",IFERROR(INDEX('Paramètres'!$O:$O,MATCH($D1341,'Paramètres'!$M:$M,0))&amp;"",""))))</f>
        <v/>
      </c>
      <c r="N1341" s="6" t="str">
        <f>IF($D1341="","",IFERROR(INDEX('Paramètres'!$Q:$Q,MATCH($D1341,'Paramètres'!$M:$M,0))&amp;"",""))</f>
        <v/>
      </c>
      <c r="O1341" s="6" t="str">
        <f>IF($A1341="","",IF(OR($J1341&lt;&gt;"x",$A1341&lt;=FinReleve),1,0))</f>
        <v/>
      </c>
      <c r="P1341" s="6" t="str">
        <f>IF($D1341="","",IF(AND($L1341="Crédit",OR(IFERROR(INDEX('Paramètres'!$O:$O,MATCH($D1341,'Paramètres'!$M:$M,0))&amp;"","")&lt;&gt;"",ISNUMBER(SEARCH("remboursement",IFERROR(INDEX('Paramètres'!$N:$N,MATCH($D1341,'Paramètres'!$M:$M,0))&amp;"",""))))),1,0))</f>
        <v/>
      </c>
      <c r="Q1341" s="6" t="str">
        <f>IF($K1341="","",IF(ISNUMBER(SEARCH("transfert-interne",IFERROR(INDEX('Paramètres'!$N:$N,MATCH($D1341,'Paramètres'!$M:$M,0))&amp;"",""))),0,IF($L1341="Débit",$K1341,IF($P1341=1,-$K1341,0))))</f>
        <v/>
      </c>
      <c r="R1341" s="6" t="str">
        <f>IF($K1341="","",IF($L1341="Crédit",$K1341,-$K1341))</f>
        <v/>
      </c>
      <c r="S1341" s="6" t="str">
        <f>IF($C1341="","",IFERROR(INDEX('Paramètres'!$H:$H,MATCH($C1341,'Paramètres'!$D:$D,0))&amp;"",""))</f>
        <v/>
      </c>
      <c r="T1341" s="6" t="str">
        <f>IF($K1341="","",IF($S1341="",0,IF(ISNUMBER(SEARCH("apport-exterieur",IFERROR(INDEX('Paramètres'!$N:$N,MATCH($D1341,'Paramètres'!$M:$M,0))&amp;"",""))),0,IF(OR(IFERROR(INDEX('Paramètres'!$I:$I,MATCH($C1341,'Paramètres'!$D:$D,0))&amp;"","")="Les deux",IFERROR(INDEX('Paramètres'!$I:$I,MATCH($C1341,'Paramètres'!$D:$D,0))&amp;"","")=IF($P1341=1,"Débit",$L1341)),-IF($P1341=1,-$K1341,$K1341),0))))</f>
        <v/>
      </c>
      <c r="U1341" s="6" t="str">
        <f>IF($K1341="","",IF(ISNUMBER(SEARCH("sortie-epargne",IFERROR(INDEX('Paramètres'!$N:$N,MATCH($D1341,'Paramètres'!$M:$M,0))&amp;"",""))),$K1341,0))</f>
        <v/>
      </c>
      <c r="V1341" s="6" t="str">
        <f>IF(AND($A1341&lt;&gt;"",$O1341=1,$L1341="Débit",N($Q1341)&gt;0,$A1341&gt;=Visualisation!$B$1,$A1341&lt;Visualisation!$D$1),MAX($V$1:V1340)+1,"")</f>
        <v/>
      </c>
    </row>
    <row r="1342" spans="1:22" x14ac:dyDescent="0.25">
      <c r="A1342" s="9"/>
      <c r="E1342" s="10"/>
      <c r="K1342" s="11" t="str">
        <f>IF($E1342="","",ROUND($E1342*IF(ISNA(MATCH($C1342,'Paramètres'!$D:$D,0)),1,IF(INDEX('Paramètres'!$J:$J,MATCH($C1342,'Paramètres'!$D:$D,0))="",1,INDEX('Paramètres'!$J:$J,MATCH($C1342,'Paramètres'!$D:$D,0)))),2))</f>
        <v/>
      </c>
      <c r="L1342" s="6" t="str">
        <f>IF($D1342="","",IF($F1342&lt;&gt;"",$F1342,IF(ISNA(MATCH($D1342,'Paramètres'!$M:$M,0)),"⚠ Type inconnu",IFERROR(INDEX('Paramètres'!$P:$P,MATCH($D1342,'Paramètres'!$M:$M,0))&amp;"",""))))</f>
        <v/>
      </c>
      <c r="M1342" s="6" t="str">
        <f>IF($D1342="","",IF(ISNA(MATCH($D1342,'Paramètres'!$M:$M,0)),"⚠ Type inconnu",IF($L1342="Crédit","",IFERROR(INDEX('Paramètres'!$O:$O,MATCH($D1342,'Paramètres'!$M:$M,0))&amp;"",""))))</f>
        <v/>
      </c>
      <c r="N1342" s="6" t="str">
        <f>IF($D1342="","",IFERROR(INDEX('Paramètres'!$Q:$Q,MATCH($D1342,'Paramètres'!$M:$M,0))&amp;"",""))</f>
        <v/>
      </c>
      <c r="O1342" s="6" t="str">
        <f>IF($A1342="","",IF(OR($J1342&lt;&gt;"x",$A1342&lt;=FinReleve),1,0))</f>
        <v/>
      </c>
      <c r="P1342" s="6" t="str">
        <f>IF($D1342="","",IF(AND($L1342="Crédit",OR(IFERROR(INDEX('Paramètres'!$O:$O,MATCH($D1342,'Paramètres'!$M:$M,0))&amp;"","")&lt;&gt;"",ISNUMBER(SEARCH("remboursement",IFERROR(INDEX('Paramètres'!$N:$N,MATCH($D1342,'Paramètres'!$M:$M,0))&amp;"",""))))),1,0))</f>
        <v/>
      </c>
      <c r="Q1342" s="6" t="str">
        <f>IF($K1342="","",IF(ISNUMBER(SEARCH("transfert-interne",IFERROR(INDEX('Paramètres'!$N:$N,MATCH($D1342,'Paramètres'!$M:$M,0))&amp;"",""))),0,IF($L1342="Débit",$K1342,IF($P1342=1,-$K1342,0))))</f>
        <v/>
      </c>
      <c r="R1342" s="6" t="str">
        <f>IF($K1342="","",IF($L1342="Crédit",$K1342,-$K1342))</f>
        <v/>
      </c>
      <c r="S1342" s="6" t="str">
        <f>IF($C1342="","",IFERROR(INDEX('Paramètres'!$H:$H,MATCH($C1342,'Paramètres'!$D:$D,0))&amp;"",""))</f>
        <v/>
      </c>
      <c r="T1342" s="6" t="str">
        <f>IF($K1342="","",IF($S1342="",0,IF(ISNUMBER(SEARCH("apport-exterieur",IFERROR(INDEX('Paramètres'!$N:$N,MATCH($D1342,'Paramètres'!$M:$M,0))&amp;"",""))),0,IF(OR(IFERROR(INDEX('Paramètres'!$I:$I,MATCH($C1342,'Paramètres'!$D:$D,0))&amp;"","")="Les deux",IFERROR(INDEX('Paramètres'!$I:$I,MATCH($C1342,'Paramètres'!$D:$D,0))&amp;"","")=IF($P1342=1,"Débit",$L1342)),-IF($P1342=1,-$K1342,$K1342),0))))</f>
        <v/>
      </c>
      <c r="U1342" s="6" t="str">
        <f>IF($K1342="","",IF(ISNUMBER(SEARCH("sortie-epargne",IFERROR(INDEX('Paramètres'!$N:$N,MATCH($D1342,'Paramètres'!$M:$M,0))&amp;"",""))),$K1342,0))</f>
        <v/>
      </c>
      <c r="V1342" s="6" t="str">
        <f>IF(AND($A1342&lt;&gt;"",$O1342=1,$L1342="Débit",N($Q1342)&gt;0,$A1342&gt;=Visualisation!$B$1,$A1342&lt;Visualisation!$D$1),MAX($V$1:V1341)+1,"")</f>
        <v/>
      </c>
    </row>
    <row r="1343" spans="1:22" x14ac:dyDescent="0.25">
      <c r="A1343" s="9"/>
      <c r="E1343" s="10"/>
      <c r="K1343" s="11" t="str">
        <f>IF($E1343="","",ROUND($E1343*IF(ISNA(MATCH($C1343,'Paramètres'!$D:$D,0)),1,IF(INDEX('Paramètres'!$J:$J,MATCH($C1343,'Paramètres'!$D:$D,0))="",1,INDEX('Paramètres'!$J:$J,MATCH($C1343,'Paramètres'!$D:$D,0)))),2))</f>
        <v/>
      </c>
      <c r="L1343" s="6" t="str">
        <f>IF($D1343="","",IF($F1343&lt;&gt;"",$F1343,IF(ISNA(MATCH($D1343,'Paramètres'!$M:$M,0)),"⚠ Type inconnu",IFERROR(INDEX('Paramètres'!$P:$P,MATCH($D1343,'Paramètres'!$M:$M,0))&amp;"",""))))</f>
        <v/>
      </c>
      <c r="M1343" s="6" t="str">
        <f>IF($D1343="","",IF(ISNA(MATCH($D1343,'Paramètres'!$M:$M,0)),"⚠ Type inconnu",IF($L1343="Crédit","",IFERROR(INDEX('Paramètres'!$O:$O,MATCH($D1343,'Paramètres'!$M:$M,0))&amp;"",""))))</f>
        <v/>
      </c>
      <c r="N1343" s="6" t="str">
        <f>IF($D1343="","",IFERROR(INDEX('Paramètres'!$Q:$Q,MATCH($D1343,'Paramètres'!$M:$M,0))&amp;"",""))</f>
        <v/>
      </c>
      <c r="O1343" s="6" t="str">
        <f>IF($A1343="","",IF(OR($J1343&lt;&gt;"x",$A1343&lt;=FinReleve),1,0))</f>
        <v/>
      </c>
      <c r="P1343" s="6" t="str">
        <f>IF($D1343="","",IF(AND($L1343="Crédit",OR(IFERROR(INDEX('Paramètres'!$O:$O,MATCH($D1343,'Paramètres'!$M:$M,0))&amp;"","")&lt;&gt;"",ISNUMBER(SEARCH("remboursement",IFERROR(INDEX('Paramètres'!$N:$N,MATCH($D1343,'Paramètres'!$M:$M,0))&amp;"",""))))),1,0))</f>
        <v/>
      </c>
      <c r="Q1343" s="6" t="str">
        <f>IF($K1343="","",IF(ISNUMBER(SEARCH("transfert-interne",IFERROR(INDEX('Paramètres'!$N:$N,MATCH($D1343,'Paramètres'!$M:$M,0))&amp;"",""))),0,IF($L1343="Débit",$K1343,IF($P1343=1,-$K1343,0))))</f>
        <v/>
      </c>
      <c r="R1343" s="6" t="str">
        <f>IF($K1343="","",IF($L1343="Crédit",$K1343,-$K1343))</f>
        <v/>
      </c>
      <c r="S1343" s="6" t="str">
        <f>IF($C1343="","",IFERROR(INDEX('Paramètres'!$H:$H,MATCH($C1343,'Paramètres'!$D:$D,0))&amp;"",""))</f>
        <v/>
      </c>
      <c r="T1343" s="6" t="str">
        <f>IF($K1343="","",IF($S1343="",0,IF(ISNUMBER(SEARCH("apport-exterieur",IFERROR(INDEX('Paramètres'!$N:$N,MATCH($D1343,'Paramètres'!$M:$M,0))&amp;"",""))),0,IF(OR(IFERROR(INDEX('Paramètres'!$I:$I,MATCH($C1343,'Paramètres'!$D:$D,0))&amp;"","")="Les deux",IFERROR(INDEX('Paramètres'!$I:$I,MATCH($C1343,'Paramètres'!$D:$D,0))&amp;"","")=IF($P1343=1,"Débit",$L1343)),-IF($P1343=1,-$K1343,$K1343),0))))</f>
        <v/>
      </c>
      <c r="U1343" s="6" t="str">
        <f>IF($K1343="","",IF(ISNUMBER(SEARCH("sortie-epargne",IFERROR(INDEX('Paramètres'!$N:$N,MATCH($D1343,'Paramètres'!$M:$M,0))&amp;"",""))),$K1343,0))</f>
        <v/>
      </c>
      <c r="V1343" s="6" t="str">
        <f>IF(AND($A1343&lt;&gt;"",$O1343=1,$L1343="Débit",N($Q1343)&gt;0,$A1343&gt;=Visualisation!$B$1,$A1343&lt;Visualisation!$D$1),MAX($V$1:V1342)+1,"")</f>
        <v/>
      </c>
    </row>
    <row r="1344" spans="1:22" x14ac:dyDescent="0.25">
      <c r="A1344" s="9"/>
      <c r="E1344" s="10"/>
      <c r="K1344" s="11" t="str">
        <f>IF($E1344="","",ROUND($E1344*IF(ISNA(MATCH($C1344,'Paramètres'!$D:$D,0)),1,IF(INDEX('Paramètres'!$J:$J,MATCH($C1344,'Paramètres'!$D:$D,0))="",1,INDEX('Paramètres'!$J:$J,MATCH($C1344,'Paramètres'!$D:$D,0)))),2))</f>
        <v/>
      </c>
      <c r="L1344" s="6" t="str">
        <f>IF($D1344="","",IF($F1344&lt;&gt;"",$F1344,IF(ISNA(MATCH($D1344,'Paramètres'!$M:$M,0)),"⚠ Type inconnu",IFERROR(INDEX('Paramètres'!$P:$P,MATCH($D1344,'Paramètres'!$M:$M,0))&amp;"",""))))</f>
        <v/>
      </c>
      <c r="M1344" s="6" t="str">
        <f>IF($D1344="","",IF(ISNA(MATCH($D1344,'Paramètres'!$M:$M,0)),"⚠ Type inconnu",IF($L1344="Crédit","",IFERROR(INDEX('Paramètres'!$O:$O,MATCH($D1344,'Paramètres'!$M:$M,0))&amp;"",""))))</f>
        <v/>
      </c>
      <c r="N1344" s="6" t="str">
        <f>IF($D1344="","",IFERROR(INDEX('Paramètres'!$Q:$Q,MATCH($D1344,'Paramètres'!$M:$M,0))&amp;"",""))</f>
        <v/>
      </c>
      <c r="O1344" s="6" t="str">
        <f>IF($A1344="","",IF(OR($J1344&lt;&gt;"x",$A1344&lt;=FinReleve),1,0))</f>
        <v/>
      </c>
      <c r="P1344" s="6" t="str">
        <f>IF($D1344="","",IF(AND($L1344="Crédit",OR(IFERROR(INDEX('Paramètres'!$O:$O,MATCH($D1344,'Paramètres'!$M:$M,0))&amp;"","")&lt;&gt;"",ISNUMBER(SEARCH("remboursement",IFERROR(INDEX('Paramètres'!$N:$N,MATCH($D1344,'Paramètres'!$M:$M,0))&amp;"",""))))),1,0))</f>
        <v/>
      </c>
      <c r="Q1344" s="6" t="str">
        <f>IF($K1344="","",IF(ISNUMBER(SEARCH("transfert-interne",IFERROR(INDEX('Paramètres'!$N:$N,MATCH($D1344,'Paramètres'!$M:$M,0))&amp;"",""))),0,IF($L1344="Débit",$K1344,IF($P1344=1,-$K1344,0))))</f>
        <v/>
      </c>
      <c r="R1344" s="6" t="str">
        <f>IF($K1344="","",IF($L1344="Crédit",$K1344,-$K1344))</f>
        <v/>
      </c>
      <c r="S1344" s="6" t="str">
        <f>IF($C1344="","",IFERROR(INDEX('Paramètres'!$H:$H,MATCH($C1344,'Paramètres'!$D:$D,0))&amp;"",""))</f>
        <v/>
      </c>
      <c r="T1344" s="6" t="str">
        <f>IF($K1344="","",IF($S1344="",0,IF(ISNUMBER(SEARCH("apport-exterieur",IFERROR(INDEX('Paramètres'!$N:$N,MATCH($D1344,'Paramètres'!$M:$M,0))&amp;"",""))),0,IF(OR(IFERROR(INDEX('Paramètres'!$I:$I,MATCH($C1344,'Paramètres'!$D:$D,0))&amp;"","")="Les deux",IFERROR(INDEX('Paramètres'!$I:$I,MATCH($C1344,'Paramètres'!$D:$D,0))&amp;"","")=IF($P1344=1,"Débit",$L1344)),-IF($P1344=1,-$K1344,$K1344),0))))</f>
        <v/>
      </c>
      <c r="U1344" s="6" t="str">
        <f>IF($K1344="","",IF(ISNUMBER(SEARCH("sortie-epargne",IFERROR(INDEX('Paramètres'!$N:$N,MATCH($D1344,'Paramètres'!$M:$M,0))&amp;"",""))),$K1344,0))</f>
        <v/>
      </c>
      <c r="V1344" s="6" t="str">
        <f>IF(AND($A1344&lt;&gt;"",$O1344=1,$L1344="Débit",N($Q1344)&gt;0,$A1344&gt;=Visualisation!$B$1,$A1344&lt;Visualisation!$D$1),MAX($V$1:V1343)+1,"")</f>
        <v/>
      </c>
    </row>
    <row r="1345" spans="1:22" x14ac:dyDescent="0.25">
      <c r="A1345" s="9"/>
      <c r="E1345" s="10"/>
      <c r="K1345" s="11" t="str">
        <f>IF($E1345="","",ROUND($E1345*IF(ISNA(MATCH($C1345,'Paramètres'!$D:$D,0)),1,IF(INDEX('Paramètres'!$J:$J,MATCH($C1345,'Paramètres'!$D:$D,0))="",1,INDEX('Paramètres'!$J:$J,MATCH($C1345,'Paramètres'!$D:$D,0)))),2))</f>
        <v/>
      </c>
      <c r="L1345" s="6" t="str">
        <f>IF($D1345="","",IF($F1345&lt;&gt;"",$F1345,IF(ISNA(MATCH($D1345,'Paramètres'!$M:$M,0)),"⚠ Type inconnu",IFERROR(INDEX('Paramètres'!$P:$P,MATCH($D1345,'Paramètres'!$M:$M,0))&amp;"",""))))</f>
        <v/>
      </c>
      <c r="M1345" s="6" t="str">
        <f>IF($D1345="","",IF(ISNA(MATCH($D1345,'Paramètres'!$M:$M,0)),"⚠ Type inconnu",IF($L1345="Crédit","",IFERROR(INDEX('Paramètres'!$O:$O,MATCH($D1345,'Paramètres'!$M:$M,0))&amp;"",""))))</f>
        <v/>
      </c>
      <c r="N1345" s="6" t="str">
        <f>IF($D1345="","",IFERROR(INDEX('Paramètres'!$Q:$Q,MATCH($D1345,'Paramètres'!$M:$M,0))&amp;"",""))</f>
        <v/>
      </c>
      <c r="O1345" s="6" t="str">
        <f>IF($A1345="","",IF(OR($J1345&lt;&gt;"x",$A1345&lt;=FinReleve),1,0))</f>
        <v/>
      </c>
      <c r="P1345" s="6" t="str">
        <f>IF($D1345="","",IF(AND($L1345="Crédit",OR(IFERROR(INDEX('Paramètres'!$O:$O,MATCH($D1345,'Paramètres'!$M:$M,0))&amp;"","")&lt;&gt;"",ISNUMBER(SEARCH("remboursement",IFERROR(INDEX('Paramètres'!$N:$N,MATCH($D1345,'Paramètres'!$M:$M,0))&amp;"",""))))),1,0))</f>
        <v/>
      </c>
      <c r="Q1345" s="6" t="str">
        <f>IF($K1345="","",IF(ISNUMBER(SEARCH("transfert-interne",IFERROR(INDEX('Paramètres'!$N:$N,MATCH($D1345,'Paramètres'!$M:$M,0))&amp;"",""))),0,IF($L1345="Débit",$K1345,IF($P1345=1,-$K1345,0))))</f>
        <v/>
      </c>
      <c r="R1345" s="6" t="str">
        <f>IF($K1345="","",IF($L1345="Crédit",$K1345,-$K1345))</f>
        <v/>
      </c>
      <c r="S1345" s="6" t="str">
        <f>IF($C1345="","",IFERROR(INDEX('Paramètres'!$H:$H,MATCH($C1345,'Paramètres'!$D:$D,0))&amp;"",""))</f>
        <v/>
      </c>
      <c r="T1345" s="6" t="str">
        <f>IF($K1345="","",IF($S1345="",0,IF(ISNUMBER(SEARCH("apport-exterieur",IFERROR(INDEX('Paramètres'!$N:$N,MATCH($D1345,'Paramètres'!$M:$M,0))&amp;"",""))),0,IF(OR(IFERROR(INDEX('Paramètres'!$I:$I,MATCH($C1345,'Paramètres'!$D:$D,0))&amp;"","")="Les deux",IFERROR(INDEX('Paramètres'!$I:$I,MATCH($C1345,'Paramètres'!$D:$D,0))&amp;"","")=IF($P1345=1,"Débit",$L1345)),-IF($P1345=1,-$K1345,$K1345),0))))</f>
        <v/>
      </c>
      <c r="U1345" s="6" t="str">
        <f>IF($K1345="","",IF(ISNUMBER(SEARCH("sortie-epargne",IFERROR(INDEX('Paramètres'!$N:$N,MATCH($D1345,'Paramètres'!$M:$M,0))&amp;"",""))),$K1345,0))</f>
        <v/>
      </c>
      <c r="V1345" s="6" t="str">
        <f>IF(AND($A1345&lt;&gt;"",$O1345=1,$L1345="Débit",N($Q1345)&gt;0,$A1345&gt;=Visualisation!$B$1,$A1345&lt;Visualisation!$D$1),MAX($V$1:V1344)+1,"")</f>
        <v/>
      </c>
    </row>
    <row r="1346" spans="1:22" x14ac:dyDescent="0.25">
      <c r="A1346" s="9"/>
      <c r="E1346" s="10"/>
      <c r="K1346" s="11" t="str">
        <f>IF($E1346="","",ROUND($E1346*IF(ISNA(MATCH($C1346,'Paramètres'!$D:$D,0)),1,IF(INDEX('Paramètres'!$J:$J,MATCH($C1346,'Paramètres'!$D:$D,0))="",1,INDEX('Paramètres'!$J:$J,MATCH($C1346,'Paramètres'!$D:$D,0)))),2))</f>
        <v/>
      </c>
      <c r="L1346" s="6" t="str">
        <f>IF($D1346="","",IF($F1346&lt;&gt;"",$F1346,IF(ISNA(MATCH($D1346,'Paramètres'!$M:$M,0)),"⚠ Type inconnu",IFERROR(INDEX('Paramètres'!$P:$P,MATCH($D1346,'Paramètres'!$M:$M,0))&amp;"",""))))</f>
        <v/>
      </c>
      <c r="M1346" s="6" t="str">
        <f>IF($D1346="","",IF(ISNA(MATCH($D1346,'Paramètres'!$M:$M,0)),"⚠ Type inconnu",IF($L1346="Crédit","",IFERROR(INDEX('Paramètres'!$O:$O,MATCH($D1346,'Paramètres'!$M:$M,0))&amp;"",""))))</f>
        <v/>
      </c>
      <c r="N1346" s="6" t="str">
        <f>IF($D1346="","",IFERROR(INDEX('Paramètres'!$Q:$Q,MATCH($D1346,'Paramètres'!$M:$M,0))&amp;"",""))</f>
        <v/>
      </c>
      <c r="O1346" s="6" t="str">
        <f>IF($A1346="","",IF(OR($J1346&lt;&gt;"x",$A1346&lt;=FinReleve),1,0))</f>
        <v/>
      </c>
      <c r="P1346" s="6" t="str">
        <f>IF($D1346="","",IF(AND($L1346="Crédit",OR(IFERROR(INDEX('Paramètres'!$O:$O,MATCH($D1346,'Paramètres'!$M:$M,0))&amp;"","")&lt;&gt;"",ISNUMBER(SEARCH("remboursement",IFERROR(INDEX('Paramètres'!$N:$N,MATCH($D1346,'Paramètres'!$M:$M,0))&amp;"",""))))),1,0))</f>
        <v/>
      </c>
      <c r="Q1346" s="6" t="str">
        <f>IF($K1346="","",IF(ISNUMBER(SEARCH("transfert-interne",IFERROR(INDEX('Paramètres'!$N:$N,MATCH($D1346,'Paramètres'!$M:$M,0))&amp;"",""))),0,IF($L1346="Débit",$K1346,IF($P1346=1,-$K1346,0))))</f>
        <v/>
      </c>
      <c r="R1346" s="6" t="str">
        <f>IF($K1346="","",IF($L1346="Crédit",$K1346,-$K1346))</f>
        <v/>
      </c>
      <c r="S1346" s="6" t="str">
        <f>IF($C1346="","",IFERROR(INDEX('Paramètres'!$H:$H,MATCH($C1346,'Paramètres'!$D:$D,0))&amp;"",""))</f>
        <v/>
      </c>
      <c r="T1346" s="6" t="str">
        <f>IF($K1346="","",IF($S1346="",0,IF(ISNUMBER(SEARCH("apport-exterieur",IFERROR(INDEX('Paramètres'!$N:$N,MATCH($D1346,'Paramètres'!$M:$M,0))&amp;"",""))),0,IF(OR(IFERROR(INDEX('Paramètres'!$I:$I,MATCH($C1346,'Paramètres'!$D:$D,0))&amp;"","")="Les deux",IFERROR(INDEX('Paramètres'!$I:$I,MATCH($C1346,'Paramètres'!$D:$D,0))&amp;"","")=IF($P1346=1,"Débit",$L1346)),-IF($P1346=1,-$K1346,$K1346),0))))</f>
        <v/>
      </c>
      <c r="U1346" s="6" t="str">
        <f>IF($K1346="","",IF(ISNUMBER(SEARCH("sortie-epargne",IFERROR(INDEX('Paramètres'!$N:$N,MATCH($D1346,'Paramètres'!$M:$M,0))&amp;"",""))),$K1346,0))</f>
        <v/>
      </c>
      <c r="V1346" s="6" t="str">
        <f>IF(AND($A1346&lt;&gt;"",$O1346=1,$L1346="Débit",N($Q1346)&gt;0,$A1346&gt;=Visualisation!$B$1,$A1346&lt;Visualisation!$D$1),MAX($V$1:V1345)+1,"")</f>
        <v/>
      </c>
    </row>
    <row r="1347" spans="1:22" x14ac:dyDescent="0.25">
      <c r="A1347" s="9"/>
      <c r="E1347" s="10"/>
      <c r="K1347" s="11" t="str">
        <f>IF($E1347="","",ROUND($E1347*IF(ISNA(MATCH($C1347,'Paramètres'!$D:$D,0)),1,IF(INDEX('Paramètres'!$J:$J,MATCH($C1347,'Paramètres'!$D:$D,0))="",1,INDEX('Paramètres'!$J:$J,MATCH($C1347,'Paramètres'!$D:$D,0)))),2))</f>
        <v/>
      </c>
      <c r="L1347" s="6" t="str">
        <f>IF($D1347="","",IF($F1347&lt;&gt;"",$F1347,IF(ISNA(MATCH($D1347,'Paramètres'!$M:$M,0)),"⚠ Type inconnu",IFERROR(INDEX('Paramètres'!$P:$P,MATCH($D1347,'Paramètres'!$M:$M,0))&amp;"",""))))</f>
        <v/>
      </c>
      <c r="M1347" s="6" t="str">
        <f>IF($D1347="","",IF(ISNA(MATCH($D1347,'Paramètres'!$M:$M,0)),"⚠ Type inconnu",IF($L1347="Crédit","",IFERROR(INDEX('Paramètres'!$O:$O,MATCH($D1347,'Paramètres'!$M:$M,0))&amp;"",""))))</f>
        <v/>
      </c>
      <c r="N1347" s="6" t="str">
        <f>IF($D1347="","",IFERROR(INDEX('Paramètres'!$Q:$Q,MATCH($D1347,'Paramètres'!$M:$M,0))&amp;"",""))</f>
        <v/>
      </c>
      <c r="O1347" s="6" t="str">
        <f>IF($A1347="","",IF(OR($J1347&lt;&gt;"x",$A1347&lt;=FinReleve),1,0))</f>
        <v/>
      </c>
      <c r="P1347" s="6" t="str">
        <f>IF($D1347="","",IF(AND($L1347="Crédit",OR(IFERROR(INDEX('Paramètres'!$O:$O,MATCH($D1347,'Paramètres'!$M:$M,0))&amp;"","")&lt;&gt;"",ISNUMBER(SEARCH("remboursement",IFERROR(INDEX('Paramètres'!$N:$N,MATCH($D1347,'Paramètres'!$M:$M,0))&amp;"",""))))),1,0))</f>
        <v/>
      </c>
      <c r="Q1347" s="6" t="str">
        <f>IF($K1347="","",IF(ISNUMBER(SEARCH("transfert-interne",IFERROR(INDEX('Paramètres'!$N:$N,MATCH($D1347,'Paramètres'!$M:$M,0))&amp;"",""))),0,IF($L1347="Débit",$K1347,IF($P1347=1,-$K1347,0))))</f>
        <v/>
      </c>
      <c r="R1347" s="6" t="str">
        <f>IF($K1347="","",IF($L1347="Crédit",$K1347,-$K1347))</f>
        <v/>
      </c>
      <c r="S1347" s="6" t="str">
        <f>IF($C1347="","",IFERROR(INDEX('Paramètres'!$H:$H,MATCH($C1347,'Paramètres'!$D:$D,0))&amp;"",""))</f>
        <v/>
      </c>
      <c r="T1347" s="6" t="str">
        <f>IF($K1347="","",IF($S1347="",0,IF(ISNUMBER(SEARCH("apport-exterieur",IFERROR(INDEX('Paramètres'!$N:$N,MATCH($D1347,'Paramètres'!$M:$M,0))&amp;"",""))),0,IF(OR(IFERROR(INDEX('Paramètres'!$I:$I,MATCH($C1347,'Paramètres'!$D:$D,0))&amp;"","")="Les deux",IFERROR(INDEX('Paramètres'!$I:$I,MATCH($C1347,'Paramètres'!$D:$D,0))&amp;"","")=IF($P1347=1,"Débit",$L1347)),-IF($P1347=1,-$K1347,$K1347),0))))</f>
        <v/>
      </c>
      <c r="U1347" s="6" t="str">
        <f>IF($K1347="","",IF(ISNUMBER(SEARCH("sortie-epargne",IFERROR(INDEX('Paramètres'!$N:$N,MATCH($D1347,'Paramètres'!$M:$M,0))&amp;"",""))),$K1347,0))</f>
        <v/>
      </c>
      <c r="V1347" s="6" t="str">
        <f>IF(AND($A1347&lt;&gt;"",$O1347=1,$L1347="Débit",N($Q1347)&gt;0,$A1347&gt;=Visualisation!$B$1,$A1347&lt;Visualisation!$D$1),MAX($V$1:V1346)+1,"")</f>
        <v/>
      </c>
    </row>
    <row r="1348" spans="1:22" x14ac:dyDescent="0.25">
      <c r="A1348" s="9"/>
      <c r="E1348" s="10"/>
      <c r="K1348" s="11" t="str">
        <f>IF($E1348="","",ROUND($E1348*IF(ISNA(MATCH($C1348,'Paramètres'!$D:$D,0)),1,IF(INDEX('Paramètres'!$J:$J,MATCH($C1348,'Paramètres'!$D:$D,0))="",1,INDEX('Paramètres'!$J:$J,MATCH($C1348,'Paramètres'!$D:$D,0)))),2))</f>
        <v/>
      </c>
      <c r="L1348" s="6" t="str">
        <f>IF($D1348="","",IF($F1348&lt;&gt;"",$F1348,IF(ISNA(MATCH($D1348,'Paramètres'!$M:$M,0)),"⚠ Type inconnu",IFERROR(INDEX('Paramètres'!$P:$P,MATCH($D1348,'Paramètres'!$M:$M,0))&amp;"",""))))</f>
        <v/>
      </c>
      <c r="M1348" s="6" t="str">
        <f>IF($D1348="","",IF(ISNA(MATCH($D1348,'Paramètres'!$M:$M,0)),"⚠ Type inconnu",IF($L1348="Crédit","",IFERROR(INDEX('Paramètres'!$O:$O,MATCH($D1348,'Paramètres'!$M:$M,0))&amp;"",""))))</f>
        <v/>
      </c>
      <c r="N1348" s="6" t="str">
        <f>IF($D1348="","",IFERROR(INDEX('Paramètres'!$Q:$Q,MATCH($D1348,'Paramètres'!$M:$M,0))&amp;"",""))</f>
        <v/>
      </c>
      <c r="O1348" s="6" t="str">
        <f>IF($A1348="","",IF(OR($J1348&lt;&gt;"x",$A1348&lt;=FinReleve),1,0))</f>
        <v/>
      </c>
      <c r="P1348" s="6" t="str">
        <f>IF($D1348="","",IF(AND($L1348="Crédit",OR(IFERROR(INDEX('Paramètres'!$O:$O,MATCH($D1348,'Paramètres'!$M:$M,0))&amp;"","")&lt;&gt;"",ISNUMBER(SEARCH("remboursement",IFERROR(INDEX('Paramètres'!$N:$N,MATCH($D1348,'Paramètres'!$M:$M,0))&amp;"",""))))),1,0))</f>
        <v/>
      </c>
      <c r="Q1348" s="6" t="str">
        <f>IF($K1348="","",IF(ISNUMBER(SEARCH("transfert-interne",IFERROR(INDEX('Paramètres'!$N:$N,MATCH($D1348,'Paramètres'!$M:$M,0))&amp;"",""))),0,IF($L1348="Débit",$K1348,IF($P1348=1,-$K1348,0))))</f>
        <v/>
      </c>
      <c r="R1348" s="6" t="str">
        <f>IF($K1348="","",IF($L1348="Crédit",$K1348,-$K1348))</f>
        <v/>
      </c>
      <c r="S1348" s="6" t="str">
        <f>IF($C1348="","",IFERROR(INDEX('Paramètres'!$H:$H,MATCH($C1348,'Paramètres'!$D:$D,0))&amp;"",""))</f>
        <v/>
      </c>
      <c r="T1348" s="6" t="str">
        <f>IF($K1348="","",IF($S1348="",0,IF(ISNUMBER(SEARCH("apport-exterieur",IFERROR(INDEX('Paramètres'!$N:$N,MATCH($D1348,'Paramètres'!$M:$M,0))&amp;"",""))),0,IF(OR(IFERROR(INDEX('Paramètres'!$I:$I,MATCH($C1348,'Paramètres'!$D:$D,0))&amp;"","")="Les deux",IFERROR(INDEX('Paramètres'!$I:$I,MATCH($C1348,'Paramètres'!$D:$D,0))&amp;"","")=IF($P1348=1,"Débit",$L1348)),-IF($P1348=1,-$K1348,$K1348),0))))</f>
        <v/>
      </c>
      <c r="U1348" s="6" t="str">
        <f>IF($K1348="","",IF(ISNUMBER(SEARCH("sortie-epargne",IFERROR(INDEX('Paramètres'!$N:$N,MATCH($D1348,'Paramètres'!$M:$M,0))&amp;"",""))),$K1348,0))</f>
        <v/>
      </c>
      <c r="V1348" s="6" t="str">
        <f>IF(AND($A1348&lt;&gt;"",$O1348=1,$L1348="Débit",N($Q1348)&gt;0,$A1348&gt;=Visualisation!$B$1,$A1348&lt;Visualisation!$D$1),MAX($V$1:V1347)+1,"")</f>
        <v/>
      </c>
    </row>
    <row r="1349" spans="1:22" x14ac:dyDescent="0.25">
      <c r="A1349" s="9"/>
      <c r="E1349" s="10"/>
      <c r="K1349" s="11" t="str">
        <f>IF($E1349="","",ROUND($E1349*IF(ISNA(MATCH($C1349,'Paramètres'!$D:$D,0)),1,IF(INDEX('Paramètres'!$J:$J,MATCH($C1349,'Paramètres'!$D:$D,0))="",1,INDEX('Paramètres'!$J:$J,MATCH($C1349,'Paramètres'!$D:$D,0)))),2))</f>
        <v/>
      </c>
      <c r="L1349" s="6" t="str">
        <f>IF($D1349="","",IF($F1349&lt;&gt;"",$F1349,IF(ISNA(MATCH($D1349,'Paramètres'!$M:$M,0)),"⚠ Type inconnu",IFERROR(INDEX('Paramètres'!$P:$P,MATCH($D1349,'Paramètres'!$M:$M,0))&amp;"",""))))</f>
        <v/>
      </c>
      <c r="M1349" s="6" t="str">
        <f>IF($D1349="","",IF(ISNA(MATCH($D1349,'Paramètres'!$M:$M,0)),"⚠ Type inconnu",IF($L1349="Crédit","",IFERROR(INDEX('Paramètres'!$O:$O,MATCH($D1349,'Paramètres'!$M:$M,0))&amp;"",""))))</f>
        <v/>
      </c>
      <c r="N1349" s="6" t="str">
        <f>IF($D1349="","",IFERROR(INDEX('Paramètres'!$Q:$Q,MATCH($D1349,'Paramètres'!$M:$M,0))&amp;"",""))</f>
        <v/>
      </c>
      <c r="O1349" s="6" t="str">
        <f>IF($A1349="","",IF(OR($J1349&lt;&gt;"x",$A1349&lt;=FinReleve),1,0))</f>
        <v/>
      </c>
      <c r="P1349" s="6" t="str">
        <f>IF($D1349="","",IF(AND($L1349="Crédit",OR(IFERROR(INDEX('Paramètres'!$O:$O,MATCH($D1349,'Paramètres'!$M:$M,0))&amp;"","")&lt;&gt;"",ISNUMBER(SEARCH("remboursement",IFERROR(INDEX('Paramètres'!$N:$N,MATCH($D1349,'Paramètres'!$M:$M,0))&amp;"",""))))),1,0))</f>
        <v/>
      </c>
      <c r="Q1349" s="6" t="str">
        <f>IF($K1349="","",IF(ISNUMBER(SEARCH("transfert-interne",IFERROR(INDEX('Paramètres'!$N:$N,MATCH($D1349,'Paramètres'!$M:$M,0))&amp;"",""))),0,IF($L1349="Débit",$K1349,IF($P1349=1,-$K1349,0))))</f>
        <v/>
      </c>
      <c r="R1349" s="6" t="str">
        <f>IF($K1349="","",IF($L1349="Crédit",$K1349,-$K1349))</f>
        <v/>
      </c>
      <c r="S1349" s="6" t="str">
        <f>IF($C1349="","",IFERROR(INDEX('Paramètres'!$H:$H,MATCH($C1349,'Paramètres'!$D:$D,0))&amp;"",""))</f>
        <v/>
      </c>
      <c r="T1349" s="6" t="str">
        <f>IF($K1349="","",IF($S1349="",0,IF(ISNUMBER(SEARCH("apport-exterieur",IFERROR(INDEX('Paramètres'!$N:$N,MATCH($D1349,'Paramètres'!$M:$M,0))&amp;"",""))),0,IF(OR(IFERROR(INDEX('Paramètres'!$I:$I,MATCH($C1349,'Paramètres'!$D:$D,0))&amp;"","")="Les deux",IFERROR(INDEX('Paramètres'!$I:$I,MATCH($C1349,'Paramètres'!$D:$D,0))&amp;"","")=IF($P1349=1,"Débit",$L1349)),-IF($P1349=1,-$K1349,$K1349),0))))</f>
        <v/>
      </c>
      <c r="U1349" s="6" t="str">
        <f>IF($K1349="","",IF(ISNUMBER(SEARCH("sortie-epargne",IFERROR(INDEX('Paramètres'!$N:$N,MATCH($D1349,'Paramètres'!$M:$M,0))&amp;"",""))),$K1349,0))</f>
        <v/>
      </c>
      <c r="V1349" s="6" t="str">
        <f>IF(AND($A1349&lt;&gt;"",$O1349=1,$L1349="Débit",N($Q1349)&gt;0,$A1349&gt;=Visualisation!$B$1,$A1349&lt;Visualisation!$D$1),MAX($V$1:V1348)+1,"")</f>
        <v/>
      </c>
    </row>
    <row r="1350" spans="1:22" x14ac:dyDescent="0.25">
      <c r="A1350" s="9"/>
      <c r="E1350" s="10"/>
      <c r="K1350" s="11" t="str">
        <f>IF($E1350="","",ROUND($E1350*IF(ISNA(MATCH($C1350,'Paramètres'!$D:$D,0)),1,IF(INDEX('Paramètres'!$J:$J,MATCH($C1350,'Paramètres'!$D:$D,0))="",1,INDEX('Paramètres'!$J:$J,MATCH($C1350,'Paramètres'!$D:$D,0)))),2))</f>
        <v/>
      </c>
      <c r="L1350" s="6" t="str">
        <f>IF($D1350="","",IF($F1350&lt;&gt;"",$F1350,IF(ISNA(MATCH($D1350,'Paramètres'!$M:$M,0)),"⚠ Type inconnu",IFERROR(INDEX('Paramètres'!$P:$P,MATCH($D1350,'Paramètres'!$M:$M,0))&amp;"",""))))</f>
        <v/>
      </c>
      <c r="M1350" s="6" t="str">
        <f>IF($D1350="","",IF(ISNA(MATCH($D1350,'Paramètres'!$M:$M,0)),"⚠ Type inconnu",IF($L1350="Crédit","",IFERROR(INDEX('Paramètres'!$O:$O,MATCH($D1350,'Paramètres'!$M:$M,0))&amp;"",""))))</f>
        <v/>
      </c>
      <c r="N1350" s="6" t="str">
        <f>IF($D1350="","",IFERROR(INDEX('Paramètres'!$Q:$Q,MATCH($D1350,'Paramètres'!$M:$M,0))&amp;"",""))</f>
        <v/>
      </c>
      <c r="O1350" s="6" t="str">
        <f>IF($A1350="","",IF(OR($J1350&lt;&gt;"x",$A1350&lt;=FinReleve),1,0))</f>
        <v/>
      </c>
      <c r="P1350" s="6" t="str">
        <f>IF($D1350="","",IF(AND($L1350="Crédit",OR(IFERROR(INDEX('Paramètres'!$O:$O,MATCH($D1350,'Paramètres'!$M:$M,0))&amp;"","")&lt;&gt;"",ISNUMBER(SEARCH("remboursement",IFERROR(INDEX('Paramètres'!$N:$N,MATCH($D1350,'Paramètres'!$M:$M,0))&amp;"",""))))),1,0))</f>
        <v/>
      </c>
      <c r="Q1350" s="6" t="str">
        <f>IF($K1350="","",IF(ISNUMBER(SEARCH("transfert-interne",IFERROR(INDEX('Paramètres'!$N:$N,MATCH($D1350,'Paramètres'!$M:$M,0))&amp;"",""))),0,IF($L1350="Débit",$K1350,IF($P1350=1,-$K1350,0))))</f>
        <v/>
      </c>
      <c r="R1350" s="6" t="str">
        <f>IF($K1350="","",IF($L1350="Crédit",$K1350,-$K1350))</f>
        <v/>
      </c>
      <c r="S1350" s="6" t="str">
        <f>IF($C1350="","",IFERROR(INDEX('Paramètres'!$H:$H,MATCH($C1350,'Paramètres'!$D:$D,0))&amp;"",""))</f>
        <v/>
      </c>
      <c r="T1350" s="6" t="str">
        <f>IF($K1350="","",IF($S1350="",0,IF(ISNUMBER(SEARCH("apport-exterieur",IFERROR(INDEX('Paramètres'!$N:$N,MATCH($D1350,'Paramètres'!$M:$M,0))&amp;"",""))),0,IF(OR(IFERROR(INDEX('Paramètres'!$I:$I,MATCH($C1350,'Paramètres'!$D:$D,0))&amp;"","")="Les deux",IFERROR(INDEX('Paramètres'!$I:$I,MATCH($C1350,'Paramètres'!$D:$D,0))&amp;"","")=IF($P1350=1,"Débit",$L1350)),-IF($P1350=1,-$K1350,$K1350),0))))</f>
        <v/>
      </c>
      <c r="U1350" s="6" t="str">
        <f>IF($K1350="","",IF(ISNUMBER(SEARCH("sortie-epargne",IFERROR(INDEX('Paramètres'!$N:$N,MATCH($D1350,'Paramètres'!$M:$M,0))&amp;"",""))),$K1350,0))</f>
        <v/>
      </c>
      <c r="V1350" s="6" t="str">
        <f>IF(AND($A1350&lt;&gt;"",$O1350=1,$L1350="Débit",N($Q1350)&gt;0,$A1350&gt;=Visualisation!$B$1,$A1350&lt;Visualisation!$D$1),MAX($V$1:V1349)+1,"")</f>
        <v/>
      </c>
    </row>
    <row r="1351" spans="1:22" x14ac:dyDescent="0.25">
      <c r="A1351" s="9"/>
      <c r="E1351" s="10"/>
      <c r="K1351" s="11" t="str">
        <f>IF($E1351="","",ROUND($E1351*IF(ISNA(MATCH($C1351,'Paramètres'!$D:$D,0)),1,IF(INDEX('Paramètres'!$J:$J,MATCH($C1351,'Paramètres'!$D:$D,0))="",1,INDEX('Paramètres'!$J:$J,MATCH($C1351,'Paramètres'!$D:$D,0)))),2))</f>
        <v/>
      </c>
      <c r="L1351" s="6" t="str">
        <f>IF($D1351="","",IF($F1351&lt;&gt;"",$F1351,IF(ISNA(MATCH($D1351,'Paramètres'!$M:$M,0)),"⚠ Type inconnu",IFERROR(INDEX('Paramètres'!$P:$P,MATCH($D1351,'Paramètres'!$M:$M,0))&amp;"",""))))</f>
        <v/>
      </c>
      <c r="M1351" s="6" t="str">
        <f>IF($D1351="","",IF(ISNA(MATCH($D1351,'Paramètres'!$M:$M,0)),"⚠ Type inconnu",IF($L1351="Crédit","",IFERROR(INDEX('Paramètres'!$O:$O,MATCH($D1351,'Paramètres'!$M:$M,0))&amp;"",""))))</f>
        <v/>
      </c>
      <c r="N1351" s="6" t="str">
        <f>IF($D1351="","",IFERROR(INDEX('Paramètres'!$Q:$Q,MATCH($D1351,'Paramètres'!$M:$M,0))&amp;"",""))</f>
        <v/>
      </c>
      <c r="O1351" s="6" t="str">
        <f>IF($A1351="","",IF(OR($J1351&lt;&gt;"x",$A1351&lt;=FinReleve),1,0))</f>
        <v/>
      </c>
      <c r="P1351" s="6" t="str">
        <f>IF($D1351="","",IF(AND($L1351="Crédit",OR(IFERROR(INDEX('Paramètres'!$O:$O,MATCH($D1351,'Paramètres'!$M:$M,0))&amp;"","")&lt;&gt;"",ISNUMBER(SEARCH("remboursement",IFERROR(INDEX('Paramètres'!$N:$N,MATCH($D1351,'Paramètres'!$M:$M,0))&amp;"",""))))),1,0))</f>
        <v/>
      </c>
      <c r="Q1351" s="6" t="str">
        <f>IF($K1351="","",IF(ISNUMBER(SEARCH("transfert-interne",IFERROR(INDEX('Paramètres'!$N:$N,MATCH($D1351,'Paramètres'!$M:$M,0))&amp;"",""))),0,IF($L1351="Débit",$K1351,IF($P1351=1,-$K1351,0))))</f>
        <v/>
      </c>
      <c r="R1351" s="6" t="str">
        <f>IF($K1351="","",IF($L1351="Crédit",$K1351,-$K1351))</f>
        <v/>
      </c>
      <c r="S1351" s="6" t="str">
        <f>IF($C1351="","",IFERROR(INDEX('Paramètres'!$H:$H,MATCH($C1351,'Paramètres'!$D:$D,0))&amp;"",""))</f>
        <v/>
      </c>
      <c r="T1351" s="6" t="str">
        <f>IF($K1351="","",IF($S1351="",0,IF(ISNUMBER(SEARCH("apport-exterieur",IFERROR(INDEX('Paramètres'!$N:$N,MATCH($D1351,'Paramètres'!$M:$M,0))&amp;"",""))),0,IF(OR(IFERROR(INDEX('Paramètres'!$I:$I,MATCH($C1351,'Paramètres'!$D:$D,0))&amp;"","")="Les deux",IFERROR(INDEX('Paramètres'!$I:$I,MATCH($C1351,'Paramètres'!$D:$D,0))&amp;"","")=IF($P1351=1,"Débit",$L1351)),-IF($P1351=1,-$K1351,$K1351),0))))</f>
        <v/>
      </c>
      <c r="U1351" s="6" t="str">
        <f>IF($K1351="","",IF(ISNUMBER(SEARCH("sortie-epargne",IFERROR(INDEX('Paramètres'!$N:$N,MATCH($D1351,'Paramètres'!$M:$M,0))&amp;"",""))),$K1351,0))</f>
        <v/>
      </c>
      <c r="V1351" s="6" t="str">
        <f>IF(AND($A1351&lt;&gt;"",$O1351=1,$L1351="Débit",N($Q1351)&gt;0,$A1351&gt;=Visualisation!$B$1,$A1351&lt;Visualisation!$D$1),MAX($V$1:V1350)+1,"")</f>
        <v/>
      </c>
    </row>
    <row r="1352" spans="1:22" x14ac:dyDescent="0.25">
      <c r="A1352" s="9"/>
      <c r="E1352" s="10"/>
      <c r="K1352" s="11" t="str">
        <f>IF($E1352="","",ROUND($E1352*IF(ISNA(MATCH($C1352,'Paramètres'!$D:$D,0)),1,IF(INDEX('Paramètres'!$J:$J,MATCH($C1352,'Paramètres'!$D:$D,0))="",1,INDEX('Paramètres'!$J:$J,MATCH($C1352,'Paramètres'!$D:$D,0)))),2))</f>
        <v/>
      </c>
      <c r="L1352" s="6" t="str">
        <f>IF($D1352="","",IF($F1352&lt;&gt;"",$F1352,IF(ISNA(MATCH($D1352,'Paramètres'!$M:$M,0)),"⚠ Type inconnu",IFERROR(INDEX('Paramètres'!$P:$P,MATCH($D1352,'Paramètres'!$M:$M,0))&amp;"",""))))</f>
        <v/>
      </c>
      <c r="M1352" s="6" t="str">
        <f>IF($D1352="","",IF(ISNA(MATCH($D1352,'Paramètres'!$M:$M,0)),"⚠ Type inconnu",IF($L1352="Crédit","",IFERROR(INDEX('Paramètres'!$O:$O,MATCH($D1352,'Paramètres'!$M:$M,0))&amp;"",""))))</f>
        <v/>
      </c>
      <c r="N1352" s="6" t="str">
        <f>IF($D1352="","",IFERROR(INDEX('Paramètres'!$Q:$Q,MATCH($D1352,'Paramètres'!$M:$M,0))&amp;"",""))</f>
        <v/>
      </c>
      <c r="O1352" s="6" t="str">
        <f>IF($A1352="","",IF(OR($J1352&lt;&gt;"x",$A1352&lt;=FinReleve),1,0))</f>
        <v/>
      </c>
      <c r="P1352" s="6" t="str">
        <f>IF($D1352="","",IF(AND($L1352="Crédit",OR(IFERROR(INDEX('Paramètres'!$O:$O,MATCH($D1352,'Paramètres'!$M:$M,0))&amp;"","")&lt;&gt;"",ISNUMBER(SEARCH("remboursement",IFERROR(INDEX('Paramètres'!$N:$N,MATCH($D1352,'Paramètres'!$M:$M,0))&amp;"",""))))),1,0))</f>
        <v/>
      </c>
      <c r="Q1352" s="6" t="str">
        <f>IF($K1352="","",IF(ISNUMBER(SEARCH("transfert-interne",IFERROR(INDEX('Paramètres'!$N:$N,MATCH($D1352,'Paramètres'!$M:$M,0))&amp;"",""))),0,IF($L1352="Débit",$K1352,IF($P1352=1,-$K1352,0))))</f>
        <v/>
      </c>
      <c r="R1352" s="6" t="str">
        <f>IF($K1352="","",IF($L1352="Crédit",$K1352,-$K1352))</f>
        <v/>
      </c>
      <c r="S1352" s="6" t="str">
        <f>IF($C1352="","",IFERROR(INDEX('Paramètres'!$H:$H,MATCH($C1352,'Paramètres'!$D:$D,0))&amp;"",""))</f>
        <v/>
      </c>
      <c r="T1352" s="6" t="str">
        <f>IF($K1352="","",IF($S1352="",0,IF(ISNUMBER(SEARCH("apport-exterieur",IFERROR(INDEX('Paramètres'!$N:$N,MATCH($D1352,'Paramètres'!$M:$M,0))&amp;"",""))),0,IF(OR(IFERROR(INDEX('Paramètres'!$I:$I,MATCH($C1352,'Paramètres'!$D:$D,0))&amp;"","")="Les deux",IFERROR(INDEX('Paramètres'!$I:$I,MATCH($C1352,'Paramètres'!$D:$D,0))&amp;"","")=IF($P1352=1,"Débit",$L1352)),-IF($P1352=1,-$K1352,$K1352),0))))</f>
        <v/>
      </c>
      <c r="U1352" s="6" t="str">
        <f>IF($K1352="","",IF(ISNUMBER(SEARCH("sortie-epargne",IFERROR(INDEX('Paramètres'!$N:$N,MATCH($D1352,'Paramètres'!$M:$M,0))&amp;"",""))),$K1352,0))</f>
        <v/>
      </c>
      <c r="V1352" s="6" t="str">
        <f>IF(AND($A1352&lt;&gt;"",$O1352=1,$L1352="Débit",N($Q1352)&gt;0,$A1352&gt;=Visualisation!$B$1,$A1352&lt;Visualisation!$D$1),MAX($V$1:V1351)+1,"")</f>
        <v/>
      </c>
    </row>
    <row r="1353" spans="1:22" x14ac:dyDescent="0.25">
      <c r="A1353" s="9"/>
      <c r="E1353" s="10"/>
      <c r="K1353" s="11" t="str">
        <f>IF($E1353="","",ROUND($E1353*IF(ISNA(MATCH($C1353,'Paramètres'!$D:$D,0)),1,IF(INDEX('Paramètres'!$J:$J,MATCH($C1353,'Paramètres'!$D:$D,0))="",1,INDEX('Paramètres'!$J:$J,MATCH($C1353,'Paramètres'!$D:$D,0)))),2))</f>
        <v/>
      </c>
      <c r="L1353" s="6" t="str">
        <f>IF($D1353="","",IF($F1353&lt;&gt;"",$F1353,IF(ISNA(MATCH($D1353,'Paramètres'!$M:$M,0)),"⚠ Type inconnu",IFERROR(INDEX('Paramètres'!$P:$P,MATCH($D1353,'Paramètres'!$M:$M,0))&amp;"",""))))</f>
        <v/>
      </c>
      <c r="M1353" s="6" t="str">
        <f>IF($D1353="","",IF(ISNA(MATCH($D1353,'Paramètres'!$M:$M,0)),"⚠ Type inconnu",IF($L1353="Crédit","",IFERROR(INDEX('Paramètres'!$O:$O,MATCH($D1353,'Paramètres'!$M:$M,0))&amp;"",""))))</f>
        <v/>
      </c>
      <c r="N1353" s="6" t="str">
        <f>IF($D1353="","",IFERROR(INDEX('Paramètres'!$Q:$Q,MATCH($D1353,'Paramètres'!$M:$M,0))&amp;"",""))</f>
        <v/>
      </c>
      <c r="O1353" s="6" t="str">
        <f>IF($A1353="","",IF(OR($J1353&lt;&gt;"x",$A1353&lt;=FinReleve),1,0))</f>
        <v/>
      </c>
      <c r="P1353" s="6" t="str">
        <f>IF($D1353="","",IF(AND($L1353="Crédit",OR(IFERROR(INDEX('Paramètres'!$O:$O,MATCH($D1353,'Paramètres'!$M:$M,0))&amp;"","")&lt;&gt;"",ISNUMBER(SEARCH("remboursement",IFERROR(INDEX('Paramètres'!$N:$N,MATCH($D1353,'Paramètres'!$M:$M,0))&amp;"",""))))),1,0))</f>
        <v/>
      </c>
      <c r="Q1353" s="6" t="str">
        <f>IF($K1353="","",IF(ISNUMBER(SEARCH("transfert-interne",IFERROR(INDEX('Paramètres'!$N:$N,MATCH($D1353,'Paramètres'!$M:$M,0))&amp;"",""))),0,IF($L1353="Débit",$K1353,IF($P1353=1,-$K1353,0))))</f>
        <v/>
      </c>
      <c r="R1353" s="6" t="str">
        <f>IF($K1353="","",IF($L1353="Crédit",$K1353,-$K1353))</f>
        <v/>
      </c>
      <c r="S1353" s="6" t="str">
        <f>IF($C1353="","",IFERROR(INDEX('Paramètres'!$H:$H,MATCH($C1353,'Paramètres'!$D:$D,0))&amp;"",""))</f>
        <v/>
      </c>
      <c r="T1353" s="6" t="str">
        <f>IF($K1353="","",IF($S1353="",0,IF(ISNUMBER(SEARCH("apport-exterieur",IFERROR(INDEX('Paramètres'!$N:$N,MATCH($D1353,'Paramètres'!$M:$M,0))&amp;"",""))),0,IF(OR(IFERROR(INDEX('Paramètres'!$I:$I,MATCH($C1353,'Paramètres'!$D:$D,0))&amp;"","")="Les deux",IFERROR(INDEX('Paramètres'!$I:$I,MATCH($C1353,'Paramètres'!$D:$D,0))&amp;"","")=IF($P1353=1,"Débit",$L1353)),-IF($P1353=1,-$K1353,$K1353),0))))</f>
        <v/>
      </c>
      <c r="U1353" s="6" t="str">
        <f>IF($K1353="","",IF(ISNUMBER(SEARCH("sortie-epargne",IFERROR(INDEX('Paramètres'!$N:$N,MATCH($D1353,'Paramètres'!$M:$M,0))&amp;"",""))),$K1353,0))</f>
        <v/>
      </c>
      <c r="V1353" s="6" t="str">
        <f>IF(AND($A1353&lt;&gt;"",$O1353=1,$L1353="Débit",N($Q1353)&gt;0,$A1353&gt;=Visualisation!$B$1,$A1353&lt;Visualisation!$D$1),MAX($V$1:V1352)+1,"")</f>
        <v/>
      </c>
    </row>
    <row r="1354" spans="1:22" x14ac:dyDescent="0.25">
      <c r="A1354" s="9"/>
      <c r="E1354" s="10"/>
      <c r="K1354" s="11" t="str">
        <f>IF($E1354="","",ROUND($E1354*IF(ISNA(MATCH($C1354,'Paramètres'!$D:$D,0)),1,IF(INDEX('Paramètres'!$J:$J,MATCH($C1354,'Paramètres'!$D:$D,0))="",1,INDEX('Paramètres'!$J:$J,MATCH($C1354,'Paramètres'!$D:$D,0)))),2))</f>
        <v/>
      </c>
      <c r="L1354" s="6" t="str">
        <f>IF($D1354="","",IF($F1354&lt;&gt;"",$F1354,IF(ISNA(MATCH($D1354,'Paramètres'!$M:$M,0)),"⚠ Type inconnu",IFERROR(INDEX('Paramètres'!$P:$P,MATCH($D1354,'Paramètres'!$M:$M,0))&amp;"",""))))</f>
        <v/>
      </c>
      <c r="M1354" s="6" t="str">
        <f>IF($D1354="","",IF(ISNA(MATCH($D1354,'Paramètres'!$M:$M,0)),"⚠ Type inconnu",IF($L1354="Crédit","",IFERROR(INDEX('Paramètres'!$O:$O,MATCH($D1354,'Paramètres'!$M:$M,0))&amp;"",""))))</f>
        <v/>
      </c>
      <c r="N1354" s="6" t="str">
        <f>IF($D1354="","",IFERROR(INDEX('Paramètres'!$Q:$Q,MATCH($D1354,'Paramètres'!$M:$M,0))&amp;"",""))</f>
        <v/>
      </c>
      <c r="O1354" s="6" t="str">
        <f>IF($A1354="","",IF(OR($J1354&lt;&gt;"x",$A1354&lt;=FinReleve),1,0))</f>
        <v/>
      </c>
      <c r="P1354" s="6" t="str">
        <f>IF($D1354="","",IF(AND($L1354="Crédit",OR(IFERROR(INDEX('Paramètres'!$O:$O,MATCH($D1354,'Paramètres'!$M:$M,0))&amp;"","")&lt;&gt;"",ISNUMBER(SEARCH("remboursement",IFERROR(INDEX('Paramètres'!$N:$N,MATCH($D1354,'Paramètres'!$M:$M,0))&amp;"",""))))),1,0))</f>
        <v/>
      </c>
      <c r="Q1354" s="6" t="str">
        <f>IF($K1354="","",IF(ISNUMBER(SEARCH("transfert-interne",IFERROR(INDEX('Paramètres'!$N:$N,MATCH($D1354,'Paramètres'!$M:$M,0))&amp;"",""))),0,IF($L1354="Débit",$K1354,IF($P1354=1,-$K1354,0))))</f>
        <v/>
      </c>
      <c r="R1354" s="6" t="str">
        <f>IF($K1354="","",IF($L1354="Crédit",$K1354,-$K1354))</f>
        <v/>
      </c>
      <c r="S1354" s="6" t="str">
        <f>IF($C1354="","",IFERROR(INDEX('Paramètres'!$H:$H,MATCH($C1354,'Paramètres'!$D:$D,0))&amp;"",""))</f>
        <v/>
      </c>
      <c r="T1354" s="6" t="str">
        <f>IF($K1354="","",IF($S1354="",0,IF(ISNUMBER(SEARCH("apport-exterieur",IFERROR(INDEX('Paramètres'!$N:$N,MATCH($D1354,'Paramètres'!$M:$M,0))&amp;"",""))),0,IF(OR(IFERROR(INDEX('Paramètres'!$I:$I,MATCH($C1354,'Paramètres'!$D:$D,0))&amp;"","")="Les deux",IFERROR(INDEX('Paramètres'!$I:$I,MATCH($C1354,'Paramètres'!$D:$D,0))&amp;"","")=IF($P1354=1,"Débit",$L1354)),-IF($P1354=1,-$K1354,$K1354),0))))</f>
        <v/>
      </c>
      <c r="U1354" s="6" t="str">
        <f>IF($K1354="","",IF(ISNUMBER(SEARCH("sortie-epargne",IFERROR(INDEX('Paramètres'!$N:$N,MATCH($D1354,'Paramètres'!$M:$M,0))&amp;"",""))),$K1354,0))</f>
        <v/>
      </c>
      <c r="V1354" s="6" t="str">
        <f>IF(AND($A1354&lt;&gt;"",$O1354=1,$L1354="Débit",N($Q1354)&gt;0,$A1354&gt;=Visualisation!$B$1,$A1354&lt;Visualisation!$D$1),MAX($V$1:V1353)+1,"")</f>
        <v/>
      </c>
    </row>
    <row r="1355" spans="1:22" x14ac:dyDescent="0.25">
      <c r="A1355" s="9"/>
      <c r="E1355" s="10"/>
      <c r="K1355" s="11" t="str">
        <f>IF($E1355="","",ROUND($E1355*IF(ISNA(MATCH($C1355,'Paramètres'!$D:$D,0)),1,IF(INDEX('Paramètres'!$J:$J,MATCH($C1355,'Paramètres'!$D:$D,0))="",1,INDEX('Paramètres'!$J:$J,MATCH($C1355,'Paramètres'!$D:$D,0)))),2))</f>
        <v/>
      </c>
      <c r="L1355" s="6" t="str">
        <f>IF($D1355="","",IF($F1355&lt;&gt;"",$F1355,IF(ISNA(MATCH($D1355,'Paramètres'!$M:$M,0)),"⚠ Type inconnu",IFERROR(INDEX('Paramètres'!$P:$P,MATCH($D1355,'Paramètres'!$M:$M,0))&amp;"",""))))</f>
        <v/>
      </c>
      <c r="M1355" s="6" t="str">
        <f>IF($D1355="","",IF(ISNA(MATCH($D1355,'Paramètres'!$M:$M,0)),"⚠ Type inconnu",IF($L1355="Crédit","",IFERROR(INDEX('Paramètres'!$O:$O,MATCH($D1355,'Paramètres'!$M:$M,0))&amp;"",""))))</f>
        <v/>
      </c>
      <c r="N1355" s="6" t="str">
        <f>IF($D1355="","",IFERROR(INDEX('Paramètres'!$Q:$Q,MATCH($D1355,'Paramètres'!$M:$M,0))&amp;"",""))</f>
        <v/>
      </c>
      <c r="O1355" s="6" t="str">
        <f>IF($A1355="","",IF(OR($J1355&lt;&gt;"x",$A1355&lt;=FinReleve),1,0))</f>
        <v/>
      </c>
      <c r="P1355" s="6" t="str">
        <f>IF($D1355="","",IF(AND($L1355="Crédit",OR(IFERROR(INDEX('Paramètres'!$O:$O,MATCH($D1355,'Paramètres'!$M:$M,0))&amp;"","")&lt;&gt;"",ISNUMBER(SEARCH("remboursement",IFERROR(INDEX('Paramètres'!$N:$N,MATCH($D1355,'Paramètres'!$M:$M,0))&amp;"",""))))),1,0))</f>
        <v/>
      </c>
      <c r="Q1355" s="6" t="str">
        <f>IF($K1355="","",IF(ISNUMBER(SEARCH("transfert-interne",IFERROR(INDEX('Paramètres'!$N:$N,MATCH($D1355,'Paramètres'!$M:$M,0))&amp;"",""))),0,IF($L1355="Débit",$K1355,IF($P1355=1,-$K1355,0))))</f>
        <v/>
      </c>
      <c r="R1355" s="6" t="str">
        <f>IF($K1355="","",IF($L1355="Crédit",$K1355,-$K1355))</f>
        <v/>
      </c>
      <c r="S1355" s="6" t="str">
        <f>IF($C1355="","",IFERROR(INDEX('Paramètres'!$H:$H,MATCH($C1355,'Paramètres'!$D:$D,0))&amp;"",""))</f>
        <v/>
      </c>
      <c r="T1355" s="6" t="str">
        <f>IF($K1355="","",IF($S1355="",0,IF(ISNUMBER(SEARCH("apport-exterieur",IFERROR(INDEX('Paramètres'!$N:$N,MATCH($D1355,'Paramètres'!$M:$M,0))&amp;"",""))),0,IF(OR(IFERROR(INDEX('Paramètres'!$I:$I,MATCH($C1355,'Paramètres'!$D:$D,0))&amp;"","")="Les deux",IFERROR(INDEX('Paramètres'!$I:$I,MATCH($C1355,'Paramètres'!$D:$D,0))&amp;"","")=IF($P1355=1,"Débit",$L1355)),-IF($P1355=1,-$K1355,$K1355),0))))</f>
        <v/>
      </c>
      <c r="U1355" s="6" t="str">
        <f>IF($K1355="","",IF(ISNUMBER(SEARCH("sortie-epargne",IFERROR(INDEX('Paramètres'!$N:$N,MATCH($D1355,'Paramètres'!$M:$M,0))&amp;"",""))),$K1355,0))</f>
        <v/>
      </c>
      <c r="V1355" s="6" t="str">
        <f>IF(AND($A1355&lt;&gt;"",$O1355=1,$L1355="Débit",N($Q1355)&gt;0,$A1355&gt;=Visualisation!$B$1,$A1355&lt;Visualisation!$D$1),MAX($V$1:V1354)+1,"")</f>
        <v/>
      </c>
    </row>
    <row r="1356" spans="1:22" x14ac:dyDescent="0.25">
      <c r="A1356" s="9"/>
      <c r="E1356" s="10"/>
      <c r="K1356" s="11" t="str">
        <f>IF($E1356="","",ROUND($E1356*IF(ISNA(MATCH($C1356,'Paramètres'!$D:$D,0)),1,IF(INDEX('Paramètres'!$J:$J,MATCH($C1356,'Paramètres'!$D:$D,0))="",1,INDEX('Paramètres'!$J:$J,MATCH($C1356,'Paramètres'!$D:$D,0)))),2))</f>
        <v/>
      </c>
      <c r="L1356" s="6" t="str">
        <f>IF($D1356="","",IF($F1356&lt;&gt;"",$F1356,IF(ISNA(MATCH($D1356,'Paramètres'!$M:$M,0)),"⚠ Type inconnu",IFERROR(INDEX('Paramètres'!$P:$P,MATCH($D1356,'Paramètres'!$M:$M,0))&amp;"",""))))</f>
        <v/>
      </c>
      <c r="M1356" s="6" t="str">
        <f>IF($D1356="","",IF(ISNA(MATCH($D1356,'Paramètres'!$M:$M,0)),"⚠ Type inconnu",IF($L1356="Crédit","",IFERROR(INDEX('Paramètres'!$O:$O,MATCH($D1356,'Paramètres'!$M:$M,0))&amp;"",""))))</f>
        <v/>
      </c>
      <c r="N1356" s="6" t="str">
        <f>IF($D1356="","",IFERROR(INDEX('Paramètres'!$Q:$Q,MATCH($D1356,'Paramètres'!$M:$M,0))&amp;"",""))</f>
        <v/>
      </c>
      <c r="O1356" s="6" t="str">
        <f>IF($A1356="","",IF(OR($J1356&lt;&gt;"x",$A1356&lt;=FinReleve),1,0))</f>
        <v/>
      </c>
      <c r="P1356" s="6" t="str">
        <f>IF($D1356="","",IF(AND($L1356="Crédit",OR(IFERROR(INDEX('Paramètres'!$O:$O,MATCH($D1356,'Paramètres'!$M:$M,0))&amp;"","")&lt;&gt;"",ISNUMBER(SEARCH("remboursement",IFERROR(INDEX('Paramètres'!$N:$N,MATCH($D1356,'Paramètres'!$M:$M,0))&amp;"",""))))),1,0))</f>
        <v/>
      </c>
      <c r="Q1356" s="6" t="str">
        <f>IF($K1356="","",IF(ISNUMBER(SEARCH("transfert-interne",IFERROR(INDEX('Paramètres'!$N:$N,MATCH($D1356,'Paramètres'!$M:$M,0))&amp;"",""))),0,IF($L1356="Débit",$K1356,IF($P1356=1,-$K1356,0))))</f>
        <v/>
      </c>
      <c r="R1356" s="6" t="str">
        <f>IF($K1356="","",IF($L1356="Crédit",$K1356,-$K1356))</f>
        <v/>
      </c>
      <c r="S1356" s="6" t="str">
        <f>IF($C1356="","",IFERROR(INDEX('Paramètres'!$H:$H,MATCH($C1356,'Paramètres'!$D:$D,0))&amp;"",""))</f>
        <v/>
      </c>
      <c r="T1356" s="6" t="str">
        <f>IF($K1356="","",IF($S1356="",0,IF(ISNUMBER(SEARCH("apport-exterieur",IFERROR(INDEX('Paramètres'!$N:$N,MATCH($D1356,'Paramètres'!$M:$M,0))&amp;"",""))),0,IF(OR(IFERROR(INDEX('Paramètres'!$I:$I,MATCH($C1356,'Paramètres'!$D:$D,0))&amp;"","")="Les deux",IFERROR(INDEX('Paramètres'!$I:$I,MATCH($C1356,'Paramètres'!$D:$D,0))&amp;"","")=IF($P1356=1,"Débit",$L1356)),-IF($P1356=1,-$K1356,$K1356),0))))</f>
        <v/>
      </c>
      <c r="U1356" s="6" t="str">
        <f>IF($K1356="","",IF(ISNUMBER(SEARCH("sortie-epargne",IFERROR(INDEX('Paramètres'!$N:$N,MATCH($D1356,'Paramètres'!$M:$M,0))&amp;"",""))),$K1356,0))</f>
        <v/>
      </c>
      <c r="V1356" s="6" t="str">
        <f>IF(AND($A1356&lt;&gt;"",$O1356=1,$L1356="Débit",N($Q1356)&gt;0,$A1356&gt;=Visualisation!$B$1,$A1356&lt;Visualisation!$D$1),MAX($V$1:V1355)+1,"")</f>
        <v/>
      </c>
    </row>
    <row r="1357" spans="1:22" x14ac:dyDescent="0.25">
      <c r="A1357" s="9"/>
      <c r="E1357" s="10"/>
      <c r="K1357" s="11" t="str">
        <f>IF($E1357="","",ROUND($E1357*IF(ISNA(MATCH($C1357,'Paramètres'!$D:$D,0)),1,IF(INDEX('Paramètres'!$J:$J,MATCH($C1357,'Paramètres'!$D:$D,0))="",1,INDEX('Paramètres'!$J:$J,MATCH($C1357,'Paramètres'!$D:$D,0)))),2))</f>
        <v/>
      </c>
      <c r="L1357" s="6" t="str">
        <f>IF($D1357="","",IF($F1357&lt;&gt;"",$F1357,IF(ISNA(MATCH($D1357,'Paramètres'!$M:$M,0)),"⚠ Type inconnu",IFERROR(INDEX('Paramètres'!$P:$P,MATCH($D1357,'Paramètres'!$M:$M,0))&amp;"",""))))</f>
        <v/>
      </c>
      <c r="M1357" s="6" t="str">
        <f>IF($D1357="","",IF(ISNA(MATCH($D1357,'Paramètres'!$M:$M,0)),"⚠ Type inconnu",IF($L1357="Crédit","",IFERROR(INDEX('Paramètres'!$O:$O,MATCH($D1357,'Paramètres'!$M:$M,0))&amp;"",""))))</f>
        <v/>
      </c>
      <c r="N1357" s="6" t="str">
        <f>IF($D1357="","",IFERROR(INDEX('Paramètres'!$Q:$Q,MATCH($D1357,'Paramètres'!$M:$M,0))&amp;"",""))</f>
        <v/>
      </c>
      <c r="O1357" s="6" t="str">
        <f>IF($A1357="","",IF(OR($J1357&lt;&gt;"x",$A1357&lt;=FinReleve),1,0))</f>
        <v/>
      </c>
      <c r="P1357" s="6" t="str">
        <f>IF($D1357="","",IF(AND($L1357="Crédit",OR(IFERROR(INDEX('Paramètres'!$O:$O,MATCH($D1357,'Paramètres'!$M:$M,0))&amp;"","")&lt;&gt;"",ISNUMBER(SEARCH("remboursement",IFERROR(INDEX('Paramètres'!$N:$N,MATCH($D1357,'Paramètres'!$M:$M,0))&amp;"",""))))),1,0))</f>
        <v/>
      </c>
      <c r="Q1357" s="6" t="str">
        <f>IF($K1357="","",IF(ISNUMBER(SEARCH("transfert-interne",IFERROR(INDEX('Paramètres'!$N:$N,MATCH($D1357,'Paramètres'!$M:$M,0))&amp;"",""))),0,IF($L1357="Débit",$K1357,IF($P1357=1,-$K1357,0))))</f>
        <v/>
      </c>
      <c r="R1357" s="6" t="str">
        <f>IF($K1357="","",IF($L1357="Crédit",$K1357,-$K1357))</f>
        <v/>
      </c>
      <c r="S1357" s="6" t="str">
        <f>IF($C1357="","",IFERROR(INDEX('Paramètres'!$H:$H,MATCH($C1357,'Paramètres'!$D:$D,0))&amp;"",""))</f>
        <v/>
      </c>
      <c r="T1357" s="6" t="str">
        <f>IF($K1357="","",IF($S1357="",0,IF(ISNUMBER(SEARCH("apport-exterieur",IFERROR(INDEX('Paramètres'!$N:$N,MATCH($D1357,'Paramètres'!$M:$M,0))&amp;"",""))),0,IF(OR(IFERROR(INDEX('Paramètres'!$I:$I,MATCH($C1357,'Paramètres'!$D:$D,0))&amp;"","")="Les deux",IFERROR(INDEX('Paramètres'!$I:$I,MATCH($C1357,'Paramètres'!$D:$D,0))&amp;"","")=IF($P1357=1,"Débit",$L1357)),-IF($P1357=1,-$K1357,$K1357),0))))</f>
        <v/>
      </c>
      <c r="U1357" s="6" t="str">
        <f>IF($K1357="","",IF(ISNUMBER(SEARCH("sortie-epargne",IFERROR(INDEX('Paramètres'!$N:$N,MATCH($D1357,'Paramètres'!$M:$M,0))&amp;"",""))),$K1357,0))</f>
        <v/>
      </c>
      <c r="V1357" s="6" t="str">
        <f>IF(AND($A1357&lt;&gt;"",$O1357=1,$L1357="Débit",N($Q1357)&gt;0,$A1357&gt;=Visualisation!$B$1,$A1357&lt;Visualisation!$D$1),MAX($V$1:V1356)+1,"")</f>
        <v/>
      </c>
    </row>
    <row r="1358" spans="1:22" x14ac:dyDescent="0.25">
      <c r="A1358" s="9"/>
      <c r="E1358" s="10"/>
      <c r="K1358" s="11" t="str">
        <f>IF($E1358="","",ROUND($E1358*IF(ISNA(MATCH($C1358,'Paramètres'!$D:$D,0)),1,IF(INDEX('Paramètres'!$J:$J,MATCH($C1358,'Paramètres'!$D:$D,0))="",1,INDEX('Paramètres'!$J:$J,MATCH($C1358,'Paramètres'!$D:$D,0)))),2))</f>
        <v/>
      </c>
      <c r="L1358" s="6" t="str">
        <f>IF($D1358="","",IF($F1358&lt;&gt;"",$F1358,IF(ISNA(MATCH($D1358,'Paramètres'!$M:$M,0)),"⚠ Type inconnu",IFERROR(INDEX('Paramètres'!$P:$P,MATCH($D1358,'Paramètres'!$M:$M,0))&amp;"",""))))</f>
        <v/>
      </c>
      <c r="M1358" s="6" t="str">
        <f>IF($D1358="","",IF(ISNA(MATCH($D1358,'Paramètres'!$M:$M,0)),"⚠ Type inconnu",IF($L1358="Crédit","",IFERROR(INDEX('Paramètres'!$O:$O,MATCH($D1358,'Paramètres'!$M:$M,0))&amp;"",""))))</f>
        <v/>
      </c>
      <c r="N1358" s="6" t="str">
        <f>IF($D1358="","",IFERROR(INDEX('Paramètres'!$Q:$Q,MATCH($D1358,'Paramètres'!$M:$M,0))&amp;"",""))</f>
        <v/>
      </c>
      <c r="O1358" s="6" t="str">
        <f>IF($A1358="","",IF(OR($J1358&lt;&gt;"x",$A1358&lt;=FinReleve),1,0))</f>
        <v/>
      </c>
      <c r="P1358" s="6" t="str">
        <f>IF($D1358="","",IF(AND($L1358="Crédit",OR(IFERROR(INDEX('Paramètres'!$O:$O,MATCH($D1358,'Paramètres'!$M:$M,0))&amp;"","")&lt;&gt;"",ISNUMBER(SEARCH("remboursement",IFERROR(INDEX('Paramètres'!$N:$N,MATCH($D1358,'Paramètres'!$M:$M,0))&amp;"",""))))),1,0))</f>
        <v/>
      </c>
      <c r="Q1358" s="6" t="str">
        <f>IF($K1358="","",IF(ISNUMBER(SEARCH("transfert-interne",IFERROR(INDEX('Paramètres'!$N:$N,MATCH($D1358,'Paramètres'!$M:$M,0))&amp;"",""))),0,IF($L1358="Débit",$K1358,IF($P1358=1,-$K1358,0))))</f>
        <v/>
      </c>
      <c r="R1358" s="6" t="str">
        <f>IF($K1358="","",IF($L1358="Crédit",$K1358,-$K1358))</f>
        <v/>
      </c>
      <c r="S1358" s="6" t="str">
        <f>IF($C1358="","",IFERROR(INDEX('Paramètres'!$H:$H,MATCH($C1358,'Paramètres'!$D:$D,0))&amp;"",""))</f>
        <v/>
      </c>
      <c r="T1358" s="6" t="str">
        <f>IF($K1358="","",IF($S1358="",0,IF(ISNUMBER(SEARCH("apport-exterieur",IFERROR(INDEX('Paramètres'!$N:$N,MATCH($D1358,'Paramètres'!$M:$M,0))&amp;"",""))),0,IF(OR(IFERROR(INDEX('Paramètres'!$I:$I,MATCH($C1358,'Paramètres'!$D:$D,0))&amp;"","")="Les deux",IFERROR(INDEX('Paramètres'!$I:$I,MATCH($C1358,'Paramètres'!$D:$D,0))&amp;"","")=IF($P1358=1,"Débit",$L1358)),-IF($P1358=1,-$K1358,$K1358),0))))</f>
        <v/>
      </c>
      <c r="U1358" s="6" t="str">
        <f>IF($K1358="","",IF(ISNUMBER(SEARCH("sortie-epargne",IFERROR(INDEX('Paramètres'!$N:$N,MATCH($D1358,'Paramètres'!$M:$M,0))&amp;"",""))),$K1358,0))</f>
        <v/>
      </c>
      <c r="V1358" s="6" t="str">
        <f>IF(AND($A1358&lt;&gt;"",$O1358=1,$L1358="Débit",N($Q1358)&gt;0,$A1358&gt;=Visualisation!$B$1,$A1358&lt;Visualisation!$D$1),MAX($V$1:V1357)+1,"")</f>
        <v/>
      </c>
    </row>
    <row r="1359" spans="1:22" x14ac:dyDescent="0.25">
      <c r="A1359" s="9"/>
      <c r="E1359" s="10"/>
      <c r="K1359" s="11" t="str">
        <f>IF($E1359="","",ROUND($E1359*IF(ISNA(MATCH($C1359,'Paramètres'!$D:$D,0)),1,IF(INDEX('Paramètres'!$J:$J,MATCH($C1359,'Paramètres'!$D:$D,0))="",1,INDEX('Paramètres'!$J:$J,MATCH($C1359,'Paramètres'!$D:$D,0)))),2))</f>
        <v/>
      </c>
      <c r="L1359" s="6" t="str">
        <f>IF($D1359="","",IF($F1359&lt;&gt;"",$F1359,IF(ISNA(MATCH($D1359,'Paramètres'!$M:$M,0)),"⚠ Type inconnu",IFERROR(INDEX('Paramètres'!$P:$P,MATCH($D1359,'Paramètres'!$M:$M,0))&amp;"",""))))</f>
        <v/>
      </c>
      <c r="M1359" s="6" t="str">
        <f>IF($D1359="","",IF(ISNA(MATCH($D1359,'Paramètres'!$M:$M,0)),"⚠ Type inconnu",IF($L1359="Crédit","",IFERROR(INDEX('Paramètres'!$O:$O,MATCH($D1359,'Paramètres'!$M:$M,0))&amp;"",""))))</f>
        <v/>
      </c>
      <c r="N1359" s="6" t="str">
        <f>IF($D1359="","",IFERROR(INDEX('Paramètres'!$Q:$Q,MATCH($D1359,'Paramètres'!$M:$M,0))&amp;"",""))</f>
        <v/>
      </c>
      <c r="O1359" s="6" t="str">
        <f>IF($A1359="","",IF(OR($J1359&lt;&gt;"x",$A1359&lt;=FinReleve),1,0))</f>
        <v/>
      </c>
      <c r="P1359" s="6" t="str">
        <f>IF($D1359="","",IF(AND($L1359="Crédit",OR(IFERROR(INDEX('Paramètres'!$O:$O,MATCH($D1359,'Paramètres'!$M:$M,0))&amp;"","")&lt;&gt;"",ISNUMBER(SEARCH("remboursement",IFERROR(INDEX('Paramètres'!$N:$N,MATCH($D1359,'Paramètres'!$M:$M,0))&amp;"",""))))),1,0))</f>
        <v/>
      </c>
      <c r="Q1359" s="6" t="str">
        <f>IF($K1359="","",IF(ISNUMBER(SEARCH("transfert-interne",IFERROR(INDEX('Paramètres'!$N:$N,MATCH($D1359,'Paramètres'!$M:$M,0))&amp;"",""))),0,IF($L1359="Débit",$K1359,IF($P1359=1,-$K1359,0))))</f>
        <v/>
      </c>
      <c r="R1359" s="6" t="str">
        <f>IF($K1359="","",IF($L1359="Crédit",$K1359,-$K1359))</f>
        <v/>
      </c>
      <c r="S1359" s="6" t="str">
        <f>IF($C1359="","",IFERROR(INDEX('Paramètres'!$H:$H,MATCH($C1359,'Paramètres'!$D:$D,0))&amp;"",""))</f>
        <v/>
      </c>
      <c r="T1359" s="6" t="str">
        <f>IF($K1359="","",IF($S1359="",0,IF(ISNUMBER(SEARCH("apport-exterieur",IFERROR(INDEX('Paramètres'!$N:$N,MATCH($D1359,'Paramètres'!$M:$M,0))&amp;"",""))),0,IF(OR(IFERROR(INDEX('Paramètres'!$I:$I,MATCH($C1359,'Paramètres'!$D:$D,0))&amp;"","")="Les deux",IFERROR(INDEX('Paramètres'!$I:$I,MATCH($C1359,'Paramètres'!$D:$D,0))&amp;"","")=IF($P1359=1,"Débit",$L1359)),-IF($P1359=1,-$K1359,$K1359),0))))</f>
        <v/>
      </c>
      <c r="U1359" s="6" t="str">
        <f>IF($K1359="","",IF(ISNUMBER(SEARCH("sortie-epargne",IFERROR(INDEX('Paramètres'!$N:$N,MATCH($D1359,'Paramètres'!$M:$M,0))&amp;"",""))),$K1359,0))</f>
        <v/>
      </c>
      <c r="V1359" s="6" t="str">
        <f>IF(AND($A1359&lt;&gt;"",$O1359=1,$L1359="Débit",N($Q1359)&gt;0,$A1359&gt;=Visualisation!$B$1,$A1359&lt;Visualisation!$D$1),MAX($V$1:V1358)+1,"")</f>
        <v/>
      </c>
    </row>
    <row r="1360" spans="1:22" x14ac:dyDescent="0.25">
      <c r="A1360" s="9"/>
      <c r="E1360" s="10"/>
      <c r="K1360" s="11" t="str">
        <f>IF($E1360="","",ROUND($E1360*IF(ISNA(MATCH($C1360,'Paramètres'!$D:$D,0)),1,IF(INDEX('Paramètres'!$J:$J,MATCH($C1360,'Paramètres'!$D:$D,0))="",1,INDEX('Paramètres'!$J:$J,MATCH($C1360,'Paramètres'!$D:$D,0)))),2))</f>
        <v/>
      </c>
      <c r="L1360" s="6" t="str">
        <f>IF($D1360="","",IF($F1360&lt;&gt;"",$F1360,IF(ISNA(MATCH($D1360,'Paramètres'!$M:$M,0)),"⚠ Type inconnu",IFERROR(INDEX('Paramètres'!$P:$P,MATCH($D1360,'Paramètres'!$M:$M,0))&amp;"",""))))</f>
        <v/>
      </c>
      <c r="M1360" s="6" t="str">
        <f>IF($D1360="","",IF(ISNA(MATCH($D1360,'Paramètres'!$M:$M,0)),"⚠ Type inconnu",IF($L1360="Crédit","",IFERROR(INDEX('Paramètres'!$O:$O,MATCH($D1360,'Paramètres'!$M:$M,0))&amp;"",""))))</f>
        <v/>
      </c>
      <c r="N1360" s="6" t="str">
        <f>IF($D1360="","",IFERROR(INDEX('Paramètres'!$Q:$Q,MATCH($D1360,'Paramètres'!$M:$M,0))&amp;"",""))</f>
        <v/>
      </c>
      <c r="O1360" s="6" t="str">
        <f>IF($A1360="","",IF(OR($J1360&lt;&gt;"x",$A1360&lt;=FinReleve),1,0))</f>
        <v/>
      </c>
      <c r="P1360" s="6" t="str">
        <f>IF($D1360="","",IF(AND($L1360="Crédit",OR(IFERROR(INDEX('Paramètres'!$O:$O,MATCH($D1360,'Paramètres'!$M:$M,0))&amp;"","")&lt;&gt;"",ISNUMBER(SEARCH("remboursement",IFERROR(INDEX('Paramètres'!$N:$N,MATCH($D1360,'Paramètres'!$M:$M,0))&amp;"",""))))),1,0))</f>
        <v/>
      </c>
      <c r="Q1360" s="6" t="str">
        <f>IF($K1360="","",IF(ISNUMBER(SEARCH("transfert-interne",IFERROR(INDEX('Paramètres'!$N:$N,MATCH($D1360,'Paramètres'!$M:$M,0))&amp;"",""))),0,IF($L1360="Débit",$K1360,IF($P1360=1,-$K1360,0))))</f>
        <v/>
      </c>
      <c r="R1360" s="6" t="str">
        <f>IF($K1360="","",IF($L1360="Crédit",$K1360,-$K1360))</f>
        <v/>
      </c>
      <c r="S1360" s="6" t="str">
        <f>IF($C1360="","",IFERROR(INDEX('Paramètres'!$H:$H,MATCH($C1360,'Paramètres'!$D:$D,0))&amp;"",""))</f>
        <v/>
      </c>
      <c r="T1360" s="6" t="str">
        <f>IF($K1360="","",IF($S1360="",0,IF(ISNUMBER(SEARCH("apport-exterieur",IFERROR(INDEX('Paramètres'!$N:$N,MATCH($D1360,'Paramètres'!$M:$M,0))&amp;"",""))),0,IF(OR(IFERROR(INDEX('Paramètres'!$I:$I,MATCH($C1360,'Paramètres'!$D:$D,0))&amp;"","")="Les deux",IFERROR(INDEX('Paramètres'!$I:$I,MATCH($C1360,'Paramètres'!$D:$D,0))&amp;"","")=IF($P1360=1,"Débit",$L1360)),-IF($P1360=1,-$K1360,$K1360),0))))</f>
        <v/>
      </c>
      <c r="U1360" s="6" t="str">
        <f>IF($K1360="","",IF(ISNUMBER(SEARCH("sortie-epargne",IFERROR(INDEX('Paramètres'!$N:$N,MATCH($D1360,'Paramètres'!$M:$M,0))&amp;"",""))),$K1360,0))</f>
        <v/>
      </c>
      <c r="V1360" s="6" t="str">
        <f>IF(AND($A1360&lt;&gt;"",$O1360=1,$L1360="Débit",N($Q1360)&gt;0,$A1360&gt;=Visualisation!$B$1,$A1360&lt;Visualisation!$D$1),MAX($V$1:V1359)+1,"")</f>
        <v/>
      </c>
    </row>
    <row r="1361" spans="1:22" x14ac:dyDescent="0.25">
      <c r="A1361" s="9"/>
      <c r="E1361" s="10"/>
      <c r="K1361" s="11" t="str">
        <f>IF($E1361="","",ROUND($E1361*IF(ISNA(MATCH($C1361,'Paramètres'!$D:$D,0)),1,IF(INDEX('Paramètres'!$J:$J,MATCH($C1361,'Paramètres'!$D:$D,0))="",1,INDEX('Paramètres'!$J:$J,MATCH($C1361,'Paramètres'!$D:$D,0)))),2))</f>
        <v/>
      </c>
      <c r="L1361" s="6" t="str">
        <f>IF($D1361="","",IF($F1361&lt;&gt;"",$F1361,IF(ISNA(MATCH($D1361,'Paramètres'!$M:$M,0)),"⚠ Type inconnu",IFERROR(INDEX('Paramètres'!$P:$P,MATCH($D1361,'Paramètres'!$M:$M,0))&amp;"",""))))</f>
        <v/>
      </c>
      <c r="M1361" s="6" t="str">
        <f>IF($D1361="","",IF(ISNA(MATCH($D1361,'Paramètres'!$M:$M,0)),"⚠ Type inconnu",IF($L1361="Crédit","",IFERROR(INDEX('Paramètres'!$O:$O,MATCH($D1361,'Paramètres'!$M:$M,0))&amp;"",""))))</f>
        <v/>
      </c>
      <c r="N1361" s="6" t="str">
        <f>IF($D1361="","",IFERROR(INDEX('Paramètres'!$Q:$Q,MATCH($D1361,'Paramètres'!$M:$M,0))&amp;"",""))</f>
        <v/>
      </c>
      <c r="O1361" s="6" t="str">
        <f>IF($A1361="","",IF(OR($J1361&lt;&gt;"x",$A1361&lt;=FinReleve),1,0))</f>
        <v/>
      </c>
      <c r="P1361" s="6" t="str">
        <f>IF($D1361="","",IF(AND($L1361="Crédit",OR(IFERROR(INDEX('Paramètres'!$O:$O,MATCH($D1361,'Paramètres'!$M:$M,0))&amp;"","")&lt;&gt;"",ISNUMBER(SEARCH("remboursement",IFERROR(INDEX('Paramètres'!$N:$N,MATCH($D1361,'Paramètres'!$M:$M,0))&amp;"",""))))),1,0))</f>
        <v/>
      </c>
      <c r="Q1361" s="6" t="str">
        <f>IF($K1361="","",IF(ISNUMBER(SEARCH("transfert-interne",IFERROR(INDEX('Paramètres'!$N:$N,MATCH($D1361,'Paramètres'!$M:$M,0))&amp;"",""))),0,IF($L1361="Débit",$K1361,IF($P1361=1,-$K1361,0))))</f>
        <v/>
      </c>
      <c r="R1361" s="6" t="str">
        <f>IF($K1361="","",IF($L1361="Crédit",$K1361,-$K1361))</f>
        <v/>
      </c>
      <c r="S1361" s="6" t="str">
        <f>IF($C1361="","",IFERROR(INDEX('Paramètres'!$H:$H,MATCH($C1361,'Paramètres'!$D:$D,0))&amp;"",""))</f>
        <v/>
      </c>
      <c r="T1361" s="6" t="str">
        <f>IF($K1361="","",IF($S1361="",0,IF(ISNUMBER(SEARCH("apport-exterieur",IFERROR(INDEX('Paramètres'!$N:$N,MATCH($D1361,'Paramètres'!$M:$M,0))&amp;"",""))),0,IF(OR(IFERROR(INDEX('Paramètres'!$I:$I,MATCH($C1361,'Paramètres'!$D:$D,0))&amp;"","")="Les deux",IFERROR(INDEX('Paramètres'!$I:$I,MATCH($C1361,'Paramètres'!$D:$D,0))&amp;"","")=IF($P1361=1,"Débit",$L1361)),-IF($P1361=1,-$K1361,$K1361),0))))</f>
        <v/>
      </c>
      <c r="U1361" s="6" t="str">
        <f>IF($K1361="","",IF(ISNUMBER(SEARCH("sortie-epargne",IFERROR(INDEX('Paramètres'!$N:$N,MATCH($D1361,'Paramètres'!$M:$M,0))&amp;"",""))),$K1361,0))</f>
        <v/>
      </c>
      <c r="V1361" s="6" t="str">
        <f>IF(AND($A1361&lt;&gt;"",$O1361=1,$L1361="Débit",N($Q1361)&gt;0,$A1361&gt;=Visualisation!$B$1,$A1361&lt;Visualisation!$D$1),MAX($V$1:V1360)+1,"")</f>
        <v/>
      </c>
    </row>
    <row r="1362" spans="1:22" x14ac:dyDescent="0.25">
      <c r="A1362" s="9"/>
      <c r="E1362" s="10"/>
      <c r="K1362" s="11" t="str">
        <f>IF($E1362="","",ROUND($E1362*IF(ISNA(MATCH($C1362,'Paramètres'!$D:$D,0)),1,IF(INDEX('Paramètres'!$J:$J,MATCH($C1362,'Paramètres'!$D:$D,0))="",1,INDEX('Paramètres'!$J:$J,MATCH($C1362,'Paramètres'!$D:$D,0)))),2))</f>
        <v/>
      </c>
      <c r="L1362" s="6" t="str">
        <f>IF($D1362="","",IF($F1362&lt;&gt;"",$F1362,IF(ISNA(MATCH($D1362,'Paramètres'!$M:$M,0)),"⚠ Type inconnu",IFERROR(INDEX('Paramètres'!$P:$P,MATCH($D1362,'Paramètres'!$M:$M,0))&amp;"",""))))</f>
        <v/>
      </c>
      <c r="M1362" s="6" t="str">
        <f>IF($D1362="","",IF(ISNA(MATCH($D1362,'Paramètres'!$M:$M,0)),"⚠ Type inconnu",IF($L1362="Crédit","",IFERROR(INDEX('Paramètres'!$O:$O,MATCH($D1362,'Paramètres'!$M:$M,0))&amp;"",""))))</f>
        <v/>
      </c>
      <c r="N1362" s="6" t="str">
        <f>IF($D1362="","",IFERROR(INDEX('Paramètres'!$Q:$Q,MATCH($D1362,'Paramètres'!$M:$M,0))&amp;"",""))</f>
        <v/>
      </c>
      <c r="O1362" s="6" t="str">
        <f>IF($A1362="","",IF(OR($J1362&lt;&gt;"x",$A1362&lt;=FinReleve),1,0))</f>
        <v/>
      </c>
      <c r="P1362" s="6" t="str">
        <f>IF($D1362="","",IF(AND($L1362="Crédit",OR(IFERROR(INDEX('Paramètres'!$O:$O,MATCH($D1362,'Paramètres'!$M:$M,0))&amp;"","")&lt;&gt;"",ISNUMBER(SEARCH("remboursement",IFERROR(INDEX('Paramètres'!$N:$N,MATCH($D1362,'Paramètres'!$M:$M,0))&amp;"",""))))),1,0))</f>
        <v/>
      </c>
      <c r="Q1362" s="6" t="str">
        <f>IF($K1362="","",IF(ISNUMBER(SEARCH("transfert-interne",IFERROR(INDEX('Paramètres'!$N:$N,MATCH($D1362,'Paramètres'!$M:$M,0))&amp;"",""))),0,IF($L1362="Débit",$K1362,IF($P1362=1,-$K1362,0))))</f>
        <v/>
      </c>
      <c r="R1362" s="6" t="str">
        <f>IF($K1362="","",IF($L1362="Crédit",$K1362,-$K1362))</f>
        <v/>
      </c>
      <c r="S1362" s="6" t="str">
        <f>IF($C1362="","",IFERROR(INDEX('Paramètres'!$H:$H,MATCH($C1362,'Paramètres'!$D:$D,0))&amp;"",""))</f>
        <v/>
      </c>
      <c r="T1362" s="6" t="str">
        <f>IF($K1362="","",IF($S1362="",0,IF(ISNUMBER(SEARCH("apport-exterieur",IFERROR(INDEX('Paramètres'!$N:$N,MATCH($D1362,'Paramètres'!$M:$M,0))&amp;"",""))),0,IF(OR(IFERROR(INDEX('Paramètres'!$I:$I,MATCH($C1362,'Paramètres'!$D:$D,0))&amp;"","")="Les deux",IFERROR(INDEX('Paramètres'!$I:$I,MATCH($C1362,'Paramètres'!$D:$D,0))&amp;"","")=IF($P1362=1,"Débit",$L1362)),-IF($P1362=1,-$K1362,$K1362),0))))</f>
        <v/>
      </c>
      <c r="U1362" s="6" t="str">
        <f>IF($K1362="","",IF(ISNUMBER(SEARCH("sortie-epargne",IFERROR(INDEX('Paramètres'!$N:$N,MATCH($D1362,'Paramètres'!$M:$M,0))&amp;"",""))),$K1362,0))</f>
        <v/>
      </c>
      <c r="V1362" s="6" t="str">
        <f>IF(AND($A1362&lt;&gt;"",$O1362=1,$L1362="Débit",N($Q1362)&gt;0,$A1362&gt;=Visualisation!$B$1,$A1362&lt;Visualisation!$D$1),MAX($V$1:V1361)+1,"")</f>
        <v/>
      </c>
    </row>
    <row r="1363" spans="1:22" x14ac:dyDescent="0.25">
      <c r="A1363" s="9"/>
      <c r="E1363" s="10"/>
      <c r="K1363" s="11" t="str">
        <f>IF($E1363="","",ROUND($E1363*IF(ISNA(MATCH($C1363,'Paramètres'!$D:$D,0)),1,IF(INDEX('Paramètres'!$J:$J,MATCH($C1363,'Paramètres'!$D:$D,0))="",1,INDEX('Paramètres'!$J:$J,MATCH($C1363,'Paramètres'!$D:$D,0)))),2))</f>
        <v/>
      </c>
      <c r="L1363" s="6" t="str">
        <f>IF($D1363="","",IF($F1363&lt;&gt;"",$F1363,IF(ISNA(MATCH($D1363,'Paramètres'!$M:$M,0)),"⚠ Type inconnu",IFERROR(INDEX('Paramètres'!$P:$P,MATCH($D1363,'Paramètres'!$M:$M,0))&amp;"",""))))</f>
        <v/>
      </c>
      <c r="M1363" s="6" t="str">
        <f>IF($D1363="","",IF(ISNA(MATCH($D1363,'Paramètres'!$M:$M,0)),"⚠ Type inconnu",IF($L1363="Crédit","",IFERROR(INDEX('Paramètres'!$O:$O,MATCH($D1363,'Paramètres'!$M:$M,0))&amp;"",""))))</f>
        <v/>
      </c>
      <c r="N1363" s="6" t="str">
        <f>IF($D1363="","",IFERROR(INDEX('Paramètres'!$Q:$Q,MATCH($D1363,'Paramètres'!$M:$M,0))&amp;"",""))</f>
        <v/>
      </c>
      <c r="O1363" s="6" t="str">
        <f>IF($A1363="","",IF(OR($J1363&lt;&gt;"x",$A1363&lt;=FinReleve),1,0))</f>
        <v/>
      </c>
      <c r="P1363" s="6" t="str">
        <f>IF($D1363="","",IF(AND($L1363="Crédit",OR(IFERROR(INDEX('Paramètres'!$O:$O,MATCH($D1363,'Paramètres'!$M:$M,0))&amp;"","")&lt;&gt;"",ISNUMBER(SEARCH("remboursement",IFERROR(INDEX('Paramètres'!$N:$N,MATCH($D1363,'Paramètres'!$M:$M,0))&amp;"",""))))),1,0))</f>
        <v/>
      </c>
      <c r="Q1363" s="6" t="str">
        <f>IF($K1363="","",IF(ISNUMBER(SEARCH("transfert-interne",IFERROR(INDEX('Paramètres'!$N:$N,MATCH($D1363,'Paramètres'!$M:$M,0))&amp;"",""))),0,IF($L1363="Débit",$K1363,IF($P1363=1,-$K1363,0))))</f>
        <v/>
      </c>
      <c r="R1363" s="6" t="str">
        <f>IF($K1363="","",IF($L1363="Crédit",$K1363,-$K1363))</f>
        <v/>
      </c>
      <c r="S1363" s="6" t="str">
        <f>IF($C1363="","",IFERROR(INDEX('Paramètres'!$H:$H,MATCH($C1363,'Paramètres'!$D:$D,0))&amp;"",""))</f>
        <v/>
      </c>
      <c r="T1363" s="6" t="str">
        <f>IF($K1363="","",IF($S1363="",0,IF(ISNUMBER(SEARCH("apport-exterieur",IFERROR(INDEX('Paramètres'!$N:$N,MATCH($D1363,'Paramètres'!$M:$M,0))&amp;"",""))),0,IF(OR(IFERROR(INDEX('Paramètres'!$I:$I,MATCH($C1363,'Paramètres'!$D:$D,0))&amp;"","")="Les deux",IFERROR(INDEX('Paramètres'!$I:$I,MATCH($C1363,'Paramètres'!$D:$D,0))&amp;"","")=IF($P1363=1,"Débit",$L1363)),-IF($P1363=1,-$K1363,$K1363),0))))</f>
        <v/>
      </c>
      <c r="U1363" s="6" t="str">
        <f>IF($K1363="","",IF(ISNUMBER(SEARCH("sortie-epargne",IFERROR(INDEX('Paramètres'!$N:$N,MATCH($D1363,'Paramètres'!$M:$M,0))&amp;"",""))),$K1363,0))</f>
        <v/>
      </c>
      <c r="V1363" s="6" t="str">
        <f>IF(AND($A1363&lt;&gt;"",$O1363=1,$L1363="Débit",N($Q1363)&gt;0,$A1363&gt;=Visualisation!$B$1,$A1363&lt;Visualisation!$D$1),MAX($V$1:V1362)+1,"")</f>
        <v/>
      </c>
    </row>
    <row r="1364" spans="1:22" x14ac:dyDescent="0.25">
      <c r="A1364" s="9"/>
      <c r="E1364" s="10"/>
      <c r="K1364" s="11" t="str">
        <f>IF($E1364="","",ROUND($E1364*IF(ISNA(MATCH($C1364,'Paramètres'!$D:$D,0)),1,IF(INDEX('Paramètres'!$J:$J,MATCH($C1364,'Paramètres'!$D:$D,0))="",1,INDEX('Paramètres'!$J:$J,MATCH($C1364,'Paramètres'!$D:$D,0)))),2))</f>
        <v/>
      </c>
      <c r="L1364" s="6" t="str">
        <f>IF($D1364="","",IF($F1364&lt;&gt;"",$F1364,IF(ISNA(MATCH($D1364,'Paramètres'!$M:$M,0)),"⚠ Type inconnu",IFERROR(INDEX('Paramètres'!$P:$P,MATCH($D1364,'Paramètres'!$M:$M,0))&amp;"",""))))</f>
        <v/>
      </c>
      <c r="M1364" s="6" t="str">
        <f>IF($D1364="","",IF(ISNA(MATCH($D1364,'Paramètres'!$M:$M,0)),"⚠ Type inconnu",IF($L1364="Crédit","",IFERROR(INDEX('Paramètres'!$O:$O,MATCH($D1364,'Paramètres'!$M:$M,0))&amp;"",""))))</f>
        <v/>
      </c>
      <c r="N1364" s="6" t="str">
        <f>IF($D1364="","",IFERROR(INDEX('Paramètres'!$Q:$Q,MATCH($D1364,'Paramètres'!$M:$M,0))&amp;"",""))</f>
        <v/>
      </c>
      <c r="O1364" s="6" t="str">
        <f>IF($A1364="","",IF(OR($J1364&lt;&gt;"x",$A1364&lt;=FinReleve),1,0))</f>
        <v/>
      </c>
      <c r="P1364" s="6" t="str">
        <f>IF($D1364="","",IF(AND($L1364="Crédit",OR(IFERROR(INDEX('Paramètres'!$O:$O,MATCH($D1364,'Paramètres'!$M:$M,0))&amp;"","")&lt;&gt;"",ISNUMBER(SEARCH("remboursement",IFERROR(INDEX('Paramètres'!$N:$N,MATCH($D1364,'Paramètres'!$M:$M,0))&amp;"",""))))),1,0))</f>
        <v/>
      </c>
      <c r="Q1364" s="6" t="str">
        <f>IF($K1364="","",IF(ISNUMBER(SEARCH("transfert-interne",IFERROR(INDEX('Paramètres'!$N:$N,MATCH($D1364,'Paramètres'!$M:$M,0))&amp;"",""))),0,IF($L1364="Débit",$K1364,IF($P1364=1,-$K1364,0))))</f>
        <v/>
      </c>
      <c r="R1364" s="6" t="str">
        <f>IF($K1364="","",IF($L1364="Crédit",$K1364,-$K1364))</f>
        <v/>
      </c>
      <c r="S1364" s="6" t="str">
        <f>IF($C1364="","",IFERROR(INDEX('Paramètres'!$H:$H,MATCH($C1364,'Paramètres'!$D:$D,0))&amp;"",""))</f>
        <v/>
      </c>
      <c r="T1364" s="6" t="str">
        <f>IF($K1364="","",IF($S1364="",0,IF(ISNUMBER(SEARCH("apport-exterieur",IFERROR(INDEX('Paramètres'!$N:$N,MATCH($D1364,'Paramètres'!$M:$M,0))&amp;"",""))),0,IF(OR(IFERROR(INDEX('Paramètres'!$I:$I,MATCH($C1364,'Paramètres'!$D:$D,0))&amp;"","")="Les deux",IFERROR(INDEX('Paramètres'!$I:$I,MATCH($C1364,'Paramètres'!$D:$D,0))&amp;"","")=IF($P1364=1,"Débit",$L1364)),-IF($P1364=1,-$K1364,$K1364),0))))</f>
        <v/>
      </c>
      <c r="U1364" s="6" t="str">
        <f>IF($K1364="","",IF(ISNUMBER(SEARCH("sortie-epargne",IFERROR(INDEX('Paramètres'!$N:$N,MATCH($D1364,'Paramètres'!$M:$M,0))&amp;"",""))),$K1364,0))</f>
        <v/>
      </c>
      <c r="V1364" s="6" t="str">
        <f>IF(AND($A1364&lt;&gt;"",$O1364=1,$L1364="Débit",N($Q1364)&gt;0,$A1364&gt;=Visualisation!$B$1,$A1364&lt;Visualisation!$D$1),MAX($V$1:V1363)+1,"")</f>
        <v/>
      </c>
    </row>
    <row r="1365" spans="1:22" x14ac:dyDescent="0.25">
      <c r="A1365" s="9"/>
      <c r="E1365" s="10"/>
      <c r="K1365" s="11" t="str">
        <f>IF($E1365="","",ROUND($E1365*IF(ISNA(MATCH($C1365,'Paramètres'!$D:$D,0)),1,IF(INDEX('Paramètres'!$J:$J,MATCH($C1365,'Paramètres'!$D:$D,0))="",1,INDEX('Paramètres'!$J:$J,MATCH($C1365,'Paramètres'!$D:$D,0)))),2))</f>
        <v/>
      </c>
      <c r="L1365" s="6" t="str">
        <f>IF($D1365="","",IF($F1365&lt;&gt;"",$F1365,IF(ISNA(MATCH($D1365,'Paramètres'!$M:$M,0)),"⚠ Type inconnu",IFERROR(INDEX('Paramètres'!$P:$P,MATCH($D1365,'Paramètres'!$M:$M,0))&amp;"",""))))</f>
        <v/>
      </c>
      <c r="M1365" s="6" t="str">
        <f>IF($D1365="","",IF(ISNA(MATCH($D1365,'Paramètres'!$M:$M,0)),"⚠ Type inconnu",IF($L1365="Crédit","",IFERROR(INDEX('Paramètres'!$O:$O,MATCH($D1365,'Paramètres'!$M:$M,0))&amp;"",""))))</f>
        <v/>
      </c>
      <c r="N1365" s="6" t="str">
        <f>IF($D1365="","",IFERROR(INDEX('Paramètres'!$Q:$Q,MATCH($D1365,'Paramètres'!$M:$M,0))&amp;"",""))</f>
        <v/>
      </c>
      <c r="O1365" s="6" t="str">
        <f>IF($A1365="","",IF(OR($J1365&lt;&gt;"x",$A1365&lt;=FinReleve),1,0))</f>
        <v/>
      </c>
      <c r="P1365" s="6" t="str">
        <f>IF($D1365="","",IF(AND($L1365="Crédit",OR(IFERROR(INDEX('Paramètres'!$O:$O,MATCH($D1365,'Paramètres'!$M:$M,0))&amp;"","")&lt;&gt;"",ISNUMBER(SEARCH("remboursement",IFERROR(INDEX('Paramètres'!$N:$N,MATCH($D1365,'Paramètres'!$M:$M,0))&amp;"",""))))),1,0))</f>
        <v/>
      </c>
      <c r="Q1365" s="6" t="str">
        <f>IF($K1365="","",IF(ISNUMBER(SEARCH("transfert-interne",IFERROR(INDEX('Paramètres'!$N:$N,MATCH($D1365,'Paramètres'!$M:$M,0))&amp;"",""))),0,IF($L1365="Débit",$K1365,IF($P1365=1,-$K1365,0))))</f>
        <v/>
      </c>
      <c r="R1365" s="6" t="str">
        <f>IF($K1365="","",IF($L1365="Crédit",$K1365,-$K1365))</f>
        <v/>
      </c>
      <c r="S1365" s="6" t="str">
        <f>IF($C1365="","",IFERROR(INDEX('Paramètres'!$H:$H,MATCH($C1365,'Paramètres'!$D:$D,0))&amp;"",""))</f>
        <v/>
      </c>
      <c r="T1365" s="6" t="str">
        <f>IF($K1365="","",IF($S1365="",0,IF(ISNUMBER(SEARCH("apport-exterieur",IFERROR(INDEX('Paramètres'!$N:$N,MATCH($D1365,'Paramètres'!$M:$M,0))&amp;"",""))),0,IF(OR(IFERROR(INDEX('Paramètres'!$I:$I,MATCH($C1365,'Paramètres'!$D:$D,0))&amp;"","")="Les deux",IFERROR(INDEX('Paramètres'!$I:$I,MATCH($C1365,'Paramètres'!$D:$D,0))&amp;"","")=IF($P1365=1,"Débit",$L1365)),-IF($P1365=1,-$K1365,$K1365),0))))</f>
        <v/>
      </c>
      <c r="U1365" s="6" t="str">
        <f>IF($K1365="","",IF(ISNUMBER(SEARCH("sortie-epargne",IFERROR(INDEX('Paramètres'!$N:$N,MATCH($D1365,'Paramètres'!$M:$M,0))&amp;"",""))),$K1365,0))</f>
        <v/>
      </c>
      <c r="V1365" s="6" t="str">
        <f>IF(AND($A1365&lt;&gt;"",$O1365=1,$L1365="Débit",N($Q1365)&gt;0,$A1365&gt;=Visualisation!$B$1,$A1365&lt;Visualisation!$D$1),MAX($V$1:V1364)+1,"")</f>
        <v/>
      </c>
    </row>
    <row r="1366" spans="1:22" x14ac:dyDescent="0.25">
      <c r="A1366" s="9"/>
      <c r="E1366" s="10"/>
      <c r="K1366" s="11" t="str">
        <f>IF($E1366="","",ROUND($E1366*IF(ISNA(MATCH($C1366,'Paramètres'!$D:$D,0)),1,IF(INDEX('Paramètres'!$J:$J,MATCH($C1366,'Paramètres'!$D:$D,0))="",1,INDEX('Paramètres'!$J:$J,MATCH($C1366,'Paramètres'!$D:$D,0)))),2))</f>
        <v/>
      </c>
      <c r="L1366" s="6" t="str">
        <f>IF($D1366="","",IF($F1366&lt;&gt;"",$F1366,IF(ISNA(MATCH($D1366,'Paramètres'!$M:$M,0)),"⚠ Type inconnu",IFERROR(INDEX('Paramètres'!$P:$P,MATCH($D1366,'Paramètres'!$M:$M,0))&amp;"",""))))</f>
        <v/>
      </c>
      <c r="M1366" s="6" t="str">
        <f>IF($D1366="","",IF(ISNA(MATCH($D1366,'Paramètres'!$M:$M,0)),"⚠ Type inconnu",IF($L1366="Crédit","",IFERROR(INDEX('Paramètres'!$O:$O,MATCH($D1366,'Paramètres'!$M:$M,0))&amp;"",""))))</f>
        <v/>
      </c>
      <c r="N1366" s="6" t="str">
        <f>IF($D1366="","",IFERROR(INDEX('Paramètres'!$Q:$Q,MATCH($D1366,'Paramètres'!$M:$M,0))&amp;"",""))</f>
        <v/>
      </c>
      <c r="O1366" s="6" t="str">
        <f>IF($A1366="","",IF(OR($J1366&lt;&gt;"x",$A1366&lt;=FinReleve),1,0))</f>
        <v/>
      </c>
      <c r="P1366" s="6" t="str">
        <f>IF($D1366="","",IF(AND($L1366="Crédit",OR(IFERROR(INDEX('Paramètres'!$O:$O,MATCH($D1366,'Paramètres'!$M:$M,0))&amp;"","")&lt;&gt;"",ISNUMBER(SEARCH("remboursement",IFERROR(INDEX('Paramètres'!$N:$N,MATCH($D1366,'Paramètres'!$M:$M,0))&amp;"",""))))),1,0))</f>
        <v/>
      </c>
      <c r="Q1366" s="6" t="str">
        <f>IF($K1366="","",IF(ISNUMBER(SEARCH("transfert-interne",IFERROR(INDEX('Paramètres'!$N:$N,MATCH($D1366,'Paramètres'!$M:$M,0))&amp;"",""))),0,IF($L1366="Débit",$K1366,IF($P1366=1,-$K1366,0))))</f>
        <v/>
      </c>
      <c r="R1366" s="6" t="str">
        <f>IF($K1366="","",IF($L1366="Crédit",$K1366,-$K1366))</f>
        <v/>
      </c>
      <c r="S1366" s="6" t="str">
        <f>IF($C1366="","",IFERROR(INDEX('Paramètres'!$H:$H,MATCH($C1366,'Paramètres'!$D:$D,0))&amp;"",""))</f>
        <v/>
      </c>
      <c r="T1366" s="6" t="str">
        <f>IF($K1366="","",IF($S1366="",0,IF(ISNUMBER(SEARCH("apport-exterieur",IFERROR(INDEX('Paramètres'!$N:$N,MATCH($D1366,'Paramètres'!$M:$M,0))&amp;"",""))),0,IF(OR(IFERROR(INDEX('Paramètres'!$I:$I,MATCH($C1366,'Paramètres'!$D:$D,0))&amp;"","")="Les deux",IFERROR(INDEX('Paramètres'!$I:$I,MATCH($C1366,'Paramètres'!$D:$D,0))&amp;"","")=IF($P1366=1,"Débit",$L1366)),-IF($P1366=1,-$K1366,$K1366),0))))</f>
        <v/>
      </c>
      <c r="U1366" s="6" t="str">
        <f>IF($K1366="","",IF(ISNUMBER(SEARCH("sortie-epargne",IFERROR(INDEX('Paramètres'!$N:$N,MATCH($D1366,'Paramètres'!$M:$M,0))&amp;"",""))),$K1366,0))</f>
        <v/>
      </c>
      <c r="V1366" s="6" t="str">
        <f>IF(AND($A1366&lt;&gt;"",$O1366=1,$L1366="Débit",N($Q1366)&gt;0,$A1366&gt;=Visualisation!$B$1,$A1366&lt;Visualisation!$D$1),MAX($V$1:V1365)+1,"")</f>
        <v/>
      </c>
    </row>
    <row r="1367" spans="1:22" x14ac:dyDescent="0.25">
      <c r="A1367" s="9"/>
      <c r="E1367" s="10"/>
      <c r="K1367" s="11" t="str">
        <f>IF($E1367="","",ROUND($E1367*IF(ISNA(MATCH($C1367,'Paramètres'!$D:$D,0)),1,IF(INDEX('Paramètres'!$J:$J,MATCH($C1367,'Paramètres'!$D:$D,0))="",1,INDEX('Paramètres'!$J:$J,MATCH($C1367,'Paramètres'!$D:$D,0)))),2))</f>
        <v/>
      </c>
      <c r="L1367" s="6" t="str">
        <f>IF($D1367="","",IF($F1367&lt;&gt;"",$F1367,IF(ISNA(MATCH($D1367,'Paramètres'!$M:$M,0)),"⚠ Type inconnu",IFERROR(INDEX('Paramètres'!$P:$P,MATCH($D1367,'Paramètres'!$M:$M,0))&amp;"",""))))</f>
        <v/>
      </c>
      <c r="M1367" s="6" t="str">
        <f>IF($D1367="","",IF(ISNA(MATCH($D1367,'Paramètres'!$M:$M,0)),"⚠ Type inconnu",IF($L1367="Crédit","",IFERROR(INDEX('Paramètres'!$O:$O,MATCH($D1367,'Paramètres'!$M:$M,0))&amp;"",""))))</f>
        <v/>
      </c>
      <c r="N1367" s="6" t="str">
        <f>IF($D1367="","",IFERROR(INDEX('Paramètres'!$Q:$Q,MATCH($D1367,'Paramètres'!$M:$M,0))&amp;"",""))</f>
        <v/>
      </c>
      <c r="O1367" s="6" t="str">
        <f>IF($A1367="","",IF(OR($J1367&lt;&gt;"x",$A1367&lt;=FinReleve),1,0))</f>
        <v/>
      </c>
      <c r="P1367" s="6" t="str">
        <f>IF($D1367="","",IF(AND($L1367="Crédit",OR(IFERROR(INDEX('Paramètres'!$O:$O,MATCH($D1367,'Paramètres'!$M:$M,0))&amp;"","")&lt;&gt;"",ISNUMBER(SEARCH("remboursement",IFERROR(INDEX('Paramètres'!$N:$N,MATCH($D1367,'Paramètres'!$M:$M,0))&amp;"",""))))),1,0))</f>
        <v/>
      </c>
      <c r="Q1367" s="6" t="str">
        <f>IF($K1367="","",IF(ISNUMBER(SEARCH("transfert-interne",IFERROR(INDEX('Paramètres'!$N:$N,MATCH($D1367,'Paramètres'!$M:$M,0))&amp;"",""))),0,IF($L1367="Débit",$K1367,IF($P1367=1,-$K1367,0))))</f>
        <v/>
      </c>
      <c r="R1367" s="6" t="str">
        <f>IF($K1367="","",IF($L1367="Crédit",$K1367,-$K1367))</f>
        <v/>
      </c>
      <c r="S1367" s="6" t="str">
        <f>IF($C1367="","",IFERROR(INDEX('Paramètres'!$H:$H,MATCH($C1367,'Paramètres'!$D:$D,0))&amp;"",""))</f>
        <v/>
      </c>
      <c r="T1367" s="6" t="str">
        <f>IF($K1367="","",IF($S1367="",0,IF(ISNUMBER(SEARCH("apport-exterieur",IFERROR(INDEX('Paramètres'!$N:$N,MATCH($D1367,'Paramètres'!$M:$M,0))&amp;"",""))),0,IF(OR(IFERROR(INDEX('Paramètres'!$I:$I,MATCH($C1367,'Paramètres'!$D:$D,0))&amp;"","")="Les deux",IFERROR(INDEX('Paramètres'!$I:$I,MATCH($C1367,'Paramètres'!$D:$D,0))&amp;"","")=IF($P1367=1,"Débit",$L1367)),-IF($P1367=1,-$K1367,$K1367),0))))</f>
        <v/>
      </c>
      <c r="U1367" s="6" t="str">
        <f>IF($K1367="","",IF(ISNUMBER(SEARCH("sortie-epargne",IFERROR(INDEX('Paramètres'!$N:$N,MATCH($D1367,'Paramètres'!$M:$M,0))&amp;"",""))),$K1367,0))</f>
        <v/>
      </c>
      <c r="V1367" s="6" t="str">
        <f>IF(AND($A1367&lt;&gt;"",$O1367=1,$L1367="Débit",N($Q1367)&gt;0,$A1367&gt;=Visualisation!$B$1,$A1367&lt;Visualisation!$D$1),MAX($V$1:V1366)+1,"")</f>
        <v/>
      </c>
    </row>
    <row r="1368" spans="1:22" x14ac:dyDescent="0.25">
      <c r="A1368" s="9"/>
      <c r="E1368" s="10"/>
      <c r="K1368" s="11" t="str">
        <f>IF($E1368="","",ROUND($E1368*IF(ISNA(MATCH($C1368,'Paramètres'!$D:$D,0)),1,IF(INDEX('Paramètres'!$J:$J,MATCH($C1368,'Paramètres'!$D:$D,0))="",1,INDEX('Paramètres'!$J:$J,MATCH($C1368,'Paramètres'!$D:$D,0)))),2))</f>
        <v/>
      </c>
      <c r="L1368" s="6" t="str">
        <f>IF($D1368="","",IF($F1368&lt;&gt;"",$F1368,IF(ISNA(MATCH($D1368,'Paramètres'!$M:$M,0)),"⚠ Type inconnu",IFERROR(INDEX('Paramètres'!$P:$P,MATCH($D1368,'Paramètres'!$M:$M,0))&amp;"",""))))</f>
        <v/>
      </c>
      <c r="M1368" s="6" t="str">
        <f>IF($D1368="","",IF(ISNA(MATCH($D1368,'Paramètres'!$M:$M,0)),"⚠ Type inconnu",IF($L1368="Crédit","",IFERROR(INDEX('Paramètres'!$O:$O,MATCH($D1368,'Paramètres'!$M:$M,0))&amp;"",""))))</f>
        <v/>
      </c>
      <c r="N1368" s="6" t="str">
        <f>IF($D1368="","",IFERROR(INDEX('Paramètres'!$Q:$Q,MATCH($D1368,'Paramètres'!$M:$M,0))&amp;"",""))</f>
        <v/>
      </c>
      <c r="O1368" s="6" t="str">
        <f>IF($A1368="","",IF(OR($J1368&lt;&gt;"x",$A1368&lt;=FinReleve),1,0))</f>
        <v/>
      </c>
      <c r="P1368" s="6" t="str">
        <f>IF($D1368="","",IF(AND($L1368="Crédit",OR(IFERROR(INDEX('Paramètres'!$O:$O,MATCH($D1368,'Paramètres'!$M:$M,0))&amp;"","")&lt;&gt;"",ISNUMBER(SEARCH("remboursement",IFERROR(INDEX('Paramètres'!$N:$N,MATCH($D1368,'Paramètres'!$M:$M,0))&amp;"",""))))),1,0))</f>
        <v/>
      </c>
      <c r="Q1368" s="6" t="str">
        <f>IF($K1368="","",IF(ISNUMBER(SEARCH("transfert-interne",IFERROR(INDEX('Paramètres'!$N:$N,MATCH($D1368,'Paramètres'!$M:$M,0))&amp;"",""))),0,IF($L1368="Débit",$K1368,IF($P1368=1,-$K1368,0))))</f>
        <v/>
      </c>
      <c r="R1368" s="6" t="str">
        <f>IF($K1368="","",IF($L1368="Crédit",$K1368,-$K1368))</f>
        <v/>
      </c>
      <c r="S1368" s="6" t="str">
        <f>IF($C1368="","",IFERROR(INDEX('Paramètres'!$H:$H,MATCH($C1368,'Paramètres'!$D:$D,0))&amp;"",""))</f>
        <v/>
      </c>
      <c r="T1368" s="6" t="str">
        <f>IF($K1368="","",IF($S1368="",0,IF(ISNUMBER(SEARCH("apport-exterieur",IFERROR(INDEX('Paramètres'!$N:$N,MATCH($D1368,'Paramètres'!$M:$M,0))&amp;"",""))),0,IF(OR(IFERROR(INDEX('Paramètres'!$I:$I,MATCH($C1368,'Paramètres'!$D:$D,0))&amp;"","")="Les deux",IFERROR(INDEX('Paramètres'!$I:$I,MATCH($C1368,'Paramètres'!$D:$D,0))&amp;"","")=IF($P1368=1,"Débit",$L1368)),-IF($P1368=1,-$K1368,$K1368),0))))</f>
        <v/>
      </c>
      <c r="U1368" s="6" t="str">
        <f>IF($K1368="","",IF(ISNUMBER(SEARCH("sortie-epargne",IFERROR(INDEX('Paramètres'!$N:$N,MATCH($D1368,'Paramètres'!$M:$M,0))&amp;"",""))),$K1368,0))</f>
        <v/>
      </c>
      <c r="V1368" s="6" t="str">
        <f>IF(AND($A1368&lt;&gt;"",$O1368=1,$L1368="Débit",N($Q1368)&gt;0,$A1368&gt;=Visualisation!$B$1,$A1368&lt;Visualisation!$D$1),MAX($V$1:V1367)+1,"")</f>
        <v/>
      </c>
    </row>
    <row r="1369" spans="1:22" x14ac:dyDescent="0.25">
      <c r="A1369" s="9"/>
      <c r="E1369" s="10"/>
      <c r="K1369" s="11" t="str">
        <f>IF($E1369="","",ROUND($E1369*IF(ISNA(MATCH($C1369,'Paramètres'!$D:$D,0)),1,IF(INDEX('Paramètres'!$J:$J,MATCH($C1369,'Paramètres'!$D:$D,0))="",1,INDEX('Paramètres'!$J:$J,MATCH($C1369,'Paramètres'!$D:$D,0)))),2))</f>
        <v/>
      </c>
      <c r="L1369" s="6" t="str">
        <f>IF($D1369="","",IF($F1369&lt;&gt;"",$F1369,IF(ISNA(MATCH($D1369,'Paramètres'!$M:$M,0)),"⚠ Type inconnu",IFERROR(INDEX('Paramètres'!$P:$P,MATCH($D1369,'Paramètres'!$M:$M,0))&amp;"",""))))</f>
        <v/>
      </c>
      <c r="M1369" s="6" t="str">
        <f>IF($D1369="","",IF(ISNA(MATCH($D1369,'Paramètres'!$M:$M,0)),"⚠ Type inconnu",IF($L1369="Crédit","",IFERROR(INDEX('Paramètres'!$O:$O,MATCH($D1369,'Paramètres'!$M:$M,0))&amp;"",""))))</f>
        <v/>
      </c>
      <c r="N1369" s="6" t="str">
        <f>IF($D1369="","",IFERROR(INDEX('Paramètres'!$Q:$Q,MATCH($D1369,'Paramètres'!$M:$M,0))&amp;"",""))</f>
        <v/>
      </c>
      <c r="O1369" s="6" t="str">
        <f>IF($A1369="","",IF(OR($J1369&lt;&gt;"x",$A1369&lt;=FinReleve),1,0))</f>
        <v/>
      </c>
      <c r="P1369" s="6" t="str">
        <f>IF($D1369="","",IF(AND($L1369="Crédit",OR(IFERROR(INDEX('Paramètres'!$O:$O,MATCH($D1369,'Paramètres'!$M:$M,0))&amp;"","")&lt;&gt;"",ISNUMBER(SEARCH("remboursement",IFERROR(INDEX('Paramètres'!$N:$N,MATCH($D1369,'Paramètres'!$M:$M,0))&amp;"",""))))),1,0))</f>
        <v/>
      </c>
      <c r="Q1369" s="6" t="str">
        <f>IF($K1369="","",IF(ISNUMBER(SEARCH("transfert-interne",IFERROR(INDEX('Paramètres'!$N:$N,MATCH($D1369,'Paramètres'!$M:$M,0))&amp;"",""))),0,IF($L1369="Débit",$K1369,IF($P1369=1,-$K1369,0))))</f>
        <v/>
      </c>
      <c r="R1369" s="6" t="str">
        <f>IF($K1369="","",IF($L1369="Crédit",$K1369,-$K1369))</f>
        <v/>
      </c>
      <c r="S1369" s="6" t="str">
        <f>IF($C1369="","",IFERROR(INDEX('Paramètres'!$H:$H,MATCH($C1369,'Paramètres'!$D:$D,0))&amp;"",""))</f>
        <v/>
      </c>
      <c r="T1369" s="6" t="str">
        <f>IF($K1369="","",IF($S1369="",0,IF(ISNUMBER(SEARCH("apport-exterieur",IFERROR(INDEX('Paramètres'!$N:$N,MATCH($D1369,'Paramètres'!$M:$M,0))&amp;"",""))),0,IF(OR(IFERROR(INDEX('Paramètres'!$I:$I,MATCH($C1369,'Paramètres'!$D:$D,0))&amp;"","")="Les deux",IFERROR(INDEX('Paramètres'!$I:$I,MATCH($C1369,'Paramètres'!$D:$D,0))&amp;"","")=IF($P1369=1,"Débit",$L1369)),-IF($P1369=1,-$K1369,$K1369),0))))</f>
        <v/>
      </c>
      <c r="U1369" s="6" t="str">
        <f>IF($K1369="","",IF(ISNUMBER(SEARCH("sortie-epargne",IFERROR(INDEX('Paramètres'!$N:$N,MATCH($D1369,'Paramètres'!$M:$M,0))&amp;"",""))),$K1369,0))</f>
        <v/>
      </c>
      <c r="V1369" s="6" t="str">
        <f>IF(AND($A1369&lt;&gt;"",$O1369=1,$L1369="Débit",N($Q1369)&gt;0,$A1369&gt;=Visualisation!$B$1,$A1369&lt;Visualisation!$D$1),MAX($V$1:V1368)+1,"")</f>
        <v/>
      </c>
    </row>
    <row r="1370" spans="1:22" x14ac:dyDescent="0.25">
      <c r="A1370" s="9"/>
      <c r="E1370" s="10"/>
      <c r="K1370" s="11" t="str">
        <f>IF($E1370="","",ROUND($E1370*IF(ISNA(MATCH($C1370,'Paramètres'!$D:$D,0)),1,IF(INDEX('Paramètres'!$J:$J,MATCH($C1370,'Paramètres'!$D:$D,0))="",1,INDEX('Paramètres'!$J:$J,MATCH($C1370,'Paramètres'!$D:$D,0)))),2))</f>
        <v/>
      </c>
      <c r="L1370" s="6" t="str">
        <f>IF($D1370="","",IF($F1370&lt;&gt;"",$F1370,IF(ISNA(MATCH($D1370,'Paramètres'!$M:$M,0)),"⚠ Type inconnu",IFERROR(INDEX('Paramètres'!$P:$P,MATCH($D1370,'Paramètres'!$M:$M,0))&amp;"",""))))</f>
        <v/>
      </c>
      <c r="M1370" s="6" t="str">
        <f>IF($D1370="","",IF(ISNA(MATCH($D1370,'Paramètres'!$M:$M,0)),"⚠ Type inconnu",IF($L1370="Crédit","",IFERROR(INDEX('Paramètres'!$O:$O,MATCH($D1370,'Paramètres'!$M:$M,0))&amp;"",""))))</f>
        <v/>
      </c>
      <c r="N1370" s="6" t="str">
        <f>IF($D1370="","",IFERROR(INDEX('Paramètres'!$Q:$Q,MATCH($D1370,'Paramètres'!$M:$M,0))&amp;"",""))</f>
        <v/>
      </c>
      <c r="O1370" s="6" t="str">
        <f>IF($A1370="","",IF(OR($J1370&lt;&gt;"x",$A1370&lt;=FinReleve),1,0))</f>
        <v/>
      </c>
      <c r="P1370" s="6" t="str">
        <f>IF($D1370="","",IF(AND($L1370="Crédit",OR(IFERROR(INDEX('Paramètres'!$O:$O,MATCH($D1370,'Paramètres'!$M:$M,0))&amp;"","")&lt;&gt;"",ISNUMBER(SEARCH("remboursement",IFERROR(INDEX('Paramètres'!$N:$N,MATCH($D1370,'Paramètres'!$M:$M,0))&amp;"",""))))),1,0))</f>
        <v/>
      </c>
      <c r="Q1370" s="6" t="str">
        <f>IF($K1370="","",IF(ISNUMBER(SEARCH("transfert-interne",IFERROR(INDEX('Paramètres'!$N:$N,MATCH($D1370,'Paramètres'!$M:$M,0))&amp;"",""))),0,IF($L1370="Débit",$K1370,IF($P1370=1,-$K1370,0))))</f>
        <v/>
      </c>
      <c r="R1370" s="6" t="str">
        <f>IF($K1370="","",IF($L1370="Crédit",$K1370,-$K1370))</f>
        <v/>
      </c>
      <c r="S1370" s="6" t="str">
        <f>IF($C1370="","",IFERROR(INDEX('Paramètres'!$H:$H,MATCH($C1370,'Paramètres'!$D:$D,0))&amp;"",""))</f>
        <v/>
      </c>
      <c r="T1370" s="6" t="str">
        <f>IF($K1370="","",IF($S1370="",0,IF(ISNUMBER(SEARCH("apport-exterieur",IFERROR(INDEX('Paramètres'!$N:$N,MATCH($D1370,'Paramètres'!$M:$M,0))&amp;"",""))),0,IF(OR(IFERROR(INDEX('Paramètres'!$I:$I,MATCH($C1370,'Paramètres'!$D:$D,0))&amp;"","")="Les deux",IFERROR(INDEX('Paramètres'!$I:$I,MATCH($C1370,'Paramètres'!$D:$D,0))&amp;"","")=IF($P1370=1,"Débit",$L1370)),-IF($P1370=1,-$K1370,$K1370),0))))</f>
        <v/>
      </c>
      <c r="U1370" s="6" t="str">
        <f>IF($K1370="","",IF(ISNUMBER(SEARCH("sortie-epargne",IFERROR(INDEX('Paramètres'!$N:$N,MATCH($D1370,'Paramètres'!$M:$M,0))&amp;"",""))),$K1370,0))</f>
        <v/>
      </c>
      <c r="V1370" s="6" t="str">
        <f>IF(AND($A1370&lt;&gt;"",$O1370=1,$L1370="Débit",N($Q1370)&gt;0,$A1370&gt;=Visualisation!$B$1,$A1370&lt;Visualisation!$D$1),MAX($V$1:V1369)+1,"")</f>
        <v/>
      </c>
    </row>
    <row r="1371" spans="1:22" x14ac:dyDescent="0.25">
      <c r="A1371" s="9"/>
      <c r="E1371" s="10"/>
      <c r="K1371" s="11" t="str">
        <f>IF($E1371="","",ROUND($E1371*IF(ISNA(MATCH($C1371,'Paramètres'!$D:$D,0)),1,IF(INDEX('Paramètres'!$J:$J,MATCH($C1371,'Paramètres'!$D:$D,0))="",1,INDEX('Paramètres'!$J:$J,MATCH($C1371,'Paramètres'!$D:$D,0)))),2))</f>
        <v/>
      </c>
      <c r="L1371" s="6" t="str">
        <f>IF($D1371="","",IF($F1371&lt;&gt;"",$F1371,IF(ISNA(MATCH($D1371,'Paramètres'!$M:$M,0)),"⚠ Type inconnu",IFERROR(INDEX('Paramètres'!$P:$P,MATCH($D1371,'Paramètres'!$M:$M,0))&amp;"",""))))</f>
        <v/>
      </c>
      <c r="M1371" s="6" t="str">
        <f>IF($D1371="","",IF(ISNA(MATCH($D1371,'Paramètres'!$M:$M,0)),"⚠ Type inconnu",IF($L1371="Crédit","",IFERROR(INDEX('Paramètres'!$O:$O,MATCH($D1371,'Paramètres'!$M:$M,0))&amp;"",""))))</f>
        <v/>
      </c>
      <c r="N1371" s="6" t="str">
        <f>IF($D1371="","",IFERROR(INDEX('Paramètres'!$Q:$Q,MATCH($D1371,'Paramètres'!$M:$M,0))&amp;"",""))</f>
        <v/>
      </c>
      <c r="O1371" s="6" t="str">
        <f>IF($A1371="","",IF(OR($J1371&lt;&gt;"x",$A1371&lt;=FinReleve),1,0))</f>
        <v/>
      </c>
      <c r="P1371" s="6" t="str">
        <f>IF($D1371="","",IF(AND($L1371="Crédit",OR(IFERROR(INDEX('Paramètres'!$O:$O,MATCH($D1371,'Paramètres'!$M:$M,0))&amp;"","")&lt;&gt;"",ISNUMBER(SEARCH("remboursement",IFERROR(INDEX('Paramètres'!$N:$N,MATCH($D1371,'Paramètres'!$M:$M,0))&amp;"",""))))),1,0))</f>
        <v/>
      </c>
      <c r="Q1371" s="6" t="str">
        <f>IF($K1371="","",IF(ISNUMBER(SEARCH("transfert-interne",IFERROR(INDEX('Paramètres'!$N:$N,MATCH($D1371,'Paramètres'!$M:$M,0))&amp;"",""))),0,IF($L1371="Débit",$K1371,IF($P1371=1,-$K1371,0))))</f>
        <v/>
      </c>
      <c r="R1371" s="6" t="str">
        <f>IF($K1371="","",IF($L1371="Crédit",$K1371,-$K1371))</f>
        <v/>
      </c>
      <c r="S1371" s="6" t="str">
        <f>IF($C1371="","",IFERROR(INDEX('Paramètres'!$H:$H,MATCH($C1371,'Paramètres'!$D:$D,0))&amp;"",""))</f>
        <v/>
      </c>
      <c r="T1371" s="6" t="str">
        <f>IF($K1371="","",IF($S1371="",0,IF(ISNUMBER(SEARCH("apport-exterieur",IFERROR(INDEX('Paramètres'!$N:$N,MATCH($D1371,'Paramètres'!$M:$M,0))&amp;"",""))),0,IF(OR(IFERROR(INDEX('Paramètres'!$I:$I,MATCH($C1371,'Paramètres'!$D:$D,0))&amp;"","")="Les deux",IFERROR(INDEX('Paramètres'!$I:$I,MATCH($C1371,'Paramètres'!$D:$D,0))&amp;"","")=IF($P1371=1,"Débit",$L1371)),-IF($P1371=1,-$K1371,$K1371),0))))</f>
        <v/>
      </c>
      <c r="U1371" s="6" t="str">
        <f>IF($K1371="","",IF(ISNUMBER(SEARCH("sortie-epargne",IFERROR(INDEX('Paramètres'!$N:$N,MATCH($D1371,'Paramètres'!$M:$M,0))&amp;"",""))),$K1371,0))</f>
        <v/>
      </c>
      <c r="V1371" s="6" t="str">
        <f>IF(AND($A1371&lt;&gt;"",$O1371=1,$L1371="Débit",N($Q1371)&gt;0,$A1371&gt;=Visualisation!$B$1,$A1371&lt;Visualisation!$D$1),MAX($V$1:V1370)+1,"")</f>
        <v/>
      </c>
    </row>
    <row r="1372" spans="1:22" x14ac:dyDescent="0.25">
      <c r="A1372" s="9"/>
      <c r="E1372" s="10"/>
      <c r="K1372" s="11" t="str">
        <f>IF($E1372="","",ROUND($E1372*IF(ISNA(MATCH($C1372,'Paramètres'!$D:$D,0)),1,IF(INDEX('Paramètres'!$J:$J,MATCH($C1372,'Paramètres'!$D:$D,0))="",1,INDEX('Paramètres'!$J:$J,MATCH($C1372,'Paramètres'!$D:$D,0)))),2))</f>
        <v/>
      </c>
      <c r="L1372" s="6" t="str">
        <f>IF($D1372="","",IF($F1372&lt;&gt;"",$F1372,IF(ISNA(MATCH($D1372,'Paramètres'!$M:$M,0)),"⚠ Type inconnu",IFERROR(INDEX('Paramètres'!$P:$P,MATCH($D1372,'Paramètres'!$M:$M,0))&amp;"",""))))</f>
        <v/>
      </c>
      <c r="M1372" s="6" t="str">
        <f>IF($D1372="","",IF(ISNA(MATCH($D1372,'Paramètres'!$M:$M,0)),"⚠ Type inconnu",IF($L1372="Crédit","",IFERROR(INDEX('Paramètres'!$O:$O,MATCH($D1372,'Paramètres'!$M:$M,0))&amp;"",""))))</f>
        <v/>
      </c>
      <c r="N1372" s="6" t="str">
        <f>IF($D1372="","",IFERROR(INDEX('Paramètres'!$Q:$Q,MATCH($D1372,'Paramètres'!$M:$M,0))&amp;"",""))</f>
        <v/>
      </c>
      <c r="O1372" s="6" t="str">
        <f>IF($A1372="","",IF(OR($J1372&lt;&gt;"x",$A1372&lt;=FinReleve),1,0))</f>
        <v/>
      </c>
      <c r="P1372" s="6" t="str">
        <f>IF($D1372="","",IF(AND($L1372="Crédit",OR(IFERROR(INDEX('Paramètres'!$O:$O,MATCH($D1372,'Paramètres'!$M:$M,0))&amp;"","")&lt;&gt;"",ISNUMBER(SEARCH("remboursement",IFERROR(INDEX('Paramètres'!$N:$N,MATCH($D1372,'Paramètres'!$M:$M,0))&amp;"",""))))),1,0))</f>
        <v/>
      </c>
      <c r="Q1372" s="6" t="str">
        <f>IF($K1372="","",IF(ISNUMBER(SEARCH("transfert-interne",IFERROR(INDEX('Paramètres'!$N:$N,MATCH($D1372,'Paramètres'!$M:$M,0))&amp;"",""))),0,IF($L1372="Débit",$K1372,IF($P1372=1,-$K1372,0))))</f>
        <v/>
      </c>
      <c r="R1372" s="6" t="str">
        <f>IF($K1372="","",IF($L1372="Crédit",$K1372,-$K1372))</f>
        <v/>
      </c>
      <c r="S1372" s="6" t="str">
        <f>IF($C1372="","",IFERROR(INDEX('Paramètres'!$H:$H,MATCH($C1372,'Paramètres'!$D:$D,0))&amp;"",""))</f>
        <v/>
      </c>
      <c r="T1372" s="6" t="str">
        <f>IF($K1372="","",IF($S1372="",0,IF(ISNUMBER(SEARCH("apport-exterieur",IFERROR(INDEX('Paramètres'!$N:$N,MATCH($D1372,'Paramètres'!$M:$M,0))&amp;"",""))),0,IF(OR(IFERROR(INDEX('Paramètres'!$I:$I,MATCH($C1372,'Paramètres'!$D:$D,0))&amp;"","")="Les deux",IFERROR(INDEX('Paramètres'!$I:$I,MATCH($C1372,'Paramètres'!$D:$D,0))&amp;"","")=IF($P1372=1,"Débit",$L1372)),-IF($P1372=1,-$K1372,$K1372),0))))</f>
        <v/>
      </c>
      <c r="U1372" s="6" t="str">
        <f>IF($K1372="","",IF(ISNUMBER(SEARCH("sortie-epargne",IFERROR(INDEX('Paramètres'!$N:$N,MATCH($D1372,'Paramètres'!$M:$M,0))&amp;"",""))),$K1372,0))</f>
        <v/>
      </c>
      <c r="V1372" s="6" t="str">
        <f>IF(AND($A1372&lt;&gt;"",$O1372=1,$L1372="Débit",N($Q1372)&gt;0,$A1372&gt;=Visualisation!$B$1,$A1372&lt;Visualisation!$D$1),MAX($V$1:V1371)+1,"")</f>
        <v/>
      </c>
    </row>
    <row r="1373" spans="1:22" x14ac:dyDescent="0.25">
      <c r="A1373" s="9"/>
      <c r="E1373" s="10"/>
      <c r="K1373" s="11" t="str">
        <f>IF($E1373="","",ROUND($E1373*IF(ISNA(MATCH($C1373,'Paramètres'!$D:$D,0)),1,IF(INDEX('Paramètres'!$J:$J,MATCH($C1373,'Paramètres'!$D:$D,0))="",1,INDEX('Paramètres'!$J:$J,MATCH($C1373,'Paramètres'!$D:$D,0)))),2))</f>
        <v/>
      </c>
      <c r="L1373" s="6" t="str">
        <f>IF($D1373="","",IF($F1373&lt;&gt;"",$F1373,IF(ISNA(MATCH($D1373,'Paramètres'!$M:$M,0)),"⚠ Type inconnu",IFERROR(INDEX('Paramètres'!$P:$P,MATCH($D1373,'Paramètres'!$M:$M,0))&amp;"",""))))</f>
        <v/>
      </c>
      <c r="M1373" s="6" t="str">
        <f>IF($D1373="","",IF(ISNA(MATCH($D1373,'Paramètres'!$M:$M,0)),"⚠ Type inconnu",IF($L1373="Crédit","",IFERROR(INDEX('Paramètres'!$O:$O,MATCH($D1373,'Paramètres'!$M:$M,0))&amp;"",""))))</f>
        <v/>
      </c>
      <c r="N1373" s="6" t="str">
        <f>IF($D1373="","",IFERROR(INDEX('Paramètres'!$Q:$Q,MATCH($D1373,'Paramètres'!$M:$M,0))&amp;"",""))</f>
        <v/>
      </c>
      <c r="O1373" s="6" t="str">
        <f>IF($A1373="","",IF(OR($J1373&lt;&gt;"x",$A1373&lt;=FinReleve),1,0))</f>
        <v/>
      </c>
      <c r="P1373" s="6" t="str">
        <f>IF($D1373="","",IF(AND($L1373="Crédit",OR(IFERROR(INDEX('Paramètres'!$O:$O,MATCH($D1373,'Paramètres'!$M:$M,0))&amp;"","")&lt;&gt;"",ISNUMBER(SEARCH("remboursement",IFERROR(INDEX('Paramètres'!$N:$N,MATCH($D1373,'Paramètres'!$M:$M,0))&amp;"",""))))),1,0))</f>
        <v/>
      </c>
      <c r="Q1373" s="6" t="str">
        <f>IF($K1373="","",IF(ISNUMBER(SEARCH("transfert-interne",IFERROR(INDEX('Paramètres'!$N:$N,MATCH($D1373,'Paramètres'!$M:$M,0))&amp;"",""))),0,IF($L1373="Débit",$K1373,IF($P1373=1,-$K1373,0))))</f>
        <v/>
      </c>
      <c r="R1373" s="6" t="str">
        <f>IF($K1373="","",IF($L1373="Crédit",$K1373,-$K1373))</f>
        <v/>
      </c>
      <c r="S1373" s="6" t="str">
        <f>IF($C1373="","",IFERROR(INDEX('Paramètres'!$H:$H,MATCH($C1373,'Paramètres'!$D:$D,0))&amp;"",""))</f>
        <v/>
      </c>
      <c r="T1373" s="6" t="str">
        <f>IF($K1373="","",IF($S1373="",0,IF(ISNUMBER(SEARCH("apport-exterieur",IFERROR(INDEX('Paramètres'!$N:$N,MATCH($D1373,'Paramètres'!$M:$M,0))&amp;"",""))),0,IF(OR(IFERROR(INDEX('Paramètres'!$I:$I,MATCH($C1373,'Paramètres'!$D:$D,0))&amp;"","")="Les deux",IFERROR(INDEX('Paramètres'!$I:$I,MATCH($C1373,'Paramètres'!$D:$D,0))&amp;"","")=IF($P1373=1,"Débit",$L1373)),-IF($P1373=1,-$K1373,$K1373),0))))</f>
        <v/>
      </c>
      <c r="U1373" s="6" t="str">
        <f>IF($K1373="","",IF(ISNUMBER(SEARCH("sortie-epargne",IFERROR(INDEX('Paramètres'!$N:$N,MATCH($D1373,'Paramètres'!$M:$M,0))&amp;"",""))),$K1373,0))</f>
        <v/>
      </c>
      <c r="V1373" s="6" t="str">
        <f>IF(AND($A1373&lt;&gt;"",$O1373=1,$L1373="Débit",N($Q1373)&gt;0,$A1373&gt;=Visualisation!$B$1,$A1373&lt;Visualisation!$D$1),MAX($V$1:V1372)+1,"")</f>
        <v/>
      </c>
    </row>
    <row r="1374" spans="1:22" x14ac:dyDescent="0.25">
      <c r="A1374" s="9"/>
      <c r="E1374" s="10"/>
      <c r="K1374" s="11" t="str">
        <f>IF($E1374="","",ROUND($E1374*IF(ISNA(MATCH($C1374,'Paramètres'!$D:$D,0)),1,IF(INDEX('Paramètres'!$J:$J,MATCH($C1374,'Paramètres'!$D:$D,0))="",1,INDEX('Paramètres'!$J:$J,MATCH($C1374,'Paramètres'!$D:$D,0)))),2))</f>
        <v/>
      </c>
      <c r="L1374" s="6" t="str">
        <f>IF($D1374="","",IF($F1374&lt;&gt;"",$F1374,IF(ISNA(MATCH($D1374,'Paramètres'!$M:$M,0)),"⚠ Type inconnu",IFERROR(INDEX('Paramètres'!$P:$P,MATCH($D1374,'Paramètres'!$M:$M,0))&amp;"",""))))</f>
        <v/>
      </c>
      <c r="M1374" s="6" t="str">
        <f>IF($D1374="","",IF(ISNA(MATCH($D1374,'Paramètres'!$M:$M,0)),"⚠ Type inconnu",IF($L1374="Crédit","",IFERROR(INDEX('Paramètres'!$O:$O,MATCH($D1374,'Paramètres'!$M:$M,0))&amp;"",""))))</f>
        <v/>
      </c>
      <c r="N1374" s="6" t="str">
        <f>IF($D1374="","",IFERROR(INDEX('Paramètres'!$Q:$Q,MATCH($D1374,'Paramètres'!$M:$M,0))&amp;"",""))</f>
        <v/>
      </c>
      <c r="O1374" s="6" t="str">
        <f>IF($A1374="","",IF(OR($J1374&lt;&gt;"x",$A1374&lt;=FinReleve),1,0))</f>
        <v/>
      </c>
      <c r="P1374" s="6" t="str">
        <f>IF($D1374="","",IF(AND($L1374="Crédit",OR(IFERROR(INDEX('Paramètres'!$O:$O,MATCH($D1374,'Paramètres'!$M:$M,0))&amp;"","")&lt;&gt;"",ISNUMBER(SEARCH("remboursement",IFERROR(INDEX('Paramètres'!$N:$N,MATCH($D1374,'Paramètres'!$M:$M,0))&amp;"",""))))),1,0))</f>
        <v/>
      </c>
      <c r="Q1374" s="6" t="str">
        <f>IF($K1374="","",IF(ISNUMBER(SEARCH("transfert-interne",IFERROR(INDEX('Paramètres'!$N:$N,MATCH($D1374,'Paramètres'!$M:$M,0))&amp;"",""))),0,IF($L1374="Débit",$K1374,IF($P1374=1,-$K1374,0))))</f>
        <v/>
      </c>
      <c r="R1374" s="6" t="str">
        <f>IF($K1374="","",IF($L1374="Crédit",$K1374,-$K1374))</f>
        <v/>
      </c>
      <c r="S1374" s="6" t="str">
        <f>IF($C1374="","",IFERROR(INDEX('Paramètres'!$H:$H,MATCH($C1374,'Paramètres'!$D:$D,0))&amp;"",""))</f>
        <v/>
      </c>
      <c r="T1374" s="6" t="str">
        <f>IF($K1374="","",IF($S1374="",0,IF(ISNUMBER(SEARCH("apport-exterieur",IFERROR(INDEX('Paramètres'!$N:$N,MATCH($D1374,'Paramètres'!$M:$M,0))&amp;"",""))),0,IF(OR(IFERROR(INDEX('Paramètres'!$I:$I,MATCH($C1374,'Paramètres'!$D:$D,0))&amp;"","")="Les deux",IFERROR(INDEX('Paramètres'!$I:$I,MATCH($C1374,'Paramètres'!$D:$D,0))&amp;"","")=IF($P1374=1,"Débit",$L1374)),-IF($P1374=1,-$K1374,$K1374),0))))</f>
        <v/>
      </c>
      <c r="U1374" s="6" t="str">
        <f>IF($K1374="","",IF(ISNUMBER(SEARCH("sortie-epargne",IFERROR(INDEX('Paramètres'!$N:$N,MATCH($D1374,'Paramètres'!$M:$M,0))&amp;"",""))),$K1374,0))</f>
        <v/>
      </c>
      <c r="V1374" s="6" t="str">
        <f>IF(AND($A1374&lt;&gt;"",$O1374=1,$L1374="Débit",N($Q1374)&gt;0,$A1374&gt;=Visualisation!$B$1,$A1374&lt;Visualisation!$D$1),MAX($V$1:V1373)+1,"")</f>
        <v/>
      </c>
    </row>
    <row r="1375" spans="1:22" x14ac:dyDescent="0.25">
      <c r="A1375" s="9"/>
      <c r="E1375" s="10"/>
      <c r="K1375" s="11" t="str">
        <f>IF($E1375="","",ROUND($E1375*IF(ISNA(MATCH($C1375,'Paramètres'!$D:$D,0)),1,IF(INDEX('Paramètres'!$J:$J,MATCH($C1375,'Paramètres'!$D:$D,0))="",1,INDEX('Paramètres'!$J:$J,MATCH($C1375,'Paramètres'!$D:$D,0)))),2))</f>
        <v/>
      </c>
      <c r="L1375" s="6" t="str">
        <f>IF($D1375="","",IF($F1375&lt;&gt;"",$F1375,IF(ISNA(MATCH($D1375,'Paramètres'!$M:$M,0)),"⚠ Type inconnu",IFERROR(INDEX('Paramètres'!$P:$P,MATCH($D1375,'Paramètres'!$M:$M,0))&amp;"",""))))</f>
        <v/>
      </c>
      <c r="M1375" s="6" t="str">
        <f>IF($D1375="","",IF(ISNA(MATCH($D1375,'Paramètres'!$M:$M,0)),"⚠ Type inconnu",IF($L1375="Crédit","",IFERROR(INDEX('Paramètres'!$O:$O,MATCH($D1375,'Paramètres'!$M:$M,0))&amp;"",""))))</f>
        <v/>
      </c>
      <c r="N1375" s="6" t="str">
        <f>IF($D1375="","",IFERROR(INDEX('Paramètres'!$Q:$Q,MATCH($D1375,'Paramètres'!$M:$M,0))&amp;"",""))</f>
        <v/>
      </c>
      <c r="O1375" s="6" t="str">
        <f>IF($A1375="","",IF(OR($J1375&lt;&gt;"x",$A1375&lt;=FinReleve),1,0))</f>
        <v/>
      </c>
      <c r="P1375" s="6" t="str">
        <f>IF($D1375="","",IF(AND($L1375="Crédit",OR(IFERROR(INDEX('Paramètres'!$O:$O,MATCH($D1375,'Paramètres'!$M:$M,0))&amp;"","")&lt;&gt;"",ISNUMBER(SEARCH("remboursement",IFERROR(INDEX('Paramètres'!$N:$N,MATCH($D1375,'Paramètres'!$M:$M,0))&amp;"",""))))),1,0))</f>
        <v/>
      </c>
      <c r="Q1375" s="6" t="str">
        <f>IF($K1375="","",IF(ISNUMBER(SEARCH("transfert-interne",IFERROR(INDEX('Paramètres'!$N:$N,MATCH($D1375,'Paramètres'!$M:$M,0))&amp;"",""))),0,IF($L1375="Débit",$K1375,IF($P1375=1,-$K1375,0))))</f>
        <v/>
      </c>
      <c r="R1375" s="6" t="str">
        <f>IF($K1375="","",IF($L1375="Crédit",$K1375,-$K1375))</f>
        <v/>
      </c>
      <c r="S1375" s="6" t="str">
        <f>IF($C1375="","",IFERROR(INDEX('Paramètres'!$H:$H,MATCH($C1375,'Paramètres'!$D:$D,0))&amp;"",""))</f>
        <v/>
      </c>
      <c r="T1375" s="6" t="str">
        <f>IF($K1375="","",IF($S1375="",0,IF(ISNUMBER(SEARCH("apport-exterieur",IFERROR(INDEX('Paramètres'!$N:$N,MATCH($D1375,'Paramètres'!$M:$M,0))&amp;"",""))),0,IF(OR(IFERROR(INDEX('Paramètres'!$I:$I,MATCH($C1375,'Paramètres'!$D:$D,0))&amp;"","")="Les deux",IFERROR(INDEX('Paramètres'!$I:$I,MATCH($C1375,'Paramètres'!$D:$D,0))&amp;"","")=IF($P1375=1,"Débit",$L1375)),-IF($P1375=1,-$K1375,$K1375),0))))</f>
        <v/>
      </c>
      <c r="U1375" s="6" t="str">
        <f>IF($K1375="","",IF(ISNUMBER(SEARCH("sortie-epargne",IFERROR(INDEX('Paramètres'!$N:$N,MATCH($D1375,'Paramètres'!$M:$M,0))&amp;"",""))),$K1375,0))</f>
        <v/>
      </c>
      <c r="V1375" s="6" t="str">
        <f>IF(AND($A1375&lt;&gt;"",$O1375=1,$L1375="Débit",N($Q1375)&gt;0,$A1375&gt;=Visualisation!$B$1,$A1375&lt;Visualisation!$D$1),MAX($V$1:V1374)+1,"")</f>
        <v/>
      </c>
    </row>
    <row r="1376" spans="1:22" x14ac:dyDescent="0.25">
      <c r="A1376" s="9"/>
      <c r="E1376" s="10"/>
      <c r="K1376" s="11" t="str">
        <f>IF($E1376="","",ROUND($E1376*IF(ISNA(MATCH($C1376,'Paramètres'!$D:$D,0)),1,IF(INDEX('Paramètres'!$J:$J,MATCH($C1376,'Paramètres'!$D:$D,0))="",1,INDEX('Paramètres'!$J:$J,MATCH($C1376,'Paramètres'!$D:$D,0)))),2))</f>
        <v/>
      </c>
      <c r="L1376" s="6" t="str">
        <f>IF($D1376="","",IF($F1376&lt;&gt;"",$F1376,IF(ISNA(MATCH($D1376,'Paramètres'!$M:$M,0)),"⚠ Type inconnu",IFERROR(INDEX('Paramètres'!$P:$P,MATCH($D1376,'Paramètres'!$M:$M,0))&amp;"",""))))</f>
        <v/>
      </c>
      <c r="M1376" s="6" t="str">
        <f>IF($D1376="","",IF(ISNA(MATCH($D1376,'Paramètres'!$M:$M,0)),"⚠ Type inconnu",IF($L1376="Crédit","",IFERROR(INDEX('Paramètres'!$O:$O,MATCH($D1376,'Paramètres'!$M:$M,0))&amp;"",""))))</f>
        <v/>
      </c>
      <c r="N1376" s="6" t="str">
        <f>IF($D1376="","",IFERROR(INDEX('Paramètres'!$Q:$Q,MATCH($D1376,'Paramètres'!$M:$M,0))&amp;"",""))</f>
        <v/>
      </c>
      <c r="O1376" s="6" t="str">
        <f>IF($A1376="","",IF(OR($J1376&lt;&gt;"x",$A1376&lt;=FinReleve),1,0))</f>
        <v/>
      </c>
      <c r="P1376" s="6" t="str">
        <f>IF($D1376="","",IF(AND($L1376="Crédit",OR(IFERROR(INDEX('Paramètres'!$O:$O,MATCH($D1376,'Paramètres'!$M:$M,0))&amp;"","")&lt;&gt;"",ISNUMBER(SEARCH("remboursement",IFERROR(INDEX('Paramètres'!$N:$N,MATCH($D1376,'Paramètres'!$M:$M,0))&amp;"",""))))),1,0))</f>
        <v/>
      </c>
      <c r="Q1376" s="6" t="str">
        <f>IF($K1376="","",IF(ISNUMBER(SEARCH("transfert-interne",IFERROR(INDEX('Paramètres'!$N:$N,MATCH($D1376,'Paramètres'!$M:$M,0))&amp;"",""))),0,IF($L1376="Débit",$K1376,IF($P1376=1,-$K1376,0))))</f>
        <v/>
      </c>
      <c r="R1376" s="6" t="str">
        <f>IF($K1376="","",IF($L1376="Crédit",$K1376,-$K1376))</f>
        <v/>
      </c>
      <c r="S1376" s="6" t="str">
        <f>IF($C1376="","",IFERROR(INDEX('Paramètres'!$H:$H,MATCH($C1376,'Paramètres'!$D:$D,0))&amp;"",""))</f>
        <v/>
      </c>
      <c r="T1376" s="6" t="str">
        <f>IF($K1376="","",IF($S1376="",0,IF(ISNUMBER(SEARCH("apport-exterieur",IFERROR(INDEX('Paramètres'!$N:$N,MATCH($D1376,'Paramètres'!$M:$M,0))&amp;"",""))),0,IF(OR(IFERROR(INDEX('Paramètres'!$I:$I,MATCH($C1376,'Paramètres'!$D:$D,0))&amp;"","")="Les deux",IFERROR(INDEX('Paramètres'!$I:$I,MATCH($C1376,'Paramètres'!$D:$D,0))&amp;"","")=IF($P1376=1,"Débit",$L1376)),-IF($P1376=1,-$K1376,$K1376),0))))</f>
        <v/>
      </c>
      <c r="U1376" s="6" t="str">
        <f>IF($K1376="","",IF(ISNUMBER(SEARCH("sortie-epargne",IFERROR(INDEX('Paramètres'!$N:$N,MATCH($D1376,'Paramètres'!$M:$M,0))&amp;"",""))),$K1376,0))</f>
        <v/>
      </c>
      <c r="V1376" s="6" t="str">
        <f>IF(AND($A1376&lt;&gt;"",$O1376=1,$L1376="Débit",N($Q1376)&gt;0,$A1376&gt;=Visualisation!$B$1,$A1376&lt;Visualisation!$D$1),MAX($V$1:V1375)+1,"")</f>
        <v/>
      </c>
    </row>
    <row r="1377" spans="1:22" x14ac:dyDescent="0.25">
      <c r="A1377" s="9"/>
      <c r="E1377" s="10"/>
      <c r="K1377" s="11" t="str">
        <f>IF($E1377="","",ROUND($E1377*IF(ISNA(MATCH($C1377,'Paramètres'!$D:$D,0)),1,IF(INDEX('Paramètres'!$J:$J,MATCH($C1377,'Paramètres'!$D:$D,0))="",1,INDEX('Paramètres'!$J:$J,MATCH($C1377,'Paramètres'!$D:$D,0)))),2))</f>
        <v/>
      </c>
      <c r="L1377" s="6" t="str">
        <f>IF($D1377="","",IF($F1377&lt;&gt;"",$F1377,IF(ISNA(MATCH($D1377,'Paramètres'!$M:$M,0)),"⚠ Type inconnu",IFERROR(INDEX('Paramètres'!$P:$P,MATCH($D1377,'Paramètres'!$M:$M,0))&amp;"",""))))</f>
        <v/>
      </c>
      <c r="M1377" s="6" t="str">
        <f>IF($D1377="","",IF(ISNA(MATCH($D1377,'Paramètres'!$M:$M,0)),"⚠ Type inconnu",IF($L1377="Crédit","",IFERROR(INDEX('Paramètres'!$O:$O,MATCH($D1377,'Paramètres'!$M:$M,0))&amp;"",""))))</f>
        <v/>
      </c>
      <c r="N1377" s="6" t="str">
        <f>IF($D1377="","",IFERROR(INDEX('Paramètres'!$Q:$Q,MATCH($D1377,'Paramètres'!$M:$M,0))&amp;"",""))</f>
        <v/>
      </c>
      <c r="O1377" s="6" t="str">
        <f>IF($A1377="","",IF(OR($J1377&lt;&gt;"x",$A1377&lt;=FinReleve),1,0))</f>
        <v/>
      </c>
      <c r="P1377" s="6" t="str">
        <f>IF($D1377="","",IF(AND($L1377="Crédit",OR(IFERROR(INDEX('Paramètres'!$O:$O,MATCH($D1377,'Paramètres'!$M:$M,0))&amp;"","")&lt;&gt;"",ISNUMBER(SEARCH("remboursement",IFERROR(INDEX('Paramètres'!$N:$N,MATCH($D1377,'Paramètres'!$M:$M,0))&amp;"",""))))),1,0))</f>
        <v/>
      </c>
      <c r="Q1377" s="6" t="str">
        <f>IF($K1377="","",IF(ISNUMBER(SEARCH("transfert-interne",IFERROR(INDEX('Paramètres'!$N:$N,MATCH($D1377,'Paramètres'!$M:$M,0))&amp;"",""))),0,IF($L1377="Débit",$K1377,IF($P1377=1,-$K1377,0))))</f>
        <v/>
      </c>
      <c r="R1377" s="6" t="str">
        <f>IF($K1377="","",IF($L1377="Crédit",$K1377,-$K1377))</f>
        <v/>
      </c>
      <c r="S1377" s="6" t="str">
        <f>IF($C1377="","",IFERROR(INDEX('Paramètres'!$H:$H,MATCH($C1377,'Paramètres'!$D:$D,0))&amp;"",""))</f>
        <v/>
      </c>
      <c r="T1377" s="6" t="str">
        <f>IF($K1377="","",IF($S1377="",0,IF(ISNUMBER(SEARCH("apport-exterieur",IFERROR(INDEX('Paramètres'!$N:$N,MATCH($D1377,'Paramètres'!$M:$M,0))&amp;"",""))),0,IF(OR(IFERROR(INDEX('Paramètres'!$I:$I,MATCH($C1377,'Paramètres'!$D:$D,0))&amp;"","")="Les deux",IFERROR(INDEX('Paramètres'!$I:$I,MATCH($C1377,'Paramètres'!$D:$D,0))&amp;"","")=IF($P1377=1,"Débit",$L1377)),-IF($P1377=1,-$K1377,$K1377),0))))</f>
        <v/>
      </c>
      <c r="U1377" s="6" t="str">
        <f>IF($K1377="","",IF(ISNUMBER(SEARCH("sortie-epargne",IFERROR(INDEX('Paramètres'!$N:$N,MATCH($D1377,'Paramètres'!$M:$M,0))&amp;"",""))),$K1377,0))</f>
        <v/>
      </c>
      <c r="V1377" s="6" t="str">
        <f>IF(AND($A1377&lt;&gt;"",$O1377=1,$L1377="Débit",N($Q1377)&gt;0,$A1377&gt;=Visualisation!$B$1,$A1377&lt;Visualisation!$D$1),MAX($V$1:V1376)+1,"")</f>
        <v/>
      </c>
    </row>
    <row r="1378" spans="1:22" x14ac:dyDescent="0.25">
      <c r="A1378" s="9"/>
      <c r="E1378" s="10"/>
      <c r="K1378" s="11" t="str">
        <f>IF($E1378="","",ROUND($E1378*IF(ISNA(MATCH($C1378,'Paramètres'!$D:$D,0)),1,IF(INDEX('Paramètres'!$J:$J,MATCH($C1378,'Paramètres'!$D:$D,0))="",1,INDEX('Paramètres'!$J:$J,MATCH($C1378,'Paramètres'!$D:$D,0)))),2))</f>
        <v/>
      </c>
      <c r="L1378" s="6" t="str">
        <f>IF($D1378="","",IF($F1378&lt;&gt;"",$F1378,IF(ISNA(MATCH($D1378,'Paramètres'!$M:$M,0)),"⚠ Type inconnu",IFERROR(INDEX('Paramètres'!$P:$P,MATCH($D1378,'Paramètres'!$M:$M,0))&amp;"",""))))</f>
        <v/>
      </c>
      <c r="M1378" s="6" t="str">
        <f>IF($D1378="","",IF(ISNA(MATCH($D1378,'Paramètres'!$M:$M,0)),"⚠ Type inconnu",IF($L1378="Crédit","",IFERROR(INDEX('Paramètres'!$O:$O,MATCH($D1378,'Paramètres'!$M:$M,0))&amp;"",""))))</f>
        <v/>
      </c>
      <c r="N1378" s="6" t="str">
        <f>IF($D1378="","",IFERROR(INDEX('Paramètres'!$Q:$Q,MATCH($D1378,'Paramètres'!$M:$M,0))&amp;"",""))</f>
        <v/>
      </c>
      <c r="O1378" s="6" t="str">
        <f>IF($A1378="","",IF(OR($J1378&lt;&gt;"x",$A1378&lt;=FinReleve),1,0))</f>
        <v/>
      </c>
      <c r="P1378" s="6" t="str">
        <f>IF($D1378="","",IF(AND($L1378="Crédit",OR(IFERROR(INDEX('Paramètres'!$O:$O,MATCH($D1378,'Paramètres'!$M:$M,0))&amp;"","")&lt;&gt;"",ISNUMBER(SEARCH("remboursement",IFERROR(INDEX('Paramètres'!$N:$N,MATCH($D1378,'Paramètres'!$M:$M,0))&amp;"",""))))),1,0))</f>
        <v/>
      </c>
      <c r="Q1378" s="6" t="str">
        <f>IF($K1378="","",IF(ISNUMBER(SEARCH("transfert-interne",IFERROR(INDEX('Paramètres'!$N:$N,MATCH($D1378,'Paramètres'!$M:$M,0))&amp;"",""))),0,IF($L1378="Débit",$K1378,IF($P1378=1,-$K1378,0))))</f>
        <v/>
      </c>
      <c r="R1378" s="6" t="str">
        <f>IF($K1378="","",IF($L1378="Crédit",$K1378,-$K1378))</f>
        <v/>
      </c>
      <c r="S1378" s="6" t="str">
        <f>IF($C1378="","",IFERROR(INDEX('Paramètres'!$H:$H,MATCH($C1378,'Paramètres'!$D:$D,0))&amp;"",""))</f>
        <v/>
      </c>
      <c r="T1378" s="6" t="str">
        <f>IF($K1378="","",IF($S1378="",0,IF(ISNUMBER(SEARCH("apport-exterieur",IFERROR(INDEX('Paramètres'!$N:$N,MATCH($D1378,'Paramètres'!$M:$M,0))&amp;"",""))),0,IF(OR(IFERROR(INDEX('Paramètres'!$I:$I,MATCH($C1378,'Paramètres'!$D:$D,0))&amp;"","")="Les deux",IFERROR(INDEX('Paramètres'!$I:$I,MATCH($C1378,'Paramètres'!$D:$D,0))&amp;"","")=IF($P1378=1,"Débit",$L1378)),-IF($P1378=1,-$K1378,$K1378),0))))</f>
        <v/>
      </c>
      <c r="U1378" s="6" t="str">
        <f>IF($K1378="","",IF(ISNUMBER(SEARCH("sortie-epargne",IFERROR(INDEX('Paramètres'!$N:$N,MATCH($D1378,'Paramètres'!$M:$M,0))&amp;"",""))),$K1378,0))</f>
        <v/>
      </c>
      <c r="V1378" s="6" t="str">
        <f>IF(AND($A1378&lt;&gt;"",$O1378=1,$L1378="Débit",N($Q1378)&gt;0,$A1378&gt;=Visualisation!$B$1,$A1378&lt;Visualisation!$D$1),MAX($V$1:V1377)+1,"")</f>
        <v/>
      </c>
    </row>
    <row r="1379" spans="1:22" x14ac:dyDescent="0.25">
      <c r="A1379" s="9"/>
      <c r="E1379" s="10"/>
      <c r="K1379" s="11" t="str">
        <f>IF($E1379="","",ROUND($E1379*IF(ISNA(MATCH($C1379,'Paramètres'!$D:$D,0)),1,IF(INDEX('Paramètres'!$J:$J,MATCH($C1379,'Paramètres'!$D:$D,0))="",1,INDEX('Paramètres'!$J:$J,MATCH($C1379,'Paramètres'!$D:$D,0)))),2))</f>
        <v/>
      </c>
      <c r="L1379" s="6" t="str">
        <f>IF($D1379="","",IF($F1379&lt;&gt;"",$F1379,IF(ISNA(MATCH($D1379,'Paramètres'!$M:$M,0)),"⚠ Type inconnu",IFERROR(INDEX('Paramètres'!$P:$P,MATCH($D1379,'Paramètres'!$M:$M,0))&amp;"",""))))</f>
        <v/>
      </c>
      <c r="M1379" s="6" t="str">
        <f>IF($D1379="","",IF(ISNA(MATCH($D1379,'Paramètres'!$M:$M,0)),"⚠ Type inconnu",IF($L1379="Crédit","",IFERROR(INDEX('Paramètres'!$O:$O,MATCH($D1379,'Paramètres'!$M:$M,0))&amp;"",""))))</f>
        <v/>
      </c>
      <c r="N1379" s="6" t="str">
        <f>IF($D1379="","",IFERROR(INDEX('Paramètres'!$Q:$Q,MATCH($D1379,'Paramètres'!$M:$M,0))&amp;"",""))</f>
        <v/>
      </c>
      <c r="O1379" s="6" t="str">
        <f>IF($A1379="","",IF(OR($J1379&lt;&gt;"x",$A1379&lt;=FinReleve),1,0))</f>
        <v/>
      </c>
      <c r="P1379" s="6" t="str">
        <f>IF($D1379="","",IF(AND($L1379="Crédit",OR(IFERROR(INDEX('Paramètres'!$O:$O,MATCH($D1379,'Paramètres'!$M:$M,0))&amp;"","")&lt;&gt;"",ISNUMBER(SEARCH("remboursement",IFERROR(INDEX('Paramètres'!$N:$N,MATCH($D1379,'Paramètres'!$M:$M,0))&amp;"",""))))),1,0))</f>
        <v/>
      </c>
      <c r="Q1379" s="6" t="str">
        <f>IF($K1379="","",IF(ISNUMBER(SEARCH("transfert-interne",IFERROR(INDEX('Paramètres'!$N:$N,MATCH($D1379,'Paramètres'!$M:$M,0))&amp;"",""))),0,IF($L1379="Débit",$K1379,IF($P1379=1,-$K1379,0))))</f>
        <v/>
      </c>
      <c r="R1379" s="6" t="str">
        <f>IF($K1379="","",IF($L1379="Crédit",$K1379,-$K1379))</f>
        <v/>
      </c>
      <c r="S1379" s="6" t="str">
        <f>IF($C1379="","",IFERROR(INDEX('Paramètres'!$H:$H,MATCH($C1379,'Paramètres'!$D:$D,0))&amp;"",""))</f>
        <v/>
      </c>
      <c r="T1379" s="6" t="str">
        <f>IF($K1379="","",IF($S1379="",0,IF(ISNUMBER(SEARCH("apport-exterieur",IFERROR(INDEX('Paramètres'!$N:$N,MATCH($D1379,'Paramètres'!$M:$M,0))&amp;"",""))),0,IF(OR(IFERROR(INDEX('Paramètres'!$I:$I,MATCH($C1379,'Paramètres'!$D:$D,0))&amp;"","")="Les deux",IFERROR(INDEX('Paramètres'!$I:$I,MATCH($C1379,'Paramètres'!$D:$D,0))&amp;"","")=IF($P1379=1,"Débit",$L1379)),-IF($P1379=1,-$K1379,$K1379),0))))</f>
        <v/>
      </c>
      <c r="U1379" s="6" t="str">
        <f>IF($K1379="","",IF(ISNUMBER(SEARCH("sortie-epargne",IFERROR(INDEX('Paramètres'!$N:$N,MATCH($D1379,'Paramètres'!$M:$M,0))&amp;"",""))),$K1379,0))</f>
        <v/>
      </c>
      <c r="V1379" s="6" t="str">
        <f>IF(AND($A1379&lt;&gt;"",$O1379=1,$L1379="Débit",N($Q1379)&gt;0,$A1379&gt;=Visualisation!$B$1,$A1379&lt;Visualisation!$D$1),MAX($V$1:V1378)+1,"")</f>
        <v/>
      </c>
    </row>
    <row r="1380" spans="1:22" x14ac:dyDescent="0.25">
      <c r="A1380" s="9"/>
      <c r="E1380" s="10"/>
      <c r="K1380" s="11" t="str">
        <f>IF($E1380="","",ROUND($E1380*IF(ISNA(MATCH($C1380,'Paramètres'!$D:$D,0)),1,IF(INDEX('Paramètres'!$J:$J,MATCH($C1380,'Paramètres'!$D:$D,0))="",1,INDEX('Paramètres'!$J:$J,MATCH($C1380,'Paramètres'!$D:$D,0)))),2))</f>
        <v/>
      </c>
      <c r="L1380" s="6" t="str">
        <f>IF($D1380="","",IF($F1380&lt;&gt;"",$F1380,IF(ISNA(MATCH($D1380,'Paramètres'!$M:$M,0)),"⚠ Type inconnu",IFERROR(INDEX('Paramètres'!$P:$P,MATCH($D1380,'Paramètres'!$M:$M,0))&amp;"",""))))</f>
        <v/>
      </c>
      <c r="M1380" s="6" t="str">
        <f>IF($D1380="","",IF(ISNA(MATCH($D1380,'Paramètres'!$M:$M,0)),"⚠ Type inconnu",IF($L1380="Crédit","",IFERROR(INDEX('Paramètres'!$O:$O,MATCH($D1380,'Paramètres'!$M:$M,0))&amp;"",""))))</f>
        <v/>
      </c>
      <c r="N1380" s="6" t="str">
        <f>IF($D1380="","",IFERROR(INDEX('Paramètres'!$Q:$Q,MATCH($D1380,'Paramètres'!$M:$M,0))&amp;"",""))</f>
        <v/>
      </c>
      <c r="O1380" s="6" t="str">
        <f>IF($A1380="","",IF(OR($J1380&lt;&gt;"x",$A1380&lt;=FinReleve),1,0))</f>
        <v/>
      </c>
      <c r="P1380" s="6" t="str">
        <f>IF($D1380="","",IF(AND($L1380="Crédit",OR(IFERROR(INDEX('Paramètres'!$O:$O,MATCH($D1380,'Paramètres'!$M:$M,0))&amp;"","")&lt;&gt;"",ISNUMBER(SEARCH("remboursement",IFERROR(INDEX('Paramètres'!$N:$N,MATCH($D1380,'Paramètres'!$M:$M,0))&amp;"",""))))),1,0))</f>
        <v/>
      </c>
      <c r="Q1380" s="6" t="str">
        <f>IF($K1380="","",IF(ISNUMBER(SEARCH("transfert-interne",IFERROR(INDEX('Paramètres'!$N:$N,MATCH($D1380,'Paramètres'!$M:$M,0))&amp;"",""))),0,IF($L1380="Débit",$K1380,IF($P1380=1,-$K1380,0))))</f>
        <v/>
      </c>
      <c r="R1380" s="6" t="str">
        <f>IF($K1380="","",IF($L1380="Crédit",$K1380,-$K1380))</f>
        <v/>
      </c>
      <c r="S1380" s="6" t="str">
        <f>IF($C1380="","",IFERROR(INDEX('Paramètres'!$H:$H,MATCH($C1380,'Paramètres'!$D:$D,0))&amp;"",""))</f>
        <v/>
      </c>
      <c r="T1380" s="6" t="str">
        <f>IF($K1380="","",IF($S1380="",0,IF(ISNUMBER(SEARCH("apport-exterieur",IFERROR(INDEX('Paramètres'!$N:$N,MATCH($D1380,'Paramètres'!$M:$M,0))&amp;"",""))),0,IF(OR(IFERROR(INDEX('Paramètres'!$I:$I,MATCH($C1380,'Paramètres'!$D:$D,0))&amp;"","")="Les deux",IFERROR(INDEX('Paramètres'!$I:$I,MATCH($C1380,'Paramètres'!$D:$D,0))&amp;"","")=IF($P1380=1,"Débit",$L1380)),-IF($P1380=1,-$K1380,$K1380),0))))</f>
        <v/>
      </c>
      <c r="U1380" s="6" t="str">
        <f>IF($K1380="","",IF(ISNUMBER(SEARCH("sortie-epargne",IFERROR(INDEX('Paramètres'!$N:$N,MATCH($D1380,'Paramètres'!$M:$M,0))&amp;"",""))),$K1380,0))</f>
        <v/>
      </c>
      <c r="V1380" s="6" t="str">
        <f>IF(AND($A1380&lt;&gt;"",$O1380=1,$L1380="Débit",N($Q1380)&gt;0,$A1380&gt;=Visualisation!$B$1,$A1380&lt;Visualisation!$D$1),MAX($V$1:V1379)+1,"")</f>
        <v/>
      </c>
    </row>
    <row r="1381" spans="1:22" x14ac:dyDescent="0.25">
      <c r="A1381" s="9"/>
      <c r="E1381" s="10"/>
      <c r="K1381" s="11" t="str">
        <f>IF($E1381="","",ROUND($E1381*IF(ISNA(MATCH($C1381,'Paramètres'!$D:$D,0)),1,IF(INDEX('Paramètres'!$J:$J,MATCH($C1381,'Paramètres'!$D:$D,0))="",1,INDEX('Paramètres'!$J:$J,MATCH($C1381,'Paramètres'!$D:$D,0)))),2))</f>
        <v/>
      </c>
      <c r="L1381" s="6" t="str">
        <f>IF($D1381="","",IF($F1381&lt;&gt;"",$F1381,IF(ISNA(MATCH($D1381,'Paramètres'!$M:$M,0)),"⚠ Type inconnu",IFERROR(INDEX('Paramètres'!$P:$P,MATCH($D1381,'Paramètres'!$M:$M,0))&amp;"",""))))</f>
        <v/>
      </c>
      <c r="M1381" s="6" t="str">
        <f>IF($D1381="","",IF(ISNA(MATCH($D1381,'Paramètres'!$M:$M,0)),"⚠ Type inconnu",IF($L1381="Crédit","",IFERROR(INDEX('Paramètres'!$O:$O,MATCH($D1381,'Paramètres'!$M:$M,0))&amp;"",""))))</f>
        <v/>
      </c>
      <c r="N1381" s="6" t="str">
        <f>IF($D1381="","",IFERROR(INDEX('Paramètres'!$Q:$Q,MATCH($D1381,'Paramètres'!$M:$M,0))&amp;"",""))</f>
        <v/>
      </c>
      <c r="O1381" s="6" t="str">
        <f>IF($A1381="","",IF(OR($J1381&lt;&gt;"x",$A1381&lt;=FinReleve),1,0))</f>
        <v/>
      </c>
      <c r="P1381" s="6" t="str">
        <f>IF($D1381="","",IF(AND($L1381="Crédit",OR(IFERROR(INDEX('Paramètres'!$O:$O,MATCH($D1381,'Paramètres'!$M:$M,0))&amp;"","")&lt;&gt;"",ISNUMBER(SEARCH("remboursement",IFERROR(INDEX('Paramètres'!$N:$N,MATCH($D1381,'Paramètres'!$M:$M,0))&amp;"",""))))),1,0))</f>
        <v/>
      </c>
      <c r="Q1381" s="6" t="str">
        <f>IF($K1381="","",IF(ISNUMBER(SEARCH("transfert-interne",IFERROR(INDEX('Paramètres'!$N:$N,MATCH($D1381,'Paramètres'!$M:$M,0))&amp;"",""))),0,IF($L1381="Débit",$K1381,IF($P1381=1,-$K1381,0))))</f>
        <v/>
      </c>
      <c r="R1381" s="6" t="str">
        <f>IF($K1381="","",IF($L1381="Crédit",$K1381,-$K1381))</f>
        <v/>
      </c>
      <c r="S1381" s="6" t="str">
        <f>IF($C1381="","",IFERROR(INDEX('Paramètres'!$H:$H,MATCH($C1381,'Paramètres'!$D:$D,0))&amp;"",""))</f>
        <v/>
      </c>
      <c r="T1381" s="6" t="str">
        <f>IF($K1381="","",IF($S1381="",0,IF(ISNUMBER(SEARCH("apport-exterieur",IFERROR(INDEX('Paramètres'!$N:$N,MATCH($D1381,'Paramètres'!$M:$M,0))&amp;"",""))),0,IF(OR(IFERROR(INDEX('Paramètres'!$I:$I,MATCH($C1381,'Paramètres'!$D:$D,0))&amp;"","")="Les deux",IFERROR(INDEX('Paramètres'!$I:$I,MATCH($C1381,'Paramètres'!$D:$D,0))&amp;"","")=IF($P1381=1,"Débit",$L1381)),-IF($P1381=1,-$K1381,$K1381),0))))</f>
        <v/>
      </c>
      <c r="U1381" s="6" t="str">
        <f>IF($K1381="","",IF(ISNUMBER(SEARCH("sortie-epargne",IFERROR(INDEX('Paramètres'!$N:$N,MATCH($D1381,'Paramètres'!$M:$M,0))&amp;"",""))),$K1381,0))</f>
        <v/>
      </c>
      <c r="V1381" s="6" t="str">
        <f>IF(AND($A1381&lt;&gt;"",$O1381=1,$L1381="Débit",N($Q1381)&gt;0,$A1381&gt;=Visualisation!$B$1,$A1381&lt;Visualisation!$D$1),MAX($V$1:V1380)+1,"")</f>
        <v/>
      </c>
    </row>
    <row r="1382" spans="1:22" x14ac:dyDescent="0.25">
      <c r="A1382" s="9"/>
      <c r="E1382" s="10"/>
      <c r="K1382" s="11" t="str">
        <f>IF($E1382="","",ROUND($E1382*IF(ISNA(MATCH($C1382,'Paramètres'!$D:$D,0)),1,IF(INDEX('Paramètres'!$J:$J,MATCH($C1382,'Paramètres'!$D:$D,0))="",1,INDEX('Paramètres'!$J:$J,MATCH($C1382,'Paramètres'!$D:$D,0)))),2))</f>
        <v/>
      </c>
      <c r="L1382" s="6" t="str">
        <f>IF($D1382="","",IF($F1382&lt;&gt;"",$F1382,IF(ISNA(MATCH($D1382,'Paramètres'!$M:$M,0)),"⚠ Type inconnu",IFERROR(INDEX('Paramètres'!$P:$P,MATCH($D1382,'Paramètres'!$M:$M,0))&amp;"",""))))</f>
        <v/>
      </c>
      <c r="M1382" s="6" t="str">
        <f>IF($D1382="","",IF(ISNA(MATCH($D1382,'Paramètres'!$M:$M,0)),"⚠ Type inconnu",IF($L1382="Crédit","",IFERROR(INDEX('Paramètres'!$O:$O,MATCH($D1382,'Paramètres'!$M:$M,0))&amp;"",""))))</f>
        <v/>
      </c>
      <c r="N1382" s="6" t="str">
        <f>IF($D1382="","",IFERROR(INDEX('Paramètres'!$Q:$Q,MATCH($D1382,'Paramètres'!$M:$M,0))&amp;"",""))</f>
        <v/>
      </c>
      <c r="O1382" s="6" t="str">
        <f>IF($A1382="","",IF(OR($J1382&lt;&gt;"x",$A1382&lt;=FinReleve),1,0))</f>
        <v/>
      </c>
      <c r="P1382" s="6" t="str">
        <f>IF($D1382="","",IF(AND($L1382="Crédit",OR(IFERROR(INDEX('Paramètres'!$O:$O,MATCH($D1382,'Paramètres'!$M:$M,0))&amp;"","")&lt;&gt;"",ISNUMBER(SEARCH("remboursement",IFERROR(INDEX('Paramètres'!$N:$N,MATCH($D1382,'Paramètres'!$M:$M,0))&amp;"",""))))),1,0))</f>
        <v/>
      </c>
      <c r="Q1382" s="6" t="str">
        <f>IF($K1382="","",IF(ISNUMBER(SEARCH("transfert-interne",IFERROR(INDEX('Paramètres'!$N:$N,MATCH($D1382,'Paramètres'!$M:$M,0))&amp;"",""))),0,IF($L1382="Débit",$K1382,IF($P1382=1,-$K1382,0))))</f>
        <v/>
      </c>
      <c r="R1382" s="6" t="str">
        <f>IF($K1382="","",IF($L1382="Crédit",$K1382,-$K1382))</f>
        <v/>
      </c>
      <c r="S1382" s="6" t="str">
        <f>IF($C1382="","",IFERROR(INDEX('Paramètres'!$H:$H,MATCH($C1382,'Paramètres'!$D:$D,0))&amp;"",""))</f>
        <v/>
      </c>
      <c r="T1382" s="6" t="str">
        <f>IF($K1382="","",IF($S1382="",0,IF(ISNUMBER(SEARCH("apport-exterieur",IFERROR(INDEX('Paramètres'!$N:$N,MATCH($D1382,'Paramètres'!$M:$M,0))&amp;"",""))),0,IF(OR(IFERROR(INDEX('Paramètres'!$I:$I,MATCH($C1382,'Paramètres'!$D:$D,0))&amp;"","")="Les deux",IFERROR(INDEX('Paramètres'!$I:$I,MATCH($C1382,'Paramètres'!$D:$D,0))&amp;"","")=IF($P1382=1,"Débit",$L1382)),-IF($P1382=1,-$K1382,$K1382),0))))</f>
        <v/>
      </c>
      <c r="U1382" s="6" t="str">
        <f>IF($K1382="","",IF(ISNUMBER(SEARCH("sortie-epargne",IFERROR(INDEX('Paramètres'!$N:$N,MATCH($D1382,'Paramètres'!$M:$M,0))&amp;"",""))),$K1382,0))</f>
        <v/>
      </c>
      <c r="V1382" s="6" t="str">
        <f>IF(AND($A1382&lt;&gt;"",$O1382=1,$L1382="Débit",N($Q1382)&gt;0,$A1382&gt;=Visualisation!$B$1,$A1382&lt;Visualisation!$D$1),MAX($V$1:V1381)+1,"")</f>
        <v/>
      </c>
    </row>
    <row r="1383" spans="1:22" x14ac:dyDescent="0.25">
      <c r="A1383" s="9"/>
      <c r="E1383" s="10"/>
      <c r="K1383" s="11" t="str">
        <f>IF($E1383="","",ROUND($E1383*IF(ISNA(MATCH($C1383,'Paramètres'!$D:$D,0)),1,IF(INDEX('Paramètres'!$J:$J,MATCH($C1383,'Paramètres'!$D:$D,0))="",1,INDEX('Paramètres'!$J:$J,MATCH($C1383,'Paramètres'!$D:$D,0)))),2))</f>
        <v/>
      </c>
      <c r="L1383" s="6" t="str">
        <f>IF($D1383="","",IF($F1383&lt;&gt;"",$F1383,IF(ISNA(MATCH($D1383,'Paramètres'!$M:$M,0)),"⚠ Type inconnu",IFERROR(INDEX('Paramètres'!$P:$P,MATCH($D1383,'Paramètres'!$M:$M,0))&amp;"",""))))</f>
        <v/>
      </c>
      <c r="M1383" s="6" t="str">
        <f>IF($D1383="","",IF(ISNA(MATCH($D1383,'Paramètres'!$M:$M,0)),"⚠ Type inconnu",IF($L1383="Crédit","",IFERROR(INDEX('Paramètres'!$O:$O,MATCH($D1383,'Paramètres'!$M:$M,0))&amp;"",""))))</f>
        <v/>
      </c>
      <c r="N1383" s="6" t="str">
        <f>IF($D1383="","",IFERROR(INDEX('Paramètres'!$Q:$Q,MATCH($D1383,'Paramètres'!$M:$M,0))&amp;"",""))</f>
        <v/>
      </c>
      <c r="O1383" s="6" t="str">
        <f>IF($A1383="","",IF(OR($J1383&lt;&gt;"x",$A1383&lt;=FinReleve),1,0))</f>
        <v/>
      </c>
      <c r="P1383" s="6" t="str">
        <f>IF($D1383="","",IF(AND($L1383="Crédit",OR(IFERROR(INDEX('Paramètres'!$O:$O,MATCH($D1383,'Paramètres'!$M:$M,0))&amp;"","")&lt;&gt;"",ISNUMBER(SEARCH("remboursement",IFERROR(INDEX('Paramètres'!$N:$N,MATCH($D1383,'Paramètres'!$M:$M,0))&amp;"",""))))),1,0))</f>
        <v/>
      </c>
      <c r="Q1383" s="6" t="str">
        <f>IF($K1383="","",IF(ISNUMBER(SEARCH("transfert-interne",IFERROR(INDEX('Paramètres'!$N:$N,MATCH($D1383,'Paramètres'!$M:$M,0))&amp;"",""))),0,IF($L1383="Débit",$K1383,IF($P1383=1,-$K1383,0))))</f>
        <v/>
      </c>
      <c r="R1383" s="6" t="str">
        <f>IF($K1383="","",IF($L1383="Crédit",$K1383,-$K1383))</f>
        <v/>
      </c>
      <c r="S1383" s="6" t="str">
        <f>IF($C1383="","",IFERROR(INDEX('Paramètres'!$H:$H,MATCH($C1383,'Paramètres'!$D:$D,0))&amp;"",""))</f>
        <v/>
      </c>
      <c r="T1383" s="6" t="str">
        <f>IF($K1383="","",IF($S1383="",0,IF(ISNUMBER(SEARCH("apport-exterieur",IFERROR(INDEX('Paramètres'!$N:$N,MATCH($D1383,'Paramètres'!$M:$M,0))&amp;"",""))),0,IF(OR(IFERROR(INDEX('Paramètres'!$I:$I,MATCH($C1383,'Paramètres'!$D:$D,0))&amp;"","")="Les deux",IFERROR(INDEX('Paramètres'!$I:$I,MATCH($C1383,'Paramètres'!$D:$D,0))&amp;"","")=IF($P1383=1,"Débit",$L1383)),-IF($P1383=1,-$K1383,$K1383),0))))</f>
        <v/>
      </c>
      <c r="U1383" s="6" t="str">
        <f>IF($K1383="","",IF(ISNUMBER(SEARCH("sortie-epargne",IFERROR(INDEX('Paramètres'!$N:$N,MATCH($D1383,'Paramètres'!$M:$M,0))&amp;"",""))),$K1383,0))</f>
        <v/>
      </c>
      <c r="V1383" s="6" t="str">
        <f>IF(AND($A1383&lt;&gt;"",$O1383=1,$L1383="Débit",N($Q1383)&gt;0,$A1383&gt;=Visualisation!$B$1,$A1383&lt;Visualisation!$D$1),MAX($V$1:V1382)+1,"")</f>
        <v/>
      </c>
    </row>
    <row r="1384" spans="1:22" x14ac:dyDescent="0.25">
      <c r="A1384" s="9"/>
      <c r="E1384" s="10"/>
      <c r="K1384" s="11" t="str">
        <f>IF($E1384="","",ROUND($E1384*IF(ISNA(MATCH($C1384,'Paramètres'!$D:$D,0)),1,IF(INDEX('Paramètres'!$J:$J,MATCH($C1384,'Paramètres'!$D:$D,0))="",1,INDEX('Paramètres'!$J:$J,MATCH($C1384,'Paramètres'!$D:$D,0)))),2))</f>
        <v/>
      </c>
      <c r="L1384" s="6" t="str">
        <f>IF($D1384="","",IF($F1384&lt;&gt;"",$F1384,IF(ISNA(MATCH($D1384,'Paramètres'!$M:$M,0)),"⚠ Type inconnu",IFERROR(INDEX('Paramètres'!$P:$P,MATCH($D1384,'Paramètres'!$M:$M,0))&amp;"",""))))</f>
        <v/>
      </c>
      <c r="M1384" s="6" t="str">
        <f>IF($D1384="","",IF(ISNA(MATCH($D1384,'Paramètres'!$M:$M,0)),"⚠ Type inconnu",IF($L1384="Crédit","",IFERROR(INDEX('Paramètres'!$O:$O,MATCH($D1384,'Paramètres'!$M:$M,0))&amp;"",""))))</f>
        <v/>
      </c>
      <c r="N1384" s="6" t="str">
        <f>IF($D1384="","",IFERROR(INDEX('Paramètres'!$Q:$Q,MATCH($D1384,'Paramètres'!$M:$M,0))&amp;"",""))</f>
        <v/>
      </c>
      <c r="O1384" s="6" t="str">
        <f>IF($A1384="","",IF(OR($J1384&lt;&gt;"x",$A1384&lt;=FinReleve),1,0))</f>
        <v/>
      </c>
      <c r="P1384" s="6" t="str">
        <f>IF($D1384="","",IF(AND($L1384="Crédit",OR(IFERROR(INDEX('Paramètres'!$O:$O,MATCH($D1384,'Paramètres'!$M:$M,0))&amp;"","")&lt;&gt;"",ISNUMBER(SEARCH("remboursement",IFERROR(INDEX('Paramètres'!$N:$N,MATCH($D1384,'Paramètres'!$M:$M,0))&amp;"",""))))),1,0))</f>
        <v/>
      </c>
      <c r="Q1384" s="6" t="str">
        <f>IF($K1384="","",IF(ISNUMBER(SEARCH("transfert-interne",IFERROR(INDEX('Paramètres'!$N:$N,MATCH($D1384,'Paramètres'!$M:$M,0))&amp;"",""))),0,IF($L1384="Débit",$K1384,IF($P1384=1,-$K1384,0))))</f>
        <v/>
      </c>
      <c r="R1384" s="6" t="str">
        <f>IF($K1384="","",IF($L1384="Crédit",$K1384,-$K1384))</f>
        <v/>
      </c>
      <c r="S1384" s="6" t="str">
        <f>IF($C1384="","",IFERROR(INDEX('Paramètres'!$H:$H,MATCH($C1384,'Paramètres'!$D:$D,0))&amp;"",""))</f>
        <v/>
      </c>
      <c r="T1384" s="6" t="str">
        <f>IF($K1384="","",IF($S1384="",0,IF(ISNUMBER(SEARCH("apport-exterieur",IFERROR(INDEX('Paramètres'!$N:$N,MATCH($D1384,'Paramètres'!$M:$M,0))&amp;"",""))),0,IF(OR(IFERROR(INDEX('Paramètres'!$I:$I,MATCH($C1384,'Paramètres'!$D:$D,0))&amp;"","")="Les deux",IFERROR(INDEX('Paramètres'!$I:$I,MATCH($C1384,'Paramètres'!$D:$D,0))&amp;"","")=IF($P1384=1,"Débit",$L1384)),-IF($P1384=1,-$K1384,$K1384),0))))</f>
        <v/>
      </c>
      <c r="U1384" s="6" t="str">
        <f>IF($K1384="","",IF(ISNUMBER(SEARCH("sortie-epargne",IFERROR(INDEX('Paramètres'!$N:$N,MATCH($D1384,'Paramètres'!$M:$M,0))&amp;"",""))),$K1384,0))</f>
        <v/>
      </c>
      <c r="V1384" s="6" t="str">
        <f>IF(AND($A1384&lt;&gt;"",$O1384=1,$L1384="Débit",N($Q1384)&gt;0,$A1384&gt;=Visualisation!$B$1,$A1384&lt;Visualisation!$D$1),MAX($V$1:V1383)+1,"")</f>
        <v/>
      </c>
    </row>
    <row r="1385" spans="1:22" x14ac:dyDescent="0.25">
      <c r="A1385" s="9"/>
      <c r="E1385" s="10"/>
      <c r="K1385" s="11" t="str">
        <f>IF($E1385="","",ROUND($E1385*IF(ISNA(MATCH($C1385,'Paramètres'!$D:$D,0)),1,IF(INDEX('Paramètres'!$J:$J,MATCH($C1385,'Paramètres'!$D:$D,0))="",1,INDEX('Paramètres'!$J:$J,MATCH($C1385,'Paramètres'!$D:$D,0)))),2))</f>
        <v/>
      </c>
      <c r="L1385" s="6" t="str">
        <f>IF($D1385="","",IF($F1385&lt;&gt;"",$F1385,IF(ISNA(MATCH($D1385,'Paramètres'!$M:$M,0)),"⚠ Type inconnu",IFERROR(INDEX('Paramètres'!$P:$P,MATCH($D1385,'Paramètres'!$M:$M,0))&amp;"",""))))</f>
        <v/>
      </c>
      <c r="M1385" s="6" t="str">
        <f>IF($D1385="","",IF(ISNA(MATCH($D1385,'Paramètres'!$M:$M,0)),"⚠ Type inconnu",IF($L1385="Crédit","",IFERROR(INDEX('Paramètres'!$O:$O,MATCH($D1385,'Paramètres'!$M:$M,0))&amp;"",""))))</f>
        <v/>
      </c>
      <c r="N1385" s="6" t="str">
        <f>IF($D1385="","",IFERROR(INDEX('Paramètres'!$Q:$Q,MATCH($D1385,'Paramètres'!$M:$M,0))&amp;"",""))</f>
        <v/>
      </c>
      <c r="O1385" s="6" t="str">
        <f>IF($A1385="","",IF(OR($J1385&lt;&gt;"x",$A1385&lt;=FinReleve),1,0))</f>
        <v/>
      </c>
      <c r="P1385" s="6" t="str">
        <f>IF($D1385="","",IF(AND($L1385="Crédit",OR(IFERROR(INDEX('Paramètres'!$O:$O,MATCH($D1385,'Paramètres'!$M:$M,0))&amp;"","")&lt;&gt;"",ISNUMBER(SEARCH("remboursement",IFERROR(INDEX('Paramètres'!$N:$N,MATCH($D1385,'Paramètres'!$M:$M,0))&amp;"",""))))),1,0))</f>
        <v/>
      </c>
      <c r="Q1385" s="6" t="str">
        <f>IF($K1385="","",IF(ISNUMBER(SEARCH("transfert-interne",IFERROR(INDEX('Paramètres'!$N:$N,MATCH($D1385,'Paramètres'!$M:$M,0))&amp;"",""))),0,IF($L1385="Débit",$K1385,IF($P1385=1,-$K1385,0))))</f>
        <v/>
      </c>
      <c r="R1385" s="6" t="str">
        <f>IF($K1385="","",IF($L1385="Crédit",$K1385,-$K1385))</f>
        <v/>
      </c>
      <c r="S1385" s="6" t="str">
        <f>IF($C1385="","",IFERROR(INDEX('Paramètres'!$H:$H,MATCH($C1385,'Paramètres'!$D:$D,0))&amp;"",""))</f>
        <v/>
      </c>
      <c r="T1385" s="6" t="str">
        <f>IF($K1385="","",IF($S1385="",0,IF(ISNUMBER(SEARCH("apport-exterieur",IFERROR(INDEX('Paramètres'!$N:$N,MATCH($D1385,'Paramètres'!$M:$M,0))&amp;"",""))),0,IF(OR(IFERROR(INDEX('Paramètres'!$I:$I,MATCH($C1385,'Paramètres'!$D:$D,0))&amp;"","")="Les deux",IFERROR(INDEX('Paramètres'!$I:$I,MATCH($C1385,'Paramètres'!$D:$D,0))&amp;"","")=IF($P1385=1,"Débit",$L1385)),-IF($P1385=1,-$K1385,$K1385),0))))</f>
        <v/>
      </c>
      <c r="U1385" s="6" t="str">
        <f>IF($K1385="","",IF(ISNUMBER(SEARCH("sortie-epargne",IFERROR(INDEX('Paramètres'!$N:$N,MATCH($D1385,'Paramètres'!$M:$M,0))&amp;"",""))),$K1385,0))</f>
        <v/>
      </c>
      <c r="V1385" s="6" t="str">
        <f>IF(AND($A1385&lt;&gt;"",$O1385=1,$L1385="Débit",N($Q1385)&gt;0,$A1385&gt;=Visualisation!$B$1,$A1385&lt;Visualisation!$D$1),MAX($V$1:V1384)+1,"")</f>
        <v/>
      </c>
    </row>
    <row r="1386" spans="1:22" x14ac:dyDescent="0.25">
      <c r="A1386" s="9"/>
      <c r="E1386" s="10"/>
      <c r="K1386" s="11" t="str">
        <f>IF($E1386="","",ROUND($E1386*IF(ISNA(MATCH($C1386,'Paramètres'!$D:$D,0)),1,IF(INDEX('Paramètres'!$J:$J,MATCH($C1386,'Paramètres'!$D:$D,0))="",1,INDEX('Paramètres'!$J:$J,MATCH($C1386,'Paramètres'!$D:$D,0)))),2))</f>
        <v/>
      </c>
      <c r="L1386" s="6" t="str">
        <f>IF($D1386="","",IF($F1386&lt;&gt;"",$F1386,IF(ISNA(MATCH($D1386,'Paramètres'!$M:$M,0)),"⚠ Type inconnu",IFERROR(INDEX('Paramètres'!$P:$P,MATCH($D1386,'Paramètres'!$M:$M,0))&amp;"",""))))</f>
        <v/>
      </c>
      <c r="M1386" s="6" t="str">
        <f>IF($D1386="","",IF(ISNA(MATCH($D1386,'Paramètres'!$M:$M,0)),"⚠ Type inconnu",IF($L1386="Crédit","",IFERROR(INDEX('Paramètres'!$O:$O,MATCH($D1386,'Paramètres'!$M:$M,0))&amp;"",""))))</f>
        <v/>
      </c>
      <c r="N1386" s="6" t="str">
        <f>IF($D1386="","",IFERROR(INDEX('Paramètres'!$Q:$Q,MATCH($D1386,'Paramètres'!$M:$M,0))&amp;"",""))</f>
        <v/>
      </c>
      <c r="O1386" s="6" t="str">
        <f>IF($A1386="","",IF(OR($J1386&lt;&gt;"x",$A1386&lt;=FinReleve),1,0))</f>
        <v/>
      </c>
      <c r="P1386" s="6" t="str">
        <f>IF($D1386="","",IF(AND($L1386="Crédit",OR(IFERROR(INDEX('Paramètres'!$O:$O,MATCH($D1386,'Paramètres'!$M:$M,0))&amp;"","")&lt;&gt;"",ISNUMBER(SEARCH("remboursement",IFERROR(INDEX('Paramètres'!$N:$N,MATCH($D1386,'Paramètres'!$M:$M,0))&amp;"",""))))),1,0))</f>
        <v/>
      </c>
      <c r="Q1386" s="6" t="str">
        <f>IF($K1386="","",IF(ISNUMBER(SEARCH("transfert-interne",IFERROR(INDEX('Paramètres'!$N:$N,MATCH($D1386,'Paramètres'!$M:$M,0))&amp;"",""))),0,IF($L1386="Débit",$K1386,IF($P1386=1,-$K1386,0))))</f>
        <v/>
      </c>
      <c r="R1386" s="6" t="str">
        <f>IF($K1386="","",IF($L1386="Crédit",$K1386,-$K1386))</f>
        <v/>
      </c>
      <c r="S1386" s="6" t="str">
        <f>IF($C1386="","",IFERROR(INDEX('Paramètres'!$H:$H,MATCH($C1386,'Paramètres'!$D:$D,0))&amp;"",""))</f>
        <v/>
      </c>
      <c r="T1386" s="6" t="str">
        <f>IF($K1386="","",IF($S1386="",0,IF(ISNUMBER(SEARCH("apport-exterieur",IFERROR(INDEX('Paramètres'!$N:$N,MATCH($D1386,'Paramètres'!$M:$M,0))&amp;"",""))),0,IF(OR(IFERROR(INDEX('Paramètres'!$I:$I,MATCH($C1386,'Paramètres'!$D:$D,0))&amp;"","")="Les deux",IFERROR(INDEX('Paramètres'!$I:$I,MATCH($C1386,'Paramètres'!$D:$D,0))&amp;"","")=IF($P1386=1,"Débit",$L1386)),-IF($P1386=1,-$K1386,$K1386),0))))</f>
        <v/>
      </c>
      <c r="U1386" s="6" t="str">
        <f>IF($K1386="","",IF(ISNUMBER(SEARCH("sortie-epargne",IFERROR(INDEX('Paramètres'!$N:$N,MATCH($D1386,'Paramètres'!$M:$M,0))&amp;"",""))),$K1386,0))</f>
        <v/>
      </c>
      <c r="V1386" s="6" t="str">
        <f>IF(AND($A1386&lt;&gt;"",$O1386=1,$L1386="Débit",N($Q1386)&gt;0,$A1386&gt;=Visualisation!$B$1,$A1386&lt;Visualisation!$D$1),MAX($V$1:V1385)+1,"")</f>
        <v/>
      </c>
    </row>
    <row r="1387" spans="1:22" x14ac:dyDescent="0.25">
      <c r="A1387" s="9"/>
      <c r="E1387" s="10"/>
      <c r="K1387" s="11" t="str">
        <f>IF($E1387="","",ROUND($E1387*IF(ISNA(MATCH($C1387,'Paramètres'!$D:$D,0)),1,IF(INDEX('Paramètres'!$J:$J,MATCH($C1387,'Paramètres'!$D:$D,0))="",1,INDEX('Paramètres'!$J:$J,MATCH($C1387,'Paramètres'!$D:$D,0)))),2))</f>
        <v/>
      </c>
      <c r="L1387" s="6" t="str">
        <f>IF($D1387="","",IF($F1387&lt;&gt;"",$F1387,IF(ISNA(MATCH($D1387,'Paramètres'!$M:$M,0)),"⚠ Type inconnu",IFERROR(INDEX('Paramètres'!$P:$P,MATCH($D1387,'Paramètres'!$M:$M,0))&amp;"",""))))</f>
        <v/>
      </c>
      <c r="M1387" s="6" t="str">
        <f>IF($D1387="","",IF(ISNA(MATCH($D1387,'Paramètres'!$M:$M,0)),"⚠ Type inconnu",IF($L1387="Crédit","",IFERROR(INDEX('Paramètres'!$O:$O,MATCH($D1387,'Paramètres'!$M:$M,0))&amp;"",""))))</f>
        <v/>
      </c>
      <c r="N1387" s="6" t="str">
        <f>IF($D1387="","",IFERROR(INDEX('Paramètres'!$Q:$Q,MATCH($D1387,'Paramètres'!$M:$M,0))&amp;"",""))</f>
        <v/>
      </c>
      <c r="O1387" s="6" t="str">
        <f>IF($A1387="","",IF(OR($J1387&lt;&gt;"x",$A1387&lt;=FinReleve),1,0))</f>
        <v/>
      </c>
      <c r="P1387" s="6" t="str">
        <f>IF($D1387="","",IF(AND($L1387="Crédit",OR(IFERROR(INDEX('Paramètres'!$O:$O,MATCH($D1387,'Paramètres'!$M:$M,0))&amp;"","")&lt;&gt;"",ISNUMBER(SEARCH("remboursement",IFERROR(INDEX('Paramètres'!$N:$N,MATCH($D1387,'Paramètres'!$M:$M,0))&amp;"",""))))),1,0))</f>
        <v/>
      </c>
      <c r="Q1387" s="6" t="str">
        <f>IF($K1387="","",IF(ISNUMBER(SEARCH("transfert-interne",IFERROR(INDEX('Paramètres'!$N:$N,MATCH($D1387,'Paramètres'!$M:$M,0))&amp;"",""))),0,IF($L1387="Débit",$K1387,IF($P1387=1,-$K1387,0))))</f>
        <v/>
      </c>
      <c r="R1387" s="6" t="str">
        <f>IF($K1387="","",IF($L1387="Crédit",$K1387,-$K1387))</f>
        <v/>
      </c>
      <c r="S1387" s="6" t="str">
        <f>IF($C1387="","",IFERROR(INDEX('Paramètres'!$H:$H,MATCH($C1387,'Paramètres'!$D:$D,0))&amp;"",""))</f>
        <v/>
      </c>
      <c r="T1387" s="6" t="str">
        <f>IF($K1387="","",IF($S1387="",0,IF(ISNUMBER(SEARCH("apport-exterieur",IFERROR(INDEX('Paramètres'!$N:$N,MATCH($D1387,'Paramètres'!$M:$M,0))&amp;"",""))),0,IF(OR(IFERROR(INDEX('Paramètres'!$I:$I,MATCH($C1387,'Paramètres'!$D:$D,0))&amp;"","")="Les deux",IFERROR(INDEX('Paramètres'!$I:$I,MATCH($C1387,'Paramètres'!$D:$D,0))&amp;"","")=IF($P1387=1,"Débit",$L1387)),-IF($P1387=1,-$K1387,$K1387),0))))</f>
        <v/>
      </c>
      <c r="U1387" s="6" t="str">
        <f>IF($K1387="","",IF(ISNUMBER(SEARCH("sortie-epargne",IFERROR(INDEX('Paramètres'!$N:$N,MATCH($D1387,'Paramètres'!$M:$M,0))&amp;"",""))),$K1387,0))</f>
        <v/>
      </c>
      <c r="V1387" s="6" t="str">
        <f>IF(AND($A1387&lt;&gt;"",$O1387=1,$L1387="Débit",N($Q1387)&gt;0,$A1387&gt;=Visualisation!$B$1,$A1387&lt;Visualisation!$D$1),MAX($V$1:V1386)+1,"")</f>
        <v/>
      </c>
    </row>
    <row r="1388" spans="1:22" x14ac:dyDescent="0.25">
      <c r="A1388" s="9"/>
      <c r="E1388" s="10"/>
      <c r="K1388" s="11" t="str">
        <f>IF($E1388="","",ROUND($E1388*IF(ISNA(MATCH($C1388,'Paramètres'!$D:$D,0)),1,IF(INDEX('Paramètres'!$J:$J,MATCH($C1388,'Paramètres'!$D:$D,0))="",1,INDEX('Paramètres'!$J:$J,MATCH($C1388,'Paramètres'!$D:$D,0)))),2))</f>
        <v/>
      </c>
      <c r="L1388" s="6" t="str">
        <f>IF($D1388="","",IF($F1388&lt;&gt;"",$F1388,IF(ISNA(MATCH($D1388,'Paramètres'!$M:$M,0)),"⚠ Type inconnu",IFERROR(INDEX('Paramètres'!$P:$P,MATCH($D1388,'Paramètres'!$M:$M,0))&amp;"",""))))</f>
        <v/>
      </c>
      <c r="M1388" s="6" t="str">
        <f>IF($D1388="","",IF(ISNA(MATCH($D1388,'Paramètres'!$M:$M,0)),"⚠ Type inconnu",IF($L1388="Crédit","",IFERROR(INDEX('Paramètres'!$O:$O,MATCH($D1388,'Paramètres'!$M:$M,0))&amp;"",""))))</f>
        <v/>
      </c>
      <c r="N1388" s="6" t="str">
        <f>IF($D1388="","",IFERROR(INDEX('Paramètres'!$Q:$Q,MATCH($D1388,'Paramètres'!$M:$M,0))&amp;"",""))</f>
        <v/>
      </c>
      <c r="O1388" s="6" t="str">
        <f>IF($A1388="","",IF(OR($J1388&lt;&gt;"x",$A1388&lt;=FinReleve),1,0))</f>
        <v/>
      </c>
      <c r="P1388" s="6" t="str">
        <f>IF($D1388="","",IF(AND($L1388="Crédit",OR(IFERROR(INDEX('Paramètres'!$O:$O,MATCH($D1388,'Paramètres'!$M:$M,0))&amp;"","")&lt;&gt;"",ISNUMBER(SEARCH("remboursement",IFERROR(INDEX('Paramètres'!$N:$N,MATCH($D1388,'Paramètres'!$M:$M,0))&amp;"",""))))),1,0))</f>
        <v/>
      </c>
      <c r="Q1388" s="6" t="str">
        <f>IF($K1388="","",IF(ISNUMBER(SEARCH("transfert-interne",IFERROR(INDEX('Paramètres'!$N:$N,MATCH($D1388,'Paramètres'!$M:$M,0))&amp;"",""))),0,IF($L1388="Débit",$K1388,IF($P1388=1,-$K1388,0))))</f>
        <v/>
      </c>
      <c r="R1388" s="6" t="str">
        <f>IF($K1388="","",IF($L1388="Crédit",$K1388,-$K1388))</f>
        <v/>
      </c>
      <c r="S1388" s="6" t="str">
        <f>IF($C1388="","",IFERROR(INDEX('Paramètres'!$H:$H,MATCH($C1388,'Paramètres'!$D:$D,0))&amp;"",""))</f>
        <v/>
      </c>
      <c r="T1388" s="6" t="str">
        <f>IF($K1388="","",IF($S1388="",0,IF(ISNUMBER(SEARCH("apport-exterieur",IFERROR(INDEX('Paramètres'!$N:$N,MATCH($D1388,'Paramètres'!$M:$M,0))&amp;"",""))),0,IF(OR(IFERROR(INDEX('Paramètres'!$I:$I,MATCH($C1388,'Paramètres'!$D:$D,0))&amp;"","")="Les deux",IFERROR(INDEX('Paramètres'!$I:$I,MATCH($C1388,'Paramètres'!$D:$D,0))&amp;"","")=IF($P1388=1,"Débit",$L1388)),-IF($P1388=1,-$K1388,$K1388),0))))</f>
        <v/>
      </c>
      <c r="U1388" s="6" t="str">
        <f>IF($K1388="","",IF(ISNUMBER(SEARCH("sortie-epargne",IFERROR(INDEX('Paramètres'!$N:$N,MATCH($D1388,'Paramètres'!$M:$M,0))&amp;"",""))),$K1388,0))</f>
        <v/>
      </c>
      <c r="V1388" s="6" t="str">
        <f>IF(AND($A1388&lt;&gt;"",$O1388=1,$L1388="Débit",N($Q1388)&gt;0,$A1388&gt;=Visualisation!$B$1,$A1388&lt;Visualisation!$D$1),MAX($V$1:V1387)+1,"")</f>
        <v/>
      </c>
    </row>
    <row r="1389" spans="1:22" x14ac:dyDescent="0.25">
      <c r="A1389" s="9"/>
      <c r="E1389" s="10"/>
      <c r="K1389" s="11" t="str">
        <f>IF($E1389="","",ROUND($E1389*IF(ISNA(MATCH($C1389,'Paramètres'!$D:$D,0)),1,IF(INDEX('Paramètres'!$J:$J,MATCH($C1389,'Paramètres'!$D:$D,0))="",1,INDEX('Paramètres'!$J:$J,MATCH($C1389,'Paramètres'!$D:$D,0)))),2))</f>
        <v/>
      </c>
      <c r="L1389" s="6" t="str">
        <f>IF($D1389="","",IF($F1389&lt;&gt;"",$F1389,IF(ISNA(MATCH($D1389,'Paramètres'!$M:$M,0)),"⚠ Type inconnu",IFERROR(INDEX('Paramètres'!$P:$P,MATCH($D1389,'Paramètres'!$M:$M,0))&amp;"",""))))</f>
        <v/>
      </c>
      <c r="M1389" s="6" t="str">
        <f>IF($D1389="","",IF(ISNA(MATCH($D1389,'Paramètres'!$M:$M,0)),"⚠ Type inconnu",IF($L1389="Crédit","",IFERROR(INDEX('Paramètres'!$O:$O,MATCH($D1389,'Paramètres'!$M:$M,0))&amp;"",""))))</f>
        <v/>
      </c>
      <c r="N1389" s="6" t="str">
        <f>IF($D1389="","",IFERROR(INDEX('Paramètres'!$Q:$Q,MATCH($D1389,'Paramètres'!$M:$M,0))&amp;"",""))</f>
        <v/>
      </c>
      <c r="O1389" s="6" t="str">
        <f>IF($A1389="","",IF(OR($J1389&lt;&gt;"x",$A1389&lt;=FinReleve),1,0))</f>
        <v/>
      </c>
      <c r="P1389" s="6" t="str">
        <f>IF($D1389="","",IF(AND($L1389="Crédit",OR(IFERROR(INDEX('Paramètres'!$O:$O,MATCH($D1389,'Paramètres'!$M:$M,0))&amp;"","")&lt;&gt;"",ISNUMBER(SEARCH("remboursement",IFERROR(INDEX('Paramètres'!$N:$N,MATCH($D1389,'Paramètres'!$M:$M,0))&amp;"",""))))),1,0))</f>
        <v/>
      </c>
      <c r="Q1389" s="6" t="str">
        <f>IF($K1389="","",IF(ISNUMBER(SEARCH("transfert-interne",IFERROR(INDEX('Paramètres'!$N:$N,MATCH($D1389,'Paramètres'!$M:$M,0))&amp;"",""))),0,IF($L1389="Débit",$K1389,IF($P1389=1,-$K1389,0))))</f>
        <v/>
      </c>
      <c r="R1389" s="6" t="str">
        <f>IF($K1389="","",IF($L1389="Crédit",$K1389,-$K1389))</f>
        <v/>
      </c>
      <c r="S1389" s="6" t="str">
        <f>IF($C1389="","",IFERROR(INDEX('Paramètres'!$H:$H,MATCH($C1389,'Paramètres'!$D:$D,0))&amp;"",""))</f>
        <v/>
      </c>
      <c r="T1389" s="6" t="str">
        <f>IF($K1389="","",IF($S1389="",0,IF(ISNUMBER(SEARCH("apport-exterieur",IFERROR(INDEX('Paramètres'!$N:$N,MATCH($D1389,'Paramètres'!$M:$M,0))&amp;"",""))),0,IF(OR(IFERROR(INDEX('Paramètres'!$I:$I,MATCH($C1389,'Paramètres'!$D:$D,0))&amp;"","")="Les deux",IFERROR(INDEX('Paramètres'!$I:$I,MATCH($C1389,'Paramètres'!$D:$D,0))&amp;"","")=IF($P1389=1,"Débit",$L1389)),-IF($P1389=1,-$K1389,$K1389),0))))</f>
        <v/>
      </c>
      <c r="U1389" s="6" t="str">
        <f>IF($K1389="","",IF(ISNUMBER(SEARCH("sortie-epargne",IFERROR(INDEX('Paramètres'!$N:$N,MATCH($D1389,'Paramètres'!$M:$M,0))&amp;"",""))),$K1389,0))</f>
        <v/>
      </c>
      <c r="V1389" s="6" t="str">
        <f>IF(AND($A1389&lt;&gt;"",$O1389=1,$L1389="Débit",N($Q1389)&gt;0,$A1389&gt;=Visualisation!$B$1,$A1389&lt;Visualisation!$D$1),MAX($V$1:V1388)+1,"")</f>
        <v/>
      </c>
    </row>
    <row r="1390" spans="1:22" x14ac:dyDescent="0.25">
      <c r="A1390" s="9"/>
      <c r="E1390" s="10"/>
      <c r="K1390" s="11" t="str">
        <f>IF($E1390="","",ROUND($E1390*IF(ISNA(MATCH($C1390,'Paramètres'!$D:$D,0)),1,IF(INDEX('Paramètres'!$J:$J,MATCH($C1390,'Paramètres'!$D:$D,0))="",1,INDEX('Paramètres'!$J:$J,MATCH($C1390,'Paramètres'!$D:$D,0)))),2))</f>
        <v/>
      </c>
      <c r="L1390" s="6" t="str">
        <f>IF($D1390="","",IF($F1390&lt;&gt;"",$F1390,IF(ISNA(MATCH($D1390,'Paramètres'!$M:$M,0)),"⚠ Type inconnu",IFERROR(INDEX('Paramètres'!$P:$P,MATCH($D1390,'Paramètres'!$M:$M,0))&amp;"",""))))</f>
        <v/>
      </c>
      <c r="M1390" s="6" t="str">
        <f>IF($D1390="","",IF(ISNA(MATCH($D1390,'Paramètres'!$M:$M,0)),"⚠ Type inconnu",IF($L1390="Crédit","",IFERROR(INDEX('Paramètres'!$O:$O,MATCH($D1390,'Paramètres'!$M:$M,0))&amp;"",""))))</f>
        <v/>
      </c>
      <c r="N1390" s="6" t="str">
        <f>IF($D1390="","",IFERROR(INDEX('Paramètres'!$Q:$Q,MATCH($D1390,'Paramètres'!$M:$M,0))&amp;"",""))</f>
        <v/>
      </c>
      <c r="O1390" s="6" t="str">
        <f>IF($A1390="","",IF(OR($J1390&lt;&gt;"x",$A1390&lt;=FinReleve),1,0))</f>
        <v/>
      </c>
      <c r="P1390" s="6" t="str">
        <f>IF($D1390="","",IF(AND($L1390="Crédit",OR(IFERROR(INDEX('Paramètres'!$O:$O,MATCH($D1390,'Paramètres'!$M:$M,0))&amp;"","")&lt;&gt;"",ISNUMBER(SEARCH("remboursement",IFERROR(INDEX('Paramètres'!$N:$N,MATCH($D1390,'Paramètres'!$M:$M,0))&amp;"",""))))),1,0))</f>
        <v/>
      </c>
      <c r="Q1390" s="6" t="str">
        <f>IF($K1390="","",IF(ISNUMBER(SEARCH("transfert-interne",IFERROR(INDEX('Paramètres'!$N:$N,MATCH($D1390,'Paramètres'!$M:$M,0))&amp;"",""))),0,IF($L1390="Débit",$K1390,IF($P1390=1,-$K1390,0))))</f>
        <v/>
      </c>
      <c r="R1390" s="6" t="str">
        <f>IF($K1390="","",IF($L1390="Crédit",$K1390,-$K1390))</f>
        <v/>
      </c>
      <c r="S1390" s="6" t="str">
        <f>IF($C1390="","",IFERROR(INDEX('Paramètres'!$H:$H,MATCH($C1390,'Paramètres'!$D:$D,0))&amp;"",""))</f>
        <v/>
      </c>
      <c r="T1390" s="6" t="str">
        <f>IF($K1390="","",IF($S1390="",0,IF(ISNUMBER(SEARCH("apport-exterieur",IFERROR(INDEX('Paramètres'!$N:$N,MATCH($D1390,'Paramètres'!$M:$M,0))&amp;"",""))),0,IF(OR(IFERROR(INDEX('Paramètres'!$I:$I,MATCH($C1390,'Paramètres'!$D:$D,0))&amp;"","")="Les deux",IFERROR(INDEX('Paramètres'!$I:$I,MATCH($C1390,'Paramètres'!$D:$D,0))&amp;"","")=IF($P1390=1,"Débit",$L1390)),-IF($P1390=1,-$K1390,$K1390),0))))</f>
        <v/>
      </c>
      <c r="U1390" s="6" t="str">
        <f>IF($K1390="","",IF(ISNUMBER(SEARCH("sortie-epargne",IFERROR(INDEX('Paramètres'!$N:$N,MATCH($D1390,'Paramètres'!$M:$M,0))&amp;"",""))),$K1390,0))</f>
        <v/>
      </c>
      <c r="V1390" s="6" t="str">
        <f>IF(AND($A1390&lt;&gt;"",$O1390=1,$L1390="Débit",N($Q1390)&gt;0,$A1390&gt;=Visualisation!$B$1,$A1390&lt;Visualisation!$D$1),MAX($V$1:V1389)+1,"")</f>
        <v/>
      </c>
    </row>
    <row r="1391" spans="1:22" x14ac:dyDescent="0.25">
      <c r="A1391" s="9"/>
      <c r="E1391" s="10"/>
      <c r="K1391" s="11" t="str">
        <f>IF($E1391="","",ROUND($E1391*IF(ISNA(MATCH($C1391,'Paramètres'!$D:$D,0)),1,IF(INDEX('Paramètres'!$J:$J,MATCH($C1391,'Paramètres'!$D:$D,0))="",1,INDEX('Paramètres'!$J:$J,MATCH($C1391,'Paramètres'!$D:$D,0)))),2))</f>
        <v/>
      </c>
      <c r="L1391" s="6" t="str">
        <f>IF($D1391="","",IF($F1391&lt;&gt;"",$F1391,IF(ISNA(MATCH($D1391,'Paramètres'!$M:$M,0)),"⚠ Type inconnu",IFERROR(INDEX('Paramètres'!$P:$P,MATCH($D1391,'Paramètres'!$M:$M,0))&amp;"",""))))</f>
        <v/>
      </c>
      <c r="M1391" s="6" t="str">
        <f>IF($D1391="","",IF(ISNA(MATCH($D1391,'Paramètres'!$M:$M,0)),"⚠ Type inconnu",IF($L1391="Crédit","",IFERROR(INDEX('Paramètres'!$O:$O,MATCH($D1391,'Paramètres'!$M:$M,0))&amp;"",""))))</f>
        <v/>
      </c>
      <c r="N1391" s="6" t="str">
        <f>IF($D1391="","",IFERROR(INDEX('Paramètres'!$Q:$Q,MATCH($D1391,'Paramètres'!$M:$M,0))&amp;"",""))</f>
        <v/>
      </c>
      <c r="O1391" s="6" t="str">
        <f>IF($A1391="","",IF(OR($J1391&lt;&gt;"x",$A1391&lt;=FinReleve),1,0))</f>
        <v/>
      </c>
      <c r="P1391" s="6" t="str">
        <f>IF($D1391="","",IF(AND($L1391="Crédit",OR(IFERROR(INDEX('Paramètres'!$O:$O,MATCH($D1391,'Paramètres'!$M:$M,0))&amp;"","")&lt;&gt;"",ISNUMBER(SEARCH("remboursement",IFERROR(INDEX('Paramètres'!$N:$N,MATCH($D1391,'Paramètres'!$M:$M,0))&amp;"",""))))),1,0))</f>
        <v/>
      </c>
      <c r="Q1391" s="6" t="str">
        <f>IF($K1391="","",IF(ISNUMBER(SEARCH("transfert-interne",IFERROR(INDEX('Paramètres'!$N:$N,MATCH($D1391,'Paramètres'!$M:$M,0))&amp;"",""))),0,IF($L1391="Débit",$K1391,IF($P1391=1,-$K1391,0))))</f>
        <v/>
      </c>
      <c r="R1391" s="6" t="str">
        <f>IF($K1391="","",IF($L1391="Crédit",$K1391,-$K1391))</f>
        <v/>
      </c>
      <c r="S1391" s="6" t="str">
        <f>IF($C1391="","",IFERROR(INDEX('Paramètres'!$H:$H,MATCH($C1391,'Paramètres'!$D:$D,0))&amp;"",""))</f>
        <v/>
      </c>
      <c r="T1391" s="6" t="str">
        <f>IF($K1391="","",IF($S1391="",0,IF(ISNUMBER(SEARCH("apport-exterieur",IFERROR(INDEX('Paramètres'!$N:$N,MATCH($D1391,'Paramètres'!$M:$M,0))&amp;"",""))),0,IF(OR(IFERROR(INDEX('Paramètres'!$I:$I,MATCH($C1391,'Paramètres'!$D:$D,0))&amp;"","")="Les deux",IFERROR(INDEX('Paramètres'!$I:$I,MATCH($C1391,'Paramètres'!$D:$D,0))&amp;"","")=IF($P1391=1,"Débit",$L1391)),-IF($P1391=1,-$K1391,$K1391),0))))</f>
        <v/>
      </c>
      <c r="U1391" s="6" t="str">
        <f>IF($K1391="","",IF(ISNUMBER(SEARCH("sortie-epargne",IFERROR(INDEX('Paramètres'!$N:$N,MATCH($D1391,'Paramètres'!$M:$M,0))&amp;"",""))),$K1391,0))</f>
        <v/>
      </c>
      <c r="V1391" s="6" t="str">
        <f>IF(AND($A1391&lt;&gt;"",$O1391=1,$L1391="Débit",N($Q1391)&gt;0,$A1391&gt;=Visualisation!$B$1,$A1391&lt;Visualisation!$D$1),MAX($V$1:V1390)+1,"")</f>
        <v/>
      </c>
    </row>
    <row r="1392" spans="1:22" x14ac:dyDescent="0.25">
      <c r="A1392" s="9"/>
      <c r="E1392" s="10"/>
      <c r="K1392" s="11" t="str">
        <f>IF($E1392="","",ROUND($E1392*IF(ISNA(MATCH($C1392,'Paramètres'!$D:$D,0)),1,IF(INDEX('Paramètres'!$J:$J,MATCH($C1392,'Paramètres'!$D:$D,0))="",1,INDEX('Paramètres'!$J:$J,MATCH($C1392,'Paramètres'!$D:$D,0)))),2))</f>
        <v/>
      </c>
      <c r="L1392" s="6" t="str">
        <f>IF($D1392="","",IF($F1392&lt;&gt;"",$F1392,IF(ISNA(MATCH($D1392,'Paramètres'!$M:$M,0)),"⚠ Type inconnu",IFERROR(INDEX('Paramètres'!$P:$P,MATCH($D1392,'Paramètres'!$M:$M,0))&amp;"",""))))</f>
        <v/>
      </c>
      <c r="M1392" s="6" t="str">
        <f>IF($D1392="","",IF(ISNA(MATCH($D1392,'Paramètres'!$M:$M,0)),"⚠ Type inconnu",IF($L1392="Crédit","",IFERROR(INDEX('Paramètres'!$O:$O,MATCH($D1392,'Paramètres'!$M:$M,0))&amp;"",""))))</f>
        <v/>
      </c>
      <c r="N1392" s="6" t="str">
        <f>IF($D1392="","",IFERROR(INDEX('Paramètres'!$Q:$Q,MATCH($D1392,'Paramètres'!$M:$M,0))&amp;"",""))</f>
        <v/>
      </c>
      <c r="O1392" s="6" t="str">
        <f>IF($A1392="","",IF(OR($J1392&lt;&gt;"x",$A1392&lt;=FinReleve),1,0))</f>
        <v/>
      </c>
      <c r="P1392" s="6" t="str">
        <f>IF($D1392="","",IF(AND($L1392="Crédit",OR(IFERROR(INDEX('Paramètres'!$O:$O,MATCH($D1392,'Paramètres'!$M:$M,0))&amp;"","")&lt;&gt;"",ISNUMBER(SEARCH("remboursement",IFERROR(INDEX('Paramètres'!$N:$N,MATCH($D1392,'Paramètres'!$M:$M,0))&amp;"",""))))),1,0))</f>
        <v/>
      </c>
      <c r="Q1392" s="6" t="str">
        <f>IF($K1392="","",IF(ISNUMBER(SEARCH("transfert-interne",IFERROR(INDEX('Paramètres'!$N:$N,MATCH($D1392,'Paramètres'!$M:$M,0))&amp;"",""))),0,IF($L1392="Débit",$K1392,IF($P1392=1,-$K1392,0))))</f>
        <v/>
      </c>
      <c r="R1392" s="6" t="str">
        <f>IF($K1392="","",IF($L1392="Crédit",$K1392,-$K1392))</f>
        <v/>
      </c>
      <c r="S1392" s="6" t="str">
        <f>IF($C1392="","",IFERROR(INDEX('Paramètres'!$H:$H,MATCH($C1392,'Paramètres'!$D:$D,0))&amp;"",""))</f>
        <v/>
      </c>
      <c r="T1392" s="6" t="str">
        <f>IF($K1392="","",IF($S1392="",0,IF(ISNUMBER(SEARCH("apport-exterieur",IFERROR(INDEX('Paramètres'!$N:$N,MATCH($D1392,'Paramètres'!$M:$M,0))&amp;"",""))),0,IF(OR(IFERROR(INDEX('Paramètres'!$I:$I,MATCH($C1392,'Paramètres'!$D:$D,0))&amp;"","")="Les deux",IFERROR(INDEX('Paramètres'!$I:$I,MATCH($C1392,'Paramètres'!$D:$D,0))&amp;"","")=IF($P1392=1,"Débit",$L1392)),-IF($P1392=1,-$K1392,$K1392),0))))</f>
        <v/>
      </c>
      <c r="U1392" s="6" t="str">
        <f>IF($K1392="","",IF(ISNUMBER(SEARCH("sortie-epargne",IFERROR(INDEX('Paramètres'!$N:$N,MATCH($D1392,'Paramètres'!$M:$M,0))&amp;"",""))),$K1392,0))</f>
        <v/>
      </c>
      <c r="V1392" s="6" t="str">
        <f>IF(AND($A1392&lt;&gt;"",$O1392=1,$L1392="Débit",N($Q1392)&gt;0,$A1392&gt;=Visualisation!$B$1,$A1392&lt;Visualisation!$D$1),MAX($V$1:V1391)+1,"")</f>
        <v/>
      </c>
    </row>
    <row r="1393" spans="1:22" x14ac:dyDescent="0.25">
      <c r="A1393" s="9"/>
      <c r="E1393" s="10"/>
      <c r="K1393" s="11" t="str">
        <f>IF($E1393="","",ROUND($E1393*IF(ISNA(MATCH($C1393,'Paramètres'!$D:$D,0)),1,IF(INDEX('Paramètres'!$J:$J,MATCH($C1393,'Paramètres'!$D:$D,0))="",1,INDEX('Paramètres'!$J:$J,MATCH($C1393,'Paramètres'!$D:$D,0)))),2))</f>
        <v/>
      </c>
      <c r="L1393" s="6" t="str">
        <f>IF($D1393="","",IF($F1393&lt;&gt;"",$F1393,IF(ISNA(MATCH($D1393,'Paramètres'!$M:$M,0)),"⚠ Type inconnu",IFERROR(INDEX('Paramètres'!$P:$P,MATCH($D1393,'Paramètres'!$M:$M,0))&amp;"",""))))</f>
        <v/>
      </c>
      <c r="M1393" s="6" t="str">
        <f>IF($D1393="","",IF(ISNA(MATCH($D1393,'Paramètres'!$M:$M,0)),"⚠ Type inconnu",IF($L1393="Crédit","",IFERROR(INDEX('Paramètres'!$O:$O,MATCH($D1393,'Paramètres'!$M:$M,0))&amp;"",""))))</f>
        <v/>
      </c>
      <c r="N1393" s="6" t="str">
        <f>IF($D1393="","",IFERROR(INDEX('Paramètres'!$Q:$Q,MATCH($D1393,'Paramètres'!$M:$M,0))&amp;"",""))</f>
        <v/>
      </c>
      <c r="O1393" s="6" t="str">
        <f>IF($A1393="","",IF(OR($J1393&lt;&gt;"x",$A1393&lt;=FinReleve),1,0))</f>
        <v/>
      </c>
      <c r="P1393" s="6" t="str">
        <f>IF($D1393="","",IF(AND($L1393="Crédit",OR(IFERROR(INDEX('Paramètres'!$O:$O,MATCH($D1393,'Paramètres'!$M:$M,0))&amp;"","")&lt;&gt;"",ISNUMBER(SEARCH("remboursement",IFERROR(INDEX('Paramètres'!$N:$N,MATCH($D1393,'Paramètres'!$M:$M,0))&amp;"",""))))),1,0))</f>
        <v/>
      </c>
      <c r="Q1393" s="6" t="str">
        <f>IF($K1393="","",IF(ISNUMBER(SEARCH("transfert-interne",IFERROR(INDEX('Paramètres'!$N:$N,MATCH($D1393,'Paramètres'!$M:$M,0))&amp;"",""))),0,IF($L1393="Débit",$K1393,IF($P1393=1,-$K1393,0))))</f>
        <v/>
      </c>
      <c r="R1393" s="6" t="str">
        <f>IF($K1393="","",IF($L1393="Crédit",$K1393,-$K1393))</f>
        <v/>
      </c>
      <c r="S1393" s="6" t="str">
        <f>IF($C1393="","",IFERROR(INDEX('Paramètres'!$H:$H,MATCH($C1393,'Paramètres'!$D:$D,0))&amp;"",""))</f>
        <v/>
      </c>
      <c r="T1393" s="6" t="str">
        <f>IF($K1393="","",IF($S1393="",0,IF(ISNUMBER(SEARCH("apport-exterieur",IFERROR(INDEX('Paramètres'!$N:$N,MATCH($D1393,'Paramètres'!$M:$M,0))&amp;"",""))),0,IF(OR(IFERROR(INDEX('Paramètres'!$I:$I,MATCH($C1393,'Paramètres'!$D:$D,0))&amp;"","")="Les deux",IFERROR(INDEX('Paramètres'!$I:$I,MATCH($C1393,'Paramètres'!$D:$D,0))&amp;"","")=IF($P1393=1,"Débit",$L1393)),-IF($P1393=1,-$K1393,$K1393),0))))</f>
        <v/>
      </c>
      <c r="U1393" s="6" t="str">
        <f>IF($K1393="","",IF(ISNUMBER(SEARCH("sortie-epargne",IFERROR(INDEX('Paramètres'!$N:$N,MATCH($D1393,'Paramètres'!$M:$M,0))&amp;"",""))),$K1393,0))</f>
        <v/>
      </c>
      <c r="V1393" s="6" t="str">
        <f>IF(AND($A1393&lt;&gt;"",$O1393=1,$L1393="Débit",N($Q1393)&gt;0,$A1393&gt;=Visualisation!$B$1,$A1393&lt;Visualisation!$D$1),MAX($V$1:V1392)+1,"")</f>
        <v/>
      </c>
    </row>
    <row r="1394" spans="1:22" x14ac:dyDescent="0.25">
      <c r="A1394" s="9"/>
      <c r="E1394" s="10"/>
      <c r="K1394" s="11" t="str">
        <f>IF($E1394="","",ROUND($E1394*IF(ISNA(MATCH($C1394,'Paramètres'!$D:$D,0)),1,IF(INDEX('Paramètres'!$J:$J,MATCH($C1394,'Paramètres'!$D:$D,0))="",1,INDEX('Paramètres'!$J:$J,MATCH($C1394,'Paramètres'!$D:$D,0)))),2))</f>
        <v/>
      </c>
      <c r="L1394" s="6" t="str">
        <f>IF($D1394="","",IF($F1394&lt;&gt;"",$F1394,IF(ISNA(MATCH($D1394,'Paramètres'!$M:$M,0)),"⚠ Type inconnu",IFERROR(INDEX('Paramètres'!$P:$P,MATCH($D1394,'Paramètres'!$M:$M,0))&amp;"",""))))</f>
        <v/>
      </c>
      <c r="M1394" s="6" t="str">
        <f>IF($D1394="","",IF(ISNA(MATCH($D1394,'Paramètres'!$M:$M,0)),"⚠ Type inconnu",IF($L1394="Crédit","",IFERROR(INDEX('Paramètres'!$O:$O,MATCH($D1394,'Paramètres'!$M:$M,0))&amp;"",""))))</f>
        <v/>
      </c>
      <c r="N1394" s="6" t="str">
        <f>IF($D1394="","",IFERROR(INDEX('Paramètres'!$Q:$Q,MATCH($D1394,'Paramètres'!$M:$M,0))&amp;"",""))</f>
        <v/>
      </c>
      <c r="O1394" s="6" t="str">
        <f>IF($A1394="","",IF(OR($J1394&lt;&gt;"x",$A1394&lt;=FinReleve),1,0))</f>
        <v/>
      </c>
      <c r="P1394" s="6" t="str">
        <f>IF($D1394="","",IF(AND($L1394="Crédit",OR(IFERROR(INDEX('Paramètres'!$O:$O,MATCH($D1394,'Paramètres'!$M:$M,0))&amp;"","")&lt;&gt;"",ISNUMBER(SEARCH("remboursement",IFERROR(INDEX('Paramètres'!$N:$N,MATCH($D1394,'Paramètres'!$M:$M,0))&amp;"",""))))),1,0))</f>
        <v/>
      </c>
      <c r="Q1394" s="6" t="str">
        <f>IF($K1394="","",IF(ISNUMBER(SEARCH("transfert-interne",IFERROR(INDEX('Paramètres'!$N:$N,MATCH($D1394,'Paramètres'!$M:$M,0))&amp;"",""))),0,IF($L1394="Débit",$K1394,IF($P1394=1,-$K1394,0))))</f>
        <v/>
      </c>
      <c r="R1394" s="6" t="str">
        <f>IF($K1394="","",IF($L1394="Crédit",$K1394,-$K1394))</f>
        <v/>
      </c>
      <c r="S1394" s="6" t="str">
        <f>IF($C1394="","",IFERROR(INDEX('Paramètres'!$H:$H,MATCH($C1394,'Paramètres'!$D:$D,0))&amp;"",""))</f>
        <v/>
      </c>
      <c r="T1394" s="6" t="str">
        <f>IF($K1394="","",IF($S1394="",0,IF(ISNUMBER(SEARCH("apport-exterieur",IFERROR(INDEX('Paramètres'!$N:$N,MATCH($D1394,'Paramètres'!$M:$M,0))&amp;"",""))),0,IF(OR(IFERROR(INDEX('Paramètres'!$I:$I,MATCH($C1394,'Paramètres'!$D:$D,0))&amp;"","")="Les deux",IFERROR(INDEX('Paramètres'!$I:$I,MATCH($C1394,'Paramètres'!$D:$D,0))&amp;"","")=IF($P1394=1,"Débit",$L1394)),-IF($P1394=1,-$K1394,$K1394),0))))</f>
        <v/>
      </c>
      <c r="U1394" s="6" t="str">
        <f>IF($K1394="","",IF(ISNUMBER(SEARCH("sortie-epargne",IFERROR(INDEX('Paramètres'!$N:$N,MATCH($D1394,'Paramètres'!$M:$M,0))&amp;"",""))),$K1394,0))</f>
        <v/>
      </c>
      <c r="V1394" s="6" t="str">
        <f>IF(AND($A1394&lt;&gt;"",$O1394=1,$L1394="Débit",N($Q1394)&gt;0,$A1394&gt;=Visualisation!$B$1,$A1394&lt;Visualisation!$D$1),MAX($V$1:V1393)+1,"")</f>
        <v/>
      </c>
    </row>
    <row r="1395" spans="1:22" x14ac:dyDescent="0.25">
      <c r="A1395" s="9"/>
      <c r="E1395" s="10"/>
      <c r="K1395" s="11" t="str">
        <f>IF($E1395="","",ROUND($E1395*IF(ISNA(MATCH($C1395,'Paramètres'!$D:$D,0)),1,IF(INDEX('Paramètres'!$J:$J,MATCH($C1395,'Paramètres'!$D:$D,0))="",1,INDEX('Paramètres'!$J:$J,MATCH($C1395,'Paramètres'!$D:$D,0)))),2))</f>
        <v/>
      </c>
      <c r="L1395" s="6" t="str">
        <f>IF($D1395="","",IF($F1395&lt;&gt;"",$F1395,IF(ISNA(MATCH($D1395,'Paramètres'!$M:$M,0)),"⚠ Type inconnu",IFERROR(INDEX('Paramètres'!$P:$P,MATCH($D1395,'Paramètres'!$M:$M,0))&amp;"",""))))</f>
        <v/>
      </c>
      <c r="M1395" s="6" t="str">
        <f>IF($D1395="","",IF(ISNA(MATCH($D1395,'Paramètres'!$M:$M,0)),"⚠ Type inconnu",IF($L1395="Crédit","",IFERROR(INDEX('Paramètres'!$O:$O,MATCH($D1395,'Paramètres'!$M:$M,0))&amp;"",""))))</f>
        <v/>
      </c>
      <c r="N1395" s="6" t="str">
        <f>IF($D1395="","",IFERROR(INDEX('Paramètres'!$Q:$Q,MATCH($D1395,'Paramètres'!$M:$M,0))&amp;"",""))</f>
        <v/>
      </c>
      <c r="O1395" s="6" t="str">
        <f>IF($A1395="","",IF(OR($J1395&lt;&gt;"x",$A1395&lt;=FinReleve),1,0))</f>
        <v/>
      </c>
      <c r="P1395" s="6" t="str">
        <f>IF($D1395="","",IF(AND($L1395="Crédit",OR(IFERROR(INDEX('Paramètres'!$O:$O,MATCH($D1395,'Paramètres'!$M:$M,0))&amp;"","")&lt;&gt;"",ISNUMBER(SEARCH("remboursement",IFERROR(INDEX('Paramètres'!$N:$N,MATCH($D1395,'Paramètres'!$M:$M,0))&amp;"",""))))),1,0))</f>
        <v/>
      </c>
      <c r="Q1395" s="6" t="str">
        <f>IF($K1395="","",IF(ISNUMBER(SEARCH("transfert-interne",IFERROR(INDEX('Paramètres'!$N:$N,MATCH($D1395,'Paramètres'!$M:$M,0))&amp;"",""))),0,IF($L1395="Débit",$K1395,IF($P1395=1,-$K1395,0))))</f>
        <v/>
      </c>
      <c r="R1395" s="6" t="str">
        <f>IF($K1395="","",IF($L1395="Crédit",$K1395,-$K1395))</f>
        <v/>
      </c>
      <c r="S1395" s="6" t="str">
        <f>IF($C1395="","",IFERROR(INDEX('Paramètres'!$H:$H,MATCH($C1395,'Paramètres'!$D:$D,0))&amp;"",""))</f>
        <v/>
      </c>
      <c r="T1395" s="6" t="str">
        <f>IF($K1395="","",IF($S1395="",0,IF(ISNUMBER(SEARCH("apport-exterieur",IFERROR(INDEX('Paramètres'!$N:$N,MATCH($D1395,'Paramètres'!$M:$M,0))&amp;"",""))),0,IF(OR(IFERROR(INDEX('Paramètres'!$I:$I,MATCH($C1395,'Paramètres'!$D:$D,0))&amp;"","")="Les deux",IFERROR(INDEX('Paramètres'!$I:$I,MATCH($C1395,'Paramètres'!$D:$D,0))&amp;"","")=IF($P1395=1,"Débit",$L1395)),-IF($P1395=1,-$K1395,$K1395),0))))</f>
        <v/>
      </c>
      <c r="U1395" s="6" t="str">
        <f>IF($K1395="","",IF(ISNUMBER(SEARCH("sortie-epargne",IFERROR(INDEX('Paramètres'!$N:$N,MATCH($D1395,'Paramètres'!$M:$M,0))&amp;"",""))),$K1395,0))</f>
        <v/>
      </c>
      <c r="V1395" s="6" t="str">
        <f>IF(AND($A1395&lt;&gt;"",$O1395=1,$L1395="Débit",N($Q1395)&gt;0,$A1395&gt;=Visualisation!$B$1,$A1395&lt;Visualisation!$D$1),MAX($V$1:V1394)+1,"")</f>
        <v/>
      </c>
    </row>
    <row r="1396" spans="1:22" x14ac:dyDescent="0.25">
      <c r="A1396" s="9"/>
      <c r="E1396" s="10"/>
      <c r="K1396" s="11" t="str">
        <f>IF($E1396="","",ROUND($E1396*IF(ISNA(MATCH($C1396,'Paramètres'!$D:$D,0)),1,IF(INDEX('Paramètres'!$J:$J,MATCH($C1396,'Paramètres'!$D:$D,0))="",1,INDEX('Paramètres'!$J:$J,MATCH($C1396,'Paramètres'!$D:$D,0)))),2))</f>
        <v/>
      </c>
      <c r="L1396" s="6" t="str">
        <f>IF($D1396="","",IF($F1396&lt;&gt;"",$F1396,IF(ISNA(MATCH($D1396,'Paramètres'!$M:$M,0)),"⚠ Type inconnu",IFERROR(INDEX('Paramètres'!$P:$P,MATCH($D1396,'Paramètres'!$M:$M,0))&amp;"",""))))</f>
        <v/>
      </c>
      <c r="M1396" s="6" t="str">
        <f>IF($D1396="","",IF(ISNA(MATCH($D1396,'Paramètres'!$M:$M,0)),"⚠ Type inconnu",IF($L1396="Crédit","",IFERROR(INDEX('Paramètres'!$O:$O,MATCH($D1396,'Paramètres'!$M:$M,0))&amp;"",""))))</f>
        <v/>
      </c>
      <c r="N1396" s="6" t="str">
        <f>IF($D1396="","",IFERROR(INDEX('Paramètres'!$Q:$Q,MATCH($D1396,'Paramètres'!$M:$M,0))&amp;"",""))</f>
        <v/>
      </c>
      <c r="O1396" s="6" t="str">
        <f>IF($A1396="","",IF(OR($J1396&lt;&gt;"x",$A1396&lt;=FinReleve),1,0))</f>
        <v/>
      </c>
      <c r="P1396" s="6" t="str">
        <f>IF($D1396="","",IF(AND($L1396="Crédit",OR(IFERROR(INDEX('Paramètres'!$O:$O,MATCH($D1396,'Paramètres'!$M:$M,0))&amp;"","")&lt;&gt;"",ISNUMBER(SEARCH("remboursement",IFERROR(INDEX('Paramètres'!$N:$N,MATCH($D1396,'Paramètres'!$M:$M,0))&amp;"",""))))),1,0))</f>
        <v/>
      </c>
      <c r="Q1396" s="6" t="str">
        <f>IF($K1396="","",IF(ISNUMBER(SEARCH("transfert-interne",IFERROR(INDEX('Paramètres'!$N:$N,MATCH($D1396,'Paramètres'!$M:$M,0))&amp;"",""))),0,IF($L1396="Débit",$K1396,IF($P1396=1,-$K1396,0))))</f>
        <v/>
      </c>
      <c r="R1396" s="6" t="str">
        <f>IF($K1396="","",IF($L1396="Crédit",$K1396,-$K1396))</f>
        <v/>
      </c>
      <c r="S1396" s="6" t="str">
        <f>IF($C1396="","",IFERROR(INDEX('Paramètres'!$H:$H,MATCH($C1396,'Paramètres'!$D:$D,0))&amp;"",""))</f>
        <v/>
      </c>
      <c r="T1396" s="6" t="str">
        <f>IF($K1396="","",IF($S1396="",0,IF(ISNUMBER(SEARCH("apport-exterieur",IFERROR(INDEX('Paramètres'!$N:$N,MATCH($D1396,'Paramètres'!$M:$M,0))&amp;"",""))),0,IF(OR(IFERROR(INDEX('Paramètres'!$I:$I,MATCH($C1396,'Paramètres'!$D:$D,0))&amp;"","")="Les deux",IFERROR(INDEX('Paramètres'!$I:$I,MATCH($C1396,'Paramètres'!$D:$D,0))&amp;"","")=IF($P1396=1,"Débit",$L1396)),-IF($P1396=1,-$K1396,$K1396),0))))</f>
        <v/>
      </c>
      <c r="U1396" s="6" t="str">
        <f>IF($K1396="","",IF(ISNUMBER(SEARCH("sortie-epargne",IFERROR(INDEX('Paramètres'!$N:$N,MATCH($D1396,'Paramètres'!$M:$M,0))&amp;"",""))),$K1396,0))</f>
        <v/>
      </c>
      <c r="V1396" s="6" t="str">
        <f>IF(AND($A1396&lt;&gt;"",$O1396=1,$L1396="Débit",N($Q1396)&gt;0,$A1396&gt;=Visualisation!$B$1,$A1396&lt;Visualisation!$D$1),MAX($V$1:V1395)+1,"")</f>
        <v/>
      </c>
    </row>
    <row r="1397" spans="1:22" x14ac:dyDescent="0.25">
      <c r="A1397" s="9"/>
      <c r="E1397" s="10"/>
      <c r="K1397" s="11" t="str">
        <f>IF($E1397="","",ROUND($E1397*IF(ISNA(MATCH($C1397,'Paramètres'!$D:$D,0)),1,IF(INDEX('Paramètres'!$J:$J,MATCH($C1397,'Paramètres'!$D:$D,0))="",1,INDEX('Paramètres'!$J:$J,MATCH($C1397,'Paramètres'!$D:$D,0)))),2))</f>
        <v/>
      </c>
      <c r="L1397" s="6" t="str">
        <f>IF($D1397="","",IF($F1397&lt;&gt;"",$F1397,IF(ISNA(MATCH($D1397,'Paramètres'!$M:$M,0)),"⚠ Type inconnu",IFERROR(INDEX('Paramètres'!$P:$P,MATCH($D1397,'Paramètres'!$M:$M,0))&amp;"",""))))</f>
        <v/>
      </c>
      <c r="M1397" s="6" t="str">
        <f>IF($D1397="","",IF(ISNA(MATCH($D1397,'Paramètres'!$M:$M,0)),"⚠ Type inconnu",IF($L1397="Crédit","",IFERROR(INDEX('Paramètres'!$O:$O,MATCH($D1397,'Paramètres'!$M:$M,0))&amp;"",""))))</f>
        <v/>
      </c>
      <c r="N1397" s="6" t="str">
        <f>IF($D1397="","",IFERROR(INDEX('Paramètres'!$Q:$Q,MATCH($D1397,'Paramètres'!$M:$M,0))&amp;"",""))</f>
        <v/>
      </c>
      <c r="O1397" s="6" t="str">
        <f>IF($A1397="","",IF(OR($J1397&lt;&gt;"x",$A1397&lt;=FinReleve),1,0))</f>
        <v/>
      </c>
      <c r="P1397" s="6" t="str">
        <f>IF($D1397="","",IF(AND($L1397="Crédit",OR(IFERROR(INDEX('Paramètres'!$O:$O,MATCH($D1397,'Paramètres'!$M:$M,0))&amp;"","")&lt;&gt;"",ISNUMBER(SEARCH("remboursement",IFERROR(INDEX('Paramètres'!$N:$N,MATCH($D1397,'Paramètres'!$M:$M,0))&amp;"",""))))),1,0))</f>
        <v/>
      </c>
      <c r="Q1397" s="6" t="str">
        <f>IF($K1397="","",IF(ISNUMBER(SEARCH("transfert-interne",IFERROR(INDEX('Paramètres'!$N:$N,MATCH($D1397,'Paramètres'!$M:$M,0))&amp;"",""))),0,IF($L1397="Débit",$K1397,IF($P1397=1,-$K1397,0))))</f>
        <v/>
      </c>
      <c r="R1397" s="6" t="str">
        <f>IF($K1397="","",IF($L1397="Crédit",$K1397,-$K1397))</f>
        <v/>
      </c>
      <c r="S1397" s="6" t="str">
        <f>IF($C1397="","",IFERROR(INDEX('Paramètres'!$H:$H,MATCH($C1397,'Paramètres'!$D:$D,0))&amp;"",""))</f>
        <v/>
      </c>
      <c r="T1397" s="6" t="str">
        <f>IF($K1397="","",IF($S1397="",0,IF(ISNUMBER(SEARCH("apport-exterieur",IFERROR(INDEX('Paramètres'!$N:$N,MATCH($D1397,'Paramètres'!$M:$M,0))&amp;"",""))),0,IF(OR(IFERROR(INDEX('Paramètres'!$I:$I,MATCH($C1397,'Paramètres'!$D:$D,0))&amp;"","")="Les deux",IFERROR(INDEX('Paramètres'!$I:$I,MATCH($C1397,'Paramètres'!$D:$D,0))&amp;"","")=IF($P1397=1,"Débit",$L1397)),-IF($P1397=1,-$K1397,$K1397),0))))</f>
        <v/>
      </c>
      <c r="U1397" s="6" t="str">
        <f>IF($K1397="","",IF(ISNUMBER(SEARCH("sortie-epargne",IFERROR(INDEX('Paramètres'!$N:$N,MATCH($D1397,'Paramètres'!$M:$M,0))&amp;"",""))),$K1397,0))</f>
        <v/>
      </c>
      <c r="V1397" s="6" t="str">
        <f>IF(AND($A1397&lt;&gt;"",$O1397=1,$L1397="Débit",N($Q1397)&gt;0,$A1397&gt;=Visualisation!$B$1,$A1397&lt;Visualisation!$D$1),MAX($V$1:V1396)+1,"")</f>
        <v/>
      </c>
    </row>
    <row r="1398" spans="1:22" x14ac:dyDescent="0.25">
      <c r="A1398" s="9"/>
      <c r="E1398" s="10"/>
      <c r="K1398" s="11" t="str">
        <f>IF($E1398="","",ROUND($E1398*IF(ISNA(MATCH($C1398,'Paramètres'!$D:$D,0)),1,IF(INDEX('Paramètres'!$J:$J,MATCH($C1398,'Paramètres'!$D:$D,0))="",1,INDEX('Paramètres'!$J:$J,MATCH($C1398,'Paramètres'!$D:$D,0)))),2))</f>
        <v/>
      </c>
      <c r="L1398" s="6" t="str">
        <f>IF($D1398="","",IF($F1398&lt;&gt;"",$F1398,IF(ISNA(MATCH($D1398,'Paramètres'!$M:$M,0)),"⚠ Type inconnu",IFERROR(INDEX('Paramètres'!$P:$P,MATCH($D1398,'Paramètres'!$M:$M,0))&amp;"",""))))</f>
        <v/>
      </c>
      <c r="M1398" s="6" t="str">
        <f>IF($D1398="","",IF(ISNA(MATCH($D1398,'Paramètres'!$M:$M,0)),"⚠ Type inconnu",IF($L1398="Crédit","",IFERROR(INDEX('Paramètres'!$O:$O,MATCH($D1398,'Paramètres'!$M:$M,0))&amp;"",""))))</f>
        <v/>
      </c>
      <c r="N1398" s="6" t="str">
        <f>IF($D1398="","",IFERROR(INDEX('Paramètres'!$Q:$Q,MATCH($D1398,'Paramètres'!$M:$M,0))&amp;"",""))</f>
        <v/>
      </c>
      <c r="O1398" s="6" t="str">
        <f>IF($A1398="","",IF(OR($J1398&lt;&gt;"x",$A1398&lt;=FinReleve),1,0))</f>
        <v/>
      </c>
      <c r="P1398" s="6" t="str">
        <f>IF($D1398="","",IF(AND($L1398="Crédit",OR(IFERROR(INDEX('Paramètres'!$O:$O,MATCH($D1398,'Paramètres'!$M:$M,0))&amp;"","")&lt;&gt;"",ISNUMBER(SEARCH("remboursement",IFERROR(INDEX('Paramètres'!$N:$N,MATCH($D1398,'Paramètres'!$M:$M,0))&amp;"",""))))),1,0))</f>
        <v/>
      </c>
      <c r="Q1398" s="6" t="str">
        <f>IF($K1398="","",IF(ISNUMBER(SEARCH("transfert-interne",IFERROR(INDEX('Paramètres'!$N:$N,MATCH($D1398,'Paramètres'!$M:$M,0))&amp;"",""))),0,IF($L1398="Débit",$K1398,IF($P1398=1,-$K1398,0))))</f>
        <v/>
      </c>
      <c r="R1398" s="6" t="str">
        <f>IF($K1398="","",IF($L1398="Crédit",$K1398,-$K1398))</f>
        <v/>
      </c>
      <c r="S1398" s="6" t="str">
        <f>IF($C1398="","",IFERROR(INDEX('Paramètres'!$H:$H,MATCH($C1398,'Paramètres'!$D:$D,0))&amp;"",""))</f>
        <v/>
      </c>
      <c r="T1398" s="6" t="str">
        <f>IF($K1398="","",IF($S1398="",0,IF(ISNUMBER(SEARCH("apport-exterieur",IFERROR(INDEX('Paramètres'!$N:$N,MATCH($D1398,'Paramètres'!$M:$M,0))&amp;"",""))),0,IF(OR(IFERROR(INDEX('Paramètres'!$I:$I,MATCH($C1398,'Paramètres'!$D:$D,0))&amp;"","")="Les deux",IFERROR(INDEX('Paramètres'!$I:$I,MATCH($C1398,'Paramètres'!$D:$D,0))&amp;"","")=IF($P1398=1,"Débit",$L1398)),-IF($P1398=1,-$K1398,$K1398),0))))</f>
        <v/>
      </c>
      <c r="U1398" s="6" t="str">
        <f>IF($K1398="","",IF(ISNUMBER(SEARCH("sortie-epargne",IFERROR(INDEX('Paramètres'!$N:$N,MATCH($D1398,'Paramètres'!$M:$M,0))&amp;"",""))),$K1398,0))</f>
        <v/>
      </c>
      <c r="V1398" s="6" t="str">
        <f>IF(AND($A1398&lt;&gt;"",$O1398=1,$L1398="Débit",N($Q1398)&gt;0,$A1398&gt;=Visualisation!$B$1,$A1398&lt;Visualisation!$D$1),MAX($V$1:V1397)+1,"")</f>
        <v/>
      </c>
    </row>
    <row r="1399" spans="1:22" x14ac:dyDescent="0.25">
      <c r="A1399" s="9"/>
      <c r="E1399" s="10"/>
      <c r="K1399" s="11" t="str">
        <f>IF($E1399="","",ROUND($E1399*IF(ISNA(MATCH($C1399,'Paramètres'!$D:$D,0)),1,IF(INDEX('Paramètres'!$J:$J,MATCH($C1399,'Paramètres'!$D:$D,0))="",1,INDEX('Paramètres'!$J:$J,MATCH($C1399,'Paramètres'!$D:$D,0)))),2))</f>
        <v/>
      </c>
      <c r="L1399" s="6" t="str">
        <f>IF($D1399="","",IF($F1399&lt;&gt;"",$F1399,IF(ISNA(MATCH($D1399,'Paramètres'!$M:$M,0)),"⚠ Type inconnu",IFERROR(INDEX('Paramètres'!$P:$P,MATCH($D1399,'Paramètres'!$M:$M,0))&amp;"",""))))</f>
        <v/>
      </c>
      <c r="M1399" s="6" t="str">
        <f>IF($D1399="","",IF(ISNA(MATCH($D1399,'Paramètres'!$M:$M,0)),"⚠ Type inconnu",IF($L1399="Crédit","",IFERROR(INDEX('Paramètres'!$O:$O,MATCH($D1399,'Paramètres'!$M:$M,0))&amp;"",""))))</f>
        <v/>
      </c>
      <c r="N1399" s="6" t="str">
        <f>IF($D1399="","",IFERROR(INDEX('Paramètres'!$Q:$Q,MATCH($D1399,'Paramètres'!$M:$M,0))&amp;"",""))</f>
        <v/>
      </c>
      <c r="O1399" s="6" t="str">
        <f>IF($A1399="","",IF(OR($J1399&lt;&gt;"x",$A1399&lt;=FinReleve),1,0))</f>
        <v/>
      </c>
      <c r="P1399" s="6" t="str">
        <f>IF($D1399="","",IF(AND($L1399="Crédit",OR(IFERROR(INDEX('Paramètres'!$O:$O,MATCH($D1399,'Paramètres'!$M:$M,0))&amp;"","")&lt;&gt;"",ISNUMBER(SEARCH("remboursement",IFERROR(INDEX('Paramètres'!$N:$N,MATCH($D1399,'Paramètres'!$M:$M,0))&amp;"",""))))),1,0))</f>
        <v/>
      </c>
      <c r="Q1399" s="6" t="str">
        <f>IF($K1399="","",IF(ISNUMBER(SEARCH("transfert-interne",IFERROR(INDEX('Paramètres'!$N:$N,MATCH($D1399,'Paramètres'!$M:$M,0))&amp;"",""))),0,IF($L1399="Débit",$K1399,IF($P1399=1,-$K1399,0))))</f>
        <v/>
      </c>
      <c r="R1399" s="6" t="str">
        <f>IF($K1399="","",IF($L1399="Crédit",$K1399,-$K1399))</f>
        <v/>
      </c>
      <c r="S1399" s="6" t="str">
        <f>IF($C1399="","",IFERROR(INDEX('Paramètres'!$H:$H,MATCH($C1399,'Paramètres'!$D:$D,0))&amp;"",""))</f>
        <v/>
      </c>
      <c r="T1399" s="6" t="str">
        <f>IF($K1399="","",IF($S1399="",0,IF(ISNUMBER(SEARCH("apport-exterieur",IFERROR(INDEX('Paramètres'!$N:$N,MATCH($D1399,'Paramètres'!$M:$M,0))&amp;"",""))),0,IF(OR(IFERROR(INDEX('Paramètres'!$I:$I,MATCH($C1399,'Paramètres'!$D:$D,0))&amp;"","")="Les deux",IFERROR(INDEX('Paramètres'!$I:$I,MATCH($C1399,'Paramètres'!$D:$D,0))&amp;"","")=IF($P1399=1,"Débit",$L1399)),-IF($P1399=1,-$K1399,$K1399),0))))</f>
        <v/>
      </c>
      <c r="U1399" s="6" t="str">
        <f>IF($K1399="","",IF(ISNUMBER(SEARCH("sortie-epargne",IFERROR(INDEX('Paramètres'!$N:$N,MATCH($D1399,'Paramètres'!$M:$M,0))&amp;"",""))),$K1399,0))</f>
        <v/>
      </c>
      <c r="V1399" s="6" t="str">
        <f>IF(AND($A1399&lt;&gt;"",$O1399=1,$L1399="Débit",N($Q1399)&gt;0,$A1399&gt;=Visualisation!$B$1,$A1399&lt;Visualisation!$D$1),MAX($V$1:V1398)+1,"")</f>
        <v/>
      </c>
    </row>
    <row r="1400" spans="1:22" x14ac:dyDescent="0.25">
      <c r="A1400" s="9"/>
      <c r="E1400" s="10"/>
      <c r="K1400" s="11" t="str">
        <f>IF($E1400="","",ROUND($E1400*IF(ISNA(MATCH($C1400,'Paramètres'!$D:$D,0)),1,IF(INDEX('Paramètres'!$J:$J,MATCH($C1400,'Paramètres'!$D:$D,0))="",1,INDEX('Paramètres'!$J:$J,MATCH($C1400,'Paramètres'!$D:$D,0)))),2))</f>
        <v/>
      </c>
      <c r="L1400" s="6" t="str">
        <f>IF($D1400="","",IF($F1400&lt;&gt;"",$F1400,IF(ISNA(MATCH($D1400,'Paramètres'!$M:$M,0)),"⚠ Type inconnu",IFERROR(INDEX('Paramètres'!$P:$P,MATCH($D1400,'Paramètres'!$M:$M,0))&amp;"",""))))</f>
        <v/>
      </c>
      <c r="M1400" s="6" t="str">
        <f>IF($D1400="","",IF(ISNA(MATCH($D1400,'Paramètres'!$M:$M,0)),"⚠ Type inconnu",IF($L1400="Crédit","",IFERROR(INDEX('Paramètres'!$O:$O,MATCH($D1400,'Paramètres'!$M:$M,0))&amp;"",""))))</f>
        <v/>
      </c>
      <c r="N1400" s="6" t="str">
        <f>IF($D1400="","",IFERROR(INDEX('Paramètres'!$Q:$Q,MATCH($D1400,'Paramètres'!$M:$M,0))&amp;"",""))</f>
        <v/>
      </c>
      <c r="O1400" s="6" t="str">
        <f>IF($A1400="","",IF(OR($J1400&lt;&gt;"x",$A1400&lt;=FinReleve),1,0))</f>
        <v/>
      </c>
      <c r="P1400" s="6" t="str">
        <f>IF($D1400="","",IF(AND($L1400="Crédit",OR(IFERROR(INDEX('Paramètres'!$O:$O,MATCH($D1400,'Paramètres'!$M:$M,0))&amp;"","")&lt;&gt;"",ISNUMBER(SEARCH("remboursement",IFERROR(INDEX('Paramètres'!$N:$N,MATCH($D1400,'Paramètres'!$M:$M,0))&amp;"",""))))),1,0))</f>
        <v/>
      </c>
      <c r="Q1400" s="6" t="str">
        <f>IF($K1400="","",IF(ISNUMBER(SEARCH("transfert-interne",IFERROR(INDEX('Paramètres'!$N:$N,MATCH($D1400,'Paramètres'!$M:$M,0))&amp;"",""))),0,IF($L1400="Débit",$K1400,IF($P1400=1,-$K1400,0))))</f>
        <v/>
      </c>
      <c r="R1400" s="6" t="str">
        <f>IF($K1400="","",IF($L1400="Crédit",$K1400,-$K1400))</f>
        <v/>
      </c>
      <c r="S1400" s="6" t="str">
        <f>IF($C1400="","",IFERROR(INDEX('Paramètres'!$H:$H,MATCH($C1400,'Paramètres'!$D:$D,0))&amp;"",""))</f>
        <v/>
      </c>
      <c r="T1400" s="6" t="str">
        <f>IF($K1400="","",IF($S1400="",0,IF(ISNUMBER(SEARCH("apport-exterieur",IFERROR(INDEX('Paramètres'!$N:$N,MATCH($D1400,'Paramètres'!$M:$M,0))&amp;"",""))),0,IF(OR(IFERROR(INDEX('Paramètres'!$I:$I,MATCH($C1400,'Paramètres'!$D:$D,0))&amp;"","")="Les deux",IFERROR(INDEX('Paramètres'!$I:$I,MATCH($C1400,'Paramètres'!$D:$D,0))&amp;"","")=IF($P1400=1,"Débit",$L1400)),-IF($P1400=1,-$K1400,$K1400),0))))</f>
        <v/>
      </c>
      <c r="U1400" s="6" t="str">
        <f>IF($K1400="","",IF(ISNUMBER(SEARCH("sortie-epargne",IFERROR(INDEX('Paramètres'!$N:$N,MATCH($D1400,'Paramètres'!$M:$M,0))&amp;"",""))),$K1400,0))</f>
        <v/>
      </c>
      <c r="V1400" s="6" t="str">
        <f>IF(AND($A1400&lt;&gt;"",$O1400=1,$L1400="Débit",N($Q1400)&gt;0,$A1400&gt;=Visualisation!$B$1,$A1400&lt;Visualisation!$D$1),MAX($V$1:V1399)+1,"")</f>
        <v/>
      </c>
    </row>
    <row r="1401" spans="1:22" x14ac:dyDescent="0.25">
      <c r="A1401" s="9"/>
      <c r="E1401" s="10"/>
      <c r="K1401" s="11" t="str">
        <f>IF($E1401="","",ROUND($E1401*IF(ISNA(MATCH($C1401,'Paramètres'!$D:$D,0)),1,IF(INDEX('Paramètres'!$J:$J,MATCH($C1401,'Paramètres'!$D:$D,0))="",1,INDEX('Paramètres'!$J:$J,MATCH($C1401,'Paramètres'!$D:$D,0)))),2))</f>
        <v/>
      </c>
      <c r="L1401" s="6" t="str">
        <f>IF($D1401="","",IF($F1401&lt;&gt;"",$F1401,IF(ISNA(MATCH($D1401,'Paramètres'!$M:$M,0)),"⚠ Type inconnu",IFERROR(INDEX('Paramètres'!$P:$P,MATCH($D1401,'Paramètres'!$M:$M,0))&amp;"",""))))</f>
        <v/>
      </c>
      <c r="M1401" s="6" t="str">
        <f>IF($D1401="","",IF(ISNA(MATCH($D1401,'Paramètres'!$M:$M,0)),"⚠ Type inconnu",IF($L1401="Crédit","",IFERROR(INDEX('Paramètres'!$O:$O,MATCH($D1401,'Paramètres'!$M:$M,0))&amp;"",""))))</f>
        <v/>
      </c>
      <c r="N1401" s="6" t="str">
        <f>IF($D1401="","",IFERROR(INDEX('Paramètres'!$Q:$Q,MATCH($D1401,'Paramètres'!$M:$M,0))&amp;"",""))</f>
        <v/>
      </c>
      <c r="O1401" s="6" t="str">
        <f>IF($A1401="","",IF(OR($J1401&lt;&gt;"x",$A1401&lt;=FinReleve),1,0))</f>
        <v/>
      </c>
      <c r="P1401" s="6" t="str">
        <f>IF($D1401="","",IF(AND($L1401="Crédit",OR(IFERROR(INDEX('Paramètres'!$O:$O,MATCH($D1401,'Paramètres'!$M:$M,0))&amp;"","")&lt;&gt;"",ISNUMBER(SEARCH("remboursement",IFERROR(INDEX('Paramètres'!$N:$N,MATCH($D1401,'Paramètres'!$M:$M,0))&amp;"",""))))),1,0))</f>
        <v/>
      </c>
      <c r="Q1401" s="6" t="str">
        <f>IF($K1401="","",IF(ISNUMBER(SEARCH("transfert-interne",IFERROR(INDEX('Paramètres'!$N:$N,MATCH($D1401,'Paramètres'!$M:$M,0))&amp;"",""))),0,IF($L1401="Débit",$K1401,IF($P1401=1,-$K1401,0))))</f>
        <v/>
      </c>
      <c r="R1401" s="6" t="str">
        <f>IF($K1401="","",IF($L1401="Crédit",$K1401,-$K1401))</f>
        <v/>
      </c>
      <c r="S1401" s="6" t="str">
        <f>IF($C1401="","",IFERROR(INDEX('Paramètres'!$H:$H,MATCH($C1401,'Paramètres'!$D:$D,0))&amp;"",""))</f>
        <v/>
      </c>
      <c r="T1401" s="6" t="str">
        <f>IF($K1401="","",IF($S1401="",0,IF(ISNUMBER(SEARCH("apport-exterieur",IFERROR(INDEX('Paramètres'!$N:$N,MATCH($D1401,'Paramètres'!$M:$M,0))&amp;"",""))),0,IF(OR(IFERROR(INDEX('Paramètres'!$I:$I,MATCH($C1401,'Paramètres'!$D:$D,0))&amp;"","")="Les deux",IFERROR(INDEX('Paramètres'!$I:$I,MATCH($C1401,'Paramètres'!$D:$D,0))&amp;"","")=IF($P1401=1,"Débit",$L1401)),-IF($P1401=1,-$K1401,$K1401),0))))</f>
        <v/>
      </c>
      <c r="U1401" s="6" t="str">
        <f>IF($K1401="","",IF(ISNUMBER(SEARCH("sortie-epargne",IFERROR(INDEX('Paramètres'!$N:$N,MATCH($D1401,'Paramètres'!$M:$M,0))&amp;"",""))),$K1401,0))</f>
        <v/>
      </c>
      <c r="V1401" s="6" t="str">
        <f>IF(AND($A1401&lt;&gt;"",$O1401=1,$L1401="Débit",N($Q1401)&gt;0,$A1401&gt;=Visualisation!$B$1,$A1401&lt;Visualisation!$D$1),MAX($V$1:V1400)+1,"")</f>
        <v/>
      </c>
    </row>
    <row r="1402" spans="1:22" x14ac:dyDescent="0.25">
      <c r="A1402" s="9"/>
      <c r="E1402" s="10"/>
      <c r="K1402" s="11" t="str">
        <f>IF($E1402="","",ROUND($E1402*IF(ISNA(MATCH($C1402,'Paramètres'!$D:$D,0)),1,IF(INDEX('Paramètres'!$J:$J,MATCH($C1402,'Paramètres'!$D:$D,0))="",1,INDEX('Paramètres'!$J:$J,MATCH($C1402,'Paramètres'!$D:$D,0)))),2))</f>
        <v/>
      </c>
      <c r="L1402" s="6" t="str">
        <f>IF($D1402="","",IF($F1402&lt;&gt;"",$F1402,IF(ISNA(MATCH($D1402,'Paramètres'!$M:$M,0)),"⚠ Type inconnu",IFERROR(INDEX('Paramètres'!$P:$P,MATCH($D1402,'Paramètres'!$M:$M,0))&amp;"",""))))</f>
        <v/>
      </c>
      <c r="M1402" s="6" t="str">
        <f>IF($D1402="","",IF(ISNA(MATCH($D1402,'Paramètres'!$M:$M,0)),"⚠ Type inconnu",IF($L1402="Crédit","",IFERROR(INDEX('Paramètres'!$O:$O,MATCH($D1402,'Paramètres'!$M:$M,0))&amp;"",""))))</f>
        <v/>
      </c>
      <c r="N1402" s="6" t="str">
        <f>IF($D1402="","",IFERROR(INDEX('Paramètres'!$Q:$Q,MATCH($D1402,'Paramètres'!$M:$M,0))&amp;"",""))</f>
        <v/>
      </c>
      <c r="O1402" s="6" t="str">
        <f>IF($A1402="","",IF(OR($J1402&lt;&gt;"x",$A1402&lt;=FinReleve),1,0))</f>
        <v/>
      </c>
      <c r="P1402" s="6" t="str">
        <f>IF($D1402="","",IF(AND($L1402="Crédit",OR(IFERROR(INDEX('Paramètres'!$O:$O,MATCH($D1402,'Paramètres'!$M:$M,0))&amp;"","")&lt;&gt;"",ISNUMBER(SEARCH("remboursement",IFERROR(INDEX('Paramètres'!$N:$N,MATCH($D1402,'Paramètres'!$M:$M,0))&amp;"",""))))),1,0))</f>
        <v/>
      </c>
      <c r="Q1402" s="6" t="str">
        <f>IF($K1402="","",IF(ISNUMBER(SEARCH("transfert-interne",IFERROR(INDEX('Paramètres'!$N:$N,MATCH($D1402,'Paramètres'!$M:$M,0))&amp;"",""))),0,IF($L1402="Débit",$K1402,IF($P1402=1,-$K1402,0))))</f>
        <v/>
      </c>
      <c r="R1402" s="6" t="str">
        <f>IF($K1402="","",IF($L1402="Crédit",$K1402,-$K1402))</f>
        <v/>
      </c>
      <c r="S1402" s="6" t="str">
        <f>IF($C1402="","",IFERROR(INDEX('Paramètres'!$H:$H,MATCH($C1402,'Paramètres'!$D:$D,0))&amp;"",""))</f>
        <v/>
      </c>
      <c r="T1402" s="6" t="str">
        <f>IF($K1402="","",IF($S1402="",0,IF(ISNUMBER(SEARCH("apport-exterieur",IFERROR(INDEX('Paramètres'!$N:$N,MATCH($D1402,'Paramètres'!$M:$M,0))&amp;"",""))),0,IF(OR(IFERROR(INDEX('Paramètres'!$I:$I,MATCH($C1402,'Paramètres'!$D:$D,0))&amp;"","")="Les deux",IFERROR(INDEX('Paramètres'!$I:$I,MATCH($C1402,'Paramètres'!$D:$D,0))&amp;"","")=IF($P1402=1,"Débit",$L1402)),-IF($P1402=1,-$K1402,$K1402),0))))</f>
        <v/>
      </c>
      <c r="U1402" s="6" t="str">
        <f>IF($K1402="","",IF(ISNUMBER(SEARCH("sortie-epargne",IFERROR(INDEX('Paramètres'!$N:$N,MATCH($D1402,'Paramètres'!$M:$M,0))&amp;"",""))),$K1402,0))</f>
        <v/>
      </c>
      <c r="V1402" s="6" t="str">
        <f>IF(AND($A1402&lt;&gt;"",$O1402=1,$L1402="Débit",N($Q1402)&gt;0,$A1402&gt;=Visualisation!$B$1,$A1402&lt;Visualisation!$D$1),MAX($V$1:V1401)+1,"")</f>
        <v/>
      </c>
    </row>
    <row r="1403" spans="1:22" x14ac:dyDescent="0.25">
      <c r="A1403" s="9"/>
      <c r="E1403" s="10"/>
      <c r="K1403" s="11" t="str">
        <f>IF($E1403="","",ROUND($E1403*IF(ISNA(MATCH($C1403,'Paramètres'!$D:$D,0)),1,IF(INDEX('Paramètres'!$J:$J,MATCH($C1403,'Paramètres'!$D:$D,0))="",1,INDEX('Paramètres'!$J:$J,MATCH($C1403,'Paramètres'!$D:$D,0)))),2))</f>
        <v/>
      </c>
      <c r="L1403" s="6" t="str">
        <f>IF($D1403="","",IF($F1403&lt;&gt;"",$F1403,IF(ISNA(MATCH($D1403,'Paramètres'!$M:$M,0)),"⚠ Type inconnu",IFERROR(INDEX('Paramètres'!$P:$P,MATCH($D1403,'Paramètres'!$M:$M,0))&amp;"",""))))</f>
        <v/>
      </c>
      <c r="M1403" s="6" t="str">
        <f>IF($D1403="","",IF(ISNA(MATCH($D1403,'Paramètres'!$M:$M,0)),"⚠ Type inconnu",IF($L1403="Crédit","",IFERROR(INDEX('Paramètres'!$O:$O,MATCH($D1403,'Paramètres'!$M:$M,0))&amp;"",""))))</f>
        <v/>
      </c>
      <c r="N1403" s="6" t="str">
        <f>IF($D1403="","",IFERROR(INDEX('Paramètres'!$Q:$Q,MATCH($D1403,'Paramètres'!$M:$M,0))&amp;"",""))</f>
        <v/>
      </c>
      <c r="O1403" s="6" t="str">
        <f>IF($A1403="","",IF(OR($J1403&lt;&gt;"x",$A1403&lt;=FinReleve),1,0))</f>
        <v/>
      </c>
      <c r="P1403" s="6" t="str">
        <f>IF($D1403="","",IF(AND($L1403="Crédit",OR(IFERROR(INDEX('Paramètres'!$O:$O,MATCH($D1403,'Paramètres'!$M:$M,0))&amp;"","")&lt;&gt;"",ISNUMBER(SEARCH("remboursement",IFERROR(INDEX('Paramètres'!$N:$N,MATCH($D1403,'Paramètres'!$M:$M,0))&amp;"",""))))),1,0))</f>
        <v/>
      </c>
      <c r="Q1403" s="6" t="str">
        <f>IF($K1403="","",IF(ISNUMBER(SEARCH("transfert-interne",IFERROR(INDEX('Paramètres'!$N:$N,MATCH($D1403,'Paramètres'!$M:$M,0))&amp;"",""))),0,IF($L1403="Débit",$K1403,IF($P1403=1,-$K1403,0))))</f>
        <v/>
      </c>
      <c r="R1403" s="6" t="str">
        <f>IF($K1403="","",IF($L1403="Crédit",$K1403,-$K1403))</f>
        <v/>
      </c>
      <c r="S1403" s="6" t="str">
        <f>IF($C1403="","",IFERROR(INDEX('Paramètres'!$H:$H,MATCH($C1403,'Paramètres'!$D:$D,0))&amp;"",""))</f>
        <v/>
      </c>
      <c r="T1403" s="6" t="str">
        <f>IF($K1403="","",IF($S1403="",0,IF(ISNUMBER(SEARCH("apport-exterieur",IFERROR(INDEX('Paramètres'!$N:$N,MATCH($D1403,'Paramètres'!$M:$M,0))&amp;"",""))),0,IF(OR(IFERROR(INDEX('Paramètres'!$I:$I,MATCH($C1403,'Paramètres'!$D:$D,0))&amp;"","")="Les deux",IFERROR(INDEX('Paramètres'!$I:$I,MATCH($C1403,'Paramètres'!$D:$D,0))&amp;"","")=IF($P1403=1,"Débit",$L1403)),-IF($P1403=1,-$K1403,$K1403),0))))</f>
        <v/>
      </c>
      <c r="U1403" s="6" t="str">
        <f>IF($K1403="","",IF(ISNUMBER(SEARCH("sortie-epargne",IFERROR(INDEX('Paramètres'!$N:$N,MATCH($D1403,'Paramètres'!$M:$M,0))&amp;"",""))),$K1403,0))</f>
        <v/>
      </c>
      <c r="V1403" s="6" t="str">
        <f>IF(AND($A1403&lt;&gt;"",$O1403=1,$L1403="Débit",N($Q1403)&gt;0,$A1403&gt;=Visualisation!$B$1,$A1403&lt;Visualisation!$D$1),MAX($V$1:V1402)+1,"")</f>
        <v/>
      </c>
    </row>
    <row r="1404" spans="1:22" x14ac:dyDescent="0.25">
      <c r="A1404" s="9"/>
      <c r="E1404" s="10"/>
      <c r="K1404" s="11" t="str">
        <f>IF($E1404="","",ROUND($E1404*IF(ISNA(MATCH($C1404,'Paramètres'!$D:$D,0)),1,IF(INDEX('Paramètres'!$J:$J,MATCH($C1404,'Paramètres'!$D:$D,0))="",1,INDEX('Paramètres'!$J:$J,MATCH($C1404,'Paramètres'!$D:$D,0)))),2))</f>
        <v/>
      </c>
      <c r="L1404" s="6" t="str">
        <f>IF($D1404="","",IF($F1404&lt;&gt;"",$F1404,IF(ISNA(MATCH($D1404,'Paramètres'!$M:$M,0)),"⚠ Type inconnu",IFERROR(INDEX('Paramètres'!$P:$P,MATCH($D1404,'Paramètres'!$M:$M,0))&amp;"",""))))</f>
        <v/>
      </c>
      <c r="M1404" s="6" t="str">
        <f>IF($D1404="","",IF(ISNA(MATCH($D1404,'Paramètres'!$M:$M,0)),"⚠ Type inconnu",IF($L1404="Crédit","",IFERROR(INDEX('Paramètres'!$O:$O,MATCH($D1404,'Paramètres'!$M:$M,0))&amp;"",""))))</f>
        <v/>
      </c>
      <c r="N1404" s="6" t="str">
        <f>IF($D1404="","",IFERROR(INDEX('Paramètres'!$Q:$Q,MATCH($D1404,'Paramètres'!$M:$M,0))&amp;"",""))</f>
        <v/>
      </c>
      <c r="O1404" s="6" t="str">
        <f>IF($A1404="","",IF(OR($J1404&lt;&gt;"x",$A1404&lt;=FinReleve),1,0))</f>
        <v/>
      </c>
      <c r="P1404" s="6" t="str">
        <f>IF($D1404="","",IF(AND($L1404="Crédit",OR(IFERROR(INDEX('Paramètres'!$O:$O,MATCH($D1404,'Paramètres'!$M:$M,0))&amp;"","")&lt;&gt;"",ISNUMBER(SEARCH("remboursement",IFERROR(INDEX('Paramètres'!$N:$N,MATCH($D1404,'Paramètres'!$M:$M,0))&amp;"",""))))),1,0))</f>
        <v/>
      </c>
      <c r="Q1404" s="6" t="str">
        <f>IF($K1404="","",IF(ISNUMBER(SEARCH("transfert-interne",IFERROR(INDEX('Paramètres'!$N:$N,MATCH($D1404,'Paramètres'!$M:$M,0))&amp;"",""))),0,IF($L1404="Débit",$K1404,IF($P1404=1,-$K1404,0))))</f>
        <v/>
      </c>
      <c r="R1404" s="6" t="str">
        <f>IF($K1404="","",IF($L1404="Crédit",$K1404,-$K1404))</f>
        <v/>
      </c>
      <c r="S1404" s="6" t="str">
        <f>IF($C1404="","",IFERROR(INDEX('Paramètres'!$H:$H,MATCH($C1404,'Paramètres'!$D:$D,0))&amp;"",""))</f>
        <v/>
      </c>
      <c r="T1404" s="6" t="str">
        <f>IF($K1404="","",IF($S1404="",0,IF(ISNUMBER(SEARCH("apport-exterieur",IFERROR(INDEX('Paramètres'!$N:$N,MATCH($D1404,'Paramètres'!$M:$M,0))&amp;"",""))),0,IF(OR(IFERROR(INDEX('Paramètres'!$I:$I,MATCH($C1404,'Paramètres'!$D:$D,0))&amp;"","")="Les deux",IFERROR(INDEX('Paramètres'!$I:$I,MATCH($C1404,'Paramètres'!$D:$D,0))&amp;"","")=IF($P1404=1,"Débit",$L1404)),-IF($P1404=1,-$K1404,$K1404),0))))</f>
        <v/>
      </c>
      <c r="U1404" s="6" t="str">
        <f>IF($K1404="","",IF(ISNUMBER(SEARCH("sortie-epargne",IFERROR(INDEX('Paramètres'!$N:$N,MATCH($D1404,'Paramètres'!$M:$M,0))&amp;"",""))),$K1404,0))</f>
        <v/>
      </c>
      <c r="V1404" s="6" t="str">
        <f>IF(AND($A1404&lt;&gt;"",$O1404=1,$L1404="Débit",N($Q1404)&gt;0,$A1404&gt;=Visualisation!$B$1,$A1404&lt;Visualisation!$D$1),MAX($V$1:V1403)+1,"")</f>
        <v/>
      </c>
    </row>
    <row r="1405" spans="1:22" x14ac:dyDescent="0.25">
      <c r="A1405" s="9"/>
      <c r="E1405" s="10"/>
      <c r="K1405" s="11" t="str">
        <f>IF($E1405="","",ROUND($E1405*IF(ISNA(MATCH($C1405,'Paramètres'!$D:$D,0)),1,IF(INDEX('Paramètres'!$J:$J,MATCH($C1405,'Paramètres'!$D:$D,0))="",1,INDEX('Paramètres'!$J:$J,MATCH($C1405,'Paramètres'!$D:$D,0)))),2))</f>
        <v/>
      </c>
      <c r="L1405" s="6" t="str">
        <f>IF($D1405="","",IF($F1405&lt;&gt;"",$F1405,IF(ISNA(MATCH($D1405,'Paramètres'!$M:$M,0)),"⚠ Type inconnu",IFERROR(INDEX('Paramètres'!$P:$P,MATCH($D1405,'Paramètres'!$M:$M,0))&amp;"",""))))</f>
        <v/>
      </c>
      <c r="M1405" s="6" t="str">
        <f>IF($D1405="","",IF(ISNA(MATCH($D1405,'Paramètres'!$M:$M,0)),"⚠ Type inconnu",IF($L1405="Crédit","",IFERROR(INDEX('Paramètres'!$O:$O,MATCH($D1405,'Paramètres'!$M:$M,0))&amp;"",""))))</f>
        <v/>
      </c>
      <c r="N1405" s="6" t="str">
        <f>IF($D1405="","",IFERROR(INDEX('Paramètres'!$Q:$Q,MATCH($D1405,'Paramètres'!$M:$M,0))&amp;"",""))</f>
        <v/>
      </c>
      <c r="O1405" s="6" t="str">
        <f>IF($A1405="","",IF(OR($J1405&lt;&gt;"x",$A1405&lt;=FinReleve),1,0))</f>
        <v/>
      </c>
      <c r="P1405" s="6" t="str">
        <f>IF($D1405="","",IF(AND($L1405="Crédit",OR(IFERROR(INDEX('Paramètres'!$O:$O,MATCH($D1405,'Paramètres'!$M:$M,0))&amp;"","")&lt;&gt;"",ISNUMBER(SEARCH("remboursement",IFERROR(INDEX('Paramètres'!$N:$N,MATCH($D1405,'Paramètres'!$M:$M,0))&amp;"",""))))),1,0))</f>
        <v/>
      </c>
      <c r="Q1405" s="6" t="str">
        <f>IF($K1405="","",IF(ISNUMBER(SEARCH("transfert-interne",IFERROR(INDEX('Paramètres'!$N:$N,MATCH($D1405,'Paramètres'!$M:$M,0))&amp;"",""))),0,IF($L1405="Débit",$K1405,IF($P1405=1,-$K1405,0))))</f>
        <v/>
      </c>
      <c r="R1405" s="6" t="str">
        <f>IF($K1405="","",IF($L1405="Crédit",$K1405,-$K1405))</f>
        <v/>
      </c>
      <c r="S1405" s="6" t="str">
        <f>IF($C1405="","",IFERROR(INDEX('Paramètres'!$H:$H,MATCH($C1405,'Paramètres'!$D:$D,0))&amp;"",""))</f>
        <v/>
      </c>
      <c r="T1405" s="6" t="str">
        <f>IF($K1405="","",IF($S1405="",0,IF(ISNUMBER(SEARCH("apport-exterieur",IFERROR(INDEX('Paramètres'!$N:$N,MATCH($D1405,'Paramètres'!$M:$M,0))&amp;"",""))),0,IF(OR(IFERROR(INDEX('Paramètres'!$I:$I,MATCH($C1405,'Paramètres'!$D:$D,0))&amp;"","")="Les deux",IFERROR(INDEX('Paramètres'!$I:$I,MATCH($C1405,'Paramètres'!$D:$D,0))&amp;"","")=IF($P1405=1,"Débit",$L1405)),-IF($P1405=1,-$K1405,$K1405),0))))</f>
        <v/>
      </c>
      <c r="U1405" s="6" t="str">
        <f>IF($K1405="","",IF(ISNUMBER(SEARCH("sortie-epargne",IFERROR(INDEX('Paramètres'!$N:$N,MATCH($D1405,'Paramètres'!$M:$M,0))&amp;"",""))),$K1405,0))</f>
        <v/>
      </c>
      <c r="V1405" s="6" t="str">
        <f>IF(AND($A1405&lt;&gt;"",$O1405=1,$L1405="Débit",N($Q1405)&gt;0,$A1405&gt;=Visualisation!$B$1,$A1405&lt;Visualisation!$D$1),MAX($V$1:V1404)+1,"")</f>
        <v/>
      </c>
    </row>
    <row r="1406" spans="1:22" x14ac:dyDescent="0.25">
      <c r="A1406" s="9"/>
      <c r="E1406" s="10"/>
      <c r="K1406" s="11" t="str">
        <f>IF($E1406="","",ROUND($E1406*IF(ISNA(MATCH($C1406,'Paramètres'!$D:$D,0)),1,IF(INDEX('Paramètres'!$J:$J,MATCH($C1406,'Paramètres'!$D:$D,0))="",1,INDEX('Paramètres'!$J:$J,MATCH($C1406,'Paramètres'!$D:$D,0)))),2))</f>
        <v/>
      </c>
      <c r="L1406" s="6" t="str">
        <f>IF($D1406="","",IF($F1406&lt;&gt;"",$F1406,IF(ISNA(MATCH($D1406,'Paramètres'!$M:$M,0)),"⚠ Type inconnu",IFERROR(INDEX('Paramètres'!$P:$P,MATCH($D1406,'Paramètres'!$M:$M,0))&amp;"",""))))</f>
        <v/>
      </c>
      <c r="M1406" s="6" t="str">
        <f>IF($D1406="","",IF(ISNA(MATCH($D1406,'Paramètres'!$M:$M,0)),"⚠ Type inconnu",IF($L1406="Crédit","",IFERROR(INDEX('Paramètres'!$O:$O,MATCH($D1406,'Paramètres'!$M:$M,0))&amp;"",""))))</f>
        <v/>
      </c>
      <c r="N1406" s="6" t="str">
        <f>IF($D1406="","",IFERROR(INDEX('Paramètres'!$Q:$Q,MATCH($D1406,'Paramètres'!$M:$M,0))&amp;"",""))</f>
        <v/>
      </c>
      <c r="O1406" s="6" t="str">
        <f>IF($A1406="","",IF(OR($J1406&lt;&gt;"x",$A1406&lt;=FinReleve),1,0))</f>
        <v/>
      </c>
      <c r="P1406" s="6" t="str">
        <f>IF($D1406="","",IF(AND($L1406="Crédit",OR(IFERROR(INDEX('Paramètres'!$O:$O,MATCH($D1406,'Paramètres'!$M:$M,0))&amp;"","")&lt;&gt;"",ISNUMBER(SEARCH("remboursement",IFERROR(INDEX('Paramètres'!$N:$N,MATCH($D1406,'Paramètres'!$M:$M,0))&amp;"",""))))),1,0))</f>
        <v/>
      </c>
      <c r="Q1406" s="6" t="str">
        <f>IF($K1406="","",IF(ISNUMBER(SEARCH("transfert-interne",IFERROR(INDEX('Paramètres'!$N:$N,MATCH($D1406,'Paramètres'!$M:$M,0))&amp;"",""))),0,IF($L1406="Débit",$K1406,IF($P1406=1,-$K1406,0))))</f>
        <v/>
      </c>
      <c r="R1406" s="6" t="str">
        <f>IF($K1406="","",IF($L1406="Crédit",$K1406,-$K1406))</f>
        <v/>
      </c>
      <c r="S1406" s="6" t="str">
        <f>IF($C1406="","",IFERROR(INDEX('Paramètres'!$H:$H,MATCH($C1406,'Paramètres'!$D:$D,0))&amp;"",""))</f>
        <v/>
      </c>
      <c r="T1406" s="6" t="str">
        <f>IF($K1406="","",IF($S1406="",0,IF(ISNUMBER(SEARCH("apport-exterieur",IFERROR(INDEX('Paramètres'!$N:$N,MATCH($D1406,'Paramètres'!$M:$M,0))&amp;"",""))),0,IF(OR(IFERROR(INDEX('Paramètres'!$I:$I,MATCH($C1406,'Paramètres'!$D:$D,0))&amp;"","")="Les deux",IFERROR(INDEX('Paramètres'!$I:$I,MATCH($C1406,'Paramètres'!$D:$D,0))&amp;"","")=IF($P1406=1,"Débit",$L1406)),-IF($P1406=1,-$K1406,$K1406),0))))</f>
        <v/>
      </c>
      <c r="U1406" s="6" t="str">
        <f>IF($K1406="","",IF(ISNUMBER(SEARCH("sortie-epargne",IFERROR(INDEX('Paramètres'!$N:$N,MATCH($D1406,'Paramètres'!$M:$M,0))&amp;"",""))),$K1406,0))</f>
        <v/>
      </c>
      <c r="V1406" s="6" t="str">
        <f>IF(AND($A1406&lt;&gt;"",$O1406=1,$L1406="Débit",N($Q1406)&gt;0,$A1406&gt;=Visualisation!$B$1,$A1406&lt;Visualisation!$D$1),MAX($V$1:V1405)+1,"")</f>
        <v/>
      </c>
    </row>
    <row r="1407" spans="1:22" x14ac:dyDescent="0.25">
      <c r="A1407" s="9"/>
      <c r="E1407" s="10"/>
      <c r="K1407" s="11" t="str">
        <f>IF($E1407="","",ROUND($E1407*IF(ISNA(MATCH($C1407,'Paramètres'!$D:$D,0)),1,IF(INDEX('Paramètres'!$J:$J,MATCH($C1407,'Paramètres'!$D:$D,0))="",1,INDEX('Paramètres'!$J:$J,MATCH($C1407,'Paramètres'!$D:$D,0)))),2))</f>
        <v/>
      </c>
      <c r="L1407" s="6" t="str">
        <f>IF($D1407="","",IF($F1407&lt;&gt;"",$F1407,IF(ISNA(MATCH($D1407,'Paramètres'!$M:$M,0)),"⚠ Type inconnu",IFERROR(INDEX('Paramètres'!$P:$P,MATCH($D1407,'Paramètres'!$M:$M,0))&amp;"",""))))</f>
        <v/>
      </c>
      <c r="M1407" s="6" t="str">
        <f>IF($D1407="","",IF(ISNA(MATCH($D1407,'Paramètres'!$M:$M,0)),"⚠ Type inconnu",IF($L1407="Crédit","",IFERROR(INDEX('Paramètres'!$O:$O,MATCH($D1407,'Paramètres'!$M:$M,0))&amp;"",""))))</f>
        <v/>
      </c>
      <c r="N1407" s="6" t="str">
        <f>IF($D1407="","",IFERROR(INDEX('Paramètres'!$Q:$Q,MATCH($D1407,'Paramètres'!$M:$M,0))&amp;"",""))</f>
        <v/>
      </c>
      <c r="O1407" s="6" t="str">
        <f>IF($A1407="","",IF(OR($J1407&lt;&gt;"x",$A1407&lt;=FinReleve),1,0))</f>
        <v/>
      </c>
      <c r="P1407" s="6" t="str">
        <f>IF($D1407="","",IF(AND($L1407="Crédit",OR(IFERROR(INDEX('Paramètres'!$O:$O,MATCH($D1407,'Paramètres'!$M:$M,0))&amp;"","")&lt;&gt;"",ISNUMBER(SEARCH("remboursement",IFERROR(INDEX('Paramètres'!$N:$N,MATCH($D1407,'Paramètres'!$M:$M,0))&amp;"",""))))),1,0))</f>
        <v/>
      </c>
      <c r="Q1407" s="6" t="str">
        <f>IF($K1407="","",IF(ISNUMBER(SEARCH("transfert-interne",IFERROR(INDEX('Paramètres'!$N:$N,MATCH($D1407,'Paramètres'!$M:$M,0))&amp;"",""))),0,IF($L1407="Débit",$K1407,IF($P1407=1,-$K1407,0))))</f>
        <v/>
      </c>
      <c r="R1407" s="6" t="str">
        <f>IF($K1407="","",IF($L1407="Crédit",$K1407,-$K1407))</f>
        <v/>
      </c>
      <c r="S1407" s="6" t="str">
        <f>IF($C1407="","",IFERROR(INDEX('Paramètres'!$H:$H,MATCH($C1407,'Paramètres'!$D:$D,0))&amp;"",""))</f>
        <v/>
      </c>
      <c r="T1407" s="6" t="str">
        <f>IF($K1407="","",IF($S1407="",0,IF(ISNUMBER(SEARCH("apport-exterieur",IFERROR(INDEX('Paramètres'!$N:$N,MATCH($D1407,'Paramètres'!$M:$M,0))&amp;"",""))),0,IF(OR(IFERROR(INDEX('Paramètres'!$I:$I,MATCH($C1407,'Paramètres'!$D:$D,0))&amp;"","")="Les deux",IFERROR(INDEX('Paramètres'!$I:$I,MATCH($C1407,'Paramètres'!$D:$D,0))&amp;"","")=IF($P1407=1,"Débit",$L1407)),-IF($P1407=1,-$K1407,$K1407),0))))</f>
        <v/>
      </c>
      <c r="U1407" s="6" t="str">
        <f>IF($K1407="","",IF(ISNUMBER(SEARCH("sortie-epargne",IFERROR(INDEX('Paramètres'!$N:$N,MATCH($D1407,'Paramètres'!$M:$M,0))&amp;"",""))),$K1407,0))</f>
        <v/>
      </c>
      <c r="V1407" s="6" t="str">
        <f>IF(AND($A1407&lt;&gt;"",$O1407=1,$L1407="Débit",N($Q1407)&gt;0,$A1407&gt;=Visualisation!$B$1,$A1407&lt;Visualisation!$D$1),MAX($V$1:V1406)+1,"")</f>
        <v/>
      </c>
    </row>
    <row r="1408" spans="1:22" x14ac:dyDescent="0.25">
      <c r="A1408" s="9"/>
      <c r="E1408" s="10"/>
      <c r="K1408" s="11" t="str">
        <f>IF($E1408="","",ROUND($E1408*IF(ISNA(MATCH($C1408,'Paramètres'!$D:$D,0)),1,IF(INDEX('Paramètres'!$J:$J,MATCH($C1408,'Paramètres'!$D:$D,0))="",1,INDEX('Paramètres'!$J:$J,MATCH($C1408,'Paramètres'!$D:$D,0)))),2))</f>
        <v/>
      </c>
      <c r="L1408" s="6" t="str">
        <f>IF($D1408="","",IF($F1408&lt;&gt;"",$F1408,IF(ISNA(MATCH($D1408,'Paramètres'!$M:$M,0)),"⚠ Type inconnu",IFERROR(INDEX('Paramètres'!$P:$P,MATCH($D1408,'Paramètres'!$M:$M,0))&amp;"",""))))</f>
        <v/>
      </c>
      <c r="M1408" s="6" t="str">
        <f>IF($D1408="","",IF(ISNA(MATCH($D1408,'Paramètres'!$M:$M,0)),"⚠ Type inconnu",IF($L1408="Crédit","",IFERROR(INDEX('Paramètres'!$O:$O,MATCH($D1408,'Paramètres'!$M:$M,0))&amp;"",""))))</f>
        <v/>
      </c>
      <c r="N1408" s="6" t="str">
        <f>IF($D1408="","",IFERROR(INDEX('Paramètres'!$Q:$Q,MATCH($D1408,'Paramètres'!$M:$M,0))&amp;"",""))</f>
        <v/>
      </c>
      <c r="O1408" s="6" t="str">
        <f>IF($A1408="","",IF(OR($J1408&lt;&gt;"x",$A1408&lt;=FinReleve),1,0))</f>
        <v/>
      </c>
      <c r="P1408" s="6" t="str">
        <f>IF($D1408="","",IF(AND($L1408="Crédit",OR(IFERROR(INDEX('Paramètres'!$O:$O,MATCH($D1408,'Paramètres'!$M:$M,0))&amp;"","")&lt;&gt;"",ISNUMBER(SEARCH("remboursement",IFERROR(INDEX('Paramètres'!$N:$N,MATCH($D1408,'Paramètres'!$M:$M,0))&amp;"",""))))),1,0))</f>
        <v/>
      </c>
      <c r="Q1408" s="6" t="str">
        <f>IF($K1408="","",IF(ISNUMBER(SEARCH("transfert-interne",IFERROR(INDEX('Paramètres'!$N:$N,MATCH($D1408,'Paramètres'!$M:$M,0))&amp;"",""))),0,IF($L1408="Débit",$K1408,IF($P1408=1,-$K1408,0))))</f>
        <v/>
      </c>
      <c r="R1408" s="6" t="str">
        <f>IF($K1408="","",IF($L1408="Crédit",$K1408,-$K1408))</f>
        <v/>
      </c>
      <c r="S1408" s="6" t="str">
        <f>IF($C1408="","",IFERROR(INDEX('Paramètres'!$H:$H,MATCH($C1408,'Paramètres'!$D:$D,0))&amp;"",""))</f>
        <v/>
      </c>
      <c r="T1408" s="6" t="str">
        <f>IF($K1408="","",IF($S1408="",0,IF(ISNUMBER(SEARCH("apport-exterieur",IFERROR(INDEX('Paramètres'!$N:$N,MATCH($D1408,'Paramètres'!$M:$M,0))&amp;"",""))),0,IF(OR(IFERROR(INDEX('Paramètres'!$I:$I,MATCH($C1408,'Paramètres'!$D:$D,0))&amp;"","")="Les deux",IFERROR(INDEX('Paramètres'!$I:$I,MATCH($C1408,'Paramètres'!$D:$D,0))&amp;"","")=IF($P1408=1,"Débit",$L1408)),-IF($P1408=1,-$K1408,$K1408),0))))</f>
        <v/>
      </c>
      <c r="U1408" s="6" t="str">
        <f>IF($K1408="","",IF(ISNUMBER(SEARCH("sortie-epargne",IFERROR(INDEX('Paramètres'!$N:$N,MATCH($D1408,'Paramètres'!$M:$M,0))&amp;"",""))),$K1408,0))</f>
        <v/>
      </c>
      <c r="V1408" s="6" t="str">
        <f>IF(AND($A1408&lt;&gt;"",$O1408=1,$L1408="Débit",N($Q1408)&gt;0,$A1408&gt;=Visualisation!$B$1,$A1408&lt;Visualisation!$D$1),MAX($V$1:V1407)+1,"")</f>
        <v/>
      </c>
    </row>
    <row r="1409" spans="1:22" x14ac:dyDescent="0.25">
      <c r="A1409" s="9"/>
      <c r="E1409" s="10"/>
      <c r="K1409" s="11" t="str">
        <f>IF($E1409="","",ROUND($E1409*IF(ISNA(MATCH($C1409,'Paramètres'!$D:$D,0)),1,IF(INDEX('Paramètres'!$J:$J,MATCH($C1409,'Paramètres'!$D:$D,0))="",1,INDEX('Paramètres'!$J:$J,MATCH($C1409,'Paramètres'!$D:$D,0)))),2))</f>
        <v/>
      </c>
      <c r="L1409" s="6" t="str">
        <f>IF($D1409="","",IF($F1409&lt;&gt;"",$F1409,IF(ISNA(MATCH($D1409,'Paramètres'!$M:$M,0)),"⚠ Type inconnu",IFERROR(INDEX('Paramètres'!$P:$P,MATCH($D1409,'Paramètres'!$M:$M,0))&amp;"",""))))</f>
        <v/>
      </c>
      <c r="M1409" s="6" t="str">
        <f>IF($D1409="","",IF(ISNA(MATCH($D1409,'Paramètres'!$M:$M,0)),"⚠ Type inconnu",IF($L1409="Crédit","",IFERROR(INDEX('Paramètres'!$O:$O,MATCH($D1409,'Paramètres'!$M:$M,0))&amp;"",""))))</f>
        <v/>
      </c>
      <c r="N1409" s="6" t="str">
        <f>IF($D1409="","",IFERROR(INDEX('Paramètres'!$Q:$Q,MATCH($D1409,'Paramètres'!$M:$M,0))&amp;"",""))</f>
        <v/>
      </c>
      <c r="O1409" s="6" t="str">
        <f>IF($A1409="","",IF(OR($J1409&lt;&gt;"x",$A1409&lt;=FinReleve),1,0))</f>
        <v/>
      </c>
      <c r="P1409" s="6" t="str">
        <f>IF($D1409="","",IF(AND($L1409="Crédit",OR(IFERROR(INDEX('Paramètres'!$O:$O,MATCH($D1409,'Paramètres'!$M:$M,0))&amp;"","")&lt;&gt;"",ISNUMBER(SEARCH("remboursement",IFERROR(INDEX('Paramètres'!$N:$N,MATCH($D1409,'Paramètres'!$M:$M,0))&amp;"",""))))),1,0))</f>
        <v/>
      </c>
      <c r="Q1409" s="6" t="str">
        <f>IF($K1409="","",IF(ISNUMBER(SEARCH("transfert-interne",IFERROR(INDEX('Paramètres'!$N:$N,MATCH($D1409,'Paramètres'!$M:$M,0))&amp;"",""))),0,IF($L1409="Débit",$K1409,IF($P1409=1,-$K1409,0))))</f>
        <v/>
      </c>
      <c r="R1409" s="6" t="str">
        <f>IF($K1409="","",IF($L1409="Crédit",$K1409,-$K1409))</f>
        <v/>
      </c>
      <c r="S1409" s="6" t="str">
        <f>IF($C1409="","",IFERROR(INDEX('Paramètres'!$H:$H,MATCH($C1409,'Paramètres'!$D:$D,0))&amp;"",""))</f>
        <v/>
      </c>
      <c r="T1409" s="6" t="str">
        <f>IF($K1409="","",IF($S1409="",0,IF(ISNUMBER(SEARCH("apport-exterieur",IFERROR(INDEX('Paramètres'!$N:$N,MATCH($D1409,'Paramètres'!$M:$M,0))&amp;"",""))),0,IF(OR(IFERROR(INDEX('Paramètres'!$I:$I,MATCH($C1409,'Paramètres'!$D:$D,0))&amp;"","")="Les deux",IFERROR(INDEX('Paramètres'!$I:$I,MATCH($C1409,'Paramètres'!$D:$D,0))&amp;"","")=IF($P1409=1,"Débit",$L1409)),-IF($P1409=1,-$K1409,$K1409),0))))</f>
        <v/>
      </c>
      <c r="U1409" s="6" t="str">
        <f>IF($K1409="","",IF(ISNUMBER(SEARCH("sortie-epargne",IFERROR(INDEX('Paramètres'!$N:$N,MATCH($D1409,'Paramètres'!$M:$M,0))&amp;"",""))),$K1409,0))</f>
        <v/>
      </c>
      <c r="V1409" s="6" t="str">
        <f>IF(AND($A1409&lt;&gt;"",$O1409=1,$L1409="Débit",N($Q1409)&gt;0,$A1409&gt;=Visualisation!$B$1,$A1409&lt;Visualisation!$D$1),MAX($V$1:V1408)+1,"")</f>
        <v/>
      </c>
    </row>
    <row r="1410" spans="1:22" x14ac:dyDescent="0.25">
      <c r="A1410" s="9"/>
      <c r="E1410" s="10"/>
      <c r="K1410" s="11" t="str">
        <f>IF($E1410="","",ROUND($E1410*IF(ISNA(MATCH($C1410,'Paramètres'!$D:$D,0)),1,IF(INDEX('Paramètres'!$J:$J,MATCH($C1410,'Paramètres'!$D:$D,0))="",1,INDEX('Paramètres'!$J:$J,MATCH($C1410,'Paramètres'!$D:$D,0)))),2))</f>
        <v/>
      </c>
      <c r="L1410" s="6" t="str">
        <f>IF($D1410="","",IF($F1410&lt;&gt;"",$F1410,IF(ISNA(MATCH($D1410,'Paramètres'!$M:$M,0)),"⚠ Type inconnu",IFERROR(INDEX('Paramètres'!$P:$P,MATCH($D1410,'Paramètres'!$M:$M,0))&amp;"",""))))</f>
        <v/>
      </c>
      <c r="M1410" s="6" t="str">
        <f>IF($D1410="","",IF(ISNA(MATCH($D1410,'Paramètres'!$M:$M,0)),"⚠ Type inconnu",IF($L1410="Crédit","",IFERROR(INDEX('Paramètres'!$O:$O,MATCH($D1410,'Paramètres'!$M:$M,0))&amp;"",""))))</f>
        <v/>
      </c>
      <c r="N1410" s="6" t="str">
        <f>IF($D1410="","",IFERROR(INDEX('Paramètres'!$Q:$Q,MATCH($D1410,'Paramètres'!$M:$M,0))&amp;"",""))</f>
        <v/>
      </c>
      <c r="O1410" s="6" t="str">
        <f>IF($A1410="","",IF(OR($J1410&lt;&gt;"x",$A1410&lt;=FinReleve),1,0))</f>
        <v/>
      </c>
      <c r="P1410" s="6" t="str">
        <f>IF($D1410="","",IF(AND($L1410="Crédit",OR(IFERROR(INDEX('Paramètres'!$O:$O,MATCH($D1410,'Paramètres'!$M:$M,0))&amp;"","")&lt;&gt;"",ISNUMBER(SEARCH("remboursement",IFERROR(INDEX('Paramètres'!$N:$N,MATCH($D1410,'Paramètres'!$M:$M,0))&amp;"",""))))),1,0))</f>
        <v/>
      </c>
      <c r="Q1410" s="6" t="str">
        <f>IF($K1410="","",IF(ISNUMBER(SEARCH("transfert-interne",IFERROR(INDEX('Paramètres'!$N:$N,MATCH($D1410,'Paramètres'!$M:$M,0))&amp;"",""))),0,IF($L1410="Débit",$K1410,IF($P1410=1,-$K1410,0))))</f>
        <v/>
      </c>
      <c r="R1410" s="6" t="str">
        <f>IF($K1410="","",IF($L1410="Crédit",$K1410,-$K1410))</f>
        <v/>
      </c>
      <c r="S1410" s="6" t="str">
        <f>IF($C1410="","",IFERROR(INDEX('Paramètres'!$H:$H,MATCH($C1410,'Paramètres'!$D:$D,0))&amp;"",""))</f>
        <v/>
      </c>
      <c r="T1410" s="6" t="str">
        <f>IF($K1410="","",IF($S1410="",0,IF(ISNUMBER(SEARCH("apport-exterieur",IFERROR(INDEX('Paramètres'!$N:$N,MATCH($D1410,'Paramètres'!$M:$M,0))&amp;"",""))),0,IF(OR(IFERROR(INDEX('Paramètres'!$I:$I,MATCH($C1410,'Paramètres'!$D:$D,0))&amp;"","")="Les deux",IFERROR(INDEX('Paramètres'!$I:$I,MATCH($C1410,'Paramètres'!$D:$D,0))&amp;"","")=IF($P1410=1,"Débit",$L1410)),-IF($P1410=1,-$K1410,$K1410),0))))</f>
        <v/>
      </c>
      <c r="U1410" s="6" t="str">
        <f>IF($K1410="","",IF(ISNUMBER(SEARCH("sortie-epargne",IFERROR(INDEX('Paramètres'!$N:$N,MATCH($D1410,'Paramètres'!$M:$M,0))&amp;"",""))),$K1410,0))</f>
        <v/>
      </c>
      <c r="V1410" s="6" t="str">
        <f>IF(AND($A1410&lt;&gt;"",$O1410=1,$L1410="Débit",N($Q1410)&gt;0,$A1410&gt;=Visualisation!$B$1,$A1410&lt;Visualisation!$D$1),MAX($V$1:V1409)+1,"")</f>
        <v/>
      </c>
    </row>
    <row r="1411" spans="1:22" x14ac:dyDescent="0.25">
      <c r="A1411" s="9"/>
      <c r="E1411" s="10"/>
      <c r="K1411" s="11" t="str">
        <f>IF($E1411="","",ROUND($E1411*IF(ISNA(MATCH($C1411,'Paramètres'!$D:$D,0)),1,IF(INDEX('Paramètres'!$J:$J,MATCH($C1411,'Paramètres'!$D:$D,0))="",1,INDEX('Paramètres'!$J:$J,MATCH($C1411,'Paramètres'!$D:$D,0)))),2))</f>
        <v/>
      </c>
      <c r="L1411" s="6" t="str">
        <f>IF($D1411="","",IF($F1411&lt;&gt;"",$F1411,IF(ISNA(MATCH($D1411,'Paramètres'!$M:$M,0)),"⚠ Type inconnu",IFERROR(INDEX('Paramètres'!$P:$P,MATCH($D1411,'Paramètres'!$M:$M,0))&amp;"",""))))</f>
        <v/>
      </c>
      <c r="M1411" s="6" t="str">
        <f>IF($D1411="","",IF(ISNA(MATCH($D1411,'Paramètres'!$M:$M,0)),"⚠ Type inconnu",IF($L1411="Crédit","",IFERROR(INDEX('Paramètres'!$O:$O,MATCH($D1411,'Paramètres'!$M:$M,0))&amp;"",""))))</f>
        <v/>
      </c>
      <c r="N1411" s="6" t="str">
        <f>IF($D1411="","",IFERROR(INDEX('Paramètres'!$Q:$Q,MATCH($D1411,'Paramètres'!$M:$M,0))&amp;"",""))</f>
        <v/>
      </c>
      <c r="O1411" s="6" t="str">
        <f>IF($A1411="","",IF(OR($J1411&lt;&gt;"x",$A1411&lt;=FinReleve),1,0))</f>
        <v/>
      </c>
      <c r="P1411" s="6" t="str">
        <f>IF($D1411="","",IF(AND($L1411="Crédit",OR(IFERROR(INDEX('Paramètres'!$O:$O,MATCH($D1411,'Paramètres'!$M:$M,0))&amp;"","")&lt;&gt;"",ISNUMBER(SEARCH("remboursement",IFERROR(INDEX('Paramètres'!$N:$N,MATCH($D1411,'Paramètres'!$M:$M,0))&amp;"",""))))),1,0))</f>
        <v/>
      </c>
      <c r="Q1411" s="6" t="str">
        <f>IF($K1411="","",IF(ISNUMBER(SEARCH("transfert-interne",IFERROR(INDEX('Paramètres'!$N:$N,MATCH($D1411,'Paramètres'!$M:$M,0))&amp;"",""))),0,IF($L1411="Débit",$K1411,IF($P1411=1,-$K1411,0))))</f>
        <v/>
      </c>
      <c r="R1411" s="6" t="str">
        <f>IF($K1411="","",IF($L1411="Crédit",$K1411,-$K1411))</f>
        <v/>
      </c>
      <c r="S1411" s="6" t="str">
        <f>IF($C1411="","",IFERROR(INDEX('Paramètres'!$H:$H,MATCH($C1411,'Paramètres'!$D:$D,0))&amp;"",""))</f>
        <v/>
      </c>
      <c r="T1411" s="6" t="str">
        <f>IF($K1411="","",IF($S1411="",0,IF(ISNUMBER(SEARCH("apport-exterieur",IFERROR(INDEX('Paramètres'!$N:$N,MATCH($D1411,'Paramètres'!$M:$M,0))&amp;"",""))),0,IF(OR(IFERROR(INDEX('Paramètres'!$I:$I,MATCH($C1411,'Paramètres'!$D:$D,0))&amp;"","")="Les deux",IFERROR(INDEX('Paramètres'!$I:$I,MATCH($C1411,'Paramètres'!$D:$D,0))&amp;"","")=IF($P1411=1,"Débit",$L1411)),-IF($P1411=1,-$K1411,$K1411),0))))</f>
        <v/>
      </c>
      <c r="U1411" s="6" t="str">
        <f>IF($K1411="","",IF(ISNUMBER(SEARCH("sortie-epargne",IFERROR(INDEX('Paramètres'!$N:$N,MATCH($D1411,'Paramètres'!$M:$M,0))&amp;"",""))),$K1411,0))</f>
        <v/>
      </c>
      <c r="V1411" s="6" t="str">
        <f>IF(AND($A1411&lt;&gt;"",$O1411=1,$L1411="Débit",N($Q1411)&gt;0,$A1411&gt;=Visualisation!$B$1,$A1411&lt;Visualisation!$D$1),MAX($V$1:V1410)+1,"")</f>
        <v/>
      </c>
    </row>
    <row r="1412" spans="1:22" x14ac:dyDescent="0.25">
      <c r="A1412" s="9"/>
      <c r="E1412" s="10"/>
      <c r="K1412" s="11" t="str">
        <f>IF($E1412="","",ROUND($E1412*IF(ISNA(MATCH($C1412,'Paramètres'!$D:$D,0)),1,IF(INDEX('Paramètres'!$J:$J,MATCH($C1412,'Paramètres'!$D:$D,0))="",1,INDEX('Paramètres'!$J:$J,MATCH($C1412,'Paramètres'!$D:$D,0)))),2))</f>
        <v/>
      </c>
      <c r="L1412" s="6" t="str">
        <f>IF($D1412="","",IF($F1412&lt;&gt;"",$F1412,IF(ISNA(MATCH($D1412,'Paramètres'!$M:$M,0)),"⚠ Type inconnu",IFERROR(INDEX('Paramètres'!$P:$P,MATCH($D1412,'Paramètres'!$M:$M,0))&amp;"",""))))</f>
        <v/>
      </c>
      <c r="M1412" s="6" t="str">
        <f>IF($D1412="","",IF(ISNA(MATCH($D1412,'Paramètres'!$M:$M,0)),"⚠ Type inconnu",IF($L1412="Crédit","",IFERROR(INDEX('Paramètres'!$O:$O,MATCH($D1412,'Paramètres'!$M:$M,0))&amp;"",""))))</f>
        <v/>
      </c>
      <c r="N1412" s="6" t="str">
        <f>IF($D1412="","",IFERROR(INDEX('Paramètres'!$Q:$Q,MATCH($D1412,'Paramètres'!$M:$M,0))&amp;"",""))</f>
        <v/>
      </c>
      <c r="O1412" s="6" t="str">
        <f>IF($A1412="","",IF(OR($J1412&lt;&gt;"x",$A1412&lt;=FinReleve),1,0))</f>
        <v/>
      </c>
      <c r="P1412" s="6" t="str">
        <f>IF($D1412="","",IF(AND($L1412="Crédit",OR(IFERROR(INDEX('Paramètres'!$O:$O,MATCH($D1412,'Paramètres'!$M:$M,0))&amp;"","")&lt;&gt;"",ISNUMBER(SEARCH("remboursement",IFERROR(INDEX('Paramètres'!$N:$N,MATCH($D1412,'Paramètres'!$M:$M,0))&amp;"",""))))),1,0))</f>
        <v/>
      </c>
      <c r="Q1412" s="6" t="str">
        <f>IF($K1412="","",IF(ISNUMBER(SEARCH("transfert-interne",IFERROR(INDEX('Paramètres'!$N:$N,MATCH($D1412,'Paramètres'!$M:$M,0))&amp;"",""))),0,IF($L1412="Débit",$K1412,IF($P1412=1,-$K1412,0))))</f>
        <v/>
      </c>
      <c r="R1412" s="6" t="str">
        <f>IF($K1412="","",IF($L1412="Crédit",$K1412,-$K1412))</f>
        <v/>
      </c>
      <c r="S1412" s="6" t="str">
        <f>IF($C1412="","",IFERROR(INDEX('Paramètres'!$H:$H,MATCH($C1412,'Paramètres'!$D:$D,0))&amp;"",""))</f>
        <v/>
      </c>
      <c r="T1412" s="6" t="str">
        <f>IF($K1412="","",IF($S1412="",0,IF(ISNUMBER(SEARCH("apport-exterieur",IFERROR(INDEX('Paramètres'!$N:$N,MATCH($D1412,'Paramètres'!$M:$M,0))&amp;"",""))),0,IF(OR(IFERROR(INDEX('Paramètres'!$I:$I,MATCH($C1412,'Paramètres'!$D:$D,0))&amp;"","")="Les deux",IFERROR(INDEX('Paramètres'!$I:$I,MATCH($C1412,'Paramètres'!$D:$D,0))&amp;"","")=IF($P1412=1,"Débit",$L1412)),-IF($P1412=1,-$K1412,$K1412),0))))</f>
        <v/>
      </c>
      <c r="U1412" s="6" t="str">
        <f>IF($K1412="","",IF(ISNUMBER(SEARCH("sortie-epargne",IFERROR(INDEX('Paramètres'!$N:$N,MATCH($D1412,'Paramètres'!$M:$M,0))&amp;"",""))),$K1412,0))</f>
        <v/>
      </c>
      <c r="V1412" s="6" t="str">
        <f>IF(AND($A1412&lt;&gt;"",$O1412=1,$L1412="Débit",N($Q1412)&gt;0,$A1412&gt;=Visualisation!$B$1,$A1412&lt;Visualisation!$D$1),MAX($V$1:V1411)+1,"")</f>
        <v/>
      </c>
    </row>
    <row r="1413" spans="1:22" x14ac:dyDescent="0.25">
      <c r="A1413" s="9"/>
      <c r="E1413" s="10"/>
      <c r="K1413" s="11" t="str">
        <f>IF($E1413="","",ROUND($E1413*IF(ISNA(MATCH($C1413,'Paramètres'!$D:$D,0)),1,IF(INDEX('Paramètres'!$J:$J,MATCH($C1413,'Paramètres'!$D:$D,0))="",1,INDEX('Paramètres'!$J:$J,MATCH($C1413,'Paramètres'!$D:$D,0)))),2))</f>
        <v/>
      </c>
      <c r="L1413" s="6" t="str">
        <f>IF($D1413="","",IF($F1413&lt;&gt;"",$F1413,IF(ISNA(MATCH($D1413,'Paramètres'!$M:$M,0)),"⚠ Type inconnu",IFERROR(INDEX('Paramètres'!$P:$P,MATCH($D1413,'Paramètres'!$M:$M,0))&amp;"",""))))</f>
        <v/>
      </c>
      <c r="M1413" s="6" t="str">
        <f>IF($D1413="","",IF(ISNA(MATCH($D1413,'Paramètres'!$M:$M,0)),"⚠ Type inconnu",IF($L1413="Crédit","",IFERROR(INDEX('Paramètres'!$O:$O,MATCH($D1413,'Paramètres'!$M:$M,0))&amp;"",""))))</f>
        <v/>
      </c>
      <c r="N1413" s="6" t="str">
        <f>IF($D1413="","",IFERROR(INDEX('Paramètres'!$Q:$Q,MATCH($D1413,'Paramètres'!$M:$M,0))&amp;"",""))</f>
        <v/>
      </c>
      <c r="O1413" s="6" t="str">
        <f>IF($A1413="","",IF(OR($J1413&lt;&gt;"x",$A1413&lt;=FinReleve),1,0))</f>
        <v/>
      </c>
      <c r="P1413" s="6" t="str">
        <f>IF($D1413="","",IF(AND($L1413="Crédit",OR(IFERROR(INDEX('Paramètres'!$O:$O,MATCH($D1413,'Paramètres'!$M:$M,0))&amp;"","")&lt;&gt;"",ISNUMBER(SEARCH("remboursement",IFERROR(INDEX('Paramètres'!$N:$N,MATCH($D1413,'Paramètres'!$M:$M,0))&amp;"",""))))),1,0))</f>
        <v/>
      </c>
      <c r="Q1413" s="6" t="str">
        <f>IF($K1413="","",IF(ISNUMBER(SEARCH("transfert-interne",IFERROR(INDEX('Paramètres'!$N:$N,MATCH($D1413,'Paramètres'!$M:$M,0))&amp;"",""))),0,IF($L1413="Débit",$K1413,IF($P1413=1,-$K1413,0))))</f>
        <v/>
      </c>
      <c r="R1413" s="6" t="str">
        <f>IF($K1413="","",IF($L1413="Crédit",$K1413,-$K1413))</f>
        <v/>
      </c>
      <c r="S1413" s="6" t="str">
        <f>IF($C1413="","",IFERROR(INDEX('Paramètres'!$H:$H,MATCH($C1413,'Paramètres'!$D:$D,0))&amp;"",""))</f>
        <v/>
      </c>
      <c r="T1413" s="6" t="str">
        <f>IF($K1413="","",IF($S1413="",0,IF(ISNUMBER(SEARCH("apport-exterieur",IFERROR(INDEX('Paramètres'!$N:$N,MATCH($D1413,'Paramètres'!$M:$M,0))&amp;"",""))),0,IF(OR(IFERROR(INDEX('Paramètres'!$I:$I,MATCH($C1413,'Paramètres'!$D:$D,0))&amp;"","")="Les deux",IFERROR(INDEX('Paramètres'!$I:$I,MATCH($C1413,'Paramètres'!$D:$D,0))&amp;"","")=IF($P1413=1,"Débit",$L1413)),-IF($P1413=1,-$K1413,$K1413),0))))</f>
        <v/>
      </c>
      <c r="U1413" s="6" t="str">
        <f>IF($K1413="","",IF(ISNUMBER(SEARCH("sortie-epargne",IFERROR(INDEX('Paramètres'!$N:$N,MATCH($D1413,'Paramètres'!$M:$M,0))&amp;"",""))),$K1413,0))</f>
        <v/>
      </c>
      <c r="V1413" s="6" t="str">
        <f>IF(AND($A1413&lt;&gt;"",$O1413=1,$L1413="Débit",N($Q1413)&gt;0,$A1413&gt;=Visualisation!$B$1,$A1413&lt;Visualisation!$D$1),MAX($V$1:V1412)+1,"")</f>
        <v/>
      </c>
    </row>
    <row r="1414" spans="1:22" x14ac:dyDescent="0.25">
      <c r="A1414" s="9"/>
      <c r="E1414" s="10"/>
      <c r="K1414" s="11" t="str">
        <f>IF($E1414="","",ROUND($E1414*IF(ISNA(MATCH($C1414,'Paramètres'!$D:$D,0)),1,IF(INDEX('Paramètres'!$J:$J,MATCH($C1414,'Paramètres'!$D:$D,0))="",1,INDEX('Paramètres'!$J:$J,MATCH($C1414,'Paramètres'!$D:$D,0)))),2))</f>
        <v/>
      </c>
      <c r="L1414" s="6" t="str">
        <f>IF($D1414="","",IF($F1414&lt;&gt;"",$F1414,IF(ISNA(MATCH($D1414,'Paramètres'!$M:$M,0)),"⚠ Type inconnu",IFERROR(INDEX('Paramètres'!$P:$P,MATCH($D1414,'Paramètres'!$M:$M,0))&amp;"",""))))</f>
        <v/>
      </c>
      <c r="M1414" s="6" t="str">
        <f>IF($D1414="","",IF(ISNA(MATCH($D1414,'Paramètres'!$M:$M,0)),"⚠ Type inconnu",IF($L1414="Crédit","",IFERROR(INDEX('Paramètres'!$O:$O,MATCH($D1414,'Paramètres'!$M:$M,0))&amp;"",""))))</f>
        <v/>
      </c>
      <c r="N1414" s="6" t="str">
        <f>IF($D1414="","",IFERROR(INDEX('Paramètres'!$Q:$Q,MATCH($D1414,'Paramètres'!$M:$M,0))&amp;"",""))</f>
        <v/>
      </c>
      <c r="O1414" s="6" t="str">
        <f>IF($A1414="","",IF(OR($J1414&lt;&gt;"x",$A1414&lt;=FinReleve),1,0))</f>
        <v/>
      </c>
      <c r="P1414" s="6" t="str">
        <f>IF($D1414="","",IF(AND($L1414="Crédit",OR(IFERROR(INDEX('Paramètres'!$O:$O,MATCH($D1414,'Paramètres'!$M:$M,0))&amp;"","")&lt;&gt;"",ISNUMBER(SEARCH("remboursement",IFERROR(INDEX('Paramètres'!$N:$N,MATCH($D1414,'Paramètres'!$M:$M,0))&amp;"",""))))),1,0))</f>
        <v/>
      </c>
      <c r="Q1414" s="6" t="str">
        <f>IF($K1414="","",IF(ISNUMBER(SEARCH("transfert-interne",IFERROR(INDEX('Paramètres'!$N:$N,MATCH($D1414,'Paramètres'!$M:$M,0))&amp;"",""))),0,IF($L1414="Débit",$K1414,IF($P1414=1,-$K1414,0))))</f>
        <v/>
      </c>
      <c r="R1414" s="6" t="str">
        <f>IF($K1414="","",IF($L1414="Crédit",$K1414,-$K1414))</f>
        <v/>
      </c>
      <c r="S1414" s="6" t="str">
        <f>IF($C1414="","",IFERROR(INDEX('Paramètres'!$H:$H,MATCH($C1414,'Paramètres'!$D:$D,0))&amp;"",""))</f>
        <v/>
      </c>
      <c r="T1414" s="6" t="str">
        <f>IF($K1414="","",IF($S1414="",0,IF(ISNUMBER(SEARCH("apport-exterieur",IFERROR(INDEX('Paramètres'!$N:$N,MATCH($D1414,'Paramètres'!$M:$M,0))&amp;"",""))),0,IF(OR(IFERROR(INDEX('Paramètres'!$I:$I,MATCH($C1414,'Paramètres'!$D:$D,0))&amp;"","")="Les deux",IFERROR(INDEX('Paramètres'!$I:$I,MATCH($C1414,'Paramètres'!$D:$D,0))&amp;"","")=IF($P1414=1,"Débit",$L1414)),-IF($P1414=1,-$K1414,$K1414),0))))</f>
        <v/>
      </c>
      <c r="U1414" s="6" t="str">
        <f>IF($K1414="","",IF(ISNUMBER(SEARCH("sortie-epargne",IFERROR(INDEX('Paramètres'!$N:$N,MATCH($D1414,'Paramètres'!$M:$M,0))&amp;"",""))),$K1414,0))</f>
        <v/>
      </c>
      <c r="V1414" s="6" t="str">
        <f>IF(AND($A1414&lt;&gt;"",$O1414=1,$L1414="Débit",N($Q1414)&gt;0,$A1414&gt;=Visualisation!$B$1,$A1414&lt;Visualisation!$D$1),MAX($V$1:V1413)+1,"")</f>
        <v/>
      </c>
    </row>
    <row r="1415" spans="1:22" x14ac:dyDescent="0.25">
      <c r="A1415" s="9"/>
      <c r="E1415" s="10"/>
      <c r="K1415" s="11" t="str">
        <f>IF($E1415="","",ROUND($E1415*IF(ISNA(MATCH($C1415,'Paramètres'!$D:$D,0)),1,IF(INDEX('Paramètres'!$J:$J,MATCH($C1415,'Paramètres'!$D:$D,0))="",1,INDEX('Paramètres'!$J:$J,MATCH($C1415,'Paramètres'!$D:$D,0)))),2))</f>
        <v/>
      </c>
      <c r="L1415" s="6" t="str">
        <f>IF($D1415="","",IF($F1415&lt;&gt;"",$F1415,IF(ISNA(MATCH($D1415,'Paramètres'!$M:$M,0)),"⚠ Type inconnu",IFERROR(INDEX('Paramètres'!$P:$P,MATCH($D1415,'Paramètres'!$M:$M,0))&amp;"",""))))</f>
        <v/>
      </c>
      <c r="M1415" s="6" t="str">
        <f>IF($D1415="","",IF(ISNA(MATCH($D1415,'Paramètres'!$M:$M,0)),"⚠ Type inconnu",IF($L1415="Crédit","",IFERROR(INDEX('Paramètres'!$O:$O,MATCH($D1415,'Paramètres'!$M:$M,0))&amp;"",""))))</f>
        <v/>
      </c>
      <c r="N1415" s="6" t="str">
        <f>IF($D1415="","",IFERROR(INDEX('Paramètres'!$Q:$Q,MATCH($D1415,'Paramètres'!$M:$M,0))&amp;"",""))</f>
        <v/>
      </c>
      <c r="O1415" s="6" t="str">
        <f>IF($A1415="","",IF(OR($J1415&lt;&gt;"x",$A1415&lt;=FinReleve),1,0))</f>
        <v/>
      </c>
      <c r="P1415" s="6" t="str">
        <f>IF($D1415="","",IF(AND($L1415="Crédit",OR(IFERROR(INDEX('Paramètres'!$O:$O,MATCH($D1415,'Paramètres'!$M:$M,0))&amp;"","")&lt;&gt;"",ISNUMBER(SEARCH("remboursement",IFERROR(INDEX('Paramètres'!$N:$N,MATCH($D1415,'Paramètres'!$M:$M,0))&amp;"",""))))),1,0))</f>
        <v/>
      </c>
      <c r="Q1415" s="6" t="str">
        <f>IF($K1415="","",IF(ISNUMBER(SEARCH("transfert-interne",IFERROR(INDEX('Paramètres'!$N:$N,MATCH($D1415,'Paramètres'!$M:$M,0))&amp;"",""))),0,IF($L1415="Débit",$K1415,IF($P1415=1,-$K1415,0))))</f>
        <v/>
      </c>
      <c r="R1415" s="6" t="str">
        <f>IF($K1415="","",IF($L1415="Crédit",$K1415,-$K1415))</f>
        <v/>
      </c>
      <c r="S1415" s="6" t="str">
        <f>IF($C1415="","",IFERROR(INDEX('Paramètres'!$H:$H,MATCH($C1415,'Paramètres'!$D:$D,0))&amp;"",""))</f>
        <v/>
      </c>
      <c r="T1415" s="6" t="str">
        <f>IF($K1415="","",IF($S1415="",0,IF(ISNUMBER(SEARCH("apport-exterieur",IFERROR(INDEX('Paramètres'!$N:$N,MATCH($D1415,'Paramètres'!$M:$M,0))&amp;"",""))),0,IF(OR(IFERROR(INDEX('Paramètres'!$I:$I,MATCH($C1415,'Paramètres'!$D:$D,0))&amp;"","")="Les deux",IFERROR(INDEX('Paramètres'!$I:$I,MATCH($C1415,'Paramètres'!$D:$D,0))&amp;"","")=IF($P1415=1,"Débit",$L1415)),-IF($P1415=1,-$K1415,$K1415),0))))</f>
        <v/>
      </c>
      <c r="U1415" s="6" t="str">
        <f>IF($K1415="","",IF(ISNUMBER(SEARCH("sortie-epargne",IFERROR(INDEX('Paramètres'!$N:$N,MATCH($D1415,'Paramètres'!$M:$M,0))&amp;"",""))),$K1415,0))</f>
        <v/>
      </c>
      <c r="V1415" s="6" t="str">
        <f>IF(AND($A1415&lt;&gt;"",$O1415=1,$L1415="Débit",N($Q1415)&gt;0,$A1415&gt;=Visualisation!$B$1,$A1415&lt;Visualisation!$D$1),MAX($V$1:V1414)+1,"")</f>
        <v/>
      </c>
    </row>
    <row r="1416" spans="1:22" x14ac:dyDescent="0.25">
      <c r="A1416" s="9"/>
      <c r="E1416" s="10"/>
      <c r="K1416" s="11" t="str">
        <f>IF($E1416="","",ROUND($E1416*IF(ISNA(MATCH($C1416,'Paramètres'!$D:$D,0)),1,IF(INDEX('Paramètres'!$J:$J,MATCH($C1416,'Paramètres'!$D:$D,0))="",1,INDEX('Paramètres'!$J:$J,MATCH($C1416,'Paramètres'!$D:$D,0)))),2))</f>
        <v/>
      </c>
      <c r="L1416" s="6" t="str">
        <f>IF($D1416="","",IF($F1416&lt;&gt;"",$F1416,IF(ISNA(MATCH($D1416,'Paramètres'!$M:$M,0)),"⚠ Type inconnu",IFERROR(INDEX('Paramètres'!$P:$P,MATCH($D1416,'Paramètres'!$M:$M,0))&amp;"",""))))</f>
        <v/>
      </c>
      <c r="M1416" s="6" t="str">
        <f>IF($D1416="","",IF(ISNA(MATCH($D1416,'Paramètres'!$M:$M,0)),"⚠ Type inconnu",IF($L1416="Crédit","",IFERROR(INDEX('Paramètres'!$O:$O,MATCH($D1416,'Paramètres'!$M:$M,0))&amp;"",""))))</f>
        <v/>
      </c>
      <c r="N1416" s="6" t="str">
        <f>IF($D1416="","",IFERROR(INDEX('Paramètres'!$Q:$Q,MATCH($D1416,'Paramètres'!$M:$M,0))&amp;"",""))</f>
        <v/>
      </c>
      <c r="O1416" s="6" t="str">
        <f>IF($A1416="","",IF(OR($J1416&lt;&gt;"x",$A1416&lt;=FinReleve),1,0))</f>
        <v/>
      </c>
      <c r="P1416" s="6" t="str">
        <f>IF($D1416="","",IF(AND($L1416="Crédit",OR(IFERROR(INDEX('Paramètres'!$O:$O,MATCH($D1416,'Paramètres'!$M:$M,0))&amp;"","")&lt;&gt;"",ISNUMBER(SEARCH("remboursement",IFERROR(INDEX('Paramètres'!$N:$N,MATCH($D1416,'Paramètres'!$M:$M,0))&amp;"",""))))),1,0))</f>
        <v/>
      </c>
      <c r="Q1416" s="6" t="str">
        <f>IF($K1416="","",IF(ISNUMBER(SEARCH("transfert-interne",IFERROR(INDEX('Paramètres'!$N:$N,MATCH($D1416,'Paramètres'!$M:$M,0))&amp;"",""))),0,IF($L1416="Débit",$K1416,IF($P1416=1,-$K1416,0))))</f>
        <v/>
      </c>
      <c r="R1416" s="6" t="str">
        <f>IF($K1416="","",IF($L1416="Crédit",$K1416,-$K1416))</f>
        <v/>
      </c>
      <c r="S1416" s="6" t="str">
        <f>IF($C1416="","",IFERROR(INDEX('Paramètres'!$H:$H,MATCH($C1416,'Paramètres'!$D:$D,0))&amp;"",""))</f>
        <v/>
      </c>
      <c r="T1416" s="6" t="str">
        <f>IF($K1416="","",IF($S1416="",0,IF(ISNUMBER(SEARCH("apport-exterieur",IFERROR(INDEX('Paramètres'!$N:$N,MATCH($D1416,'Paramètres'!$M:$M,0))&amp;"",""))),0,IF(OR(IFERROR(INDEX('Paramètres'!$I:$I,MATCH($C1416,'Paramètres'!$D:$D,0))&amp;"","")="Les deux",IFERROR(INDEX('Paramètres'!$I:$I,MATCH($C1416,'Paramètres'!$D:$D,0))&amp;"","")=IF($P1416=1,"Débit",$L1416)),-IF($P1416=1,-$K1416,$K1416),0))))</f>
        <v/>
      </c>
      <c r="U1416" s="6" t="str">
        <f>IF($K1416="","",IF(ISNUMBER(SEARCH("sortie-epargne",IFERROR(INDEX('Paramètres'!$N:$N,MATCH($D1416,'Paramètres'!$M:$M,0))&amp;"",""))),$K1416,0))</f>
        <v/>
      </c>
      <c r="V1416" s="6" t="str">
        <f>IF(AND($A1416&lt;&gt;"",$O1416=1,$L1416="Débit",N($Q1416)&gt;0,$A1416&gt;=Visualisation!$B$1,$A1416&lt;Visualisation!$D$1),MAX($V$1:V1415)+1,"")</f>
        <v/>
      </c>
    </row>
    <row r="1417" spans="1:22" x14ac:dyDescent="0.25">
      <c r="A1417" s="9"/>
      <c r="E1417" s="10"/>
      <c r="K1417" s="11" t="str">
        <f>IF($E1417="","",ROUND($E1417*IF(ISNA(MATCH($C1417,'Paramètres'!$D:$D,0)),1,IF(INDEX('Paramètres'!$J:$J,MATCH($C1417,'Paramètres'!$D:$D,0))="",1,INDEX('Paramètres'!$J:$J,MATCH($C1417,'Paramètres'!$D:$D,0)))),2))</f>
        <v/>
      </c>
      <c r="L1417" s="6" t="str">
        <f>IF($D1417="","",IF($F1417&lt;&gt;"",$F1417,IF(ISNA(MATCH($D1417,'Paramètres'!$M:$M,0)),"⚠ Type inconnu",IFERROR(INDEX('Paramètres'!$P:$P,MATCH($D1417,'Paramètres'!$M:$M,0))&amp;"",""))))</f>
        <v/>
      </c>
      <c r="M1417" s="6" t="str">
        <f>IF($D1417="","",IF(ISNA(MATCH($D1417,'Paramètres'!$M:$M,0)),"⚠ Type inconnu",IF($L1417="Crédit","",IFERROR(INDEX('Paramètres'!$O:$O,MATCH($D1417,'Paramètres'!$M:$M,0))&amp;"",""))))</f>
        <v/>
      </c>
      <c r="N1417" s="6" t="str">
        <f>IF($D1417="","",IFERROR(INDEX('Paramètres'!$Q:$Q,MATCH($D1417,'Paramètres'!$M:$M,0))&amp;"",""))</f>
        <v/>
      </c>
      <c r="O1417" s="6" t="str">
        <f>IF($A1417="","",IF(OR($J1417&lt;&gt;"x",$A1417&lt;=FinReleve),1,0))</f>
        <v/>
      </c>
      <c r="P1417" s="6" t="str">
        <f>IF($D1417="","",IF(AND($L1417="Crédit",OR(IFERROR(INDEX('Paramètres'!$O:$O,MATCH($D1417,'Paramètres'!$M:$M,0))&amp;"","")&lt;&gt;"",ISNUMBER(SEARCH("remboursement",IFERROR(INDEX('Paramètres'!$N:$N,MATCH($D1417,'Paramètres'!$M:$M,0))&amp;"",""))))),1,0))</f>
        <v/>
      </c>
      <c r="Q1417" s="6" t="str">
        <f>IF($K1417="","",IF(ISNUMBER(SEARCH("transfert-interne",IFERROR(INDEX('Paramètres'!$N:$N,MATCH($D1417,'Paramètres'!$M:$M,0))&amp;"",""))),0,IF($L1417="Débit",$K1417,IF($P1417=1,-$K1417,0))))</f>
        <v/>
      </c>
      <c r="R1417" s="6" t="str">
        <f>IF($K1417="","",IF($L1417="Crédit",$K1417,-$K1417))</f>
        <v/>
      </c>
      <c r="S1417" s="6" t="str">
        <f>IF($C1417="","",IFERROR(INDEX('Paramètres'!$H:$H,MATCH($C1417,'Paramètres'!$D:$D,0))&amp;"",""))</f>
        <v/>
      </c>
      <c r="T1417" s="6" t="str">
        <f>IF($K1417="","",IF($S1417="",0,IF(ISNUMBER(SEARCH("apport-exterieur",IFERROR(INDEX('Paramètres'!$N:$N,MATCH($D1417,'Paramètres'!$M:$M,0))&amp;"",""))),0,IF(OR(IFERROR(INDEX('Paramètres'!$I:$I,MATCH($C1417,'Paramètres'!$D:$D,0))&amp;"","")="Les deux",IFERROR(INDEX('Paramètres'!$I:$I,MATCH($C1417,'Paramètres'!$D:$D,0))&amp;"","")=IF($P1417=1,"Débit",$L1417)),-IF($P1417=1,-$K1417,$K1417),0))))</f>
        <v/>
      </c>
      <c r="U1417" s="6" t="str">
        <f>IF($K1417="","",IF(ISNUMBER(SEARCH("sortie-epargne",IFERROR(INDEX('Paramètres'!$N:$N,MATCH($D1417,'Paramètres'!$M:$M,0))&amp;"",""))),$K1417,0))</f>
        <v/>
      </c>
      <c r="V1417" s="6" t="str">
        <f>IF(AND($A1417&lt;&gt;"",$O1417=1,$L1417="Débit",N($Q1417)&gt;0,$A1417&gt;=Visualisation!$B$1,$A1417&lt;Visualisation!$D$1),MAX($V$1:V1416)+1,"")</f>
        <v/>
      </c>
    </row>
    <row r="1418" spans="1:22" x14ac:dyDescent="0.25">
      <c r="A1418" s="9"/>
      <c r="E1418" s="10"/>
      <c r="K1418" s="11" t="str">
        <f>IF($E1418="","",ROUND($E1418*IF(ISNA(MATCH($C1418,'Paramètres'!$D:$D,0)),1,IF(INDEX('Paramètres'!$J:$J,MATCH($C1418,'Paramètres'!$D:$D,0))="",1,INDEX('Paramètres'!$J:$J,MATCH($C1418,'Paramètres'!$D:$D,0)))),2))</f>
        <v/>
      </c>
      <c r="L1418" s="6" t="str">
        <f>IF($D1418="","",IF($F1418&lt;&gt;"",$F1418,IF(ISNA(MATCH($D1418,'Paramètres'!$M:$M,0)),"⚠ Type inconnu",IFERROR(INDEX('Paramètres'!$P:$P,MATCH($D1418,'Paramètres'!$M:$M,0))&amp;"",""))))</f>
        <v/>
      </c>
      <c r="M1418" s="6" t="str">
        <f>IF($D1418="","",IF(ISNA(MATCH($D1418,'Paramètres'!$M:$M,0)),"⚠ Type inconnu",IF($L1418="Crédit","",IFERROR(INDEX('Paramètres'!$O:$O,MATCH($D1418,'Paramètres'!$M:$M,0))&amp;"",""))))</f>
        <v/>
      </c>
      <c r="N1418" s="6" t="str">
        <f>IF($D1418="","",IFERROR(INDEX('Paramètres'!$Q:$Q,MATCH($D1418,'Paramètres'!$M:$M,0))&amp;"",""))</f>
        <v/>
      </c>
      <c r="O1418" s="6" t="str">
        <f>IF($A1418="","",IF(OR($J1418&lt;&gt;"x",$A1418&lt;=FinReleve),1,0))</f>
        <v/>
      </c>
      <c r="P1418" s="6" t="str">
        <f>IF($D1418="","",IF(AND($L1418="Crédit",OR(IFERROR(INDEX('Paramètres'!$O:$O,MATCH($D1418,'Paramètres'!$M:$M,0))&amp;"","")&lt;&gt;"",ISNUMBER(SEARCH("remboursement",IFERROR(INDEX('Paramètres'!$N:$N,MATCH($D1418,'Paramètres'!$M:$M,0))&amp;"",""))))),1,0))</f>
        <v/>
      </c>
      <c r="Q1418" s="6" t="str">
        <f>IF($K1418="","",IF(ISNUMBER(SEARCH("transfert-interne",IFERROR(INDEX('Paramètres'!$N:$N,MATCH($D1418,'Paramètres'!$M:$M,0))&amp;"",""))),0,IF($L1418="Débit",$K1418,IF($P1418=1,-$K1418,0))))</f>
        <v/>
      </c>
      <c r="R1418" s="6" t="str">
        <f>IF($K1418="","",IF($L1418="Crédit",$K1418,-$K1418))</f>
        <v/>
      </c>
      <c r="S1418" s="6" t="str">
        <f>IF($C1418="","",IFERROR(INDEX('Paramètres'!$H:$H,MATCH($C1418,'Paramètres'!$D:$D,0))&amp;"",""))</f>
        <v/>
      </c>
      <c r="T1418" s="6" t="str">
        <f>IF($K1418="","",IF($S1418="",0,IF(ISNUMBER(SEARCH("apport-exterieur",IFERROR(INDEX('Paramètres'!$N:$N,MATCH($D1418,'Paramètres'!$M:$M,0))&amp;"",""))),0,IF(OR(IFERROR(INDEX('Paramètres'!$I:$I,MATCH($C1418,'Paramètres'!$D:$D,0))&amp;"","")="Les deux",IFERROR(INDEX('Paramètres'!$I:$I,MATCH($C1418,'Paramètres'!$D:$D,0))&amp;"","")=IF($P1418=1,"Débit",$L1418)),-IF($P1418=1,-$K1418,$K1418),0))))</f>
        <v/>
      </c>
      <c r="U1418" s="6" t="str">
        <f>IF($K1418="","",IF(ISNUMBER(SEARCH("sortie-epargne",IFERROR(INDEX('Paramètres'!$N:$N,MATCH($D1418,'Paramètres'!$M:$M,0))&amp;"",""))),$K1418,0))</f>
        <v/>
      </c>
      <c r="V1418" s="6" t="str">
        <f>IF(AND($A1418&lt;&gt;"",$O1418=1,$L1418="Débit",N($Q1418)&gt;0,$A1418&gt;=Visualisation!$B$1,$A1418&lt;Visualisation!$D$1),MAX($V$1:V1417)+1,"")</f>
        <v/>
      </c>
    </row>
    <row r="1419" spans="1:22" x14ac:dyDescent="0.25">
      <c r="A1419" s="9"/>
      <c r="E1419" s="10"/>
      <c r="K1419" s="11" t="str">
        <f>IF($E1419="","",ROUND($E1419*IF(ISNA(MATCH($C1419,'Paramètres'!$D:$D,0)),1,IF(INDEX('Paramètres'!$J:$J,MATCH($C1419,'Paramètres'!$D:$D,0))="",1,INDEX('Paramètres'!$J:$J,MATCH($C1419,'Paramètres'!$D:$D,0)))),2))</f>
        <v/>
      </c>
      <c r="L1419" s="6" t="str">
        <f>IF($D1419="","",IF($F1419&lt;&gt;"",$F1419,IF(ISNA(MATCH($D1419,'Paramètres'!$M:$M,0)),"⚠ Type inconnu",IFERROR(INDEX('Paramètres'!$P:$P,MATCH($D1419,'Paramètres'!$M:$M,0))&amp;"",""))))</f>
        <v/>
      </c>
      <c r="M1419" s="6" t="str">
        <f>IF($D1419="","",IF(ISNA(MATCH($D1419,'Paramètres'!$M:$M,0)),"⚠ Type inconnu",IF($L1419="Crédit","",IFERROR(INDEX('Paramètres'!$O:$O,MATCH($D1419,'Paramètres'!$M:$M,0))&amp;"",""))))</f>
        <v/>
      </c>
      <c r="N1419" s="6" t="str">
        <f>IF($D1419="","",IFERROR(INDEX('Paramètres'!$Q:$Q,MATCH($D1419,'Paramètres'!$M:$M,0))&amp;"",""))</f>
        <v/>
      </c>
      <c r="O1419" s="6" t="str">
        <f>IF($A1419="","",IF(OR($J1419&lt;&gt;"x",$A1419&lt;=FinReleve),1,0))</f>
        <v/>
      </c>
      <c r="P1419" s="6" t="str">
        <f>IF($D1419="","",IF(AND($L1419="Crédit",OR(IFERROR(INDEX('Paramètres'!$O:$O,MATCH($D1419,'Paramètres'!$M:$M,0))&amp;"","")&lt;&gt;"",ISNUMBER(SEARCH("remboursement",IFERROR(INDEX('Paramètres'!$N:$N,MATCH($D1419,'Paramètres'!$M:$M,0))&amp;"",""))))),1,0))</f>
        <v/>
      </c>
      <c r="Q1419" s="6" t="str">
        <f>IF($K1419="","",IF(ISNUMBER(SEARCH("transfert-interne",IFERROR(INDEX('Paramètres'!$N:$N,MATCH($D1419,'Paramètres'!$M:$M,0))&amp;"",""))),0,IF($L1419="Débit",$K1419,IF($P1419=1,-$K1419,0))))</f>
        <v/>
      </c>
      <c r="R1419" s="6" t="str">
        <f>IF($K1419="","",IF($L1419="Crédit",$K1419,-$K1419))</f>
        <v/>
      </c>
      <c r="S1419" s="6" t="str">
        <f>IF($C1419="","",IFERROR(INDEX('Paramètres'!$H:$H,MATCH($C1419,'Paramètres'!$D:$D,0))&amp;"",""))</f>
        <v/>
      </c>
      <c r="T1419" s="6" t="str">
        <f>IF($K1419="","",IF($S1419="",0,IF(ISNUMBER(SEARCH("apport-exterieur",IFERROR(INDEX('Paramètres'!$N:$N,MATCH($D1419,'Paramètres'!$M:$M,0))&amp;"",""))),0,IF(OR(IFERROR(INDEX('Paramètres'!$I:$I,MATCH($C1419,'Paramètres'!$D:$D,0))&amp;"","")="Les deux",IFERROR(INDEX('Paramètres'!$I:$I,MATCH($C1419,'Paramètres'!$D:$D,0))&amp;"","")=IF($P1419=1,"Débit",$L1419)),-IF($P1419=1,-$K1419,$K1419),0))))</f>
        <v/>
      </c>
      <c r="U1419" s="6" t="str">
        <f>IF($K1419="","",IF(ISNUMBER(SEARCH("sortie-epargne",IFERROR(INDEX('Paramètres'!$N:$N,MATCH($D1419,'Paramètres'!$M:$M,0))&amp;"",""))),$K1419,0))</f>
        <v/>
      </c>
      <c r="V1419" s="6" t="str">
        <f>IF(AND($A1419&lt;&gt;"",$O1419=1,$L1419="Débit",N($Q1419)&gt;0,$A1419&gt;=Visualisation!$B$1,$A1419&lt;Visualisation!$D$1),MAX($V$1:V1418)+1,"")</f>
        <v/>
      </c>
    </row>
    <row r="1420" spans="1:22" x14ac:dyDescent="0.25">
      <c r="A1420" s="9"/>
      <c r="E1420" s="10"/>
      <c r="K1420" s="11" t="str">
        <f>IF($E1420="","",ROUND($E1420*IF(ISNA(MATCH($C1420,'Paramètres'!$D:$D,0)),1,IF(INDEX('Paramètres'!$J:$J,MATCH($C1420,'Paramètres'!$D:$D,0))="",1,INDEX('Paramètres'!$J:$J,MATCH($C1420,'Paramètres'!$D:$D,0)))),2))</f>
        <v/>
      </c>
      <c r="L1420" s="6" t="str">
        <f>IF($D1420="","",IF($F1420&lt;&gt;"",$F1420,IF(ISNA(MATCH($D1420,'Paramètres'!$M:$M,0)),"⚠ Type inconnu",IFERROR(INDEX('Paramètres'!$P:$P,MATCH($D1420,'Paramètres'!$M:$M,0))&amp;"",""))))</f>
        <v/>
      </c>
      <c r="M1420" s="6" t="str">
        <f>IF($D1420="","",IF(ISNA(MATCH($D1420,'Paramètres'!$M:$M,0)),"⚠ Type inconnu",IF($L1420="Crédit","",IFERROR(INDEX('Paramètres'!$O:$O,MATCH($D1420,'Paramètres'!$M:$M,0))&amp;"",""))))</f>
        <v/>
      </c>
      <c r="N1420" s="6" t="str">
        <f>IF($D1420="","",IFERROR(INDEX('Paramètres'!$Q:$Q,MATCH($D1420,'Paramètres'!$M:$M,0))&amp;"",""))</f>
        <v/>
      </c>
      <c r="O1420" s="6" t="str">
        <f>IF($A1420="","",IF(OR($J1420&lt;&gt;"x",$A1420&lt;=FinReleve),1,0))</f>
        <v/>
      </c>
      <c r="P1420" s="6" t="str">
        <f>IF($D1420="","",IF(AND($L1420="Crédit",OR(IFERROR(INDEX('Paramètres'!$O:$O,MATCH($D1420,'Paramètres'!$M:$M,0))&amp;"","")&lt;&gt;"",ISNUMBER(SEARCH("remboursement",IFERROR(INDEX('Paramètres'!$N:$N,MATCH($D1420,'Paramètres'!$M:$M,0))&amp;"",""))))),1,0))</f>
        <v/>
      </c>
      <c r="Q1420" s="6" t="str">
        <f>IF($K1420="","",IF(ISNUMBER(SEARCH("transfert-interne",IFERROR(INDEX('Paramètres'!$N:$N,MATCH($D1420,'Paramètres'!$M:$M,0))&amp;"",""))),0,IF($L1420="Débit",$K1420,IF($P1420=1,-$K1420,0))))</f>
        <v/>
      </c>
      <c r="R1420" s="6" t="str">
        <f>IF($K1420="","",IF($L1420="Crédit",$K1420,-$K1420))</f>
        <v/>
      </c>
      <c r="S1420" s="6" t="str">
        <f>IF($C1420="","",IFERROR(INDEX('Paramètres'!$H:$H,MATCH($C1420,'Paramètres'!$D:$D,0))&amp;"",""))</f>
        <v/>
      </c>
      <c r="T1420" s="6" t="str">
        <f>IF($K1420="","",IF($S1420="",0,IF(ISNUMBER(SEARCH("apport-exterieur",IFERROR(INDEX('Paramètres'!$N:$N,MATCH($D1420,'Paramètres'!$M:$M,0))&amp;"",""))),0,IF(OR(IFERROR(INDEX('Paramètres'!$I:$I,MATCH($C1420,'Paramètres'!$D:$D,0))&amp;"","")="Les deux",IFERROR(INDEX('Paramètres'!$I:$I,MATCH($C1420,'Paramètres'!$D:$D,0))&amp;"","")=IF($P1420=1,"Débit",$L1420)),-IF($P1420=1,-$K1420,$K1420),0))))</f>
        <v/>
      </c>
      <c r="U1420" s="6" t="str">
        <f>IF($K1420="","",IF(ISNUMBER(SEARCH("sortie-epargne",IFERROR(INDEX('Paramètres'!$N:$N,MATCH($D1420,'Paramètres'!$M:$M,0))&amp;"",""))),$K1420,0))</f>
        <v/>
      </c>
      <c r="V1420" s="6" t="str">
        <f>IF(AND($A1420&lt;&gt;"",$O1420=1,$L1420="Débit",N($Q1420)&gt;0,$A1420&gt;=Visualisation!$B$1,$A1420&lt;Visualisation!$D$1),MAX($V$1:V1419)+1,"")</f>
        <v/>
      </c>
    </row>
    <row r="1421" spans="1:22" x14ac:dyDescent="0.25">
      <c r="A1421" s="9"/>
      <c r="E1421" s="10"/>
      <c r="K1421" s="11" t="str">
        <f>IF($E1421="","",ROUND($E1421*IF(ISNA(MATCH($C1421,'Paramètres'!$D:$D,0)),1,IF(INDEX('Paramètres'!$J:$J,MATCH($C1421,'Paramètres'!$D:$D,0))="",1,INDEX('Paramètres'!$J:$J,MATCH($C1421,'Paramètres'!$D:$D,0)))),2))</f>
        <v/>
      </c>
      <c r="L1421" s="6" t="str">
        <f>IF($D1421="","",IF($F1421&lt;&gt;"",$F1421,IF(ISNA(MATCH($D1421,'Paramètres'!$M:$M,0)),"⚠ Type inconnu",IFERROR(INDEX('Paramètres'!$P:$P,MATCH($D1421,'Paramètres'!$M:$M,0))&amp;"",""))))</f>
        <v/>
      </c>
      <c r="M1421" s="6" t="str">
        <f>IF($D1421="","",IF(ISNA(MATCH($D1421,'Paramètres'!$M:$M,0)),"⚠ Type inconnu",IF($L1421="Crédit","",IFERROR(INDEX('Paramètres'!$O:$O,MATCH($D1421,'Paramètres'!$M:$M,0))&amp;"",""))))</f>
        <v/>
      </c>
      <c r="N1421" s="6" t="str">
        <f>IF($D1421="","",IFERROR(INDEX('Paramètres'!$Q:$Q,MATCH($D1421,'Paramètres'!$M:$M,0))&amp;"",""))</f>
        <v/>
      </c>
      <c r="O1421" s="6" t="str">
        <f>IF($A1421="","",IF(OR($J1421&lt;&gt;"x",$A1421&lt;=FinReleve),1,0))</f>
        <v/>
      </c>
      <c r="P1421" s="6" t="str">
        <f>IF($D1421="","",IF(AND($L1421="Crédit",OR(IFERROR(INDEX('Paramètres'!$O:$O,MATCH($D1421,'Paramètres'!$M:$M,0))&amp;"","")&lt;&gt;"",ISNUMBER(SEARCH("remboursement",IFERROR(INDEX('Paramètres'!$N:$N,MATCH($D1421,'Paramètres'!$M:$M,0))&amp;"",""))))),1,0))</f>
        <v/>
      </c>
      <c r="Q1421" s="6" t="str">
        <f>IF($K1421="","",IF(ISNUMBER(SEARCH("transfert-interne",IFERROR(INDEX('Paramètres'!$N:$N,MATCH($D1421,'Paramètres'!$M:$M,0))&amp;"",""))),0,IF($L1421="Débit",$K1421,IF($P1421=1,-$K1421,0))))</f>
        <v/>
      </c>
      <c r="R1421" s="6" t="str">
        <f>IF($K1421="","",IF($L1421="Crédit",$K1421,-$K1421))</f>
        <v/>
      </c>
      <c r="S1421" s="6" t="str">
        <f>IF($C1421="","",IFERROR(INDEX('Paramètres'!$H:$H,MATCH($C1421,'Paramètres'!$D:$D,0))&amp;"",""))</f>
        <v/>
      </c>
      <c r="T1421" s="6" t="str">
        <f>IF($K1421="","",IF($S1421="",0,IF(ISNUMBER(SEARCH("apport-exterieur",IFERROR(INDEX('Paramètres'!$N:$N,MATCH($D1421,'Paramètres'!$M:$M,0))&amp;"",""))),0,IF(OR(IFERROR(INDEX('Paramètres'!$I:$I,MATCH($C1421,'Paramètres'!$D:$D,0))&amp;"","")="Les deux",IFERROR(INDEX('Paramètres'!$I:$I,MATCH($C1421,'Paramètres'!$D:$D,0))&amp;"","")=IF($P1421=1,"Débit",$L1421)),-IF($P1421=1,-$K1421,$K1421),0))))</f>
        <v/>
      </c>
      <c r="U1421" s="6" t="str">
        <f>IF($K1421="","",IF(ISNUMBER(SEARCH("sortie-epargne",IFERROR(INDEX('Paramètres'!$N:$N,MATCH($D1421,'Paramètres'!$M:$M,0))&amp;"",""))),$K1421,0))</f>
        <v/>
      </c>
      <c r="V1421" s="6" t="str">
        <f>IF(AND($A1421&lt;&gt;"",$O1421=1,$L1421="Débit",N($Q1421)&gt;0,$A1421&gt;=Visualisation!$B$1,$A1421&lt;Visualisation!$D$1),MAX($V$1:V1420)+1,"")</f>
        <v/>
      </c>
    </row>
    <row r="1422" spans="1:22" x14ac:dyDescent="0.25">
      <c r="A1422" s="9"/>
      <c r="E1422" s="10"/>
      <c r="K1422" s="11" t="str">
        <f>IF($E1422="","",ROUND($E1422*IF(ISNA(MATCH($C1422,'Paramètres'!$D:$D,0)),1,IF(INDEX('Paramètres'!$J:$J,MATCH($C1422,'Paramètres'!$D:$D,0))="",1,INDEX('Paramètres'!$J:$J,MATCH($C1422,'Paramètres'!$D:$D,0)))),2))</f>
        <v/>
      </c>
      <c r="L1422" s="6" t="str">
        <f>IF($D1422="","",IF($F1422&lt;&gt;"",$F1422,IF(ISNA(MATCH($D1422,'Paramètres'!$M:$M,0)),"⚠ Type inconnu",IFERROR(INDEX('Paramètres'!$P:$P,MATCH($D1422,'Paramètres'!$M:$M,0))&amp;"",""))))</f>
        <v/>
      </c>
      <c r="M1422" s="6" t="str">
        <f>IF($D1422="","",IF(ISNA(MATCH($D1422,'Paramètres'!$M:$M,0)),"⚠ Type inconnu",IF($L1422="Crédit","",IFERROR(INDEX('Paramètres'!$O:$O,MATCH($D1422,'Paramètres'!$M:$M,0))&amp;"",""))))</f>
        <v/>
      </c>
      <c r="N1422" s="6" t="str">
        <f>IF($D1422="","",IFERROR(INDEX('Paramètres'!$Q:$Q,MATCH($D1422,'Paramètres'!$M:$M,0))&amp;"",""))</f>
        <v/>
      </c>
      <c r="O1422" s="6" t="str">
        <f>IF($A1422="","",IF(OR($J1422&lt;&gt;"x",$A1422&lt;=FinReleve),1,0))</f>
        <v/>
      </c>
      <c r="P1422" s="6" t="str">
        <f>IF($D1422="","",IF(AND($L1422="Crédit",OR(IFERROR(INDEX('Paramètres'!$O:$O,MATCH($D1422,'Paramètres'!$M:$M,0))&amp;"","")&lt;&gt;"",ISNUMBER(SEARCH("remboursement",IFERROR(INDEX('Paramètres'!$N:$N,MATCH($D1422,'Paramètres'!$M:$M,0))&amp;"",""))))),1,0))</f>
        <v/>
      </c>
      <c r="Q1422" s="6" t="str">
        <f>IF($K1422="","",IF(ISNUMBER(SEARCH("transfert-interne",IFERROR(INDEX('Paramètres'!$N:$N,MATCH($D1422,'Paramètres'!$M:$M,0))&amp;"",""))),0,IF($L1422="Débit",$K1422,IF($P1422=1,-$K1422,0))))</f>
        <v/>
      </c>
      <c r="R1422" s="6" t="str">
        <f>IF($K1422="","",IF($L1422="Crédit",$K1422,-$K1422))</f>
        <v/>
      </c>
      <c r="S1422" s="6" t="str">
        <f>IF($C1422="","",IFERROR(INDEX('Paramètres'!$H:$H,MATCH($C1422,'Paramètres'!$D:$D,0))&amp;"",""))</f>
        <v/>
      </c>
      <c r="T1422" s="6" t="str">
        <f>IF($K1422="","",IF($S1422="",0,IF(ISNUMBER(SEARCH("apport-exterieur",IFERROR(INDEX('Paramètres'!$N:$N,MATCH($D1422,'Paramètres'!$M:$M,0))&amp;"",""))),0,IF(OR(IFERROR(INDEX('Paramètres'!$I:$I,MATCH($C1422,'Paramètres'!$D:$D,0))&amp;"","")="Les deux",IFERROR(INDEX('Paramètres'!$I:$I,MATCH($C1422,'Paramètres'!$D:$D,0))&amp;"","")=IF($P1422=1,"Débit",$L1422)),-IF($P1422=1,-$K1422,$K1422),0))))</f>
        <v/>
      </c>
      <c r="U1422" s="6" t="str">
        <f>IF($K1422="","",IF(ISNUMBER(SEARCH("sortie-epargne",IFERROR(INDEX('Paramètres'!$N:$N,MATCH($D1422,'Paramètres'!$M:$M,0))&amp;"",""))),$K1422,0))</f>
        <v/>
      </c>
      <c r="V1422" s="6" t="str">
        <f>IF(AND($A1422&lt;&gt;"",$O1422=1,$L1422="Débit",N($Q1422)&gt;0,$A1422&gt;=Visualisation!$B$1,$A1422&lt;Visualisation!$D$1),MAX($V$1:V1421)+1,"")</f>
        <v/>
      </c>
    </row>
    <row r="1423" spans="1:22" x14ac:dyDescent="0.25">
      <c r="A1423" s="9"/>
      <c r="E1423" s="10"/>
      <c r="K1423" s="11" t="str">
        <f>IF($E1423="","",ROUND($E1423*IF(ISNA(MATCH($C1423,'Paramètres'!$D:$D,0)),1,IF(INDEX('Paramètres'!$J:$J,MATCH($C1423,'Paramètres'!$D:$D,0))="",1,INDEX('Paramètres'!$J:$J,MATCH($C1423,'Paramètres'!$D:$D,0)))),2))</f>
        <v/>
      </c>
      <c r="L1423" s="6" t="str">
        <f>IF($D1423="","",IF($F1423&lt;&gt;"",$F1423,IF(ISNA(MATCH($D1423,'Paramètres'!$M:$M,0)),"⚠ Type inconnu",IFERROR(INDEX('Paramètres'!$P:$P,MATCH($D1423,'Paramètres'!$M:$M,0))&amp;"",""))))</f>
        <v/>
      </c>
      <c r="M1423" s="6" t="str">
        <f>IF($D1423="","",IF(ISNA(MATCH($D1423,'Paramètres'!$M:$M,0)),"⚠ Type inconnu",IF($L1423="Crédit","",IFERROR(INDEX('Paramètres'!$O:$O,MATCH($D1423,'Paramètres'!$M:$M,0))&amp;"",""))))</f>
        <v/>
      </c>
      <c r="N1423" s="6" t="str">
        <f>IF($D1423="","",IFERROR(INDEX('Paramètres'!$Q:$Q,MATCH($D1423,'Paramètres'!$M:$M,0))&amp;"",""))</f>
        <v/>
      </c>
      <c r="O1423" s="6" t="str">
        <f>IF($A1423="","",IF(OR($J1423&lt;&gt;"x",$A1423&lt;=FinReleve),1,0))</f>
        <v/>
      </c>
      <c r="P1423" s="6" t="str">
        <f>IF($D1423="","",IF(AND($L1423="Crédit",OR(IFERROR(INDEX('Paramètres'!$O:$O,MATCH($D1423,'Paramètres'!$M:$M,0))&amp;"","")&lt;&gt;"",ISNUMBER(SEARCH("remboursement",IFERROR(INDEX('Paramètres'!$N:$N,MATCH($D1423,'Paramètres'!$M:$M,0))&amp;"",""))))),1,0))</f>
        <v/>
      </c>
      <c r="Q1423" s="6" t="str">
        <f>IF($K1423="","",IF(ISNUMBER(SEARCH("transfert-interne",IFERROR(INDEX('Paramètres'!$N:$N,MATCH($D1423,'Paramètres'!$M:$M,0))&amp;"",""))),0,IF($L1423="Débit",$K1423,IF($P1423=1,-$K1423,0))))</f>
        <v/>
      </c>
      <c r="R1423" s="6" t="str">
        <f>IF($K1423="","",IF($L1423="Crédit",$K1423,-$K1423))</f>
        <v/>
      </c>
      <c r="S1423" s="6" t="str">
        <f>IF($C1423="","",IFERROR(INDEX('Paramètres'!$H:$H,MATCH($C1423,'Paramètres'!$D:$D,0))&amp;"",""))</f>
        <v/>
      </c>
      <c r="T1423" s="6" t="str">
        <f>IF($K1423="","",IF($S1423="",0,IF(ISNUMBER(SEARCH("apport-exterieur",IFERROR(INDEX('Paramètres'!$N:$N,MATCH($D1423,'Paramètres'!$M:$M,0))&amp;"",""))),0,IF(OR(IFERROR(INDEX('Paramètres'!$I:$I,MATCH($C1423,'Paramètres'!$D:$D,0))&amp;"","")="Les deux",IFERROR(INDEX('Paramètres'!$I:$I,MATCH($C1423,'Paramètres'!$D:$D,0))&amp;"","")=IF($P1423=1,"Débit",$L1423)),-IF($P1423=1,-$K1423,$K1423),0))))</f>
        <v/>
      </c>
      <c r="U1423" s="6" t="str">
        <f>IF($K1423="","",IF(ISNUMBER(SEARCH("sortie-epargne",IFERROR(INDEX('Paramètres'!$N:$N,MATCH($D1423,'Paramètres'!$M:$M,0))&amp;"",""))),$K1423,0))</f>
        <v/>
      </c>
      <c r="V1423" s="6" t="str">
        <f>IF(AND($A1423&lt;&gt;"",$O1423=1,$L1423="Débit",N($Q1423)&gt;0,$A1423&gt;=Visualisation!$B$1,$A1423&lt;Visualisation!$D$1),MAX($V$1:V1422)+1,"")</f>
        <v/>
      </c>
    </row>
    <row r="1424" spans="1:22" x14ac:dyDescent="0.25">
      <c r="A1424" s="9"/>
      <c r="E1424" s="10"/>
      <c r="K1424" s="11" t="str">
        <f>IF($E1424="","",ROUND($E1424*IF(ISNA(MATCH($C1424,'Paramètres'!$D:$D,0)),1,IF(INDEX('Paramètres'!$J:$J,MATCH($C1424,'Paramètres'!$D:$D,0))="",1,INDEX('Paramètres'!$J:$J,MATCH($C1424,'Paramètres'!$D:$D,0)))),2))</f>
        <v/>
      </c>
      <c r="L1424" s="6" t="str">
        <f>IF($D1424="","",IF($F1424&lt;&gt;"",$F1424,IF(ISNA(MATCH($D1424,'Paramètres'!$M:$M,0)),"⚠ Type inconnu",IFERROR(INDEX('Paramètres'!$P:$P,MATCH($D1424,'Paramètres'!$M:$M,0))&amp;"",""))))</f>
        <v/>
      </c>
      <c r="M1424" s="6" t="str">
        <f>IF($D1424="","",IF(ISNA(MATCH($D1424,'Paramètres'!$M:$M,0)),"⚠ Type inconnu",IF($L1424="Crédit","",IFERROR(INDEX('Paramètres'!$O:$O,MATCH($D1424,'Paramètres'!$M:$M,0))&amp;"",""))))</f>
        <v/>
      </c>
      <c r="N1424" s="6" t="str">
        <f>IF($D1424="","",IFERROR(INDEX('Paramètres'!$Q:$Q,MATCH($D1424,'Paramètres'!$M:$M,0))&amp;"",""))</f>
        <v/>
      </c>
      <c r="O1424" s="6" t="str">
        <f>IF($A1424="","",IF(OR($J1424&lt;&gt;"x",$A1424&lt;=FinReleve),1,0))</f>
        <v/>
      </c>
      <c r="P1424" s="6" t="str">
        <f>IF($D1424="","",IF(AND($L1424="Crédit",OR(IFERROR(INDEX('Paramètres'!$O:$O,MATCH($D1424,'Paramètres'!$M:$M,0))&amp;"","")&lt;&gt;"",ISNUMBER(SEARCH("remboursement",IFERROR(INDEX('Paramètres'!$N:$N,MATCH($D1424,'Paramètres'!$M:$M,0))&amp;"",""))))),1,0))</f>
        <v/>
      </c>
      <c r="Q1424" s="6" t="str">
        <f>IF($K1424="","",IF(ISNUMBER(SEARCH("transfert-interne",IFERROR(INDEX('Paramètres'!$N:$N,MATCH($D1424,'Paramètres'!$M:$M,0))&amp;"",""))),0,IF($L1424="Débit",$K1424,IF($P1424=1,-$K1424,0))))</f>
        <v/>
      </c>
      <c r="R1424" s="6" t="str">
        <f>IF($K1424="","",IF($L1424="Crédit",$K1424,-$K1424))</f>
        <v/>
      </c>
      <c r="S1424" s="6" t="str">
        <f>IF($C1424="","",IFERROR(INDEX('Paramètres'!$H:$H,MATCH($C1424,'Paramètres'!$D:$D,0))&amp;"",""))</f>
        <v/>
      </c>
      <c r="T1424" s="6" t="str">
        <f>IF($K1424="","",IF($S1424="",0,IF(ISNUMBER(SEARCH("apport-exterieur",IFERROR(INDEX('Paramètres'!$N:$N,MATCH($D1424,'Paramètres'!$M:$M,0))&amp;"",""))),0,IF(OR(IFERROR(INDEX('Paramètres'!$I:$I,MATCH($C1424,'Paramètres'!$D:$D,0))&amp;"","")="Les deux",IFERROR(INDEX('Paramètres'!$I:$I,MATCH($C1424,'Paramètres'!$D:$D,0))&amp;"","")=IF($P1424=1,"Débit",$L1424)),-IF($P1424=1,-$K1424,$K1424),0))))</f>
        <v/>
      </c>
      <c r="U1424" s="6" t="str">
        <f>IF($K1424="","",IF(ISNUMBER(SEARCH("sortie-epargne",IFERROR(INDEX('Paramètres'!$N:$N,MATCH($D1424,'Paramètres'!$M:$M,0))&amp;"",""))),$K1424,0))</f>
        <v/>
      </c>
      <c r="V1424" s="6" t="str">
        <f>IF(AND($A1424&lt;&gt;"",$O1424=1,$L1424="Débit",N($Q1424)&gt;0,$A1424&gt;=Visualisation!$B$1,$A1424&lt;Visualisation!$D$1),MAX($V$1:V1423)+1,"")</f>
        <v/>
      </c>
    </row>
    <row r="1425" spans="1:22" x14ac:dyDescent="0.25">
      <c r="A1425" s="9"/>
      <c r="E1425" s="10"/>
      <c r="K1425" s="11" t="str">
        <f>IF($E1425="","",ROUND($E1425*IF(ISNA(MATCH($C1425,'Paramètres'!$D:$D,0)),1,IF(INDEX('Paramètres'!$J:$J,MATCH($C1425,'Paramètres'!$D:$D,0))="",1,INDEX('Paramètres'!$J:$J,MATCH($C1425,'Paramètres'!$D:$D,0)))),2))</f>
        <v/>
      </c>
      <c r="L1425" s="6" t="str">
        <f>IF($D1425="","",IF($F1425&lt;&gt;"",$F1425,IF(ISNA(MATCH($D1425,'Paramètres'!$M:$M,0)),"⚠ Type inconnu",IFERROR(INDEX('Paramètres'!$P:$P,MATCH($D1425,'Paramètres'!$M:$M,0))&amp;"",""))))</f>
        <v/>
      </c>
      <c r="M1425" s="6" t="str">
        <f>IF($D1425="","",IF(ISNA(MATCH($D1425,'Paramètres'!$M:$M,0)),"⚠ Type inconnu",IF($L1425="Crédit","",IFERROR(INDEX('Paramètres'!$O:$O,MATCH($D1425,'Paramètres'!$M:$M,0))&amp;"",""))))</f>
        <v/>
      </c>
      <c r="N1425" s="6" t="str">
        <f>IF($D1425="","",IFERROR(INDEX('Paramètres'!$Q:$Q,MATCH($D1425,'Paramètres'!$M:$M,0))&amp;"",""))</f>
        <v/>
      </c>
      <c r="O1425" s="6" t="str">
        <f>IF($A1425="","",IF(OR($J1425&lt;&gt;"x",$A1425&lt;=FinReleve),1,0))</f>
        <v/>
      </c>
      <c r="P1425" s="6" t="str">
        <f>IF($D1425="","",IF(AND($L1425="Crédit",OR(IFERROR(INDEX('Paramètres'!$O:$O,MATCH($D1425,'Paramètres'!$M:$M,0))&amp;"","")&lt;&gt;"",ISNUMBER(SEARCH("remboursement",IFERROR(INDEX('Paramètres'!$N:$N,MATCH($D1425,'Paramètres'!$M:$M,0))&amp;"",""))))),1,0))</f>
        <v/>
      </c>
      <c r="Q1425" s="6" t="str">
        <f>IF($K1425="","",IF(ISNUMBER(SEARCH("transfert-interne",IFERROR(INDEX('Paramètres'!$N:$N,MATCH($D1425,'Paramètres'!$M:$M,0))&amp;"",""))),0,IF($L1425="Débit",$K1425,IF($P1425=1,-$K1425,0))))</f>
        <v/>
      </c>
      <c r="R1425" s="6" t="str">
        <f>IF($K1425="","",IF($L1425="Crédit",$K1425,-$K1425))</f>
        <v/>
      </c>
      <c r="S1425" s="6" t="str">
        <f>IF($C1425="","",IFERROR(INDEX('Paramètres'!$H:$H,MATCH($C1425,'Paramètres'!$D:$D,0))&amp;"",""))</f>
        <v/>
      </c>
      <c r="T1425" s="6" t="str">
        <f>IF($K1425="","",IF($S1425="",0,IF(ISNUMBER(SEARCH("apport-exterieur",IFERROR(INDEX('Paramètres'!$N:$N,MATCH($D1425,'Paramètres'!$M:$M,0))&amp;"",""))),0,IF(OR(IFERROR(INDEX('Paramètres'!$I:$I,MATCH($C1425,'Paramètres'!$D:$D,0))&amp;"","")="Les deux",IFERROR(INDEX('Paramètres'!$I:$I,MATCH($C1425,'Paramètres'!$D:$D,0))&amp;"","")=IF($P1425=1,"Débit",$L1425)),-IF($P1425=1,-$K1425,$K1425),0))))</f>
        <v/>
      </c>
      <c r="U1425" s="6" t="str">
        <f>IF($K1425="","",IF(ISNUMBER(SEARCH("sortie-epargne",IFERROR(INDEX('Paramètres'!$N:$N,MATCH($D1425,'Paramètres'!$M:$M,0))&amp;"",""))),$K1425,0))</f>
        <v/>
      </c>
      <c r="V1425" s="6" t="str">
        <f>IF(AND($A1425&lt;&gt;"",$O1425=1,$L1425="Débit",N($Q1425)&gt;0,$A1425&gt;=Visualisation!$B$1,$A1425&lt;Visualisation!$D$1),MAX($V$1:V1424)+1,"")</f>
        <v/>
      </c>
    </row>
    <row r="1426" spans="1:22" x14ac:dyDescent="0.25">
      <c r="A1426" s="9"/>
      <c r="E1426" s="10"/>
      <c r="K1426" s="11" t="str">
        <f>IF($E1426="","",ROUND($E1426*IF(ISNA(MATCH($C1426,'Paramètres'!$D:$D,0)),1,IF(INDEX('Paramètres'!$J:$J,MATCH($C1426,'Paramètres'!$D:$D,0))="",1,INDEX('Paramètres'!$J:$J,MATCH($C1426,'Paramètres'!$D:$D,0)))),2))</f>
        <v/>
      </c>
      <c r="L1426" s="6" t="str">
        <f>IF($D1426="","",IF($F1426&lt;&gt;"",$F1426,IF(ISNA(MATCH($D1426,'Paramètres'!$M:$M,0)),"⚠ Type inconnu",IFERROR(INDEX('Paramètres'!$P:$P,MATCH($D1426,'Paramètres'!$M:$M,0))&amp;"",""))))</f>
        <v/>
      </c>
      <c r="M1426" s="6" t="str">
        <f>IF($D1426="","",IF(ISNA(MATCH($D1426,'Paramètres'!$M:$M,0)),"⚠ Type inconnu",IF($L1426="Crédit","",IFERROR(INDEX('Paramètres'!$O:$O,MATCH($D1426,'Paramètres'!$M:$M,0))&amp;"",""))))</f>
        <v/>
      </c>
      <c r="N1426" s="6" t="str">
        <f>IF($D1426="","",IFERROR(INDEX('Paramètres'!$Q:$Q,MATCH($D1426,'Paramètres'!$M:$M,0))&amp;"",""))</f>
        <v/>
      </c>
      <c r="O1426" s="6" t="str">
        <f>IF($A1426="","",IF(OR($J1426&lt;&gt;"x",$A1426&lt;=FinReleve),1,0))</f>
        <v/>
      </c>
      <c r="P1426" s="6" t="str">
        <f>IF($D1426="","",IF(AND($L1426="Crédit",OR(IFERROR(INDEX('Paramètres'!$O:$O,MATCH($D1426,'Paramètres'!$M:$M,0))&amp;"","")&lt;&gt;"",ISNUMBER(SEARCH("remboursement",IFERROR(INDEX('Paramètres'!$N:$N,MATCH($D1426,'Paramètres'!$M:$M,0))&amp;"",""))))),1,0))</f>
        <v/>
      </c>
      <c r="Q1426" s="6" t="str">
        <f>IF($K1426="","",IF(ISNUMBER(SEARCH("transfert-interne",IFERROR(INDEX('Paramètres'!$N:$N,MATCH($D1426,'Paramètres'!$M:$M,0))&amp;"",""))),0,IF($L1426="Débit",$K1426,IF($P1426=1,-$K1426,0))))</f>
        <v/>
      </c>
      <c r="R1426" s="6" t="str">
        <f>IF($K1426="","",IF($L1426="Crédit",$K1426,-$K1426))</f>
        <v/>
      </c>
      <c r="S1426" s="6" t="str">
        <f>IF($C1426="","",IFERROR(INDEX('Paramètres'!$H:$H,MATCH($C1426,'Paramètres'!$D:$D,0))&amp;"",""))</f>
        <v/>
      </c>
      <c r="T1426" s="6" t="str">
        <f>IF($K1426="","",IF($S1426="",0,IF(ISNUMBER(SEARCH("apport-exterieur",IFERROR(INDEX('Paramètres'!$N:$N,MATCH($D1426,'Paramètres'!$M:$M,0))&amp;"",""))),0,IF(OR(IFERROR(INDEX('Paramètres'!$I:$I,MATCH($C1426,'Paramètres'!$D:$D,0))&amp;"","")="Les deux",IFERROR(INDEX('Paramètres'!$I:$I,MATCH($C1426,'Paramètres'!$D:$D,0))&amp;"","")=IF($P1426=1,"Débit",$L1426)),-IF($P1426=1,-$K1426,$K1426),0))))</f>
        <v/>
      </c>
      <c r="U1426" s="6" t="str">
        <f>IF($K1426="","",IF(ISNUMBER(SEARCH("sortie-epargne",IFERROR(INDEX('Paramètres'!$N:$N,MATCH($D1426,'Paramètres'!$M:$M,0))&amp;"",""))),$K1426,0))</f>
        <v/>
      </c>
      <c r="V1426" s="6" t="str">
        <f>IF(AND($A1426&lt;&gt;"",$O1426=1,$L1426="Débit",N($Q1426)&gt;0,$A1426&gt;=Visualisation!$B$1,$A1426&lt;Visualisation!$D$1),MAX($V$1:V1425)+1,"")</f>
        <v/>
      </c>
    </row>
    <row r="1427" spans="1:22" x14ac:dyDescent="0.25">
      <c r="A1427" s="9"/>
      <c r="E1427" s="10"/>
      <c r="K1427" s="11" t="str">
        <f>IF($E1427="","",ROUND($E1427*IF(ISNA(MATCH($C1427,'Paramètres'!$D:$D,0)),1,IF(INDEX('Paramètres'!$J:$J,MATCH($C1427,'Paramètres'!$D:$D,0))="",1,INDEX('Paramètres'!$J:$J,MATCH($C1427,'Paramètres'!$D:$D,0)))),2))</f>
        <v/>
      </c>
      <c r="L1427" s="6" t="str">
        <f>IF($D1427="","",IF($F1427&lt;&gt;"",$F1427,IF(ISNA(MATCH($D1427,'Paramètres'!$M:$M,0)),"⚠ Type inconnu",IFERROR(INDEX('Paramètres'!$P:$P,MATCH($D1427,'Paramètres'!$M:$M,0))&amp;"",""))))</f>
        <v/>
      </c>
      <c r="M1427" s="6" t="str">
        <f>IF($D1427="","",IF(ISNA(MATCH($D1427,'Paramètres'!$M:$M,0)),"⚠ Type inconnu",IF($L1427="Crédit","",IFERROR(INDEX('Paramètres'!$O:$O,MATCH($D1427,'Paramètres'!$M:$M,0))&amp;"",""))))</f>
        <v/>
      </c>
      <c r="N1427" s="6" t="str">
        <f>IF($D1427="","",IFERROR(INDEX('Paramètres'!$Q:$Q,MATCH($D1427,'Paramètres'!$M:$M,0))&amp;"",""))</f>
        <v/>
      </c>
      <c r="O1427" s="6" t="str">
        <f>IF($A1427="","",IF(OR($J1427&lt;&gt;"x",$A1427&lt;=FinReleve),1,0))</f>
        <v/>
      </c>
      <c r="P1427" s="6" t="str">
        <f>IF($D1427="","",IF(AND($L1427="Crédit",OR(IFERROR(INDEX('Paramètres'!$O:$O,MATCH($D1427,'Paramètres'!$M:$M,0))&amp;"","")&lt;&gt;"",ISNUMBER(SEARCH("remboursement",IFERROR(INDEX('Paramètres'!$N:$N,MATCH($D1427,'Paramètres'!$M:$M,0))&amp;"",""))))),1,0))</f>
        <v/>
      </c>
      <c r="Q1427" s="6" t="str">
        <f>IF($K1427="","",IF(ISNUMBER(SEARCH("transfert-interne",IFERROR(INDEX('Paramètres'!$N:$N,MATCH($D1427,'Paramètres'!$M:$M,0))&amp;"",""))),0,IF($L1427="Débit",$K1427,IF($P1427=1,-$K1427,0))))</f>
        <v/>
      </c>
      <c r="R1427" s="6" t="str">
        <f>IF($K1427="","",IF($L1427="Crédit",$K1427,-$K1427))</f>
        <v/>
      </c>
      <c r="S1427" s="6" t="str">
        <f>IF($C1427="","",IFERROR(INDEX('Paramètres'!$H:$H,MATCH($C1427,'Paramètres'!$D:$D,0))&amp;"",""))</f>
        <v/>
      </c>
      <c r="T1427" s="6" t="str">
        <f>IF($K1427="","",IF($S1427="",0,IF(ISNUMBER(SEARCH("apport-exterieur",IFERROR(INDEX('Paramètres'!$N:$N,MATCH($D1427,'Paramètres'!$M:$M,0))&amp;"",""))),0,IF(OR(IFERROR(INDEX('Paramètres'!$I:$I,MATCH($C1427,'Paramètres'!$D:$D,0))&amp;"","")="Les deux",IFERROR(INDEX('Paramètres'!$I:$I,MATCH($C1427,'Paramètres'!$D:$D,0))&amp;"","")=IF($P1427=1,"Débit",$L1427)),-IF($P1427=1,-$K1427,$K1427),0))))</f>
        <v/>
      </c>
      <c r="U1427" s="6" t="str">
        <f>IF($K1427="","",IF(ISNUMBER(SEARCH("sortie-epargne",IFERROR(INDEX('Paramètres'!$N:$N,MATCH($D1427,'Paramètres'!$M:$M,0))&amp;"",""))),$K1427,0))</f>
        <v/>
      </c>
      <c r="V1427" s="6" t="str">
        <f>IF(AND($A1427&lt;&gt;"",$O1427=1,$L1427="Débit",N($Q1427)&gt;0,$A1427&gt;=Visualisation!$B$1,$A1427&lt;Visualisation!$D$1),MAX($V$1:V1426)+1,"")</f>
        <v/>
      </c>
    </row>
    <row r="1428" spans="1:22" x14ac:dyDescent="0.25">
      <c r="A1428" s="9"/>
      <c r="E1428" s="10"/>
      <c r="K1428" s="11" t="str">
        <f>IF($E1428="","",ROUND($E1428*IF(ISNA(MATCH($C1428,'Paramètres'!$D:$D,0)),1,IF(INDEX('Paramètres'!$J:$J,MATCH($C1428,'Paramètres'!$D:$D,0))="",1,INDEX('Paramètres'!$J:$J,MATCH($C1428,'Paramètres'!$D:$D,0)))),2))</f>
        <v/>
      </c>
      <c r="L1428" s="6" t="str">
        <f>IF($D1428="","",IF($F1428&lt;&gt;"",$F1428,IF(ISNA(MATCH($D1428,'Paramètres'!$M:$M,0)),"⚠ Type inconnu",IFERROR(INDEX('Paramètres'!$P:$P,MATCH($D1428,'Paramètres'!$M:$M,0))&amp;"",""))))</f>
        <v/>
      </c>
      <c r="M1428" s="6" t="str">
        <f>IF($D1428="","",IF(ISNA(MATCH($D1428,'Paramètres'!$M:$M,0)),"⚠ Type inconnu",IF($L1428="Crédit","",IFERROR(INDEX('Paramètres'!$O:$O,MATCH($D1428,'Paramètres'!$M:$M,0))&amp;"",""))))</f>
        <v/>
      </c>
      <c r="N1428" s="6" t="str">
        <f>IF($D1428="","",IFERROR(INDEX('Paramètres'!$Q:$Q,MATCH($D1428,'Paramètres'!$M:$M,0))&amp;"",""))</f>
        <v/>
      </c>
      <c r="O1428" s="6" t="str">
        <f>IF($A1428="","",IF(OR($J1428&lt;&gt;"x",$A1428&lt;=FinReleve),1,0))</f>
        <v/>
      </c>
      <c r="P1428" s="6" t="str">
        <f>IF($D1428="","",IF(AND($L1428="Crédit",OR(IFERROR(INDEX('Paramètres'!$O:$O,MATCH($D1428,'Paramètres'!$M:$M,0))&amp;"","")&lt;&gt;"",ISNUMBER(SEARCH("remboursement",IFERROR(INDEX('Paramètres'!$N:$N,MATCH($D1428,'Paramètres'!$M:$M,0))&amp;"",""))))),1,0))</f>
        <v/>
      </c>
      <c r="Q1428" s="6" t="str">
        <f>IF($K1428="","",IF(ISNUMBER(SEARCH("transfert-interne",IFERROR(INDEX('Paramètres'!$N:$N,MATCH($D1428,'Paramètres'!$M:$M,0))&amp;"",""))),0,IF($L1428="Débit",$K1428,IF($P1428=1,-$K1428,0))))</f>
        <v/>
      </c>
      <c r="R1428" s="6" t="str">
        <f>IF($K1428="","",IF($L1428="Crédit",$K1428,-$K1428))</f>
        <v/>
      </c>
      <c r="S1428" s="6" t="str">
        <f>IF($C1428="","",IFERROR(INDEX('Paramètres'!$H:$H,MATCH($C1428,'Paramètres'!$D:$D,0))&amp;"",""))</f>
        <v/>
      </c>
      <c r="T1428" s="6" t="str">
        <f>IF($K1428="","",IF($S1428="",0,IF(ISNUMBER(SEARCH("apport-exterieur",IFERROR(INDEX('Paramètres'!$N:$N,MATCH($D1428,'Paramètres'!$M:$M,0))&amp;"",""))),0,IF(OR(IFERROR(INDEX('Paramètres'!$I:$I,MATCH($C1428,'Paramètres'!$D:$D,0))&amp;"","")="Les deux",IFERROR(INDEX('Paramètres'!$I:$I,MATCH($C1428,'Paramètres'!$D:$D,0))&amp;"","")=IF($P1428=1,"Débit",$L1428)),-IF($P1428=1,-$K1428,$K1428),0))))</f>
        <v/>
      </c>
      <c r="U1428" s="6" t="str">
        <f>IF($K1428="","",IF(ISNUMBER(SEARCH("sortie-epargne",IFERROR(INDEX('Paramètres'!$N:$N,MATCH($D1428,'Paramètres'!$M:$M,0))&amp;"",""))),$K1428,0))</f>
        <v/>
      </c>
      <c r="V1428" s="6" t="str">
        <f>IF(AND($A1428&lt;&gt;"",$O1428=1,$L1428="Débit",N($Q1428)&gt;0,$A1428&gt;=Visualisation!$B$1,$A1428&lt;Visualisation!$D$1),MAX($V$1:V1427)+1,"")</f>
        <v/>
      </c>
    </row>
    <row r="1429" spans="1:22" x14ac:dyDescent="0.25">
      <c r="A1429" s="9"/>
      <c r="E1429" s="10"/>
      <c r="K1429" s="11" t="str">
        <f>IF($E1429="","",ROUND($E1429*IF(ISNA(MATCH($C1429,'Paramètres'!$D:$D,0)),1,IF(INDEX('Paramètres'!$J:$J,MATCH($C1429,'Paramètres'!$D:$D,0))="",1,INDEX('Paramètres'!$J:$J,MATCH($C1429,'Paramètres'!$D:$D,0)))),2))</f>
        <v/>
      </c>
      <c r="L1429" s="6" t="str">
        <f>IF($D1429="","",IF($F1429&lt;&gt;"",$F1429,IF(ISNA(MATCH($D1429,'Paramètres'!$M:$M,0)),"⚠ Type inconnu",IFERROR(INDEX('Paramètres'!$P:$P,MATCH($D1429,'Paramètres'!$M:$M,0))&amp;"",""))))</f>
        <v/>
      </c>
      <c r="M1429" s="6" t="str">
        <f>IF($D1429="","",IF(ISNA(MATCH($D1429,'Paramètres'!$M:$M,0)),"⚠ Type inconnu",IF($L1429="Crédit","",IFERROR(INDEX('Paramètres'!$O:$O,MATCH($D1429,'Paramètres'!$M:$M,0))&amp;"",""))))</f>
        <v/>
      </c>
      <c r="N1429" s="6" t="str">
        <f>IF($D1429="","",IFERROR(INDEX('Paramètres'!$Q:$Q,MATCH($D1429,'Paramètres'!$M:$M,0))&amp;"",""))</f>
        <v/>
      </c>
      <c r="O1429" s="6" t="str">
        <f>IF($A1429="","",IF(OR($J1429&lt;&gt;"x",$A1429&lt;=FinReleve),1,0))</f>
        <v/>
      </c>
      <c r="P1429" s="6" t="str">
        <f>IF($D1429="","",IF(AND($L1429="Crédit",OR(IFERROR(INDEX('Paramètres'!$O:$O,MATCH($D1429,'Paramètres'!$M:$M,0))&amp;"","")&lt;&gt;"",ISNUMBER(SEARCH("remboursement",IFERROR(INDEX('Paramètres'!$N:$N,MATCH($D1429,'Paramètres'!$M:$M,0))&amp;"",""))))),1,0))</f>
        <v/>
      </c>
      <c r="Q1429" s="6" t="str">
        <f>IF($K1429="","",IF(ISNUMBER(SEARCH("transfert-interne",IFERROR(INDEX('Paramètres'!$N:$N,MATCH($D1429,'Paramètres'!$M:$M,0))&amp;"",""))),0,IF($L1429="Débit",$K1429,IF($P1429=1,-$K1429,0))))</f>
        <v/>
      </c>
      <c r="R1429" s="6" t="str">
        <f>IF($K1429="","",IF($L1429="Crédit",$K1429,-$K1429))</f>
        <v/>
      </c>
      <c r="S1429" s="6" t="str">
        <f>IF($C1429="","",IFERROR(INDEX('Paramètres'!$H:$H,MATCH($C1429,'Paramètres'!$D:$D,0))&amp;"",""))</f>
        <v/>
      </c>
      <c r="T1429" s="6" t="str">
        <f>IF($K1429="","",IF($S1429="",0,IF(ISNUMBER(SEARCH("apport-exterieur",IFERROR(INDEX('Paramètres'!$N:$N,MATCH($D1429,'Paramètres'!$M:$M,0))&amp;"",""))),0,IF(OR(IFERROR(INDEX('Paramètres'!$I:$I,MATCH($C1429,'Paramètres'!$D:$D,0))&amp;"","")="Les deux",IFERROR(INDEX('Paramètres'!$I:$I,MATCH($C1429,'Paramètres'!$D:$D,0))&amp;"","")=IF($P1429=1,"Débit",$L1429)),-IF($P1429=1,-$K1429,$K1429),0))))</f>
        <v/>
      </c>
      <c r="U1429" s="6" t="str">
        <f>IF($K1429="","",IF(ISNUMBER(SEARCH("sortie-epargne",IFERROR(INDEX('Paramètres'!$N:$N,MATCH($D1429,'Paramètres'!$M:$M,0))&amp;"",""))),$K1429,0))</f>
        <v/>
      </c>
      <c r="V1429" s="6" t="str">
        <f>IF(AND($A1429&lt;&gt;"",$O1429=1,$L1429="Débit",N($Q1429)&gt;0,$A1429&gt;=Visualisation!$B$1,$A1429&lt;Visualisation!$D$1),MAX($V$1:V1428)+1,"")</f>
        <v/>
      </c>
    </row>
    <row r="1430" spans="1:22" x14ac:dyDescent="0.25">
      <c r="A1430" s="9"/>
      <c r="E1430" s="10"/>
      <c r="K1430" s="11" t="str">
        <f>IF($E1430="","",ROUND($E1430*IF(ISNA(MATCH($C1430,'Paramètres'!$D:$D,0)),1,IF(INDEX('Paramètres'!$J:$J,MATCH($C1430,'Paramètres'!$D:$D,0))="",1,INDEX('Paramètres'!$J:$J,MATCH($C1430,'Paramètres'!$D:$D,0)))),2))</f>
        <v/>
      </c>
      <c r="L1430" s="6" t="str">
        <f>IF($D1430="","",IF($F1430&lt;&gt;"",$F1430,IF(ISNA(MATCH($D1430,'Paramètres'!$M:$M,0)),"⚠ Type inconnu",IFERROR(INDEX('Paramètres'!$P:$P,MATCH($D1430,'Paramètres'!$M:$M,0))&amp;"",""))))</f>
        <v/>
      </c>
      <c r="M1430" s="6" t="str">
        <f>IF($D1430="","",IF(ISNA(MATCH($D1430,'Paramètres'!$M:$M,0)),"⚠ Type inconnu",IF($L1430="Crédit","",IFERROR(INDEX('Paramètres'!$O:$O,MATCH($D1430,'Paramètres'!$M:$M,0))&amp;"",""))))</f>
        <v/>
      </c>
      <c r="N1430" s="6" t="str">
        <f>IF($D1430="","",IFERROR(INDEX('Paramètres'!$Q:$Q,MATCH($D1430,'Paramètres'!$M:$M,0))&amp;"",""))</f>
        <v/>
      </c>
      <c r="O1430" s="6" t="str">
        <f>IF($A1430="","",IF(OR($J1430&lt;&gt;"x",$A1430&lt;=FinReleve),1,0))</f>
        <v/>
      </c>
      <c r="P1430" s="6" t="str">
        <f>IF($D1430="","",IF(AND($L1430="Crédit",OR(IFERROR(INDEX('Paramètres'!$O:$O,MATCH($D1430,'Paramètres'!$M:$M,0))&amp;"","")&lt;&gt;"",ISNUMBER(SEARCH("remboursement",IFERROR(INDEX('Paramètres'!$N:$N,MATCH($D1430,'Paramètres'!$M:$M,0))&amp;"",""))))),1,0))</f>
        <v/>
      </c>
      <c r="Q1430" s="6" t="str">
        <f>IF($K1430="","",IF(ISNUMBER(SEARCH("transfert-interne",IFERROR(INDEX('Paramètres'!$N:$N,MATCH($D1430,'Paramètres'!$M:$M,0))&amp;"",""))),0,IF($L1430="Débit",$K1430,IF($P1430=1,-$K1430,0))))</f>
        <v/>
      </c>
      <c r="R1430" s="6" t="str">
        <f>IF($K1430="","",IF($L1430="Crédit",$K1430,-$K1430))</f>
        <v/>
      </c>
      <c r="S1430" s="6" t="str">
        <f>IF($C1430="","",IFERROR(INDEX('Paramètres'!$H:$H,MATCH($C1430,'Paramètres'!$D:$D,0))&amp;"",""))</f>
        <v/>
      </c>
      <c r="T1430" s="6" t="str">
        <f>IF($K1430="","",IF($S1430="",0,IF(ISNUMBER(SEARCH("apport-exterieur",IFERROR(INDEX('Paramètres'!$N:$N,MATCH($D1430,'Paramètres'!$M:$M,0))&amp;"",""))),0,IF(OR(IFERROR(INDEX('Paramètres'!$I:$I,MATCH($C1430,'Paramètres'!$D:$D,0))&amp;"","")="Les deux",IFERROR(INDEX('Paramètres'!$I:$I,MATCH($C1430,'Paramètres'!$D:$D,0))&amp;"","")=IF($P1430=1,"Débit",$L1430)),-IF($P1430=1,-$K1430,$K1430),0))))</f>
        <v/>
      </c>
      <c r="U1430" s="6" t="str">
        <f>IF($K1430="","",IF(ISNUMBER(SEARCH("sortie-epargne",IFERROR(INDEX('Paramètres'!$N:$N,MATCH($D1430,'Paramètres'!$M:$M,0))&amp;"",""))),$K1430,0))</f>
        <v/>
      </c>
      <c r="V1430" s="6" t="str">
        <f>IF(AND($A1430&lt;&gt;"",$O1430=1,$L1430="Débit",N($Q1430)&gt;0,$A1430&gt;=Visualisation!$B$1,$A1430&lt;Visualisation!$D$1),MAX($V$1:V1429)+1,"")</f>
        <v/>
      </c>
    </row>
    <row r="1431" spans="1:22" x14ac:dyDescent="0.25">
      <c r="A1431" s="9"/>
      <c r="E1431" s="10"/>
      <c r="K1431" s="11" t="str">
        <f>IF($E1431="","",ROUND($E1431*IF(ISNA(MATCH($C1431,'Paramètres'!$D:$D,0)),1,IF(INDEX('Paramètres'!$J:$J,MATCH($C1431,'Paramètres'!$D:$D,0))="",1,INDEX('Paramètres'!$J:$J,MATCH($C1431,'Paramètres'!$D:$D,0)))),2))</f>
        <v/>
      </c>
      <c r="L1431" s="6" t="str">
        <f>IF($D1431="","",IF($F1431&lt;&gt;"",$F1431,IF(ISNA(MATCH($D1431,'Paramètres'!$M:$M,0)),"⚠ Type inconnu",IFERROR(INDEX('Paramètres'!$P:$P,MATCH($D1431,'Paramètres'!$M:$M,0))&amp;"",""))))</f>
        <v/>
      </c>
      <c r="M1431" s="6" t="str">
        <f>IF($D1431="","",IF(ISNA(MATCH($D1431,'Paramètres'!$M:$M,0)),"⚠ Type inconnu",IF($L1431="Crédit","",IFERROR(INDEX('Paramètres'!$O:$O,MATCH($D1431,'Paramètres'!$M:$M,0))&amp;"",""))))</f>
        <v/>
      </c>
      <c r="N1431" s="6" t="str">
        <f>IF($D1431="","",IFERROR(INDEX('Paramètres'!$Q:$Q,MATCH($D1431,'Paramètres'!$M:$M,0))&amp;"",""))</f>
        <v/>
      </c>
      <c r="O1431" s="6" t="str">
        <f>IF($A1431="","",IF(OR($J1431&lt;&gt;"x",$A1431&lt;=FinReleve),1,0))</f>
        <v/>
      </c>
      <c r="P1431" s="6" t="str">
        <f>IF($D1431="","",IF(AND($L1431="Crédit",OR(IFERROR(INDEX('Paramètres'!$O:$O,MATCH($D1431,'Paramètres'!$M:$M,0))&amp;"","")&lt;&gt;"",ISNUMBER(SEARCH("remboursement",IFERROR(INDEX('Paramètres'!$N:$N,MATCH($D1431,'Paramètres'!$M:$M,0))&amp;"",""))))),1,0))</f>
        <v/>
      </c>
      <c r="Q1431" s="6" t="str">
        <f>IF($K1431="","",IF(ISNUMBER(SEARCH("transfert-interne",IFERROR(INDEX('Paramètres'!$N:$N,MATCH($D1431,'Paramètres'!$M:$M,0))&amp;"",""))),0,IF($L1431="Débit",$K1431,IF($P1431=1,-$K1431,0))))</f>
        <v/>
      </c>
      <c r="R1431" s="6" t="str">
        <f>IF($K1431="","",IF($L1431="Crédit",$K1431,-$K1431))</f>
        <v/>
      </c>
      <c r="S1431" s="6" t="str">
        <f>IF($C1431="","",IFERROR(INDEX('Paramètres'!$H:$H,MATCH($C1431,'Paramètres'!$D:$D,0))&amp;"",""))</f>
        <v/>
      </c>
      <c r="T1431" s="6" t="str">
        <f>IF($K1431="","",IF($S1431="",0,IF(ISNUMBER(SEARCH("apport-exterieur",IFERROR(INDEX('Paramètres'!$N:$N,MATCH($D1431,'Paramètres'!$M:$M,0))&amp;"",""))),0,IF(OR(IFERROR(INDEX('Paramètres'!$I:$I,MATCH($C1431,'Paramètres'!$D:$D,0))&amp;"","")="Les deux",IFERROR(INDEX('Paramètres'!$I:$I,MATCH($C1431,'Paramètres'!$D:$D,0))&amp;"","")=IF($P1431=1,"Débit",$L1431)),-IF($P1431=1,-$K1431,$K1431),0))))</f>
        <v/>
      </c>
      <c r="U1431" s="6" t="str">
        <f>IF($K1431="","",IF(ISNUMBER(SEARCH("sortie-epargne",IFERROR(INDEX('Paramètres'!$N:$N,MATCH($D1431,'Paramètres'!$M:$M,0))&amp;"",""))),$K1431,0))</f>
        <v/>
      </c>
      <c r="V1431" s="6" t="str">
        <f>IF(AND($A1431&lt;&gt;"",$O1431=1,$L1431="Débit",N($Q1431)&gt;0,$A1431&gt;=Visualisation!$B$1,$A1431&lt;Visualisation!$D$1),MAX($V$1:V1430)+1,"")</f>
        <v/>
      </c>
    </row>
    <row r="1432" spans="1:22" x14ac:dyDescent="0.25">
      <c r="A1432" s="9"/>
      <c r="E1432" s="10"/>
      <c r="K1432" s="11" t="str">
        <f>IF($E1432="","",ROUND($E1432*IF(ISNA(MATCH($C1432,'Paramètres'!$D:$D,0)),1,IF(INDEX('Paramètres'!$J:$J,MATCH($C1432,'Paramètres'!$D:$D,0))="",1,INDEX('Paramètres'!$J:$J,MATCH($C1432,'Paramètres'!$D:$D,0)))),2))</f>
        <v/>
      </c>
      <c r="L1432" s="6" t="str">
        <f>IF($D1432="","",IF($F1432&lt;&gt;"",$F1432,IF(ISNA(MATCH($D1432,'Paramètres'!$M:$M,0)),"⚠ Type inconnu",IFERROR(INDEX('Paramètres'!$P:$P,MATCH($D1432,'Paramètres'!$M:$M,0))&amp;"",""))))</f>
        <v/>
      </c>
      <c r="M1432" s="6" t="str">
        <f>IF($D1432="","",IF(ISNA(MATCH($D1432,'Paramètres'!$M:$M,0)),"⚠ Type inconnu",IF($L1432="Crédit","",IFERROR(INDEX('Paramètres'!$O:$O,MATCH($D1432,'Paramètres'!$M:$M,0))&amp;"",""))))</f>
        <v/>
      </c>
      <c r="N1432" s="6" t="str">
        <f>IF($D1432="","",IFERROR(INDEX('Paramètres'!$Q:$Q,MATCH($D1432,'Paramètres'!$M:$M,0))&amp;"",""))</f>
        <v/>
      </c>
      <c r="O1432" s="6" t="str">
        <f>IF($A1432="","",IF(OR($J1432&lt;&gt;"x",$A1432&lt;=FinReleve),1,0))</f>
        <v/>
      </c>
      <c r="P1432" s="6" t="str">
        <f>IF($D1432="","",IF(AND($L1432="Crédit",OR(IFERROR(INDEX('Paramètres'!$O:$O,MATCH($D1432,'Paramètres'!$M:$M,0))&amp;"","")&lt;&gt;"",ISNUMBER(SEARCH("remboursement",IFERROR(INDEX('Paramètres'!$N:$N,MATCH($D1432,'Paramètres'!$M:$M,0))&amp;"",""))))),1,0))</f>
        <v/>
      </c>
      <c r="Q1432" s="6" t="str">
        <f>IF($K1432="","",IF(ISNUMBER(SEARCH("transfert-interne",IFERROR(INDEX('Paramètres'!$N:$N,MATCH($D1432,'Paramètres'!$M:$M,0))&amp;"",""))),0,IF($L1432="Débit",$K1432,IF($P1432=1,-$K1432,0))))</f>
        <v/>
      </c>
      <c r="R1432" s="6" t="str">
        <f>IF($K1432="","",IF($L1432="Crédit",$K1432,-$K1432))</f>
        <v/>
      </c>
      <c r="S1432" s="6" t="str">
        <f>IF($C1432="","",IFERROR(INDEX('Paramètres'!$H:$H,MATCH($C1432,'Paramètres'!$D:$D,0))&amp;"",""))</f>
        <v/>
      </c>
      <c r="T1432" s="6" t="str">
        <f>IF($K1432="","",IF($S1432="",0,IF(ISNUMBER(SEARCH("apport-exterieur",IFERROR(INDEX('Paramètres'!$N:$N,MATCH($D1432,'Paramètres'!$M:$M,0))&amp;"",""))),0,IF(OR(IFERROR(INDEX('Paramètres'!$I:$I,MATCH($C1432,'Paramètres'!$D:$D,0))&amp;"","")="Les deux",IFERROR(INDEX('Paramètres'!$I:$I,MATCH($C1432,'Paramètres'!$D:$D,0))&amp;"","")=IF($P1432=1,"Débit",$L1432)),-IF($P1432=1,-$K1432,$K1432),0))))</f>
        <v/>
      </c>
      <c r="U1432" s="6" t="str">
        <f>IF($K1432="","",IF(ISNUMBER(SEARCH("sortie-epargne",IFERROR(INDEX('Paramètres'!$N:$N,MATCH($D1432,'Paramètres'!$M:$M,0))&amp;"",""))),$K1432,0))</f>
        <v/>
      </c>
      <c r="V1432" s="6" t="str">
        <f>IF(AND($A1432&lt;&gt;"",$O1432=1,$L1432="Débit",N($Q1432)&gt;0,$A1432&gt;=Visualisation!$B$1,$A1432&lt;Visualisation!$D$1),MAX($V$1:V1431)+1,"")</f>
        <v/>
      </c>
    </row>
    <row r="1433" spans="1:22" x14ac:dyDescent="0.25">
      <c r="A1433" s="9"/>
      <c r="E1433" s="10"/>
      <c r="K1433" s="11" t="str">
        <f>IF($E1433="","",ROUND($E1433*IF(ISNA(MATCH($C1433,'Paramètres'!$D:$D,0)),1,IF(INDEX('Paramètres'!$J:$J,MATCH($C1433,'Paramètres'!$D:$D,0))="",1,INDEX('Paramètres'!$J:$J,MATCH($C1433,'Paramètres'!$D:$D,0)))),2))</f>
        <v/>
      </c>
      <c r="L1433" s="6" t="str">
        <f>IF($D1433="","",IF($F1433&lt;&gt;"",$F1433,IF(ISNA(MATCH($D1433,'Paramètres'!$M:$M,0)),"⚠ Type inconnu",IFERROR(INDEX('Paramètres'!$P:$P,MATCH($D1433,'Paramètres'!$M:$M,0))&amp;"",""))))</f>
        <v/>
      </c>
      <c r="M1433" s="6" t="str">
        <f>IF($D1433="","",IF(ISNA(MATCH($D1433,'Paramètres'!$M:$M,0)),"⚠ Type inconnu",IF($L1433="Crédit","",IFERROR(INDEX('Paramètres'!$O:$O,MATCH($D1433,'Paramètres'!$M:$M,0))&amp;"",""))))</f>
        <v/>
      </c>
      <c r="N1433" s="6" t="str">
        <f>IF($D1433="","",IFERROR(INDEX('Paramètres'!$Q:$Q,MATCH($D1433,'Paramètres'!$M:$M,0))&amp;"",""))</f>
        <v/>
      </c>
      <c r="O1433" s="6" t="str">
        <f>IF($A1433="","",IF(OR($J1433&lt;&gt;"x",$A1433&lt;=FinReleve),1,0))</f>
        <v/>
      </c>
      <c r="P1433" s="6" t="str">
        <f>IF($D1433="","",IF(AND($L1433="Crédit",OR(IFERROR(INDEX('Paramètres'!$O:$O,MATCH($D1433,'Paramètres'!$M:$M,0))&amp;"","")&lt;&gt;"",ISNUMBER(SEARCH("remboursement",IFERROR(INDEX('Paramètres'!$N:$N,MATCH($D1433,'Paramètres'!$M:$M,0))&amp;"",""))))),1,0))</f>
        <v/>
      </c>
      <c r="Q1433" s="6" t="str">
        <f>IF($K1433="","",IF(ISNUMBER(SEARCH("transfert-interne",IFERROR(INDEX('Paramètres'!$N:$N,MATCH($D1433,'Paramètres'!$M:$M,0))&amp;"",""))),0,IF($L1433="Débit",$K1433,IF($P1433=1,-$K1433,0))))</f>
        <v/>
      </c>
      <c r="R1433" s="6" t="str">
        <f>IF($K1433="","",IF($L1433="Crédit",$K1433,-$K1433))</f>
        <v/>
      </c>
      <c r="S1433" s="6" t="str">
        <f>IF($C1433="","",IFERROR(INDEX('Paramètres'!$H:$H,MATCH($C1433,'Paramètres'!$D:$D,0))&amp;"",""))</f>
        <v/>
      </c>
      <c r="T1433" s="6" t="str">
        <f>IF($K1433="","",IF($S1433="",0,IF(ISNUMBER(SEARCH("apport-exterieur",IFERROR(INDEX('Paramètres'!$N:$N,MATCH($D1433,'Paramètres'!$M:$M,0))&amp;"",""))),0,IF(OR(IFERROR(INDEX('Paramètres'!$I:$I,MATCH($C1433,'Paramètres'!$D:$D,0))&amp;"","")="Les deux",IFERROR(INDEX('Paramètres'!$I:$I,MATCH($C1433,'Paramètres'!$D:$D,0))&amp;"","")=IF($P1433=1,"Débit",$L1433)),-IF($P1433=1,-$K1433,$K1433),0))))</f>
        <v/>
      </c>
      <c r="U1433" s="6" t="str">
        <f>IF($K1433="","",IF(ISNUMBER(SEARCH("sortie-epargne",IFERROR(INDEX('Paramètres'!$N:$N,MATCH($D1433,'Paramètres'!$M:$M,0))&amp;"",""))),$K1433,0))</f>
        <v/>
      </c>
      <c r="V1433" s="6" t="str">
        <f>IF(AND($A1433&lt;&gt;"",$O1433=1,$L1433="Débit",N($Q1433)&gt;0,$A1433&gt;=Visualisation!$B$1,$A1433&lt;Visualisation!$D$1),MAX($V$1:V1432)+1,"")</f>
        <v/>
      </c>
    </row>
    <row r="1434" spans="1:22" x14ac:dyDescent="0.25">
      <c r="A1434" s="9"/>
      <c r="E1434" s="10"/>
      <c r="K1434" s="11" t="str">
        <f>IF($E1434="","",ROUND($E1434*IF(ISNA(MATCH($C1434,'Paramètres'!$D:$D,0)),1,IF(INDEX('Paramètres'!$J:$J,MATCH($C1434,'Paramètres'!$D:$D,0))="",1,INDEX('Paramètres'!$J:$J,MATCH($C1434,'Paramètres'!$D:$D,0)))),2))</f>
        <v/>
      </c>
      <c r="L1434" s="6" t="str">
        <f>IF($D1434="","",IF($F1434&lt;&gt;"",$F1434,IF(ISNA(MATCH($D1434,'Paramètres'!$M:$M,0)),"⚠ Type inconnu",IFERROR(INDEX('Paramètres'!$P:$P,MATCH($D1434,'Paramètres'!$M:$M,0))&amp;"",""))))</f>
        <v/>
      </c>
      <c r="M1434" s="6" t="str">
        <f>IF($D1434="","",IF(ISNA(MATCH($D1434,'Paramètres'!$M:$M,0)),"⚠ Type inconnu",IF($L1434="Crédit","",IFERROR(INDEX('Paramètres'!$O:$O,MATCH($D1434,'Paramètres'!$M:$M,0))&amp;"",""))))</f>
        <v/>
      </c>
      <c r="N1434" s="6" t="str">
        <f>IF($D1434="","",IFERROR(INDEX('Paramètres'!$Q:$Q,MATCH($D1434,'Paramètres'!$M:$M,0))&amp;"",""))</f>
        <v/>
      </c>
      <c r="O1434" s="6" t="str">
        <f>IF($A1434="","",IF(OR($J1434&lt;&gt;"x",$A1434&lt;=FinReleve),1,0))</f>
        <v/>
      </c>
      <c r="P1434" s="6" t="str">
        <f>IF($D1434="","",IF(AND($L1434="Crédit",OR(IFERROR(INDEX('Paramètres'!$O:$O,MATCH($D1434,'Paramètres'!$M:$M,0))&amp;"","")&lt;&gt;"",ISNUMBER(SEARCH("remboursement",IFERROR(INDEX('Paramètres'!$N:$N,MATCH($D1434,'Paramètres'!$M:$M,0))&amp;"",""))))),1,0))</f>
        <v/>
      </c>
      <c r="Q1434" s="6" t="str">
        <f>IF($K1434="","",IF(ISNUMBER(SEARCH("transfert-interne",IFERROR(INDEX('Paramètres'!$N:$N,MATCH($D1434,'Paramètres'!$M:$M,0))&amp;"",""))),0,IF($L1434="Débit",$K1434,IF($P1434=1,-$K1434,0))))</f>
        <v/>
      </c>
      <c r="R1434" s="6" t="str">
        <f>IF($K1434="","",IF($L1434="Crédit",$K1434,-$K1434))</f>
        <v/>
      </c>
      <c r="S1434" s="6" t="str">
        <f>IF($C1434="","",IFERROR(INDEX('Paramètres'!$H:$H,MATCH($C1434,'Paramètres'!$D:$D,0))&amp;"",""))</f>
        <v/>
      </c>
      <c r="T1434" s="6" t="str">
        <f>IF($K1434="","",IF($S1434="",0,IF(ISNUMBER(SEARCH("apport-exterieur",IFERROR(INDEX('Paramètres'!$N:$N,MATCH($D1434,'Paramètres'!$M:$M,0))&amp;"",""))),0,IF(OR(IFERROR(INDEX('Paramètres'!$I:$I,MATCH($C1434,'Paramètres'!$D:$D,0))&amp;"","")="Les deux",IFERROR(INDEX('Paramètres'!$I:$I,MATCH($C1434,'Paramètres'!$D:$D,0))&amp;"","")=IF($P1434=1,"Débit",$L1434)),-IF($P1434=1,-$K1434,$K1434),0))))</f>
        <v/>
      </c>
      <c r="U1434" s="6" t="str">
        <f>IF($K1434="","",IF(ISNUMBER(SEARCH("sortie-epargne",IFERROR(INDEX('Paramètres'!$N:$N,MATCH($D1434,'Paramètres'!$M:$M,0))&amp;"",""))),$K1434,0))</f>
        <v/>
      </c>
      <c r="V1434" s="6" t="str">
        <f>IF(AND($A1434&lt;&gt;"",$O1434=1,$L1434="Débit",N($Q1434)&gt;0,$A1434&gt;=Visualisation!$B$1,$A1434&lt;Visualisation!$D$1),MAX($V$1:V1433)+1,"")</f>
        <v/>
      </c>
    </row>
    <row r="1435" spans="1:22" x14ac:dyDescent="0.25">
      <c r="A1435" s="9"/>
      <c r="E1435" s="10"/>
      <c r="K1435" s="11" t="str">
        <f>IF($E1435="","",ROUND($E1435*IF(ISNA(MATCH($C1435,'Paramètres'!$D:$D,0)),1,IF(INDEX('Paramètres'!$J:$J,MATCH($C1435,'Paramètres'!$D:$D,0))="",1,INDEX('Paramètres'!$J:$J,MATCH($C1435,'Paramètres'!$D:$D,0)))),2))</f>
        <v/>
      </c>
      <c r="L1435" s="6" t="str">
        <f>IF($D1435="","",IF($F1435&lt;&gt;"",$F1435,IF(ISNA(MATCH($D1435,'Paramètres'!$M:$M,0)),"⚠ Type inconnu",IFERROR(INDEX('Paramètres'!$P:$P,MATCH($D1435,'Paramètres'!$M:$M,0))&amp;"",""))))</f>
        <v/>
      </c>
      <c r="M1435" s="6" t="str">
        <f>IF($D1435="","",IF(ISNA(MATCH($D1435,'Paramètres'!$M:$M,0)),"⚠ Type inconnu",IF($L1435="Crédit","",IFERROR(INDEX('Paramètres'!$O:$O,MATCH($D1435,'Paramètres'!$M:$M,0))&amp;"",""))))</f>
        <v/>
      </c>
      <c r="N1435" s="6" t="str">
        <f>IF($D1435="","",IFERROR(INDEX('Paramètres'!$Q:$Q,MATCH($D1435,'Paramètres'!$M:$M,0))&amp;"",""))</f>
        <v/>
      </c>
      <c r="O1435" s="6" t="str">
        <f>IF($A1435="","",IF(OR($J1435&lt;&gt;"x",$A1435&lt;=FinReleve),1,0))</f>
        <v/>
      </c>
      <c r="P1435" s="6" t="str">
        <f>IF($D1435="","",IF(AND($L1435="Crédit",OR(IFERROR(INDEX('Paramètres'!$O:$O,MATCH($D1435,'Paramètres'!$M:$M,0))&amp;"","")&lt;&gt;"",ISNUMBER(SEARCH("remboursement",IFERROR(INDEX('Paramètres'!$N:$N,MATCH($D1435,'Paramètres'!$M:$M,0))&amp;"",""))))),1,0))</f>
        <v/>
      </c>
      <c r="Q1435" s="6" t="str">
        <f>IF($K1435="","",IF(ISNUMBER(SEARCH("transfert-interne",IFERROR(INDEX('Paramètres'!$N:$N,MATCH($D1435,'Paramètres'!$M:$M,0))&amp;"",""))),0,IF($L1435="Débit",$K1435,IF($P1435=1,-$K1435,0))))</f>
        <v/>
      </c>
      <c r="R1435" s="6" t="str">
        <f>IF($K1435="","",IF($L1435="Crédit",$K1435,-$K1435))</f>
        <v/>
      </c>
      <c r="S1435" s="6" t="str">
        <f>IF($C1435="","",IFERROR(INDEX('Paramètres'!$H:$H,MATCH($C1435,'Paramètres'!$D:$D,0))&amp;"",""))</f>
        <v/>
      </c>
      <c r="T1435" s="6" t="str">
        <f>IF($K1435="","",IF($S1435="",0,IF(ISNUMBER(SEARCH("apport-exterieur",IFERROR(INDEX('Paramètres'!$N:$N,MATCH($D1435,'Paramètres'!$M:$M,0))&amp;"",""))),0,IF(OR(IFERROR(INDEX('Paramètres'!$I:$I,MATCH($C1435,'Paramètres'!$D:$D,0))&amp;"","")="Les deux",IFERROR(INDEX('Paramètres'!$I:$I,MATCH($C1435,'Paramètres'!$D:$D,0))&amp;"","")=IF($P1435=1,"Débit",$L1435)),-IF($P1435=1,-$K1435,$K1435),0))))</f>
        <v/>
      </c>
      <c r="U1435" s="6" t="str">
        <f>IF($K1435="","",IF(ISNUMBER(SEARCH("sortie-epargne",IFERROR(INDEX('Paramètres'!$N:$N,MATCH($D1435,'Paramètres'!$M:$M,0))&amp;"",""))),$K1435,0))</f>
        <v/>
      </c>
      <c r="V1435" s="6" t="str">
        <f>IF(AND($A1435&lt;&gt;"",$O1435=1,$L1435="Débit",N($Q1435)&gt;0,$A1435&gt;=Visualisation!$B$1,$A1435&lt;Visualisation!$D$1),MAX($V$1:V1434)+1,"")</f>
        <v/>
      </c>
    </row>
    <row r="1436" spans="1:22" x14ac:dyDescent="0.25">
      <c r="A1436" s="9"/>
      <c r="E1436" s="10"/>
      <c r="K1436" s="11" t="str">
        <f>IF($E1436="","",ROUND($E1436*IF(ISNA(MATCH($C1436,'Paramètres'!$D:$D,0)),1,IF(INDEX('Paramètres'!$J:$J,MATCH($C1436,'Paramètres'!$D:$D,0))="",1,INDEX('Paramètres'!$J:$J,MATCH($C1436,'Paramètres'!$D:$D,0)))),2))</f>
        <v/>
      </c>
      <c r="L1436" s="6" t="str">
        <f>IF($D1436="","",IF($F1436&lt;&gt;"",$F1436,IF(ISNA(MATCH($D1436,'Paramètres'!$M:$M,0)),"⚠ Type inconnu",IFERROR(INDEX('Paramètres'!$P:$P,MATCH($D1436,'Paramètres'!$M:$M,0))&amp;"",""))))</f>
        <v/>
      </c>
      <c r="M1436" s="6" t="str">
        <f>IF($D1436="","",IF(ISNA(MATCH($D1436,'Paramètres'!$M:$M,0)),"⚠ Type inconnu",IF($L1436="Crédit","",IFERROR(INDEX('Paramètres'!$O:$O,MATCH($D1436,'Paramètres'!$M:$M,0))&amp;"",""))))</f>
        <v/>
      </c>
      <c r="N1436" s="6" t="str">
        <f>IF($D1436="","",IFERROR(INDEX('Paramètres'!$Q:$Q,MATCH($D1436,'Paramètres'!$M:$M,0))&amp;"",""))</f>
        <v/>
      </c>
      <c r="O1436" s="6" t="str">
        <f>IF($A1436="","",IF(OR($J1436&lt;&gt;"x",$A1436&lt;=FinReleve),1,0))</f>
        <v/>
      </c>
      <c r="P1436" s="6" t="str">
        <f>IF($D1436="","",IF(AND($L1436="Crédit",OR(IFERROR(INDEX('Paramètres'!$O:$O,MATCH($D1436,'Paramètres'!$M:$M,0))&amp;"","")&lt;&gt;"",ISNUMBER(SEARCH("remboursement",IFERROR(INDEX('Paramètres'!$N:$N,MATCH($D1436,'Paramètres'!$M:$M,0))&amp;"",""))))),1,0))</f>
        <v/>
      </c>
      <c r="Q1436" s="6" t="str">
        <f>IF($K1436="","",IF(ISNUMBER(SEARCH("transfert-interne",IFERROR(INDEX('Paramètres'!$N:$N,MATCH($D1436,'Paramètres'!$M:$M,0))&amp;"",""))),0,IF($L1436="Débit",$K1436,IF($P1436=1,-$K1436,0))))</f>
        <v/>
      </c>
      <c r="R1436" s="6" t="str">
        <f>IF($K1436="","",IF($L1436="Crédit",$K1436,-$K1436))</f>
        <v/>
      </c>
      <c r="S1436" s="6" t="str">
        <f>IF($C1436="","",IFERROR(INDEX('Paramètres'!$H:$H,MATCH($C1436,'Paramètres'!$D:$D,0))&amp;"",""))</f>
        <v/>
      </c>
      <c r="T1436" s="6" t="str">
        <f>IF($K1436="","",IF($S1436="",0,IF(ISNUMBER(SEARCH("apport-exterieur",IFERROR(INDEX('Paramètres'!$N:$N,MATCH($D1436,'Paramètres'!$M:$M,0))&amp;"",""))),0,IF(OR(IFERROR(INDEX('Paramètres'!$I:$I,MATCH($C1436,'Paramètres'!$D:$D,0))&amp;"","")="Les deux",IFERROR(INDEX('Paramètres'!$I:$I,MATCH($C1436,'Paramètres'!$D:$D,0))&amp;"","")=IF($P1436=1,"Débit",$L1436)),-IF($P1436=1,-$K1436,$K1436),0))))</f>
        <v/>
      </c>
      <c r="U1436" s="6" t="str">
        <f>IF($K1436="","",IF(ISNUMBER(SEARCH("sortie-epargne",IFERROR(INDEX('Paramètres'!$N:$N,MATCH($D1436,'Paramètres'!$M:$M,0))&amp;"",""))),$K1436,0))</f>
        <v/>
      </c>
      <c r="V1436" s="6" t="str">
        <f>IF(AND($A1436&lt;&gt;"",$O1436=1,$L1436="Débit",N($Q1436)&gt;0,$A1436&gt;=Visualisation!$B$1,$A1436&lt;Visualisation!$D$1),MAX($V$1:V1435)+1,"")</f>
        <v/>
      </c>
    </row>
    <row r="1437" spans="1:22" x14ac:dyDescent="0.25">
      <c r="A1437" s="9"/>
      <c r="E1437" s="10"/>
      <c r="K1437" s="11" t="str">
        <f>IF($E1437="","",ROUND($E1437*IF(ISNA(MATCH($C1437,'Paramètres'!$D:$D,0)),1,IF(INDEX('Paramètres'!$J:$J,MATCH($C1437,'Paramètres'!$D:$D,0))="",1,INDEX('Paramètres'!$J:$J,MATCH($C1437,'Paramètres'!$D:$D,0)))),2))</f>
        <v/>
      </c>
      <c r="L1437" s="6" t="str">
        <f>IF($D1437="","",IF($F1437&lt;&gt;"",$F1437,IF(ISNA(MATCH($D1437,'Paramètres'!$M:$M,0)),"⚠ Type inconnu",IFERROR(INDEX('Paramètres'!$P:$P,MATCH($D1437,'Paramètres'!$M:$M,0))&amp;"",""))))</f>
        <v/>
      </c>
      <c r="M1437" s="6" t="str">
        <f>IF($D1437="","",IF(ISNA(MATCH($D1437,'Paramètres'!$M:$M,0)),"⚠ Type inconnu",IF($L1437="Crédit","",IFERROR(INDEX('Paramètres'!$O:$O,MATCH($D1437,'Paramètres'!$M:$M,0))&amp;"",""))))</f>
        <v/>
      </c>
      <c r="N1437" s="6" t="str">
        <f>IF($D1437="","",IFERROR(INDEX('Paramètres'!$Q:$Q,MATCH($D1437,'Paramètres'!$M:$M,0))&amp;"",""))</f>
        <v/>
      </c>
      <c r="O1437" s="6" t="str">
        <f>IF($A1437="","",IF(OR($J1437&lt;&gt;"x",$A1437&lt;=FinReleve),1,0))</f>
        <v/>
      </c>
      <c r="P1437" s="6" t="str">
        <f>IF($D1437="","",IF(AND($L1437="Crédit",OR(IFERROR(INDEX('Paramètres'!$O:$O,MATCH($D1437,'Paramètres'!$M:$M,0))&amp;"","")&lt;&gt;"",ISNUMBER(SEARCH("remboursement",IFERROR(INDEX('Paramètres'!$N:$N,MATCH($D1437,'Paramètres'!$M:$M,0))&amp;"",""))))),1,0))</f>
        <v/>
      </c>
      <c r="Q1437" s="6" t="str">
        <f>IF($K1437="","",IF(ISNUMBER(SEARCH("transfert-interne",IFERROR(INDEX('Paramètres'!$N:$N,MATCH($D1437,'Paramètres'!$M:$M,0))&amp;"",""))),0,IF($L1437="Débit",$K1437,IF($P1437=1,-$K1437,0))))</f>
        <v/>
      </c>
      <c r="R1437" s="6" t="str">
        <f>IF($K1437="","",IF($L1437="Crédit",$K1437,-$K1437))</f>
        <v/>
      </c>
      <c r="S1437" s="6" t="str">
        <f>IF($C1437="","",IFERROR(INDEX('Paramètres'!$H:$H,MATCH($C1437,'Paramètres'!$D:$D,0))&amp;"",""))</f>
        <v/>
      </c>
      <c r="T1437" s="6" t="str">
        <f>IF($K1437="","",IF($S1437="",0,IF(ISNUMBER(SEARCH("apport-exterieur",IFERROR(INDEX('Paramètres'!$N:$N,MATCH($D1437,'Paramètres'!$M:$M,0))&amp;"",""))),0,IF(OR(IFERROR(INDEX('Paramètres'!$I:$I,MATCH($C1437,'Paramètres'!$D:$D,0))&amp;"","")="Les deux",IFERROR(INDEX('Paramètres'!$I:$I,MATCH($C1437,'Paramètres'!$D:$D,0))&amp;"","")=IF($P1437=1,"Débit",$L1437)),-IF($P1437=1,-$K1437,$K1437),0))))</f>
        <v/>
      </c>
      <c r="U1437" s="6" t="str">
        <f>IF($K1437="","",IF(ISNUMBER(SEARCH("sortie-epargne",IFERROR(INDEX('Paramètres'!$N:$N,MATCH($D1437,'Paramètres'!$M:$M,0))&amp;"",""))),$K1437,0))</f>
        <v/>
      </c>
      <c r="V1437" s="6" t="str">
        <f>IF(AND($A1437&lt;&gt;"",$O1437=1,$L1437="Débit",N($Q1437)&gt;0,$A1437&gt;=Visualisation!$B$1,$A1437&lt;Visualisation!$D$1),MAX($V$1:V1436)+1,"")</f>
        <v/>
      </c>
    </row>
    <row r="1438" spans="1:22" x14ac:dyDescent="0.25">
      <c r="A1438" s="9"/>
      <c r="E1438" s="10"/>
      <c r="K1438" s="11" t="str">
        <f>IF($E1438="","",ROUND($E1438*IF(ISNA(MATCH($C1438,'Paramètres'!$D:$D,0)),1,IF(INDEX('Paramètres'!$J:$J,MATCH($C1438,'Paramètres'!$D:$D,0))="",1,INDEX('Paramètres'!$J:$J,MATCH($C1438,'Paramètres'!$D:$D,0)))),2))</f>
        <v/>
      </c>
      <c r="L1438" s="6" t="str">
        <f>IF($D1438="","",IF($F1438&lt;&gt;"",$F1438,IF(ISNA(MATCH($D1438,'Paramètres'!$M:$M,0)),"⚠ Type inconnu",IFERROR(INDEX('Paramètres'!$P:$P,MATCH($D1438,'Paramètres'!$M:$M,0))&amp;"",""))))</f>
        <v/>
      </c>
      <c r="M1438" s="6" t="str">
        <f>IF($D1438="","",IF(ISNA(MATCH($D1438,'Paramètres'!$M:$M,0)),"⚠ Type inconnu",IF($L1438="Crédit","",IFERROR(INDEX('Paramètres'!$O:$O,MATCH($D1438,'Paramètres'!$M:$M,0))&amp;"",""))))</f>
        <v/>
      </c>
      <c r="N1438" s="6" t="str">
        <f>IF($D1438="","",IFERROR(INDEX('Paramètres'!$Q:$Q,MATCH($D1438,'Paramètres'!$M:$M,0))&amp;"",""))</f>
        <v/>
      </c>
      <c r="O1438" s="6" t="str">
        <f>IF($A1438="","",IF(OR($J1438&lt;&gt;"x",$A1438&lt;=FinReleve),1,0))</f>
        <v/>
      </c>
      <c r="P1438" s="6" t="str">
        <f>IF($D1438="","",IF(AND($L1438="Crédit",OR(IFERROR(INDEX('Paramètres'!$O:$O,MATCH($D1438,'Paramètres'!$M:$M,0))&amp;"","")&lt;&gt;"",ISNUMBER(SEARCH("remboursement",IFERROR(INDEX('Paramètres'!$N:$N,MATCH($D1438,'Paramètres'!$M:$M,0))&amp;"",""))))),1,0))</f>
        <v/>
      </c>
      <c r="Q1438" s="6" t="str">
        <f>IF($K1438="","",IF(ISNUMBER(SEARCH("transfert-interne",IFERROR(INDEX('Paramètres'!$N:$N,MATCH($D1438,'Paramètres'!$M:$M,0))&amp;"",""))),0,IF($L1438="Débit",$K1438,IF($P1438=1,-$K1438,0))))</f>
        <v/>
      </c>
      <c r="R1438" s="6" t="str">
        <f>IF($K1438="","",IF($L1438="Crédit",$K1438,-$K1438))</f>
        <v/>
      </c>
      <c r="S1438" s="6" t="str">
        <f>IF($C1438="","",IFERROR(INDEX('Paramètres'!$H:$H,MATCH($C1438,'Paramètres'!$D:$D,0))&amp;"",""))</f>
        <v/>
      </c>
      <c r="T1438" s="6" t="str">
        <f>IF($K1438="","",IF($S1438="",0,IF(ISNUMBER(SEARCH("apport-exterieur",IFERROR(INDEX('Paramètres'!$N:$N,MATCH($D1438,'Paramètres'!$M:$M,0))&amp;"",""))),0,IF(OR(IFERROR(INDEX('Paramètres'!$I:$I,MATCH($C1438,'Paramètres'!$D:$D,0))&amp;"","")="Les deux",IFERROR(INDEX('Paramètres'!$I:$I,MATCH($C1438,'Paramètres'!$D:$D,0))&amp;"","")=IF($P1438=1,"Débit",$L1438)),-IF($P1438=1,-$K1438,$K1438),0))))</f>
        <v/>
      </c>
      <c r="U1438" s="6" t="str">
        <f>IF($K1438="","",IF(ISNUMBER(SEARCH("sortie-epargne",IFERROR(INDEX('Paramètres'!$N:$N,MATCH($D1438,'Paramètres'!$M:$M,0))&amp;"",""))),$K1438,0))</f>
        <v/>
      </c>
      <c r="V1438" s="6" t="str">
        <f>IF(AND($A1438&lt;&gt;"",$O1438=1,$L1438="Débit",N($Q1438)&gt;0,$A1438&gt;=Visualisation!$B$1,$A1438&lt;Visualisation!$D$1),MAX($V$1:V1437)+1,"")</f>
        <v/>
      </c>
    </row>
    <row r="1439" spans="1:22" x14ac:dyDescent="0.25">
      <c r="A1439" s="9"/>
      <c r="E1439" s="10"/>
      <c r="K1439" s="11" t="str">
        <f>IF($E1439="","",ROUND($E1439*IF(ISNA(MATCH($C1439,'Paramètres'!$D:$D,0)),1,IF(INDEX('Paramètres'!$J:$J,MATCH($C1439,'Paramètres'!$D:$D,0))="",1,INDEX('Paramètres'!$J:$J,MATCH($C1439,'Paramètres'!$D:$D,0)))),2))</f>
        <v/>
      </c>
      <c r="L1439" s="6" t="str">
        <f>IF($D1439="","",IF($F1439&lt;&gt;"",$F1439,IF(ISNA(MATCH($D1439,'Paramètres'!$M:$M,0)),"⚠ Type inconnu",IFERROR(INDEX('Paramètres'!$P:$P,MATCH($D1439,'Paramètres'!$M:$M,0))&amp;"",""))))</f>
        <v/>
      </c>
      <c r="M1439" s="6" t="str">
        <f>IF($D1439="","",IF(ISNA(MATCH($D1439,'Paramètres'!$M:$M,0)),"⚠ Type inconnu",IF($L1439="Crédit","",IFERROR(INDEX('Paramètres'!$O:$O,MATCH($D1439,'Paramètres'!$M:$M,0))&amp;"",""))))</f>
        <v/>
      </c>
      <c r="N1439" s="6" t="str">
        <f>IF($D1439="","",IFERROR(INDEX('Paramètres'!$Q:$Q,MATCH($D1439,'Paramètres'!$M:$M,0))&amp;"",""))</f>
        <v/>
      </c>
      <c r="O1439" s="6" t="str">
        <f>IF($A1439="","",IF(OR($J1439&lt;&gt;"x",$A1439&lt;=FinReleve),1,0))</f>
        <v/>
      </c>
      <c r="P1439" s="6" t="str">
        <f>IF($D1439="","",IF(AND($L1439="Crédit",OR(IFERROR(INDEX('Paramètres'!$O:$O,MATCH($D1439,'Paramètres'!$M:$M,0))&amp;"","")&lt;&gt;"",ISNUMBER(SEARCH("remboursement",IFERROR(INDEX('Paramètres'!$N:$N,MATCH($D1439,'Paramètres'!$M:$M,0))&amp;"",""))))),1,0))</f>
        <v/>
      </c>
      <c r="Q1439" s="6" t="str">
        <f>IF($K1439="","",IF(ISNUMBER(SEARCH("transfert-interne",IFERROR(INDEX('Paramètres'!$N:$N,MATCH($D1439,'Paramètres'!$M:$M,0))&amp;"",""))),0,IF($L1439="Débit",$K1439,IF($P1439=1,-$K1439,0))))</f>
        <v/>
      </c>
      <c r="R1439" s="6" t="str">
        <f>IF($K1439="","",IF($L1439="Crédit",$K1439,-$K1439))</f>
        <v/>
      </c>
      <c r="S1439" s="6" t="str">
        <f>IF($C1439="","",IFERROR(INDEX('Paramètres'!$H:$H,MATCH($C1439,'Paramètres'!$D:$D,0))&amp;"",""))</f>
        <v/>
      </c>
      <c r="T1439" s="6" t="str">
        <f>IF($K1439="","",IF($S1439="",0,IF(ISNUMBER(SEARCH("apport-exterieur",IFERROR(INDEX('Paramètres'!$N:$N,MATCH($D1439,'Paramètres'!$M:$M,0))&amp;"",""))),0,IF(OR(IFERROR(INDEX('Paramètres'!$I:$I,MATCH($C1439,'Paramètres'!$D:$D,0))&amp;"","")="Les deux",IFERROR(INDEX('Paramètres'!$I:$I,MATCH($C1439,'Paramètres'!$D:$D,0))&amp;"","")=IF($P1439=1,"Débit",$L1439)),-IF($P1439=1,-$K1439,$K1439),0))))</f>
        <v/>
      </c>
      <c r="U1439" s="6" t="str">
        <f>IF($K1439="","",IF(ISNUMBER(SEARCH("sortie-epargne",IFERROR(INDEX('Paramètres'!$N:$N,MATCH($D1439,'Paramètres'!$M:$M,0))&amp;"",""))),$K1439,0))</f>
        <v/>
      </c>
      <c r="V1439" s="6" t="str">
        <f>IF(AND($A1439&lt;&gt;"",$O1439=1,$L1439="Débit",N($Q1439)&gt;0,$A1439&gt;=Visualisation!$B$1,$A1439&lt;Visualisation!$D$1),MAX($V$1:V1438)+1,"")</f>
        <v/>
      </c>
    </row>
    <row r="1440" spans="1:22" x14ac:dyDescent="0.25">
      <c r="A1440" s="9"/>
      <c r="E1440" s="10"/>
      <c r="K1440" s="11" t="str">
        <f>IF($E1440="","",ROUND($E1440*IF(ISNA(MATCH($C1440,'Paramètres'!$D:$D,0)),1,IF(INDEX('Paramètres'!$J:$J,MATCH($C1440,'Paramètres'!$D:$D,0))="",1,INDEX('Paramètres'!$J:$J,MATCH($C1440,'Paramètres'!$D:$D,0)))),2))</f>
        <v/>
      </c>
      <c r="L1440" s="6" t="str">
        <f>IF($D1440="","",IF($F1440&lt;&gt;"",$F1440,IF(ISNA(MATCH($D1440,'Paramètres'!$M:$M,0)),"⚠ Type inconnu",IFERROR(INDEX('Paramètres'!$P:$P,MATCH($D1440,'Paramètres'!$M:$M,0))&amp;"",""))))</f>
        <v/>
      </c>
      <c r="M1440" s="6" t="str">
        <f>IF($D1440="","",IF(ISNA(MATCH($D1440,'Paramètres'!$M:$M,0)),"⚠ Type inconnu",IF($L1440="Crédit","",IFERROR(INDEX('Paramètres'!$O:$O,MATCH($D1440,'Paramètres'!$M:$M,0))&amp;"",""))))</f>
        <v/>
      </c>
      <c r="N1440" s="6" t="str">
        <f>IF($D1440="","",IFERROR(INDEX('Paramètres'!$Q:$Q,MATCH($D1440,'Paramètres'!$M:$M,0))&amp;"",""))</f>
        <v/>
      </c>
      <c r="O1440" s="6" t="str">
        <f>IF($A1440="","",IF(OR($J1440&lt;&gt;"x",$A1440&lt;=FinReleve),1,0))</f>
        <v/>
      </c>
      <c r="P1440" s="6" t="str">
        <f>IF($D1440="","",IF(AND($L1440="Crédit",OR(IFERROR(INDEX('Paramètres'!$O:$O,MATCH($D1440,'Paramètres'!$M:$M,0))&amp;"","")&lt;&gt;"",ISNUMBER(SEARCH("remboursement",IFERROR(INDEX('Paramètres'!$N:$N,MATCH($D1440,'Paramètres'!$M:$M,0))&amp;"",""))))),1,0))</f>
        <v/>
      </c>
      <c r="Q1440" s="6" t="str">
        <f>IF($K1440="","",IF(ISNUMBER(SEARCH("transfert-interne",IFERROR(INDEX('Paramètres'!$N:$N,MATCH($D1440,'Paramètres'!$M:$M,0))&amp;"",""))),0,IF($L1440="Débit",$K1440,IF($P1440=1,-$K1440,0))))</f>
        <v/>
      </c>
      <c r="R1440" s="6" t="str">
        <f>IF($K1440="","",IF($L1440="Crédit",$K1440,-$K1440))</f>
        <v/>
      </c>
      <c r="S1440" s="6" t="str">
        <f>IF($C1440="","",IFERROR(INDEX('Paramètres'!$H:$H,MATCH($C1440,'Paramètres'!$D:$D,0))&amp;"",""))</f>
        <v/>
      </c>
      <c r="T1440" s="6" t="str">
        <f>IF($K1440="","",IF($S1440="",0,IF(ISNUMBER(SEARCH("apport-exterieur",IFERROR(INDEX('Paramètres'!$N:$N,MATCH($D1440,'Paramètres'!$M:$M,0))&amp;"",""))),0,IF(OR(IFERROR(INDEX('Paramètres'!$I:$I,MATCH($C1440,'Paramètres'!$D:$D,0))&amp;"","")="Les deux",IFERROR(INDEX('Paramètres'!$I:$I,MATCH($C1440,'Paramètres'!$D:$D,0))&amp;"","")=IF($P1440=1,"Débit",$L1440)),-IF($P1440=1,-$K1440,$K1440),0))))</f>
        <v/>
      </c>
      <c r="U1440" s="6" t="str">
        <f>IF($K1440="","",IF(ISNUMBER(SEARCH("sortie-epargne",IFERROR(INDEX('Paramètres'!$N:$N,MATCH($D1440,'Paramètres'!$M:$M,0))&amp;"",""))),$K1440,0))</f>
        <v/>
      </c>
      <c r="V1440" s="6" t="str">
        <f>IF(AND($A1440&lt;&gt;"",$O1440=1,$L1440="Débit",N($Q1440)&gt;0,$A1440&gt;=Visualisation!$B$1,$A1440&lt;Visualisation!$D$1),MAX($V$1:V1439)+1,"")</f>
        <v/>
      </c>
    </row>
    <row r="1441" spans="1:22" x14ac:dyDescent="0.25">
      <c r="A1441" s="9"/>
      <c r="E1441" s="10"/>
      <c r="K1441" s="11" t="str">
        <f>IF($E1441="","",ROUND($E1441*IF(ISNA(MATCH($C1441,'Paramètres'!$D:$D,0)),1,IF(INDEX('Paramètres'!$J:$J,MATCH($C1441,'Paramètres'!$D:$D,0))="",1,INDEX('Paramètres'!$J:$J,MATCH($C1441,'Paramètres'!$D:$D,0)))),2))</f>
        <v/>
      </c>
      <c r="L1441" s="6" t="str">
        <f>IF($D1441="","",IF($F1441&lt;&gt;"",$F1441,IF(ISNA(MATCH($D1441,'Paramètres'!$M:$M,0)),"⚠ Type inconnu",IFERROR(INDEX('Paramètres'!$P:$P,MATCH($D1441,'Paramètres'!$M:$M,0))&amp;"",""))))</f>
        <v/>
      </c>
      <c r="M1441" s="6" t="str">
        <f>IF($D1441="","",IF(ISNA(MATCH($D1441,'Paramètres'!$M:$M,0)),"⚠ Type inconnu",IF($L1441="Crédit","",IFERROR(INDEX('Paramètres'!$O:$O,MATCH($D1441,'Paramètres'!$M:$M,0))&amp;"",""))))</f>
        <v/>
      </c>
      <c r="N1441" s="6" t="str">
        <f>IF($D1441="","",IFERROR(INDEX('Paramètres'!$Q:$Q,MATCH($D1441,'Paramètres'!$M:$M,0))&amp;"",""))</f>
        <v/>
      </c>
      <c r="O1441" s="6" t="str">
        <f>IF($A1441="","",IF(OR($J1441&lt;&gt;"x",$A1441&lt;=FinReleve),1,0))</f>
        <v/>
      </c>
      <c r="P1441" s="6" t="str">
        <f>IF($D1441="","",IF(AND($L1441="Crédit",OR(IFERROR(INDEX('Paramètres'!$O:$O,MATCH($D1441,'Paramètres'!$M:$M,0))&amp;"","")&lt;&gt;"",ISNUMBER(SEARCH("remboursement",IFERROR(INDEX('Paramètres'!$N:$N,MATCH($D1441,'Paramètres'!$M:$M,0))&amp;"",""))))),1,0))</f>
        <v/>
      </c>
      <c r="Q1441" s="6" t="str">
        <f>IF($K1441="","",IF(ISNUMBER(SEARCH("transfert-interne",IFERROR(INDEX('Paramètres'!$N:$N,MATCH($D1441,'Paramètres'!$M:$M,0))&amp;"",""))),0,IF($L1441="Débit",$K1441,IF($P1441=1,-$K1441,0))))</f>
        <v/>
      </c>
      <c r="R1441" s="6" t="str">
        <f>IF($K1441="","",IF($L1441="Crédit",$K1441,-$K1441))</f>
        <v/>
      </c>
      <c r="S1441" s="6" t="str">
        <f>IF($C1441="","",IFERROR(INDEX('Paramètres'!$H:$H,MATCH($C1441,'Paramètres'!$D:$D,0))&amp;"",""))</f>
        <v/>
      </c>
      <c r="T1441" s="6" t="str">
        <f>IF($K1441="","",IF($S1441="",0,IF(ISNUMBER(SEARCH("apport-exterieur",IFERROR(INDEX('Paramètres'!$N:$N,MATCH($D1441,'Paramètres'!$M:$M,0))&amp;"",""))),0,IF(OR(IFERROR(INDEX('Paramètres'!$I:$I,MATCH($C1441,'Paramètres'!$D:$D,0))&amp;"","")="Les deux",IFERROR(INDEX('Paramètres'!$I:$I,MATCH($C1441,'Paramètres'!$D:$D,0))&amp;"","")=IF($P1441=1,"Débit",$L1441)),-IF($P1441=1,-$K1441,$K1441),0))))</f>
        <v/>
      </c>
      <c r="U1441" s="6" t="str">
        <f>IF($K1441="","",IF(ISNUMBER(SEARCH("sortie-epargne",IFERROR(INDEX('Paramètres'!$N:$N,MATCH($D1441,'Paramètres'!$M:$M,0))&amp;"",""))),$K1441,0))</f>
        <v/>
      </c>
      <c r="V1441" s="6" t="str">
        <f>IF(AND($A1441&lt;&gt;"",$O1441=1,$L1441="Débit",N($Q1441)&gt;0,$A1441&gt;=Visualisation!$B$1,$A1441&lt;Visualisation!$D$1),MAX($V$1:V1440)+1,"")</f>
        <v/>
      </c>
    </row>
    <row r="1442" spans="1:22" x14ac:dyDescent="0.25">
      <c r="A1442" s="9"/>
      <c r="E1442" s="10"/>
      <c r="K1442" s="11" t="str">
        <f>IF($E1442="","",ROUND($E1442*IF(ISNA(MATCH($C1442,'Paramètres'!$D:$D,0)),1,IF(INDEX('Paramètres'!$J:$J,MATCH($C1442,'Paramètres'!$D:$D,0))="",1,INDEX('Paramètres'!$J:$J,MATCH($C1442,'Paramètres'!$D:$D,0)))),2))</f>
        <v/>
      </c>
      <c r="L1442" s="6" t="str">
        <f>IF($D1442="","",IF($F1442&lt;&gt;"",$F1442,IF(ISNA(MATCH($D1442,'Paramètres'!$M:$M,0)),"⚠ Type inconnu",IFERROR(INDEX('Paramètres'!$P:$P,MATCH($D1442,'Paramètres'!$M:$M,0))&amp;"",""))))</f>
        <v/>
      </c>
      <c r="M1442" s="6" t="str">
        <f>IF($D1442="","",IF(ISNA(MATCH($D1442,'Paramètres'!$M:$M,0)),"⚠ Type inconnu",IF($L1442="Crédit","",IFERROR(INDEX('Paramètres'!$O:$O,MATCH($D1442,'Paramètres'!$M:$M,0))&amp;"",""))))</f>
        <v/>
      </c>
      <c r="N1442" s="6" t="str">
        <f>IF($D1442="","",IFERROR(INDEX('Paramètres'!$Q:$Q,MATCH($D1442,'Paramètres'!$M:$M,0))&amp;"",""))</f>
        <v/>
      </c>
      <c r="O1442" s="6" t="str">
        <f>IF($A1442="","",IF(OR($J1442&lt;&gt;"x",$A1442&lt;=FinReleve),1,0))</f>
        <v/>
      </c>
      <c r="P1442" s="6" t="str">
        <f>IF($D1442="","",IF(AND($L1442="Crédit",OR(IFERROR(INDEX('Paramètres'!$O:$O,MATCH($D1442,'Paramètres'!$M:$M,0))&amp;"","")&lt;&gt;"",ISNUMBER(SEARCH("remboursement",IFERROR(INDEX('Paramètres'!$N:$N,MATCH($D1442,'Paramètres'!$M:$M,0))&amp;"",""))))),1,0))</f>
        <v/>
      </c>
      <c r="Q1442" s="6" t="str">
        <f>IF($K1442="","",IF(ISNUMBER(SEARCH("transfert-interne",IFERROR(INDEX('Paramètres'!$N:$N,MATCH($D1442,'Paramètres'!$M:$M,0))&amp;"",""))),0,IF($L1442="Débit",$K1442,IF($P1442=1,-$K1442,0))))</f>
        <v/>
      </c>
      <c r="R1442" s="6" t="str">
        <f>IF($K1442="","",IF($L1442="Crédit",$K1442,-$K1442))</f>
        <v/>
      </c>
      <c r="S1442" s="6" t="str">
        <f>IF($C1442="","",IFERROR(INDEX('Paramètres'!$H:$H,MATCH($C1442,'Paramètres'!$D:$D,0))&amp;"",""))</f>
        <v/>
      </c>
      <c r="T1442" s="6" t="str">
        <f>IF($K1442="","",IF($S1442="",0,IF(ISNUMBER(SEARCH("apport-exterieur",IFERROR(INDEX('Paramètres'!$N:$N,MATCH($D1442,'Paramètres'!$M:$M,0))&amp;"",""))),0,IF(OR(IFERROR(INDEX('Paramètres'!$I:$I,MATCH($C1442,'Paramètres'!$D:$D,0))&amp;"","")="Les deux",IFERROR(INDEX('Paramètres'!$I:$I,MATCH($C1442,'Paramètres'!$D:$D,0))&amp;"","")=IF($P1442=1,"Débit",$L1442)),-IF($P1442=1,-$K1442,$K1442),0))))</f>
        <v/>
      </c>
      <c r="U1442" s="6" t="str">
        <f>IF($K1442="","",IF(ISNUMBER(SEARCH("sortie-epargne",IFERROR(INDEX('Paramètres'!$N:$N,MATCH($D1442,'Paramètres'!$M:$M,0))&amp;"",""))),$K1442,0))</f>
        <v/>
      </c>
      <c r="V1442" s="6" t="str">
        <f>IF(AND($A1442&lt;&gt;"",$O1442=1,$L1442="Débit",N($Q1442)&gt;0,$A1442&gt;=Visualisation!$B$1,$A1442&lt;Visualisation!$D$1),MAX($V$1:V1441)+1,"")</f>
        <v/>
      </c>
    </row>
    <row r="1443" spans="1:22" x14ac:dyDescent="0.25">
      <c r="A1443" s="9"/>
      <c r="E1443" s="10"/>
      <c r="K1443" s="11" t="str">
        <f>IF($E1443="","",ROUND($E1443*IF(ISNA(MATCH($C1443,'Paramètres'!$D:$D,0)),1,IF(INDEX('Paramètres'!$J:$J,MATCH($C1443,'Paramètres'!$D:$D,0))="",1,INDEX('Paramètres'!$J:$J,MATCH($C1443,'Paramètres'!$D:$D,0)))),2))</f>
        <v/>
      </c>
      <c r="L1443" s="6" t="str">
        <f>IF($D1443="","",IF($F1443&lt;&gt;"",$F1443,IF(ISNA(MATCH($D1443,'Paramètres'!$M:$M,0)),"⚠ Type inconnu",IFERROR(INDEX('Paramètres'!$P:$P,MATCH($D1443,'Paramètres'!$M:$M,0))&amp;"",""))))</f>
        <v/>
      </c>
      <c r="M1443" s="6" t="str">
        <f>IF($D1443="","",IF(ISNA(MATCH($D1443,'Paramètres'!$M:$M,0)),"⚠ Type inconnu",IF($L1443="Crédit","",IFERROR(INDEX('Paramètres'!$O:$O,MATCH($D1443,'Paramètres'!$M:$M,0))&amp;"",""))))</f>
        <v/>
      </c>
      <c r="N1443" s="6" t="str">
        <f>IF($D1443="","",IFERROR(INDEX('Paramètres'!$Q:$Q,MATCH($D1443,'Paramètres'!$M:$M,0))&amp;"",""))</f>
        <v/>
      </c>
      <c r="O1443" s="6" t="str">
        <f>IF($A1443="","",IF(OR($J1443&lt;&gt;"x",$A1443&lt;=FinReleve),1,0))</f>
        <v/>
      </c>
      <c r="P1443" s="6" t="str">
        <f>IF($D1443="","",IF(AND($L1443="Crédit",OR(IFERROR(INDEX('Paramètres'!$O:$O,MATCH($D1443,'Paramètres'!$M:$M,0))&amp;"","")&lt;&gt;"",ISNUMBER(SEARCH("remboursement",IFERROR(INDEX('Paramètres'!$N:$N,MATCH($D1443,'Paramètres'!$M:$M,0))&amp;"",""))))),1,0))</f>
        <v/>
      </c>
      <c r="Q1443" s="6" t="str">
        <f>IF($K1443="","",IF(ISNUMBER(SEARCH("transfert-interne",IFERROR(INDEX('Paramètres'!$N:$N,MATCH($D1443,'Paramètres'!$M:$M,0))&amp;"",""))),0,IF($L1443="Débit",$K1443,IF($P1443=1,-$K1443,0))))</f>
        <v/>
      </c>
      <c r="R1443" s="6" t="str">
        <f>IF($K1443="","",IF($L1443="Crédit",$K1443,-$K1443))</f>
        <v/>
      </c>
      <c r="S1443" s="6" t="str">
        <f>IF($C1443="","",IFERROR(INDEX('Paramètres'!$H:$H,MATCH($C1443,'Paramètres'!$D:$D,0))&amp;"",""))</f>
        <v/>
      </c>
      <c r="T1443" s="6" t="str">
        <f>IF($K1443="","",IF($S1443="",0,IF(ISNUMBER(SEARCH("apport-exterieur",IFERROR(INDEX('Paramètres'!$N:$N,MATCH($D1443,'Paramètres'!$M:$M,0))&amp;"",""))),0,IF(OR(IFERROR(INDEX('Paramètres'!$I:$I,MATCH($C1443,'Paramètres'!$D:$D,0))&amp;"","")="Les deux",IFERROR(INDEX('Paramètres'!$I:$I,MATCH($C1443,'Paramètres'!$D:$D,0))&amp;"","")=IF($P1443=1,"Débit",$L1443)),-IF($P1443=1,-$K1443,$K1443),0))))</f>
        <v/>
      </c>
      <c r="U1443" s="6" t="str">
        <f>IF($K1443="","",IF(ISNUMBER(SEARCH("sortie-epargne",IFERROR(INDEX('Paramètres'!$N:$N,MATCH($D1443,'Paramètres'!$M:$M,0))&amp;"",""))),$K1443,0))</f>
        <v/>
      </c>
      <c r="V1443" s="6" t="str">
        <f>IF(AND($A1443&lt;&gt;"",$O1443=1,$L1443="Débit",N($Q1443)&gt;0,$A1443&gt;=Visualisation!$B$1,$A1443&lt;Visualisation!$D$1),MAX($V$1:V1442)+1,"")</f>
        <v/>
      </c>
    </row>
    <row r="1444" spans="1:22" x14ac:dyDescent="0.25">
      <c r="A1444" s="9"/>
      <c r="E1444" s="10"/>
      <c r="K1444" s="11" t="str">
        <f>IF($E1444="","",ROUND($E1444*IF(ISNA(MATCH($C1444,'Paramètres'!$D:$D,0)),1,IF(INDEX('Paramètres'!$J:$J,MATCH($C1444,'Paramètres'!$D:$D,0))="",1,INDEX('Paramètres'!$J:$J,MATCH($C1444,'Paramètres'!$D:$D,0)))),2))</f>
        <v/>
      </c>
      <c r="L1444" s="6" t="str">
        <f>IF($D1444="","",IF($F1444&lt;&gt;"",$F1444,IF(ISNA(MATCH($D1444,'Paramètres'!$M:$M,0)),"⚠ Type inconnu",IFERROR(INDEX('Paramètres'!$P:$P,MATCH($D1444,'Paramètres'!$M:$M,0))&amp;"",""))))</f>
        <v/>
      </c>
      <c r="M1444" s="6" t="str">
        <f>IF($D1444="","",IF(ISNA(MATCH($D1444,'Paramètres'!$M:$M,0)),"⚠ Type inconnu",IF($L1444="Crédit","",IFERROR(INDEX('Paramètres'!$O:$O,MATCH($D1444,'Paramètres'!$M:$M,0))&amp;"",""))))</f>
        <v/>
      </c>
      <c r="N1444" s="6" t="str">
        <f>IF($D1444="","",IFERROR(INDEX('Paramètres'!$Q:$Q,MATCH($D1444,'Paramètres'!$M:$M,0))&amp;"",""))</f>
        <v/>
      </c>
      <c r="O1444" s="6" t="str">
        <f>IF($A1444="","",IF(OR($J1444&lt;&gt;"x",$A1444&lt;=FinReleve),1,0))</f>
        <v/>
      </c>
      <c r="P1444" s="6" t="str">
        <f>IF($D1444="","",IF(AND($L1444="Crédit",OR(IFERROR(INDEX('Paramètres'!$O:$O,MATCH($D1444,'Paramètres'!$M:$M,0))&amp;"","")&lt;&gt;"",ISNUMBER(SEARCH("remboursement",IFERROR(INDEX('Paramètres'!$N:$N,MATCH($D1444,'Paramètres'!$M:$M,0))&amp;"",""))))),1,0))</f>
        <v/>
      </c>
      <c r="Q1444" s="6" t="str">
        <f>IF($K1444="","",IF(ISNUMBER(SEARCH("transfert-interne",IFERROR(INDEX('Paramètres'!$N:$N,MATCH($D1444,'Paramètres'!$M:$M,0))&amp;"",""))),0,IF($L1444="Débit",$K1444,IF($P1444=1,-$K1444,0))))</f>
        <v/>
      </c>
      <c r="R1444" s="6" t="str">
        <f>IF($K1444="","",IF($L1444="Crédit",$K1444,-$K1444))</f>
        <v/>
      </c>
      <c r="S1444" s="6" t="str">
        <f>IF($C1444="","",IFERROR(INDEX('Paramètres'!$H:$H,MATCH($C1444,'Paramètres'!$D:$D,0))&amp;"",""))</f>
        <v/>
      </c>
      <c r="T1444" s="6" t="str">
        <f>IF($K1444="","",IF($S1444="",0,IF(ISNUMBER(SEARCH("apport-exterieur",IFERROR(INDEX('Paramètres'!$N:$N,MATCH($D1444,'Paramètres'!$M:$M,0))&amp;"",""))),0,IF(OR(IFERROR(INDEX('Paramètres'!$I:$I,MATCH($C1444,'Paramètres'!$D:$D,0))&amp;"","")="Les deux",IFERROR(INDEX('Paramètres'!$I:$I,MATCH($C1444,'Paramètres'!$D:$D,0))&amp;"","")=IF($P1444=1,"Débit",$L1444)),-IF($P1444=1,-$K1444,$K1444),0))))</f>
        <v/>
      </c>
      <c r="U1444" s="6" t="str">
        <f>IF($K1444="","",IF(ISNUMBER(SEARCH("sortie-epargne",IFERROR(INDEX('Paramètres'!$N:$N,MATCH($D1444,'Paramètres'!$M:$M,0))&amp;"",""))),$K1444,0))</f>
        <v/>
      </c>
      <c r="V1444" s="6" t="str">
        <f>IF(AND($A1444&lt;&gt;"",$O1444=1,$L1444="Débit",N($Q1444)&gt;0,$A1444&gt;=Visualisation!$B$1,$A1444&lt;Visualisation!$D$1),MAX($V$1:V1443)+1,"")</f>
        <v/>
      </c>
    </row>
    <row r="1445" spans="1:22" x14ac:dyDescent="0.25">
      <c r="A1445" s="9"/>
      <c r="E1445" s="10"/>
      <c r="K1445" s="11" t="str">
        <f>IF($E1445="","",ROUND($E1445*IF(ISNA(MATCH($C1445,'Paramètres'!$D:$D,0)),1,IF(INDEX('Paramètres'!$J:$J,MATCH($C1445,'Paramètres'!$D:$D,0))="",1,INDEX('Paramètres'!$J:$J,MATCH($C1445,'Paramètres'!$D:$D,0)))),2))</f>
        <v/>
      </c>
      <c r="L1445" s="6" t="str">
        <f>IF($D1445="","",IF($F1445&lt;&gt;"",$F1445,IF(ISNA(MATCH($D1445,'Paramètres'!$M:$M,0)),"⚠ Type inconnu",IFERROR(INDEX('Paramètres'!$P:$P,MATCH($D1445,'Paramètres'!$M:$M,0))&amp;"",""))))</f>
        <v/>
      </c>
      <c r="M1445" s="6" t="str">
        <f>IF($D1445="","",IF(ISNA(MATCH($D1445,'Paramètres'!$M:$M,0)),"⚠ Type inconnu",IF($L1445="Crédit","",IFERROR(INDEX('Paramètres'!$O:$O,MATCH($D1445,'Paramètres'!$M:$M,0))&amp;"",""))))</f>
        <v/>
      </c>
      <c r="N1445" s="6" t="str">
        <f>IF($D1445="","",IFERROR(INDEX('Paramètres'!$Q:$Q,MATCH($D1445,'Paramètres'!$M:$M,0))&amp;"",""))</f>
        <v/>
      </c>
      <c r="O1445" s="6" t="str">
        <f>IF($A1445="","",IF(OR($J1445&lt;&gt;"x",$A1445&lt;=FinReleve),1,0))</f>
        <v/>
      </c>
      <c r="P1445" s="6" t="str">
        <f>IF($D1445="","",IF(AND($L1445="Crédit",OR(IFERROR(INDEX('Paramètres'!$O:$O,MATCH($D1445,'Paramètres'!$M:$M,0))&amp;"","")&lt;&gt;"",ISNUMBER(SEARCH("remboursement",IFERROR(INDEX('Paramètres'!$N:$N,MATCH($D1445,'Paramètres'!$M:$M,0))&amp;"",""))))),1,0))</f>
        <v/>
      </c>
      <c r="Q1445" s="6" t="str">
        <f>IF($K1445="","",IF(ISNUMBER(SEARCH("transfert-interne",IFERROR(INDEX('Paramètres'!$N:$N,MATCH($D1445,'Paramètres'!$M:$M,0))&amp;"",""))),0,IF($L1445="Débit",$K1445,IF($P1445=1,-$K1445,0))))</f>
        <v/>
      </c>
      <c r="R1445" s="6" t="str">
        <f>IF($K1445="","",IF($L1445="Crédit",$K1445,-$K1445))</f>
        <v/>
      </c>
      <c r="S1445" s="6" t="str">
        <f>IF($C1445="","",IFERROR(INDEX('Paramètres'!$H:$H,MATCH($C1445,'Paramètres'!$D:$D,0))&amp;"",""))</f>
        <v/>
      </c>
      <c r="T1445" s="6" t="str">
        <f>IF($K1445="","",IF($S1445="",0,IF(ISNUMBER(SEARCH("apport-exterieur",IFERROR(INDEX('Paramètres'!$N:$N,MATCH($D1445,'Paramètres'!$M:$M,0))&amp;"",""))),0,IF(OR(IFERROR(INDEX('Paramètres'!$I:$I,MATCH($C1445,'Paramètres'!$D:$D,0))&amp;"","")="Les deux",IFERROR(INDEX('Paramètres'!$I:$I,MATCH($C1445,'Paramètres'!$D:$D,0))&amp;"","")=IF($P1445=1,"Débit",$L1445)),-IF($P1445=1,-$K1445,$K1445),0))))</f>
        <v/>
      </c>
      <c r="U1445" s="6" t="str">
        <f>IF($K1445="","",IF(ISNUMBER(SEARCH("sortie-epargne",IFERROR(INDEX('Paramètres'!$N:$N,MATCH($D1445,'Paramètres'!$M:$M,0))&amp;"",""))),$K1445,0))</f>
        <v/>
      </c>
      <c r="V1445" s="6" t="str">
        <f>IF(AND($A1445&lt;&gt;"",$O1445=1,$L1445="Débit",N($Q1445)&gt;0,$A1445&gt;=Visualisation!$B$1,$A1445&lt;Visualisation!$D$1),MAX($V$1:V1444)+1,"")</f>
        <v/>
      </c>
    </row>
    <row r="1446" spans="1:22" x14ac:dyDescent="0.25">
      <c r="A1446" s="9"/>
      <c r="E1446" s="10"/>
      <c r="K1446" s="11" t="str">
        <f>IF($E1446="","",ROUND($E1446*IF(ISNA(MATCH($C1446,'Paramètres'!$D:$D,0)),1,IF(INDEX('Paramètres'!$J:$J,MATCH($C1446,'Paramètres'!$D:$D,0))="",1,INDEX('Paramètres'!$J:$J,MATCH($C1446,'Paramètres'!$D:$D,0)))),2))</f>
        <v/>
      </c>
      <c r="L1446" s="6" t="str">
        <f>IF($D1446="","",IF($F1446&lt;&gt;"",$F1446,IF(ISNA(MATCH($D1446,'Paramètres'!$M:$M,0)),"⚠ Type inconnu",IFERROR(INDEX('Paramètres'!$P:$P,MATCH($D1446,'Paramètres'!$M:$M,0))&amp;"",""))))</f>
        <v/>
      </c>
      <c r="M1446" s="6" t="str">
        <f>IF($D1446="","",IF(ISNA(MATCH($D1446,'Paramètres'!$M:$M,0)),"⚠ Type inconnu",IF($L1446="Crédit","",IFERROR(INDEX('Paramètres'!$O:$O,MATCH($D1446,'Paramètres'!$M:$M,0))&amp;"",""))))</f>
        <v/>
      </c>
      <c r="N1446" s="6" t="str">
        <f>IF($D1446="","",IFERROR(INDEX('Paramètres'!$Q:$Q,MATCH($D1446,'Paramètres'!$M:$M,0))&amp;"",""))</f>
        <v/>
      </c>
      <c r="O1446" s="6" t="str">
        <f>IF($A1446="","",IF(OR($J1446&lt;&gt;"x",$A1446&lt;=FinReleve),1,0))</f>
        <v/>
      </c>
      <c r="P1446" s="6" t="str">
        <f>IF($D1446="","",IF(AND($L1446="Crédit",OR(IFERROR(INDEX('Paramètres'!$O:$O,MATCH($D1446,'Paramètres'!$M:$M,0))&amp;"","")&lt;&gt;"",ISNUMBER(SEARCH("remboursement",IFERROR(INDEX('Paramètres'!$N:$N,MATCH($D1446,'Paramètres'!$M:$M,0))&amp;"",""))))),1,0))</f>
        <v/>
      </c>
      <c r="Q1446" s="6" t="str">
        <f>IF($K1446="","",IF(ISNUMBER(SEARCH("transfert-interne",IFERROR(INDEX('Paramètres'!$N:$N,MATCH($D1446,'Paramètres'!$M:$M,0))&amp;"",""))),0,IF($L1446="Débit",$K1446,IF($P1446=1,-$K1446,0))))</f>
        <v/>
      </c>
      <c r="R1446" s="6" t="str">
        <f>IF($K1446="","",IF($L1446="Crédit",$K1446,-$K1446))</f>
        <v/>
      </c>
      <c r="S1446" s="6" t="str">
        <f>IF($C1446="","",IFERROR(INDEX('Paramètres'!$H:$H,MATCH($C1446,'Paramètres'!$D:$D,0))&amp;"",""))</f>
        <v/>
      </c>
      <c r="T1446" s="6" t="str">
        <f>IF($K1446="","",IF($S1446="",0,IF(ISNUMBER(SEARCH("apport-exterieur",IFERROR(INDEX('Paramètres'!$N:$N,MATCH($D1446,'Paramètres'!$M:$M,0))&amp;"",""))),0,IF(OR(IFERROR(INDEX('Paramètres'!$I:$I,MATCH($C1446,'Paramètres'!$D:$D,0))&amp;"","")="Les deux",IFERROR(INDEX('Paramètres'!$I:$I,MATCH($C1446,'Paramètres'!$D:$D,0))&amp;"","")=IF($P1446=1,"Débit",$L1446)),-IF($P1446=1,-$K1446,$K1446),0))))</f>
        <v/>
      </c>
      <c r="U1446" s="6" t="str">
        <f>IF($K1446="","",IF(ISNUMBER(SEARCH("sortie-epargne",IFERROR(INDEX('Paramètres'!$N:$N,MATCH($D1446,'Paramètres'!$M:$M,0))&amp;"",""))),$K1446,0))</f>
        <v/>
      </c>
      <c r="V1446" s="6" t="str">
        <f>IF(AND($A1446&lt;&gt;"",$O1446=1,$L1446="Débit",N($Q1446)&gt;0,$A1446&gt;=Visualisation!$B$1,$A1446&lt;Visualisation!$D$1),MAX($V$1:V1445)+1,"")</f>
        <v/>
      </c>
    </row>
    <row r="1447" spans="1:22" x14ac:dyDescent="0.25">
      <c r="A1447" s="9"/>
      <c r="E1447" s="10"/>
      <c r="K1447" s="11" t="str">
        <f>IF($E1447="","",ROUND($E1447*IF(ISNA(MATCH($C1447,'Paramètres'!$D:$D,0)),1,IF(INDEX('Paramètres'!$J:$J,MATCH($C1447,'Paramètres'!$D:$D,0))="",1,INDEX('Paramètres'!$J:$J,MATCH($C1447,'Paramètres'!$D:$D,0)))),2))</f>
        <v/>
      </c>
      <c r="L1447" s="6" t="str">
        <f>IF($D1447="","",IF($F1447&lt;&gt;"",$F1447,IF(ISNA(MATCH($D1447,'Paramètres'!$M:$M,0)),"⚠ Type inconnu",IFERROR(INDEX('Paramètres'!$P:$P,MATCH($D1447,'Paramètres'!$M:$M,0))&amp;"",""))))</f>
        <v/>
      </c>
      <c r="M1447" s="6" t="str">
        <f>IF($D1447="","",IF(ISNA(MATCH($D1447,'Paramètres'!$M:$M,0)),"⚠ Type inconnu",IF($L1447="Crédit","",IFERROR(INDEX('Paramètres'!$O:$O,MATCH($D1447,'Paramètres'!$M:$M,0))&amp;"",""))))</f>
        <v/>
      </c>
      <c r="N1447" s="6" t="str">
        <f>IF($D1447="","",IFERROR(INDEX('Paramètres'!$Q:$Q,MATCH($D1447,'Paramètres'!$M:$M,0))&amp;"",""))</f>
        <v/>
      </c>
      <c r="O1447" s="6" t="str">
        <f>IF($A1447="","",IF(OR($J1447&lt;&gt;"x",$A1447&lt;=FinReleve),1,0))</f>
        <v/>
      </c>
      <c r="P1447" s="6" t="str">
        <f>IF($D1447="","",IF(AND($L1447="Crédit",OR(IFERROR(INDEX('Paramètres'!$O:$O,MATCH($D1447,'Paramètres'!$M:$M,0))&amp;"","")&lt;&gt;"",ISNUMBER(SEARCH("remboursement",IFERROR(INDEX('Paramètres'!$N:$N,MATCH($D1447,'Paramètres'!$M:$M,0))&amp;"",""))))),1,0))</f>
        <v/>
      </c>
      <c r="Q1447" s="6" t="str">
        <f>IF($K1447="","",IF(ISNUMBER(SEARCH("transfert-interne",IFERROR(INDEX('Paramètres'!$N:$N,MATCH($D1447,'Paramètres'!$M:$M,0))&amp;"",""))),0,IF($L1447="Débit",$K1447,IF($P1447=1,-$K1447,0))))</f>
        <v/>
      </c>
      <c r="R1447" s="6" t="str">
        <f>IF($K1447="","",IF($L1447="Crédit",$K1447,-$K1447))</f>
        <v/>
      </c>
      <c r="S1447" s="6" t="str">
        <f>IF($C1447="","",IFERROR(INDEX('Paramètres'!$H:$H,MATCH($C1447,'Paramètres'!$D:$D,0))&amp;"",""))</f>
        <v/>
      </c>
      <c r="T1447" s="6" t="str">
        <f>IF($K1447="","",IF($S1447="",0,IF(ISNUMBER(SEARCH("apport-exterieur",IFERROR(INDEX('Paramètres'!$N:$N,MATCH($D1447,'Paramètres'!$M:$M,0))&amp;"",""))),0,IF(OR(IFERROR(INDEX('Paramètres'!$I:$I,MATCH($C1447,'Paramètres'!$D:$D,0))&amp;"","")="Les deux",IFERROR(INDEX('Paramètres'!$I:$I,MATCH($C1447,'Paramètres'!$D:$D,0))&amp;"","")=IF($P1447=1,"Débit",$L1447)),-IF($P1447=1,-$K1447,$K1447),0))))</f>
        <v/>
      </c>
      <c r="U1447" s="6" t="str">
        <f>IF($K1447="","",IF(ISNUMBER(SEARCH("sortie-epargne",IFERROR(INDEX('Paramètres'!$N:$N,MATCH($D1447,'Paramètres'!$M:$M,0))&amp;"",""))),$K1447,0))</f>
        <v/>
      </c>
      <c r="V1447" s="6" t="str">
        <f>IF(AND($A1447&lt;&gt;"",$O1447=1,$L1447="Débit",N($Q1447)&gt;0,$A1447&gt;=Visualisation!$B$1,$A1447&lt;Visualisation!$D$1),MAX($V$1:V1446)+1,"")</f>
        <v/>
      </c>
    </row>
    <row r="1448" spans="1:22" x14ac:dyDescent="0.25">
      <c r="A1448" s="9"/>
      <c r="E1448" s="10"/>
      <c r="K1448" s="11" t="str">
        <f>IF($E1448="","",ROUND($E1448*IF(ISNA(MATCH($C1448,'Paramètres'!$D:$D,0)),1,IF(INDEX('Paramètres'!$J:$J,MATCH($C1448,'Paramètres'!$D:$D,0))="",1,INDEX('Paramètres'!$J:$J,MATCH($C1448,'Paramètres'!$D:$D,0)))),2))</f>
        <v/>
      </c>
      <c r="L1448" s="6" t="str">
        <f>IF($D1448="","",IF($F1448&lt;&gt;"",$F1448,IF(ISNA(MATCH($D1448,'Paramètres'!$M:$M,0)),"⚠ Type inconnu",IFERROR(INDEX('Paramètres'!$P:$P,MATCH($D1448,'Paramètres'!$M:$M,0))&amp;"",""))))</f>
        <v/>
      </c>
      <c r="M1448" s="6" t="str">
        <f>IF($D1448="","",IF(ISNA(MATCH($D1448,'Paramètres'!$M:$M,0)),"⚠ Type inconnu",IF($L1448="Crédit","",IFERROR(INDEX('Paramètres'!$O:$O,MATCH($D1448,'Paramètres'!$M:$M,0))&amp;"",""))))</f>
        <v/>
      </c>
      <c r="N1448" s="6" t="str">
        <f>IF($D1448="","",IFERROR(INDEX('Paramètres'!$Q:$Q,MATCH($D1448,'Paramètres'!$M:$M,0))&amp;"",""))</f>
        <v/>
      </c>
      <c r="O1448" s="6" t="str">
        <f>IF($A1448="","",IF(OR($J1448&lt;&gt;"x",$A1448&lt;=FinReleve),1,0))</f>
        <v/>
      </c>
      <c r="P1448" s="6" t="str">
        <f>IF($D1448="","",IF(AND($L1448="Crédit",OR(IFERROR(INDEX('Paramètres'!$O:$O,MATCH($D1448,'Paramètres'!$M:$M,0))&amp;"","")&lt;&gt;"",ISNUMBER(SEARCH("remboursement",IFERROR(INDEX('Paramètres'!$N:$N,MATCH($D1448,'Paramètres'!$M:$M,0))&amp;"",""))))),1,0))</f>
        <v/>
      </c>
      <c r="Q1448" s="6" t="str">
        <f>IF($K1448="","",IF(ISNUMBER(SEARCH("transfert-interne",IFERROR(INDEX('Paramètres'!$N:$N,MATCH($D1448,'Paramètres'!$M:$M,0))&amp;"",""))),0,IF($L1448="Débit",$K1448,IF($P1448=1,-$K1448,0))))</f>
        <v/>
      </c>
      <c r="R1448" s="6" t="str">
        <f>IF($K1448="","",IF($L1448="Crédit",$K1448,-$K1448))</f>
        <v/>
      </c>
      <c r="S1448" s="6" t="str">
        <f>IF($C1448="","",IFERROR(INDEX('Paramètres'!$H:$H,MATCH($C1448,'Paramètres'!$D:$D,0))&amp;"",""))</f>
        <v/>
      </c>
      <c r="T1448" s="6" t="str">
        <f>IF($K1448="","",IF($S1448="",0,IF(ISNUMBER(SEARCH("apport-exterieur",IFERROR(INDEX('Paramètres'!$N:$N,MATCH($D1448,'Paramètres'!$M:$M,0))&amp;"",""))),0,IF(OR(IFERROR(INDEX('Paramètres'!$I:$I,MATCH($C1448,'Paramètres'!$D:$D,0))&amp;"","")="Les deux",IFERROR(INDEX('Paramètres'!$I:$I,MATCH($C1448,'Paramètres'!$D:$D,0))&amp;"","")=IF($P1448=1,"Débit",$L1448)),-IF($P1448=1,-$K1448,$K1448),0))))</f>
        <v/>
      </c>
      <c r="U1448" s="6" t="str">
        <f>IF($K1448="","",IF(ISNUMBER(SEARCH("sortie-epargne",IFERROR(INDEX('Paramètres'!$N:$N,MATCH($D1448,'Paramètres'!$M:$M,0))&amp;"",""))),$K1448,0))</f>
        <v/>
      </c>
      <c r="V1448" s="6" t="str">
        <f>IF(AND($A1448&lt;&gt;"",$O1448=1,$L1448="Débit",N($Q1448)&gt;0,$A1448&gt;=Visualisation!$B$1,$A1448&lt;Visualisation!$D$1),MAX($V$1:V1447)+1,"")</f>
        <v/>
      </c>
    </row>
    <row r="1449" spans="1:22" x14ac:dyDescent="0.25">
      <c r="A1449" s="9"/>
      <c r="E1449" s="10"/>
      <c r="K1449" s="11" t="str">
        <f>IF($E1449="","",ROUND($E1449*IF(ISNA(MATCH($C1449,'Paramètres'!$D:$D,0)),1,IF(INDEX('Paramètres'!$J:$J,MATCH($C1449,'Paramètres'!$D:$D,0))="",1,INDEX('Paramètres'!$J:$J,MATCH($C1449,'Paramètres'!$D:$D,0)))),2))</f>
        <v/>
      </c>
      <c r="L1449" s="6" t="str">
        <f>IF($D1449="","",IF($F1449&lt;&gt;"",$F1449,IF(ISNA(MATCH($D1449,'Paramètres'!$M:$M,0)),"⚠ Type inconnu",IFERROR(INDEX('Paramètres'!$P:$P,MATCH($D1449,'Paramètres'!$M:$M,0))&amp;"",""))))</f>
        <v/>
      </c>
      <c r="M1449" s="6" t="str">
        <f>IF($D1449="","",IF(ISNA(MATCH($D1449,'Paramètres'!$M:$M,0)),"⚠ Type inconnu",IF($L1449="Crédit","",IFERROR(INDEX('Paramètres'!$O:$O,MATCH($D1449,'Paramètres'!$M:$M,0))&amp;"",""))))</f>
        <v/>
      </c>
      <c r="N1449" s="6" t="str">
        <f>IF($D1449="","",IFERROR(INDEX('Paramètres'!$Q:$Q,MATCH($D1449,'Paramètres'!$M:$M,0))&amp;"",""))</f>
        <v/>
      </c>
      <c r="O1449" s="6" t="str">
        <f>IF($A1449="","",IF(OR($J1449&lt;&gt;"x",$A1449&lt;=FinReleve),1,0))</f>
        <v/>
      </c>
      <c r="P1449" s="6" t="str">
        <f>IF($D1449="","",IF(AND($L1449="Crédit",OR(IFERROR(INDEX('Paramètres'!$O:$O,MATCH($D1449,'Paramètres'!$M:$M,0))&amp;"","")&lt;&gt;"",ISNUMBER(SEARCH("remboursement",IFERROR(INDEX('Paramètres'!$N:$N,MATCH($D1449,'Paramètres'!$M:$M,0))&amp;"",""))))),1,0))</f>
        <v/>
      </c>
      <c r="Q1449" s="6" t="str">
        <f>IF($K1449="","",IF(ISNUMBER(SEARCH("transfert-interne",IFERROR(INDEX('Paramètres'!$N:$N,MATCH($D1449,'Paramètres'!$M:$M,0))&amp;"",""))),0,IF($L1449="Débit",$K1449,IF($P1449=1,-$K1449,0))))</f>
        <v/>
      </c>
      <c r="R1449" s="6" t="str">
        <f>IF($K1449="","",IF($L1449="Crédit",$K1449,-$K1449))</f>
        <v/>
      </c>
      <c r="S1449" s="6" t="str">
        <f>IF($C1449="","",IFERROR(INDEX('Paramètres'!$H:$H,MATCH($C1449,'Paramètres'!$D:$D,0))&amp;"",""))</f>
        <v/>
      </c>
      <c r="T1449" s="6" t="str">
        <f>IF($K1449="","",IF($S1449="",0,IF(ISNUMBER(SEARCH("apport-exterieur",IFERROR(INDEX('Paramètres'!$N:$N,MATCH($D1449,'Paramètres'!$M:$M,0))&amp;"",""))),0,IF(OR(IFERROR(INDEX('Paramètres'!$I:$I,MATCH($C1449,'Paramètres'!$D:$D,0))&amp;"","")="Les deux",IFERROR(INDEX('Paramètres'!$I:$I,MATCH($C1449,'Paramètres'!$D:$D,0))&amp;"","")=IF($P1449=1,"Débit",$L1449)),-IF($P1449=1,-$K1449,$K1449),0))))</f>
        <v/>
      </c>
      <c r="U1449" s="6" t="str">
        <f>IF($K1449="","",IF(ISNUMBER(SEARCH("sortie-epargne",IFERROR(INDEX('Paramètres'!$N:$N,MATCH($D1449,'Paramètres'!$M:$M,0))&amp;"",""))),$K1449,0))</f>
        <v/>
      </c>
      <c r="V1449" s="6" t="str">
        <f>IF(AND($A1449&lt;&gt;"",$O1449=1,$L1449="Débit",N($Q1449)&gt;0,$A1449&gt;=Visualisation!$B$1,$A1449&lt;Visualisation!$D$1),MAX($V$1:V1448)+1,"")</f>
        <v/>
      </c>
    </row>
    <row r="1450" spans="1:22" x14ac:dyDescent="0.25">
      <c r="A1450" s="9"/>
      <c r="E1450" s="10"/>
      <c r="K1450" s="11" t="str">
        <f>IF($E1450="","",ROUND($E1450*IF(ISNA(MATCH($C1450,'Paramètres'!$D:$D,0)),1,IF(INDEX('Paramètres'!$J:$J,MATCH($C1450,'Paramètres'!$D:$D,0))="",1,INDEX('Paramètres'!$J:$J,MATCH($C1450,'Paramètres'!$D:$D,0)))),2))</f>
        <v/>
      </c>
      <c r="L1450" s="6" t="str">
        <f>IF($D1450="","",IF($F1450&lt;&gt;"",$F1450,IF(ISNA(MATCH($D1450,'Paramètres'!$M:$M,0)),"⚠ Type inconnu",IFERROR(INDEX('Paramètres'!$P:$P,MATCH($D1450,'Paramètres'!$M:$M,0))&amp;"",""))))</f>
        <v/>
      </c>
      <c r="M1450" s="6" t="str">
        <f>IF($D1450="","",IF(ISNA(MATCH($D1450,'Paramètres'!$M:$M,0)),"⚠ Type inconnu",IF($L1450="Crédit","",IFERROR(INDEX('Paramètres'!$O:$O,MATCH($D1450,'Paramètres'!$M:$M,0))&amp;"",""))))</f>
        <v/>
      </c>
      <c r="N1450" s="6" t="str">
        <f>IF($D1450="","",IFERROR(INDEX('Paramètres'!$Q:$Q,MATCH($D1450,'Paramètres'!$M:$M,0))&amp;"",""))</f>
        <v/>
      </c>
      <c r="O1450" s="6" t="str">
        <f>IF($A1450="","",IF(OR($J1450&lt;&gt;"x",$A1450&lt;=FinReleve),1,0))</f>
        <v/>
      </c>
      <c r="P1450" s="6" t="str">
        <f>IF($D1450="","",IF(AND($L1450="Crédit",OR(IFERROR(INDEX('Paramètres'!$O:$O,MATCH($D1450,'Paramètres'!$M:$M,0))&amp;"","")&lt;&gt;"",ISNUMBER(SEARCH("remboursement",IFERROR(INDEX('Paramètres'!$N:$N,MATCH($D1450,'Paramètres'!$M:$M,0))&amp;"",""))))),1,0))</f>
        <v/>
      </c>
      <c r="Q1450" s="6" t="str">
        <f>IF($K1450="","",IF(ISNUMBER(SEARCH("transfert-interne",IFERROR(INDEX('Paramètres'!$N:$N,MATCH($D1450,'Paramètres'!$M:$M,0))&amp;"",""))),0,IF($L1450="Débit",$K1450,IF($P1450=1,-$K1450,0))))</f>
        <v/>
      </c>
      <c r="R1450" s="6" t="str">
        <f>IF($K1450="","",IF($L1450="Crédit",$K1450,-$K1450))</f>
        <v/>
      </c>
      <c r="S1450" s="6" t="str">
        <f>IF($C1450="","",IFERROR(INDEX('Paramètres'!$H:$H,MATCH($C1450,'Paramètres'!$D:$D,0))&amp;"",""))</f>
        <v/>
      </c>
      <c r="T1450" s="6" t="str">
        <f>IF($K1450="","",IF($S1450="",0,IF(ISNUMBER(SEARCH("apport-exterieur",IFERROR(INDEX('Paramètres'!$N:$N,MATCH($D1450,'Paramètres'!$M:$M,0))&amp;"",""))),0,IF(OR(IFERROR(INDEX('Paramètres'!$I:$I,MATCH($C1450,'Paramètres'!$D:$D,0))&amp;"","")="Les deux",IFERROR(INDEX('Paramètres'!$I:$I,MATCH($C1450,'Paramètres'!$D:$D,0))&amp;"","")=IF($P1450=1,"Débit",$L1450)),-IF($P1450=1,-$K1450,$K1450),0))))</f>
        <v/>
      </c>
      <c r="U1450" s="6" t="str">
        <f>IF($K1450="","",IF(ISNUMBER(SEARCH("sortie-epargne",IFERROR(INDEX('Paramètres'!$N:$N,MATCH($D1450,'Paramètres'!$M:$M,0))&amp;"",""))),$K1450,0))</f>
        <v/>
      </c>
      <c r="V1450" s="6" t="str">
        <f>IF(AND($A1450&lt;&gt;"",$O1450=1,$L1450="Débit",N($Q1450)&gt;0,$A1450&gt;=Visualisation!$B$1,$A1450&lt;Visualisation!$D$1),MAX($V$1:V1449)+1,"")</f>
        <v/>
      </c>
    </row>
    <row r="1451" spans="1:22" x14ac:dyDescent="0.25">
      <c r="A1451" s="9"/>
      <c r="E1451" s="10"/>
      <c r="K1451" s="11" t="str">
        <f>IF($E1451="","",ROUND($E1451*IF(ISNA(MATCH($C1451,'Paramètres'!$D:$D,0)),1,IF(INDEX('Paramètres'!$J:$J,MATCH($C1451,'Paramètres'!$D:$D,0))="",1,INDEX('Paramètres'!$J:$J,MATCH($C1451,'Paramètres'!$D:$D,0)))),2))</f>
        <v/>
      </c>
      <c r="L1451" s="6" t="str">
        <f>IF($D1451="","",IF($F1451&lt;&gt;"",$F1451,IF(ISNA(MATCH($D1451,'Paramètres'!$M:$M,0)),"⚠ Type inconnu",IFERROR(INDEX('Paramètres'!$P:$P,MATCH($D1451,'Paramètres'!$M:$M,0))&amp;"",""))))</f>
        <v/>
      </c>
      <c r="M1451" s="6" t="str">
        <f>IF($D1451="","",IF(ISNA(MATCH($D1451,'Paramètres'!$M:$M,0)),"⚠ Type inconnu",IF($L1451="Crédit","",IFERROR(INDEX('Paramètres'!$O:$O,MATCH($D1451,'Paramètres'!$M:$M,0))&amp;"",""))))</f>
        <v/>
      </c>
      <c r="N1451" s="6" t="str">
        <f>IF($D1451="","",IFERROR(INDEX('Paramètres'!$Q:$Q,MATCH($D1451,'Paramètres'!$M:$M,0))&amp;"",""))</f>
        <v/>
      </c>
      <c r="O1451" s="6" t="str">
        <f>IF($A1451="","",IF(OR($J1451&lt;&gt;"x",$A1451&lt;=FinReleve),1,0))</f>
        <v/>
      </c>
      <c r="P1451" s="6" t="str">
        <f>IF($D1451="","",IF(AND($L1451="Crédit",OR(IFERROR(INDEX('Paramètres'!$O:$O,MATCH($D1451,'Paramètres'!$M:$M,0))&amp;"","")&lt;&gt;"",ISNUMBER(SEARCH("remboursement",IFERROR(INDEX('Paramètres'!$N:$N,MATCH($D1451,'Paramètres'!$M:$M,0))&amp;"",""))))),1,0))</f>
        <v/>
      </c>
      <c r="Q1451" s="6" t="str">
        <f>IF($K1451="","",IF(ISNUMBER(SEARCH("transfert-interne",IFERROR(INDEX('Paramètres'!$N:$N,MATCH($D1451,'Paramètres'!$M:$M,0))&amp;"",""))),0,IF($L1451="Débit",$K1451,IF($P1451=1,-$K1451,0))))</f>
        <v/>
      </c>
      <c r="R1451" s="6" t="str">
        <f>IF($K1451="","",IF($L1451="Crédit",$K1451,-$K1451))</f>
        <v/>
      </c>
      <c r="S1451" s="6" t="str">
        <f>IF($C1451="","",IFERROR(INDEX('Paramètres'!$H:$H,MATCH($C1451,'Paramètres'!$D:$D,0))&amp;"",""))</f>
        <v/>
      </c>
      <c r="T1451" s="6" t="str">
        <f>IF($K1451="","",IF($S1451="",0,IF(ISNUMBER(SEARCH("apport-exterieur",IFERROR(INDEX('Paramètres'!$N:$N,MATCH($D1451,'Paramètres'!$M:$M,0))&amp;"",""))),0,IF(OR(IFERROR(INDEX('Paramètres'!$I:$I,MATCH($C1451,'Paramètres'!$D:$D,0))&amp;"","")="Les deux",IFERROR(INDEX('Paramètres'!$I:$I,MATCH($C1451,'Paramètres'!$D:$D,0))&amp;"","")=IF($P1451=1,"Débit",$L1451)),-IF($P1451=1,-$K1451,$K1451),0))))</f>
        <v/>
      </c>
      <c r="U1451" s="6" t="str">
        <f>IF($K1451="","",IF(ISNUMBER(SEARCH("sortie-epargne",IFERROR(INDEX('Paramètres'!$N:$N,MATCH($D1451,'Paramètres'!$M:$M,0))&amp;"",""))),$K1451,0))</f>
        <v/>
      </c>
      <c r="V1451" s="6" t="str">
        <f>IF(AND($A1451&lt;&gt;"",$O1451=1,$L1451="Débit",N($Q1451)&gt;0,$A1451&gt;=Visualisation!$B$1,$A1451&lt;Visualisation!$D$1),MAX($V$1:V1450)+1,"")</f>
        <v/>
      </c>
    </row>
    <row r="1452" spans="1:22" x14ac:dyDescent="0.25">
      <c r="A1452" s="9"/>
      <c r="E1452" s="10"/>
      <c r="K1452" s="11" t="str">
        <f>IF($E1452="","",ROUND($E1452*IF(ISNA(MATCH($C1452,'Paramètres'!$D:$D,0)),1,IF(INDEX('Paramètres'!$J:$J,MATCH($C1452,'Paramètres'!$D:$D,0))="",1,INDEX('Paramètres'!$J:$J,MATCH($C1452,'Paramètres'!$D:$D,0)))),2))</f>
        <v/>
      </c>
      <c r="L1452" s="6" t="str">
        <f>IF($D1452="","",IF($F1452&lt;&gt;"",$F1452,IF(ISNA(MATCH($D1452,'Paramètres'!$M:$M,0)),"⚠ Type inconnu",IFERROR(INDEX('Paramètres'!$P:$P,MATCH($D1452,'Paramètres'!$M:$M,0))&amp;"",""))))</f>
        <v/>
      </c>
      <c r="M1452" s="6" t="str">
        <f>IF($D1452="","",IF(ISNA(MATCH($D1452,'Paramètres'!$M:$M,0)),"⚠ Type inconnu",IF($L1452="Crédit","",IFERROR(INDEX('Paramètres'!$O:$O,MATCH($D1452,'Paramètres'!$M:$M,0))&amp;"",""))))</f>
        <v/>
      </c>
      <c r="N1452" s="6" t="str">
        <f>IF($D1452="","",IFERROR(INDEX('Paramètres'!$Q:$Q,MATCH($D1452,'Paramètres'!$M:$M,0))&amp;"",""))</f>
        <v/>
      </c>
      <c r="O1452" s="6" t="str">
        <f>IF($A1452="","",IF(OR($J1452&lt;&gt;"x",$A1452&lt;=FinReleve),1,0))</f>
        <v/>
      </c>
      <c r="P1452" s="6" t="str">
        <f>IF($D1452="","",IF(AND($L1452="Crédit",OR(IFERROR(INDEX('Paramètres'!$O:$O,MATCH($D1452,'Paramètres'!$M:$M,0))&amp;"","")&lt;&gt;"",ISNUMBER(SEARCH("remboursement",IFERROR(INDEX('Paramètres'!$N:$N,MATCH($D1452,'Paramètres'!$M:$M,0))&amp;"",""))))),1,0))</f>
        <v/>
      </c>
      <c r="Q1452" s="6" t="str">
        <f>IF($K1452="","",IF(ISNUMBER(SEARCH("transfert-interne",IFERROR(INDEX('Paramètres'!$N:$N,MATCH($D1452,'Paramètres'!$M:$M,0))&amp;"",""))),0,IF($L1452="Débit",$K1452,IF($P1452=1,-$K1452,0))))</f>
        <v/>
      </c>
      <c r="R1452" s="6" t="str">
        <f>IF($K1452="","",IF($L1452="Crédit",$K1452,-$K1452))</f>
        <v/>
      </c>
      <c r="S1452" s="6" t="str">
        <f>IF($C1452="","",IFERROR(INDEX('Paramètres'!$H:$H,MATCH($C1452,'Paramètres'!$D:$D,0))&amp;"",""))</f>
        <v/>
      </c>
      <c r="T1452" s="6" t="str">
        <f>IF($K1452="","",IF($S1452="",0,IF(ISNUMBER(SEARCH("apport-exterieur",IFERROR(INDEX('Paramètres'!$N:$N,MATCH($D1452,'Paramètres'!$M:$M,0))&amp;"",""))),0,IF(OR(IFERROR(INDEX('Paramètres'!$I:$I,MATCH($C1452,'Paramètres'!$D:$D,0))&amp;"","")="Les deux",IFERROR(INDEX('Paramètres'!$I:$I,MATCH($C1452,'Paramètres'!$D:$D,0))&amp;"","")=IF($P1452=1,"Débit",$L1452)),-IF($P1452=1,-$K1452,$K1452),0))))</f>
        <v/>
      </c>
      <c r="U1452" s="6" t="str">
        <f>IF($K1452="","",IF(ISNUMBER(SEARCH("sortie-epargne",IFERROR(INDEX('Paramètres'!$N:$N,MATCH($D1452,'Paramètres'!$M:$M,0))&amp;"",""))),$K1452,0))</f>
        <v/>
      </c>
      <c r="V1452" s="6" t="str">
        <f>IF(AND($A1452&lt;&gt;"",$O1452=1,$L1452="Débit",N($Q1452)&gt;0,$A1452&gt;=Visualisation!$B$1,$A1452&lt;Visualisation!$D$1),MAX($V$1:V1451)+1,"")</f>
        <v/>
      </c>
    </row>
    <row r="1453" spans="1:22" x14ac:dyDescent="0.25">
      <c r="A1453" s="9"/>
      <c r="E1453" s="10"/>
      <c r="K1453" s="11" t="str">
        <f>IF($E1453="","",ROUND($E1453*IF(ISNA(MATCH($C1453,'Paramètres'!$D:$D,0)),1,IF(INDEX('Paramètres'!$J:$J,MATCH($C1453,'Paramètres'!$D:$D,0))="",1,INDEX('Paramètres'!$J:$J,MATCH($C1453,'Paramètres'!$D:$D,0)))),2))</f>
        <v/>
      </c>
      <c r="L1453" s="6" t="str">
        <f>IF($D1453="","",IF($F1453&lt;&gt;"",$F1453,IF(ISNA(MATCH($D1453,'Paramètres'!$M:$M,0)),"⚠ Type inconnu",IFERROR(INDEX('Paramètres'!$P:$P,MATCH($D1453,'Paramètres'!$M:$M,0))&amp;"",""))))</f>
        <v/>
      </c>
      <c r="M1453" s="6" t="str">
        <f>IF($D1453="","",IF(ISNA(MATCH($D1453,'Paramètres'!$M:$M,0)),"⚠ Type inconnu",IF($L1453="Crédit","",IFERROR(INDEX('Paramètres'!$O:$O,MATCH($D1453,'Paramètres'!$M:$M,0))&amp;"",""))))</f>
        <v/>
      </c>
      <c r="N1453" s="6" t="str">
        <f>IF($D1453="","",IFERROR(INDEX('Paramètres'!$Q:$Q,MATCH($D1453,'Paramètres'!$M:$M,0))&amp;"",""))</f>
        <v/>
      </c>
      <c r="O1453" s="6" t="str">
        <f>IF($A1453="","",IF(OR($J1453&lt;&gt;"x",$A1453&lt;=FinReleve),1,0))</f>
        <v/>
      </c>
      <c r="P1453" s="6" t="str">
        <f>IF($D1453="","",IF(AND($L1453="Crédit",OR(IFERROR(INDEX('Paramètres'!$O:$O,MATCH($D1453,'Paramètres'!$M:$M,0))&amp;"","")&lt;&gt;"",ISNUMBER(SEARCH("remboursement",IFERROR(INDEX('Paramètres'!$N:$N,MATCH($D1453,'Paramètres'!$M:$M,0))&amp;"",""))))),1,0))</f>
        <v/>
      </c>
      <c r="Q1453" s="6" t="str">
        <f>IF($K1453="","",IF(ISNUMBER(SEARCH("transfert-interne",IFERROR(INDEX('Paramètres'!$N:$N,MATCH($D1453,'Paramètres'!$M:$M,0))&amp;"",""))),0,IF($L1453="Débit",$K1453,IF($P1453=1,-$K1453,0))))</f>
        <v/>
      </c>
      <c r="R1453" s="6" t="str">
        <f>IF($K1453="","",IF($L1453="Crédit",$K1453,-$K1453))</f>
        <v/>
      </c>
      <c r="S1453" s="6" t="str">
        <f>IF($C1453="","",IFERROR(INDEX('Paramètres'!$H:$H,MATCH($C1453,'Paramètres'!$D:$D,0))&amp;"",""))</f>
        <v/>
      </c>
      <c r="T1453" s="6" t="str">
        <f>IF($K1453="","",IF($S1453="",0,IF(ISNUMBER(SEARCH("apport-exterieur",IFERROR(INDEX('Paramètres'!$N:$N,MATCH($D1453,'Paramètres'!$M:$M,0))&amp;"",""))),0,IF(OR(IFERROR(INDEX('Paramètres'!$I:$I,MATCH($C1453,'Paramètres'!$D:$D,0))&amp;"","")="Les deux",IFERROR(INDEX('Paramètres'!$I:$I,MATCH($C1453,'Paramètres'!$D:$D,0))&amp;"","")=IF($P1453=1,"Débit",$L1453)),-IF($P1453=1,-$K1453,$K1453),0))))</f>
        <v/>
      </c>
      <c r="U1453" s="6" t="str">
        <f>IF($K1453="","",IF(ISNUMBER(SEARCH("sortie-epargne",IFERROR(INDEX('Paramètres'!$N:$N,MATCH($D1453,'Paramètres'!$M:$M,0))&amp;"",""))),$K1453,0))</f>
        <v/>
      </c>
      <c r="V1453" s="6" t="str">
        <f>IF(AND($A1453&lt;&gt;"",$O1453=1,$L1453="Débit",N($Q1453)&gt;0,$A1453&gt;=Visualisation!$B$1,$A1453&lt;Visualisation!$D$1),MAX($V$1:V1452)+1,"")</f>
        <v/>
      </c>
    </row>
    <row r="1454" spans="1:22" x14ac:dyDescent="0.25">
      <c r="A1454" s="9"/>
      <c r="E1454" s="10"/>
      <c r="K1454" s="11" t="str">
        <f>IF($E1454="","",ROUND($E1454*IF(ISNA(MATCH($C1454,'Paramètres'!$D:$D,0)),1,IF(INDEX('Paramètres'!$J:$J,MATCH($C1454,'Paramètres'!$D:$D,0))="",1,INDEX('Paramètres'!$J:$J,MATCH($C1454,'Paramètres'!$D:$D,0)))),2))</f>
        <v/>
      </c>
      <c r="L1454" s="6" t="str">
        <f>IF($D1454="","",IF($F1454&lt;&gt;"",$F1454,IF(ISNA(MATCH($D1454,'Paramètres'!$M:$M,0)),"⚠ Type inconnu",IFERROR(INDEX('Paramètres'!$P:$P,MATCH($D1454,'Paramètres'!$M:$M,0))&amp;"",""))))</f>
        <v/>
      </c>
      <c r="M1454" s="6" t="str">
        <f>IF($D1454="","",IF(ISNA(MATCH($D1454,'Paramètres'!$M:$M,0)),"⚠ Type inconnu",IF($L1454="Crédit","",IFERROR(INDEX('Paramètres'!$O:$O,MATCH($D1454,'Paramètres'!$M:$M,0))&amp;"",""))))</f>
        <v/>
      </c>
      <c r="N1454" s="6" t="str">
        <f>IF($D1454="","",IFERROR(INDEX('Paramètres'!$Q:$Q,MATCH($D1454,'Paramètres'!$M:$M,0))&amp;"",""))</f>
        <v/>
      </c>
      <c r="O1454" s="6" t="str">
        <f>IF($A1454="","",IF(OR($J1454&lt;&gt;"x",$A1454&lt;=FinReleve),1,0))</f>
        <v/>
      </c>
      <c r="P1454" s="6" t="str">
        <f>IF($D1454="","",IF(AND($L1454="Crédit",OR(IFERROR(INDEX('Paramètres'!$O:$O,MATCH($D1454,'Paramètres'!$M:$M,0))&amp;"","")&lt;&gt;"",ISNUMBER(SEARCH("remboursement",IFERROR(INDEX('Paramètres'!$N:$N,MATCH($D1454,'Paramètres'!$M:$M,0))&amp;"",""))))),1,0))</f>
        <v/>
      </c>
      <c r="Q1454" s="6" t="str">
        <f>IF($K1454="","",IF(ISNUMBER(SEARCH("transfert-interne",IFERROR(INDEX('Paramètres'!$N:$N,MATCH($D1454,'Paramètres'!$M:$M,0))&amp;"",""))),0,IF($L1454="Débit",$K1454,IF($P1454=1,-$K1454,0))))</f>
        <v/>
      </c>
      <c r="R1454" s="6" t="str">
        <f>IF($K1454="","",IF($L1454="Crédit",$K1454,-$K1454))</f>
        <v/>
      </c>
      <c r="S1454" s="6" t="str">
        <f>IF($C1454="","",IFERROR(INDEX('Paramètres'!$H:$H,MATCH($C1454,'Paramètres'!$D:$D,0))&amp;"",""))</f>
        <v/>
      </c>
      <c r="T1454" s="6" t="str">
        <f>IF($K1454="","",IF($S1454="",0,IF(ISNUMBER(SEARCH("apport-exterieur",IFERROR(INDEX('Paramètres'!$N:$N,MATCH($D1454,'Paramètres'!$M:$M,0))&amp;"",""))),0,IF(OR(IFERROR(INDEX('Paramètres'!$I:$I,MATCH($C1454,'Paramètres'!$D:$D,0))&amp;"","")="Les deux",IFERROR(INDEX('Paramètres'!$I:$I,MATCH($C1454,'Paramètres'!$D:$D,0))&amp;"","")=IF($P1454=1,"Débit",$L1454)),-IF($P1454=1,-$K1454,$K1454),0))))</f>
        <v/>
      </c>
      <c r="U1454" s="6" t="str">
        <f>IF($K1454="","",IF(ISNUMBER(SEARCH("sortie-epargne",IFERROR(INDEX('Paramètres'!$N:$N,MATCH($D1454,'Paramètres'!$M:$M,0))&amp;"",""))),$K1454,0))</f>
        <v/>
      </c>
      <c r="V1454" s="6" t="str">
        <f>IF(AND($A1454&lt;&gt;"",$O1454=1,$L1454="Débit",N($Q1454)&gt;0,$A1454&gt;=Visualisation!$B$1,$A1454&lt;Visualisation!$D$1),MAX($V$1:V1453)+1,"")</f>
        <v/>
      </c>
    </row>
    <row r="1455" spans="1:22" x14ac:dyDescent="0.25">
      <c r="A1455" s="9"/>
      <c r="E1455" s="10"/>
      <c r="K1455" s="11" t="str">
        <f>IF($E1455="","",ROUND($E1455*IF(ISNA(MATCH($C1455,'Paramètres'!$D:$D,0)),1,IF(INDEX('Paramètres'!$J:$J,MATCH($C1455,'Paramètres'!$D:$D,0))="",1,INDEX('Paramètres'!$J:$J,MATCH($C1455,'Paramètres'!$D:$D,0)))),2))</f>
        <v/>
      </c>
      <c r="L1455" s="6" t="str">
        <f>IF($D1455="","",IF($F1455&lt;&gt;"",$F1455,IF(ISNA(MATCH($D1455,'Paramètres'!$M:$M,0)),"⚠ Type inconnu",IFERROR(INDEX('Paramètres'!$P:$P,MATCH($D1455,'Paramètres'!$M:$M,0))&amp;"",""))))</f>
        <v/>
      </c>
      <c r="M1455" s="6" t="str">
        <f>IF($D1455="","",IF(ISNA(MATCH($D1455,'Paramètres'!$M:$M,0)),"⚠ Type inconnu",IF($L1455="Crédit","",IFERROR(INDEX('Paramètres'!$O:$O,MATCH($D1455,'Paramètres'!$M:$M,0))&amp;"",""))))</f>
        <v/>
      </c>
      <c r="N1455" s="6" t="str">
        <f>IF($D1455="","",IFERROR(INDEX('Paramètres'!$Q:$Q,MATCH($D1455,'Paramètres'!$M:$M,0))&amp;"",""))</f>
        <v/>
      </c>
      <c r="O1455" s="6" t="str">
        <f>IF($A1455="","",IF(OR($J1455&lt;&gt;"x",$A1455&lt;=FinReleve),1,0))</f>
        <v/>
      </c>
      <c r="P1455" s="6" t="str">
        <f>IF($D1455="","",IF(AND($L1455="Crédit",OR(IFERROR(INDEX('Paramètres'!$O:$O,MATCH($D1455,'Paramètres'!$M:$M,0))&amp;"","")&lt;&gt;"",ISNUMBER(SEARCH("remboursement",IFERROR(INDEX('Paramètres'!$N:$N,MATCH($D1455,'Paramètres'!$M:$M,0))&amp;"",""))))),1,0))</f>
        <v/>
      </c>
      <c r="Q1455" s="6" t="str">
        <f>IF($K1455="","",IF(ISNUMBER(SEARCH("transfert-interne",IFERROR(INDEX('Paramètres'!$N:$N,MATCH($D1455,'Paramètres'!$M:$M,0))&amp;"",""))),0,IF($L1455="Débit",$K1455,IF($P1455=1,-$K1455,0))))</f>
        <v/>
      </c>
      <c r="R1455" s="6" t="str">
        <f>IF($K1455="","",IF($L1455="Crédit",$K1455,-$K1455))</f>
        <v/>
      </c>
      <c r="S1455" s="6" t="str">
        <f>IF($C1455="","",IFERROR(INDEX('Paramètres'!$H:$H,MATCH($C1455,'Paramètres'!$D:$D,0))&amp;"",""))</f>
        <v/>
      </c>
      <c r="T1455" s="6" t="str">
        <f>IF($K1455="","",IF($S1455="",0,IF(ISNUMBER(SEARCH("apport-exterieur",IFERROR(INDEX('Paramètres'!$N:$N,MATCH($D1455,'Paramètres'!$M:$M,0))&amp;"",""))),0,IF(OR(IFERROR(INDEX('Paramètres'!$I:$I,MATCH($C1455,'Paramètres'!$D:$D,0))&amp;"","")="Les deux",IFERROR(INDEX('Paramètres'!$I:$I,MATCH($C1455,'Paramètres'!$D:$D,0))&amp;"","")=IF($P1455=1,"Débit",$L1455)),-IF($P1455=1,-$K1455,$K1455),0))))</f>
        <v/>
      </c>
      <c r="U1455" s="6" t="str">
        <f>IF($K1455="","",IF(ISNUMBER(SEARCH("sortie-epargne",IFERROR(INDEX('Paramètres'!$N:$N,MATCH($D1455,'Paramètres'!$M:$M,0))&amp;"",""))),$K1455,0))</f>
        <v/>
      </c>
      <c r="V1455" s="6" t="str">
        <f>IF(AND($A1455&lt;&gt;"",$O1455=1,$L1455="Débit",N($Q1455)&gt;0,$A1455&gt;=Visualisation!$B$1,$A1455&lt;Visualisation!$D$1),MAX($V$1:V1454)+1,"")</f>
        <v/>
      </c>
    </row>
    <row r="1456" spans="1:22" x14ac:dyDescent="0.25">
      <c r="A1456" s="9"/>
      <c r="E1456" s="10"/>
      <c r="K1456" s="11" t="str">
        <f>IF($E1456="","",ROUND($E1456*IF(ISNA(MATCH($C1456,'Paramètres'!$D:$D,0)),1,IF(INDEX('Paramètres'!$J:$J,MATCH($C1456,'Paramètres'!$D:$D,0))="",1,INDEX('Paramètres'!$J:$J,MATCH($C1456,'Paramètres'!$D:$D,0)))),2))</f>
        <v/>
      </c>
      <c r="L1456" s="6" t="str">
        <f>IF($D1456="","",IF($F1456&lt;&gt;"",$F1456,IF(ISNA(MATCH($D1456,'Paramètres'!$M:$M,0)),"⚠ Type inconnu",IFERROR(INDEX('Paramètres'!$P:$P,MATCH($D1456,'Paramètres'!$M:$M,0))&amp;"",""))))</f>
        <v/>
      </c>
      <c r="M1456" s="6" t="str">
        <f>IF($D1456="","",IF(ISNA(MATCH($D1456,'Paramètres'!$M:$M,0)),"⚠ Type inconnu",IF($L1456="Crédit","",IFERROR(INDEX('Paramètres'!$O:$O,MATCH($D1456,'Paramètres'!$M:$M,0))&amp;"",""))))</f>
        <v/>
      </c>
      <c r="N1456" s="6" t="str">
        <f>IF($D1456="","",IFERROR(INDEX('Paramètres'!$Q:$Q,MATCH($D1456,'Paramètres'!$M:$M,0))&amp;"",""))</f>
        <v/>
      </c>
      <c r="O1456" s="6" t="str">
        <f>IF($A1456="","",IF(OR($J1456&lt;&gt;"x",$A1456&lt;=FinReleve),1,0))</f>
        <v/>
      </c>
      <c r="P1456" s="6" t="str">
        <f>IF($D1456="","",IF(AND($L1456="Crédit",OR(IFERROR(INDEX('Paramètres'!$O:$O,MATCH($D1456,'Paramètres'!$M:$M,0))&amp;"","")&lt;&gt;"",ISNUMBER(SEARCH("remboursement",IFERROR(INDEX('Paramètres'!$N:$N,MATCH($D1456,'Paramètres'!$M:$M,0))&amp;"",""))))),1,0))</f>
        <v/>
      </c>
      <c r="Q1456" s="6" t="str">
        <f>IF($K1456="","",IF(ISNUMBER(SEARCH("transfert-interne",IFERROR(INDEX('Paramètres'!$N:$N,MATCH($D1456,'Paramètres'!$M:$M,0))&amp;"",""))),0,IF($L1456="Débit",$K1456,IF($P1456=1,-$K1456,0))))</f>
        <v/>
      </c>
      <c r="R1456" s="6" t="str">
        <f>IF($K1456="","",IF($L1456="Crédit",$K1456,-$K1456))</f>
        <v/>
      </c>
      <c r="S1456" s="6" t="str">
        <f>IF($C1456="","",IFERROR(INDEX('Paramètres'!$H:$H,MATCH($C1456,'Paramètres'!$D:$D,0))&amp;"",""))</f>
        <v/>
      </c>
      <c r="T1456" s="6" t="str">
        <f>IF($K1456="","",IF($S1456="",0,IF(ISNUMBER(SEARCH("apport-exterieur",IFERROR(INDEX('Paramètres'!$N:$N,MATCH($D1456,'Paramètres'!$M:$M,0))&amp;"",""))),0,IF(OR(IFERROR(INDEX('Paramètres'!$I:$I,MATCH($C1456,'Paramètres'!$D:$D,0))&amp;"","")="Les deux",IFERROR(INDEX('Paramètres'!$I:$I,MATCH($C1456,'Paramètres'!$D:$D,0))&amp;"","")=IF($P1456=1,"Débit",$L1456)),-IF($P1456=1,-$K1456,$K1456),0))))</f>
        <v/>
      </c>
      <c r="U1456" s="6" t="str">
        <f>IF($K1456="","",IF(ISNUMBER(SEARCH("sortie-epargne",IFERROR(INDEX('Paramètres'!$N:$N,MATCH($D1456,'Paramètres'!$M:$M,0))&amp;"",""))),$K1456,0))</f>
        <v/>
      </c>
      <c r="V1456" s="6" t="str">
        <f>IF(AND($A1456&lt;&gt;"",$O1456=1,$L1456="Débit",N($Q1456)&gt;0,$A1456&gt;=Visualisation!$B$1,$A1456&lt;Visualisation!$D$1),MAX($V$1:V1455)+1,"")</f>
        <v/>
      </c>
    </row>
    <row r="1457" spans="1:22" x14ac:dyDescent="0.25">
      <c r="A1457" s="9"/>
      <c r="E1457" s="10"/>
      <c r="K1457" s="11" t="str">
        <f>IF($E1457="","",ROUND($E1457*IF(ISNA(MATCH($C1457,'Paramètres'!$D:$D,0)),1,IF(INDEX('Paramètres'!$J:$J,MATCH($C1457,'Paramètres'!$D:$D,0))="",1,INDEX('Paramètres'!$J:$J,MATCH($C1457,'Paramètres'!$D:$D,0)))),2))</f>
        <v/>
      </c>
      <c r="L1457" s="6" t="str">
        <f>IF($D1457="","",IF($F1457&lt;&gt;"",$F1457,IF(ISNA(MATCH($D1457,'Paramètres'!$M:$M,0)),"⚠ Type inconnu",IFERROR(INDEX('Paramètres'!$P:$P,MATCH($D1457,'Paramètres'!$M:$M,0))&amp;"",""))))</f>
        <v/>
      </c>
      <c r="M1457" s="6" t="str">
        <f>IF($D1457="","",IF(ISNA(MATCH($D1457,'Paramètres'!$M:$M,0)),"⚠ Type inconnu",IF($L1457="Crédit","",IFERROR(INDEX('Paramètres'!$O:$O,MATCH($D1457,'Paramètres'!$M:$M,0))&amp;"",""))))</f>
        <v/>
      </c>
      <c r="N1457" s="6" t="str">
        <f>IF($D1457="","",IFERROR(INDEX('Paramètres'!$Q:$Q,MATCH($D1457,'Paramètres'!$M:$M,0))&amp;"",""))</f>
        <v/>
      </c>
      <c r="O1457" s="6" t="str">
        <f>IF($A1457="","",IF(OR($J1457&lt;&gt;"x",$A1457&lt;=FinReleve),1,0))</f>
        <v/>
      </c>
      <c r="P1457" s="6" t="str">
        <f>IF($D1457="","",IF(AND($L1457="Crédit",OR(IFERROR(INDEX('Paramètres'!$O:$O,MATCH($D1457,'Paramètres'!$M:$M,0))&amp;"","")&lt;&gt;"",ISNUMBER(SEARCH("remboursement",IFERROR(INDEX('Paramètres'!$N:$N,MATCH($D1457,'Paramètres'!$M:$M,0))&amp;"",""))))),1,0))</f>
        <v/>
      </c>
      <c r="Q1457" s="6" t="str">
        <f>IF($K1457="","",IF(ISNUMBER(SEARCH("transfert-interne",IFERROR(INDEX('Paramètres'!$N:$N,MATCH($D1457,'Paramètres'!$M:$M,0))&amp;"",""))),0,IF($L1457="Débit",$K1457,IF($P1457=1,-$K1457,0))))</f>
        <v/>
      </c>
      <c r="R1457" s="6" t="str">
        <f>IF($K1457="","",IF($L1457="Crédit",$K1457,-$K1457))</f>
        <v/>
      </c>
      <c r="S1457" s="6" t="str">
        <f>IF($C1457="","",IFERROR(INDEX('Paramètres'!$H:$H,MATCH($C1457,'Paramètres'!$D:$D,0))&amp;"",""))</f>
        <v/>
      </c>
      <c r="T1457" s="6" t="str">
        <f>IF($K1457="","",IF($S1457="",0,IF(ISNUMBER(SEARCH("apport-exterieur",IFERROR(INDEX('Paramètres'!$N:$N,MATCH($D1457,'Paramètres'!$M:$M,0))&amp;"",""))),0,IF(OR(IFERROR(INDEX('Paramètres'!$I:$I,MATCH($C1457,'Paramètres'!$D:$D,0))&amp;"","")="Les deux",IFERROR(INDEX('Paramètres'!$I:$I,MATCH($C1457,'Paramètres'!$D:$D,0))&amp;"","")=IF($P1457=1,"Débit",$L1457)),-IF($P1457=1,-$K1457,$K1457),0))))</f>
        <v/>
      </c>
      <c r="U1457" s="6" t="str">
        <f>IF($K1457="","",IF(ISNUMBER(SEARCH("sortie-epargne",IFERROR(INDEX('Paramètres'!$N:$N,MATCH($D1457,'Paramètres'!$M:$M,0))&amp;"",""))),$K1457,0))</f>
        <v/>
      </c>
      <c r="V1457" s="6" t="str">
        <f>IF(AND($A1457&lt;&gt;"",$O1457=1,$L1457="Débit",N($Q1457)&gt;0,$A1457&gt;=Visualisation!$B$1,$A1457&lt;Visualisation!$D$1),MAX($V$1:V1456)+1,"")</f>
        <v/>
      </c>
    </row>
    <row r="1458" spans="1:22" x14ac:dyDescent="0.25">
      <c r="A1458" s="9"/>
      <c r="E1458" s="10"/>
      <c r="K1458" s="11" t="str">
        <f>IF($E1458="","",ROUND($E1458*IF(ISNA(MATCH($C1458,'Paramètres'!$D:$D,0)),1,IF(INDEX('Paramètres'!$J:$J,MATCH($C1458,'Paramètres'!$D:$D,0))="",1,INDEX('Paramètres'!$J:$J,MATCH($C1458,'Paramètres'!$D:$D,0)))),2))</f>
        <v/>
      </c>
      <c r="L1458" s="6" t="str">
        <f>IF($D1458="","",IF($F1458&lt;&gt;"",$F1458,IF(ISNA(MATCH($D1458,'Paramètres'!$M:$M,0)),"⚠ Type inconnu",IFERROR(INDEX('Paramètres'!$P:$P,MATCH($D1458,'Paramètres'!$M:$M,0))&amp;"",""))))</f>
        <v/>
      </c>
      <c r="M1458" s="6" t="str">
        <f>IF($D1458="","",IF(ISNA(MATCH($D1458,'Paramètres'!$M:$M,0)),"⚠ Type inconnu",IF($L1458="Crédit","",IFERROR(INDEX('Paramètres'!$O:$O,MATCH($D1458,'Paramètres'!$M:$M,0))&amp;"",""))))</f>
        <v/>
      </c>
      <c r="N1458" s="6" t="str">
        <f>IF($D1458="","",IFERROR(INDEX('Paramètres'!$Q:$Q,MATCH($D1458,'Paramètres'!$M:$M,0))&amp;"",""))</f>
        <v/>
      </c>
      <c r="O1458" s="6" t="str">
        <f>IF($A1458="","",IF(OR($J1458&lt;&gt;"x",$A1458&lt;=FinReleve),1,0))</f>
        <v/>
      </c>
      <c r="P1458" s="6" t="str">
        <f>IF($D1458="","",IF(AND($L1458="Crédit",OR(IFERROR(INDEX('Paramètres'!$O:$O,MATCH($D1458,'Paramètres'!$M:$M,0))&amp;"","")&lt;&gt;"",ISNUMBER(SEARCH("remboursement",IFERROR(INDEX('Paramètres'!$N:$N,MATCH($D1458,'Paramètres'!$M:$M,0))&amp;"",""))))),1,0))</f>
        <v/>
      </c>
      <c r="Q1458" s="6" t="str">
        <f>IF($K1458="","",IF(ISNUMBER(SEARCH("transfert-interne",IFERROR(INDEX('Paramètres'!$N:$N,MATCH($D1458,'Paramètres'!$M:$M,0))&amp;"",""))),0,IF($L1458="Débit",$K1458,IF($P1458=1,-$K1458,0))))</f>
        <v/>
      </c>
      <c r="R1458" s="6" t="str">
        <f>IF($K1458="","",IF($L1458="Crédit",$K1458,-$K1458))</f>
        <v/>
      </c>
      <c r="S1458" s="6" t="str">
        <f>IF($C1458="","",IFERROR(INDEX('Paramètres'!$H:$H,MATCH($C1458,'Paramètres'!$D:$D,0))&amp;"",""))</f>
        <v/>
      </c>
      <c r="T1458" s="6" t="str">
        <f>IF($K1458="","",IF($S1458="",0,IF(ISNUMBER(SEARCH("apport-exterieur",IFERROR(INDEX('Paramètres'!$N:$N,MATCH($D1458,'Paramètres'!$M:$M,0))&amp;"",""))),0,IF(OR(IFERROR(INDEX('Paramètres'!$I:$I,MATCH($C1458,'Paramètres'!$D:$D,0))&amp;"","")="Les deux",IFERROR(INDEX('Paramètres'!$I:$I,MATCH($C1458,'Paramètres'!$D:$D,0))&amp;"","")=IF($P1458=1,"Débit",$L1458)),-IF($P1458=1,-$K1458,$K1458),0))))</f>
        <v/>
      </c>
      <c r="U1458" s="6" t="str">
        <f>IF($K1458="","",IF(ISNUMBER(SEARCH("sortie-epargne",IFERROR(INDEX('Paramètres'!$N:$N,MATCH($D1458,'Paramètres'!$M:$M,0))&amp;"",""))),$K1458,0))</f>
        <v/>
      </c>
      <c r="V1458" s="6" t="str">
        <f>IF(AND($A1458&lt;&gt;"",$O1458=1,$L1458="Débit",N($Q1458)&gt;0,$A1458&gt;=Visualisation!$B$1,$A1458&lt;Visualisation!$D$1),MAX($V$1:V1457)+1,"")</f>
        <v/>
      </c>
    </row>
    <row r="1459" spans="1:22" x14ac:dyDescent="0.25">
      <c r="A1459" s="9"/>
      <c r="E1459" s="10"/>
      <c r="K1459" s="11" t="str">
        <f>IF($E1459="","",ROUND($E1459*IF(ISNA(MATCH($C1459,'Paramètres'!$D:$D,0)),1,IF(INDEX('Paramètres'!$J:$J,MATCH($C1459,'Paramètres'!$D:$D,0))="",1,INDEX('Paramètres'!$J:$J,MATCH($C1459,'Paramètres'!$D:$D,0)))),2))</f>
        <v/>
      </c>
      <c r="L1459" s="6" t="str">
        <f>IF($D1459="","",IF($F1459&lt;&gt;"",$F1459,IF(ISNA(MATCH($D1459,'Paramètres'!$M:$M,0)),"⚠ Type inconnu",IFERROR(INDEX('Paramètres'!$P:$P,MATCH($D1459,'Paramètres'!$M:$M,0))&amp;"",""))))</f>
        <v/>
      </c>
      <c r="M1459" s="6" t="str">
        <f>IF($D1459="","",IF(ISNA(MATCH($D1459,'Paramètres'!$M:$M,0)),"⚠ Type inconnu",IF($L1459="Crédit","",IFERROR(INDEX('Paramètres'!$O:$O,MATCH($D1459,'Paramètres'!$M:$M,0))&amp;"",""))))</f>
        <v/>
      </c>
      <c r="N1459" s="6" t="str">
        <f>IF($D1459="","",IFERROR(INDEX('Paramètres'!$Q:$Q,MATCH($D1459,'Paramètres'!$M:$M,0))&amp;"",""))</f>
        <v/>
      </c>
      <c r="O1459" s="6" t="str">
        <f>IF($A1459="","",IF(OR($J1459&lt;&gt;"x",$A1459&lt;=FinReleve),1,0))</f>
        <v/>
      </c>
      <c r="P1459" s="6" t="str">
        <f>IF($D1459="","",IF(AND($L1459="Crédit",OR(IFERROR(INDEX('Paramètres'!$O:$O,MATCH($D1459,'Paramètres'!$M:$M,0))&amp;"","")&lt;&gt;"",ISNUMBER(SEARCH("remboursement",IFERROR(INDEX('Paramètres'!$N:$N,MATCH($D1459,'Paramètres'!$M:$M,0))&amp;"",""))))),1,0))</f>
        <v/>
      </c>
      <c r="Q1459" s="6" t="str">
        <f>IF($K1459="","",IF(ISNUMBER(SEARCH("transfert-interne",IFERROR(INDEX('Paramètres'!$N:$N,MATCH($D1459,'Paramètres'!$M:$M,0))&amp;"",""))),0,IF($L1459="Débit",$K1459,IF($P1459=1,-$K1459,0))))</f>
        <v/>
      </c>
      <c r="R1459" s="6" t="str">
        <f>IF($K1459="","",IF($L1459="Crédit",$K1459,-$K1459))</f>
        <v/>
      </c>
      <c r="S1459" s="6" t="str">
        <f>IF($C1459="","",IFERROR(INDEX('Paramètres'!$H:$H,MATCH($C1459,'Paramètres'!$D:$D,0))&amp;"",""))</f>
        <v/>
      </c>
      <c r="T1459" s="6" t="str">
        <f>IF($K1459="","",IF($S1459="",0,IF(ISNUMBER(SEARCH("apport-exterieur",IFERROR(INDEX('Paramètres'!$N:$N,MATCH($D1459,'Paramètres'!$M:$M,0))&amp;"",""))),0,IF(OR(IFERROR(INDEX('Paramètres'!$I:$I,MATCH($C1459,'Paramètres'!$D:$D,0))&amp;"","")="Les deux",IFERROR(INDEX('Paramètres'!$I:$I,MATCH($C1459,'Paramètres'!$D:$D,0))&amp;"","")=IF($P1459=1,"Débit",$L1459)),-IF($P1459=1,-$K1459,$K1459),0))))</f>
        <v/>
      </c>
      <c r="U1459" s="6" t="str">
        <f>IF($K1459="","",IF(ISNUMBER(SEARCH("sortie-epargne",IFERROR(INDEX('Paramètres'!$N:$N,MATCH($D1459,'Paramètres'!$M:$M,0))&amp;"",""))),$K1459,0))</f>
        <v/>
      </c>
      <c r="V1459" s="6" t="str">
        <f>IF(AND($A1459&lt;&gt;"",$O1459=1,$L1459="Débit",N($Q1459)&gt;0,$A1459&gt;=Visualisation!$B$1,$A1459&lt;Visualisation!$D$1),MAX($V$1:V1458)+1,"")</f>
        <v/>
      </c>
    </row>
    <row r="1460" spans="1:22" x14ac:dyDescent="0.25">
      <c r="A1460" s="9"/>
      <c r="E1460" s="10"/>
      <c r="K1460" s="11" t="str">
        <f>IF($E1460="","",ROUND($E1460*IF(ISNA(MATCH($C1460,'Paramètres'!$D:$D,0)),1,IF(INDEX('Paramètres'!$J:$J,MATCH($C1460,'Paramètres'!$D:$D,0))="",1,INDEX('Paramètres'!$J:$J,MATCH($C1460,'Paramètres'!$D:$D,0)))),2))</f>
        <v/>
      </c>
      <c r="L1460" s="6" t="str">
        <f>IF($D1460="","",IF($F1460&lt;&gt;"",$F1460,IF(ISNA(MATCH($D1460,'Paramètres'!$M:$M,0)),"⚠ Type inconnu",IFERROR(INDEX('Paramètres'!$P:$P,MATCH($D1460,'Paramètres'!$M:$M,0))&amp;"",""))))</f>
        <v/>
      </c>
      <c r="M1460" s="6" t="str">
        <f>IF($D1460="","",IF(ISNA(MATCH($D1460,'Paramètres'!$M:$M,0)),"⚠ Type inconnu",IF($L1460="Crédit","",IFERROR(INDEX('Paramètres'!$O:$O,MATCH($D1460,'Paramètres'!$M:$M,0))&amp;"",""))))</f>
        <v/>
      </c>
      <c r="N1460" s="6" t="str">
        <f>IF($D1460="","",IFERROR(INDEX('Paramètres'!$Q:$Q,MATCH($D1460,'Paramètres'!$M:$M,0))&amp;"",""))</f>
        <v/>
      </c>
      <c r="O1460" s="6" t="str">
        <f>IF($A1460="","",IF(OR($J1460&lt;&gt;"x",$A1460&lt;=FinReleve),1,0))</f>
        <v/>
      </c>
      <c r="P1460" s="6" t="str">
        <f>IF($D1460="","",IF(AND($L1460="Crédit",OR(IFERROR(INDEX('Paramètres'!$O:$O,MATCH($D1460,'Paramètres'!$M:$M,0))&amp;"","")&lt;&gt;"",ISNUMBER(SEARCH("remboursement",IFERROR(INDEX('Paramètres'!$N:$N,MATCH($D1460,'Paramètres'!$M:$M,0))&amp;"",""))))),1,0))</f>
        <v/>
      </c>
      <c r="Q1460" s="6" t="str">
        <f>IF($K1460="","",IF(ISNUMBER(SEARCH("transfert-interne",IFERROR(INDEX('Paramètres'!$N:$N,MATCH($D1460,'Paramètres'!$M:$M,0))&amp;"",""))),0,IF($L1460="Débit",$K1460,IF($P1460=1,-$K1460,0))))</f>
        <v/>
      </c>
      <c r="R1460" s="6" t="str">
        <f>IF($K1460="","",IF($L1460="Crédit",$K1460,-$K1460))</f>
        <v/>
      </c>
      <c r="S1460" s="6" t="str">
        <f>IF($C1460="","",IFERROR(INDEX('Paramètres'!$H:$H,MATCH($C1460,'Paramètres'!$D:$D,0))&amp;"",""))</f>
        <v/>
      </c>
      <c r="T1460" s="6" t="str">
        <f>IF($K1460="","",IF($S1460="",0,IF(ISNUMBER(SEARCH("apport-exterieur",IFERROR(INDEX('Paramètres'!$N:$N,MATCH($D1460,'Paramètres'!$M:$M,0))&amp;"",""))),0,IF(OR(IFERROR(INDEX('Paramètres'!$I:$I,MATCH($C1460,'Paramètres'!$D:$D,0))&amp;"","")="Les deux",IFERROR(INDEX('Paramètres'!$I:$I,MATCH($C1460,'Paramètres'!$D:$D,0))&amp;"","")=IF($P1460=1,"Débit",$L1460)),-IF($P1460=1,-$K1460,$K1460),0))))</f>
        <v/>
      </c>
      <c r="U1460" s="6" t="str">
        <f>IF($K1460="","",IF(ISNUMBER(SEARCH("sortie-epargne",IFERROR(INDEX('Paramètres'!$N:$N,MATCH($D1460,'Paramètres'!$M:$M,0))&amp;"",""))),$K1460,0))</f>
        <v/>
      </c>
      <c r="V1460" s="6" t="str">
        <f>IF(AND($A1460&lt;&gt;"",$O1460=1,$L1460="Débit",N($Q1460)&gt;0,$A1460&gt;=Visualisation!$B$1,$A1460&lt;Visualisation!$D$1),MAX($V$1:V1459)+1,"")</f>
        <v/>
      </c>
    </row>
    <row r="1461" spans="1:22" x14ac:dyDescent="0.25">
      <c r="A1461" s="9"/>
      <c r="E1461" s="10"/>
      <c r="K1461" s="11" t="str">
        <f>IF($E1461="","",ROUND($E1461*IF(ISNA(MATCH($C1461,'Paramètres'!$D:$D,0)),1,IF(INDEX('Paramètres'!$J:$J,MATCH($C1461,'Paramètres'!$D:$D,0))="",1,INDEX('Paramètres'!$J:$J,MATCH($C1461,'Paramètres'!$D:$D,0)))),2))</f>
        <v/>
      </c>
      <c r="L1461" s="6" t="str">
        <f>IF($D1461="","",IF($F1461&lt;&gt;"",$F1461,IF(ISNA(MATCH($D1461,'Paramètres'!$M:$M,0)),"⚠ Type inconnu",IFERROR(INDEX('Paramètres'!$P:$P,MATCH($D1461,'Paramètres'!$M:$M,0))&amp;"",""))))</f>
        <v/>
      </c>
      <c r="M1461" s="6" t="str">
        <f>IF($D1461="","",IF(ISNA(MATCH($D1461,'Paramètres'!$M:$M,0)),"⚠ Type inconnu",IF($L1461="Crédit","",IFERROR(INDEX('Paramètres'!$O:$O,MATCH($D1461,'Paramètres'!$M:$M,0))&amp;"",""))))</f>
        <v/>
      </c>
      <c r="N1461" s="6" t="str">
        <f>IF($D1461="","",IFERROR(INDEX('Paramètres'!$Q:$Q,MATCH($D1461,'Paramètres'!$M:$M,0))&amp;"",""))</f>
        <v/>
      </c>
      <c r="O1461" s="6" t="str">
        <f>IF($A1461="","",IF(OR($J1461&lt;&gt;"x",$A1461&lt;=FinReleve),1,0))</f>
        <v/>
      </c>
      <c r="P1461" s="6" t="str">
        <f>IF($D1461="","",IF(AND($L1461="Crédit",OR(IFERROR(INDEX('Paramètres'!$O:$O,MATCH($D1461,'Paramètres'!$M:$M,0))&amp;"","")&lt;&gt;"",ISNUMBER(SEARCH("remboursement",IFERROR(INDEX('Paramètres'!$N:$N,MATCH($D1461,'Paramètres'!$M:$M,0))&amp;"",""))))),1,0))</f>
        <v/>
      </c>
      <c r="Q1461" s="6" t="str">
        <f>IF($K1461="","",IF(ISNUMBER(SEARCH("transfert-interne",IFERROR(INDEX('Paramètres'!$N:$N,MATCH($D1461,'Paramètres'!$M:$M,0))&amp;"",""))),0,IF($L1461="Débit",$K1461,IF($P1461=1,-$K1461,0))))</f>
        <v/>
      </c>
      <c r="R1461" s="6" t="str">
        <f>IF($K1461="","",IF($L1461="Crédit",$K1461,-$K1461))</f>
        <v/>
      </c>
      <c r="S1461" s="6" t="str">
        <f>IF($C1461="","",IFERROR(INDEX('Paramètres'!$H:$H,MATCH($C1461,'Paramètres'!$D:$D,0))&amp;"",""))</f>
        <v/>
      </c>
      <c r="T1461" s="6" t="str">
        <f>IF($K1461="","",IF($S1461="",0,IF(ISNUMBER(SEARCH("apport-exterieur",IFERROR(INDEX('Paramètres'!$N:$N,MATCH($D1461,'Paramètres'!$M:$M,0))&amp;"",""))),0,IF(OR(IFERROR(INDEX('Paramètres'!$I:$I,MATCH($C1461,'Paramètres'!$D:$D,0))&amp;"","")="Les deux",IFERROR(INDEX('Paramètres'!$I:$I,MATCH($C1461,'Paramètres'!$D:$D,0))&amp;"","")=IF($P1461=1,"Débit",$L1461)),-IF($P1461=1,-$K1461,$K1461),0))))</f>
        <v/>
      </c>
      <c r="U1461" s="6" t="str">
        <f>IF($K1461="","",IF(ISNUMBER(SEARCH("sortie-epargne",IFERROR(INDEX('Paramètres'!$N:$N,MATCH($D1461,'Paramètres'!$M:$M,0))&amp;"",""))),$K1461,0))</f>
        <v/>
      </c>
      <c r="V1461" s="6" t="str">
        <f>IF(AND($A1461&lt;&gt;"",$O1461=1,$L1461="Débit",N($Q1461)&gt;0,$A1461&gt;=Visualisation!$B$1,$A1461&lt;Visualisation!$D$1),MAX($V$1:V1460)+1,"")</f>
        <v/>
      </c>
    </row>
    <row r="1462" spans="1:22" x14ac:dyDescent="0.25">
      <c r="A1462" s="9"/>
      <c r="E1462" s="10"/>
      <c r="K1462" s="11" t="str">
        <f>IF($E1462="","",ROUND($E1462*IF(ISNA(MATCH($C1462,'Paramètres'!$D:$D,0)),1,IF(INDEX('Paramètres'!$J:$J,MATCH($C1462,'Paramètres'!$D:$D,0))="",1,INDEX('Paramètres'!$J:$J,MATCH($C1462,'Paramètres'!$D:$D,0)))),2))</f>
        <v/>
      </c>
      <c r="L1462" s="6" t="str">
        <f>IF($D1462="","",IF($F1462&lt;&gt;"",$F1462,IF(ISNA(MATCH($D1462,'Paramètres'!$M:$M,0)),"⚠ Type inconnu",IFERROR(INDEX('Paramètres'!$P:$P,MATCH($D1462,'Paramètres'!$M:$M,0))&amp;"",""))))</f>
        <v/>
      </c>
      <c r="M1462" s="6" t="str">
        <f>IF($D1462="","",IF(ISNA(MATCH($D1462,'Paramètres'!$M:$M,0)),"⚠ Type inconnu",IF($L1462="Crédit","",IFERROR(INDEX('Paramètres'!$O:$O,MATCH($D1462,'Paramètres'!$M:$M,0))&amp;"",""))))</f>
        <v/>
      </c>
      <c r="N1462" s="6" t="str">
        <f>IF($D1462="","",IFERROR(INDEX('Paramètres'!$Q:$Q,MATCH($D1462,'Paramètres'!$M:$M,0))&amp;"",""))</f>
        <v/>
      </c>
      <c r="O1462" s="6" t="str">
        <f>IF($A1462="","",IF(OR($J1462&lt;&gt;"x",$A1462&lt;=FinReleve),1,0))</f>
        <v/>
      </c>
      <c r="P1462" s="6" t="str">
        <f>IF($D1462="","",IF(AND($L1462="Crédit",OR(IFERROR(INDEX('Paramètres'!$O:$O,MATCH($D1462,'Paramètres'!$M:$M,0))&amp;"","")&lt;&gt;"",ISNUMBER(SEARCH("remboursement",IFERROR(INDEX('Paramètres'!$N:$N,MATCH($D1462,'Paramètres'!$M:$M,0))&amp;"",""))))),1,0))</f>
        <v/>
      </c>
      <c r="Q1462" s="6" t="str">
        <f>IF($K1462="","",IF(ISNUMBER(SEARCH("transfert-interne",IFERROR(INDEX('Paramètres'!$N:$N,MATCH($D1462,'Paramètres'!$M:$M,0))&amp;"",""))),0,IF($L1462="Débit",$K1462,IF($P1462=1,-$K1462,0))))</f>
        <v/>
      </c>
      <c r="R1462" s="6" t="str">
        <f>IF($K1462="","",IF($L1462="Crédit",$K1462,-$K1462))</f>
        <v/>
      </c>
      <c r="S1462" s="6" t="str">
        <f>IF($C1462="","",IFERROR(INDEX('Paramètres'!$H:$H,MATCH($C1462,'Paramètres'!$D:$D,0))&amp;"",""))</f>
        <v/>
      </c>
      <c r="T1462" s="6" t="str">
        <f>IF($K1462="","",IF($S1462="",0,IF(ISNUMBER(SEARCH("apport-exterieur",IFERROR(INDEX('Paramètres'!$N:$N,MATCH($D1462,'Paramètres'!$M:$M,0))&amp;"",""))),0,IF(OR(IFERROR(INDEX('Paramètres'!$I:$I,MATCH($C1462,'Paramètres'!$D:$D,0))&amp;"","")="Les deux",IFERROR(INDEX('Paramètres'!$I:$I,MATCH($C1462,'Paramètres'!$D:$D,0))&amp;"","")=IF($P1462=1,"Débit",$L1462)),-IF($P1462=1,-$K1462,$K1462),0))))</f>
        <v/>
      </c>
      <c r="U1462" s="6" t="str">
        <f>IF($K1462="","",IF(ISNUMBER(SEARCH("sortie-epargne",IFERROR(INDEX('Paramètres'!$N:$N,MATCH($D1462,'Paramètres'!$M:$M,0))&amp;"",""))),$K1462,0))</f>
        <v/>
      </c>
      <c r="V1462" s="6" t="str">
        <f>IF(AND($A1462&lt;&gt;"",$O1462=1,$L1462="Débit",N($Q1462)&gt;0,$A1462&gt;=Visualisation!$B$1,$A1462&lt;Visualisation!$D$1),MAX($V$1:V1461)+1,"")</f>
        <v/>
      </c>
    </row>
    <row r="1463" spans="1:22" x14ac:dyDescent="0.25">
      <c r="A1463" s="9"/>
      <c r="E1463" s="10"/>
      <c r="K1463" s="11" t="str">
        <f>IF($E1463="","",ROUND($E1463*IF(ISNA(MATCH($C1463,'Paramètres'!$D:$D,0)),1,IF(INDEX('Paramètres'!$J:$J,MATCH($C1463,'Paramètres'!$D:$D,0))="",1,INDEX('Paramètres'!$J:$J,MATCH($C1463,'Paramètres'!$D:$D,0)))),2))</f>
        <v/>
      </c>
      <c r="L1463" s="6" t="str">
        <f>IF($D1463="","",IF($F1463&lt;&gt;"",$F1463,IF(ISNA(MATCH($D1463,'Paramètres'!$M:$M,0)),"⚠ Type inconnu",IFERROR(INDEX('Paramètres'!$P:$P,MATCH($D1463,'Paramètres'!$M:$M,0))&amp;"",""))))</f>
        <v/>
      </c>
      <c r="M1463" s="6" t="str">
        <f>IF($D1463="","",IF(ISNA(MATCH($D1463,'Paramètres'!$M:$M,0)),"⚠ Type inconnu",IF($L1463="Crédit","",IFERROR(INDEX('Paramètres'!$O:$O,MATCH($D1463,'Paramètres'!$M:$M,0))&amp;"",""))))</f>
        <v/>
      </c>
      <c r="N1463" s="6" t="str">
        <f>IF($D1463="","",IFERROR(INDEX('Paramètres'!$Q:$Q,MATCH($D1463,'Paramètres'!$M:$M,0))&amp;"",""))</f>
        <v/>
      </c>
      <c r="O1463" s="6" t="str">
        <f>IF($A1463="","",IF(OR($J1463&lt;&gt;"x",$A1463&lt;=FinReleve),1,0))</f>
        <v/>
      </c>
      <c r="P1463" s="6" t="str">
        <f>IF($D1463="","",IF(AND($L1463="Crédit",OR(IFERROR(INDEX('Paramètres'!$O:$O,MATCH($D1463,'Paramètres'!$M:$M,0))&amp;"","")&lt;&gt;"",ISNUMBER(SEARCH("remboursement",IFERROR(INDEX('Paramètres'!$N:$N,MATCH($D1463,'Paramètres'!$M:$M,0))&amp;"",""))))),1,0))</f>
        <v/>
      </c>
      <c r="Q1463" s="6" t="str">
        <f>IF($K1463="","",IF(ISNUMBER(SEARCH("transfert-interne",IFERROR(INDEX('Paramètres'!$N:$N,MATCH($D1463,'Paramètres'!$M:$M,0))&amp;"",""))),0,IF($L1463="Débit",$K1463,IF($P1463=1,-$K1463,0))))</f>
        <v/>
      </c>
      <c r="R1463" s="6" t="str">
        <f>IF($K1463="","",IF($L1463="Crédit",$K1463,-$K1463))</f>
        <v/>
      </c>
      <c r="S1463" s="6" t="str">
        <f>IF($C1463="","",IFERROR(INDEX('Paramètres'!$H:$H,MATCH($C1463,'Paramètres'!$D:$D,0))&amp;"",""))</f>
        <v/>
      </c>
      <c r="T1463" s="6" t="str">
        <f>IF($K1463="","",IF($S1463="",0,IF(ISNUMBER(SEARCH("apport-exterieur",IFERROR(INDEX('Paramètres'!$N:$N,MATCH($D1463,'Paramètres'!$M:$M,0))&amp;"",""))),0,IF(OR(IFERROR(INDEX('Paramètres'!$I:$I,MATCH($C1463,'Paramètres'!$D:$D,0))&amp;"","")="Les deux",IFERROR(INDEX('Paramètres'!$I:$I,MATCH($C1463,'Paramètres'!$D:$D,0))&amp;"","")=IF($P1463=1,"Débit",$L1463)),-IF($P1463=1,-$K1463,$K1463),0))))</f>
        <v/>
      </c>
      <c r="U1463" s="6" t="str">
        <f>IF($K1463="","",IF(ISNUMBER(SEARCH("sortie-epargne",IFERROR(INDEX('Paramètres'!$N:$N,MATCH($D1463,'Paramètres'!$M:$M,0))&amp;"",""))),$K1463,0))</f>
        <v/>
      </c>
      <c r="V1463" s="6" t="str">
        <f>IF(AND($A1463&lt;&gt;"",$O1463=1,$L1463="Débit",N($Q1463)&gt;0,$A1463&gt;=Visualisation!$B$1,$A1463&lt;Visualisation!$D$1),MAX($V$1:V1462)+1,"")</f>
        <v/>
      </c>
    </row>
    <row r="1464" spans="1:22" x14ac:dyDescent="0.25">
      <c r="A1464" s="9"/>
      <c r="E1464" s="10"/>
      <c r="K1464" s="11" t="str">
        <f>IF($E1464="","",ROUND($E1464*IF(ISNA(MATCH($C1464,'Paramètres'!$D:$D,0)),1,IF(INDEX('Paramètres'!$J:$J,MATCH($C1464,'Paramètres'!$D:$D,0))="",1,INDEX('Paramètres'!$J:$J,MATCH($C1464,'Paramètres'!$D:$D,0)))),2))</f>
        <v/>
      </c>
      <c r="L1464" s="6" t="str">
        <f>IF($D1464="","",IF($F1464&lt;&gt;"",$F1464,IF(ISNA(MATCH($D1464,'Paramètres'!$M:$M,0)),"⚠ Type inconnu",IFERROR(INDEX('Paramètres'!$P:$P,MATCH($D1464,'Paramètres'!$M:$M,0))&amp;"",""))))</f>
        <v/>
      </c>
      <c r="M1464" s="6" t="str">
        <f>IF($D1464="","",IF(ISNA(MATCH($D1464,'Paramètres'!$M:$M,0)),"⚠ Type inconnu",IF($L1464="Crédit","",IFERROR(INDEX('Paramètres'!$O:$O,MATCH($D1464,'Paramètres'!$M:$M,0))&amp;"",""))))</f>
        <v/>
      </c>
      <c r="N1464" s="6" t="str">
        <f>IF($D1464="","",IFERROR(INDEX('Paramètres'!$Q:$Q,MATCH($D1464,'Paramètres'!$M:$M,0))&amp;"",""))</f>
        <v/>
      </c>
      <c r="O1464" s="6" t="str">
        <f>IF($A1464="","",IF(OR($J1464&lt;&gt;"x",$A1464&lt;=FinReleve),1,0))</f>
        <v/>
      </c>
      <c r="P1464" s="6" t="str">
        <f>IF($D1464="","",IF(AND($L1464="Crédit",OR(IFERROR(INDEX('Paramètres'!$O:$O,MATCH($D1464,'Paramètres'!$M:$M,0))&amp;"","")&lt;&gt;"",ISNUMBER(SEARCH("remboursement",IFERROR(INDEX('Paramètres'!$N:$N,MATCH($D1464,'Paramètres'!$M:$M,0))&amp;"",""))))),1,0))</f>
        <v/>
      </c>
      <c r="Q1464" s="6" t="str">
        <f>IF($K1464="","",IF(ISNUMBER(SEARCH("transfert-interne",IFERROR(INDEX('Paramètres'!$N:$N,MATCH($D1464,'Paramètres'!$M:$M,0))&amp;"",""))),0,IF($L1464="Débit",$K1464,IF($P1464=1,-$K1464,0))))</f>
        <v/>
      </c>
      <c r="R1464" s="6" t="str">
        <f>IF($K1464="","",IF($L1464="Crédit",$K1464,-$K1464))</f>
        <v/>
      </c>
      <c r="S1464" s="6" t="str">
        <f>IF($C1464="","",IFERROR(INDEX('Paramètres'!$H:$H,MATCH($C1464,'Paramètres'!$D:$D,0))&amp;"",""))</f>
        <v/>
      </c>
      <c r="T1464" s="6" t="str">
        <f>IF($K1464="","",IF($S1464="",0,IF(ISNUMBER(SEARCH("apport-exterieur",IFERROR(INDEX('Paramètres'!$N:$N,MATCH($D1464,'Paramètres'!$M:$M,0))&amp;"",""))),0,IF(OR(IFERROR(INDEX('Paramètres'!$I:$I,MATCH($C1464,'Paramètres'!$D:$D,0))&amp;"","")="Les deux",IFERROR(INDEX('Paramètres'!$I:$I,MATCH($C1464,'Paramètres'!$D:$D,0))&amp;"","")=IF($P1464=1,"Débit",$L1464)),-IF($P1464=1,-$K1464,$K1464),0))))</f>
        <v/>
      </c>
      <c r="U1464" s="6" t="str">
        <f>IF($K1464="","",IF(ISNUMBER(SEARCH("sortie-epargne",IFERROR(INDEX('Paramètres'!$N:$N,MATCH($D1464,'Paramètres'!$M:$M,0))&amp;"",""))),$K1464,0))</f>
        <v/>
      </c>
      <c r="V1464" s="6" t="str">
        <f>IF(AND($A1464&lt;&gt;"",$O1464=1,$L1464="Débit",N($Q1464)&gt;0,$A1464&gt;=Visualisation!$B$1,$A1464&lt;Visualisation!$D$1),MAX($V$1:V1463)+1,"")</f>
        <v/>
      </c>
    </row>
    <row r="1465" spans="1:22" x14ac:dyDescent="0.25">
      <c r="A1465" s="9"/>
      <c r="E1465" s="10"/>
      <c r="K1465" s="11" t="str">
        <f>IF($E1465="","",ROUND($E1465*IF(ISNA(MATCH($C1465,'Paramètres'!$D:$D,0)),1,IF(INDEX('Paramètres'!$J:$J,MATCH($C1465,'Paramètres'!$D:$D,0))="",1,INDEX('Paramètres'!$J:$J,MATCH($C1465,'Paramètres'!$D:$D,0)))),2))</f>
        <v/>
      </c>
      <c r="L1465" s="6" t="str">
        <f>IF($D1465="","",IF($F1465&lt;&gt;"",$F1465,IF(ISNA(MATCH($D1465,'Paramètres'!$M:$M,0)),"⚠ Type inconnu",IFERROR(INDEX('Paramètres'!$P:$P,MATCH($D1465,'Paramètres'!$M:$M,0))&amp;"",""))))</f>
        <v/>
      </c>
      <c r="M1465" s="6" t="str">
        <f>IF($D1465="","",IF(ISNA(MATCH($D1465,'Paramètres'!$M:$M,0)),"⚠ Type inconnu",IF($L1465="Crédit","",IFERROR(INDEX('Paramètres'!$O:$O,MATCH($D1465,'Paramètres'!$M:$M,0))&amp;"",""))))</f>
        <v/>
      </c>
      <c r="N1465" s="6" t="str">
        <f>IF($D1465="","",IFERROR(INDEX('Paramètres'!$Q:$Q,MATCH($D1465,'Paramètres'!$M:$M,0))&amp;"",""))</f>
        <v/>
      </c>
      <c r="O1465" s="6" t="str">
        <f>IF($A1465="","",IF(OR($J1465&lt;&gt;"x",$A1465&lt;=FinReleve),1,0))</f>
        <v/>
      </c>
      <c r="P1465" s="6" t="str">
        <f>IF($D1465="","",IF(AND($L1465="Crédit",OR(IFERROR(INDEX('Paramètres'!$O:$O,MATCH($D1465,'Paramètres'!$M:$M,0))&amp;"","")&lt;&gt;"",ISNUMBER(SEARCH("remboursement",IFERROR(INDEX('Paramètres'!$N:$N,MATCH($D1465,'Paramètres'!$M:$M,0))&amp;"",""))))),1,0))</f>
        <v/>
      </c>
      <c r="Q1465" s="6" t="str">
        <f>IF($K1465="","",IF(ISNUMBER(SEARCH("transfert-interne",IFERROR(INDEX('Paramètres'!$N:$N,MATCH($D1465,'Paramètres'!$M:$M,0))&amp;"",""))),0,IF($L1465="Débit",$K1465,IF($P1465=1,-$K1465,0))))</f>
        <v/>
      </c>
      <c r="R1465" s="6" t="str">
        <f>IF($K1465="","",IF($L1465="Crédit",$K1465,-$K1465))</f>
        <v/>
      </c>
      <c r="S1465" s="6" t="str">
        <f>IF($C1465="","",IFERROR(INDEX('Paramètres'!$H:$H,MATCH($C1465,'Paramètres'!$D:$D,0))&amp;"",""))</f>
        <v/>
      </c>
      <c r="T1465" s="6" t="str">
        <f>IF($K1465="","",IF($S1465="",0,IF(ISNUMBER(SEARCH("apport-exterieur",IFERROR(INDEX('Paramètres'!$N:$N,MATCH($D1465,'Paramètres'!$M:$M,0))&amp;"",""))),0,IF(OR(IFERROR(INDEX('Paramètres'!$I:$I,MATCH($C1465,'Paramètres'!$D:$D,0))&amp;"","")="Les deux",IFERROR(INDEX('Paramètres'!$I:$I,MATCH($C1465,'Paramètres'!$D:$D,0))&amp;"","")=IF($P1465=1,"Débit",$L1465)),-IF($P1465=1,-$K1465,$K1465),0))))</f>
        <v/>
      </c>
      <c r="U1465" s="6" t="str">
        <f>IF($K1465="","",IF(ISNUMBER(SEARCH("sortie-epargne",IFERROR(INDEX('Paramètres'!$N:$N,MATCH($D1465,'Paramètres'!$M:$M,0))&amp;"",""))),$K1465,0))</f>
        <v/>
      </c>
      <c r="V1465" s="6" t="str">
        <f>IF(AND($A1465&lt;&gt;"",$O1465=1,$L1465="Débit",N($Q1465)&gt;0,$A1465&gt;=Visualisation!$B$1,$A1465&lt;Visualisation!$D$1),MAX($V$1:V1464)+1,"")</f>
        <v/>
      </c>
    </row>
    <row r="1466" spans="1:22" x14ac:dyDescent="0.25">
      <c r="A1466" s="9"/>
      <c r="E1466" s="10"/>
      <c r="K1466" s="11" t="str">
        <f>IF($E1466="","",ROUND($E1466*IF(ISNA(MATCH($C1466,'Paramètres'!$D:$D,0)),1,IF(INDEX('Paramètres'!$J:$J,MATCH($C1466,'Paramètres'!$D:$D,0))="",1,INDEX('Paramètres'!$J:$J,MATCH($C1466,'Paramètres'!$D:$D,0)))),2))</f>
        <v/>
      </c>
      <c r="L1466" s="6" t="str">
        <f>IF($D1466="","",IF($F1466&lt;&gt;"",$F1466,IF(ISNA(MATCH($D1466,'Paramètres'!$M:$M,0)),"⚠ Type inconnu",IFERROR(INDEX('Paramètres'!$P:$P,MATCH($D1466,'Paramètres'!$M:$M,0))&amp;"",""))))</f>
        <v/>
      </c>
      <c r="M1466" s="6" t="str">
        <f>IF($D1466="","",IF(ISNA(MATCH($D1466,'Paramètres'!$M:$M,0)),"⚠ Type inconnu",IF($L1466="Crédit","",IFERROR(INDEX('Paramètres'!$O:$O,MATCH($D1466,'Paramètres'!$M:$M,0))&amp;"",""))))</f>
        <v/>
      </c>
      <c r="N1466" s="6" t="str">
        <f>IF($D1466="","",IFERROR(INDEX('Paramètres'!$Q:$Q,MATCH($D1466,'Paramètres'!$M:$M,0))&amp;"",""))</f>
        <v/>
      </c>
      <c r="O1466" s="6" t="str">
        <f>IF($A1466="","",IF(OR($J1466&lt;&gt;"x",$A1466&lt;=FinReleve),1,0))</f>
        <v/>
      </c>
      <c r="P1466" s="6" t="str">
        <f>IF($D1466="","",IF(AND($L1466="Crédit",OR(IFERROR(INDEX('Paramètres'!$O:$O,MATCH($D1466,'Paramètres'!$M:$M,0))&amp;"","")&lt;&gt;"",ISNUMBER(SEARCH("remboursement",IFERROR(INDEX('Paramètres'!$N:$N,MATCH($D1466,'Paramètres'!$M:$M,0))&amp;"",""))))),1,0))</f>
        <v/>
      </c>
      <c r="Q1466" s="6" t="str">
        <f>IF($K1466="","",IF(ISNUMBER(SEARCH("transfert-interne",IFERROR(INDEX('Paramètres'!$N:$N,MATCH($D1466,'Paramètres'!$M:$M,0))&amp;"",""))),0,IF($L1466="Débit",$K1466,IF($P1466=1,-$K1466,0))))</f>
        <v/>
      </c>
      <c r="R1466" s="6" t="str">
        <f>IF($K1466="","",IF($L1466="Crédit",$K1466,-$K1466))</f>
        <v/>
      </c>
      <c r="S1466" s="6" t="str">
        <f>IF($C1466="","",IFERROR(INDEX('Paramètres'!$H:$H,MATCH($C1466,'Paramètres'!$D:$D,0))&amp;"",""))</f>
        <v/>
      </c>
      <c r="T1466" s="6" t="str">
        <f>IF($K1466="","",IF($S1466="",0,IF(ISNUMBER(SEARCH("apport-exterieur",IFERROR(INDEX('Paramètres'!$N:$N,MATCH($D1466,'Paramètres'!$M:$M,0))&amp;"",""))),0,IF(OR(IFERROR(INDEX('Paramètres'!$I:$I,MATCH($C1466,'Paramètres'!$D:$D,0))&amp;"","")="Les deux",IFERROR(INDEX('Paramètres'!$I:$I,MATCH($C1466,'Paramètres'!$D:$D,0))&amp;"","")=IF($P1466=1,"Débit",$L1466)),-IF($P1466=1,-$K1466,$K1466),0))))</f>
        <v/>
      </c>
      <c r="U1466" s="6" t="str">
        <f>IF($K1466="","",IF(ISNUMBER(SEARCH("sortie-epargne",IFERROR(INDEX('Paramètres'!$N:$N,MATCH($D1466,'Paramètres'!$M:$M,0))&amp;"",""))),$K1466,0))</f>
        <v/>
      </c>
      <c r="V1466" s="6" t="str">
        <f>IF(AND($A1466&lt;&gt;"",$O1466=1,$L1466="Débit",N($Q1466)&gt;0,$A1466&gt;=Visualisation!$B$1,$A1466&lt;Visualisation!$D$1),MAX($V$1:V1465)+1,"")</f>
        <v/>
      </c>
    </row>
    <row r="1467" spans="1:22" x14ac:dyDescent="0.25">
      <c r="A1467" s="9"/>
      <c r="E1467" s="10"/>
      <c r="K1467" s="11" t="str">
        <f>IF($E1467="","",ROUND($E1467*IF(ISNA(MATCH($C1467,'Paramètres'!$D:$D,0)),1,IF(INDEX('Paramètres'!$J:$J,MATCH($C1467,'Paramètres'!$D:$D,0))="",1,INDEX('Paramètres'!$J:$J,MATCH($C1467,'Paramètres'!$D:$D,0)))),2))</f>
        <v/>
      </c>
      <c r="L1467" s="6" t="str">
        <f>IF($D1467="","",IF($F1467&lt;&gt;"",$F1467,IF(ISNA(MATCH($D1467,'Paramètres'!$M:$M,0)),"⚠ Type inconnu",IFERROR(INDEX('Paramètres'!$P:$P,MATCH($D1467,'Paramètres'!$M:$M,0))&amp;"",""))))</f>
        <v/>
      </c>
      <c r="M1467" s="6" t="str">
        <f>IF($D1467="","",IF(ISNA(MATCH($D1467,'Paramètres'!$M:$M,0)),"⚠ Type inconnu",IF($L1467="Crédit","",IFERROR(INDEX('Paramètres'!$O:$O,MATCH($D1467,'Paramètres'!$M:$M,0))&amp;"",""))))</f>
        <v/>
      </c>
      <c r="N1467" s="6" t="str">
        <f>IF($D1467="","",IFERROR(INDEX('Paramètres'!$Q:$Q,MATCH($D1467,'Paramètres'!$M:$M,0))&amp;"",""))</f>
        <v/>
      </c>
      <c r="O1467" s="6" t="str">
        <f>IF($A1467="","",IF(OR($J1467&lt;&gt;"x",$A1467&lt;=FinReleve),1,0))</f>
        <v/>
      </c>
      <c r="P1467" s="6" t="str">
        <f>IF($D1467="","",IF(AND($L1467="Crédit",OR(IFERROR(INDEX('Paramètres'!$O:$O,MATCH($D1467,'Paramètres'!$M:$M,0))&amp;"","")&lt;&gt;"",ISNUMBER(SEARCH("remboursement",IFERROR(INDEX('Paramètres'!$N:$N,MATCH($D1467,'Paramètres'!$M:$M,0))&amp;"",""))))),1,0))</f>
        <v/>
      </c>
      <c r="Q1467" s="6" t="str">
        <f>IF($K1467="","",IF(ISNUMBER(SEARCH("transfert-interne",IFERROR(INDEX('Paramètres'!$N:$N,MATCH($D1467,'Paramètres'!$M:$M,0))&amp;"",""))),0,IF($L1467="Débit",$K1467,IF($P1467=1,-$K1467,0))))</f>
        <v/>
      </c>
      <c r="R1467" s="6" t="str">
        <f>IF($K1467="","",IF($L1467="Crédit",$K1467,-$K1467))</f>
        <v/>
      </c>
      <c r="S1467" s="6" t="str">
        <f>IF($C1467="","",IFERROR(INDEX('Paramètres'!$H:$H,MATCH($C1467,'Paramètres'!$D:$D,0))&amp;"",""))</f>
        <v/>
      </c>
      <c r="T1467" s="6" t="str">
        <f>IF($K1467="","",IF($S1467="",0,IF(ISNUMBER(SEARCH("apport-exterieur",IFERROR(INDEX('Paramètres'!$N:$N,MATCH($D1467,'Paramètres'!$M:$M,0))&amp;"",""))),0,IF(OR(IFERROR(INDEX('Paramètres'!$I:$I,MATCH($C1467,'Paramètres'!$D:$D,0))&amp;"","")="Les deux",IFERROR(INDEX('Paramètres'!$I:$I,MATCH($C1467,'Paramètres'!$D:$D,0))&amp;"","")=IF($P1467=1,"Débit",$L1467)),-IF($P1467=1,-$K1467,$K1467),0))))</f>
        <v/>
      </c>
      <c r="U1467" s="6" t="str">
        <f>IF($K1467="","",IF(ISNUMBER(SEARCH("sortie-epargne",IFERROR(INDEX('Paramètres'!$N:$N,MATCH($D1467,'Paramètres'!$M:$M,0))&amp;"",""))),$K1467,0))</f>
        <v/>
      </c>
      <c r="V1467" s="6" t="str">
        <f>IF(AND($A1467&lt;&gt;"",$O1467=1,$L1467="Débit",N($Q1467)&gt;0,$A1467&gt;=Visualisation!$B$1,$A1467&lt;Visualisation!$D$1),MAX($V$1:V1466)+1,"")</f>
        <v/>
      </c>
    </row>
    <row r="1468" spans="1:22" x14ac:dyDescent="0.25">
      <c r="A1468" s="9"/>
      <c r="E1468" s="10"/>
      <c r="K1468" s="11" t="str">
        <f>IF($E1468="","",ROUND($E1468*IF(ISNA(MATCH($C1468,'Paramètres'!$D:$D,0)),1,IF(INDEX('Paramètres'!$J:$J,MATCH($C1468,'Paramètres'!$D:$D,0))="",1,INDEX('Paramètres'!$J:$J,MATCH($C1468,'Paramètres'!$D:$D,0)))),2))</f>
        <v/>
      </c>
      <c r="L1468" s="6" t="str">
        <f>IF($D1468="","",IF($F1468&lt;&gt;"",$F1468,IF(ISNA(MATCH($D1468,'Paramètres'!$M:$M,0)),"⚠ Type inconnu",IFERROR(INDEX('Paramètres'!$P:$P,MATCH($D1468,'Paramètres'!$M:$M,0))&amp;"",""))))</f>
        <v/>
      </c>
      <c r="M1468" s="6" t="str">
        <f>IF($D1468="","",IF(ISNA(MATCH($D1468,'Paramètres'!$M:$M,0)),"⚠ Type inconnu",IF($L1468="Crédit","",IFERROR(INDEX('Paramètres'!$O:$O,MATCH($D1468,'Paramètres'!$M:$M,0))&amp;"",""))))</f>
        <v/>
      </c>
      <c r="N1468" s="6" t="str">
        <f>IF($D1468="","",IFERROR(INDEX('Paramètres'!$Q:$Q,MATCH($D1468,'Paramètres'!$M:$M,0))&amp;"",""))</f>
        <v/>
      </c>
      <c r="O1468" s="6" t="str">
        <f>IF($A1468="","",IF(OR($J1468&lt;&gt;"x",$A1468&lt;=FinReleve),1,0))</f>
        <v/>
      </c>
      <c r="P1468" s="6" t="str">
        <f>IF($D1468="","",IF(AND($L1468="Crédit",OR(IFERROR(INDEX('Paramètres'!$O:$O,MATCH($D1468,'Paramètres'!$M:$M,0))&amp;"","")&lt;&gt;"",ISNUMBER(SEARCH("remboursement",IFERROR(INDEX('Paramètres'!$N:$N,MATCH($D1468,'Paramètres'!$M:$M,0))&amp;"",""))))),1,0))</f>
        <v/>
      </c>
      <c r="Q1468" s="6" t="str">
        <f>IF($K1468="","",IF(ISNUMBER(SEARCH("transfert-interne",IFERROR(INDEX('Paramètres'!$N:$N,MATCH($D1468,'Paramètres'!$M:$M,0))&amp;"",""))),0,IF($L1468="Débit",$K1468,IF($P1468=1,-$K1468,0))))</f>
        <v/>
      </c>
      <c r="R1468" s="6" t="str">
        <f>IF($K1468="","",IF($L1468="Crédit",$K1468,-$K1468))</f>
        <v/>
      </c>
      <c r="S1468" s="6" t="str">
        <f>IF($C1468="","",IFERROR(INDEX('Paramètres'!$H:$H,MATCH($C1468,'Paramètres'!$D:$D,0))&amp;"",""))</f>
        <v/>
      </c>
      <c r="T1468" s="6" t="str">
        <f>IF($K1468="","",IF($S1468="",0,IF(ISNUMBER(SEARCH("apport-exterieur",IFERROR(INDEX('Paramètres'!$N:$N,MATCH($D1468,'Paramètres'!$M:$M,0))&amp;"",""))),0,IF(OR(IFERROR(INDEX('Paramètres'!$I:$I,MATCH($C1468,'Paramètres'!$D:$D,0))&amp;"","")="Les deux",IFERROR(INDEX('Paramètres'!$I:$I,MATCH($C1468,'Paramètres'!$D:$D,0))&amp;"","")=IF($P1468=1,"Débit",$L1468)),-IF($P1468=1,-$K1468,$K1468),0))))</f>
        <v/>
      </c>
      <c r="U1468" s="6" t="str">
        <f>IF($K1468="","",IF(ISNUMBER(SEARCH("sortie-epargne",IFERROR(INDEX('Paramètres'!$N:$N,MATCH($D1468,'Paramètres'!$M:$M,0))&amp;"",""))),$K1468,0))</f>
        <v/>
      </c>
      <c r="V1468" s="6" t="str">
        <f>IF(AND($A1468&lt;&gt;"",$O1468=1,$L1468="Débit",N($Q1468)&gt;0,$A1468&gt;=Visualisation!$B$1,$A1468&lt;Visualisation!$D$1),MAX($V$1:V1467)+1,"")</f>
        <v/>
      </c>
    </row>
    <row r="1469" spans="1:22" x14ac:dyDescent="0.25">
      <c r="A1469" s="9"/>
      <c r="E1469" s="10"/>
      <c r="K1469" s="11" t="str">
        <f>IF($E1469="","",ROUND($E1469*IF(ISNA(MATCH($C1469,'Paramètres'!$D:$D,0)),1,IF(INDEX('Paramètres'!$J:$J,MATCH($C1469,'Paramètres'!$D:$D,0))="",1,INDEX('Paramètres'!$J:$J,MATCH($C1469,'Paramètres'!$D:$D,0)))),2))</f>
        <v/>
      </c>
      <c r="L1469" s="6" t="str">
        <f>IF($D1469="","",IF($F1469&lt;&gt;"",$F1469,IF(ISNA(MATCH($D1469,'Paramètres'!$M:$M,0)),"⚠ Type inconnu",IFERROR(INDEX('Paramètres'!$P:$P,MATCH($D1469,'Paramètres'!$M:$M,0))&amp;"",""))))</f>
        <v/>
      </c>
      <c r="M1469" s="6" t="str">
        <f>IF($D1469="","",IF(ISNA(MATCH($D1469,'Paramètres'!$M:$M,0)),"⚠ Type inconnu",IF($L1469="Crédit","",IFERROR(INDEX('Paramètres'!$O:$O,MATCH($D1469,'Paramètres'!$M:$M,0))&amp;"",""))))</f>
        <v/>
      </c>
      <c r="N1469" s="6" t="str">
        <f>IF($D1469="","",IFERROR(INDEX('Paramètres'!$Q:$Q,MATCH($D1469,'Paramètres'!$M:$M,0))&amp;"",""))</f>
        <v/>
      </c>
      <c r="O1469" s="6" t="str">
        <f>IF($A1469="","",IF(OR($J1469&lt;&gt;"x",$A1469&lt;=FinReleve),1,0))</f>
        <v/>
      </c>
      <c r="P1469" s="6" t="str">
        <f>IF($D1469="","",IF(AND($L1469="Crédit",OR(IFERROR(INDEX('Paramètres'!$O:$O,MATCH($D1469,'Paramètres'!$M:$M,0))&amp;"","")&lt;&gt;"",ISNUMBER(SEARCH("remboursement",IFERROR(INDEX('Paramètres'!$N:$N,MATCH($D1469,'Paramètres'!$M:$M,0))&amp;"",""))))),1,0))</f>
        <v/>
      </c>
      <c r="Q1469" s="6" t="str">
        <f>IF($K1469="","",IF(ISNUMBER(SEARCH("transfert-interne",IFERROR(INDEX('Paramètres'!$N:$N,MATCH($D1469,'Paramètres'!$M:$M,0))&amp;"",""))),0,IF($L1469="Débit",$K1469,IF($P1469=1,-$K1469,0))))</f>
        <v/>
      </c>
      <c r="R1469" s="6" t="str">
        <f>IF($K1469="","",IF($L1469="Crédit",$K1469,-$K1469))</f>
        <v/>
      </c>
      <c r="S1469" s="6" t="str">
        <f>IF($C1469="","",IFERROR(INDEX('Paramètres'!$H:$H,MATCH($C1469,'Paramètres'!$D:$D,0))&amp;"",""))</f>
        <v/>
      </c>
      <c r="T1469" s="6" t="str">
        <f>IF($K1469="","",IF($S1469="",0,IF(ISNUMBER(SEARCH("apport-exterieur",IFERROR(INDEX('Paramètres'!$N:$N,MATCH($D1469,'Paramètres'!$M:$M,0))&amp;"",""))),0,IF(OR(IFERROR(INDEX('Paramètres'!$I:$I,MATCH($C1469,'Paramètres'!$D:$D,0))&amp;"","")="Les deux",IFERROR(INDEX('Paramètres'!$I:$I,MATCH($C1469,'Paramètres'!$D:$D,0))&amp;"","")=IF($P1469=1,"Débit",$L1469)),-IF($P1469=1,-$K1469,$K1469),0))))</f>
        <v/>
      </c>
      <c r="U1469" s="6" t="str">
        <f>IF($K1469="","",IF(ISNUMBER(SEARCH("sortie-epargne",IFERROR(INDEX('Paramètres'!$N:$N,MATCH($D1469,'Paramètres'!$M:$M,0))&amp;"",""))),$K1469,0))</f>
        <v/>
      </c>
      <c r="V1469" s="6" t="str">
        <f>IF(AND($A1469&lt;&gt;"",$O1469=1,$L1469="Débit",N($Q1469)&gt;0,$A1469&gt;=Visualisation!$B$1,$A1469&lt;Visualisation!$D$1),MAX($V$1:V1468)+1,"")</f>
        <v/>
      </c>
    </row>
    <row r="1470" spans="1:22" x14ac:dyDescent="0.25">
      <c r="A1470" s="9"/>
      <c r="E1470" s="10"/>
      <c r="K1470" s="11" t="str">
        <f>IF($E1470="","",ROUND($E1470*IF(ISNA(MATCH($C1470,'Paramètres'!$D:$D,0)),1,IF(INDEX('Paramètres'!$J:$J,MATCH($C1470,'Paramètres'!$D:$D,0))="",1,INDEX('Paramètres'!$J:$J,MATCH($C1470,'Paramètres'!$D:$D,0)))),2))</f>
        <v/>
      </c>
      <c r="L1470" s="6" t="str">
        <f>IF($D1470="","",IF($F1470&lt;&gt;"",$F1470,IF(ISNA(MATCH($D1470,'Paramètres'!$M:$M,0)),"⚠ Type inconnu",IFERROR(INDEX('Paramètres'!$P:$P,MATCH($D1470,'Paramètres'!$M:$M,0))&amp;"",""))))</f>
        <v/>
      </c>
      <c r="M1470" s="6" t="str">
        <f>IF($D1470="","",IF(ISNA(MATCH($D1470,'Paramètres'!$M:$M,0)),"⚠ Type inconnu",IF($L1470="Crédit","",IFERROR(INDEX('Paramètres'!$O:$O,MATCH($D1470,'Paramètres'!$M:$M,0))&amp;"",""))))</f>
        <v/>
      </c>
      <c r="N1470" s="6" t="str">
        <f>IF($D1470="","",IFERROR(INDEX('Paramètres'!$Q:$Q,MATCH($D1470,'Paramètres'!$M:$M,0))&amp;"",""))</f>
        <v/>
      </c>
      <c r="O1470" s="6" t="str">
        <f>IF($A1470="","",IF(OR($J1470&lt;&gt;"x",$A1470&lt;=FinReleve),1,0))</f>
        <v/>
      </c>
      <c r="P1470" s="6" t="str">
        <f>IF($D1470="","",IF(AND($L1470="Crédit",OR(IFERROR(INDEX('Paramètres'!$O:$O,MATCH($D1470,'Paramètres'!$M:$M,0))&amp;"","")&lt;&gt;"",ISNUMBER(SEARCH("remboursement",IFERROR(INDEX('Paramètres'!$N:$N,MATCH($D1470,'Paramètres'!$M:$M,0))&amp;"",""))))),1,0))</f>
        <v/>
      </c>
      <c r="Q1470" s="6" t="str">
        <f>IF($K1470="","",IF(ISNUMBER(SEARCH("transfert-interne",IFERROR(INDEX('Paramètres'!$N:$N,MATCH($D1470,'Paramètres'!$M:$M,0))&amp;"",""))),0,IF($L1470="Débit",$K1470,IF($P1470=1,-$K1470,0))))</f>
        <v/>
      </c>
      <c r="R1470" s="6" t="str">
        <f>IF($K1470="","",IF($L1470="Crédit",$K1470,-$K1470))</f>
        <v/>
      </c>
      <c r="S1470" s="6" t="str">
        <f>IF($C1470="","",IFERROR(INDEX('Paramètres'!$H:$H,MATCH($C1470,'Paramètres'!$D:$D,0))&amp;"",""))</f>
        <v/>
      </c>
      <c r="T1470" s="6" t="str">
        <f>IF($K1470="","",IF($S1470="",0,IF(ISNUMBER(SEARCH("apport-exterieur",IFERROR(INDEX('Paramètres'!$N:$N,MATCH($D1470,'Paramètres'!$M:$M,0))&amp;"",""))),0,IF(OR(IFERROR(INDEX('Paramètres'!$I:$I,MATCH($C1470,'Paramètres'!$D:$D,0))&amp;"","")="Les deux",IFERROR(INDEX('Paramètres'!$I:$I,MATCH($C1470,'Paramètres'!$D:$D,0))&amp;"","")=IF($P1470=1,"Débit",$L1470)),-IF($P1470=1,-$K1470,$K1470),0))))</f>
        <v/>
      </c>
      <c r="U1470" s="6" t="str">
        <f>IF($K1470="","",IF(ISNUMBER(SEARCH("sortie-epargne",IFERROR(INDEX('Paramètres'!$N:$N,MATCH($D1470,'Paramètres'!$M:$M,0))&amp;"",""))),$K1470,0))</f>
        <v/>
      </c>
      <c r="V1470" s="6" t="str">
        <f>IF(AND($A1470&lt;&gt;"",$O1470=1,$L1470="Débit",N($Q1470)&gt;0,$A1470&gt;=Visualisation!$B$1,$A1470&lt;Visualisation!$D$1),MAX($V$1:V1469)+1,"")</f>
        <v/>
      </c>
    </row>
    <row r="1471" spans="1:22" x14ac:dyDescent="0.25">
      <c r="A1471" s="9"/>
      <c r="E1471" s="10"/>
      <c r="K1471" s="11" t="str">
        <f>IF($E1471="","",ROUND($E1471*IF(ISNA(MATCH($C1471,'Paramètres'!$D:$D,0)),1,IF(INDEX('Paramètres'!$J:$J,MATCH($C1471,'Paramètres'!$D:$D,0))="",1,INDEX('Paramètres'!$J:$J,MATCH($C1471,'Paramètres'!$D:$D,0)))),2))</f>
        <v/>
      </c>
      <c r="L1471" s="6" t="str">
        <f>IF($D1471="","",IF($F1471&lt;&gt;"",$F1471,IF(ISNA(MATCH($D1471,'Paramètres'!$M:$M,0)),"⚠ Type inconnu",IFERROR(INDEX('Paramètres'!$P:$P,MATCH($D1471,'Paramètres'!$M:$M,0))&amp;"",""))))</f>
        <v/>
      </c>
      <c r="M1471" s="6" t="str">
        <f>IF($D1471="","",IF(ISNA(MATCH($D1471,'Paramètres'!$M:$M,0)),"⚠ Type inconnu",IF($L1471="Crédit","",IFERROR(INDEX('Paramètres'!$O:$O,MATCH($D1471,'Paramètres'!$M:$M,0))&amp;"",""))))</f>
        <v/>
      </c>
      <c r="N1471" s="6" t="str">
        <f>IF($D1471="","",IFERROR(INDEX('Paramètres'!$Q:$Q,MATCH($D1471,'Paramètres'!$M:$M,0))&amp;"",""))</f>
        <v/>
      </c>
      <c r="O1471" s="6" t="str">
        <f>IF($A1471="","",IF(OR($J1471&lt;&gt;"x",$A1471&lt;=FinReleve),1,0))</f>
        <v/>
      </c>
      <c r="P1471" s="6" t="str">
        <f>IF($D1471="","",IF(AND($L1471="Crédit",OR(IFERROR(INDEX('Paramètres'!$O:$O,MATCH($D1471,'Paramètres'!$M:$M,0))&amp;"","")&lt;&gt;"",ISNUMBER(SEARCH("remboursement",IFERROR(INDEX('Paramètres'!$N:$N,MATCH($D1471,'Paramètres'!$M:$M,0))&amp;"",""))))),1,0))</f>
        <v/>
      </c>
      <c r="Q1471" s="6" t="str">
        <f>IF($K1471="","",IF(ISNUMBER(SEARCH("transfert-interne",IFERROR(INDEX('Paramètres'!$N:$N,MATCH($D1471,'Paramètres'!$M:$M,0))&amp;"",""))),0,IF($L1471="Débit",$K1471,IF($P1471=1,-$K1471,0))))</f>
        <v/>
      </c>
      <c r="R1471" s="6" t="str">
        <f>IF($K1471="","",IF($L1471="Crédit",$K1471,-$K1471))</f>
        <v/>
      </c>
      <c r="S1471" s="6" t="str">
        <f>IF($C1471="","",IFERROR(INDEX('Paramètres'!$H:$H,MATCH($C1471,'Paramètres'!$D:$D,0))&amp;"",""))</f>
        <v/>
      </c>
      <c r="T1471" s="6" t="str">
        <f>IF($K1471="","",IF($S1471="",0,IF(ISNUMBER(SEARCH("apport-exterieur",IFERROR(INDEX('Paramètres'!$N:$N,MATCH($D1471,'Paramètres'!$M:$M,0))&amp;"",""))),0,IF(OR(IFERROR(INDEX('Paramètres'!$I:$I,MATCH($C1471,'Paramètres'!$D:$D,0))&amp;"","")="Les deux",IFERROR(INDEX('Paramètres'!$I:$I,MATCH($C1471,'Paramètres'!$D:$D,0))&amp;"","")=IF($P1471=1,"Débit",$L1471)),-IF($P1471=1,-$K1471,$K1471),0))))</f>
        <v/>
      </c>
      <c r="U1471" s="6" t="str">
        <f>IF($K1471="","",IF(ISNUMBER(SEARCH("sortie-epargne",IFERROR(INDEX('Paramètres'!$N:$N,MATCH($D1471,'Paramètres'!$M:$M,0))&amp;"",""))),$K1471,0))</f>
        <v/>
      </c>
      <c r="V1471" s="6" t="str">
        <f>IF(AND($A1471&lt;&gt;"",$O1471=1,$L1471="Débit",N($Q1471)&gt;0,$A1471&gt;=Visualisation!$B$1,$A1471&lt;Visualisation!$D$1),MAX($V$1:V1470)+1,"")</f>
        <v/>
      </c>
    </row>
    <row r="1472" spans="1:22" x14ac:dyDescent="0.25">
      <c r="A1472" s="9"/>
      <c r="E1472" s="10"/>
      <c r="K1472" s="11" t="str">
        <f>IF($E1472="","",ROUND($E1472*IF(ISNA(MATCH($C1472,'Paramètres'!$D:$D,0)),1,IF(INDEX('Paramètres'!$J:$J,MATCH($C1472,'Paramètres'!$D:$D,0))="",1,INDEX('Paramètres'!$J:$J,MATCH($C1472,'Paramètres'!$D:$D,0)))),2))</f>
        <v/>
      </c>
      <c r="L1472" s="6" t="str">
        <f>IF($D1472="","",IF($F1472&lt;&gt;"",$F1472,IF(ISNA(MATCH($D1472,'Paramètres'!$M:$M,0)),"⚠ Type inconnu",IFERROR(INDEX('Paramètres'!$P:$P,MATCH($D1472,'Paramètres'!$M:$M,0))&amp;"",""))))</f>
        <v/>
      </c>
      <c r="M1472" s="6" t="str">
        <f>IF($D1472="","",IF(ISNA(MATCH($D1472,'Paramètres'!$M:$M,0)),"⚠ Type inconnu",IF($L1472="Crédit","",IFERROR(INDEX('Paramètres'!$O:$O,MATCH($D1472,'Paramètres'!$M:$M,0))&amp;"",""))))</f>
        <v/>
      </c>
      <c r="N1472" s="6" t="str">
        <f>IF($D1472="","",IFERROR(INDEX('Paramètres'!$Q:$Q,MATCH($D1472,'Paramètres'!$M:$M,0))&amp;"",""))</f>
        <v/>
      </c>
      <c r="O1472" s="6" t="str">
        <f>IF($A1472="","",IF(OR($J1472&lt;&gt;"x",$A1472&lt;=FinReleve),1,0))</f>
        <v/>
      </c>
      <c r="P1472" s="6" t="str">
        <f>IF($D1472="","",IF(AND($L1472="Crédit",OR(IFERROR(INDEX('Paramètres'!$O:$O,MATCH($D1472,'Paramètres'!$M:$M,0))&amp;"","")&lt;&gt;"",ISNUMBER(SEARCH("remboursement",IFERROR(INDEX('Paramètres'!$N:$N,MATCH($D1472,'Paramètres'!$M:$M,0))&amp;"",""))))),1,0))</f>
        <v/>
      </c>
      <c r="Q1472" s="6" t="str">
        <f>IF($K1472="","",IF(ISNUMBER(SEARCH("transfert-interne",IFERROR(INDEX('Paramètres'!$N:$N,MATCH($D1472,'Paramètres'!$M:$M,0))&amp;"",""))),0,IF($L1472="Débit",$K1472,IF($P1472=1,-$K1472,0))))</f>
        <v/>
      </c>
      <c r="R1472" s="6" t="str">
        <f>IF($K1472="","",IF($L1472="Crédit",$K1472,-$K1472))</f>
        <v/>
      </c>
      <c r="S1472" s="6" t="str">
        <f>IF($C1472="","",IFERROR(INDEX('Paramètres'!$H:$H,MATCH($C1472,'Paramètres'!$D:$D,0))&amp;"",""))</f>
        <v/>
      </c>
      <c r="T1472" s="6" t="str">
        <f>IF($K1472="","",IF($S1472="",0,IF(ISNUMBER(SEARCH("apport-exterieur",IFERROR(INDEX('Paramètres'!$N:$N,MATCH($D1472,'Paramètres'!$M:$M,0))&amp;"",""))),0,IF(OR(IFERROR(INDEX('Paramètres'!$I:$I,MATCH($C1472,'Paramètres'!$D:$D,0))&amp;"","")="Les deux",IFERROR(INDEX('Paramètres'!$I:$I,MATCH($C1472,'Paramètres'!$D:$D,0))&amp;"","")=IF($P1472=1,"Débit",$L1472)),-IF($P1472=1,-$K1472,$K1472),0))))</f>
        <v/>
      </c>
      <c r="U1472" s="6" t="str">
        <f>IF($K1472="","",IF(ISNUMBER(SEARCH("sortie-epargne",IFERROR(INDEX('Paramètres'!$N:$N,MATCH($D1472,'Paramètres'!$M:$M,0))&amp;"",""))),$K1472,0))</f>
        <v/>
      </c>
      <c r="V1472" s="6" t="str">
        <f>IF(AND($A1472&lt;&gt;"",$O1472=1,$L1472="Débit",N($Q1472)&gt;0,$A1472&gt;=Visualisation!$B$1,$A1472&lt;Visualisation!$D$1),MAX($V$1:V1471)+1,"")</f>
        <v/>
      </c>
    </row>
    <row r="1473" spans="1:22" x14ac:dyDescent="0.25">
      <c r="A1473" s="9"/>
      <c r="E1473" s="10"/>
      <c r="K1473" s="11" t="str">
        <f>IF($E1473="","",ROUND($E1473*IF(ISNA(MATCH($C1473,'Paramètres'!$D:$D,0)),1,IF(INDEX('Paramètres'!$J:$J,MATCH($C1473,'Paramètres'!$D:$D,0))="",1,INDEX('Paramètres'!$J:$J,MATCH($C1473,'Paramètres'!$D:$D,0)))),2))</f>
        <v/>
      </c>
      <c r="L1473" s="6" t="str">
        <f>IF($D1473="","",IF($F1473&lt;&gt;"",$F1473,IF(ISNA(MATCH($D1473,'Paramètres'!$M:$M,0)),"⚠ Type inconnu",IFERROR(INDEX('Paramètres'!$P:$P,MATCH($D1473,'Paramètres'!$M:$M,0))&amp;"",""))))</f>
        <v/>
      </c>
      <c r="M1473" s="6" t="str">
        <f>IF($D1473="","",IF(ISNA(MATCH($D1473,'Paramètres'!$M:$M,0)),"⚠ Type inconnu",IF($L1473="Crédit","",IFERROR(INDEX('Paramètres'!$O:$O,MATCH($D1473,'Paramètres'!$M:$M,0))&amp;"",""))))</f>
        <v/>
      </c>
      <c r="N1473" s="6" t="str">
        <f>IF($D1473="","",IFERROR(INDEX('Paramètres'!$Q:$Q,MATCH($D1473,'Paramètres'!$M:$M,0))&amp;"",""))</f>
        <v/>
      </c>
      <c r="O1473" s="6" t="str">
        <f>IF($A1473="","",IF(OR($J1473&lt;&gt;"x",$A1473&lt;=FinReleve),1,0))</f>
        <v/>
      </c>
      <c r="P1473" s="6" t="str">
        <f>IF($D1473="","",IF(AND($L1473="Crédit",OR(IFERROR(INDEX('Paramètres'!$O:$O,MATCH($D1473,'Paramètres'!$M:$M,0))&amp;"","")&lt;&gt;"",ISNUMBER(SEARCH("remboursement",IFERROR(INDEX('Paramètres'!$N:$N,MATCH($D1473,'Paramètres'!$M:$M,0))&amp;"",""))))),1,0))</f>
        <v/>
      </c>
      <c r="Q1473" s="6" t="str">
        <f>IF($K1473="","",IF(ISNUMBER(SEARCH("transfert-interne",IFERROR(INDEX('Paramètres'!$N:$N,MATCH($D1473,'Paramètres'!$M:$M,0))&amp;"",""))),0,IF($L1473="Débit",$K1473,IF($P1473=1,-$K1473,0))))</f>
        <v/>
      </c>
      <c r="R1473" s="6" t="str">
        <f>IF($K1473="","",IF($L1473="Crédit",$K1473,-$K1473))</f>
        <v/>
      </c>
      <c r="S1473" s="6" t="str">
        <f>IF($C1473="","",IFERROR(INDEX('Paramètres'!$H:$H,MATCH($C1473,'Paramètres'!$D:$D,0))&amp;"",""))</f>
        <v/>
      </c>
      <c r="T1473" s="6" t="str">
        <f>IF($K1473="","",IF($S1473="",0,IF(ISNUMBER(SEARCH("apport-exterieur",IFERROR(INDEX('Paramètres'!$N:$N,MATCH($D1473,'Paramètres'!$M:$M,0))&amp;"",""))),0,IF(OR(IFERROR(INDEX('Paramètres'!$I:$I,MATCH($C1473,'Paramètres'!$D:$D,0))&amp;"","")="Les deux",IFERROR(INDEX('Paramètres'!$I:$I,MATCH($C1473,'Paramètres'!$D:$D,0))&amp;"","")=IF($P1473=1,"Débit",$L1473)),-IF($P1473=1,-$K1473,$K1473),0))))</f>
        <v/>
      </c>
      <c r="U1473" s="6" t="str">
        <f>IF($K1473="","",IF(ISNUMBER(SEARCH("sortie-epargne",IFERROR(INDEX('Paramètres'!$N:$N,MATCH($D1473,'Paramètres'!$M:$M,0))&amp;"",""))),$K1473,0))</f>
        <v/>
      </c>
      <c r="V1473" s="6" t="str">
        <f>IF(AND($A1473&lt;&gt;"",$O1473=1,$L1473="Débit",N($Q1473)&gt;0,$A1473&gt;=Visualisation!$B$1,$A1473&lt;Visualisation!$D$1),MAX($V$1:V1472)+1,"")</f>
        <v/>
      </c>
    </row>
    <row r="1474" spans="1:22" x14ac:dyDescent="0.25">
      <c r="A1474" s="9"/>
      <c r="E1474" s="10"/>
      <c r="K1474" s="11" t="str">
        <f>IF($E1474="","",ROUND($E1474*IF(ISNA(MATCH($C1474,'Paramètres'!$D:$D,0)),1,IF(INDEX('Paramètres'!$J:$J,MATCH($C1474,'Paramètres'!$D:$D,0))="",1,INDEX('Paramètres'!$J:$J,MATCH($C1474,'Paramètres'!$D:$D,0)))),2))</f>
        <v/>
      </c>
      <c r="L1474" s="6" t="str">
        <f>IF($D1474="","",IF($F1474&lt;&gt;"",$F1474,IF(ISNA(MATCH($D1474,'Paramètres'!$M:$M,0)),"⚠ Type inconnu",IFERROR(INDEX('Paramètres'!$P:$P,MATCH($D1474,'Paramètres'!$M:$M,0))&amp;"",""))))</f>
        <v/>
      </c>
      <c r="M1474" s="6" t="str">
        <f>IF($D1474="","",IF(ISNA(MATCH($D1474,'Paramètres'!$M:$M,0)),"⚠ Type inconnu",IF($L1474="Crédit","",IFERROR(INDEX('Paramètres'!$O:$O,MATCH($D1474,'Paramètres'!$M:$M,0))&amp;"",""))))</f>
        <v/>
      </c>
      <c r="N1474" s="6" t="str">
        <f>IF($D1474="","",IFERROR(INDEX('Paramètres'!$Q:$Q,MATCH($D1474,'Paramètres'!$M:$M,0))&amp;"",""))</f>
        <v/>
      </c>
      <c r="O1474" s="6" t="str">
        <f>IF($A1474="","",IF(OR($J1474&lt;&gt;"x",$A1474&lt;=FinReleve),1,0))</f>
        <v/>
      </c>
      <c r="P1474" s="6" t="str">
        <f>IF($D1474="","",IF(AND($L1474="Crédit",OR(IFERROR(INDEX('Paramètres'!$O:$O,MATCH($D1474,'Paramètres'!$M:$M,0))&amp;"","")&lt;&gt;"",ISNUMBER(SEARCH("remboursement",IFERROR(INDEX('Paramètres'!$N:$N,MATCH($D1474,'Paramètres'!$M:$M,0))&amp;"",""))))),1,0))</f>
        <v/>
      </c>
      <c r="Q1474" s="6" t="str">
        <f>IF($K1474="","",IF(ISNUMBER(SEARCH("transfert-interne",IFERROR(INDEX('Paramètres'!$N:$N,MATCH($D1474,'Paramètres'!$M:$M,0))&amp;"",""))),0,IF($L1474="Débit",$K1474,IF($P1474=1,-$K1474,0))))</f>
        <v/>
      </c>
      <c r="R1474" s="6" t="str">
        <f>IF($K1474="","",IF($L1474="Crédit",$K1474,-$K1474))</f>
        <v/>
      </c>
      <c r="S1474" s="6" t="str">
        <f>IF($C1474="","",IFERROR(INDEX('Paramètres'!$H:$H,MATCH($C1474,'Paramètres'!$D:$D,0))&amp;"",""))</f>
        <v/>
      </c>
      <c r="T1474" s="6" t="str">
        <f>IF($K1474="","",IF($S1474="",0,IF(ISNUMBER(SEARCH("apport-exterieur",IFERROR(INDEX('Paramètres'!$N:$N,MATCH($D1474,'Paramètres'!$M:$M,0))&amp;"",""))),0,IF(OR(IFERROR(INDEX('Paramètres'!$I:$I,MATCH($C1474,'Paramètres'!$D:$D,0))&amp;"","")="Les deux",IFERROR(INDEX('Paramètres'!$I:$I,MATCH($C1474,'Paramètres'!$D:$D,0))&amp;"","")=IF($P1474=1,"Débit",$L1474)),-IF($P1474=1,-$K1474,$K1474),0))))</f>
        <v/>
      </c>
      <c r="U1474" s="6" t="str">
        <f>IF($K1474="","",IF(ISNUMBER(SEARCH("sortie-epargne",IFERROR(INDEX('Paramètres'!$N:$N,MATCH($D1474,'Paramètres'!$M:$M,0))&amp;"",""))),$K1474,0))</f>
        <v/>
      </c>
      <c r="V1474" s="6" t="str">
        <f>IF(AND($A1474&lt;&gt;"",$O1474=1,$L1474="Débit",N($Q1474)&gt;0,$A1474&gt;=Visualisation!$B$1,$A1474&lt;Visualisation!$D$1),MAX($V$1:V1473)+1,"")</f>
        <v/>
      </c>
    </row>
    <row r="1475" spans="1:22" x14ac:dyDescent="0.25">
      <c r="A1475" s="9"/>
      <c r="E1475" s="10"/>
      <c r="K1475" s="11" t="str">
        <f>IF($E1475="","",ROUND($E1475*IF(ISNA(MATCH($C1475,'Paramètres'!$D:$D,0)),1,IF(INDEX('Paramètres'!$J:$J,MATCH($C1475,'Paramètres'!$D:$D,0))="",1,INDEX('Paramètres'!$J:$J,MATCH($C1475,'Paramètres'!$D:$D,0)))),2))</f>
        <v/>
      </c>
      <c r="L1475" s="6" t="str">
        <f>IF($D1475="","",IF($F1475&lt;&gt;"",$F1475,IF(ISNA(MATCH($D1475,'Paramètres'!$M:$M,0)),"⚠ Type inconnu",IFERROR(INDEX('Paramètres'!$P:$P,MATCH($D1475,'Paramètres'!$M:$M,0))&amp;"",""))))</f>
        <v/>
      </c>
      <c r="M1475" s="6" t="str">
        <f>IF($D1475="","",IF(ISNA(MATCH($D1475,'Paramètres'!$M:$M,0)),"⚠ Type inconnu",IF($L1475="Crédit","",IFERROR(INDEX('Paramètres'!$O:$O,MATCH($D1475,'Paramètres'!$M:$M,0))&amp;"",""))))</f>
        <v/>
      </c>
      <c r="N1475" s="6" t="str">
        <f>IF($D1475="","",IFERROR(INDEX('Paramètres'!$Q:$Q,MATCH($D1475,'Paramètres'!$M:$M,0))&amp;"",""))</f>
        <v/>
      </c>
      <c r="O1475" s="6" t="str">
        <f>IF($A1475="","",IF(OR($J1475&lt;&gt;"x",$A1475&lt;=FinReleve),1,0))</f>
        <v/>
      </c>
      <c r="P1475" s="6" t="str">
        <f>IF($D1475="","",IF(AND($L1475="Crédit",OR(IFERROR(INDEX('Paramètres'!$O:$O,MATCH($D1475,'Paramètres'!$M:$M,0))&amp;"","")&lt;&gt;"",ISNUMBER(SEARCH("remboursement",IFERROR(INDEX('Paramètres'!$N:$N,MATCH($D1475,'Paramètres'!$M:$M,0))&amp;"",""))))),1,0))</f>
        <v/>
      </c>
      <c r="Q1475" s="6" t="str">
        <f>IF($K1475="","",IF(ISNUMBER(SEARCH("transfert-interne",IFERROR(INDEX('Paramètres'!$N:$N,MATCH($D1475,'Paramètres'!$M:$M,0))&amp;"",""))),0,IF($L1475="Débit",$K1475,IF($P1475=1,-$K1475,0))))</f>
        <v/>
      </c>
      <c r="R1475" s="6" t="str">
        <f>IF($K1475="","",IF($L1475="Crédit",$K1475,-$K1475))</f>
        <v/>
      </c>
      <c r="S1475" s="6" t="str">
        <f>IF($C1475="","",IFERROR(INDEX('Paramètres'!$H:$H,MATCH($C1475,'Paramètres'!$D:$D,0))&amp;"",""))</f>
        <v/>
      </c>
      <c r="T1475" s="6" t="str">
        <f>IF($K1475="","",IF($S1475="",0,IF(ISNUMBER(SEARCH("apport-exterieur",IFERROR(INDEX('Paramètres'!$N:$N,MATCH($D1475,'Paramètres'!$M:$M,0))&amp;"",""))),0,IF(OR(IFERROR(INDEX('Paramètres'!$I:$I,MATCH($C1475,'Paramètres'!$D:$D,0))&amp;"","")="Les deux",IFERROR(INDEX('Paramètres'!$I:$I,MATCH($C1475,'Paramètres'!$D:$D,0))&amp;"","")=IF($P1475=1,"Débit",$L1475)),-IF($P1475=1,-$K1475,$K1475),0))))</f>
        <v/>
      </c>
      <c r="U1475" s="6" t="str">
        <f>IF($K1475="","",IF(ISNUMBER(SEARCH("sortie-epargne",IFERROR(INDEX('Paramètres'!$N:$N,MATCH($D1475,'Paramètres'!$M:$M,0))&amp;"",""))),$K1475,0))</f>
        <v/>
      </c>
      <c r="V1475" s="6" t="str">
        <f>IF(AND($A1475&lt;&gt;"",$O1475=1,$L1475="Débit",N($Q1475)&gt;0,$A1475&gt;=Visualisation!$B$1,$A1475&lt;Visualisation!$D$1),MAX($V$1:V1474)+1,"")</f>
        <v/>
      </c>
    </row>
    <row r="1476" spans="1:22" x14ac:dyDescent="0.25">
      <c r="A1476" s="9"/>
      <c r="E1476" s="10"/>
      <c r="K1476" s="11" t="str">
        <f>IF($E1476="","",ROUND($E1476*IF(ISNA(MATCH($C1476,'Paramètres'!$D:$D,0)),1,IF(INDEX('Paramètres'!$J:$J,MATCH($C1476,'Paramètres'!$D:$D,0))="",1,INDEX('Paramètres'!$J:$J,MATCH($C1476,'Paramètres'!$D:$D,0)))),2))</f>
        <v/>
      </c>
      <c r="L1476" s="6" t="str">
        <f>IF($D1476="","",IF($F1476&lt;&gt;"",$F1476,IF(ISNA(MATCH($D1476,'Paramètres'!$M:$M,0)),"⚠ Type inconnu",IFERROR(INDEX('Paramètres'!$P:$P,MATCH($D1476,'Paramètres'!$M:$M,0))&amp;"",""))))</f>
        <v/>
      </c>
      <c r="M1476" s="6" t="str">
        <f>IF($D1476="","",IF(ISNA(MATCH($D1476,'Paramètres'!$M:$M,0)),"⚠ Type inconnu",IF($L1476="Crédit","",IFERROR(INDEX('Paramètres'!$O:$O,MATCH($D1476,'Paramètres'!$M:$M,0))&amp;"",""))))</f>
        <v/>
      </c>
      <c r="N1476" s="6" t="str">
        <f>IF($D1476="","",IFERROR(INDEX('Paramètres'!$Q:$Q,MATCH($D1476,'Paramètres'!$M:$M,0))&amp;"",""))</f>
        <v/>
      </c>
      <c r="O1476" s="6" t="str">
        <f>IF($A1476="","",IF(OR($J1476&lt;&gt;"x",$A1476&lt;=FinReleve),1,0))</f>
        <v/>
      </c>
      <c r="P1476" s="6" t="str">
        <f>IF($D1476="","",IF(AND($L1476="Crédit",OR(IFERROR(INDEX('Paramètres'!$O:$O,MATCH($D1476,'Paramètres'!$M:$M,0))&amp;"","")&lt;&gt;"",ISNUMBER(SEARCH("remboursement",IFERROR(INDEX('Paramètres'!$N:$N,MATCH($D1476,'Paramètres'!$M:$M,0))&amp;"",""))))),1,0))</f>
        <v/>
      </c>
      <c r="Q1476" s="6" t="str">
        <f>IF($K1476="","",IF(ISNUMBER(SEARCH("transfert-interne",IFERROR(INDEX('Paramètres'!$N:$N,MATCH($D1476,'Paramètres'!$M:$M,0))&amp;"",""))),0,IF($L1476="Débit",$K1476,IF($P1476=1,-$K1476,0))))</f>
        <v/>
      </c>
      <c r="R1476" s="6" t="str">
        <f>IF($K1476="","",IF($L1476="Crédit",$K1476,-$K1476))</f>
        <v/>
      </c>
      <c r="S1476" s="6" t="str">
        <f>IF($C1476="","",IFERROR(INDEX('Paramètres'!$H:$H,MATCH($C1476,'Paramètres'!$D:$D,0))&amp;"",""))</f>
        <v/>
      </c>
      <c r="T1476" s="6" t="str">
        <f>IF($K1476="","",IF($S1476="",0,IF(ISNUMBER(SEARCH("apport-exterieur",IFERROR(INDEX('Paramètres'!$N:$N,MATCH($D1476,'Paramètres'!$M:$M,0))&amp;"",""))),0,IF(OR(IFERROR(INDEX('Paramètres'!$I:$I,MATCH($C1476,'Paramètres'!$D:$D,0))&amp;"","")="Les deux",IFERROR(INDEX('Paramètres'!$I:$I,MATCH($C1476,'Paramètres'!$D:$D,0))&amp;"","")=IF($P1476=1,"Débit",$L1476)),-IF($P1476=1,-$K1476,$K1476),0))))</f>
        <v/>
      </c>
      <c r="U1476" s="6" t="str">
        <f>IF($K1476="","",IF(ISNUMBER(SEARCH("sortie-epargne",IFERROR(INDEX('Paramètres'!$N:$N,MATCH($D1476,'Paramètres'!$M:$M,0))&amp;"",""))),$K1476,0))</f>
        <v/>
      </c>
      <c r="V1476" s="6" t="str">
        <f>IF(AND($A1476&lt;&gt;"",$O1476=1,$L1476="Débit",N($Q1476)&gt;0,$A1476&gt;=Visualisation!$B$1,$A1476&lt;Visualisation!$D$1),MAX($V$1:V1475)+1,"")</f>
        <v/>
      </c>
    </row>
    <row r="1477" spans="1:22" x14ac:dyDescent="0.25">
      <c r="A1477" s="9"/>
      <c r="E1477" s="10"/>
      <c r="K1477" s="11" t="str">
        <f>IF($E1477="","",ROUND($E1477*IF(ISNA(MATCH($C1477,'Paramètres'!$D:$D,0)),1,IF(INDEX('Paramètres'!$J:$J,MATCH($C1477,'Paramètres'!$D:$D,0))="",1,INDEX('Paramètres'!$J:$J,MATCH($C1477,'Paramètres'!$D:$D,0)))),2))</f>
        <v/>
      </c>
      <c r="L1477" s="6" t="str">
        <f>IF($D1477="","",IF($F1477&lt;&gt;"",$F1477,IF(ISNA(MATCH($D1477,'Paramètres'!$M:$M,0)),"⚠ Type inconnu",IFERROR(INDEX('Paramètres'!$P:$P,MATCH($D1477,'Paramètres'!$M:$M,0))&amp;"",""))))</f>
        <v/>
      </c>
      <c r="M1477" s="6" t="str">
        <f>IF($D1477="","",IF(ISNA(MATCH($D1477,'Paramètres'!$M:$M,0)),"⚠ Type inconnu",IF($L1477="Crédit","",IFERROR(INDEX('Paramètres'!$O:$O,MATCH($D1477,'Paramètres'!$M:$M,0))&amp;"",""))))</f>
        <v/>
      </c>
      <c r="N1477" s="6" t="str">
        <f>IF($D1477="","",IFERROR(INDEX('Paramètres'!$Q:$Q,MATCH($D1477,'Paramètres'!$M:$M,0))&amp;"",""))</f>
        <v/>
      </c>
      <c r="O1477" s="6" t="str">
        <f>IF($A1477="","",IF(OR($J1477&lt;&gt;"x",$A1477&lt;=FinReleve),1,0))</f>
        <v/>
      </c>
      <c r="P1477" s="6" t="str">
        <f>IF($D1477="","",IF(AND($L1477="Crédit",OR(IFERROR(INDEX('Paramètres'!$O:$O,MATCH($D1477,'Paramètres'!$M:$M,0))&amp;"","")&lt;&gt;"",ISNUMBER(SEARCH("remboursement",IFERROR(INDEX('Paramètres'!$N:$N,MATCH($D1477,'Paramètres'!$M:$M,0))&amp;"",""))))),1,0))</f>
        <v/>
      </c>
      <c r="Q1477" s="6" t="str">
        <f>IF($K1477="","",IF(ISNUMBER(SEARCH("transfert-interne",IFERROR(INDEX('Paramètres'!$N:$N,MATCH($D1477,'Paramètres'!$M:$M,0))&amp;"",""))),0,IF($L1477="Débit",$K1477,IF($P1477=1,-$K1477,0))))</f>
        <v/>
      </c>
      <c r="R1477" s="6" t="str">
        <f>IF($K1477="","",IF($L1477="Crédit",$K1477,-$K1477))</f>
        <v/>
      </c>
      <c r="S1477" s="6" t="str">
        <f>IF($C1477="","",IFERROR(INDEX('Paramètres'!$H:$H,MATCH($C1477,'Paramètres'!$D:$D,0))&amp;"",""))</f>
        <v/>
      </c>
      <c r="T1477" s="6" t="str">
        <f>IF($K1477="","",IF($S1477="",0,IF(ISNUMBER(SEARCH("apport-exterieur",IFERROR(INDEX('Paramètres'!$N:$N,MATCH($D1477,'Paramètres'!$M:$M,0))&amp;"",""))),0,IF(OR(IFERROR(INDEX('Paramètres'!$I:$I,MATCH($C1477,'Paramètres'!$D:$D,0))&amp;"","")="Les deux",IFERROR(INDEX('Paramètres'!$I:$I,MATCH($C1477,'Paramètres'!$D:$D,0))&amp;"","")=IF($P1477=1,"Débit",$L1477)),-IF($P1477=1,-$K1477,$K1477),0))))</f>
        <v/>
      </c>
      <c r="U1477" s="6" t="str">
        <f>IF($K1477="","",IF(ISNUMBER(SEARCH("sortie-epargne",IFERROR(INDEX('Paramètres'!$N:$N,MATCH($D1477,'Paramètres'!$M:$M,0))&amp;"",""))),$K1477,0))</f>
        <v/>
      </c>
      <c r="V1477" s="6" t="str">
        <f>IF(AND($A1477&lt;&gt;"",$O1477=1,$L1477="Débit",N($Q1477)&gt;0,$A1477&gt;=Visualisation!$B$1,$A1477&lt;Visualisation!$D$1),MAX($V$1:V1476)+1,"")</f>
        <v/>
      </c>
    </row>
    <row r="1478" spans="1:22" x14ac:dyDescent="0.25">
      <c r="A1478" s="9"/>
      <c r="E1478" s="10"/>
      <c r="K1478" s="11" t="str">
        <f>IF($E1478="","",ROUND($E1478*IF(ISNA(MATCH($C1478,'Paramètres'!$D:$D,0)),1,IF(INDEX('Paramètres'!$J:$J,MATCH($C1478,'Paramètres'!$D:$D,0))="",1,INDEX('Paramètres'!$J:$J,MATCH($C1478,'Paramètres'!$D:$D,0)))),2))</f>
        <v/>
      </c>
      <c r="L1478" s="6" t="str">
        <f>IF($D1478="","",IF($F1478&lt;&gt;"",$F1478,IF(ISNA(MATCH($D1478,'Paramètres'!$M:$M,0)),"⚠ Type inconnu",IFERROR(INDEX('Paramètres'!$P:$P,MATCH($D1478,'Paramètres'!$M:$M,0))&amp;"",""))))</f>
        <v/>
      </c>
      <c r="M1478" s="6" t="str">
        <f>IF($D1478="","",IF(ISNA(MATCH($D1478,'Paramètres'!$M:$M,0)),"⚠ Type inconnu",IF($L1478="Crédit","",IFERROR(INDEX('Paramètres'!$O:$O,MATCH($D1478,'Paramètres'!$M:$M,0))&amp;"",""))))</f>
        <v/>
      </c>
      <c r="N1478" s="6" t="str">
        <f>IF($D1478="","",IFERROR(INDEX('Paramètres'!$Q:$Q,MATCH($D1478,'Paramètres'!$M:$M,0))&amp;"",""))</f>
        <v/>
      </c>
      <c r="O1478" s="6" t="str">
        <f>IF($A1478="","",IF(OR($J1478&lt;&gt;"x",$A1478&lt;=FinReleve),1,0))</f>
        <v/>
      </c>
      <c r="P1478" s="6" t="str">
        <f>IF($D1478="","",IF(AND($L1478="Crédit",OR(IFERROR(INDEX('Paramètres'!$O:$O,MATCH($D1478,'Paramètres'!$M:$M,0))&amp;"","")&lt;&gt;"",ISNUMBER(SEARCH("remboursement",IFERROR(INDEX('Paramètres'!$N:$N,MATCH($D1478,'Paramètres'!$M:$M,0))&amp;"",""))))),1,0))</f>
        <v/>
      </c>
      <c r="Q1478" s="6" t="str">
        <f>IF($K1478="","",IF(ISNUMBER(SEARCH("transfert-interne",IFERROR(INDEX('Paramètres'!$N:$N,MATCH($D1478,'Paramètres'!$M:$M,0))&amp;"",""))),0,IF($L1478="Débit",$K1478,IF($P1478=1,-$K1478,0))))</f>
        <v/>
      </c>
      <c r="R1478" s="6" t="str">
        <f>IF($K1478="","",IF($L1478="Crédit",$K1478,-$K1478))</f>
        <v/>
      </c>
      <c r="S1478" s="6" t="str">
        <f>IF($C1478="","",IFERROR(INDEX('Paramètres'!$H:$H,MATCH($C1478,'Paramètres'!$D:$D,0))&amp;"",""))</f>
        <v/>
      </c>
      <c r="T1478" s="6" t="str">
        <f>IF($K1478="","",IF($S1478="",0,IF(ISNUMBER(SEARCH("apport-exterieur",IFERROR(INDEX('Paramètres'!$N:$N,MATCH($D1478,'Paramètres'!$M:$M,0))&amp;"",""))),0,IF(OR(IFERROR(INDEX('Paramètres'!$I:$I,MATCH($C1478,'Paramètres'!$D:$D,0))&amp;"","")="Les deux",IFERROR(INDEX('Paramètres'!$I:$I,MATCH($C1478,'Paramètres'!$D:$D,0))&amp;"","")=IF($P1478=1,"Débit",$L1478)),-IF($P1478=1,-$K1478,$K1478),0))))</f>
        <v/>
      </c>
      <c r="U1478" s="6" t="str">
        <f>IF($K1478="","",IF(ISNUMBER(SEARCH("sortie-epargne",IFERROR(INDEX('Paramètres'!$N:$N,MATCH($D1478,'Paramètres'!$M:$M,0))&amp;"",""))),$K1478,0))</f>
        <v/>
      </c>
      <c r="V1478" s="6" t="str">
        <f>IF(AND($A1478&lt;&gt;"",$O1478=1,$L1478="Débit",N($Q1478)&gt;0,$A1478&gt;=Visualisation!$B$1,$A1478&lt;Visualisation!$D$1),MAX($V$1:V1477)+1,"")</f>
        <v/>
      </c>
    </row>
    <row r="1479" spans="1:22" x14ac:dyDescent="0.25">
      <c r="A1479" s="9"/>
      <c r="E1479" s="10"/>
      <c r="K1479" s="11" t="str">
        <f>IF($E1479="","",ROUND($E1479*IF(ISNA(MATCH($C1479,'Paramètres'!$D:$D,0)),1,IF(INDEX('Paramètres'!$J:$J,MATCH($C1479,'Paramètres'!$D:$D,0))="",1,INDEX('Paramètres'!$J:$J,MATCH($C1479,'Paramètres'!$D:$D,0)))),2))</f>
        <v/>
      </c>
      <c r="L1479" s="6" t="str">
        <f>IF($D1479="","",IF($F1479&lt;&gt;"",$F1479,IF(ISNA(MATCH($D1479,'Paramètres'!$M:$M,0)),"⚠ Type inconnu",IFERROR(INDEX('Paramètres'!$P:$P,MATCH($D1479,'Paramètres'!$M:$M,0))&amp;"",""))))</f>
        <v/>
      </c>
      <c r="M1479" s="6" t="str">
        <f>IF($D1479="","",IF(ISNA(MATCH($D1479,'Paramètres'!$M:$M,0)),"⚠ Type inconnu",IF($L1479="Crédit","",IFERROR(INDEX('Paramètres'!$O:$O,MATCH($D1479,'Paramètres'!$M:$M,0))&amp;"",""))))</f>
        <v/>
      </c>
      <c r="N1479" s="6" t="str">
        <f>IF($D1479="","",IFERROR(INDEX('Paramètres'!$Q:$Q,MATCH($D1479,'Paramètres'!$M:$M,0))&amp;"",""))</f>
        <v/>
      </c>
      <c r="O1479" s="6" t="str">
        <f>IF($A1479="","",IF(OR($J1479&lt;&gt;"x",$A1479&lt;=FinReleve),1,0))</f>
        <v/>
      </c>
      <c r="P1479" s="6" t="str">
        <f>IF($D1479="","",IF(AND($L1479="Crédit",OR(IFERROR(INDEX('Paramètres'!$O:$O,MATCH($D1479,'Paramètres'!$M:$M,0))&amp;"","")&lt;&gt;"",ISNUMBER(SEARCH("remboursement",IFERROR(INDEX('Paramètres'!$N:$N,MATCH($D1479,'Paramètres'!$M:$M,0))&amp;"",""))))),1,0))</f>
        <v/>
      </c>
      <c r="Q1479" s="6" t="str">
        <f>IF($K1479="","",IF(ISNUMBER(SEARCH("transfert-interne",IFERROR(INDEX('Paramètres'!$N:$N,MATCH($D1479,'Paramètres'!$M:$M,0))&amp;"",""))),0,IF($L1479="Débit",$K1479,IF($P1479=1,-$K1479,0))))</f>
        <v/>
      </c>
      <c r="R1479" s="6" t="str">
        <f>IF($K1479="","",IF($L1479="Crédit",$K1479,-$K1479))</f>
        <v/>
      </c>
      <c r="S1479" s="6" t="str">
        <f>IF($C1479="","",IFERROR(INDEX('Paramètres'!$H:$H,MATCH($C1479,'Paramètres'!$D:$D,0))&amp;"",""))</f>
        <v/>
      </c>
      <c r="T1479" s="6" t="str">
        <f>IF($K1479="","",IF($S1479="",0,IF(ISNUMBER(SEARCH("apport-exterieur",IFERROR(INDEX('Paramètres'!$N:$N,MATCH($D1479,'Paramètres'!$M:$M,0))&amp;"",""))),0,IF(OR(IFERROR(INDEX('Paramètres'!$I:$I,MATCH($C1479,'Paramètres'!$D:$D,0))&amp;"","")="Les deux",IFERROR(INDEX('Paramètres'!$I:$I,MATCH($C1479,'Paramètres'!$D:$D,0))&amp;"","")=IF($P1479=1,"Débit",$L1479)),-IF($P1479=1,-$K1479,$K1479),0))))</f>
        <v/>
      </c>
      <c r="U1479" s="6" t="str">
        <f>IF($K1479="","",IF(ISNUMBER(SEARCH("sortie-epargne",IFERROR(INDEX('Paramètres'!$N:$N,MATCH($D1479,'Paramètres'!$M:$M,0))&amp;"",""))),$K1479,0))</f>
        <v/>
      </c>
      <c r="V1479" s="6" t="str">
        <f>IF(AND($A1479&lt;&gt;"",$O1479=1,$L1479="Débit",N($Q1479)&gt;0,$A1479&gt;=Visualisation!$B$1,$A1479&lt;Visualisation!$D$1),MAX($V$1:V1478)+1,"")</f>
        <v/>
      </c>
    </row>
    <row r="1480" spans="1:22" x14ac:dyDescent="0.25">
      <c r="A1480" s="9"/>
      <c r="E1480" s="10"/>
      <c r="K1480" s="11" t="str">
        <f>IF($E1480="","",ROUND($E1480*IF(ISNA(MATCH($C1480,'Paramètres'!$D:$D,0)),1,IF(INDEX('Paramètres'!$J:$J,MATCH($C1480,'Paramètres'!$D:$D,0))="",1,INDEX('Paramètres'!$J:$J,MATCH($C1480,'Paramètres'!$D:$D,0)))),2))</f>
        <v/>
      </c>
      <c r="L1480" s="6" t="str">
        <f>IF($D1480="","",IF($F1480&lt;&gt;"",$F1480,IF(ISNA(MATCH($D1480,'Paramètres'!$M:$M,0)),"⚠ Type inconnu",IFERROR(INDEX('Paramètres'!$P:$P,MATCH($D1480,'Paramètres'!$M:$M,0))&amp;"",""))))</f>
        <v/>
      </c>
      <c r="M1480" s="6" t="str">
        <f>IF($D1480="","",IF(ISNA(MATCH($D1480,'Paramètres'!$M:$M,0)),"⚠ Type inconnu",IF($L1480="Crédit","",IFERROR(INDEX('Paramètres'!$O:$O,MATCH($D1480,'Paramètres'!$M:$M,0))&amp;"",""))))</f>
        <v/>
      </c>
      <c r="N1480" s="6" t="str">
        <f>IF($D1480="","",IFERROR(INDEX('Paramètres'!$Q:$Q,MATCH($D1480,'Paramètres'!$M:$M,0))&amp;"",""))</f>
        <v/>
      </c>
      <c r="O1480" s="6" t="str">
        <f>IF($A1480="","",IF(OR($J1480&lt;&gt;"x",$A1480&lt;=FinReleve),1,0))</f>
        <v/>
      </c>
      <c r="P1480" s="6" t="str">
        <f>IF($D1480="","",IF(AND($L1480="Crédit",OR(IFERROR(INDEX('Paramètres'!$O:$O,MATCH($D1480,'Paramètres'!$M:$M,0))&amp;"","")&lt;&gt;"",ISNUMBER(SEARCH("remboursement",IFERROR(INDEX('Paramètres'!$N:$N,MATCH($D1480,'Paramètres'!$M:$M,0))&amp;"",""))))),1,0))</f>
        <v/>
      </c>
      <c r="Q1480" s="6" t="str">
        <f>IF($K1480="","",IF(ISNUMBER(SEARCH("transfert-interne",IFERROR(INDEX('Paramètres'!$N:$N,MATCH($D1480,'Paramètres'!$M:$M,0))&amp;"",""))),0,IF($L1480="Débit",$K1480,IF($P1480=1,-$K1480,0))))</f>
        <v/>
      </c>
      <c r="R1480" s="6" t="str">
        <f>IF($K1480="","",IF($L1480="Crédit",$K1480,-$K1480))</f>
        <v/>
      </c>
      <c r="S1480" s="6" t="str">
        <f>IF($C1480="","",IFERROR(INDEX('Paramètres'!$H:$H,MATCH($C1480,'Paramètres'!$D:$D,0))&amp;"",""))</f>
        <v/>
      </c>
      <c r="T1480" s="6" t="str">
        <f>IF($K1480="","",IF($S1480="",0,IF(ISNUMBER(SEARCH("apport-exterieur",IFERROR(INDEX('Paramètres'!$N:$N,MATCH($D1480,'Paramètres'!$M:$M,0))&amp;"",""))),0,IF(OR(IFERROR(INDEX('Paramètres'!$I:$I,MATCH($C1480,'Paramètres'!$D:$D,0))&amp;"","")="Les deux",IFERROR(INDEX('Paramètres'!$I:$I,MATCH($C1480,'Paramètres'!$D:$D,0))&amp;"","")=IF($P1480=1,"Débit",$L1480)),-IF($P1480=1,-$K1480,$K1480),0))))</f>
        <v/>
      </c>
      <c r="U1480" s="6" t="str">
        <f>IF($K1480="","",IF(ISNUMBER(SEARCH("sortie-epargne",IFERROR(INDEX('Paramètres'!$N:$N,MATCH($D1480,'Paramètres'!$M:$M,0))&amp;"",""))),$K1480,0))</f>
        <v/>
      </c>
      <c r="V1480" s="6" t="str">
        <f>IF(AND($A1480&lt;&gt;"",$O1480=1,$L1480="Débit",N($Q1480)&gt;0,$A1480&gt;=Visualisation!$B$1,$A1480&lt;Visualisation!$D$1),MAX($V$1:V1479)+1,"")</f>
        <v/>
      </c>
    </row>
    <row r="1481" spans="1:22" x14ac:dyDescent="0.25">
      <c r="A1481" s="9"/>
      <c r="E1481" s="10"/>
      <c r="K1481" s="11" t="str">
        <f>IF($E1481="","",ROUND($E1481*IF(ISNA(MATCH($C1481,'Paramètres'!$D:$D,0)),1,IF(INDEX('Paramètres'!$J:$J,MATCH($C1481,'Paramètres'!$D:$D,0))="",1,INDEX('Paramètres'!$J:$J,MATCH($C1481,'Paramètres'!$D:$D,0)))),2))</f>
        <v/>
      </c>
      <c r="L1481" s="6" t="str">
        <f>IF($D1481="","",IF($F1481&lt;&gt;"",$F1481,IF(ISNA(MATCH($D1481,'Paramètres'!$M:$M,0)),"⚠ Type inconnu",IFERROR(INDEX('Paramètres'!$P:$P,MATCH($D1481,'Paramètres'!$M:$M,0))&amp;"",""))))</f>
        <v/>
      </c>
      <c r="M1481" s="6" t="str">
        <f>IF($D1481="","",IF(ISNA(MATCH($D1481,'Paramètres'!$M:$M,0)),"⚠ Type inconnu",IF($L1481="Crédit","",IFERROR(INDEX('Paramètres'!$O:$O,MATCH($D1481,'Paramètres'!$M:$M,0))&amp;"",""))))</f>
        <v/>
      </c>
      <c r="N1481" s="6" t="str">
        <f>IF($D1481="","",IFERROR(INDEX('Paramètres'!$Q:$Q,MATCH($D1481,'Paramètres'!$M:$M,0))&amp;"",""))</f>
        <v/>
      </c>
      <c r="O1481" s="6" t="str">
        <f>IF($A1481="","",IF(OR($J1481&lt;&gt;"x",$A1481&lt;=FinReleve),1,0))</f>
        <v/>
      </c>
      <c r="P1481" s="6" t="str">
        <f>IF($D1481="","",IF(AND($L1481="Crédit",OR(IFERROR(INDEX('Paramètres'!$O:$O,MATCH($D1481,'Paramètres'!$M:$M,0))&amp;"","")&lt;&gt;"",ISNUMBER(SEARCH("remboursement",IFERROR(INDEX('Paramètres'!$N:$N,MATCH($D1481,'Paramètres'!$M:$M,0))&amp;"",""))))),1,0))</f>
        <v/>
      </c>
      <c r="Q1481" s="6" t="str">
        <f>IF($K1481="","",IF(ISNUMBER(SEARCH("transfert-interne",IFERROR(INDEX('Paramètres'!$N:$N,MATCH($D1481,'Paramètres'!$M:$M,0))&amp;"",""))),0,IF($L1481="Débit",$K1481,IF($P1481=1,-$K1481,0))))</f>
        <v/>
      </c>
      <c r="R1481" s="6" t="str">
        <f>IF($K1481="","",IF($L1481="Crédit",$K1481,-$K1481))</f>
        <v/>
      </c>
      <c r="S1481" s="6" t="str">
        <f>IF($C1481="","",IFERROR(INDEX('Paramètres'!$H:$H,MATCH($C1481,'Paramètres'!$D:$D,0))&amp;"",""))</f>
        <v/>
      </c>
      <c r="T1481" s="6" t="str">
        <f>IF($K1481="","",IF($S1481="",0,IF(ISNUMBER(SEARCH("apport-exterieur",IFERROR(INDEX('Paramètres'!$N:$N,MATCH($D1481,'Paramètres'!$M:$M,0))&amp;"",""))),0,IF(OR(IFERROR(INDEX('Paramètres'!$I:$I,MATCH($C1481,'Paramètres'!$D:$D,0))&amp;"","")="Les deux",IFERROR(INDEX('Paramètres'!$I:$I,MATCH($C1481,'Paramètres'!$D:$D,0))&amp;"","")=IF($P1481=1,"Débit",$L1481)),-IF($P1481=1,-$K1481,$K1481),0))))</f>
        <v/>
      </c>
      <c r="U1481" s="6" t="str">
        <f>IF($K1481="","",IF(ISNUMBER(SEARCH("sortie-epargne",IFERROR(INDEX('Paramètres'!$N:$N,MATCH($D1481,'Paramètres'!$M:$M,0))&amp;"",""))),$K1481,0))</f>
        <v/>
      </c>
      <c r="V1481" s="6" t="str">
        <f>IF(AND($A1481&lt;&gt;"",$O1481=1,$L1481="Débit",N($Q1481)&gt;0,$A1481&gt;=Visualisation!$B$1,$A1481&lt;Visualisation!$D$1),MAX($V$1:V1480)+1,"")</f>
        <v/>
      </c>
    </row>
    <row r="1482" spans="1:22" x14ac:dyDescent="0.25">
      <c r="A1482" s="9"/>
      <c r="E1482" s="10"/>
      <c r="K1482" s="11" t="str">
        <f>IF($E1482="","",ROUND($E1482*IF(ISNA(MATCH($C1482,'Paramètres'!$D:$D,0)),1,IF(INDEX('Paramètres'!$J:$J,MATCH($C1482,'Paramètres'!$D:$D,0))="",1,INDEX('Paramètres'!$J:$J,MATCH($C1482,'Paramètres'!$D:$D,0)))),2))</f>
        <v/>
      </c>
      <c r="L1482" s="6" t="str">
        <f>IF($D1482="","",IF($F1482&lt;&gt;"",$F1482,IF(ISNA(MATCH($D1482,'Paramètres'!$M:$M,0)),"⚠ Type inconnu",IFERROR(INDEX('Paramètres'!$P:$P,MATCH($D1482,'Paramètres'!$M:$M,0))&amp;"",""))))</f>
        <v/>
      </c>
      <c r="M1482" s="6" t="str">
        <f>IF($D1482="","",IF(ISNA(MATCH($D1482,'Paramètres'!$M:$M,0)),"⚠ Type inconnu",IF($L1482="Crédit","",IFERROR(INDEX('Paramètres'!$O:$O,MATCH($D1482,'Paramètres'!$M:$M,0))&amp;"",""))))</f>
        <v/>
      </c>
      <c r="N1482" s="6" t="str">
        <f>IF($D1482="","",IFERROR(INDEX('Paramètres'!$Q:$Q,MATCH($D1482,'Paramètres'!$M:$M,0))&amp;"",""))</f>
        <v/>
      </c>
      <c r="O1482" s="6" t="str">
        <f>IF($A1482="","",IF(OR($J1482&lt;&gt;"x",$A1482&lt;=FinReleve),1,0))</f>
        <v/>
      </c>
      <c r="P1482" s="6" t="str">
        <f>IF($D1482="","",IF(AND($L1482="Crédit",OR(IFERROR(INDEX('Paramètres'!$O:$O,MATCH($D1482,'Paramètres'!$M:$M,0))&amp;"","")&lt;&gt;"",ISNUMBER(SEARCH("remboursement",IFERROR(INDEX('Paramètres'!$N:$N,MATCH($D1482,'Paramètres'!$M:$M,0))&amp;"",""))))),1,0))</f>
        <v/>
      </c>
      <c r="Q1482" s="6" t="str">
        <f>IF($K1482="","",IF(ISNUMBER(SEARCH("transfert-interne",IFERROR(INDEX('Paramètres'!$N:$N,MATCH($D1482,'Paramètres'!$M:$M,0))&amp;"",""))),0,IF($L1482="Débit",$K1482,IF($P1482=1,-$K1482,0))))</f>
        <v/>
      </c>
      <c r="R1482" s="6" t="str">
        <f>IF($K1482="","",IF($L1482="Crédit",$K1482,-$K1482))</f>
        <v/>
      </c>
      <c r="S1482" s="6" t="str">
        <f>IF($C1482="","",IFERROR(INDEX('Paramètres'!$H:$H,MATCH($C1482,'Paramètres'!$D:$D,0))&amp;"",""))</f>
        <v/>
      </c>
      <c r="T1482" s="6" t="str">
        <f>IF($K1482="","",IF($S1482="",0,IF(ISNUMBER(SEARCH("apport-exterieur",IFERROR(INDEX('Paramètres'!$N:$N,MATCH($D1482,'Paramètres'!$M:$M,0))&amp;"",""))),0,IF(OR(IFERROR(INDEX('Paramètres'!$I:$I,MATCH($C1482,'Paramètres'!$D:$D,0))&amp;"","")="Les deux",IFERROR(INDEX('Paramètres'!$I:$I,MATCH($C1482,'Paramètres'!$D:$D,0))&amp;"","")=IF($P1482=1,"Débit",$L1482)),-IF($P1482=1,-$K1482,$K1482),0))))</f>
        <v/>
      </c>
      <c r="U1482" s="6" t="str">
        <f>IF($K1482="","",IF(ISNUMBER(SEARCH("sortie-epargne",IFERROR(INDEX('Paramètres'!$N:$N,MATCH($D1482,'Paramètres'!$M:$M,0))&amp;"",""))),$K1482,0))</f>
        <v/>
      </c>
      <c r="V1482" s="6" t="str">
        <f>IF(AND($A1482&lt;&gt;"",$O1482=1,$L1482="Débit",N($Q1482)&gt;0,$A1482&gt;=Visualisation!$B$1,$A1482&lt;Visualisation!$D$1),MAX($V$1:V1481)+1,"")</f>
        <v/>
      </c>
    </row>
    <row r="1483" spans="1:22" x14ac:dyDescent="0.25">
      <c r="A1483" s="9"/>
      <c r="E1483" s="10"/>
      <c r="K1483" s="11" t="str">
        <f>IF($E1483="","",ROUND($E1483*IF(ISNA(MATCH($C1483,'Paramètres'!$D:$D,0)),1,IF(INDEX('Paramètres'!$J:$J,MATCH($C1483,'Paramètres'!$D:$D,0))="",1,INDEX('Paramètres'!$J:$J,MATCH($C1483,'Paramètres'!$D:$D,0)))),2))</f>
        <v/>
      </c>
      <c r="L1483" s="6" t="str">
        <f>IF($D1483="","",IF($F1483&lt;&gt;"",$F1483,IF(ISNA(MATCH($D1483,'Paramètres'!$M:$M,0)),"⚠ Type inconnu",IFERROR(INDEX('Paramètres'!$P:$P,MATCH($D1483,'Paramètres'!$M:$M,0))&amp;"",""))))</f>
        <v/>
      </c>
      <c r="M1483" s="6" t="str">
        <f>IF($D1483="","",IF(ISNA(MATCH($D1483,'Paramètres'!$M:$M,0)),"⚠ Type inconnu",IF($L1483="Crédit","",IFERROR(INDEX('Paramètres'!$O:$O,MATCH($D1483,'Paramètres'!$M:$M,0))&amp;"",""))))</f>
        <v/>
      </c>
      <c r="N1483" s="6" t="str">
        <f>IF($D1483="","",IFERROR(INDEX('Paramètres'!$Q:$Q,MATCH($D1483,'Paramètres'!$M:$M,0))&amp;"",""))</f>
        <v/>
      </c>
      <c r="O1483" s="6" t="str">
        <f>IF($A1483="","",IF(OR($J1483&lt;&gt;"x",$A1483&lt;=FinReleve),1,0))</f>
        <v/>
      </c>
      <c r="P1483" s="6" t="str">
        <f>IF($D1483="","",IF(AND($L1483="Crédit",OR(IFERROR(INDEX('Paramètres'!$O:$O,MATCH($D1483,'Paramètres'!$M:$M,0))&amp;"","")&lt;&gt;"",ISNUMBER(SEARCH("remboursement",IFERROR(INDEX('Paramètres'!$N:$N,MATCH($D1483,'Paramètres'!$M:$M,0))&amp;"",""))))),1,0))</f>
        <v/>
      </c>
      <c r="Q1483" s="6" t="str">
        <f>IF($K1483="","",IF(ISNUMBER(SEARCH("transfert-interne",IFERROR(INDEX('Paramètres'!$N:$N,MATCH($D1483,'Paramètres'!$M:$M,0))&amp;"",""))),0,IF($L1483="Débit",$K1483,IF($P1483=1,-$K1483,0))))</f>
        <v/>
      </c>
      <c r="R1483" s="6" t="str">
        <f>IF($K1483="","",IF($L1483="Crédit",$K1483,-$K1483))</f>
        <v/>
      </c>
      <c r="S1483" s="6" t="str">
        <f>IF($C1483="","",IFERROR(INDEX('Paramètres'!$H:$H,MATCH($C1483,'Paramètres'!$D:$D,0))&amp;"",""))</f>
        <v/>
      </c>
      <c r="T1483" s="6" t="str">
        <f>IF($K1483="","",IF($S1483="",0,IF(ISNUMBER(SEARCH("apport-exterieur",IFERROR(INDEX('Paramètres'!$N:$N,MATCH($D1483,'Paramètres'!$M:$M,0))&amp;"",""))),0,IF(OR(IFERROR(INDEX('Paramètres'!$I:$I,MATCH($C1483,'Paramètres'!$D:$D,0))&amp;"","")="Les deux",IFERROR(INDEX('Paramètres'!$I:$I,MATCH($C1483,'Paramètres'!$D:$D,0))&amp;"","")=IF($P1483=1,"Débit",$L1483)),-IF($P1483=1,-$K1483,$K1483),0))))</f>
        <v/>
      </c>
      <c r="U1483" s="6" t="str">
        <f>IF($K1483="","",IF(ISNUMBER(SEARCH("sortie-epargne",IFERROR(INDEX('Paramètres'!$N:$N,MATCH($D1483,'Paramètres'!$M:$M,0))&amp;"",""))),$K1483,0))</f>
        <v/>
      </c>
      <c r="V1483" s="6" t="str">
        <f>IF(AND($A1483&lt;&gt;"",$O1483=1,$L1483="Débit",N($Q1483)&gt;0,$A1483&gt;=Visualisation!$B$1,$A1483&lt;Visualisation!$D$1),MAX($V$1:V1482)+1,"")</f>
        <v/>
      </c>
    </row>
    <row r="1484" spans="1:22" x14ac:dyDescent="0.25">
      <c r="A1484" s="9"/>
      <c r="E1484" s="10"/>
      <c r="K1484" s="11" t="str">
        <f>IF($E1484="","",ROUND($E1484*IF(ISNA(MATCH($C1484,'Paramètres'!$D:$D,0)),1,IF(INDEX('Paramètres'!$J:$J,MATCH($C1484,'Paramètres'!$D:$D,0))="",1,INDEX('Paramètres'!$J:$J,MATCH($C1484,'Paramètres'!$D:$D,0)))),2))</f>
        <v/>
      </c>
      <c r="L1484" s="6" t="str">
        <f>IF($D1484="","",IF($F1484&lt;&gt;"",$F1484,IF(ISNA(MATCH($D1484,'Paramètres'!$M:$M,0)),"⚠ Type inconnu",IFERROR(INDEX('Paramètres'!$P:$P,MATCH($D1484,'Paramètres'!$M:$M,0))&amp;"",""))))</f>
        <v/>
      </c>
      <c r="M1484" s="6" t="str">
        <f>IF($D1484="","",IF(ISNA(MATCH($D1484,'Paramètres'!$M:$M,0)),"⚠ Type inconnu",IF($L1484="Crédit","",IFERROR(INDEX('Paramètres'!$O:$O,MATCH($D1484,'Paramètres'!$M:$M,0))&amp;"",""))))</f>
        <v/>
      </c>
      <c r="N1484" s="6" t="str">
        <f>IF($D1484="","",IFERROR(INDEX('Paramètres'!$Q:$Q,MATCH($D1484,'Paramètres'!$M:$M,0))&amp;"",""))</f>
        <v/>
      </c>
      <c r="O1484" s="6" t="str">
        <f>IF($A1484="","",IF(OR($J1484&lt;&gt;"x",$A1484&lt;=FinReleve),1,0))</f>
        <v/>
      </c>
      <c r="P1484" s="6" t="str">
        <f>IF($D1484="","",IF(AND($L1484="Crédit",OR(IFERROR(INDEX('Paramètres'!$O:$O,MATCH($D1484,'Paramètres'!$M:$M,0))&amp;"","")&lt;&gt;"",ISNUMBER(SEARCH("remboursement",IFERROR(INDEX('Paramètres'!$N:$N,MATCH($D1484,'Paramètres'!$M:$M,0))&amp;"",""))))),1,0))</f>
        <v/>
      </c>
      <c r="Q1484" s="6" t="str">
        <f>IF($K1484="","",IF(ISNUMBER(SEARCH("transfert-interne",IFERROR(INDEX('Paramètres'!$N:$N,MATCH($D1484,'Paramètres'!$M:$M,0))&amp;"",""))),0,IF($L1484="Débit",$K1484,IF($P1484=1,-$K1484,0))))</f>
        <v/>
      </c>
      <c r="R1484" s="6" t="str">
        <f>IF($K1484="","",IF($L1484="Crédit",$K1484,-$K1484))</f>
        <v/>
      </c>
      <c r="S1484" s="6" t="str">
        <f>IF($C1484="","",IFERROR(INDEX('Paramètres'!$H:$H,MATCH($C1484,'Paramètres'!$D:$D,0))&amp;"",""))</f>
        <v/>
      </c>
      <c r="T1484" s="6" t="str">
        <f>IF($K1484="","",IF($S1484="",0,IF(ISNUMBER(SEARCH("apport-exterieur",IFERROR(INDEX('Paramètres'!$N:$N,MATCH($D1484,'Paramètres'!$M:$M,0))&amp;"",""))),0,IF(OR(IFERROR(INDEX('Paramètres'!$I:$I,MATCH($C1484,'Paramètres'!$D:$D,0))&amp;"","")="Les deux",IFERROR(INDEX('Paramètres'!$I:$I,MATCH($C1484,'Paramètres'!$D:$D,0))&amp;"","")=IF($P1484=1,"Débit",$L1484)),-IF($P1484=1,-$K1484,$K1484),0))))</f>
        <v/>
      </c>
      <c r="U1484" s="6" t="str">
        <f>IF($K1484="","",IF(ISNUMBER(SEARCH("sortie-epargne",IFERROR(INDEX('Paramètres'!$N:$N,MATCH($D1484,'Paramètres'!$M:$M,0))&amp;"",""))),$K1484,0))</f>
        <v/>
      </c>
      <c r="V1484" s="6" t="str">
        <f>IF(AND($A1484&lt;&gt;"",$O1484=1,$L1484="Débit",N($Q1484)&gt;0,$A1484&gt;=Visualisation!$B$1,$A1484&lt;Visualisation!$D$1),MAX($V$1:V1483)+1,"")</f>
        <v/>
      </c>
    </row>
    <row r="1485" spans="1:22" x14ac:dyDescent="0.25">
      <c r="A1485" s="9"/>
      <c r="E1485" s="10"/>
      <c r="K1485" s="11" t="str">
        <f>IF($E1485="","",ROUND($E1485*IF(ISNA(MATCH($C1485,'Paramètres'!$D:$D,0)),1,IF(INDEX('Paramètres'!$J:$J,MATCH($C1485,'Paramètres'!$D:$D,0))="",1,INDEX('Paramètres'!$J:$J,MATCH($C1485,'Paramètres'!$D:$D,0)))),2))</f>
        <v/>
      </c>
      <c r="L1485" s="6" t="str">
        <f>IF($D1485="","",IF($F1485&lt;&gt;"",$F1485,IF(ISNA(MATCH($D1485,'Paramètres'!$M:$M,0)),"⚠ Type inconnu",IFERROR(INDEX('Paramètres'!$P:$P,MATCH($D1485,'Paramètres'!$M:$M,0))&amp;"",""))))</f>
        <v/>
      </c>
      <c r="M1485" s="6" t="str">
        <f>IF($D1485="","",IF(ISNA(MATCH($D1485,'Paramètres'!$M:$M,0)),"⚠ Type inconnu",IF($L1485="Crédit","",IFERROR(INDEX('Paramètres'!$O:$O,MATCH($D1485,'Paramètres'!$M:$M,0))&amp;"",""))))</f>
        <v/>
      </c>
      <c r="N1485" s="6" t="str">
        <f>IF($D1485="","",IFERROR(INDEX('Paramètres'!$Q:$Q,MATCH($D1485,'Paramètres'!$M:$M,0))&amp;"",""))</f>
        <v/>
      </c>
      <c r="O1485" s="6" t="str">
        <f>IF($A1485="","",IF(OR($J1485&lt;&gt;"x",$A1485&lt;=FinReleve),1,0))</f>
        <v/>
      </c>
      <c r="P1485" s="6" t="str">
        <f>IF($D1485="","",IF(AND($L1485="Crédit",OR(IFERROR(INDEX('Paramètres'!$O:$O,MATCH($D1485,'Paramètres'!$M:$M,0))&amp;"","")&lt;&gt;"",ISNUMBER(SEARCH("remboursement",IFERROR(INDEX('Paramètres'!$N:$N,MATCH($D1485,'Paramètres'!$M:$M,0))&amp;"",""))))),1,0))</f>
        <v/>
      </c>
      <c r="Q1485" s="6" t="str">
        <f>IF($K1485="","",IF(ISNUMBER(SEARCH("transfert-interne",IFERROR(INDEX('Paramètres'!$N:$N,MATCH($D1485,'Paramètres'!$M:$M,0))&amp;"",""))),0,IF($L1485="Débit",$K1485,IF($P1485=1,-$K1485,0))))</f>
        <v/>
      </c>
      <c r="R1485" s="6" t="str">
        <f>IF($K1485="","",IF($L1485="Crédit",$K1485,-$K1485))</f>
        <v/>
      </c>
      <c r="S1485" s="6" t="str">
        <f>IF($C1485="","",IFERROR(INDEX('Paramètres'!$H:$H,MATCH($C1485,'Paramètres'!$D:$D,0))&amp;"",""))</f>
        <v/>
      </c>
      <c r="T1485" s="6" t="str">
        <f>IF($K1485="","",IF($S1485="",0,IF(ISNUMBER(SEARCH("apport-exterieur",IFERROR(INDEX('Paramètres'!$N:$N,MATCH($D1485,'Paramètres'!$M:$M,0))&amp;"",""))),0,IF(OR(IFERROR(INDEX('Paramètres'!$I:$I,MATCH($C1485,'Paramètres'!$D:$D,0))&amp;"","")="Les deux",IFERROR(INDEX('Paramètres'!$I:$I,MATCH($C1485,'Paramètres'!$D:$D,0))&amp;"","")=IF($P1485=1,"Débit",$L1485)),-IF($P1485=1,-$K1485,$K1485),0))))</f>
        <v/>
      </c>
      <c r="U1485" s="6" t="str">
        <f>IF($K1485="","",IF(ISNUMBER(SEARCH("sortie-epargne",IFERROR(INDEX('Paramètres'!$N:$N,MATCH($D1485,'Paramètres'!$M:$M,0))&amp;"",""))),$K1485,0))</f>
        <v/>
      </c>
      <c r="V1485" s="6" t="str">
        <f>IF(AND($A1485&lt;&gt;"",$O1485=1,$L1485="Débit",N($Q1485)&gt;0,$A1485&gt;=Visualisation!$B$1,$A1485&lt;Visualisation!$D$1),MAX($V$1:V1484)+1,"")</f>
        <v/>
      </c>
    </row>
    <row r="1486" spans="1:22" x14ac:dyDescent="0.25">
      <c r="A1486" s="9"/>
      <c r="E1486" s="10"/>
      <c r="K1486" s="11" t="str">
        <f>IF($E1486="","",ROUND($E1486*IF(ISNA(MATCH($C1486,'Paramètres'!$D:$D,0)),1,IF(INDEX('Paramètres'!$J:$J,MATCH($C1486,'Paramètres'!$D:$D,0))="",1,INDEX('Paramètres'!$J:$J,MATCH($C1486,'Paramètres'!$D:$D,0)))),2))</f>
        <v/>
      </c>
      <c r="L1486" s="6" t="str">
        <f>IF($D1486="","",IF($F1486&lt;&gt;"",$F1486,IF(ISNA(MATCH($D1486,'Paramètres'!$M:$M,0)),"⚠ Type inconnu",IFERROR(INDEX('Paramètres'!$P:$P,MATCH($D1486,'Paramètres'!$M:$M,0))&amp;"",""))))</f>
        <v/>
      </c>
      <c r="M1486" s="6" t="str">
        <f>IF($D1486="","",IF(ISNA(MATCH($D1486,'Paramètres'!$M:$M,0)),"⚠ Type inconnu",IF($L1486="Crédit","",IFERROR(INDEX('Paramètres'!$O:$O,MATCH($D1486,'Paramètres'!$M:$M,0))&amp;"",""))))</f>
        <v/>
      </c>
      <c r="N1486" s="6" t="str">
        <f>IF($D1486="","",IFERROR(INDEX('Paramètres'!$Q:$Q,MATCH($D1486,'Paramètres'!$M:$M,0))&amp;"",""))</f>
        <v/>
      </c>
      <c r="O1486" s="6" t="str">
        <f>IF($A1486="","",IF(OR($J1486&lt;&gt;"x",$A1486&lt;=FinReleve),1,0))</f>
        <v/>
      </c>
      <c r="P1486" s="6" t="str">
        <f>IF($D1486="","",IF(AND($L1486="Crédit",OR(IFERROR(INDEX('Paramètres'!$O:$O,MATCH($D1486,'Paramètres'!$M:$M,0))&amp;"","")&lt;&gt;"",ISNUMBER(SEARCH("remboursement",IFERROR(INDEX('Paramètres'!$N:$N,MATCH($D1486,'Paramètres'!$M:$M,0))&amp;"",""))))),1,0))</f>
        <v/>
      </c>
      <c r="Q1486" s="6" t="str">
        <f>IF($K1486="","",IF(ISNUMBER(SEARCH("transfert-interne",IFERROR(INDEX('Paramètres'!$N:$N,MATCH($D1486,'Paramètres'!$M:$M,0))&amp;"",""))),0,IF($L1486="Débit",$K1486,IF($P1486=1,-$K1486,0))))</f>
        <v/>
      </c>
      <c r="R1486" s="6" t="str">
        <f>IF($K1486="","",IF($L1486="Crédit",$K1486,-$K1486))</f>
        <v/>
      </c>
      <c r="S1486" s="6" t="str">
        <f>IF($C1486="","",IFERROR(INDEX('Paramètres'!$H:$H,MATCH($C1486,'Paramètres'!$D:$D,0))&amp;"",""))</f>
        <v/>
      </c>
      <c r="T1486" s="6" t="str">
        <f>IF($K1486="","",IF($S1486="",0,IF(ISNUMBER(SEARCH("apport-exterieur",IFERROR(INDEX('Paramètres'!$N:$N,MATCH($D1486,'Paramètres'!$M:$M,0))&amp;"",""))),0,IF(OR(IFERROR(INDEX('Paramètres'!$I:$I,MATCH($C1486,'Paramètres'!$D:$D,0))&amp;"","")="Les deux",IFERROR(INDEX('Paramètres'!$I:$I,MATCH($C1486,'Paramètres'!$D:$D,0))&amp;"","")=IF($P1486=1,"Débit",$L1486)),-IF($P1486=1,-$K1486,$K1486),0))))</f>
        <v/>
      </c>
      <c r="U1486" s="6" t="str">
        <f>IF($K1486="","",IF(ISNUMBER(SEARCH("sortie-epargne",IFERROR(INDEX('Paramètres'!$N:$N,MATCH($D1486,'Paramètres'!$M:$M,0))&amp;"",""))),$K1486,0))</f>
        <v/>
      </c>
      <c r="V1486" s="6" t="str">
        <f>IF(AND($A1486&lt;&gt;"",$O1486=1,$L1486="Débit",N($Q1486)&gt;0,$A1486&gt;=Visualisation!$B$1,$A1486&lt;Visualisation!$D$1),MAX($V$1:V1485)+1,"")</f>
        <v/>
      </c>
    </row>
    <row r="1487" spans="1:22" x14ac:dyDescent="0.25">
      <c r="A1487" s="9"/>
      <c r="E1487" s="10"/>
      <c r="K1487" s="11" t="str">
        <f>IF($E1487="","",ROUND($E1487*IF(ISNA(MATCH($C1487,'Paramètres'!$D:$D,0)),1,IF(INDEX('Paramètres'!$J:$J,MATCH($C1487,'Paramètres'!$D:$D,0))="",1,INDEX('Paramètres'!$J:$J,MATCH($C1487,'Paramètres'!$D:$D,0)))),2))</f>
        <v/>
      </c>
      <c r="L1487" s="6" t="str">
        <f>IF($D1487="","",IF($F1487&lt;&gt;"",$F1487,IF(ISNA(MATCH($D1487,'Paramètres'!$M:$M,0)),"⚠ Type inconnu",IFERROR(INDEX('Paramètres'!$P:$P,MATCH($D1487,'Paramètres'!$M:$M,0))&amp;"",""))))</f>
        <v/>
      </c>
      <c r="M1487" s="6" t="str">
        <f>IF($D1487="","",IF(ISNA(MATCH($D1487,'Paramètres'!$M:$M,0)),"⚠ Type inconnu",IF($L1487="Crédit","",IFERROR(INDEX('Paramètres'!$O:$O,MATCH($D1487,'Paramètres'!$M:$M,0))&amp;"",""))))</f>
        <v/>
      </c>
      <c r="N1487" s="6" t="str">
        <f>IF($D1487="","",IFERROR(INDEX('Paramètres'!$Q:$Q,MATCH($D1487,'Paramètres'!$M:$M,0))&amp;"",""))</f>
        <v/>
      </c>
      <c r="O1487" s="6" t="str">
        <f>IF($A1487="","",IF(OR($J1487&lt;&gt;"x",$A1487&lt;=FinReleve),1,0))</f>
        <v/>
      </c>
      <c r="P1487" s="6" t="str">
        <f>IF($D1487="","",IF(AND($L1487="Crédit",OR(IFERROR(INDEX('Paramètres'!$O:$O,MATCH($D1487,'Paramètres'!$M:$M,0))&amp;"","")&lt;&gt;"",ISNUMBER(SEARCH("remboursement",IFERROR(INDEX('Paramètres'!$N:$N,MATCH($D1487,'Paramètres'!$M:$M,0))&amp;"",""))))),1,0))</f>
        <v/>
      </c>
      <c r="Q1487" s="6" t="str">
        <f>IF($K1487="","",IF(ISNUMBER(SEARCH("transfert-interne",IFERROR(INDEX('Paramètres'!$N:$N,MATCH($D1487,'Paramètres'!$M:$M,0))&amp;"",""))),0,IF($L1487="Débit",$K1487,IF($P1487=1,-$K1487,0))))</f>
        <v/>
      </c>
      <c r="R1487" s="6" t="str">
        <f>IF($K1487="","",IF($L1487="Crédit",$K1487,-$K1487))</f>
        <v/>
      </c>
      <c r="S1487" s="6" t="str">
        <f>IF($C1487="","",IFERROR(INDEX('Paramètres'!$H:$H,MATCH($C1487,'Paramètres'!$D:$D,0))&amp;"",""))</f>
        <v/>
      </c>
      <c r="T1487" s="6" t="str">
        <f>IF($K1487="","",IF($S1487="",0,IF(ISNUMBER(SEARCH("apport-exterieur",IFERROR(INDEX('Paramètres'!$N:$N,MATCH($D1487,'Paramètres'!$M:$M,0))&amp;"",""))),0,IF(OR(IFERROR(INDEX('Paramètres'!$I:$I,MATCH($C1487,'Paramètres'!$D:$D,0))&amp;"","")="Les deux",IFERROR(INDEX('Paramètres'!$I:$I,MATCH($C1487,'Paramètres'!$D:$D,0))&amp;"","")=IF($P1487=1,"Débit",$L1487)),-IF($P1487=1,-$K1487,$K1487),0))))</f>
        <v/>
      </c>
      <c r="U1487" s="6" t="str">
        <f>IF($K1487="","",IF(ISNUMBER(SEARCH("sortie-epargne",IFERROR(INDEX('Paramètres'!$N:$N,MATCH($D1487,'Paramètres'!$M:$M,0))&amp;"",""))),$K1487,0))</f>
        <v/>
      </c>
      <c r="V1487" s="6" t="str">
        <f>IF(AND($A1487&lt;&gt;"",$O1487=1,$L1487="Débit",N($Q1487)&gt;0,$A1487&gt;=Visualisation!$B$1,$A1487&lt;Visualisation!$D$1),MAX($V$1:V1486)+1,"")</f>
        <v/>
      </c>
    </row>
    <row r="1488" spans="1:22" x14ac:dyDescent="0.25">
      <c r="A1488" s="9"/>
      <c r="E1488" s="10"/>
      <c r="K1488" s="11" t="str">
        <f>IF($E1488="","",ROUND($E1488*IF(ISNA(MATCH($C1488,'Paramètres'!$D:$D,0)),1,IF(INDEX('Paramètres'!$J:$J,MATCH($C1488,'Paramètres'!$D:$D,0))="",1,INDEX('Paramètres'!$J:$J,MATCH($C1488,'Paramètres'!$D:$D,0)))),2))</f>
        <v/>
      </c>
      <c r="L1488" s="6" t="str">
        <f>IF($D1488="","",IF($F1488&lt;&gt;"",$F1488,IF(ISNA(MATCH($D1488,'Paramètres'!$M:$M,0)),"⚠ Type inconnu",IFERROR(INDEX('Paramètres'!$P:$P,MATCH($D1488,'Paramètres'!$M:$M,0))&amp;"",""))))</f>
        <v/>
      </c>
      <c r="M1488" s="6" t="str">
        <f>IF($D1488="","",IF(ISNA(MATCH($D1488,'Paramètres'!$M:$M,0)),"⚠ Type inconnu",IF($L1488="Crédit","",IFERROR(INDEX('Paramètres'!$O:$O,MATCH($D1488,'Paramètres'!$M:$M,0))&amp;"",""))))</f>
        <v/>
      </c>
      <c r="N1488" s="6" t="str">
        <f>IF($D1488="","",IFERROR(INDEX('Paramètres'!$Q:$Q,MATCH($D1488,'Paramètres'!$M:$M,0))&amp;"",""))</f>
        <v/>
      </c>
      <c r="O1488" s="6" t="str">
        <f>IF($A1488="","",IF(OR($J1488&lt;&gt;"x",$A1488&lt;=FinReleve),1,0))</f>
        <v/>
      </c>
      <c r="P1488" s="6" t="str">
        <f>IF($D1488="","",IF(AND($L1488="Crédit",OR(IFERROR(INDEX('Paramètres'!$O:$O,MATCH($D1488,'Paramètres'!$M:$M,0))&amp;"","")&lt;&gt;"",ISNUMBER(SEARCH("remboursement",IFERROR(INDEX('Paramètres'!$N:$N,MATCH($D1488,'Paramètres'!$M:$M,0))&amp;"",""))))),1,0))</f>
        <v/>
      </c>
      <c r="Q1488" s="6" t="str">
        <f>IF($K1488="","",IF(ISNUMBER(SEARCH("transfert-interne",IFERROR(INDEX('Paramètres'!$N:$N,MATCH($D1488,'Paramètres'!$M:$M,0))&amp;"",""))),0,IF($L1488="Débit",$K1488,IF($P1488=1,-$K1488,0))))</f>
        <v/>
      </c>
      <c r="R1488" s="6" t="str">
        <f>IF($K1488="","",IF($L1488="Crédit",$K1488,-$K1488))</f>
        <v/>
      </c>
      <c r="S1488" s="6" t="str">
        <f>IF($C1488="","",IFERROR(INDEX('Paramètres'!$H:$H,MATCH($C1488,'Paramètres'!$D:$D,0))&amp;"",""))</f>
        <v/>
      </c>
      <c r="T1488" s="6" t="str">
        <f>IF($K1488="","",IF($S1488="",0,IF(ISNUMBER(SEARCH("apport-exterieur",IFERROR(INDEX('Paramètres'!$N:$N,MATCH($D1488,'Paramètres'!$M:$M,0))&amp;"",""))),0,IF(OR(IFERROR(INDEX('Paramètres'!$I:$I,MATCH($C1488,'Paramètres'!$D:$D,0))&amp;"","")="Les deux",IFERROR(INDEX('Paramètres'!$I:$I,MATCH($C1488,'Paramètres'!$D:$D,0))&amp;"","")=IF($P1488=1,"Débit",$L1488)),-IF($P1488=1,-$K1488,$K1488),0))))</f>
        <v/>
      </c>
      <c r="U1488" s="6" t="str">
        <f>IF($K1488="","",IF(ISNUMBER(SEARCH("sortie-epargne",IFERROR(INDEX('Paramètres'!$N:$N,MATCH($D1488,'Paramètres'!$M:$M,0))&amp;"",""))),$K1488,0))</f>
        <v/>
      </c>
      <c r="V1488" s="6" t="str">
        <f>IF(AND($A1488&lt;&gt;"",$O1488=1,$L1488="Débit",N($Q1488)&gt;0,$A1488&gt;=Visualisation!$B$1,$A1488&lt;Visualisation!$D$1),MAX($V$1:V1487)+1,"")</f>
        <v/>
      </c>
    </row>
    <row r="1489" spans="1:22" x14ac:dyDescent="0.25">
      <c r="A1489" s="9"/>
      <c r="E1489" s="10"/>
      <c r="K1489" s="11" t="str">
        <f>IF($E1489="","",ROUND($E1489*IF(ISNA(MATCH($C1489,'Paramètres'!$D:$D,0)),1,IF(INDEX('Paramètres'!$J:$J,MATCH($C1489,'Paramètres'!$D:$D,0))="",1,INDEX('Paramètres'!$J:$J,MATCH($C1489,'Paramètres'!$D:$D,0)))),2))</f>
        <v/>
      </c>
      <c r="L1489" s="6" t="str">
        <f>IF($D1489="","",IF($F1489&lt;&gt;"",$F1489,IF(ISNA(MATCH($D1489,'Paramètres'!$M:$M,0)),"⚠ Type inconnu",IFERROR(INDEX('Paramètres'!$P:$P,MATCH($D1489,'Paramètres'!$M:$M,0))&amp;"",""))))</f>
        <v/>
      </c>
      <c r="M1489" s="6" t="str">
        <f>IF($D1489="","",IF(ISNA(MATCH($D1489,'Paramètres'!$M:$M,0)),"⚠ Type inconnu",IF($L1489="Crédit","",IFERROR(INDEX('Paramètres'!$O:$O,MATCH($D1489,'Paramètres'!$M:$M,0))&amp;"",""))))</f>
        <v/>
      </c>
      <c r="N1489" s="6" t="str">
        <f>IF($D1489="","",IFERROR(INDEX('Paramètres'!$Q:$Q,MATCH($D1489,'Paramètres'!$M:$M,0))&amp;"",""))</f>
        <v/>
      </c>
      <c r="O1489" s="6" t="str">
        <f>IF($A1489="","",IF(OR($J1489&lt;&gt;"x",$A1489&lt;=FinReleve),1,0))</f>
        <v/>
      </c>
      <c r="P1489" s="6" t="str">
        <f>IF($D1489="","",IF(AND($L1489="Crédit",OR(IFERROR(INDEX('Paramètres'!$O:$O,MATCH($D1489,'Paramètres'!$M:$M,0))&amp;"","")&lt;&gt;"",ISNUMBER(SEARCH("remboursement",IFERROR(INDEX('Paramètres'!$N:$N,MATCH($D1489,'Paramètres'!$M:$M,0))&amp;"",""))))),1,0))</f>
        <v/>
      </c>
      <c r="Q1489" s="6" t="str">
        <f>IF($K1489="","",IF(ISNUMBER(SEARCH("transfert-interne",IFERROR(INDEX('Paramètres'!$N:$N,MATCH($D1489,'Paramètres'!$M:$M,0))&amp;"",""))),0,IF($L1489="Débit",$K1489,IF($P1489=1,-$K1489,0))))</f>
        <v/>
      </c>
      <c r="R1489" s="6" t="str">
        <f>IF($K1489="","",IF($L1489="Crédit",$K1489,-$K1489))</f>
        <v/>
      </c>
      <c r="S1489" s="6" t="str">
        <f>IF($C1489="","",IFERROR(INDEX('Paramètres'!$H:$H,MATCH($C1489,'Paramètres'!$D:$D,0))&amp;"",""))</f>
        <v/>
      </c>
      <c r="T1489" s="6" t="str">
        <f>IF($K1489="","",IF($S1489="",0,IF(ISNUMBER(SEARCH("apport-exterieur",IFERROR(INDEX('Paramètres'!$N:$N,MATCH($D1489,'Paramètres'!$M:$M,0))&amp;"",""))),0,IF(OR(IFERROR(INDEX('Paramètres'!$I:$I,MATCH($C1489,'Paramètres'!$D:$D,0))&amp;"","")="Les deux",IFERROR(INDEX('Paramètres'!$I:$I,MATCH($C1489,'Paramètres'!$D:$D,0))&amp;"","")=IF($P1489=1,"Débit",$L1489)),-IF($P1489=1,-$K1489,$K1489),0))))</f>
        <v/>
      </c>
      <c r="U1489" s="6" t="str">
        <f>IF($K1489="","",IF(ISNUMBER(SEARCH("sortie-epargne",IFERROR(INDEX('Paramètres'!$N:$N,MATCH($D1489,'Paramètres'!$M:$M,0))&amp;"",""))),$K1489,0))</f>
        <v/>
      </c>
      <c r="V1489" s="6" t="str">
        <f>IF(AND($A1489&lt;&gt;"",$O1489=1,$L1489="Débit",N($Q1489)&gt;0,$A1489&gt;=Visualisation!$B$1,$A1489&lt;Visualisation!$D$1),MAX($V$1:V1488)+1,"")</f>
        <v/>
      </c>
    </row>
    <row r="1490" spans="1:22" x14ac:dyDescent="0.25">
      <c r="A1490" s="9"/>
      <c r="E1490" s="10"/>
      <c r="K1490" s="11" t="str">
        <f>IF($E1490="","",ROUND($E1490*IF(ISNA(MATCH($C1490,'Paramètres'!$D:$D,0)),1,IF(INDEX('Paramètres'!$J:$J,MATCH($C1490,'Paramètres'!$D:$D,0))="",1,INDEX('Paramètres'!$J:$J,MATCH($C1490,'Paramètres'!$D:$D,0)))),2))</f>
        <v/>
      </c>
      <c r="L1490" s="6" t="str">
        <f>IF($D1490="","",IF($F1490&lt;&gt;"",$F1490,IF(ISNA(MATCH($D1490,'Paramètres'!$M:$M,0)),"⚠ Type inconnu",IFERROR(INDEX('Paramètres'!$P:$P,MATCH($D1490,'Paramètres'!$M:$M,0))&amp;"",""))))</f>
        <v/>
      </c>
      <c r="M1490" s="6" t="str">
        <f>IF($D1490="","",IF(ISNA(MATCH($D1490,'Paramètres'!$M:$M,0)),"⚠ Type inconnu",IF($L1490="Crédit","",IFERROR(INDEX('Paramètres'!$O:$O,MATCH($D1490,'Paramètres'!$M:$M,0))&amp;"",""))))</f>
        <v/>
      </c>
      <c r="N1490" s="6" t="str">
        <f>IF($D1490="","",IFERROR(INDEX('Paramètres'!$Q:$Q,MATCH($D1490,'Paramètres'!$M:$M,0))&amp;"",""))</f>
        <v/>
      </c>
      <c r="O1490" s="6" t="str">
        <f>IF($A1490="","",IF(OR($J1490&lt;&gt;"x",$A1490&lt;=FinReleve),1,0))</f>
        <v/>
      </c>
      <c r="P1490" s="6" t="str">
        <f>IF($D1490="","",IF(AND($L1490="Crédit",OR(IFERROR(INDEX('Paramètres'!$O:$O,MATCH($D1490,'Paramètres'!$M:$M,0))&amp;"","")&lt;&gt;"",ISNUMBER(SEARCH("remboursement",IFERROR(INDEX('Paramètres'!$N:$N,MATCH($D1490,'Paramètres'!$M:$M,0))&amp;"",""))))),1,0))</f>
        <v/>
      </c>
      <c r="Q1490" s="6" t="str">
        <f>IF($K1490="","",IF(ISNUMBER(SEARCH("transfert-interne",IFERROR(INDEX('Paramètres'!$N:$N,MATCH($D1490,'Paramètres'!$M:$M,0))&amp;"",""))),0,IF($L1490="Débit",$K1490,IF($P1490=1,-$K1490,0))))</f>
        <v/>
      </c>
      <c r="R1490" s="6" t="str">
        <f>IF($K1490="","",IF($L1490="Crédit",$K1490,-$K1490))</f>
        <v/>
      </c>
      <c r="S1490" s="6" t="str">
        <f>IF($C1490="","",IFERROR(INDEX('Paramètres'!$H:$H,MATCH($C1490,'Paramètres'!$D:$D,0))&amp;"",""))</f>
        <v/>
      </c>
      <c r="T1490" s="6" t="str">
        <f>IF($K1490="","",IF($S1490="",0,IF(ISNUMBER(SEARCH("apport-exterieur",IFERROR(INDEX('Paramètres'!$N:$N,MATCH($D1490,'Paramètres'!$M:$M,0))&amp;"",""))),0,IF(OR(IFERROR(INDEX('Paramètres'!$I:$I,MATCH($C1490,'Paramètres'!$D:$D,0))&amp;"","")="Les deux",IFERROR(INDEX('Paramètres'!$I:$I,MATCH($C1490,'Paramètres'!$D:$D,0))&amp;"","")=IF($P1490=1,"Débit",$L1490)),-IF($P1490=1,-$K1490,$K1490),0))))</f>
        <v/>
      </c>
      <c r="U1490" s="6" t="str">
        <f>IF($K1490="","",IF(ISNUMBER(SEARCH("sortie-epargne",IFERROR(INDEX('Paramètres'!$N:$N,MATCH($D1490,'Paramètres'!$M:$M,0))&amp;"",""))),$K1490,0))</f>
        <v/>
      </c>
      <c r="V1490" s="6" t="str">
        <f>IF(AND($A1490&lt;&gt;"",$O1490=1,$L1490="Débit",N($Q1490)&gt;0,$A1490&gt;=Visualisation!$B$1,$A1490&lt;Visualisation!$D$1),MAX($V$1:V1489)+1,"")</f>
        <v/>
      </c>
    </row>
    <row r="1491" spans="1:22" x14ac:dyDescent="0.25">
      <c r="A1491" s="9"/>
      <c r="E1491" s="10"/>
      <c r="K1491" s="11" t="str">
        <f>IF($E1491="","",ROUND($E1491*IF(ISNA(MATCH($C1491,'Paramètres'!$D:$D,0)),1,IF(INDEX('Paramètres'!$J:$J,MATCH($C1491,'Paramètres'!$D:$D,0))="",1,INDEX('Paramètres'!$J:$J,MATCH($C1491,'Paramètres'!$D:$D,0)))),2))</f>
        <v/>
      </c>
      <c r="L1491" s="6" t="str">
        <f>IF($D1491="","",IF($F1491&lt;&gt;"",$F1491,IF(ISNA(MATCH($D1491,'Paramètres'!$M:$M,0)),"⚠ Type inconnu",IFERROR(INDEX('Paramètres'!$P:$P,MATCH($D1491,'Paramètres'!$M:$M,0))&amp;"",""))))</f>
        <v/>
      </c>
      <c r="M1491" s="6" t="str">
        <f>IF($D1491="","",IF(ISNA(MATCH($D1491,'Paramètres'!$M:$M,0)),"⚠ Type inconnu",IF($L1491="Crédit","",IFERROR(INDEX('Paramètres'!$O:$O,MATCH($D1491,'Paramètres'!$M:$M,0))&amp;"",""))))</f>
        <v/>
      </c>
      <c r="N1491" s="6" t="str">
        <f>IF($D1491="","",IFERROR(INDEX('Paramètres'!$Q:$Q,MATCH($D1491,'Paramètres'!$M:$M,0))&amp;"",""))</f>
        <v/>
      </c>
      <c r="O1491" s="6" t="str">
        <f>IF($A1491="","",IF(OR($J1491&lt;&gt;"x",$A1491&lt;=FinReleve),1,0))</f>
        <v/>
      </c>
      <c r="P1491" s="6" t="str">
        <f>IF($D1491="","",IF(AND($L1491="Crédit",OR(IFERROR(INDEX('Paramètres'!$O:$O,MATCH($D1491,'Paramètres'!$M:$M,0))&amp;"","")&lt;&gt;"",ISNUMBER(SEARCH("remboursement",IFERROR(INDEX('Paramètres'!$N:$N,MATCH($D1491,'Paramètres'!$M:$M,0))&amp;"",""))))),1,0))</f>
        <v/>
      </c>
      <c r="Q1491" s="6" t="str">
        <f>IF($K1491="","",IF(ISNUMBER(SEARCH("transfert-interne",IFERROR(INDEX('Paramètres'!$N:$N,MATCH($D1491,'Paramètres'!$M:$M,0))&amp;"",""))),0,IF($L1491="Débit",$K1491,IF($P1491=1,-$K1491,0))))</f>
        <v/>
      </c>
      <c r="R1491" s="6" t="str">
        <f>IF($K1491="","",IF($L1491="Crédit",$K1491,-$K1491))</f>
        <v/>
      </c>
      <c r="S1491" s="6" t="str">
        <f>IF($C1491="","",IFERROR(INDEX('Paramètres'!$H:$H,MATCH($C1491,'Paramètres'!$D:$D,0))&amp;"",""))</f>
        <v/>
      </c>
      <c r="T1491" s="6" t="str">
        <f>IF($K1491="","",IF($S1491="",0,IF(ISNUMBER(SEARCH("apport-exterieur",IFERROR(INDEX('Paramètres'!$N:$N,MATCH($D1491,'Paramètres'!$M:$M,0))&amp;"",""))),0,IF(OR(IFERROR(INDEX('Paramètres'!$I:$I,MATCH($C1491,'Paramètres'!$D:$D,0))&amp;"","")="Les deux",IFERROR(INDEX('Paramètres'!$I:$I,MATCH($C1491,'Paramètres'!$D:$D,0))&amp;"","")=IF($P1491=1,"Débit",$L1491)),-IF($P1491=1,-$K1491,$K1491),0))))</f>
        <v/>
      </c>
      <c r="U1491" s="6" t="str">
        <f>IF($K1491="","",IF(ISNUMBER(SEARCH("sortie-epargne",IFERROR(INDEX('Paramètres'!$N:$N,MATCH($D1491,'Paramètres'!$M:$M,0))&amp;"",""))),$K1491,0))</f>
        <v/>
      </c>
      <c r="V1491" s="6" t="str">
        <f>IF(AND($A1491&lt;&gt;"",$O1491=1,$L1491="Débit",N($Q1491)&gt;0,$A1491&gt;=Visualisation!$B$1,$A1491&lt;Visualisation!$D$1),MAX($V$1:V1490)+1,"")</f>
        <v/>
      </c>
    </row>
    <row r="1492" spans="1:22" x14ac:dyDescent="0.25">
      <c r="A1492" s="9"/>
      <c r="E1492" s="10"/>
      <c r="K1492" s="11" t="str">
        <f>IF($E1492="","",ROUND($E1492*IF(ISNA(MATCH($C1492,'Paramètres'!$D:$D,0)),1,IF(INDEX('Paramètres'!$J:$J,MATCH($C1492,'Paramètres'!$D:$D,0))="",1,INDEX('Paramètres'!$J:$J,MATCH($C1492,'Paramètres'!$D:$D,0)))),2))</f>
        <v/>
      </c>
      <c r="L1492" s="6" t="str">
        <f>IF($D1492="","",IF($F1492&lt;&gt;"",$F1492,IF(ISNA(MATCH($D1492,'Paramètres'!$M:$M,0)),"⚠ Type inconnu",IFERROR(INDEX('Paramètres'!$P:$P,MATCH($D1492,'Paramètres'!$M:$M,0))&amp;"",""))))</f>
        <v/>
      </c>
      <c r="M1492" s="6" t="str">
        <f>IF($D1492="","",IF(ISNA(MATCH($D1492,'Paramètres'!$M:$M,0)),"⚠ Type inconnu",IF($L1492="Crédit","",IFERROR(INDEX('Paramètres'!$O:$O,MATCH($D1492,'Paramètres'!$M:$M,0))&amp;"",""))))</f>
        <v/>
      </c>
      <c r="N1492" s="6" t="str">
        <f>IF($D1492="","",IFERROR(INDEX('Paramètres'!$Q:$Q,MATCH($D1492,'Paramètres'!$M:$M,0))&amp;"",""))</f>
        <v/>
      </c>
      <c r="O1492" s="6" t="str">
        <f>IF($A1492="","",IF(OR($J1492&lt;&gt;"x",$A1492&lt;=FinReleve),1,0))</f>
        <v/>
      </c>
      <c r="P1492" s="6" t="str">
        <f>IF($D1492="","",IF(AND($L1492="Crédit",OR(IFERROR(INDEX('Paramètres'!$O:$O,MATCH($D1492,'Paramètres'!$M:$M,0))&amp;"","")&lt;&gt;"",ISNUMBER(SEARCH("remboursement",IFERROR(INDEX('Paramètres'!$N:$N,MATCH($D1492,'Paramètres'!$M:$M,0))&amp;"",""))))),1,0))</f>
        <v/>
      </c>
      <c r="Q1492" s="6" t="str">
        <f>IF($K1492="","",IF(ISNUMBER(SEARCH("transfert-interne",IFERROR(INDEX('Paramètres'!$N:$N,MATCH($D1492,'Paramètres'!$M:$M,0))&amp;"",""))),0,IF($L1492="Débit",$K1492,IF($P1492=1,-$K1492,0))))</f>
        <v/>
      </c>
      <c r="R1492" s="6" t="str">
        <f>IF($K1492="","",IF($L1492="Crédit",$K1492,-$K1492))</f>
        <v/>
      </c>
      <c r="S1492" s="6" t="str">
        <f>IF($C1492="","",IFERROR(INDEX('Paramètres'!$H:$H,MATCH($C1492,'Paramètres'!$D:$D,0))&amp;"",""))</f>
        <v/>
      </c>
      <c r="T1492" s="6" t="str">
        <f>IF($K1492="","",IF($S1492="",0,IF(ISNUMBER(SEARCH("apport-exterieur",IFERROR(INDEX('Paramètres'!$N:$N,MATCH($D1492,'Paramètres'!$M:$M,0))&amp;"",""))),0,IF(OR(IFERROR(INDEX('Paramètres'!$I:$I,MATCH($C1492,'Paramètres'!$D:$D,0))&amp;"","")="Les deux",IFERROR(INDEX('Paramètres'!$I:$I,MATCH($C1492,'Paramètres'!$D:$D,0))&amp;"","")=IF($P1492=1,"Débit",$L1492)),-IF($P1492=1,-$K1492,$K1492),0))))</f>
        <v/>
      </c>
      <c r="U1492" s="6" t="str">
        <f>IF($K1492="","",IF(ISNUMBER(SEARCH("sortie-epargne",IFERROR(INDEX('Paramètres'!$N:$N,MATCH($D1492,'Paramètres'!$M:$M,0))&amp;"",""))),$K1492,0))</f>
        <v/>
      </c>
      <c r="V1492" s="6" t="str">
        <f>IF(AND($A1492&lt;&gt;"",$O1492=1,$L1492="Débit",N($Q1492)&gt;0,$A1492&gt;=Visualisation!$B$1,$A1492&lt;Visualisation!$D$1),MAX($V$1:V1491)+1,"")</f>
        <v/>
      </c>
    </row>
    <row r="1493" spans="1:22" x14ac:dyDescent="0.25">
      <c r="A1493" s="9"/>
      <c r="E1493" s="10"/>
      <c r="K1493" s="11" t="str">
        <f>IF($E1493="","",ROUND($E1493*IF(ISNA(MATCH($C1493,'Paramètres'!$D:$D,0)),1,IF(INDEX('Paramètres'!$J:$J,MATCH($C1493,'Paramètres'!$D:$D,0))="",1,INDEX('Paramètres'!$J:$J,MATCH($C1493,'Paramètres'!$D:$D,0)))),2))</f>
        <v/>
      </c>
      <c r="L1493" s="6" t="str">
        <f>IF($D1493="","",IF($F1493&lt;&gt;"",$F1493,IF(ISNA(MATCH($D1493,'Paramètres'!$M:$M,0)),"⚠ Type inconnu",IFERROR(INDEX('Paramètres'!$P:$P,MATCH($D1493,'Paramètres'!$M:$M,0))&amp;"",""))))</f>
        <v/>
      </c>
      <c r="M1493" s="6" t="str">
        <f>IF($D1493="","",IF(ISNA(MATCH($D1493,'Paramètres'!$M:$M,0)),"⚠ Type inconnu",IF($L1493="Crédit","",IFERROR(INDEX('Paramètres'!$O:$O,MATCH($D1493,'Paramètres'!$M:$M,0))&amp;"",""))))</f>
        <v/>
      </c>
      <c r="N1493" s="6" t="str">
        <f>IF($D1493="","",IFERROR(INDEX('Paramètres'!$Q:$Q,MATCH($D1493,'Paramètres'!$M:$M,0))&amp;"",""))</f>
        <v/>
      </c>
      <c r="O1493" s="6" t="str">
        <f>IF($A1493="","",IF(OR($J1493&lt;&gt;"x",$A1493&lt;=FinReleve),1,0))</f>
        <v/>
      </c>
      <c r="P1493" s="6" t="str">
        <f>IF($D1493="","",IF(AND($L1493="Crédit",OR(IFERROR(INDEX('Paramètres'!$O:$O,MATCH($D1493,'Paramètres'!$M:$M,0))&amp;"","")&lt;&gt;"",ISNUMBER(SEARCH("remboursement",IFERROR(INDEX('Paramètres'!$N:$N,MATCH($D1493,'Paramètres'!$M:$M,0))&amp;"",""))))),1,0))</f>
        <v/>
      </c>
      <c r="Q1493" s="6" t="str">
        <f>IF($K1493="","",IF(ISNUMBER(SEARCH("transfert-interne",IFERROR(INDEX('Paramètres'!$N:$N,MATCH($D1493,'Paramètres'!$M:$M,0))&amp;"",""))),0,IF($L1493="Débit",$K1493,IF($P1493=1,-$K1493,0))))</f>
        <v/>
      </c>
      <c r="R1493" s="6" t="str">
        <f>IF($K1493="","",IF($L1493="Crédit",$K1493,-$K1493))</f>
        <v/>
      </c>
      <c r="S1493" s="6" t="str">
        <f>IF($C1493="","",IFERROR(INDEX('Paramètres'!$H:$H,MATCH($C1493,'Paramètres'!$D:$D,0))&amp;"",""))</f>
        <v/>
      </c>
      <c r="T1493" s="6" t="str">
        <f>IF($K1493="","",IF($S1493="",0,IF(ISNUMBER(SEARCH("apport-exterieur",IFERROR(INDEX('Paramètres'!$N:$N,MATCH($D1493,'Paramètres'!$M:$M,0))&amp;"",""))),0,IF(OR(IFERROR(INDEX('Paramètres'!$I:$I,MATCH($C1493,'Paramètres'!$D:$D,0))&amp;"","")="Les deux",IFERROR(INDEX('Paramètres'!$I:$I,MATCH($C1493,'Paramètres'!$D:$D,0))&amp;"","")=IF($P1493=1,"Débit",$L1493)),-IF($P1493=1,-$K1493,$K1493),0))))</f>
        <v/>
      </c>
      <c r="U1493" s="6" t="str">
        <f>IF($K1493="","",IF(ISNUMBER(SEARCH("sortie-epargne",IFERROR(INDEX('Paramètres'!$N:$N,MATCH($D1493,'Paramètres'!$M:$M,0))&amp;"",""))),$K1493,0))</f>
        <v/>
      </c>
      <c r="V1493" s="6" t="str">
        <f>IF(AND($A1493&lt;&gt;"",$O1493=1,$L1493="Débit",N($Q1493)&gt;0,$A1493&gt;=Visualisation!$B$1,$A1493&lt;Visualisation!$D$1),MAX($V$1:V1492)+1,"")</f>
        <v/>
      </c>
    </row>
    <row r="1494" spans="1:22" x14ac:dyDescent="0.25">
      <c r="A1494" s="9"/>
      <c r="E1494" s="10"/>
      <c r="K1494" s="11" t="str">
        <f>IF($E1494="","",ROUND($E1494*IF(ISNA(MATCH($C1494,'Paramètres'!$D:$D,0)),1,IF(INDEX('Paramètres'!$J:$J,MATCH($C1494,'Paramètres'!$D:$D,0))="",1,INDEX('Paramètres'!$J:$J,MATCH($C1494,'Paramètres'!$D:$D,0)))),2))</f>
        <v/>
      </c>
      <c r="L1494" s="6" t="str">
        <f>IF($D1494="","",IF($F1494&lt;&gt;"",$F1494,IF(ISNA(MATCH($D1494,'Paramètres'!$M:$M,0)),"⚠ Type inconnu",IFERROR(INDEX('Paramètres'!$P:$P,MATCH($D1494,'Paramètres'!$M:$M,0))&amp;"",""))))</f>
        <v/>
      </c>
      <c r="M1494" s="6" t="str">
        <f>IF($D1494="","",IF(ISNA(MATCH($D1494,'Paramètres'!$M:$M,0)),"⚠ Type inconnu",IF($L1494="Crédit","",IFERROR(INDEX('Paramètres'!$O:$O,MATCH($D1494,'Paramètres'!$M:$M,0))&amp;"",""))))</f>
        <v/>
      </c>
      <c r="N1494" s="6" t="str">
        <f>IF($D1494="","",IFERROR(INDEX('Paramètres'!$Q:$Q,MATCH($D1494,'Paramètres'!$M:$M,0))&amp;"",""))</f>
        <v/>
      </c>
      <c r="O1494" s="6" t="str">
        <f>IF($A1494="","",IF(OR($J1494&lt;&gt;"x",$A1494&lt;=FinReleve),1,0))</f>
        <v/>
      </c>
      <c r="P1494" s="6" t="str">
        <f>IF($D1494="","",IF(AND($L1494="Crédit",OR(IFERROR(INDEX('Paramètres'!$O:$O,MATCH($D1494,'Paramètres'!$M:$M,0))&amp;"","")&lt;&gt;"",ISNUMBER(SEARCH("remboursement",IFERROR(INDEX('Paramètres'!$N:$N,MATCH($D1494,'Paramètres'!$M:$M,0))&amp;"",""))))),1,0))</f>
        <v/>
      </c>
      <c r="Q1494" s="6" t="str">
        <f>IF($K1494="","",IF(ISNUMBER(SEARCH("transfert-interne",IFERROR(INDEX('Paramètres'!$N:$N,MATCH($D1494,'Paramètres'!$M:$M,0))&amp;"",""))),0,IF($L1494="Débit",$K1494,IF($P1494=1,-$K1494,0))))</f>
        <v/>
      </c>
      <c r="R1494" s="6" t="str">
        <f>IF($K1494="","",IF($L1494="Crédit",$K1494,-$K1494))</f>
        <v/>
      </c>
      <c r="S1494" s="6" t="str">
        <f>IF($C1494="","",IFERROR(INDEX('Paramètres'!$H:$H,MATCH($C1494,'Paramètres'!$D:$D,0))&amp;"",""))</f>
        <v/>
      </c>
      <c r="T1494" s="6" t="str">
        <f>IF($K1494="","",IF($S1494="",0,IF(ISNUMBER(SEARCH("apport-exterieur",IFERROR(INDEX('Paramètres'!$N:$N,MATCH($D1494,'Paramètres'!$M:$M,0))&amp;"",""))),0,IF(OR(IFERROR(INDEX('Paramètres'!$I:$I,MATCH($C1494,'Paramètres'!$D:$D,0))&amp;"","")="Les deux",IFERROR(INDEX('Paramètres'!$I:$I,MATCH($C1494,'Paramètres'!$D:$D,0))&amp;"","")=IF($P1494=1,"Débit",$L1494)),-IF($P1494=1,-$K1494,$K1494),0))))</f>
        <v/>
      </c>
      <c r="U1494" s="6" t="str">
        <f>IF($K1494="","",IF(ISNUMBER(SEARCH("sortie-epargne",IFERROR(INDEX('Paramètres'!$N:$N,MATCH($D1494,'Paramètres'!$M:$M,0))&amp;"",""))),$K1494,0))</f>
        <v/>
      </c>
      <c r="V1494" s="6" t="str">
        <f>IF(AND($A1494&lt;&gt;"",$O1494=1,$L1494="Débit",N($Q1494)&gt;0,$A1494&gt;=Visualisation!$B$1,$A1494&lt;Visualisation!$D$1),MAX($V$1:V1493)+1,"")</f>
        <v/>
      </c>
    </row>
    <row r="1495" spans="1:22" x14ac:dyDescent="0.25">
      <c r="A1495" s="9"/>
      <c r="E1495" s="10"/>
      <c r="K1495" s="11" t="str">
        <f>IF($E1495="","",ROUND($E1495*IF(ISNA(MATCH($C1495,'Paramètres'!$D:$D,0)),1,IF(INDEX('Paramètres'!$J:$J,MATCH($C1495,'Paramètres'!$D:$D,0))="",1,INDEX('Paramètres'!$J:$J,MATCH($C1495,'Paramètres'!$D:$D,0)))),2))</f>
        <v/>
      </c>
      <c r="L1495" s="6" t="str">
        <f>IF($D1495="","",IF($F1495&lt;&gt;"",$F1495,IF(ISNA(MATCH($D1495,'Paramètres'!$M:$M,0)),"⚠ Type inconnu",IFERROR(INDEX('Paramètres'!$P:$P,MATCH($D1495,'Paramètres'!$M:$M,0))&amp;"",""))))</f>
        <v/>
      </c>
      <c r="M1495" s="6" t="str">
        <f>IF($D1495="","",IF(ISNA(MATCH($D1495,'Paramètres'!$M:$M,0)),"⚠ Type inconnu",IF($L1495="Crédit","",IFERROR(INDEX('Paramètres'!$O:$O,MATCH($D1495,'Paramètres'!$M:$M,0))&amp;"",""))))</f>
        <v/>
      </c>
      <c r="N1495" s="6" t="str">
        <f>IF($D1495="","",IFERROR(INDEX('Paramètres'!$Q:$Q,MATCH($D1495,'Paramètres'!$M:$M,0))&amp;"",""))</f>
        <v/>
      </c>
      <c r="O1495" s="6" t="str">
        <f>IF($A1495="","",IF(OR($J1495&lt;&gt;"x",$A1495&lt;=FinReleve),1,0))</f>
        <v/>
      </c>
      <c r="P1495" s="6" t="str">
        <f>IF($D1495="","",IF(AND($L1495="Crédit",OR(IFERROR(INDEX('Paramètres'!$O:$O,MATCH($D1495,'Paramètres'!$M:$M,0))&amp;"","")&lt;&gt;"",ISNUMBER(SEARCH("remboursement",IFERROR(INDEX('Paramètres'!$N:$N,MATCH($D1495,'Paramètres'!$M:$M,0))&amp;"",""))))),1,0))</f>
        <v/>
      </c>
      <c r="Q1495" s="6" t="str">
        <f>IF($K1495="","",IF(ISNUMBER(SEARCH("transfert-interne",IFERROR(INDEX('Paramètres'!$N:$N,MATCH($D1495,'Paramètres'!$M:$M,0))&amp;"",""))),0,IF($L1495="Débit",$K1495,IF($P1495=1,-$K1495,0))))</f>
        <v/>
      </c>
      <c r="R1495" s="6" t="str">
        <f>IF($K1495="","",IF($L1495="Crédit",$K1495,-$K1495))</f>
        <v/>
      </c>
      <c r="S1495" s="6" t="str">
        <f>IF($C1495="","",IFERROR(INDEX('Paramètres'!$H:$H,MATCH($C1495,'Paramètres'!$D:$D,0))&amp;"",""))</f>
        <v/>
      </c>
      <c r="T1495" s="6" t="str">
        <f>IF($K1495="","",IF($S1495="",0,IF(ISNUMBER(SEARCH("apport-exterieur",IFERROR(INDEX('Paramètres'!$N:$N,MATCH($D1495,'Paramètres'!$M:$M,0))&amp;"",""))),0,IF(OR(IFERROR(INDEX('Paramètres'!$I:$I,MATCH($C1495,'Paramètres'!$D:$D,0))&amp;"","")="Les deux",IFERROR(INDEX('Paramètres'!$I:$I,MATCH($C1495,'Paramètres'!$D:$D,0))&amp;"","")=IF($P1495=1,"Débit",$L1495)),-IF($P1495=1,-$K1495,$K1495),0))))</f>
        <v/>
      </c>
      <c r="U1495" s="6" t="str">
        <f>IF($K1495="","",IF(ISNUMBER(SEARCH("sortie-epargne",IFERROR(INDEX('Paramètres'!$N:$N,MATCH($D1495,'Paramètres'!$M:$M,0))&amp;"",""))),$K1495,0))</f>
        <v/>
      </c>
      <c r="V1495" s="6" t="str">
        <f>IF(AND($A1495&lt;&gt;"",$O1495=1,$L1495="Débit",N($Q1495)&gt;0,$A1495&gt;=Visualisation!$B$1,$A1495&lt;Visualisation!$D$1),MAX($V$1:V1494)+1,"")</f>
        <v/>
      </c>
    </row>
    <row r="1496" spans="1:22" x14ac:dyDescent="0.25">
      <c r="A1496" s="9"/>
      <c r="E1496" s="10"/>
      <c r="K1496" s="11" t="str">
        <f>IF($E1496="","",ROUND($E1496*IF(ISNA(MATCH($C1496,'Paramètres'!$D:$D,0)),1,IF(INDEX('Paramètres'!$J:$J,MATCH($C1496,'Paramètres'!$D:$D,0))="",1,INDEX('Paramètres'!$J:$J,MATCH($C1496,'Paramètres'!$D:$D,0)))),2))</f>
        <v/>
      </c>
      <c r="L1496" s="6" t="str">
        <f>IF($D1496="","",IF($F1496&lt;&gt;"",$F1496,IF(ISNA(MATCH($D1496,'Paramètres'!$M:$M,0)),"⚠ Type inconnu",IFERROR(INDEX('Paramètres'!$P:$P,MATCH($D1496,'Paramètres'!$M:$M,0))&amp;"",""))))</f>
        <v/>
      </c>
      <c r="M1496" s="6" t="str">
        <f>IF($D1496="","",IF(ISNA(MATCH($D1496,'Paramètres'!$M:$M,0)),"⚠ Type inconnu",IF($L1496="Crédit","",IFERROR(INDEX('Paramètres'!$O:$O,MATCH($D1496,'Paramètres'!$M:$M,0))&amp;"",""))))</f>
        <v/>
      </c>
      <c r="N1496" s="6" t="str">
        <f>IF($D1496="","",IFERROR(INDEX('Paramètres'!$Q:$Q,MATCH($D1496,'Paramètres'!$M:$M,0))&amp;"",""))</f>
        <v/>
      </c>
      <c r="O1496" s="6" t="str">
        <f>IF($A1496="","",IF(OR($J1496&lt;&gt;"x",$A1496&lt;=FinReleve),1,0))</f>
        <v/>
      </c>
      <c r="P1496" s="6" t="str">
        <f>IF($D1496="","",IF(AND($L1496="Crédit",OR(IFERROR(INDEX('Paramètres'!$O:$O,MATCH($D1496,'Paramètres'!$M:$M,0))&amp;"","")&lt;&gt;"",ISNUMBER(SEARCH("remboursement",IFERROR(INDEX('Paramètres'!$N:$N,MATCH($D1496,'Paramètres'!$M:$M,0))&amp;"",""))))),1,0))</f>
        <v/>
      </c>
      <c r="Q1496" s="6" t="str">
        <f>IF($K1496="","",IF(ISNUMBER(SEARCH("transfert-interne",IFERROR(INDEX('Paramètres'!$N:$N,MATCH($D1496,'Paramètres'!$M:$M,0))&amp;"",""))),0,IF($L1496="Débit",$K1496,IF($P1496=1,-$K1496,0))))</f>
        <v/>
      </c>
      <c r="R1496" s="6" t="str">
        <f>IF($K1496="","",IF($L1496="Crédit",$K1496,-$K1496))</f>
        <v/>
      </c>
      <c r="S1496" s="6" t="str">
        <f>IF($C1496="","",IFERROR(INDEX('Paramètres'!$H:$H,MATCH($C1496,'Paramètres'!$D:$D,0))&amp;"",""))</f>
        <v/>
      </c>
      <c r="T1496" s="6" t="str">
        <f>IF($K1496="","",IF($S1496="",0,IF(ISNUMBER(SEARCH("apport-exterieur",IFERROR(INDEX('Paramètres'!$N:$N,MATCH($D1496,'Paramètres'!$M:$M,0))&amp;"",""))),0,IF(OR(IFERROR(INDEX('Paramètres'!$I:$I,MATCH($C1496,'Paramètres'!$D:$D,0))&amp;"","")="Les deux",IFERROR(INDEX('Paramètres'!$I:$I,MATCH($C1496,'Paramètres'!$D:$D,0))&amp;"","")=IF($P1496=1,"Débit",$L1496)),-IF($P1496=1,-$K1496,$K1496),0))))</f>
        <v/>
      </c>
      <c r="U1496" s="6" t="str">
        <f>IF($K1496="","",IF(ISNUMBER(SEARCH("sortie-epargne",IFERROR(INDEX('Paramètres'!$N:$N,MATCH($D1496,'Paramètres'!$M:$M,0))&amp;"",""))),$K1496,0))</f>
        <v/>
      </c>
      <c r="V1496" s="6" t="str">
        <f>IF(AND($A1496&lt;&gt;"",$O1496=1,$L1496="Débit",N($Q1496)&gt;0,$A1496&gt;=Visualisation!$B$1,$A1496&lt;Visualisation!$D$1),MAX($V$1:V1495)+1,"")</f>
        <v/>
      </c>
    </row>
    <row r="1497" spans="1:22" x14ac:dyDescent="0.25">
      <c r="A1497" s="9"/>
      <c r="E1497" s="10"/>
      <c r="K1497" s="11" t="str">
        <f>IF($E1497="","",ROUND($E1497*IF(ISNA(MATCH($C1497,'Paramètres'!$D:$D,0)),1,IF(INDEX('Paramètres'!$J:$J,MATCH($C1497,'Paramètres'!$D:$D,0))="",1,INDEX('Paramètres'!$J:$J,MATCH($C1497,'Paramètres'!$D:$D,0)))),2))</f>
        <v/>
      </c>
      <c r="L1497" s="6" t="str">
        <f>IF($D1497="","",IF($F1497&lt;&gt;"",$F1497,IF(ISNA(MATCH($D1497,'Paramètres'!$M:$M,0)),"⚠ Type inconnu",IFERROR(INDEX('Paramètres'!$P:$P,MATCH($D1497,'Paramètres'!$M:$M,0))&amp;"",""))))</f>
        <v/>
      </c>
      <c r="M1497" s="6" t="str">
        <f>IF($D1497="","",IF(ISNA(MATCH($D1497,'Paramètres'!$M:$M,0)),"⚠ Type inconnu",IF($L1497="Crédit","",IFERROR(INDEX('Paramètres'!$O:$O,MATCH($D1497,'Paramètres'!$M:$M,0))&amp;"",""))))</f>
        <v/>
      </c>
      <c r="N1497" s="6" t="str">
        <f>IF($D1497="","",IFERROR(INDEX('Paramètres'!$Q:$Q,MATCH($D1497,'Paramètres'!$M:$M,0))&amp;"",""))</f>
        <v/>
      </c>
      <c r="O1497" s="6" t="str">
        <f>IF($A1497="","",IF(OR($J1497&lt;&gt;"x",$A1497&lt;=FinReleve),1,0))</f>
        <v/>
      </c>
      <c r="P1497" s="6" t="str">
        <f>IF($D1497="","",IF(AND($L1497="Crédit",OR(IFERROR(INDEX('Paramètres'!$O:$O,MATCH($D1497,'Paramètres'!$M:$M,0))&amp;"","")&lt;&gt;"",ISNUMBER(SEARCH("remboursement",IFERROR(INDEX('Paramètres'!$N:$N,MATCH($D1497,'Paramètres'!$M:$M,0))&amp;"",""))))),1,0))</f>
        <v/>
      </c>
      <c r="Q1497" s="6" t="str">
        <f>IF($K1497="","",IF(ISNUMBER(SEARCH("transfert-interne",IFERROR(INDEX('Paramètres'!$N:$N,MATCH($D1497,'Paramètres'!$M:$M,0))&amp;"",""))),0,IF($L1497="Débit",$K1497,IF($P1497=1,-$K1497,0))))</f>
        <v/>
      </c>
      <c r="R1497" s="6" t="str">
        <f>IF($K1497="","",IF($L1497="Crédit",$K1497,-$K1497))</f>
        <v/>
      </c>
      <c r="S1497" s="6" t="str">
        <f>IF($C1497="","",IFERROR(INDEX('Paramètres'!$H:$H,MATCH($C1497,'Paramètres'!$D:$D,0))&amp;"",""))</f>
        <v/>
      </c>
      <c r="T1497" s="6" t="str">
        <f>IF($K1497="","",IF($S1497="",0,IF(ISNUMBER(SEARCH("apport-exterieur",IFERROR(INDEX('Paramètres'!$N:$N,MATCH($D1497,'Paramètres'!$M:$M,0))&amp;"",""))),0,IF(OR(IFERROR(INDEX('Paramètres'!$I:$I,MATCH($C1497,'Paramètres'!$D:$D,0))&amp;"","")="Les deux",IFERROR(INDEX('Paramètres'!$I:$I,MATCH($C1497,'Paramètres'!$D:$D,0))&amp;"","")=IF($P1497=1,"Débit",$L1497)),-IF($P1497=1,-$K1497,$K1497),0))))</f>
        <v/>
      </c>
      <c r="U1497" s="6" t="str">
        <f>IF($K1497="","",IF(ISNUMBER(SEARCH("sortie-epargne",IFERROR(INDEX('Paramètres'!$N:$N,MATCH($D1497,'Paramètres'!$M:$M,0))&amp;"",""))),$K1497,0))</f>
        <v/>
      </c>
      <c r="V1497" s="6" t="str">
        <f>IF(AND($A1497&lt;&gt;"",$O1497=1,$L1497="Débit",N($Q1497)&gt;0,$A1497&gt;=Visualisation!$B$1,$A1497&lt;Visualisation!$D$1),MAX($V$1:V1496)+1,"")</f>
        <v/>
      </c>
    </row>
    <row r="1498" spans="1:22" x14ac:dyDescent="0.25">
      <c r="A1498" s="9"/>
      <c r="E1498" s="10"/>
      <c r="K1498" s="11" t="str">
        <f>IF($E1498="","",ROUND($E1498*IF(ISNA(MATCH($C1498,'Paramètres'!$D:$D,0)),1,IF(INDEX('Paramètres'!$J:$J,MATCH($C1498,'Paramètres'!$D:$D,0))="",1,INDEX('Paramètres'!$J:$J,MATCH($C1498,'Paramètres'!$D:$D,0)))),2))</f>
        <v/>
      </c>
      <c r="L1498" s="6" t="str">
        <f>IF($D1498="","",IF($F1498&lt;&gt;"",$F1498,IF(ISNA(MATCH($D1498,'Paramètres'!$M:$M,0)),"⚠ Type inconnu",IFERROR(INDEX('Paramètres'!$P:$P,MATCH($D1498,'Paramètres'!$M:$M,0))&amp;"",""))))</f>
        <v/>
      </c>
      <c r="M1498" s="6" t="str">
        <f>IF($D1498="","",IF(ISNA(MATCH($D1498,'Paramètres'!$M:$M,0)),"⚠ Type inconnu",IF($L1498="Crédit","",IFERROR(INDEX('Paramètres'!$O:$O,MATCH($D1498,'Paramètres'!$M:$M,0))&amp;"",""))))</f>
        <v/>
      </c>
      <c r="N1498" s="6" t="str">
        <f>IF($D1498="","",IFERROR(INDEX('Paramètres'!$Q:$Q,MATCH($D1498,'Paramètres'!$M:$M,0))&amp;"",""))</f>
        <v/>
      </c>
      <c r="O1498" s="6" t="str">
        <f>IF($A1498="","",IF(OR($J1498&lt;&gt;"x",$A1498&lt;=FinReleve),1,0))</f>
        <v/>
      </c>
      <c r="P1498" s="6" t="str">
        <f>IF($D1498="","",IF(AND($L1498="Crédit",OR(IFERROR(INDEX('Paramètres'!$O:$O,MATCH($D1498,'Paramètres'!$M:$M,0))&amp;"","")&lt;&gt;"",ISNUMBER(SEARCH("remboursement",IFERROR(INDEX('Paramètres'!$N:$N,MATCH($D1498,'Paramètres'!$M:$M,0))&amp;"",""))))),1,0))</f>
        <v/>
      </c>
      <c r="Q1498" s="6" t="str">
        <f>IF($K1498="","",IF(ISNUMBER(SEARCH("transfert-interne",IFERROR(INDEX('Paramètres'!$N:$N,MATCH($D1498,'Paramètres'!$M:$M,0))&amp;"",""))),0,IF($L1498="Débit",$K1498,IF($P1498=1,-$K1498,0))))</f>
        <v/>
      </c>
      <c r="R1498" s="6" t="str">
        <f>IF($K1498="","",IF($L1498="Crédit",$K1498,-$K1498))</f>
        <v/>
      </c>
      <c r="S1498" s="6" t="str">
        <f>IF($C1498="","",IFERROR(INDEX('Paramètres'!$H:$H,MATCH($C1498,'Paramètres'!$D:$D,0))&amp;"",""))</f>
        <v/>
      </c>
      <c r="T1498" s="6" t="str">
        <f>IF($K1498="","",IF($S1498="",0,IF(ISNUMBER(SEARCH("apport-exterieur",IFERROR(INDEX('Paramètres'!$N:$N,MATCH($D1498,'Paramètres'!$M:$M,0))&amp;"",""))),0,IF(OR(IFERROR(INDEX('Paramètres'!$I:$I,MATCH($C1498,'Paramètres'!$D:$D,0))&amp;"","")="Les deux",IFERROR(INDEX('Paramètres'!$I:$I,MATCH($C1498,'Paramètres'!$D:$D,0))&amp;"","")=IF($P1498=1,"Débit",$L1498)),-IF($P1498=1,-$K1498,$K1498),0))))</f>
        <v/>
      </c>
      <c r="U1498" s="6" t="str">
        <f>IF($K1498="","",IF(ISNUMBER(SEARCH("sortie-epargne",IFERROR(INDEX('Paramètres'!$N:$N,MATCH($D1498,'Paramètres'!$M:$M,0))&amp;"",""))),$K1498,0))</f>
        <v/>
      </c>
      <c r="V1498" s="6" t="str">
        <f>IF(AND($A1498&lt;&gt;"",$O1498=1,$L1498="Débit",N($Q1498)&gt;0,$A1498&gt;=Visualisation!$B$1,$A1498&lt;Visualisation!$D$1),MAX($V$1:V1497)+1,"")</f>
        <v/>
      </c>
    </row>
    <row r="1499" spans="1:22" x14ac:dyDescent="0.25">
      <c r="A1499" s="9"/>
      <c r="E1499" s="10"/>
      <c r="K1499" s="11" t="str">
        <f>IF($E1499="","",ROUND($E1499*IF(ISNA(MATCH($C1499,'Paramètres'!$D:$D,0)),1,IF(INDEX('Paramètres'!$J:$J,MATCH($C1499,'Paramètres'!$D:$D,0))="",1,INDEX('Paramètres'!$J:$J,MATCH($C1499,'Paramètres'!$D:$D,0)))),2))</f>
        <v/>
      </c>
      <c r="L1499" s="6" t="str">
        <f>IF($D1499="","",IF($F1499&lt;&gt;"",$F1499,IF(ISNA(MATCH($D1499,'Paramètres'!$M:$M,0)),"⚠ Type inconnu",IFERROR(INDEX('Paramètres'!$P:$P,MATCH($D1499,'Paramètres'!$M:$M,0))&amp;"",""))))</f>
        <v/>
      </c>
      <c r="M1499" s="6" t="str">
        <f>IF($D1499="","",IF(ISNA(MATCH($D1499,'Paramètres'!$M:$M,0)),"⚠ Type inconnu",IF($L1499="Crédit","",IFERROR(INDEX('Paramètres'!$O:$O,MATCH($D1499,'Paramètres'!$M:$M,0))&amp;"",""))))</f>
        <v/>
      </c>
      <c r="N1499" s="6" t="str">
        <f>IF($D1499="","",IFERROR(INDEX('Paramètres'!$Q:$Q,MATCH($D1499,'Paramètres'!$M:$M,0))&amp;"",""))</f>
        <v/>
      </c>
      <c r="O1499" s="6" t="str">
        <f>IF($A1499="","",IF(OR($J1499&lt;&gt;"x",$A1499&lt;=FinReleve),1,0))</f>
        <v/>
      </c>
      <c r="P1499" s="6" t="str">
        <f>IF($D1499="","",IF(AND($L1499="Crédit",OR(IFERROR(INDEX('Paramètres'!$O:$O,MATCH($D1499,'Paramètres'!$M:$M,0))&amp;"","")&lt;&gt;"",ISNUMBER(SEARCH("remboursement",IFERROR(INDEX('Paramètres'!$N:$N,MATCH($D1499,'Paramètres'!$M:$M,0))&amp;"",""))))),1,0))</f>
        <v/>
      </c>
      <c r="Q1499" s="6" t="str">
        <f>IF($K1499="","",IF(ISNUMBER(SEARCH("transfert-interne",IFERROR(INDEX('Paramètres'!$N:$N,MATCH($D1499,'Paramètres'!$M:$M,0))&amp;"",""))),0,IF($L1499="Débit",$K1499,IF($P1499=1,-$K1499,0))))</f>
        <v/>
      </c>
      <c r="R1499" s="6" t="str">
        <f>IF($K1499="","",IF($L1499="Crédit",$K1499,-$K1499))</f>
        <v/>
      </c>
      <c r="S1499" s="6" t="str">
        <f>IF($C1499="","",IFERROR(INDEX('Paramètres'!$H:$H,MATCH($C1499,'Paramètres'!$D:$D,0))&amp;"",""))</f>
        <v/>
      </c>
      <c r="T1499" s="6" t="str">
        <f>IF($K1499="","",IF($S1499="",0,IF(ISNUMBER(SEARCH("apport-exterieur",IFERROR(INDEX('Paramètres'!$N:$N,MATCH($D1499,'Paramètres'!$M:$M,0))&amp;"",""))),0,IF(OR(IFERROR(INDEX('Paramètres'!$I:$I,MATCH($C1499,'Paramètres'!$D:$D,0))&amp;"","")="Les deux",IFERROR(INDEX('Paramètres'!$I:$I,MATCH($C1499,'Paramètres'!$D:$D,0))&amp;"","")=IF($P1499=1,"Débit",$L1499)),-IF($P1499=1,-$K1499,$K1499),0))))</f>
        <v/>
      </c>
      <c r="U1499" s="6" t="str">
        <f>IF($K1499="","",IF(ISNUMBER(SEARCH("sortie-epargne",IFERROR(INDEX('Paramètres'!$N:$N,MATCH($D1499,'Paramètres'!$M:$M,0))&amp;"",""))),$K1499,0))</f>
        <v/>
      </c>
      <c r="V1499" s="6" t="str">
        <f>IF(AND($A1499&lt;&gt;"",$O1499=1,$L1499="Débit",N($Q1499)&gt;0,$A1499&gt;=Visualisation!$B$1,$A1499&lt;Visualisation!$D$1),MAX($V$1:V1498)+1,"")</f>
        <v/>
      </c>
    </row>
    <row r="1500" spans="1:22" x14ac:dyDescent="0.25">
      <c r="A1500" s="9"/>
      <c r="E1500" s="10"/>
      <c r="K1500" s="11" t="str">
        <f>IF($E1500="","",ROUND($E1500*IF(ISNA(MATCH($C1500,'Paramètres'!$D:$D,0)),1,IF(INDEX('Paramètres'!$J:$J,MATCH($C1500,'Paramètres'!$D:$D,0))="",1,INDEX('Paramètres'!$J:$J,MATCH($C1500,'Paramètres'!$D:$D,0)))),2))</f>
        <v/>
      </c>
      <c r="L1500" s="6" t="str">
        <f>IF($D1500="","",IF($F1500&lt;&gt;"",$F1500,IF(ISNA(MATCH($D1500,'Paramètres'!$M:$M,0)),"⚠ Type inconnu",IFERROR(INDEX('Paramètres'!$P:$P,MATCH($D1500,'Paramètres'!$M:$M,0))&amp;"",""))))</f>
        <v/>
      </c>
      <c r="M1500" s="6" t="str">
        <f>IF($D1500="","",IF(ISNA(MATCH($D1500,'Paramètres'!$M:$M,0)),"⚠ Type inconnu",IF($L1500="Crédit","",IFERROR(INDEX('Paramètres'!$O:$O,MATCH($D1500,'Paramètres'!$M:$M,0))&amp;"",""))))</f>
        <v/>
      </c>
      <c r="N1500" s="6" t="str">
        <f>IF($D1500="","",IFERROR(INDEX('Paramètres'!$Q:$Q,MATCH($D1500,'Paramètres'!$M:$M,0))&amp;"",""))</f>
        <v/>
      </c>
      <c r="O1500" s="6" t="str">
        <f>IF($A1500="","",IF(OR($J1500&lt;&gt;"x",$A1500&lt;=FinReleve),1,0))</f>
        <v/>
      </c>
      <c r="P1500" s="6" t="str">
        <f>IF($D1500="","",IF(AND($L1500="Crédit",OR(IFERROR(INDEX('Paramètres'!$O:$O,MATCH($D1500,'Paramètres'!$M:$M,0))&amp;"","")&lt;&gt;"",ISNUMBER(SEARCH("remboursement",IFERROR(INDEX('Paramètres'!$N:$N,MATCH($D1500,'Paramètres'!$M:$M,0))&amp;"",""))))),1,0))</f>
        <v/>
      </c>
      <c r="Q1500" s="6" t="str">
        <f>IF($K1500="","",IF(ISNUMBER(SEARCH("transfert-interne",IFERROR(INDEX('Paramètres'!$N:$N,MATCH($D1500,'Paramètres'!$M:$M,0))&amp;"",""))),0,IF($L1500="Débit",$K1500,IF($P1500=1,-$K1500,0))))</f>
        <v/>
      </c>
      <c r="R1500" s="6" t="str">
        <f>IF($K1500="","",IF($L1500="Crédit",$K1500,-$K1500))</f>
        <v/>
      </c>
      <c r="S1500" s="6" t="str">
        <f>IF($C1500="","",IFERROR(INDEX('Paramètres'!$H:$H,MATCH($C1500,'Paramètres'!$D:$D,0))&amp;"",""))</f>
        <v/>
      </c>
      <c r="T1500" s="6" t="str">
        <f>IF($K1500="","",IF($S1500="",0,IF(ISNUMBER(SEARCH("apport-exterieur",IFERROR(INDEX('Paramètres'!$N:$N,MATCH($D1500,'Paramètres'!$M:$M,0))&amp;"",""))),0,IF(OR(IFERROR(INDEX('Paramètres'!$I:$I,MATCH($C1500,'Paramètres'!$D:$D,0))&amp;"","")="Les deux",IFERROR(INDEX('Paramètres'!$I:$I,MATCH($C1500,'Paramètres'!$D:$D,0))&amp;"","")=IF($P1500=1,"Débit",$L1500)),-IF($P1500=1,-$K1500,$K1500),0))))</f>
        <v/>
      </c>
      <c r="U1500" s="6" t="str">
        <f>IF($K1500="","",IF(ISNUMBER(SEARCH("sortie-epargne",IFERROR(INDEX('Paramètres'!$N:$N,MATCH($D1500,'Paramètres'!$M:$M,0))&amp;"",""))),$K1500,0))</f>
        <v/>
      </c>
      <c r="V1500" s="6" t="str">
        <f>IF(AND($A1500&lt;&gt;"",$O1500=1,$L1500="Débit",N($Q1500)&gt;0,$A1500&gt;=Visualisation!$B$1,$A1500&lt;Visualisation!$D$1),MAX($V$1:V1499)+1,"")</f>
        <v/>
      </c>
    </row>
    <row r="1501" spans="1:22" x14ac:dyDescent="0.25">
      <c r="A1501" s="9"/>
      <c r="E1501" s="10"/>
      <c r="K1501" s="11" t="str">
        <f>IF($E1501="","",ROUND($E1501*IF(ISNA(MATCH($C1501,'Paramètres'!$D:$D,0)),1,IF(INDEX('Paramètres'!$J:$J,MATCH($C1501,'Paramètres'!$D:$D,0))="",1,INDEX('Paramètres'!$J:$J,MATCH($C1501,'Paramètres'!$D:$D,0)))),2))</f>
        <v/>
      </c>
      <c r="L1501" s="6" t="str">
        <f>IF($D1501="","",IF($F1501&lt;&gt;"",$F1501,IF(ISNA(MATCH($D1501,'Paramètres'!$M:$M,0)),"⚠ Type inconnu",IFERROR(INDEX('Paramètres'!$P:$P,MATCH($D1501,'Paramètres'!$M:$M,0))&amp;"",""))))</f>
        <v/>
      </c>
      <c r="M1501" s="6" t="str">
        <f>IF($D1501="","",IF(ISNA(MATCH($D1501,'Paramètres'!$M:$M,0)),"⚠ Type inconnu",IF($L1501="Crédit","",IFERROR(INDEX('Paramètres'!$O:$O,MATCH($D1501,'Paramètres'!$M:$M,0))&amp;"",""))))</f>
        <v/>
      </c>
      <c r="N1501" s="6" t="str">
        <f>IF($D1501="","",IFERROR(INDEX('Paramètres'!$Q:$Q,MATCH($D1501,'Paramètres'!$M:$M,0))&amp;"",""))</f>
        <v/>
      </c>
      <c r="O1501" s="6" t="str">
        <f>IF($A1501="","",IF(OR($J1501&lt;&gt;"x",$A1501&lt;=FinReleve),1,0))</f>
        <v/>
      </c>
      <c r="P1501" s="6" t="str">
        <f>IF($D1501="","",IF(AND($L1501="Crédit",OR(IFERROR(INDEX('Paramètres'!$O:$O,MATCH($D1501,'Paramètres'!$M:$M,0))&amp;"","")&lt;&gt;"",ISNUMBER(SEARCH("remboursement",IFERROR(INDEX('Paramètres'!$N:$N,MATCH($D1501,'Paramètres'!$M:$M,0))&amp;"",""))))),1,0))</f>
        <v/>
      </c>
      <c r="Q1501" s="6" t="str">
        <f>IF($K1501="","",IF(ISNUMBER(SEARCH("transfert-interne",IFERROR(INDEX('Paramètres'!$N:$N,MATCH($D1501,'Paramètres'!$M:$M,0))&amp;"",""))),0,IF($L1501="Débit",$K1501,IF($P1501=1,-$K1501,0))))</f>
        <v/>
      </c>
      <c r="R1501" s="6" t="str">
        <f>IF($K1501="","",IF($L1501="Crédit",$K1501,-$K1501))</f>
        <v/>
      </c>
      <c r="S1501" s="6" t="str">
        <f>IF($C1501="","",IFERROR(INDEX('Paramètres'!$H:$H,MATCH($C1501,'Paramètres'!$D:$D,0))&amp;"",""))</f>
        <v/>
      </c>
      <c r="T1501" s="6" t="str">
        <f>IF($K1501="","",IF($S1501="",0,IF(ISNUMBER(SEARCH("apport-exterieur",IFERROR(INDEX('Paramètres'!$N:$N,MATCH($D1501,'Paramètres'!$M:$M,0))&amp;"",""))),0,IF(OR(IFERROR(INDEX('Paramètres'!$I:$I,MATCH($C1501,'Paramètres'!$D:$D,0))&amp;"","")="Les deux",IFERROR(INDEX('Paramètres'!$I:$I,MATCH($C1501,'Paramètres'!$D:$D,0))&amp;"","")=IF($P1501=1,"Débit",$L1501)),-IF($P1501=1,-$K1501,$K1501),0))))</f>
        <v/>
      </c>
      <c r="U1501" s="6" t="str">
        <f>IF($K1501="","",IF(ISNUMBER(SEARCH("sortie-epargne",IFERROR(INDEX('Paramètres'!$N:$N,MATCH($D1501,'Paramètres'!$M:$M,0))&amp;"",""))),$K1501,0))</f>
        <v/>
      </c>
      <c r="V1501" s="6" t="str">
        <f>IF(AND($A1501&lt;&gt;"",$O1501=1,$L1501="Débit",N($Q1501)&gt;0,$A1501&gt;=Visualisation!$B$1,$A1501&lt;Visualisation!$D$1),MAX($V$1:V1500)+1,"")</f>
        <v/>
      </c>
    </row>
    <row r="1502" spans="1:22" x14ac:dyDescent="0.25">
      <c r="A1502" s="9"/>
      <c r="E1502" s="10"/>
      <c r="K1502" s="11" t="str">
        <f>IF($E1502="","",ROUND($E1502*IF(ISNA(MATCH($C1502,'Paramètres'!$D:$D,0)),1,IF(INDEX('Paramètres'!$J:$J,MATCH($C1502,'Paramètres'!$D:$D,0))="",1,INDEX('Paramètres'!$J:$J,MATCH($C1502,'Paramètres'!$D:$D,0)))),2))</f>
        <v/>
      </c>
      <c r="L1502" s="6" t="str">
        <f>IF($D1502="","",IF($F1502&lt;&gt;"",$F1502,IF(ISNA(MATCH($D1502,'Paramètres'!$M:$M,0)),"⚠ Type inconnu",IFERROR(INDEX('Paramètres'!$P:$P,MATCH($D1502,'Paramètres'!$M:$M,0))&amp;"",""))))</f>
        <v/>
      </c>
      <c r="M1502" s="6" t="str">
        <f>IF($D1502="","",IF(ISNA(MATCH($D1502,'Paramètres'!$M:$M,0)),"⚠ Type inconnu",IF($L1502="Crédit","",IFERROR(INDEX('Paramètres'!$O:$O,MATCH($D1502,'Paramètres'!$M:$M,0))&amp;"",""))))</f>
        <v/>
      </c>
      <c r="N1502" s="6" t="str">
        <f>IF($D1502="","",IFERROR(INDEX('Paramètres'!$Q:$Q,MATCH($D1502,'Paramètres'!$M:$M,0))&amp;"",""))</f>
        <v/>
      </c>
      <c r="O1502" s="6" t="str">
        <f>IF($A1502="","",IF(OR($J1502&lt;&gt;"x",$A1502&lt;=FinReleve),1,0))</f>
        <v/>
      </c>
      <c r="P1502" s="6" t="str">
        <f>IF($D1502="","",IF(AND($L1502="Crédit",OR(IFERROR(INDEX('Paramètres'!$O:$O,MATCH($D1502,'Paramètres'!$M:$M,0))&amp;"","")&lt;&gt;"",ISNUMBER(SEARCH("remboursement",IFERROR(INDEX('Paramètres'!$N:$N,MATCH($D1502,'Paramètres'!$M:$M,0))&amp;"",""))))),1,0))</f>
        <v/>
      </c>
      <c r="Q1502" s="6" t="str">
        <f>IF($K1502="","",IF(ISNUMBER(SEARCH("transfert-interne",IFERROR(INDEX('Paramètres'!$N:$N,MATCH($D1502,'Paramètres'!$M:$M,0))&amp;"",""))),0,IF($L1502="Débit",$K1502,IF($P1502=1,-$K1502,0))))</f>
        <v/>
      </c>
      <c r="R1502" s="6" t="str">
        <f>IF($K1502="","",IF($L1502="Crédit",$K1502,-$K1502))</f>
        <v/>
      </c>
      <c r="S1502" s="6" t="str">
        <f>IF($C1502="","",IFERROR(INDEX('Paramètres'!$H:$H,MATCH($C1502,'Paramètres'!$D:$D,0))&amp;"",""))</f>
        <v/>
      </c>
      <c r="T1502" s="6" t="str">
        <f>IF($K1502="","",IF($S1502="",0,IF(ISNUMBER(SEARCH("apport-exterieur",IFERROR(INDEX('Paramètres'!$N:$N,MATCH($D1502,'Paramètres'!$M:$M,0))&amp;"",""))),0,IF(OR(IFERROR(INDEX('Paramètres'!$I:$I,MATCH($C1502,'Paramètres'!$D:$D,0))&amp;"","")="Les deux",IFERROR(INDEX('Paramètres'!$I:$I,MATCH($C1502,'Paramètres'!$D:$D,0))&amp;"","")=IF($P1502=1,"Débit",$L1502)),-IF($P1502=1,-$K1502,$K1502),0))))</f>
        <v/>
      </c>
      <c r="U1502" s="6" t="str">
        <f>IF($K1502="","",IF(ISNUMBER(SEARCH("sortie-epargne",IFERROR(INDEX('Paramètres'!$N:$N,MATCH($D1502,'Paramètres'!$M:$M,0))&amp;"",""))),$K1502,0))</f>
        <v/>
      </c>
      <c r="V1502" s="6" t="str">
        <f>IF(AND($A1502&lt;&gt;"",$O1502=1,$L1502="Débit",N($Q1502)&gt;0,$A1502&gt;=Visualisation!$B$1,$A1502&lt;Visualisation!$D$1),MAX($V$1:V1501)+1,"")</f>
        <v/>
      </c>
    </row>
    <row r="1503" spans="1:22" x14ac:dyDescent="0.25">
      <c r="A1503" s="9"/>
      <c r="E1503" s="10"/>
      <c r="K1503" s="11" t="str">
        <f>IF($E1503="","",ROUND($E1503*IF(ISNA(MATCH($C1503,'Paramètres'!$D:$D,0)),1,IF(INDEX('Paramètres'!$J:$J,MATCH($C1503,'Paramètres'!$D:$D,0))="",1,INDEX('Paramètres'!$J:$J,MATCH($C1503,'Paramètres'!$D:$D,0)))),2))</f>
        <v/>
      </c>
      <c r="L1503" s="6" t="str">
        <f>IF($D1503="","",IF($F1503&lt;&gt;"",$F1503,IF(ISNA(MATCH($D1503,'Paramètres'!$M:$M,0)),"⚠ Type inconnu",IFERROR(INDEX('Paramètres'!$P:$P,MATCH($D1503,'Paramètres'!$M:$M,0))&amp;"",""))))</f>
        <v/>
      </c>
      <c r="M1503" s="6" t="str">
        <f>IF($D1503="","",IF(ISNA(MATCH($D1503,'Paramètres'!$M:$M,0)),"⚠ Type inconnu",IF($L1503="Crédit","",IFERROR(INDEX('Paramètres'!$O:$O,MATCH($D1503,'Paramètres'!$M:$M,0))&amp;"",""))))</f>
        <v/>
      </c>
      <c r="N1503" s="6" t="str">
        <f>IF($D1503="","",IFERROR(INDEX('Paramètres'!$Q:$Q,MATCH($D1503,'Paramètres'!$M:$M,0))&amp;"",""))</f>
        <v/>
      </c>
      <c r="O1503" s="6" t="str">
        <f>IF($A1503="","",IF(OR($J1503&lt;&gt;"x",$A1503&lt;=FinReleve),1,0))</f>
        <v/>
      </c>
      <c r="P1503" s="6" t="str">
        <f>IF($D1503="","",IF(AND($L1503="Crédit",OR(IFERROR(INDEX('Paramètres'!$O:$O,MATCH($D1503,'Paramètres'!$M:$M,0))&amp;"","")&lt;&gt;"",ISNUMBER(SEARCH("remboursement",IFERROR(INDEX('Paramètres'!$N:$N,MATCH($D1503,'Paramètres'!$M:$M,0))&amp;"",""))))),1,0))</f>
        <v/>
      </c>
      <c r="Q1503" s="6" t="str">
        <f>IF($K1503="","",IF(ISNUMBER(SEARCH("transfert-interne",IFERROR(INDEX('Paramètres'!$N:$N,MATCH($D1503,'Paramètres'!$M:$M,0))&amp;"",""))),0,IF($L1503="Débit",$K1503,IF($P1503=1,-$K1503,0))))</f>
        <v/>
      </c>
      <c r="R1503" s="6" t="str">
        <f>IF($K1503="","",IF($L1503="Crédit",$K1503,-$K1503))</f>
        <v/>
      </c>
      <c r="S1503" s="6" t="str">
        <f>IF($C1503="","",IFERROR(INDEX('Paramètres'!$H:$H,MATCH($C1503,'Paramètres'!$D:$D,0))&amp;"",""))</f>
        <v/>
      </c>
      <c r="T1503" s="6" t="str">
        <f>IF($K1503="","",IF($S1503="",0,IF(ISNUMBER(SEARCH("apport-exterieur",IFERROR(INDEX('Paramètres'!$N:$N,MATCH($D1503,'Paramètres'!$M:$M,0))&amp;"",""))),0,IF(OR(IFERROR(INDEX('Paramètres'!$I:$I,MATCH($C1503,'Paramètres'!$D:$D,0))&amp;"","")="Les deux",IFERROR(INDEX('Paramètres'!$I:$I,MATCH($C1503,'Paramètres'!$D:$D,0))&amp;"","")=IF($P1503=1,"Débit",$L1503)),-IF($P1503=1,-$K1503,$K1503),0))))</f>
        <v/>
      </c>
      <c r="U1503" s="6" t="str">
        <f>IF($K1503="","",IF(ISNUMBER(SEARCH("sortie-epargne",IFERROR(INDEX('Paramètres'!$N:$N,MATCH($D1503,'Paramètres'!$M:$M,0))&amp;"",""))),$K1503,0))</f>
        <v/>
      </c>
      <c r="V1503" s="6" t="str">
        <f>IF(AND($A1503&lt;&gt;"",$O1503=1,$L1503="Débit",N($Q1503)&gt;0,$A1503&gt;=Visualisation!$B$1,$A1503&lt;Visualisation!$D$1),MAX($V$1:V1502)+1,"")</f>
        <v/>
      </c>
    </row>
    <row r="1504" spans="1:22" x14ac:dyDescent="0.25">
      <c r="A1504" s="9"/>
      <c r="E1504" s="10"/>
      <c r="K1504" s="11" t="str">
        <f>IF($E1504="","",ROUND($E1504*IF(ISNA(MATCH($C1504,'Paramètres'!$D:$D,0)),1,IF(INDEX('Paramètres'!$J:$J,MATCH($C1504,'Paramètres'!$D:$D,0))="",1,INDEX('Paramètres'!$J:$J,MATCH($C1504,'Paramètres'!$D:$D,0)))),2))</f>
        <v/>
      </c>
      <c r="L1504" s="6" t="str">
        <f>IF($D1504="","",IF($F1504&lt;&gt;"",$F1504,IF(ISNA(MATCH($D1504,'Paramètres'!$M:$M,0)),"⚠ Type inconnu",IFERROR(INDEX('Paramètres'!$P:$P,MATCH($D1504,'Paramètres'!$M:$M,0))&amp;"",""))))</f>
        <v/>
      </c>
      <c r="M1504" s="6" t="str">
        <f>IF($D1504="","",IF(ISNA(MATCH($D1504,'Paramètres'!$M:$M,0)),"⚠ Type inconnu",IF($L1504="Crédit","",IFERROR(INDEX('Paramètres'!$O:$O,MATCH($D1504,'Paramètres'!$M:$M,0))&amp;"",""))))</f>
        <v/>
      </c>
      <c r="N1504" s="6" t="str">
        <f>IF($D1504="","",IFERROR(INDEX('Paramètres'!$Q:$Q,MATCH($D1504,'Paramètres'!$M:$M,0))&amp;"",""))</f>
        <v/>
      </c>
      <c r="O1504" s="6" t="str">
        <f>IF($A1504="","",IF(OR($J1504&lt;&gt;"x",$A1504&lt;=FinReleve),1,0))</f>
        <v/>
      </c>
      <c r="P1504" s="6" t="str">
        <f>IF($D1504="","",IF(AND($L1504="Crédit",OR(IFERROR(INDEX('Paramètres'!$O:$O,MATCH($D1504,'Paramètres'!$M:$M,0))&amp;"","")&lt;&gt;"",ISNUMBER(SEARCH("remboursement",IFERROR(INDEX('Paramètres'!$N:$N,MATCH($D1504,'Paramètres'!$M:$M,0))&amp;"",""))))),1,0))</f>
        <v/>
      </c>
      <c r="Q1504" s="6" t="str">
        <f>IF($K1504="","",IF(ISNUMBER(SEARCH("transfert-interne",IFERROR(INDEX('Paramètres'!$N:$N,MATCH($D1504,'Paramètres'!$M:$M,0))&amp;"",""))),0,IF($L1504="Débit",$K1504,IF($P1504=1,-$K1504,0))))</f>
        <v/>
      </c>
      <c r="R1504" s="6" t="str">
        <f>IF($K1504="","",IF($L1504="Crédit",$K1504,-$K1504))</f>
        <v/>
      </c>
      <c r="S1504" s="6" t="str">
        <f>IF($C1504="","",IFERROR(INDEX('Paramètres'!$H:$H,MATCH($C1504,'Paramètres'!$D:$D,0))&amp;"",""))</f>
        <v/>
      </c>
      <c r="T1504" s="6" t="str">
        <f>IF($K1504="","",IF($S1504="",0,IF(ISNUMBER(SEARCH("apport-exterieur",IFERROR(INDEX('Paramètres'!$N:$N,MATCH($D1504,'Paramètres'!$M:$M,0))&amp;"",""))),0,IF(OR(IFERROR(INDEX('Paramètres'!$I:$I,MATCH($C1504,'Paramètres'!$D:$D,0))&amp;"","")="Les deux",IFERROR(INDEX('Paramètres'!$I:$I,MATCH($C1504,'Paramètres'!$D:$D,0))&amp;"","")=IF($P1504=1,"Débit",$L1504)),-IF($P1504=1,-$K1504,$K1504),0))))</f>
        <v/>
      </c>
      <c r="U1504" s="6" t="str">
        <f>IF($K1504="","",IF(ISNUMBER(SEARCH("sortie-epargne",IFERROR(INDEX('Paramètres'!$N:$N,MATCH($D1504,'Paramètres'!$M:$M,0))&amp;"",""))),$K1504,0))</f>
        <v/>
      </c>
      <c r="V1504" s="6" t="str">
        <f>IF(AND($A1504&lt;&gt;"",$O1504=1,$L1504="Débit",N($Q1504)&gt;0,$A1504&gt;=Visualisation!$B$1,$A1504&lt;Visualisation!$D$1),MAX($V$1:V1503)+1,"")</f>
        <v/>
      </c>
    </row>
    <row r="1505" spans="1:22" x14ac:dyDescent="0.25">
      <c r="A1505" s="9"/>
      <c r="E1505" s="10"/>
      <c r="K1505" s="11" t="str">
        <f>IF($E1505="","",ROUND($E1505*IF(ISNA(MATCH($C1505,'Paramètres'!$D:$D,0)),1,IF(INDEX('Paramètres'!$J:$J,MATCH($C1505,'Paramètres'!$D:$D,0))="",1,INDEX('Paramètres'!$J:$J,MATCH($C1505,'Paramètres'!$D:$D,0)))),2))</f>
        <v/>
      </c>
      <c r="L1505" s="6" t="str">
        <f>IF($D1505="","",IF($F1505&lt;&gt;"",$F1505,IF(ISNA(MATCH($D1505,'Paramètres'!$M:$M,0)),"⚠ Type inconnu",IFERROR(INDEX('Paramètres'!$P:$P,MATCH($D1505,'Paramètres'!$M:$M,0))&amp;"",""))))</f>
        <v/>
      </c>
      <c r="M1505" s="6" t="str">
        <f>IF($D1505="","",IF(ISNA(MATCH($D1505,'Paramètres'!$M:$M,0)),"⚠ Type inconnu",IF($L1505="Crédit","",IFERROR(INDEX('Paramètres'!$O:$O,MATCH($D1505,'Paramètres'!$M:$M,0))&amp;"",""))))</f>
        <v/>
      </c>
      <c r="N1505" s="6" t="str">
        <f>IF($D1505="","",IFERROR(INDEX('Paramètres'!$Q:$Q,MATCH($D1505,'Paramètres'!$M:$M,0))&amp;"",""))</f>
        <v/>
      </c>
      <c r="O1505" s="6" t="str">
        <f>IF($A1505="","",IF(OR($J1505&lt;&gt;"x",$A1505&lt;=FinReleve),1,0))</f>
        <v/>
      </c>
      <c r="P1505" s="6" t="str">
        <f>IF($D1505="","",IF(AND($L1505="Crédit",OR(IFERROR(INDEX('Paramètres'!$O:$O,MATCH($D1505,'Paramètres'!$M:$M,0))&amp;"","")&lt;&gt;"",ISNUMBER(SEARCH("remboursement",IFERROR(INDEX('Paramètres'!$N:$N,MATCH($D1505,'Paramètres'!$M:$M,0))&amp;"",""))))),1,0))</f>
        <v/>
      </c>
      <c r="Q1505" s="6" t="str">
        <f>IF($K1505="","",IF(ISNUMBER(SEARCH("transfert-interne",IFERROR(INDEX('Paramètres'!$N:$N,MATCH($D1505,'Paramètres'!$M:$M,0))&amp;"",""))),0,IF($L1505="Débit",$K1505,IF($P1505=1,-$K1505,0))))</f>
        <v/>
      </c>
      <c r="R1505" s="6" t="str">
        <f>IF($K1505="","",IF($L1505="Crédit",$K1505,-$K1505))</f>
        <v/>
      </c>
      <c r="S1505" s="6" t="str">
        <f>IF($C1505="","",IFERROR(INDEX('Paramètres'!$H:$H,MATCH($C1505,'Paramètres'!$D:$D,0))&amp;"",""))</f>
        <v/>
      </c>
      <c r="T1505" s="6" t="str">
        <f>IF($K1505="","",IF($S1505="",0,IF(ISNUMBER(SEARCH("apport-exterieur",IFERROR(INDEX('Paramètres'!$N:$N,MATCH($D1505,'Paramètres'!$M:$M,0))&amp;"",""))),0,IF(OR(IFERROR(INDEX('Paramètres'!$I:$I,MATCH($C1505,'Paramètres'!$D:$D,0))&amp;"","")="Les deux",IFERROR(INDEX('Paramètres'!$I:$I,MATCH($C1505,'Paramètres'!$D:$D,0))&amp;"","")=IF($P1505=1,"Débit",$L1505)),-IF($P1505=1,-$K1505,$K1505),0))))</f>
        <v/>
      </c>
      <c r="U1505" s="6" t="str">
        <f>IF($K1505="","",IF(ISNUMBER(SEARCH("sortie-epargne",IFERROR(INDEX('Paramètres'!$N:$N,MATCH($D1505,'Paramètres'!$M:$M,0))&amp;"",""))),$K1505,0))</f>
        <v/>
      </c>
      <c r="V1505" s="6" t="str">
        <f>IF(AND($A1505&lt;&gt;"",$O1505=1,$L1505="Débit",N($Q1505)&gt;0,$A1505&gt;=Visualisation!$B$1,$A1505&lt;Visualisation!$D$1),MAX($V$1:V1504)+1,"")</f>
        <v/>
      </c>
    </row>
    <row r="1506" spans="1:22" x14ac:dyDescent="0.25">
      <c r="A1506" s="9"/>
      <c r="E1506" s="10"/>
      <c r="K1506" s="11" t="str">
        <f>IF($E1506="","",ROUND($E1506*IF(ISNA(MATCH($C1506,'Paramètres'!$D:$D,0)),1,IF(INDEX('Paramètres'!$J:$J,MATCH($C1506,'Paramètres'!$D:$D,0))="",1,INDEX('Paramètres'!$J:$J,MATCH($C1506,'Paramètres'!$D:$D,0)))),2))</f>
        <v/>
      </c>
      <c r="L1506" s="6" t="str">
        <f>IF($D1506="","",IF($F1506&lt;&gt;"",$F1506,IF(ISNA(MATCH($D1506,'Paramètres'!$M:$M,0)),"⚠ Type inconnu",IFERROR(INDEX('Paramètres'!$P:$P,MATCH($D1506,'Paramètres'!$M:$M,0))&amp;"",""))))</f>
        <v/>
      </c>
      <c r="M1506" s="6" t="str">
        <f>IF($D1506="","",IF(ISNA(MATCH($D1506,'Paramètres'!$M:$M,0)),"⚠ Type inconnu",IF($L1506="Crédit","",IFERROR(INDEX('Paramètres'!$O:$O,MATCH($D1506,'Paramètres'!$M:$M,0))&amp;"",""))))</f>
        <v/>
      </c>
      <c r="N1506" s="6" t="str">
        <f>IF($D1506="","",IFERROR(INDEX('Paramètres'!$Q:$Q,MATCH($D1506,'Paramètres'!$M:$M,0))&amp;"",""))</f>
        <v/>
      </c>
      <c r="O1506" s="6" t="str">
        <f>IF($A1506="","",IF(OR($J1506&lt;&gt;"x",$A1506&lt;=FinReleve),1,0))</f>
        <v/>
      </c>
      <c r="P1506" s="6" t="str">
        <f>IF($D1506="","",IF(AND($L1506="Crédit",OR(IFERROR(INDEX('Paramètres'!$O:$O,MATCH($D1506,'Paramètres'!$M:$M,0))&amp;"","")&lt;&gt;"",ISNUMBER(SEARCH("remboursement",IFERROR(INDEX('Paramètres'!$N:$N,MATCH($D1506,'Paramètres'!$M:$M,0))&amp;"",""))))),1,0))</f>
        <v/>
      </c>
      <c r="Q1506" s="6" t="str">
        <f>IF($K1506="","",IF(ISNUMBER(SEARCH("transfert-interne",IFERROR(INDEX('Paramètres'!$N:$N,MATCH($D1506,'Paramètres'!$M:$M,0))&amp;"",""))),0,IF($L1506="Débit",$K1506,IF($P1506=1,-$K1506,0))))</f>
        <v/>
      </c>
      <c r="R1506" s="6" t="str">
        <f>IF($K1506="","",IF($L1506="Crédit",$K1506,-$K1506))</f>
        <v/>
      </c>
      <c r="S1506" s="6" t="str">
        <f>IF($C1506="","",IFERROR(INDEX('Paramètres'!$H:$H,MATCH($C1506,'Paramètres'!$D:$D,0))&amp;"",""))</f>
        <v/>
      </c>
      <c r="T1506" s="6" t="str">
        <f>IF($K1506="","",IF($S1506="",0,IF(ISNUMBER(SEARCH("apport-exterieur",IFERROR(INDEX('Paramètres'!$N:$N,MATCH($D1506,'Paramètres'!$M:$M,0))&amp;"",""))),0,IF(OR(IFERROR(INDEX('Paramètres'!$I:$I,MATCH($C1506,'Paramètres'!$D:$D,0))&amp;"","")="Les deux",IFERROR(INDEX('Paramètres'!$I:$I,MATCH($C1506,'Paramètres'!$D:$D,0))&amp;"","")=IF($P1506=1,"Débit",$L1506)),-IF($P1506=1,-$K1506,$K1506),0))))</f>
        <v/>
      </c>
      <c r="U1506" s="6" t="str">
        <f>IF($K1506="","",IF(ISNUMBER(SEARCH("sortie-epargne",IFERROR(INDEX('Paramètres'!$N:$N,MATCH($D1506,'Paramètres'!$M:$M,0))&amp;"",""))),$K1506,0))</f>
        <v/>
      </c>
      <c r="V1506" s="6" t="str">
        <f>IF(AND($A1506&lt;&gt;"",$O1506=1,$L1506="Débit",N($Q1506)&gt;0,$A1506&gt;=Visualisation!$B$1,$A1506&lt;Visualisation!$D$1),MAX($V$1:V1505)+1,"")</f>
        <v/>
      </c>
    </row>
    <row r="1507" spans="1:22" x14ac:dyDescent="0.25">
      <c r="A1507" s="9"/>
      <c r="E1507" s="10"/>
      <c r="K1507" s="11" t="str">
        <f>IF($E1507="","",ROUND($E1507*IF(ISNA(MATCH($C1507,'Paramètres'!$D:$D,0)),1,IF(INDEX('Paramètres'!$J:$J,MATCH($C1507,'Paramètres'!$D:$D,0))="",1,INDEX('Paramètres'!$J:$J,MATCH($C1507,'Paramètres'!$D:$D,0)))),2))</f>
        <v/>
      </c>
      <c r="L1507" s="6" t="str">
        <f>IF($D1507="","",IF($F1507&lt;&gt;"",$F1507,IF(ISNA(MATCH($D1507,'Paramètres'!$M:$M,0)),"⚠ Type inconnu",IFERROR(INDEX('Paramètres'!$P:$P,MATCH($D1507,'Paramètres'!$M:$M,0))&amp;"",""))))</f>
        <v/>
      </c>
      <c r="M1507" s="6" t="str">
        <f>IF($D1507="","",IF(ISNA(MATCH($D1507,'Paramètres'!$M:$M,0)),"⚠ Type inconnu",IF($L1507="Crédit","",IFERROR(INDEX('Paramètres'!$O:$O,MATCH($D1507,'Paramètres'!$M:$M,0))&amp;"",""))))</f>
        <v/>
      </c>
      <c r="N1507" s="6" t="str">
        <f>IF($D1507="","",IFERROR(INDEX('Paramètres'!$Q:$Q,MATCH($D1507,'Paramètres'!$M:$M,0))&amp;"",""))</f>
        <v/>
      </c>
      <c r="O1507" s="6" t="str">
        <f>IF($A1507="","",IF(OR($J1507&lt;&gt;"x",$A1507&lt;=FinReleve),1,0))</f>
        <v/>
      </c>
      <c r="P1507" s="6" t="str">
        <f>IF($D1507="","",IF(AND($L1507="Crédit",OR(IFERROR(INDEX('Paramètres'!$O:$O,MATCH($D1507,'Paramètres'!$M:$M,0))&amp;"","")&lt;&gt;"",ISNUMBER(SEARCH("remboursement",IFERROR(INDEX('Paramètres'!$N:$N,MATCH($D1507,'Paramètres'!$M:$M,0))&amp;"",""))))),1,0))</f>
        <v/>
      </c>
      <c r="Q1507" s="6" t="str">
        <f>IF($K1507="","",IF(ISNUMBER(SEARCH("transfert-interne",IFERROR(INDEX('Paramètres'!$N:$N,MATCH($D1507,'Paramètres'!$M:$M,0))&amp;"",""))),0,IF($L1507="Débit",$K1507,IF($P1507=1,-$K1507,0))))</f>
        <v/>
      </c>
      <c r="R1507" s="6" t="str">
        <f>IF($K1507="","",IF($L1507="Crédit",$K1507,-$K1507))</f>
        <v/>
      </c>
      <c r="S1507" s="6" t="str">
        <f>IF($C1507="","",IFERROR(INDEX('Paramètres'!$H:$H,MATCH($C1507,'Paramètres'!$D:$D,0))&amp;"",""))</f>
        <v/>
      </c>
      <c r="T1507" s="6" t="str">
        <f>IF($K1507="","",IF($S1507="",0,IF(ISNUMBER(SEARCH("apport-exterieur",IFERROR(INDEX('Paramètres'!$N:$N,MATCH($D1507,'Paramètres'!$M:$M,0))&amp;"",""))),0,IF(OR(IFERROR(INDEX('Paramètres'!$I:$I,MATCH($C1507,'Paramètres'!$D:$D,0))&amp;"","")="Les deux",IFERROR(INDEX('Paramètres'!$I:$I,MATCH($C1507,'Paramètres'!$D:$D,0))&amp;"","")=IF($P1507=1,"Débit",$L1507)),-IF($P1507=1,-$K1507,$K1507),0))))</f>
        <v/>
      </c>
      <c r="U1507" s="6" t="str">
        <f>IF($K1507="","",IF(ISNUMBER(SEARCH("sortie-epargne",IFERROR(INDEX('Paramètres'!$N:$N,MATCH($D1507,'Paramètres'!$M:$M,0))&amp;"",""))),$K1507,0))</f>
        <v/>
      </c>
      <c r="V1507" s="6" t="str">
        <f>IF(AND($A1507&lt;&gt;"",$O1507=1,$L1507="Débit",N($Q1507)&gt;0,$A1507&gt;=Visualisation!$B$1,$A1507&lt;Visualisation!$D$1),MAX($V$1:V1506)+1,"")</f>
        <v/>
      </c>
    </row>
    <row r="1508" spans="1:22" x14ac:dyDescent="0.25">
      <c r="A1508" s="9"/>
      <c r="E1508" s="10"/>
      <c r="K1508" s="11" t="str">
        <f>IF($E1508="","",ROUND($E1508*IF(ISNA(MATCH($C1508,'Paramètres'!$D:$D,0)),1,IF(INDEX('Paramètres'!$J:$J,MATCH($C1508,'Paramètres'!$D:$D,0))="",1,INDEX('Paramètres'!$J:$J,MATCH($C1508,'Paramètres'!$D:$D,0)))),2))</f>
        <v/>
      </c>
      <c r="L1508" s="6" t="str">
        <f>IF($D1508="","",IF($F1508&lt;&gt;"",$F1508,IF(ISNA(MATCH($D1508,'Paramètres'!$M:$M,0)),"⚠ Type inconnu",IFERROR(INDEX('Paramètres'!$P:$P,MATCH($D1508,'Paramètres'!$M:$M,0))&amp;"",""))))</f>
        <v/>
      </c>
      <c r="M1508" s="6" t="str">
        <f>IF($D1508="","",IF(ISNA(MATCH($D1508,'Paramètres'!$M:$M,0)),"⚠ Type inconnu",IF($L1508="Crédit","",IFERROR(INDEX('Paramètres'!$O:$O,MATCH($D1508,'Paramètres'!$M:$M,0))&amp;"",""))))</f>
        <v/>
      </c>
      <c r="N1508" s="6" t="str">
        <f>IF($D1508="","",IFERROR(INDEX('Paramètres'!$Q:$Q,MATCH($D1508,'Paramètres'!$M:$M,0))&amp;"",""))</f>
        <v/>
      </c>
      <c r="O1508" s="6" t="str">
        <f>IF($A1508="","",IF(OR($J1508&lt;&gt;"x",$A1508&lt;=FinReleve),1,0))</f>
        <v/>
      </c>
      <c r="P1508" s="6" t="str">
        <f>IF($D1508="","",IF(AND($L1508="Crédit",OR(IFERROR(INDEX('Paramètres'!$O:$O,MATCH($D1508,'Paramètres'!$M:$M,0))&amp;"","")&lt;&gt;"",ISNUMBER(SEARCH("remboursement",IFERROR(INDEX('Paramètres'!$N:$N,MATCH($D1508,'Paramètres'!$M:$M,0))&amp;"",""))))),1,0))</f>
        <v/>
      </c>
      <c r="Q1508" s="6" t="str">
        <f>IF($K1508="","",IF(ISNUMBER(SEARCH("transfert-interne",IFERROR(INDEX('Paramètres'!$N:$N,MATCH($D1508,'Paramètres'!$M:$M,0))&amp;"",""))),0,IF($L1508="Débit",$K1508,IF($P1508=1,-$K1508,0))))</f>
        <v/>
      </c>
      <c r="R1508" s="6" t="str">
        <f>IF($K1508="","",IF($L1508="Crédit",$K1508,-$K1508))</f>
        <v/>
      </c>
      <c r="S1508" s="6" t="str">
        <f>IF($C1508="","",IFERROR(INDEX('Paramètres'!$H:$H,MATCH($C1508,'Paramètres'!$D:$D,0))&amp;"",""))</f>
        <v/>
      </c>
      <c r="T1508" s="6" t="str">
        <f>IF($K1508="","",IF($S1508="",0,IF(ISNUMBER(SEARCH("apport-exterieur",IFERROR(INDEX('Paramètres'!$N:$N,MATCH($D1508,'Paramètres'!$M:$M,0))&amp;"",""))),0,IF(OR(IFERROR(INDEX('Paramètres'!$I:$I,MATCH($C1508,'Paramètres'!$D:$D,0))&amp;"","")="Les deux",IFERROR(INDEX('Paramètres'!$I:$I,MATCH($C1508,'Paramètres'!$D:$D,0))&amp;"","")=IF($P1508=1,"Débit",$L1508)),-IF($P1508=1,-$K1508,$K1508),0))))</f>
        <v/>
      </c>
      <c r="U1508" s="6" t="str">
        <f>IF($K1508="","",IF(ISNUMBER(SEARCH("sortie-epargne",IFERROR(INDEX('Paramètres'!$N:$N,MATCH($D1508,'Paramètres'!$M:$M,0))&amp;"",""))),$K1508,0))</f>
        <v/>
      </c>
      <c r="V1508" s="6" t="str">
        <f>IF(AND($A1508&lt;&gt;"",$O1508=1,$L1508="Débit",N($Q1508)&gt;0,$A1508&gt;=Visualisation!$B$1,$A1508&lt;Visualisation!$D$1),MAX($V$1:V1507)+1,"")</f>
        <v/>
      </c>
    </row>
    <row r="1509" spans="1:22" x14ac:dyDescent="0.25">
      <c r="A1509" s="9"/>
      <c r="E1509" s="10"/>
      <c r="K1509" s="11" t="str">
        <f>IF($E1509="","",ROUND($E1509*IF(ISNA(MATCH($C1509,'Paramètres'!$D:$D,0)),1,IF(INDEX('Paramètres'!$J:$J,MATCH($C1509,'Paramètres'!$D:$D,0))="",1,INDEX('Paramètres'!$J:$J,MATCH($C1509,'Paramètres'!$D:$D,0)))),2))</f>
        <v/>
      </c>
      <c r="L1509" s="6" t="str">
        <f>IF($D1509="","",IF($F1509&lt;&gt;"",$F1509,IF(ISNA(MATCH($D1509,'Paramètres'!$M:$M,0)),"⚠ Type inconnu",IFERROR(INDEX('Paramètres'!$P:$P,MATCH($D1509,'Paramètres'!$M:$M,0))&amp;"",""))))</f>
        <v/>
      </c>
      <c r="M1509" s="6" t="str">
        <f>IF($D1509="","",IF(ISNA(MATCH($D1509,'Paramètres'!$M:$M,0)),"⚠ Type inconnu",IF($L1509="Crédit","",IFERROR(INDEX('Paramètres'!$O:$O,MATCH($D1509,'Paramètres'!$M:$M,0))&amp;"",""))))</f>
        <v/>
      </c>
      <c r="N1509" s="6" t="str">
        <f>IF($D1509="","",IFERROR(INDEX('Paramètres'!$Q:$Q,MATCH($D1509,'Paramètres'!$M:$M,0))&amp;"",""))</f>
        <v/>
      </c>
      <c r="O1509" s="6" t="str">
        <f>IF($A1509="","",IF(OR($J1509&lt;&gt;"x",$A1509&lt;=FinReleve),1,0))</f>
        <v/>
      </c>
      <c r="P1509" s="6" t="str">
        <f>IF($D1509="","",IF(AND($L1509="Crédit",OR(IFERROR(INDEX('Paramètres'!$O:$O,MATCH($D1509,'Paramètres'!$M:$M,0))&amp;"","")&lt;&gt;"",ISNUMBER(SEARCH("remboursement",IFERROR(INDEX('Paramètres'!$N:$N,MATCH($D1509,'Paramètres'!$M:$M,0))&amp;"",""))))),1,0))</f>
        <v/>
      </c>
      <c r="Q1509" s="6" t="str">
        <f>IF($K1509="","",IF(ISNUMBER(SEARCH("transfert-interne",IFERROR(INDEX('Paramètres'!$N:$N,MATCH($D1509,'Paramètres'!$M:$M,0))&amp;"",""))),0,IF($L1509="Débit",$K1509,IF($P1509=1,-$K1509,0))))</f>
        <v/>
      </c>
      <c r="R1509" s="6" t="str">
        <f>IF($K1509="","",IF($L1509="Crédit",$K1509,-$K1509))</f>
        <v/>
      </c>
      <c r="S1509" s="6" t="str">
        <f>IF($C1509="","",IFERROR(INDEX('Paramètres'!$H:$H,MATCH($C1509,'Paramètres'!$D:$D,0))&amp;"",""))</f>
        <v/>
      </c>
      <c r="T1509" s="6" t="str">
        <f>IF($K1509="","",IF($S1509="",0,IF(ISNUMBER(SEARCH("apport-exterieur",IFERROR(INDEX('Paramètres'!$N:$N,MATCH($D1509,'Paramètres'!$M:$M,0))&amp;"",""))),0,IF(OR(IFERROR(INDEX('Paramètres'!$I:$I,MATCH($C1509,'Paramètres'!$D:$D,0))&amp;"","")="Les deux",IFERROR(INDEX('Paramètres'!$I:$I,MATCH($C1509,'Paramètres'!$D:$D,0))&amp;"","")=IF($P1509=1,"Débit",$L1509)),-IF($P1509=1,-$K1509,$K1509),0))))</f>
        <v/>
      </c>
      <c r="U1509" s="6" t="str">
        <f>IF($K1509="","",IF(ISNUMBER(SEARCH("sortie-epargne",IFERROR(INDEX('Paramètres'!$N:$N,MATCH($D1509,'Paramètres'!$M:$M,0))&amp;"",""))),$K1509,0))</f>
        <v/>
      </c>
      <c r="V1509" s="6" t="str">
        <f>IF(AND($A1509&lt;&gt;"",$O1509=1,$L1509="Débit",N($Q1509)&gt;0,$A1509&gt;=Visualisation!$B$1,$A1509&lt;Visualisation!$D$1),MAX($V$1:V1508)+1,"")</f>
        <v/>
      </c>
    </row>
    <row r="1510" spans="1:22" x14ac:dyDescent="0.25">
      <c r="A1510" s="9"/>
      <c r="E1510" s="10"/>
      <c r="K1510" s="11" t="str">
        <f>IF($E1510="","",ROUND($E1510*IF(ISNA(MATCH($C1510,'Paramètres'!$D:$D,0)),1,IF(INDEX('Paramètres'!$J:$J,MATCH($C1510,'Paramètres'!$D:$D,0))="",1,INDEX('Paramètres'!$J:$J,MATCH($C1510,'Paramètres'!$D:$D,0)))),2))</f>
        <v/>
      </c>
      <c r="L1510" s="6" t="str">
        <f>IF($D1510="","",IF($F1510&lt;&gt;"",$F1510,IF(ISNA(MATCH($D1510,'Paramètres'!$M:$M,0)),"⚠ Type inconnu",IFERROR(INDEX('Paramètres'!$P:$P,MATCH($D1510,'Paramètres'!$M:$M,0))&amp;"",""))))</f>
        <v/>
      </c>
      <c r="M1510" s="6" t="str">
        <f>IF($D1510="","",IF(ISNA(MATCH($D1510,'Paramètres'!$M:$M,0)),"⚠ Type inconnu",IF($L1510="Crédit","",IFERROR(INDEX('Paramètres'!$O:$O,MATCH($D1510,'Paramètres'!$M:$M,0))&amp;"",""))))</f>
        <v/>
      </c>
      <c r="N1510" s="6" t="str">
        <f>IF($D1510="","",IFERROR(INDEX('Paramètres'!$Q:$Q,MATCH($D1510,'Paramètres'!$M:$M,0))&amp;"",""))</f>
        <v/>
      </c>
      <c r="O1510" s="6" t="str">
        <f>IF($A1510="","",IF(OR($J1510&lt;&gt;"x",$A1510&lt;=FinReleve),1,0))</f>
        <v/>
      </c>
      <c r="P1510" s="6" t="str">
        <f>IF($D1510="","",IF(AND($L1510="Crédit",OR(IFERROR(INDEX('Paramètres'!$O:$O,MATCH($D1510,'Paramètres'!$M:$M,0))&amp;"","")&lt;&gt;"",ISNUMBER(SEARCH("remboursement",IFERROR(INDEX('Paramètres'!$N:$N,MATCH($D1510,'Paramètres'!$M:$M,0))&amp;"",""))))),1,0))</f>
        <v/>
      </c>
      <c r="Q1510" s="6" t="str">
        <f>IF($K1510="","",IF(ISNUMBER(SEARCH("transfert-interne",IFERROR(INDEX('Paramètres'!$N:$N,MATCH($D1510,'Paramètres'!$M:$M,0))&amp;"",""))),0,IF($L1510="Débit",$K1510,IF($P1510=1,-$K1510,0))))</f>
        <v/>
      </c>
      <c r="R1510" s="6" t="str">
        <f>IF($K1510="","",IF($L1510="Crédit",$K1510,-$K1510))</f>
        <v/>
      </c>
      <c r="S1510" s="6" t="str">
        <f>IF($C1510="","",IFERROR(INDEX('Paramètres'!$H:$H,MATCH($C1510,'Paramètres'!$D:$D,0))&amp;"",""))</f>
        <v/>
      </c>
      <c r="T1510" s="6" t="str">
        <f>IF($K1510="","",IF($S1510="",0,IF(ISNUMBER(SEARCH("apport-exterieur",IFERROR(INDEX('Paramètres'!$N:$N,MATCH($D1510,'Paramètres'!$M:$M,0))&amp;"",""))),0,IF(OR(IFERROR(INDEX('Paramètres'!$I:$I,MATCH($C1510,'Paramètres'!$D:$D,0))&amp;"","")="Les deux",IFERROR(INDEX('Paramètres'!$I:$I,MATCH($C1510,'Paramètres'!$D:$D,0))&amp;"","")=IF($P1510=1,"Débit",$L1510)),-IF($P1510=1,-$K1510,$K1510),0))))</f>
        <v/>
      </c>
      <c r="U1510" s="6" t="str">
        <f>IF($K1510="","",IF(ISNUMBER(SEARCH("sortie-epargne",IFERROR(INDEX('Paramètres'!$N:$N,MATCH($D1510,'Paramètres'!$M:$M,0))&amp;"",""))),$K1510,0))</f>
        <v/>
      </c>
      <c r="V1510" s="6" t="str">
        <f>IF(AND($A1510&lt;&gt;"",$O1510=1,$L1510="Débit",N($Q1510)&gt;0,$A1510&gt;=Visualisation!$B$1,$A1510&lt;Visualisation!$D$1),MAX($V$1:V1509)+1,"")</f>
        <v/>
      </c>
    </row>
    <row r="1511" spans="1:22" x14ac:dyDescent="0.25">
      <c r="A1511" s="9"/>
      <c r="E1511" s="10"/>
      <c r="K1511" s="11" t="str">
        <f>IF($E1511="","",ROUND($E1511*IF(ISNA(MATCH($C1511,'Paramètres'!$D:$D,0)),1,IF(INDEX('Paramètres'!$J:$J,MATCH($C1511,'Paramètres'!$D:$D,0))="",1,INDEX('Paramètres'!$J:$J,MATCH($C1511,'Paramètres'!$D:$D,0)))),2))</f>
        <v/>
      </c>
      <c r="L1511" s="6" t="str">
        <f>IF($D1511="","",IF($F1511&lt;&gt;"",$F1511,IF(ISNA(MATCH($D1511,'Paramètres'!$M:$M,0)),"⚠ Type inconnu",IFERROR(INDEX('Paramètres'!$P:$P,MATCH($D1511,'Paramètres'!$M:$M,0))&amp;"",""))))</f>
        <v/>
      </c>
      <c r="M1511" s="6" t="str">
        <f>IF($D1511="","",IF(ISNA(MATCH($D1511,'Paramètres'!$M:$M,0)),"⚠ Type inconnu",IF($L1511="Crédit","",IFERROR(INDEX('Paramètres'!$O:$O,MATCH($D1511,'Paramètres'!$M:$M,0))&amp;"",""))))</f>
        <v/>
      </c>
      <c r="N1511" s="6" t="str">
        <f>IF($D1511="","",IFERROR(INDEX('Paramètres'!$Q:$Q,MATCH($D1511,'Paramètres'!$M:$M,0))&amp;"",""))</f>
        <v/>
      </c>
      <c r="O1511" s="6" t="str">
        <f>IF($A1511="","",IF(OR($J1511&lt;&gt;"x",$A1511&lt;=FinReleve),1,0))</f>
        <v/>
      </c>
      <c r="P1511" s="6" t="str">
        <f>IF($D1511="","",IF(AND($L1511="Crédit",OR(IFERROR(INDEX('Paramètres'!$O:$O,MATCH($D1511,'Paramètres'!$M:$M,0))&amp;"","")&lt;&gt;"",ISNUMBER(SEARCH("remboursement",IFERROR(INDEX('Paramètres'!$N:$N,MATCH($D1511,'Paramètres'!$M:$M,0))&amp;"",""))))),1,0))</f>
        <v/>
      </c>
      <c r="Q1511" s="6" t="str">
        <f>IF($K1511="","",IF(ISNUMBER(SEARCH("transfert-interne",IFERROR(INDEX('Paramètres'!$N:$N,MATCH($D1511,'Paramètres'!$M:$M,0))&amp;"",""))),0,IF($L1511="Débit",$K1511,IF($P1511=1,-$K1511,0))))</f>
        <v/>
      </c>
      <c r="R1511" s="6" t="str">
        <f>IF($K1511="","",IF($L1511="Crédit",$K1511,-$K1511))</f>
        <v/>
      </c>
      <c r="S1511" s="6" t="str">
        <f>IF($C1511="","",IFERROR(INDEX('Paramètres'!$H:$H,MATCH($C1511,'Paramètres'!$D:$D,0))&amp;"",""))</f>
        <v/>
      </c>
      <c r="T1511" s="6" t="str">
        <f>IF($K1511="","",IF($S1511="",0,IF(ISNUMBER(SEARCH("apport-exterieur",IFERROR(INDEX('Paramètres'!$N:$N,MATCH($D1511,'Paramètres'!$M:$M,0))&amp;"",""))),0,IF(OR(IFERROR(INDEX('Paramètres'!$I:$I,MATCH($C1511,'Paramètres'!$D:$D,0))&amp;"","")="Les deux",IFERROR(INDEX('Paramètres'!$I:$I,MATCH($C1511,'Paramètres'!$D:$D,0))&amp;"","")=IF($P1511=1,"Débit",$L1511)),-IF($P1511=1,-$K1511,$K1511),0))))</f>
        <v/>
      </c>
      <c r="U1511" s="6" t="str">
        <f>IF($K1511="","",IF(ISNUMBER(SEARCH("sortie-epargne",IFERROR(INDEX('Paramètres'!$N:$N,MATCH($D1511,'Paramètres'!$M:$M,0))&amp;"",""))),$K1511,0))</f>
        <v/>
      </c>
      <c r="V1511" s="6" t="str">
        <f>IF(AND($A1511&lt;&gt;"",$O1511=1,$L1511="Débit",N($Q1511)&gt;0,$A1511&gt;=Visualisation!$B$1,$A1511&lt;Visualisation!$D$1),MAX($V$1:V1510)+1,"")</f>
        <v/>
      </c>
    </row>
    <row r="1512" spans="1:22" x14ac:dyDescent="0.25">
      <c r="A1512" s="9"/>
      <c r="E1512" s="10"/>
      <c r="K1512" s="11" t="str">
        <f>IF($E1512="","",ROUND($E1512*IF(ISNA(MATCH($C1512,'Paramètres'!$D:$D,0)),1,IF(INDEX('Paramètres'!$J:$J,MATCH($C1512,'Paramètres'!$D:$D,0))="",1,INDEX('Paramètres'!$J:$J,MATCH($C1512,'Paramètres'!$D:$D,0)))),2))</f>
        <v/>
      </c>
      <c r="L1512" s="6" t="str">
        <f>IF($D1512="","",IF($F1512&lt;&gt;"",$F1512,IF(ISNA(MATCH($D1512,'Paramètres'!$M:$M,0)),"⚠ Type inconnu",IFERROR(INDEX('Paramètres'!$P:$P,MATCH($D1512,'Paramètres'!$M:$M,0))&amp;"",""))))</f>
        <v/>
      </c>
      <c r="M1512" s="6" t="str">
        <f>IF($D1512="","",IF(ISNA(MATCH($D1512,'Paramètres'!$M:$M,0)),"⚠ Type inconnu",IF($L1512="Crédit","",IFERROR(INDEX('Paramètres'!$O:$O,MATCH($D1512,'Paramètres'!$M:$M,0))&amp;"",""))))</f>
        <v/>
      </c>
      <c r="N1512" s="6" t="str">
        <f>IF($D1512="","",IFERROR(INDEX('Paramètres'!$Q:$Q,MATCH($D1512,'Paramètres'!$M:$M,0))&amp;"",""))</f>
        <v/>
      </c>
      <c r="O1512" s="6" t="str">
        <f>IF($A1512="","",IF(OR($J1512&lt;&gt;"x",$A1512&lt;=FinReleve),1,0))</f>
        <v/>
      </c>
      <c r="P1512" s="6" t="str">
        <f>IF($D1512="","",IF(AND($L1512="Crédit",OR(IFERROR(INDEX('Paramètres'!$O:$O,MATCH($D1512,'Paramètres'!$M:$M,0))&amp;"","")&lt;&gt;"",ISNUMBER(SEARCH("remboursement",IFERROR(INDEX('Paramètres'!$N:$N,MATCH($D1512,'Paramètres'!$M:$M,0))&amp;"",""))))),1,0))</f>
        <v/>
      </c>
      <c r="Q1512" s="6" t="str">
        <f>IF($K1512="","",IF(ISNUMBER(SEARCH("transfert-interne",IFERROR(INDEX('Paramètres'!$N:$N,MATCH($D1512,'Paramètres'!$M:$M,0))&amp;"",""))),0,IF($L1512="Débit",$K1512,IF($P1512=1,-$K1512,0))))</f>
        <v/>
      </c>
      <c r="R1512" s="6" t="str">
        <f>IF($K1512="","",IF($L1512="Crédit",$K1512,-$K1512))</f>
        <v/>
      </c>
      <c r="S1512" s="6" t="str">
        <f>IF($C1512="","",IFERROR(INDEX('Paramètres'!$H:$H,MATCH($C1512,'Paramètres'!$D:$D,0))&amp;"",""))</f>
        <v/>
      </c>
      <c r="T1512" s="6" t="str">
        <f>IF($K1512="","",IF($S1512="",0,IF(ISNUMBER(SEARCH("apport-exterieur",IFERROR(INDEX('Paramètres'!$N:$N,MATCH($D1512,'Paramètres'!$M:$M,0))&amp;"",""))),0,IF(OR(IFERROR(INDEX('Paramètres'!$I:$I,MATCH($C1512,'Paramètres'!$D:$D,0))&amp;"","")="Les deux",IFERROR(INDEX('Paramètres'!$I:$I,MATCH($C1512,'Paramètres'!$D:$D,0))&amp;"","")=IF($P1512=1,"Débit",$L1512)),-IF($P1512=1,-$K1512,$K1512),0))))</f>
        <v/>
      </c>
      <c r="U1512" s="6" t="str">
        <f>IF($K1512="","",IF(ISNUMBER(SEARCH("sortie-epargne",IFERROR(INDEX('Paramètres'!$N:$N,MATCH($D1512,'Paramètres'!$M:$M,0))&amp;"",""))),$K1512,0))</f>
        <v/>
      </c>
      <c r="V1512" s="6" t="str">
        <f>IF(AND($A1512&lt;&gt;"",$O1512=1,$L1512="Débit",N($Q1512)&gt;0,$A1512&gt;=Visualisation!$B$1,$A1512&lt;Visualisation!$D$1),MAX($V$1:V1511)+1,"")</f>
        <v/>
      </c>
    </row>
    <row r="1513" spans="1:22" x14ac:dyDescent="0.25">
      <c r="A1513" s="9"/>
      <c r="E1513" s="10"/>
      <c r="K1513" s="11" t="str">
        <f>IF($E1513="","",ROUND($E1513*IF(ISNA(MATCH($C1513,'Paramètres'!$D:$D,0)),1,IF(INDEX('Paramètres'!$J:$J,MATCH($C1513,'Paramètres'!$D:$D,0))="",1,INDEX('Paramètres'!$J:$J,MATCH($C1513,'Paramètres'!$D:$D,0)))),2))</f>
        <v/>
      </c>
      <c r="L1513" s="6" t="str">
        <f>IF($D1513="","",IF($F1513&lt;&gt;"",$F1513,IF(ISNA(MATCH($D1513,'Paramètres'!$M:$M,0)),"⚠ Type inconnu",IFERROR(INDEX('Paramètres'!$P:$P,MATCH($D1513,'Paramètres'!$M:$M,0))&amp;"",""))))</f>
        <v/>
      </c>
      <c r="M1513" s="6" t="str">
        <f>IF($D1513="","",IF(ISNA(MATCH($D1513,'Paramètres'!$M:$M,0)),"⚠ Type inconnu",IF($L1513="Crédit","",IFERROR(INDEX('Paramètres'!$O:$O,MATCH($D1513,'Paramètres'!$M:$M,0))&amp;"",""))))</f>
        <v/>
      </c>
      <c r="N1513" s="6" t="str">
        <f>IF($D1513="","",IFERROR(INDEX('Paramètres'!$Q:$Q,MATCH($D1513,'Paramètres'!$M:$M,0))&amp;"",""))</f>
        <v/>
      </c>
      <c r="O1513" s="6" t="str">
        <f>IF($A1513="","",IF(OR($J1513&lt;&gt;"x",$A1513&lt;=FinReleve),1,0))</f>
        <v/>
      </c>
      <c r="P1513" s="6" t="str">
        <f>IF($D1513="","",IF(AND($L1513="Crédit",OR(IFERROR(INDEX('Paramètres'!$O:$O,MATCH($D1513,'Paramètres'!$M:$M,0))&amp;"","")&lt;&gt;"",ISNUMBER(SEARCH("remboursement",IFERROR(INDEX('Paramètres'!$N:$N,MATCH($D1513,'Paramètres'!$M:$M,0))&amp;"",""))))),1,0))</f>
        <v/>
      </c>
      <c r="Q1513" s="6" t="str">
        <f>IF($K1513="","",IF(ISNUMBER(SEARCH("transfert-interne",IFERROR(INDEX('Paramètres'!$N:$N,MATCH($D1513,'Paramètres'!$M:$M,0))&amp;"",""))),0,IF($L1513="Débit",$K1513,IF($P1513=1,-$K1513,0))))</f>
        <v/>
      </c>
      <c r="R1513" s="6" t="str">
        <f>IF($K1513="","",IF($L1513="Crédit",$K1513,-$K1513))</f>
        <v/>
      </c>
      <c r="S1513" s="6" t="str">
        <f>IF($C1513="","",IFERROR(INDEX('Paramètres'!$H:$H,MATCH($C1513,'Paramètres'!$D:$D,0))&amp;"",""))</f>
        <v/>
      </c>
      <c r="T1513" s="6" t="str">
        <f>IF($K1513="","",IF($S1513="",0,IF(ISNUMBER(SEARCH("apport-exterieur",IFERROR(INDEX('Paramètres'!$N:$N,MATCH($D1513,'Paramètres'!$M:$M,0))&amp;"",""))),0,IF(OR(IFERROR(INDEX('Paramètres'!$I:$I,MATCH($C1513,'Paramètres'!$D:$D,0))&amp;"","")="Les deux",IFERROR(INDEX('Paramètres'!$I:$I,MATCH($C1513,'Paramètres'!$D:$D,0))&amp;"","")=IF($P1513=1,"Débit",$L1513)),-IF($P1513=1,-$K1513,$K1513),0))))</f>
        <v/>
      </c>
      <c r="U1513" s="6" t="str">
        <f>IF($K1513="","",IF(ISNUMBER(SEARCH("sortie-epargne",IFERROR(INDEX('Paramètres'!$N:$N,MATCH($D1513,'Paramètres'!$M:$M,0))&amp;"",""))),$K1513,0))</f>
        <v/>
      </c>
      <c r="V1513" s="6" t="str">
        <f>IF(AND($A1513&lt;&gt;"",$O1513=1,$L1513="Débit",N($Q1513)&gt;0,$A1513&gt;=Visualisation!$B$1,$A1513&lt;Visualisation!$D$1),MAX($V$1:V1512)+1,"")</f>
        <v/>
      </c>
    </row>
    <row r="1514" spans="1:22" x14ac:dyDescent="0.25">
      <c r="A1514" s="9"/>
      <c r="E1514" s="10"/>
      <c r="K1514" s="11" t="str">
        <f>IF($E1514="","",ROUND($E1514*IF(ISNA(MATCH($C1514,'Paramètres'!$D:$D,0)),1,IF(INDEX('Paramètres'!$J:$J,MATCH($C1514,'Paramètres'!$D:$D,0))="",1,INDEX('Paramètres'!$J:$J,MATCH($C1514,'Paramètres'!$D:$D,0)))),2))</f>
        <v/>
      </c>
      <c r="L1514" s="6" t="str">
        <f>IF($D1514="","",IF($F1514&lt;&gt;"",$F1514,IF(ISNA(MATCH($D1514,'Paramètres'!$M:$M,0)),"⚠ Type inconnu",IFERROR(INDEX('Paramètres'!$P:$P,MATCH($D1514,'Paramètres'!$M:$M,0))&amp;"",""))))</f>
        <v/>
      </c>
      <c r="M1514" s="6" t="str">
        <f>IF($D1514="","",IF(ISNA(MATCH($D1514,'Paramètres'!$M:$M,0)),"⚠ Type inconnu",IF($L1514="Crédit","",IFERROR(INDEX('Paramètres'!$O:$O,MATCH($D1514,'Paramètres'!$M:$M,0))&amp;"",""))))</f>
        <v/>
      </c>
      <c r="N1514" s="6" t="str">
        <f>IF($D1514="","",IFERROR(INDEX('Paramètres'!$Q:$Q,MATCH($D1514,'Paramètres'!$M:$M,0))&amp;"",""))</f>
        <v/>
      </c>
      <c r="O1514" s="6" t="str">
        <f>IF($A1514="","",IF(OR($J1514&lt;&gt;"x",$A1514&lt;=FinReleve),1,0))</f>
        <v/>
      </c>
      <c r="P1514" s="6" t="str">
        <f>IF($D1514="","",IF(AND($L1514="Crédit",OR(IFERROR(INDEX('Paramètres'!$O:$O,MATCH($D1514,'Paramètres'!$M:$M,0))&amp;"","")&lt;&gt;"",ISNUMBER(SEARCH("remboursement",IFERROR(INDEX('Paramètres'!$N:$N,MATCH($D1514,'Paramètres'!$M:$M,0))&amp;"",""))))),1,0))</f>
        <v/>
      </c>
      <c r="Q1514" s="6" t="str">
        <f>IF($K1514="","",IF(ISNUMBER(SEARCH("transfert-interne",IFERROR(INDEX('Paramètres'!$N:$N,MATCH($D1514,'Paramètres'!$M:$M,0))&amp;"",""))),0,IF($L1514="Débit",$K1514,IF($P1514=1,-$K1514,0))))</f>
        <v/>
      </c>
      <c r="R1514" s="6" t="str">
        <f>IF($K1514="","",IF($L1514="Crédit",$K1514,-$K1514))</f>
        <v/>
      </c>
      <c r="S1514" s="6" t="str">
        <f>IF($C1514="","",IFERROR(INDEX('Paramètres'!$H:$H,MATCH($C1514,'Paramètres'!$D:$D,0))&amp;"",""))</f>
        <v/>
      </c>
      <c r="T1514" s="6" t="str">
        <f>IF($K1514="","",IF($S1514="",0,IF(ISNUMBER(SEARCH("apport-exterieur",IFERROR(INDEX('Paramètres'!$N:$N,MATCH($D1514,'Paramètres'!$M:$M,0))&amp;"",""))),0,IF(OR(IFERROR(INDEX('Paramètres'!$I:$I,MATCH($C1514,'Paramètres'!$D:$D,0))&amp;"","")="Les deux",IFERROR(INDEX('Paramètres'!$I:$I,MATCH($C1514,'Paramètres'!$D:$D,0))&amp;"","")=IF($P1514=1,"Débit",$L1514)),-IF($P1514=1,-$K1514,$K1514),0))))</f>
        <v/>
      </c>
      <c r="U1514" s="6" t="str">
        <f>IF($K1514="","",IF(ISNUMBER(SEARCH("sortie-epargne",IFERROR(INDEX('Paramètres'!$N:$N,MATCH($D1514,'Paramètres'!$M:$M,0))&amp;"",""))),$K1514,0))</f>
        <v/>
      </c>
      <c r="V1514" s="6" t="str">
        <f>IF(AND($A1514&lt;&gt;"",$O1514=1,$L1514="Débit",N($Q1514)&gt;0,$A1514&gt;=Visualisation!$B$1,$A1514&lt;Visualisation!$D$1),MAX($V$1:V1513)+1,"")</f>
        <v/>
      </c>
    </row>
    <row r="1515" spans="1:22" x14ac:dyDescent="0.25">
      <c r="A1515" s="9"/>
      <c r="E1515" s="10"/>
      <c r="K1515" s="11" t="str">
        <f>IF($E1515="","",ROUND($E1515*IF(ISNA(MATCH($C1515,'Paramètres'!$D:$D,0)),1,IF(INDEX('Paramètres'!$J:$J,MATCH($C1515,'Paramètres'!$D:$D,0))="",1,INDEX('Paramètres'!$J:$J,MATCH($C1515,'Paramètres'!$D:$D,0)))),2))</f>
        <v/>
      </c>
      <c r="L1515" s="6" t="str">
        <f>IF($D1515="","",IF($F1515&lt;&gt;"",$F1515,IF(ISNA(MATCH($D1515,'Paramètres'!$M:$M,0)),"⚠ Type inconnu",IFERROR(INDEX('Paramètres'!$P:$P,MATCH($D1515,'Paramètres'!$M:$M,0))&amp;"",""))))</f>
        <v/>
      </c>
      <c r="M1515" s="6" t="str">
        <f>IF($D1515="","",IF(ISNA(MATCH($D1515,'Paramètres'!$M:$M,0)),"⚠ Type inconnu",IF($L1515="Crédit","",IFERROR(INDEX('Paramètres'!$O:$O,MATCH($D1515,'Paramètres'!$M:$M,0))&amp;"",""))))</f>
        <v/>
      </c>
      <c r="N1515" s="6" t="str">
        <f>IF($D1515="","",IFERROR(INDEX('Paramètres'!$Q:$Q,MATCH($D1515,'Paramètres'!$M:$M,0))&amp;"",""))</f>
        <v/>
      </c>
      <c r="O1515" s="6" t="str">
        <f>IF($A1515="","",IF(OR($J1515&lt;&gt;"x",$A1515&lt;=FinReleve),1,0))</f>
        <v/>
      </c>
      <c r="P1515" s="6" t="str">
        <f>IF($D1515="","",IF(AND($L1515="Crédit",OR(IFERROR(INDEX('Paramètres'!$O:$O,MATCH($D1515,'Paramètres'!$M:$M,0))&amp;"","")&lt;&gt;"",ISNUMBER(SEARCH("remboursement",IFERROR(INDEX('Paramètres'!$N:$N,MATCH($D1515,'Paramètres'!$M:$M,0))&amp;"",""))))),1,0))</f>
        <v/>
      </c>
      <c r="Q1515" s="6" t="str">
        <f>IF($K1515="","",IF(ISNUMBER(SEARCH("transfert-interne",IFERROR(INDEX('Paramètres'!$N:$N,MATCH($D1515,'Paramètres'!$M:$M,0))&amp;"",""))),0,IF($L1515="Débit",$K1515,IF($P1515=1,-$K1515,0))))</f>
        <v/>
      </c>
      <c r="R1515" s="6" t="str">
        <f>IF($K1515="","",IF($L1515="Crédit",$K1515,-$K1515))</f>
        <v/>
      </c>
      <c r="S1515" s="6" t="str">
        <f>IF($C1515="","",IFERROR(INDEX('Paramètres'!$H:$H,MATCH($C1515,'Paramètres'!$D:$D,0))&amp;"",""))</f>
        <v/>
      </c>
      <c r="T1515" s="6" t="str">
        <f>IF($K1515="","",IF($S1515="",0,IF(ISNUMBER(SEARCH("apport-exterieur",IFERROR(INDEX('Paramètres'!$N:$N,MATCH($D1515,'Paramètres'!$M:$M,0))&amp;"",""))),0,IF(OR(IFERROR(INDEX('Paramètres'!$I:$I,MATCH($C1515,'Paramètres'!$D:$D,0))&amp;"","")="Les deux",IFERROR(INDEX('Paramètres'!$I:$I,MATCH($C1515,'Paramètres'!$D:$D,0))&amp;"","")=IF($P1515=1,"Débit",$L1515)),-IF($P1515=1,-$K1515,$K1515),0))))</f>
        <v/>
      </c>
      <c r="U1515" s="6" t="str">
        <f>IF($K1515="","",IF(ISNUMBER(SEARCH("sortie-epargne",IFERROR(INDEX('Paramètres'!$N:$N,MATCH($D1515,'Paramètres'!$M:$M,0))&amp;"",""))),$K1515,0))</f>
        <v/>
      </c>
      <c r="V1515" s="6" t="str">
        <f>IF(AND($A1515&lt;&gt;"",$O1515=1,$L1515="Débit",N($Q1515)&gt;0,$A1515&gt;=Visualisation!$B$1,$A1515&lt;Visualisation!$D$1),MAX($V$1:V1514)+1,"")</f>
        <v/>
      </c>
    </row>
    <row r="1516" spans="1:22" x14ac:dyDescent="0.25">
      <c r="A1516" s="9"/>
      <c r="E1516" s="10"/>
      <c r="K1516" s="11" t="str">
        <f>IF($E1516="","",ROUND($E1516*IF(ISNA(MATCH($C1516,'Paramètres'!$D:$D,0)),1,IF(INDEX('Paramètres'!$J:$J,MATCH($C1516,'Paramètres'!$D:$D,0))="",1,INDEX('Paramètres'!$J:$J,MATCH($C1516,'Paramètres'!$D:$D,0)))),2))</f>
        <v/>
      </c>
      <c r="L1516" s="6" t="str">
        <f>IF($D1516="","",IF($F1516&lt;&gt;"",$F1516,IF(ISNA(MATCH($D1516,'Paramètres'!$M:$M,0)),"⚠ Type inconnu",IFERROR(INDEX('Paramètres'!$P:$P,MATCH($D1516,'Paramètres'!$M:$M,0))&amp;"",""))))</f>
        <v/>
      </c>
      <c r="M1516" s="6" t="str">
        <f>IF($D1516="","",IF(ISNA(MATCH($D1516,'Paramètres'!$M:$M,0)),"⚠ Type inconnu",IF($L1516="Crédit","",IFERROR(INDEX('Paramètres'!$O:$O,MATCH($D1516,'Paramètres'!$M:$M,0))&amp;"",""))))</f>
        <v/>
      </c>
      <c r="N1516" s="6" t="str">
        <f>IF($D1516="","",IFERROR(INDEX('Paramètres'!$Q:$Q,MATCH($D1516,'Paramètres'!$M:$M,0))&amp;"",""))</f>
        <v/>
      </c>
      <c r="O1516" s="6" t="str">
        <f>IF($A1516="","",IF(OR($J1516&lt;&gt;"x",$A1516&lt;=FinReleve),1,0))</f>
        <v/>
      </c>
      <c r="P1516" s="6" t="str">
        <f>IF($D1516="","",IF(AND($L1516="Crédit",OR(IFERROR(INDEX('Paramètres'!$O:$O,MATCH($D1516,'Paramètres'!$M:$M,0))&amp;"","")&lt;&gt;"",ISNUMBER(SEARCH("remboursement",IFERROR(INDEX('Paramètres'!$N:$N,MATCH($D1516,'Paramètres'!$M:$M,0))&amp;"",""))))),1,0))</f>
        <v/>
      </c>
      <c r="Q1516" s="6" t="str">
        <f>IF($K1516="","",IF(ISNUMBER(SEARCH("transfert-interne",IFERROR(INDEX('Paramètres'!$N:$N,MATCH($D1516,'Paramètres'!$M:$M,0))&amp;"",""))),0,IF($L1516="Débit",$K1516,IF($P1516=1,-$K1516,0))))</f>
        <v/>
      </c>
      <c r="R1516" s="6" t="str">
        <f>IF($K1516="","",IF($L1516="Crédit",$K1516,-$K1516))</f>
        <v/>
      </c>
      <c r="S1516" s="6" t="str">
        <f>IF($C1516="","",IFERROR(INDEX('Paramètres'!$H:$H,MATCH($C1516,'Paramètres'!$D:$D,0))&amp;"",""))</f>
        <v/>
      </c>
      <c r="T1516" s="6" t="str">
        <f>IF($K1516="","",IF($S1516="",0,IF(ISNUMBER(SEARCH("apport-exterieur",IFERROR(INDEX('Paramètres'!$N:$N,MATCH($D1516,'Paramètres'!$M:$M,0))&amp;"",""))),0,IF(OR(IFERROR(INDEX('Paramètres'!$I:$I,MATCH($C1516,'Paramètres'!$D:$D,0))&amp;"","")="Les deux",IFERROR(INDEX('Paramètres'!$I:$I,MATCH($C1516,'Paramètres'!$D:$D,0))&amp;"","")=IF($P1516=1,"Débit",$L1516)),-IF($P1516=1,-$K1516,$K1516),0))))</f>
        <v/>
      </c>
      <c r="U1516" s="6" t="str">
        <f>IF($K1516="","",IF(ISNUMBER(SEARCH("sortie-epargne",IFERROR(INDEX('Paramètres'!$N:$N,MATCH($D1516,'Paramètres'!$M:$M,0))&amp;"",""))),$K1516,0))</f>
        <v/>
      </c>
      <c r="V1516" s="6" t="str">
        <f>IF(AND($A1516&lt;&gt;"",$O1516=1,$L1516="Débit",N($Q1516)&gt;0,$A1516&gt;=Visualisation!$B$1,$A1516&lt;Visualisation!$D$1),MAX($V$1:V1515)+1,"")</f>
        <v/>
      </c>
    </row>
    <row r="1517" spans="1:22" x14ac:dyDescent="0.25">
      <c r="A1517" s="9"/>
      <c r="E1517" s="10"/>
      <c r="K1517" s="11" t="str">
        <f>IF($E1517="","",ROUND($E1517*IF(ISNA(MATCH($C1517,'Paramètres'!$D:$D,0)),1,IF(INDEX('Paramètres'!$J:$J,MATCH($C1517,'Paramètres'!$D:$D,0))="",1,INDEX('Paramètres'!$J:$J,MATCH($C1517,'Paramètres'!$D:$D,0)))),2))</f>
        <v/>
      </c>
      <c r="L1517" s="6" t="str">
        <f>IF($D1517="","",IF($F1517&lt;&gt;"",$F1517,IF(ISNA(MATCH($D1517,'Paramètres'!$M:$M,0)),"⚠ Type inconnu",IFERROR(INDEX('Paramètres'!$P:$P,MATCH($D1517,'Paramètres'!$M:$M,0))&amp;"",""))))</f>
        <v/>
      </c>
      <c r="M1517" s="6" t="str">
        <f>IF($D1517="","",IF(ISNA(MATCH($D1517,'Paramètres'!$M:$M,0)),"⚠ Type inconnu",IF($L1517="Crédit","",IFERROR(INDEX('Paramètres'!$O:$O,MATCH($D1517,'Paramètres'!$M:$M,0))&amp;"",""))))</f>
        <v/>
      </c>
      <c r="N1517" s="6" t="str">
        <f>IF($D1517="","",IFERROR(INDEX('Paramètres'!$Q:$Q,MATCH($D1517,'Paramètres'!$M:$M,0))&amp;"",""))</f>
        <v/>
      </c>
      <c r="O1517" s="6" t="str">
        <f>IF($A1517="","",IF(OR($J1517&lt;&gt;"x",$A1517&lt;=FinReleve),1,0))</f>
        <v/>
      </c>
      <c r="P1517" s="6" t="str">
        <f>IF($D1517="","",IF(AND($L1517="Crédit",OR(IFERROR(INDEX('Paramètres'!$O:$O,MATCH($D1517,'Paramètres'!$M:$M,0))&amp;"","")&lt;&gt;"",ISNUMBER(SEARCH("remboursement",IFERROR(INDEX('Paramètres'!$N:$N,MATCH($D1517,'Paramètres'!$M:$M,0))&amp;"",""))))),1,0))</f>
        <v/>
      </c>
      <c r="Q1517" s="6" t="str">
        <f>IF($K1517="","",IF(ISNUMBER(SEARCH("transfert-interne",IFERROR(INDEX('Paramètres'!$N:$N,MATCH($D1517,'Paramètres'!$M:$M,0))&amp;"",""))),0,IF($L1517="Débit",$K1517,IF($P1517=1,-$K1517,0))))</f>
        <v/>
      </c>
      <c r="R1517" s="6" t="str">
        <f>IF($K1517="","",IF($L1517="Crédit",$K1517,-$K1517))</f>
        <v/>
      </c>
      <c r="S1517" s="6" t="str">
        <f>IF($C1517="","",IFERROR(INDEX('Paramètres'!$H:$H,MATCH($C1517,'Paramètres'!$D:$D,0))&amp;"",""))</f>
        <v/>
      </c>
      <c r="T1517" s="6" t="str">
        <f>IF($K1517="","",IF($S1517="",0,IF(ISNUMBER(SEARCH("apport-exterieur",IFERROR(INDEX('Paramètres'!$N:$N,MATCH($D1517,'Paramètres'!$M:$M,0))&amp;"",""))),0,IF(OR(IFERROR(INDEX('Paramètres'!$I:$I,MATCH($C1517,'Paramètres'!$D:$D,0))&amp;"","")="Les deux",IFERROR(INDEX('Paramètres'!$I:$I,MATCH($C1517,'Paramètres'!$D:$D,0))&amp;"","")=IF($P1517=1,"Débit",$L1517)),-IF($P1517=1,-$K1517,$K1517),0))))</f>
        <v/>
      </c>
      <c r="U1517" s="6" t="str">
        <f>IF($K1517="","",IF(ISNUMBER(SEARCH("sortie-epargne",IFERROR(INDEX('Paramètres'!$N:$N,MATCH($D1517,'Paramètres'!$M:$M,0))&amp;"",""))),$K1517,0))</f>
        <v/>
      </c>
      <c r="V1517" s="6" t="str">
        <f>IF(AND($A1517&lt;&gt;"",$O1517=1,$L1517="Débit",N($Q1517)&gt;0,$A1517&gt;=Visualisation!$B$1,$A1517&lt;Visualisation!$D$1),MAX($V$1:V1516)+1,"")</f>
        <v/>
      </c>
    </row>
    <row r="1518" spans="1:22" x14ac:dyDescent="0.25">
      <c r="A1518" s="9"/>
      <c r="E1518" s="10"/>
      <c r="K1518" s="11" t="str">
        <f>IF($E1518="","",ROUND($E1518*IF(ISNA(MATCH($C1518,'Paramètres'!$D:$D,0)),1,IF(INDEX('Paramètres'!$J:$J,MATCH($C1518,'Paramètres'!$D:$D,0))="",1,INDEX('Paramètres'!$J:$J,MATCH($C1518,'Paramètres'!$D:$D,0)))),2))</f>
        <v/>
      </c>
      <c r="L1518" s="6" t="str">
        <f>IF($D1518="","",IF($F1518&lt;&gt;"",$F1518,IF(ISNA(MATCH($D1518,'Paramètres'!$M:$M,0)),"⚠ Type inconnu",IFERROR(INDEX('Paramètres'!$P:$P,MATCH($D1518,'Paramètres'!$M:$M,0))&amp;"",""))))</f>
        <v/>
      </c>
      <c r="M1518" s="6" t="str">
        <f>IF($D1518="","",IF(ISNA(MATCH($D1518,'Paramètres'!$M:$M,0)),"⚠ Type inconnu",IF($L1518="Crédit","",IFERROR(INDEX('Paramètres'!$O:$O,MATCH($D1518,'Paramètres'!$M:$M,0))&amp;"",""))))</f>
        <v/>
      </c>
      <c r="N1518" s="6" t="str">
        <f>IF($D1518="","",IFERROR(INDEX('Paramètres'!$Q:$Q,MATCH($D1518,'Paramètres'!$M:$M,0))&amp;"",""))</f>
        <v/>
      </c>
      <c r="O1518" s="6" t="str">
        <f>IF($A1518="","",IF(OR($J1518&lt;&gt;"x",$A1518&lt;=FinReleve),1,0))</f>
        <v/>
      </c>
      <c r="P1518" s="6" t="str">
        <f>IF($D1518="","",IF(AND($L1518="Crédit",OR(IFERROR(INDEX('Paramètres'!$O:$O,MATCH($D1518,'Paramètres'!$M:$M,0))&amp;"","")&lt;&gt;"",ISNUMBER(SEARCH("remboursement",IFERROR(INDEX('Paramètres'!$N:$N,MATCH($D1518,'Paramètres'!$M:$M,0))&amp;"",""))))),1,0))</f>
        <v/>
      </c>
      <c r="Q1518" s="6" t="str">
        <f>IF($K1518="","",IF(ISNUMBER(SEARCH("transfert-interne",IFERROR(INDEX('Paramètres'!$N:$N,MATCH($D1518,'Paramètres'!$M:$M,0))&amp;"",""))),0,IF($L1518="Débit",$K1518,IF($P1518=1,-$K1518,0))))</f>
        <v/>
      </c>
      <c r="R1518" s="6" t="str">
        <f>IF($K1518="","",IF($L1518="Crédit",$K1518,-$K1518))</f>
        <v/>
      </c>
      <c r="S1518" s="6" t="str">
        <f>IF($C1518="","",IFERROR(INDEX('Paramètres'!$H:$H,MATCH($C1518,'Paramètres'!$D:$D,0))&amp;"",""))</f>
        <v/>
      </c>
      <c r="T1518" s="6" t="str">
        <f>IF($K1518="","",IF($S1518="",0,IF(ISNUMBER(SEARCH("apport-exterieur",IFERROR(INDEX('Paramètres'!$N:$N,MATCH($D1518,'Paramètres'!$M:$M,0))&amp;"",""))),0,IF(OR(IFERROR(INDEX('Paramètres'!$I:$I,MATCH($C1518,'Paramètres'!$D:$D,0))&amp;"","")="Les deux",IFERROR(INDEX('Paramètres'!$I:$I,MATCH($C1518,'Paramètres'!$D:$D,0))&amp;"","")=IF($P1518=1,"Débit",$L1518)),-IF($P1518=1,-$K1518,$K1518),0))))</f>
        <v/>
      </c>
      <c r="U1518" s="6" t="str">
        <f>IF($K1518="","",IF(ISNUMBER(SEARCH("sortie-epargne",IFERROR(INDEX('Paramètres'!$N:$N,MATCH($D1518,'Paramètres'!$M:$M,0))&amp;"",""))),$K1518,0))</f>
        <v/>
      </c>
      <c r="V1518" s="6" t="str">
        <f>IF(AND($A1518&lt;&gt;"",$O1518=1,$L1518="Débit",N($Q1518)&gt;0,$A1518&gt;=Visualisation!$B$1,$A1518&lt;Visualisation!$D$1),MAX($V$1:V1517)+1,"")</f>
        <v/>
      </c>
    </row>
    <row r="1519" spans="1:22" x14ac:dyDescent="0.25">
      <c r="A1519" s="9"/>
      <c r="E1519" s="10"/>
      <c r="K1519" s="11" t="str">
        <f>IF($E1519="","",ROUND($E1519*IF(ISNA(MATCH($C1519,'Paramètres'!$D:$D,0)),1,IF(INDEX('Paramètres'!$J:$J,MATCH($C1519,'Paramètres'!$D:$D,0))="",1,INDEX('Paramètres'!$J:$J,MATCH($C1519,'Paramètres'!$D:$D,0)))),2))</f>
        <v/>
      </c>
      <c r="L1519" s="6" t="str">
        <f>IF($D1519="","",IF($F1519&lt;&gt;"",$F1519,IF(ISNA(MATCH($D1519,'Paramètres'!$M:$M,0)),"⚠ Type inconnu",IFERROR(INDEX('Paramètres'!$P:$P,MATCH($D1519,'Paramètres'!$M:$M,0))&amp;"",""))))</f>
        <v/>
      </c>
      <c r="M1519" s="6" t="str">
        <f>IF($D1519="","",IF(ISNA(MATCH($D1519,'Paramètres'!$M:$M,0)),"⚠ Type inconnu",IF($L1519="Crédit","",IFERROR(INDEX('Paramètres'!$O:$O,MATCH($D1519,'Paramètres'!$M:$M,0))&amp;"",""))))</f>
        <v/>
      </c>
      <c r="N1519" s="6" t="str">
        <f>IF($D1519="","",IFERROR(INDEX('Paramètres'!$Q:$Q,MATCH($D1519,'Paramètres'!$M:$M,0))&amp;"",""))</f>
        <v/>
      </c>
      <c r="O1519" s="6" t="str">
        <f>IF($A1519="","",IF(OR($J1519&lt;&gt;"x",$A1519&lt;=FinReleve),1,0))</f>
        <v/>
      </c>
      <c r="P1519" s="6" t="str">
        <f>IF($D1519="","",IF(AND($L1519="Crédit",OR(IFERROR(INDEX('Paramètres'!$O:$O,MATCH($D1519,'Paramètres'!$M:$M,0))&amp;"","")&lt;&gt;"",ISNUMBER(SEARCH("remboursement",IFERROR(INDEX('Paramètres'!$N:$N,MATCH($D1519,'Paramètres'!$M:$M,0))&amp;"",""))))),1,0))</f>
        <v/>
      </c>
      <c r="Q1519" s="6" t="str">
        <f>IF($K1519="","",IF(ISNUMBER(SEARCH("transfert-interne",IFERROR(INDEX('Paramètres'!$N:$N,MATCH($D1519,'Paramètres'!$M:$M,0))&amp;"",""))),0,IF($L1519="Débit",$K1519,IF($P1519=1,-$K1519,0))))</f>
        <v/>
      </c>
      <c r="R1519" s="6" t="str">
        <f>IF($K1519="","",IF($L1519="Crédit",$K1519,-$K1519))</f>
        <v/>
      </c>
      <c r="S1519" s="6" t="str">
        <f>IF($C1519="","",IFERROR(INDEX('Paramètres'!$H:$H,MATCH($C1519,'Paramètres'!$D:$D,0))&amp;"",""))</f>
        <v/>
      </c>
      <c r="T1519" s="6" t="str">
        <f>IF($K1519="","",IF($S1519="",0,IF(ISNUMBER(SEARCH("apport-exterieur",IFERROR(INDEX('Paramètres'!$N:$N,MATCH($D1519,'Paramètres'!$M:$M,0))&amp;"",""))),0,IF(OR(IFERROR(INDEX('Paramètres'!$I:$I,MATCH($C1519,'Paramètres'!$D:$D,0))&amp;"","")="Les deux",IFERROR(INDEX('Paramètres'!$I:$I,MATCH($C1519,'Paramètres'!$D:$D,0))&amp;"","")=IF($P1519=1,"Débit",$L1519)),-IF($P1519=1,-$K1519,$K1519),0))))</f>
        <v/>
      </c>
      <c r="U1519" s="6" t="str">
        <f>IF($K1519="","",IF(ISNUMBER(SEARCH("sortie-epargne",IFERROR(INDEX('Paramètres'!$N:$N,MATCH($D1519,'Paramètres'!$M:$M,0))&amp;"",""))),$K1519,0))</f>
        <v/>
      </c>
      <c r="V1519" s="6" t="str">
        <f>IF(AND($A1519&lt;&gt;"",$O1519=1,$L1519="Débit",N($Q1519)&gt;0,$A1519&gt;=Visualisation!$B$1,$A1519&lt;Visualisation!$D$1),MAX($V$1:V1518)+1,"")</f>
        <v/>
      </c>
    </row>
    <row r="1520" spans="1:22" x14ac:dyDescent="0.25">
      <c r="A1520" s="9"/>
      <c r="E1520" s="10"/>
      <c r="K1520" s="11" t="str">
        <f>IF($E1520="","",ROUND($E1520*IF(ISNA(MATCH($C1520,'Paramètres'!$D:$D,0)),1,IF(INDEX('Paramètres'!$J:$J,MATCH($C1520,'Paramètres'!$D:$D,0))="",1,INDEX('Paramètres'!$J:$J,MATCH($C1520,'Paramètres'!$D:$D,0)))),2))</f>
        <v/>
      </c>
      <c r="L1520" s="6" t="str">
        <f>IF($D1520="","",IF($F1520&lt;&gt;"",$F1520,IF(ISNA(MATCH($D1520,'Paramètres'!$M:$M,0)),"⚠ Type inconnu",IFERROR(INDEX('Paramètres'!$P:$P,MATCH($D1520,'Paramètres'!$M:$M,0))&amp;"",""))))</f>
        <v/>
      </c>
      <c r="M1520" s="6" t="str">
        <f>IF($D1520="","",IF(ISNA(MATCH($D1520,'Paramètres'!$M:$M,0)),"⚠ Type inconnu",IF($L1520="Crédit","",IFERROR(INDEX('Paramètres'!$O:$O,MATCH($D1520,'Paramètres'!$M:$M,0))&amp;"",""))))</f>
        <v/>
      </c>
      <c r="N1520" s="6" t="str">
        <f>IF($D1520="","",IFERROR(INDEX('Paramètres'!$Q:$Q,MATCH($D1520,'Paramètres'!$M:$M,0))&amp;"",""))</f>
        <v/>
      </c>
      <c r="O1520" s="6" t="str">
        <f>IF($A1520="","",IF(OR($J1520&lt;&gt;"x",$A1520&lt;=FinReleve),1,0))</f>
        <v/>
      </c>
      <c r="P1520" s="6" t="str">
        <f>IF($D1520="","",IF(AND($L1520="Crédit",OR(IFERROR(INDEX('Paramètres'!$O:$O,MATCH($D1520,'Paramètres'!$M:$M,0))&amp;"","")&lt;&gt;"",ISNUMBER(SEARCH("remboursement",IFERROR(INDEX('Paramètres'!$N:$N,MATCH($D1520,'Paramètres'!$M:$M,0))&amp;"",""))))),1,0))</f>
        <v/>
      </c>
      <c r="Q1520" s="6" t="str">
        <f>IF($K1520="","",IF(ISNUMBER(SEARCH("transfert-interne",IFERROR(INDEX('Paramètres'!$N:$N,MATCH($D1520,'Paramètres'!$M:$M,0))&amp;"",""))),0,IF($L1520="Débit",$K1520,IF($P1520=1,-$K1520,0))))</f>
        <v/>
      </c>
      <c r="R1520" s="6" t="str">
        <f>IF($K1520="","",IF($L1520="Crédit",$K1520,-$K1520))</f>
        <v/>
      </c>
      <c r="S1520" s="6" t="str">
        <f>IF($C1520="","",IFERROR(INDEX('Paramètres'!$H:$H,MATCH($C1520,'Paramètres'!$D:$D,0))&amp;"",""))</f>
        <v/>
      </c>
      <c r="T1520" s="6" t="str">
        <f>IF($K1520="","",IF($S1520="",0,IF(ISNUMBER(SEARCH("apport-exterieur",IFERROR(INDEX('Paramètres'!$N:$N,MATCH($D1520,'Paramètres'!$M:$M,0))&amp;"",""))),0,IF(OR(IFERROR(INDEX('Paramètres'!$I:$I,MATCH($C1520,'Paramètres'!$D:$D,0))&amp;"","")="Les deux",IFERROR(INDEX('Paramètres'!$I:$I,MATCH($C1520,'Paramètres'!$D:$D,0))&amp;"","")=IF($P1520=1,"Débit",$L1520)),-IF($P1520=1,-$K1520,$K1520),0))))</f>
        <v/>
      </c>
      <c r="U1520" s="6" t="str">
        <f>IF($K1520="","",IF(ISNUMBER(SEARCH("sortie-epargne",IFERROR(INDEX('Paramètres'!$N:$N,MATCH($D1520,'Paramètres'!$M:$M,0))&amp;"",""))),$K1520,0))</f>
        <v/>
      </c>
      <c r="V1520" s="6" t="str">
        <f>IF(AND($A1520&lt;&gt;"",$O1520=1,$L1520="Débit",N($Q1520)&gt;0,$A1520&gt;=Visualisation!$B$1,$A1520&lt;Visualisation!$D$1),MAX($V$1:V1519)+1,"")</f>
        <v/>
      </c>
    </row>
    <row r="1521" spans="1:22" x14ac:dyDescent="0.25">
      <c r="A1521" s="9"/>
      <c r="E1521" s="10"/>
      <c r="K1521" s="11" t="str">
        <f>IF($E1521="","",ROUND($E1521*IF(ISNA(MATCH($C1521,'Paramètres'!$D:$D,0)),1,IF(INDEX('Paramètres'!$J:$J,MATCH($C1521,'Paramètres'!$D:$D,0))="",1,INDEX('Paramètres'!$J:$J,MATCH($C1521,'Paramètres'!$D:$D,0)))),2))</f>
        <v/>
      </c>
      <c r="L1521" s="6" t="str">
        <f>IF($D1521="","",IF($F1521&lt;&gt;"",$F1521,IF(ISNA(MATCH($D1521,'Paramètres'!$M:$M,0)),"⚠ Type inconnu",IFERROR(INDEX('Paramètres'!$P:$P,MATCH($D1521,'Paramètres'!$M:$M,0))&amp;"",""))))</f>
        <v/>
      </c>
      <c r="M1521" s="6" t="str">
        <f>IF($D1521="","",IF(ISNA(MATCH($D1521,'Paramètres'!$M:$M,0)),"⚠ Type inconnu",IF($L1521="Crédit","",IFERROR(INDEX('Paramètres'!$O:$O,MATCH($D1521,'Paramètres'!$M:$M,0))&amp;"",""))))</f>
        <v/>
      </c>
      <c r="N1521" s="6" t="str">
        <f>IF($D1521="","",IFERROR(INDEX('Paramètres'!$Q:$Q,MATCH($D1521,'Paramètres'!$M:$M,0))&amp;"",""))</f>
        <v/>
      </c>
      <c r="O1521" s="6" t="str">
        <f>IF($A1521="","",IF(OR($J1521&lt;&gt;"x",$A1521&lt;=FinReleve),1,0))</f>
        <v/>
      </c>
      <c r="P1521" s="6" t="str">
        <f>IF($D1521="","",IF(AND($L1521="Crédit",OR(IFERROR(INDEX('Paramètres'!$O:$O,MATCH($D1521,'Paramètres'!$M:$M,0))&amp;"","")&lt;&gt;"",ISNUMBER(SEARCH("remboursement",IFERROR(INDEX('Paramètres'!$N:$N,MATCH($D1521,'Paramètres'!$M:$M,0))&amp;"",""))))),1,0))</f>
        <v/>
      </c>
      <c r="Q1521" s="6" t="str">
        <f>IF($K1521="","",IF(ISNUMBER(SEARCH("transfert-interne",IFERROR(INDEX('Paramètres'!$N:$N,MATCH($D1521,'Paramètres'!$M:$M,0))&amp;"",""))),0,IF($L1521="Débit",$K1521,IF($P1521=1,-$K1521,0))))</f>
        <v/>
      </c>
      <c r="R1521" s="6" t="str">
        <f>IF($K1521="","",IF($L1521="Crédit",$K1521,-$K1521))</f>
        <v/>
      </c>
      <c r="S1521" s="6" t="str">
        <f>IF($C1521="","",IFERROR(INDEX('Paramètres'!$H:$H,MATCH($C1521,'Paramètres'!$D:$D,0))&amp;"",""))</f>
        <v/>
      </c>
      <c r="T1521" s="6" t="str">
        <f>IF($K1521="","",IF($S1521="",0,IF(ISNUMBER(SEARCH("apport-exterieur",IFERROR(INDEX('Paramètres'!$N:$N,MATCH($D1521,'Paramètres'!$M:$M,0))&amp;"",""))),0,IF(OR(IFERROR(INDEX('Paramètres'!$I:$I,MATCH($C1521,'Paramètres'!$D:$D,0))&amp;"","")="Les deux",IFERROR(INDEX('Paramètres'!$I:$I,MATCH($C1521,'Paramètres'!$D:$D,0))&amp;"","")=IF($P1521=1,"Débit",$L1521)),-IF($P1521=1,-$K1521,$K1521),0))))</f>
        <v/>
      </c>
      <c r="U1521" s="6" t="str">
        <f>IF($K1521="","",IF(ISNUMBER(SEARCH("sortie-epargne",IFERROR(INDEX('Paramètres'!$N:$N,MATCH($D1521,'Paramètres'!$M:$M,0))&amp;"",""))),$K1521,0))</f>
        <v/>
      </c>
      <c r="V1521" s="6" t="str">
        <f>IF(AND($A1521&lt;&gt;"",$O1521=1,$L1521="Débit",N($Q1521)&gt;0,$A1521&gt;=Visualisation!$B$1,$A1521&lt;Visualisation!$D$1),MAX($V$1:V1520)+1,"")</f>
        <v/>
      </c>
    </row>
    <row r="1522" spans="1:22" x14ac:dyDescent="0.25">
      <c r="A1522" s="9"/>
      <c r="E1522" s="10"/>
      <c r="K1522" s="11" t="str">
        <f>IF($E1522="","",ROUND($E1522*IF(ISNA(MATCH($C1522,'Paramètres'!$D:$D,0)),1,IF(INDEX('Paramètres'!$J:$J,MATCH($C1522,'Paramètres'!$D:$D,0))="",1,INDEX('Paramètres'!$J:$J,MATCH($C1522,'Paramètres'!$D:$D,0)))),2))</f>
        <v/>
      </c>
      <c r="L1522" s="6" t="str">
        <f>IF($D1522="","",IF($F1522&lt;&gt;"",$F1522,IF(ISNA(MATCH($D1522,'Paramètres'!$M:$M,0)),"⚠ Type inconnu",IFERROR(INDEX('Paramètres'!$P:$P,MATCH($D1522,'Paramètres'!$M:$M,0))&amp;"",""))))</f>
        <v/>
      </c>
      <c r="M1522" s="6" t="str">
        <f>IF($D1522="","",IF(ISNA(MATCH($D1522,'Paramètres'!$M:$M,0)),"⚠ Type inconnu",IF($L1522="Crédit","",IFERROR(INDEX('Paramètres'!$O:$O,MATCH($D1522,'Paramètres'!$M:$M,0))&amp;"",""))))</f>
        <v/>
      </c>
      <c r="N1522" s="6" t="str">
        <f>IF($D1522="","",IFERROR(INDEX('Paramètres'!$Q:$Q,MATCH($D1522,'Paramètres'!$M:$M,0))&amp;"",""))</f>
        <v/>
      </c>
      <c r="O1522" s="6" t="str">
        <f>IF($A1522="","",IF(OR($J1522&lt;&gt;"x",$A1522&lt;=FinReleve),1,0))</f>
        <v/>
      </c>
      <c r="P1522" s="6" t="str">
        <f>IF($D1522="","",IF(AND($L1522="Crédit",OR(IFERROR(INDEX('Paramètres'!$O:$O,MATCH($D1522,'Paramètres'!$M:$M,0))&amp;"","")&lt;&gt;"",ISNUMBER(SEARCH("remboursement",IFERROR(INDEX('Paramètres'!$N:$N,MATCH($D1522,'Paramètres'!$M:$M,0))&amp;"",""))))),1,0))</f>
        <v/>
      </c>
      <c r="Q1522" s="6" t="str">
        <f>IF($K1522="","",IF(ISNUMBER(SEARCH("transfert-interne",IFERROR(INDEX('Paramètres'!$N:$N,MATCH($D1522,'Paramètres'!$M:$M,0))&amp;"",""))),0,IF($L1522="Débit",$K1522,IF($P1522=1,-$K1522,0))))</f>
        <v/>
      </c>
      <c r="R1522" s="6" t="str">
        <f>IF($K1522="","",IF($L1522="Crédit",$K1522,-$K1522))</f>
        <v/>
      </c>
      <c r="S1522" s="6" t="str">
        <f>IF($C1522="","",IFERROR(INDEX('Paramètres'!$H:$H,MATCH($C1522,'Paramètres'!$D:$D,0))&amp;"",""))</f>
        <v/>
      </c>
      <c r="T1522" s="6" t="str">
        <f>IF($K1522="","",IF($S1522="",0,IF(ISNUMBER(SEARCH("apport-exterieur",IFERROR(INDEX('Paramètres'!$N:$N,MATCH($D1522,'Paramètres'!$M:$M,0))&amp;"",""))),0,IF(OR(IFERROR(INDEX('Paramètres'!$I:$I,MATCH($C1522,'Paramètres'!$D:$D,0))&amp;"","")="Les deux",IFERROR(INDEX('Paramètres'!$I:$I,MATCH($C1522,'Paramètres'!$D:$D,0))&amp;"","")=IF($P1522=1,"Débit",$L1522)),-IF($P1522=1,-$K1522,$K1522),0))))</f>
        <v/>
      </c>
      <c r="U1522" s="6" t="str">
        <f>IF($K1522="","",IF(ISNUMBER(SEARCH("sortie-epargne",IFERROR(INDEX('Paramètres'!$N:$N,MATCH($D1522,'Paramètres'!$M:$M,0))&amp;"",""))),$K1522,0))</f>
        <v/>
      </c>
      <c r="V1522" s="6" t="str">
        <f>IF(AND($A1522&lt;&gt;"",$O1522=1,$L1522="Débit",N($Q1522)&gt;0,$A1522&gt;=Visualisation!$B$1,$A1522&lt;Visualisation!$D$1),MAX($V$1:V1521)+1,"")</f>
        <v/>
      </c>
    </row>
    <row r="1523" spans="1:22" x14ac:dyDescent="0.25">
      <c r="A1523" s="9"/>
      <c r="E1523" s="10"/>
      <c r="K1523" s="11" t="str">
        <f>IF($E1523="","",ROUND($E1523*IF(ISNA(MATCH($C1523,'Paramètres'!$D:$D,0)),1,IF(INDEX('Paramètres'!$J:$J,MATCH($C1523,'Paramètres'!$D:$D,0))="",1,INDEX('Paramètres'!$J:$J,MATCH($C1523,'Paramètres'!$D:$D,0)))),2))</f>
        <v/>
      </c>
      <c r="L1523" s="6" t="str">
        <f>IF($D1523="","",IF($F1523&lt;&gt;"",$F1523,IF(ISNA(MATCH($D1523,'Paramètres'!$M:$M,0)),"⚠ Type inconnu",IFERROR(INDEX('Paramètres'!$P:$P,MATCH($D1523,'Paramètres'!$M:$M,0))&amp;"",""))))</f>
        <v/>
      </c>
      <c r="M1523" s="6" t="str">
        <f>IF($D1523="","",IF(ISNA(MATCH($D1523,'Paramètres'!$M:$M,0)),"⚠ Type inconnu",IF($L1523="Crédit","",IFERROR(INDEX('Paramètres'!$O:$O,MATCH($D1523,'Paramètres'!$M:$M,0))&amp;"",""))))</f>
        <v/>
      </c>
      <c r="N1523" s="6" t="str">
        <f>IF($D1523="","",IFERROR(INDEX('Paramètres'!$Q:$Q,MATCH($D1523,'Paramètres'!$M:$M,0))&amp;"",""))</f>
        <v/>
      </c>
      <c r="O1523" s="6" t="str">
        <f>IF($A1523="","",IF(OR($J1523&lt;&gt;"x",$A1523&lt;=FinReleve),1,0))</f>
        <v/>
      </c>
      <c r="P1523" s="6" t="str">
        <f>IF($D1523="","",IF(AND($L1523="Crédit",OR(IFERROR(INDEX('Paramètres'!$O:$O,MATCH($D1523,'Paramètres'!$M:$M,0))&amp;"","")&lt;&gt;"",ISNUMBER(SEARCH("remboursement",IFERROR(INDEX('Paramètres'!$N:$N,MATCH($D1523,'Paramètres'!$M:$M,0))&amp;"",""))))),1,0))</f>
        <v/>
      </c>
      <c r="Q1523" s="6" t="str">
        <f>IF($K1523="","",IF(ISNUMBER(SEARCH("transfert-interne",IFERROR(INDEX('Paramètres'!$N:$N,MATCH($D1523,'Paramètres'!$M:$M,0))&amp;"",""))),0,IF($L1523="Débit",$K1523,IF($P1523=1,-$K1523,0))))</f>
        <v/>
      </c>
      <c r="R1523" s="6" t="str">
        <f>IF($K1523="","",IF($L1523="Crédit",$K1523,-$K1523))</f>
        <v/>
      </c>
      <c r="S1523" s="6" t="str">
        <f>IF($C1523="","",IFERROR(INDEX('Paramètres'!$H:$H,MATCH($C1523,'Paramètres'!$D:$D,0))&amp;"",""))</f>
        <v/>
      </c>
      <c r="T1523" s="6" t="str">
        <f>IF($K1523="","",IF($S1523="",0,IF(ISNUMBER(SEARCH("apport-exterieur",IFERROR(INDEX('Paramètres'!$N:$N,MATCH($D1523,'Paramètres'!$M:$M,0))&amp;"",""))),0,IF(OR(IFERROR(INDEX('Paramètres'!$I:$I,MATCH($C1523,'Paramètres'!$D:$D,0))&amp;"","")="Les deux",IFERROR(INDEX('Paramètres'!$I:$I,MATCH($C1523,'Paramètres'!$D:$D,0))&amp;"","")=IF($P1523=1,"Débit",$L1523)),-IF($P1523=1,-$K1523,$K1523),0))))</f>
        <v/>
      </c>
      <c r="U1523" s="6" t="str">
        <f>IF($K1523="","",IF(ISNUMBER(SEARCH("sortie-epargne",IFERROR(INDEX('Paramètres'!$N:$N,MATCH($D1523,'Paramètres'!$M:$M,0))&amp;"",""))),$K1523,0))</f>
        <v/>
      </c>
      <c r="V1523" s="6" t="str">
        <f>IF(AND($A1523&lt;&gt;"",$O1523=1,$L1523="Débit",N($Q1523)&gt;0,$A1523&gt;=Visualisation!$B$1,$A1523&lt;Visualisation!$D$1),MAX($V$1:V1522)+1,"")</f>
        <v/>
      </c>
    </row>
    <row r="1524" spans="1:22" x14ac:dyDescent="0.25">
      <c r="A1524" s="9"/>
      <c r="E1524" s="10"/>
      <c r="K1524" s="11" t="str">
        <f>IF($E1524="","",ROUND($E1524*IF(ISNA(MATCH($C1524,'Paramètres'!$D:$D,0)),1,IF(INDEX('Paramètres'!$J:$J,MATCH($C1524,'Paramètres'!$D:$D,0))="",1,INDEX('Paramètres'!$J:$J,MATCH($C1524,'Paramètres'!$D:$D,0)))),2))</f>
        <v/>
      </c>
      <c r="L1524" s="6" t="str">
        <f>IF($D1524="","",IF($F1524&lt;&gt;"",$F1524,IF(ISNA(MATCH($D1524,'Paramètres'!$M:$M,0)),"⚠ Type inconnu",IFERROR(INDEX('Paramètres'!$P:$P,MATCH($D1524,'Paramètres'!$M:$M,0))&amp;"",""))))</f>
        <v/>
      </c>
      <c r="M1524" s="6" t="str">
        <f>IF($D1524="","",IF(ISNA(MATCH($D1524,'Paramètres'!$M:$M,0)),"⚠ Type inconnu",IF($L1524="Crédit","",IFERROR(INDEX('Paramètres'!$O:$O,MATCH($D1524,'Paramètres'!$M:$M,0))&amp;"",""))))</f>
        <v/>
      </c>
      <c r="N1524" s="6" t="str">
        <f>IF($D1524="","",IFERROR(INDEX('Paramètres'!$Q:$Q,MATCH($D1524,'Paramètres'!$M:$M,0))&amp;"",""))</f>
        <v/>
      </c>
      <c r="O1524" s="6" t="str">
        <f>IF($A1524="","",IF(OR($J1524&lt;&gt;"x",$A1524&lt;=FinReleve),1,0))</f>
        <v/>
      </c>
      <c r="P1524" s="6" t="str">
        <f>IF($D1524="","",IF(AND($L1524="Crédit",OR(IFERROR(INDEX('Paramètres'!$O:$O,MATCH($D1524,'Paramètres'!$M:$M,0))&amp;"","")&lt;&gt;"",ISNUMBER(SEARCH("remboursement",IFERROR(INDEX('Paramètres'!$N:$N,MATCH($D1524,'Paramètres'!$M:$M,0))&amp;"",""))))),1,0))</f>
        <v/>
      </c>
      <c r="Q1524" s="6" t="str">
        <f>IF($K1524="","",IF(ISNUMBER(SEARCH("transfert-interne",IFERROR(INDEX('Paramètres'!$N:$N,MATCH($D1524,'Paramètres'!$M:$M,0))&amp;"",""))),0,IF($L1524="Débit",$K1524,IF($P1524=1,-$K1524,0))))</f>
        <v/>
      </c>
      <c r="R1524" s="6" t="str">
        <f>IF($K1524="","",IF($L1524="Crédit",$K1524,-$K1524))</f>
        <v/>
      </c>
      <c r="S1524" s="6" t="str">
        <f>IF($C1524="","",IFERROR(INDEX('Paramètres'!$H:$H,MATCH($C1524,'Paramètres'!$D:$D,0))&amp;"",""))</f>
        <v/>
      </c>
      <c r="T1524" s="6" t="str">
        <f>IF($K1524="","",IF($S1524="",0,IF(ISNUMBER(SEARCH("apport-exterieur",IFERROR(INDEX('Paramètres'!$N:$N,MATCH($D1524,'Paramètres'!$M:$M,0))&amp;"",""))),0,IF(OR(IFERROR(INDEX('Paramètres'!$I:$I,MATCH($C1524,'Paramètres'!$D:$D,0))&amp;"","")="Les deux",IFERROR(INDEX('Paramètres'!$I:$I,MATCH($C1524,'Paramètres'!$D:$D,0))&amp;"","")=IF($P1524=1,"Débit",$L1524)),-IF($P1524=1,-$K1524,$K1524),0))))</f>
        <v/>
      </c>
      <c r="U1524" s="6" t="str">
        <f>IF($K1524="","",IF(ISNUMBER(SEARCH("sortie-epargne",IFERROR(INDEX('Paramètres'!$N:$N,MATCH($D1524,'Paramètres'!$M:$M,0))&amp;"",""))),$K1524,0))</f>
        <v/>
      </c>
      <c r="V1524" s="6" t="str">
        <f>IF(AND($A1524&lt;&gt;"",$O1524=1,$L1524="Débit",N($Q1524)&gt;0,$A1524&gt;=Visualisation!$B$1,$A1524&lt;Visualisation!$D$1),MAX($V$1:V1523)+1,"")</f>
        <v/>
      </c>
    </row>
    <row r="1525" spans="1:22" x14ac:dyDescent="0.25">
      <c r="A1525" s="9"/>
      <c r="E1525" s="10"/>
      <c r="K1525" s="11" t="str">
        <f>IF($E1525="","",ROUND($E1525*IF(ISNA(MATCH($C1525,'Paramètres'!$D:$D,0)),1,IF(INDEX('Paramètres'!$J:$J,MATCH($C1525,'Paramètres'!$D:$D,0))="",1,INDEX('Paramètres'!$J:$J,MATCH($C1525,'Paramètres'!$D:$D,0)))),2))</f>
        <v/>
      </c>
      <c r="L1525" s="6" t="str">
        <f>IF($D1525="","",IF($F1525&lt;&gt;"",$F1525,IF(ISNA(MATCH($D1525,'Paramètres'!$M:$M,0)),"⚠ Type inconnu",IFERROR(INDEX('Paramètres'!$P:$P,MATCH($D1525,'Paramètres'!$M:$M,0))&amp;"",""))))</f>
        <v/>
      </c>
      <c r="M1525" s="6" t="str">
        <f>IF($D1525="","",IF(ISNA(MATCH($D1525,'Paramètres'!$M:$M,0)),"⚠ Type inconnu",IF($L1525="Crédit","",IFERROR(INDEX('Paramètres'!$O:$O,MATCH($D1525,'Paramètres'!$M:$M,0))&amp;"",""))))</f>
        <v/>
      </c>
      <c r="N1525" s="6" t="str">
        <f>IF($D1525="","",IFERROR(INDEX('Paramètres'!$Q:$Q,MATCH($D1525,'Paramètres'!$M:$M,0))&amp;"",""))</f>
        <v/>
      </c>
      <c r="O1525" s="6" t="str">
        <f>IF($A1525="","",IF(OR($J1525&lt;&gt;"x",$A1525&lt;=FinReleve),1,0))</f>
        <v/>
      </c>
      <c r="P1525" s="6" t="str">
        <f>IF($D1525="","",IF(AND($L1525="Crédit",OR(IFERROR(INDEX('Paramètres'!$O:$O,MATCH($D1525,'Paramètres'!$M:$M,0))&amp;"","")&lt;&gt;"",ISNUMBER(SEARCH("remboursement",IFERROR(INDEX('Paramètres'!$N:$N,MATCH($D1525,'Paramètres'!$M:$M,0))&amp;"",""))))),1,0))</f>
        <v/>
      </c>
      <c r="Q1525" s="6" t="str">
        <f>IF($K1525="","",IF(ISNUMBER(SEARCH("transfert-interne",IFERROR(INDEX('Paramètres'!$N:$N,MATCH($D1525,'Paramètres'!$M:$M,0))&amp;"",""))),0,IF($L1525="Débit",$K1525,IF($P1525=1,-$K1525,0))))</f>
        <v/>
      </c>
      <c r="R1525" s="6" t="str">
        <f>IF($K1525="","",IF($L1525="Crédit",$K1525,-$K1525))</f>
        <v/>
      </c>
      <c r="S1525" s="6" t="str">
        <f>IF($C1525="","",IFERROR(INDEX('Paramètres'!$H:$H,MATCH($C1525,'Paramètres'!$D:$D,0))&amp;"",""))</f>
        <v/>
      </c>
      <c r="T1525" s="6" t="str">
        <f>IF($K1525="","",IF($S1525="",0,IF(ISNUMBER(SEARCH("apport-exterieur",IFERROR(INDEX('Paramètres'!$N:$N,MATCH($D1525,'Paramètres'!$M:$M,0))&amp;"",""))),0,IF(OR(IFERROR(INDEX('Paramètres'!$I:$I,MATCH($C1525,'Paramètres'!$D:$D,0))&amp;"","")="Les deux",IFERROR(INDEX('Paramètres'!$I:$I,MATCH($C1525,'Paramètres'!$D:$D,0))&amp;"","")=IF($P1525=1,"Débit",$L1525)),-IF($P1525=1,-$K1525,$K1525),0))))</f>
        <v/>
      </c>
      <c r="U1525" s="6" t="str">
        <f>IF($K1525="","",IF(ISNUMBER(SEARCH("sortie-epargne",IFERROR(INDEX('Paramètres'!$N:$N,MATCH($D1525,'Paramètres'!$M:$M,0))&amp;"",""))),$K1525,0))</f>
        <v/>
      </c>
      <c r="V1525" s="6" t="str">
        <f>IF(AND($A1525&lt;&gt;"",$O1525=1,$L1525="Débit",N($Q1525)&gt;0,$A1525&gt;=Visualisation!$B$1,$A1525&lt;Visualisation!$D$1),MAX($V$1:V1524)+1,"")</f>
        <v/>
      </c>
    </row>
    <row r="1526" spans="1:22" x14ac:dyDescent="0.25">
      <c r="A1526" s="9"/>
      <c r="E1526" s="10"/>
      <c r="K1526" s="11" t="str">
        <f>IF($E1526="","",ROUND($E1526*IF(ISNA(MATCH($C1526,'Paramètres'!$D:$D,0)),1,IF(INDEX('Paramètres'!$J:$J,MATCH($C1526,'Paramètres'!$D:$D,0))="",1,INDEX('Paramètres'!$J:$J,MATCH($C1526,'Paramètres'!$D:$D,0)))),2))</f>
        <v/>
      </c>
      <c r="L1526" s="6" t="str">
        <f>IF($D1526="","",IF($F1526&lt;&gt;"",$F1526,IF(ISNA(MATCH($D1526,'Paramètres'!$M:$M,0)),"⚠ Type inconnu",IFERROR(INDEX('Paramètres'!$P:$P,MATCH($D1526,'Paramètres'!$M:$M,0))&amp;"",""))))</f>
        <v/>
      </c>
      <c r="M1526" s="6" t="str">
        <f>IF($D1526="","",IF(ISNA(MATCH($D1526,'Paramètres'!$M:$M,0)),"⚠ Type inconnu",IF($L1526="Crédit","",IFERROR(INDEX('Paramètres'!$O:$O,MATCH($D1526,'Paramètres'!$M:$M,0))&amp;"",""))))</f>
        <v/>
      </c>
      <c r="N1526" s="6" t="str">
        <f>IF($D1526="","",IFERROR(INDEX('Paramètres'!$Q:$Q,MATCH($D1526,'Paramètres'!$M:$M,0))&amp;"",""))</f>
        <v/>
      </c>
      <c r="O1526" s="6" t="str">
        <f>IF($A1526="","",IF(OR($J1526&lt;&gt;"x",$A1526&lt;=FinReleve),1,0))</f>
        <v/>
      </c>
      <c r="P1526" s="6" t="str">
        <f>IF($D1526="","",IF(AND($L1526="Crédit",OR(IFERROR(INDEX('Paramètres'!$O:$O,MATCH($D1526,'Paramètres'!$M:$M,0))&amp;"","")&lt;&gt;"",ISNUMBER(SEARCH("remboursement",IFERROR(INDEX('Paramètres'!$N:$N,MATCH($D1526,'Paramètres'!$M:$M,0))&amp;"",""))))),1,0))</f>
        <v/>
      </c>
      <c r="Q1526" s="6" t="str">
        <f>IF($K1526="","",IF(ISNUMBER(SEARCH("transfert-interne",IFERROR(INDEX('Paramètres'!$N:$N,MATCH($D1526,'Paramètres'!$M:$M,0))&amp;"",""))),0,IF($L1526="Débit",$K1526,IF($P1526=1,-$K1526,0))))</f>
        <v/>
      </c>
      <c r="R1526" s="6" t="str">
        <f>IF($K1526="","",IF($L1526="Crédit",$K1526,-$K1526))</f>
        <v/>
      </c>
      <c r="S1526" s="6" t="str">
        <f>IF($C1526="","",IFERROR(INDEX('Paramètres'!$H:$H,MATCH($C1526,'Paramètres'!$D:$D,0))&amp;"",""))</f>
        <v/>
      </c>
      <c r="T1526" s="6" t="str">
        <f>IF($K1526="","",IF($S1526="",0,IF(ISNUMBER(SEARCH("apport-exterieur",IFERROR(INDEX('Paramètres'!$N:$N,MATCH($D1526,'Paramètres'!$M:$M,0))&amp;"",""))),0,IF(OR(IFERROR(INDEX('Paramètres'!$I:$I,MATCH($C1526,'Paramètres'!$D:$D,0))&amp;"","")="Les deux",IFERROR(INDEX('Paramètres'!$I:$I,MATCH($C1526,'Paramètres'!$D:$D,0))&amp;"","")=IF($P1526=1,"Débit",$L1526)),-IF($P1526=1,-$K1526,$K1526),0))))</f>
        <v/>
      </c>
      <c r="U1526" s="6" t="str">
        <f>IF($K1526="","",IF(ISNUMBER(SEARCH("sortie-epargne",IFERROR(INDEX('Paramètres'!$N:$N,MATCH($D1526,'Paramètres'!$M:$M,0))&amp;"",""))),$K1526,0))</f>
        <v/>
      </c>
      <c r="V1526" s="6" t="str">
        <f>IF(AND($A1526&lt;&gt;"",$O1526=1,$L1526="Débit",N($Q1526)&gt;0,$A1526&gt;=Visualisation!$B$1,$A1526&lt;Visualisation!$D$1),MAX($V$1:V1525)+1,"")</f>
        <v/>
      </c>
    </row>
    <row r="1527" spans="1:22" x14ac:dyDescent="0.25">
      <c r="A1527" s="9"/>
      <c r="E1527" s="10"/>
      <c r="K1527" s="11" t="str">
        <f>IF($E1527="","",ROUND($E1527*IF(ISNA(MATCH($C1527,'Paramètres'!$D:$D,0)),1,IF(INDEX('Paramètres'!$J:$J,MATCH($C1527,'Paramètres'!$D:$D,0))="",1,INDEX('Paramètres'!$J:$J,MATCH($C1527,'Paramètres'!$D:$D,0)))),2))</f>
        <v/>
      </c>
      <c r="L1527" s="6" t="str">
        <f>IF($D1527="","",IF($F1527&lt;&gt;"",$F1527,IF(ISNA(MATCH($D1527,'Paramètres'!$M:$M,0)),"⚠ Type inconnu",IFERROR(INDEX('Paramètres'!$P:$P,MATCH($D1527,'Paramètres'!$M:$M,0))&amp;"",""))))</f>
        <v/>
      </c>
      <c r="M1527" s="6" t="str">
        <f>IF($D1527="","",IF(ISNA(MATCH($D1527,'Paramètres'!$M:$M,0)),"⚠ Type inconnu",IF($L1527="Crédit","",IFERROR(INDEX('Paramètres'!$O:$O,MATCH($D1527,'Paramètres'!$M:$M,0))&amp;"",""))))</f>
        <v/>
      </c>
      <c r="N1527" s="6" t="str">
        <f>IF($D1527="","",IFERROR(INDEX('Paramètres'!$Q:$Q,MATCH($D1527,'Paramètres'!$M:$M,0))&amp;"",""))</f>
        <v/>
      </c>
      <c r="O1527" s="6" t="str">
        <f>IF($A1527="","",IF(OR($J1527&lt;&gt;"x",$A1527&lt;=FinReleve),1,0))</f>
        <v/>
      </c>
      <c r="P1527" s="6" t="str">
        <f>IF($D1527="","",IF(AND($L1527="Crédit",OR(IFERROR(INDEX('Paramètres'!$O:$O,MATCH($D1527,'Paramètres'!$M:$M,0))&amp;"","")&lt;&gt;"",ISNUMBER(SEARCH("remboursement",IFERROR(INDEX('Paramètres'!$N:$N,MATCH($D1527,'Paramètres'!$M:$M,0))&amp;"",""))))),1,0))</f>
        <v/>
      </c>
      <c r="Q1527" s="6" t="str">
        <f>IF($K1527="","",IF(ISNUMBER(SEARCH("transfert-interne",IFERROR(INDEX('Paramètres'!$N:$N,MATCH($D1527,'Paramètres'!$M:$M,0))&amp;"",""))),0,IF($L1527="Débit",$K1527,IF($P1527=1,-$K1527,0))))</f>
        <v/>
      </c>
      <c r="R1527" s="6" t="str">
        <f>IF($K1527="","",IF($L1527="Crédit",$K1527,-$K1527))</f>
        <v/>
      </c>
      <c r="S1527" s="6" t="str">
        <f>IF($C1527="","",IFERROR(INDEX('Paramètres'!$H:$H,MATCH($C1527,'Paramètres'!$D:$D,0))&amp;"",""))</f>
        <v/>
      </c>
      <c r="T1527" s="6" t="str">
        <f>IF($K1527="","",IF($S1527="",0,IF(ISNUMBER(SEARCH("apport-exterieur",IFERROR(INDEX('Paramètres'!$N:$N,MATCH($D1527,'Paramètres'!$M:$M,0))&amp;"",""))),0,IF(OR(IFERROR(INDEX('Paramètres'!$I:$I,MATCH($C1527,'Paramètres'!$D:$D,0))&amp;"","")="Les deux",IFERROR(INDEX('Paramètres'!$I:$I,MATCH($C1527,'Paramètres'!$D:$D,0))&amp;"","")=IF($P1527=1,"Débit",$L1527)),-IF($P1527=1,-$K1527,$K1527),0))))</f>
        <v/>
      </c>
      <c r="U1527" s="6" t="str">
        <f>IF($K1527="","",IF(ISNUMBER(SEARCH("sortie-epargne",IFERROR(INDEX('Paramètres'!$N:$N,MATCH($D1527,'Paramètres'!$M:$M,0))&amp;"",""))),$K1527,0))</f>
        <v/>
      </c>
      <c r="V1527" s="6" t="str">
        <f>IF(AND($A1527&lt;&gt;"",$O1527=1,$L1527="Débit",N($Q1527)&gt;0,$A1527&gt;=Visualisation!$B$1,$A1527&lt;Visualisation!$D$1),MAX($V$1:V1526)+1,"")</f>
        <v/>
      </c>
    </row>
    <row r="1528" spans="1:22" x14ac:dyDescent="0.25">
      <c r="A1528" s="9"/>
      <c r="E1528" s="10"/>
      <c r="K1528" s="11" t="str">
        <f>IF($E1528="","",ROUND($E1528*IF(ISNA(MATCH($C1528,'Paramètres'!$D:$D,0)),1,IF(INDEX('Paramètres'!$J:$J,MATCH($C1528,'Paramètres'!$D:$D,0))="",1,INDEX('Paramètres'!$J:$J,MATCH($C1528,'Paramètres'!$D:$D,0)))),2))</f>
        <v/>
      </c>
      <c r="L1528" s="6" t="str">
        <f>IF($D1528="","",IF($F1528&lt;&gt;"",$F1528,IF(ISNA(MATCH($D1528,'Paramètres'!$M:$M,0)),"⚠ Type inconnu",IFERROR(INDEX('Paramètres'!$P:$P,MATCH($D1528,'Paramètres'!$M:$M,0))&amp;"",""))))</f>
        <v/>
      </c>
      <c r="M1528" s="6" t="str">
        <f>IF($D1528="","",IF(ISNA(MATCH($D1528,'Paramètres'!$M:$M,0)),"⚠ Type inconnu",IF($L1528="Crédit","",IFERROR(INDEX('Paramètres'!$O:$O,MATCH($D1528,'Paramètres'!$M:$M,0))&amp;"",""))))</f>
        <v/>
      </c>
      <c r="N1528" s="6" t="str">
        <f>IF($D1528="","",IFERROR(INDEX('Paramètres'!$Q:$Q,MATCH($D1528,'Paramètres'!$M:$M,0))&amp;"",""))</f>
        <v/>
      </c>
      <c r="O1528" s="6" t="str">
        <f>IF($A1528="","",IF(OR($J1528&lt;&gt;"x",$A1528&lt;=FinReleve),1,0))</f>
        <v/>
      </c>
      <c r="P1528" s="6" t="str">
        <f>IF($D1528="","",IF(AND($L1528="Crédit",OR(IFERROR(INDEX('Paramètres'!$O:$O,MATCH($D1528,'Paramètres'!$M:$M,0))&amp;"","")&lt;&gt;"",ISNUMBER(SEARCH("remboursement",IFERROR(INDEX('Paramètres'!$N:$N,MATCH($D1528,'Paramètres'!$M:$M,0))&amp;"",""))))),1,0))</f>
        <v/>
      </c>
      <c r="Q1528" s="6" t="str">
        <f>IF($K1528="","",IF(ISNUMBER(SEARCH("transfert-interne",IFERROR(INDEX('Paramètres'!$N:$N,MATCH($D1528,'Paramètres'!$M:$M,0))&amp;"",""))),0,IF($L1528="Débit",$K1528,IF($P1528=1,-$K1528,0))))</f>
        <v/>
      </c>
      <c r="R1528" s="6" t="str">
        <f>IF($K1528="","",IF($L1528="Crédit",$K1528,-$K1528))</f>
        <v/>
      </c>
      <c r="S1528" s="6" t="str">
        <f>IF($C1528="","",IFERROR(INDEX('Paramètres'!$H:$H,MATCH($C1528,'Paramètres'!$D:$D,0))&amp;"",""))</f>
        <v/>
      </c>
      <c r="T1528" s="6" t="str">
        <f>IF($K1528="","",IF($S1528="",0,IF(ISNUMBER(SEARCH("apport-exterieur",IFERROR(INDEX('Paramètres'!$N:$N,MATCH($D1528,'Paramètres'!$M:$M,0))&amp;"",""))),0,IF(OR(IFERROR(INDEX('Paramètres'!$I:$I,MATCH($C1528,'Paramètres'!$D:$D,0))&amp;"","")="Les deux",IFERROR(INDEX('Paramètres'!$I:$I,MATCH($C1528,'Paramètres'!$D:$D,0))&amp;"","")=IF($P1528=1,"Débit",$L1528)),-IF($P1528=1,-$K1528,$K1528),0))))</f>
        <v/>
      </c>
      <c r="U1528" s="6" t="str">
        <f>IF($K1528="","",IF(ISNUMBER(SEARCH("sortie-epargne",IFERROR(INDEX('Paramètres'!$N:$N,MATCH($D1528,'Paramètres'!$M:$M,0))&amp;"",""))),$K1528,0))</f>
        <v/>
      </c>
      <c r="V1528" s="6" t="str">
        <f>IF(AND($A1528&lt;&gt;"",$O1528=1,$L1528="Débit",N($Q1528)&gt;0,$A1528&gt;=Visualisation!$B$1,$A1528&lt;Visualisation!$D$1),MAX($V$1:V1527)+1,"")</f>
        <v/>
      </c>
    </row>
    <row r="1529" spans="1:22" x14ac:dyDescent="0.25">
      <c r="A1529" s="9"/>
      <c r="E1529" s="10"/>
      <c r="K1529" s="11" t="str">
        <f>IF($E1529="","",ROUND($E1529*IF(ISNA(MATCH($C1529,'Paramètres'!$D:$D,0)),1,IF(INDEX('Paramètres'!$J:$J,MATCH($C1529,'Paramètres'!$D:$D,0))="",1,INDEX('Paramètres'!$J:$J,MATCH($C1529,'Paramètres'!$D:$D,0)))),2))</f>
        <v/>
      </c>
      <c r="L1529" s="6" t="str">
        <f>IF($D1529="","",IF($F1529&lt;&gt;"",$F1529,IF(ISNA(MATCH($D1529,'Paramètres'!$M:$M,0)),"⚠ Type inconnu",IFERROR(INDEX('Paramètres'!$P:$P,MATCH($D1529,'Paramètres'!$M:$M,0))&amp;"",""))))</f>
        <v/>
      </c>
      <c r="M1529" s="6" t="str">
        <f>IF($D1529="","",IF(ISNA(MATCH($D1529,'Paramètres'!$M:$M,0)),"⚠ Type inconnu",IF($L1529="Crédit","",IFERROR(INDEX('Paramètres'!$O:$O,MATCH($D1529,'Paramètres'!$M:$M,0))&amp;"",""))))</f>
        <v/>
      </c>
      <c r="N1529" s="6" t="str">
        <f>IF($D1529="","",IFERROR(INDEX('Paramètres'!$Q:$Q,MATCH($D1529,'Paramètres'!$M:$M,0))&amp;"",""))</f>
        <v/>
      </c>
      <c r="O1529" s="6" t="str">
        <f>IF($A1529="","",IF(OR($J1529&lt;&gt;"x",$A1529&lt;=FinReleve),1,0))</f>
        <v/>
      </c>
      <c r="P1529" s="6" t="str">
        <f>IF($D1529="","",IF(AND($L1529="Crédit",OR(IFERROR(INDEX('Paramètres'!$O:$O,MATCH($D1529,'Paramètres'!$M:$M,0))&amp;"","")&lt;&gt;"",ISNUMBER(SEARCH("remboursement",IFERROR(INDEX('Paramètres'!$N:$N,MATCH($D1529,'Paramètres'!$M:$M,0))&amp;"",""))))),1,0))</f>
        <v/>
      </c>
      <c r="Q1529" s="6" t="str">
        <f>IF($K1529="","",IF(ISNUMBER(SEARCH("transfert-interne",IFERROR(INDEX('Paramètres'!$N:$N,MATCH($D1529,'Paramètres'!$M:$M,0))&amp;"",""))),0,IF($L1529="Débit",$K1529,IF($P1529=1,-$K1529,0))))</f>
        <v/>
      </c>
      <c r="R1529" s="6" t="str">
        <f>IF($K1529="","",IF($L1529="Crédit",$K1529,-$K1529))</f>
        <v/>
      </c>
      <c r="S1529" s="6" t="str">
        <f>IF($C1529="","",IFERROR(INDEX('Paramètres'!$H:$H,MATCH($C1529,'Paramètres'!$D:$D,0))&amp;"",""))</f>
        <v/>
      </c>
      <c r="T1529" s="6" t="str">
        <f>IF($K1529="","",IF($S1529="",0,IF(ISNUMBER(SEARCH("apport-exterieur",IFERROR(INDEX('Paramètres'!$N:$N,MATCH($D1529,'Paramètres'!$M:$M,0))&amp;"",""))),0,IF(OR(IFERROR(INDEX('Paramètres'!$I:$I,MATCH($C1529,'Paramètres'!$D:$D,0))&amp;"","")="Les deux",IFERROR(INDEX('Paramètres'!$I:$I,MATCH($C1529,'Paramètres'!$D:$D,0))&amp;"","")=IF($P1529=1,"Débit",$L1529)),-IF($P1529=1,-$K1529,$K1529),0))))</f>
        <v/>
      </c>
      <c r="U1529" s="6" t="str">
        <f>IF($K1529="","",IF(ISNUMBER(SEARCH("sortie-epargne",IFERROR(INDEX('Paramètres'!$N:$N,MATCH($D1529,'Paramètres'!$M:$M,0))&amp;"",""))),$K1529,0))</f>
        <v/>
      </c>
      <c r="V1529" s="6" t="str">
        <f>IF(AND($A1529&lt;&gt;"",$O1529=1,$L1529="Débit",N($Q1529)&gt;0,$A1529&gt;=Visualisation!$B$1,$A1529&lt;Visualisation!$D$1),MAX($V$1:V1528)+1,"")</f>
        <v/>
      </c>
    </row>
    <row r="1530" spans="1:22" x14ac:dyDescent="0.25">
      <c r="A1530" s="9"/>
      <c r="E1530" s="10"/>
      <c r="K1530" s="11" t="str">
        <f>IF($E1530="","",ROUND($E1530*IF(ISNA(MATCH($C1530,'Paramètres'!$D:$D,0)),1,IF(INDEX('Paramètres'!$J:$J,MATCH($C1530,'Paramètres'!$D:$D,0))="",1,INDEX('Paramètres'!$J:$J,MATCH($C1530,'Paramètres'!$D:$D,0)))),2))</f>
        <v/>
      </c>
      <c r="L1530" s="6" t="str">
        <f>IF($D1530="","",IF($F1530&lt;&gt;"",$F1530,IF(ISNA(MATCH($D1530,'Paramètres'!$M:$M,0)),"⚠ Type inconnu",IFERROR(INDEX('Paramètres'!$P:$P,MATCH($D1530,'Paramètres'!$M:$M,0))&amp;"",""))))</f>
        <v/>
      </c>
      <c r="M1530" s="6" t="str">
        <f>IF($D1530="","",IF(ISNA(MATCH($D1530,'Paramètres'!$M:$M,0)),"⚠ Type inconnu",IF($L1530="Crédit","",IFERROR(INDEX('Paramètres'!$O:$O,MATCH($D1530,'Paramètres'!$M:$M,0))&amp;"",""))))</f>
        <v/>
      </c>
      <c r="N1530" s="6" t="str">
        <f>IF($D1530="","",IFERROR(INDEX('Paramètres'!$Q:$Q,MATCH($D1530,'Paramètres'!$M:$M,0))&amp;"",""))</f>
        <v/>
      </c>
      <c r="O1530" s="6" t="str">
        <f>IF($A1530="","",IF(OR($J1530&lt;&gt;"x",$A1530&lt;=FinReleve),1,0))</f>
        <v/>
      </c>
      <c r="P1530" s="6" t="str">
        <f>IF($D1530="","",IF(AND($L1530="Crédit",OR(IFERROR(INDEX('Paramètres'!$O:$O,MATCH($D1530,'Paramètres'!$M:$M,0))&amp;"","")&lt;&gt;"",ISNUMBER(SEARCH("remboursement",IFERROR(INDEX('Paramètres'!$N:$N,MATCH($D1530,'Paramètres'!$M:$M,0))&amp;"",""))))),1,0))</f>
        <v/>
      </c>
      <c r="Q1530" s="6" t="str">
        <f>IF($K1530="","",IF(ISNUMBER(SEARCH("transfert-interne",IFERROR(INDEX('Paramètres'!$N:$N,MATCH($D1530,'Paramètres'!$M:$M,0))&amp;"",""))),0,IF($L1530="Débit",$K1530,IF($P1530=1,-$K1530,0))))</f>
        <v/>
      </c>
      <c r="R1530" s="6" t="str">
        <f>IF($K1530="","",IF($L1530="Crédit",$K1530,-$K1530))</f>
        <v/>
      </c>
      <c r="S1530" s="6" t="str">
        <f>IF($C1530="","",IFERROR(INDEX('Paramètres'!$H:$H,MATCH($C1530,'Paramètres'!$D:$D,0))&amp;"",""))</f>
        <v/>
      </c>
      <c r="T1530" s="6" t="str">
        <f>IF($K1530="","",IF($S1530="",0,IF(ISNUMBER(SEARCH("apport-exterieur",IFERROR(INDEX('Paramètres'!$N:$N,MATCH($D1530,'Paramètres'!$M:$M,0))&amp;"",""))),0,IF(OR(IFERROR(INDEX('Paramètres'!$I:$I,MATCH($C1530,'Paramètres'!$D:$D,0))&amp;"","")="Les deux",IFERROR(INDEX('Paramètres'!$I:$I,MATCH($C1530,'Paramètres'!$D:$D,0))&amp;"","")=IF($P1530=1,"Débit",$L1530)),-IF($P1530=1,-$K1530,$K1530),0))))</f>
        <v/>
      </c>
      <c r="U1530" s="6" t="str">
        <f>IF($K1530="","",IF(ISNUMBER(SEARCH("sortie-epargne",IFERROR(INDEX('Paramètres'!$N:$N,MATCH($D1530,'Paramètres'!$M:$M,0))&amp;"",""))),$K1530,0))</f>
        <v/>
      </c>
      <c r="V1530" s="6" t="str">
        <f>IF(AND($A1530&lt;&gt;"",$O1530=1,$L1530="Débit",N($Q1530)&gt;0,$A1530&gt;=Visualisation!$B$1,$A1530&lt;Visualisation!$D$1),MAX($V$1:V1529)+1,"")</f>
        <v/>
      </c>
    </row>
    <row r="1531" spans="1:22" x14ac:dyDescent="0.25">
      <c r="A1531" s="9"/>
      <c r="E1531" s="10"/>
      <c r="K1531" s="11" t="str">
        <f>IF($E1531="","",ROUND($E1531*IF(ISNA(MATCH($C1531,'Paramètres'!$D:$D,0)),1,IF(INDEX('Paramètres'!$J:$J,MATCH($C1531,'Paramètres'!$D:$D,0))="",1,INDEX('Paramètres'!$J:$J,MATCH($C1531,'Paramètres'!$D:$D,0)))),2))</f>
        <v/>
      </c>
      <c r="L1531" s="6" t="str">
        <f>IF($D1531="","",IF($F1531&lt;&gt;"",$F1531,IF(ISNA(MATCH($D1531,'Paramètres'!$M:$M,0)),"⚠ Type inconnu",IFERROR(INDEX('Paramètres'!$P:$P,MATCH($D1531,'Paramètres'!$M:$M,0))&amp;"",""))))</f>
        <v/>
      </c>
      <c r="M1531" s="6" t="str">
        <f>IF($D1531="","",IF(ISNA(MATCH($D1531,'Paramètres'!$M:$M,0)),"⚠ Type inconnu",IF($L1531="Crédit","",IFERROR(INDEX('Paramètres'!$O:$O,MATCH($D1531,'Paramètres'!$M:$M,0))&amp;"",""))))</f>
        <v/>
      </c>
      <c r="N1531" s="6" t="str">
        <f>IF($D1531="","",IFERROR(INDEX('Paramètres'!$Q:$Q,MATCH($D1531,'Paramètres'!$M:$M,0))&amp;"",""))</f>
        <v/>
      </c>
      <c r="O1531" s="6" t="str">
        <f>IF($A1531="","",IF(OR($J1531&lt;&gt;"x",$A1531&lt;=FinReleve),1,0))</f>
        <v/>
      </c>
      <c r="P1531" s="6" t="str">
        <f>IF($D1531="","",IF(AND($L1531="Crédit",OR(IFERROR(INDEX('Paramètres'!$O:$O,MATCH($D1531,'Paramètres'!$M:$M,0))&amp;"","")&lt;&gt;"",ISNUMBER(SEARCH("remboursement",IFERROR(INDEX('Paramètres'!$N:$N,MATCH($D1531,'Paramètres'!$M:$M,0))&amp;"",""))))),1,0))</f>
        <v/>
      </c>
      <c r="Q1531" s="6" t="str">
        <f>IF($K1531="","",IF(ISNUMBER(SEARCH("transfert-interne",IFERROR(INDEX('Paramètres'!$N:$N,MATCH($D1531,'Paramètres'!$M:$M,0))&amp;"",""))),0,IF($L1531="Débit",$K1531,IF($P1531=1,-$K1531,0))))</f>
        <v/>
      </c>
      <c r="R1531" s="6" t="str">
        <f>IF($K1531="","",IF($L1531="Crédit",$K1531,-$K1531))</f>
        <v/>
      </c>
      <c r="S1531" s="6" t="str">
        <f>IF($C1531="","",IFERROR(INDEX('Paramètres'!$H:$H,MATCH($C1531,'Paramètres'!$D:$D,0))&amp;"",""))</f>
        <v/>
      </c>
      <c r="T1531" s="6" t="str">
        <f>IF($K1531="","",IF($S1531="",0,IF(ISNUMBER(SEARCH("apport-exterieur",IFERROR(INDEX('Paramètres'!$N:$N,MATCH($D1531,'Paramètres'!$M:$M,0))&amp;"",""))),0,IF(OR(IFERROR(INDEX('Paramètres'!$I:$I,MATCH($C1531,'Paramètres'!$D:$D,0))&amp;"","")="Les deux",IFERROR(INDEX('Paramètres'!$I:$I,MATCH($C1531,'Paramètres'!$D:$D,0))&amp;"","")=IF($P1531=1,"Débit",$L1531)),-IF($P1531=1,-$K1531,$K1531),0))))</f>
        <v/>
      </c>
      <c r="U1531" s="6" t="str">
        <f>IF($K1531="","",IF(ISNUMBER(SEARCH("sortie-epargne",IFERROR(INDEX('Paramètres'!$N:$N,MATCH($D1531,'Paramètres'!$M:$M,0))&amp;"",""))),$K1531,0))</f>
        <v/>
      </c>
      <c r="V1531" s="6" t="str">
        <f>IF(AND($A1531&lt;&gt;"",$O1531=1,$L1531="Débit",N($Q1531)&gt;0,$A1531&gt;=Visualisation!$B$1,$A1531&lt;Visualisation!$D$1),MAX($V$1:V1530)+1,"")</f>
        <v/>
      </c>
    </row>
    <row r="1532" spans="1:22" x14ac:dyDescent="0.25">
      <c r="A1532" s="9"/>
      <c r="E1532" s="10"/>
      <c r="K1532" s="11" t="str">
        <f>IF($E1532="","",ROUND($E1532*IF(ISNA(MATCH($C1532,'Paramètres'!$D:$D,0)),1,IF(INDEX('Paramètres'!$J:$J,MATCH($C1532,'Paramètres'!$D:$D,0))="",1,INDEX('Paramètres'!$J:$J,MATCH($C1532,'Paramètres'!$D:$D,0)))),2))</f>
        <v/>
      </c>
      <c r="L1532" s="6" t="str">
        <f>IF($D1532="","",IF($F1532&lt;&gt;"",$F1532,IF(ISNA(MATCH($D1532,'Paramètres'!$M:$M,0)),"⚠ Type inconnu",IFERROR(INDEX('Paramètres'!$P:$P,MATCH($D1532,'Paramètres'!$M:$M,0))&amp;"",""))))</f>
        <v/>
      </c>
      <c r="M1532" s="6" t="str">
        <f>IF($D1532="","",IF(ISNA(MATCH($D1532,'Paramètres'!$M:$M,0)),"⚠ Type inconnu",IF($L1532="Crédit","",IFERROR(INDEX('Paramètres'!$O:$O,MATCH($D1532,'Paramètres'!$M:$M,0))&amp;"",""))))</f>
        <v/>
      </c>
      <c r="N1532" s="6" t="str">
        <f>IF($D1532="","",IFERROR(INDEX('Paramètres'!$Q:$Q,MATCH($D1532,'Paramètres'!$M:$M,0))&amp;"",""))</f>
        <v/>
      </c>
      <c r="O1532" s="6" t="str">
        <f>IF($A1532="","",IF(OR($J1532&lt;&gt;"x",$A1532&lt;=FinReleve),1,0))</f>
        <v/>
      </c>
      <c r="P1532" s="6" t="str">
        <f>IF($D1532="","",IF(AND($L1532="Crédit",OR(IFERROR(INDEX('Paramètres'!$O:$O,MATCH($D1532,'Paramètres'!$M:$M,0))&amp;"","")&lt;&gt;"",ISNUMBER(SEARCH("remboursement",IFERROR(INDEX('Paramètres'!$N:$N,MATCH($D1532,'Paramètres'!$M:$M,0))&amp;"",""))))),1,0))</f>
        <v/>
      </c>
      <c r="Q1532" s="6" t="str">
        <f>IF($K1532="","",IF(ISNUMBER(SEARCH("transfert-interne",IFERROR(INDEX('Paramètres'!$N:$N,MATCH($D1532,'Paramètres'!$M:$M,0))&amp;"",""))),0,IF($L1532="Débit",$K1532,IF($P1532=1,-$K1532,0))))</f>
        <v/>
      </c>
      <c r="R1532" s="6" t="str">
        <f>IF($K1532="","",IF($L1532="Crédit",$K1532,-$K1532))</f>
        <v/>
      </c>
      <c r="S1532" s="6" t="str">
        <f>IF($C1532="","",IFERROR(INDEX('Paramètres'!$H:$H,MATCH($C1532,'Paramètres'!$D:$D,0))&amp;"",""))</f>
        <v/>
      </c>
      <c r="T1532" s="6" t="str">
        <f>IF($K1532="","",IF($S1532="",0,IF(ISNUMBER(SEARCH("apport-exterieur",IFERROR(INDEX('Paramètres'!$N:$N,MATCH($D1532,'Paramètres'!$M:$M,0))&amp;"",""))),0,IF(OR(IFERROR(INDEX('Paramètres'!$I:$I,MATCH($C1532,'Paramètres'!$D:$D,0))&amp;"","")="Les deux",IFERROR(INDEX('Paramètres'!$I:$I,MATCH($C1532,'Paramètres'!$D:$D,0))&amp;"","")=IF($P1532=1,"Débit",$L1532)),-IF($P1532=1,-$K1532,$K1532),0))))</f>
        <v/>
      </c>
      <c r="U1532" s="6" t="str">
        <f>IF($K1532="","",IF(ISNUMBER(SEARCH("sortie-epargne",IFERROR(INDEX('Paramètres'!$N:$N,MATCH($D1532,'Paramètres'!$M:$M,0))&amp;"",""))),$K1532,0))</f>
        <v/>
      </c>
      <c r="V1532" s="6" t="str">
        <f>IF(AND($A1532&lt;&gt;"",$O1532=1,$L1532="Débit",N($Q1532)&gt;0,$A1532&gt;=Visualisation!$B$1,$A1532&lt;Visualisation!$D$1),MAX($V$1:V1531)+1,"")</f>
        <v/>
      </c>
    </row>
    <row r="1533" spans="1:22" x14ac:dyDescent="0.25">
      <c r="A1533" s="9"/>
      <c r="E1533" s="10"/>
      <c r="K1533" s="11" t="str">
        <f>IF($E1533="","",ROUND($E1533*IF(ISNA(MATCH($C1533,'Paramètres'!$D:$D,0)),1,IF(INDEX('Paramètres'!$J:$J,MATCH($C1533,'Paramètres'!$D:$D,0))="",1,INDEX('Paramètres'!$J:$J,MATCH($C1533,'Paramètres'!$D:$D,0)))),2))</f>
        <v/>
      </c>
      <c r="L1533" s="6" t="str">
        <f>IF($D1533="","",IF($F1533&lt;&gt;"",$F1533,IF(ISNA(MATCH($D1533,'Paramètres'!$M:$M,0)),"⚠ Type inconnu",IFERROR(INDEX('Paramètres'!$P:$P,MATCH($D1533,'Paramètres'!$M:$M,0))&amp;"",""))))</f>
        <v/>
      </c>
      <c r="M1533" s="6" t="str">
        <f>IF($D1533="","",IF(ISNA(MATCH($D1533,'Paramètres'!$M:$M,0)),"⚠ Type inconnu",IF($L1533="Crédit","",IFERROR(INDEX('Paramètres'!$O:$O,MATCH($D1533,'Paramètres'!$M:$M,0))&amp;"",""))))</f>
        <v/>
      </c>
      <c r="N1533" s="6" t="str">
        <f>IF($D1533="","",IFERROR(INDEX('Paramètres'!$Q:$Q,MATCH($D1533,'Paramètres'!$M:$M,0))&amp;"",""))</f>
        <v/>
      </c>
      <c r="O1533" s="6" t="str">
        <f>IF($A1533="","",IF(OR($J1533&lt;&gt;"x",$A1533&lt;=FinReleve),1,0))</f>
        <v/>
      </c>
      <c r="P1533" s="6" t="str">
        <f>IF($D1533="","",IF(AND($L1533="Crédit",OR(IFERROR(INDEX('Paramètres'!$O:$O,MATCH($D1533,'Paramètres'!$M:$M,0))&amp;"","")&lt;&gt;"",ISNUMBER(SEARCH("remboursement",IFERROR(INDEX('Paramètres'!$N:$N,MATCH($D1533,'Paramètres'!$M:$M,0))&amp;"",""))))),1,0))</f>
        <v/>
      </c>
      <c r="Q1533" s="6" t="str">
        <f>IF($K1533="","",IF(ISNUMBER(SEARCH("transfert-interne",IFERROR(INDEX('Paramètres'!$N:$N,MATCH($D1533,'Paramètres'!$M:$M,0))&amp;"",""))),0,IF($L1533="Débit",$K1533,IF($P1533=1,-$K1533,0))))</f>
        <v/>
      </c>
      <c r="R1533" s="6" t="str">
        <f>IF($K1533="","",IF($L1533="Crédit",$K1533,-$K1533))</f>
        <v/>
      </c>
      <c r="S1533" s="6" t="str">
        <f>IF($C1533="","",IFERROR(INDEX('Paramètres'!$H:$H,MATCH($C1533,'Paramètres'!$D:$D,0))&amp;"",""))</f>
        <v/>
      </c>
      <c r="T1533" s="6" t="str">
        <f>IF($K1533="","",IF($S1533="",0,IF(ISNUMBER(SEARCH("apport-exterieur",IFERROR(INDEX('Paramètres'!$N:$N,MATCH($D1533,'Paramètres'!$M:$M,0))&amp;"",""))),0,IF(OR(IFERROR(INDEX('Paramètres'!$I:$I,MATCH($C1533,'Paramètres'!$D:$D,0))&amp;"","")="Les deux",IFERROR(INDEX('Paramètres'!$I:$I,MATCH($C1533,'Paramètres'!$D:$D,0))&amp;"","")=IF($P1533=1,"Débit",$L1533)),-IF($P1533=1,-$K1533,$K1533),0))))</f>
        <v/>
      </c>
      <c r="U1533" s="6" t="str">
        <f>IF($K1533="","",IF(ISNUMBER(SEARCH("sortie-epargne",IFERROR(INDEX('Paramètres'!$N:$N,MATCH($D1533,'Paramètres'!$M:$M,0))&amp;"",""))),$K1533,0))</f>
        <v/>
      </c>
      <c r="V1533" s="6" t="str">
        <f>IF(AND($A1533&lt;&gt;"",$O1533=1,$L1533="Débit",N($Q1533)&gt;0,$A1533&gt;=Visualisation!$B$1,$A1533&lt;Visualisation!$D$1),MAX($V$1:V1532)+1,"")</f>
        <v/>
      </c>
    </row>
    <row r="1534" spans="1:22" x14ac:dyDescent="0.25">
      <c r="A1534" s="9"/>
      <c r="E1534" s="10"/>
      <c r="K1534" s="11" t="str">
        <f>IF($E1534="","",ROUND($E1534*IF(ISNA(MATCH($C1534,'Paramètres'!$D:$D,0)),1,IF(INDEX('Paramètres'!$J:$J,MATCH($C1534,'Paramètres'!$D:$D,0))="",1,INDEX('Paramètres'!$J:$J,MATCH($C1534,'Paramètres'!$D:$D,0)))),2))</f>
        <v/>
      </c>
      <c r="L1534" s="6" t="str">
        <f>IF($D1534="","",IF($F1534&lt;&gt;"",$F1534,IF(ISNA(MATCH($D1534,'Paramètres'!$M:$M,0)),"⚠ Type inconnu",IFERROR(INDEX('Paramètres'!$P:$P,MATCH($D1534,'Paramètres'!$M:$M,0))&amp;"",""))))</f>
        <v/>
      </c>
      <c r="M1534" s="6" t="str">
        <f>IF($D1534="","",IF(ISNA(MATCH($D1534,'Paramètres'!$M:$M,0)),"⚠ Type inconnu",IF($L1534="Crédit","",IFERROR(INDEX('Paramètres'!$O:$O,MATCH($D1534,'Paramètres'!$M:$M,0))&amp;"",""))))</f>
        <v/>
      </c>
      <c r="N1534" s="6" t="str">
        <f>IF($D1534="","",IFERROR(INDEX('Paramètres'!$Q:$Q,MATCH($D1534,'Paramètres'!$M:$M,0))&amp;"",""))</f>
        <v/>
      </c>
      <c r="O1534" s="6" t="str">
        <f>IF($A1534="","",IF(OR($J1534&lt;&gt;"x",$A1534&lt;=FinReleve),1,0))</f>
        <v/>
      </c>
      <c r="P1534" s="6" t="str">
        <f>IF($D1534="","",IF(AND($L1534="Crédit",OR(IFERROR(INDEX('Paramètres'!$O:$O,MATCH($D1534,'Paramètres'!$M:$M,0))&amp;"","")&lt;&gt;"",ISNUMBER(SEARCH("remboursement",IFERROR(INDEX('Paramètres'!$N:$N,MATCH($D1534,'Paramètres'!$M:$M,0))&amp;"",""))))),1,0))</f>
        <v/>
      </c>
      <c r="Q1534" s="6" t="str">
        <f>IF($K1534="","",IF(ISNUMBER(SEARCH("transfert-interne",IFERROR(INDEX('Paramètres'!$N:$N,MATCH($D1534,'Paramètres'!$M:$M,0))&amp;"",""))),0,IF($L1534="Débit",$K1534,IF($P1534=1,-$K1534,0))))</f>
        <v/>
      </c>
      <c r="R1534" s="6" t="str">
        <f>IF($K1534="","",IF($L1534="Crédit",$K1534,-$K1534))</f>
        <v/>
      </c>
      <c r="S1534" s="6" t="str">
        <f>IF($C1534="","",IFERROR(INDEX('Paramètres'!$H:$H,MATCH($C1534,'Paramètres'!$D:$D,0))&amp;"",""))</f>
        <v/>
      </c>
      <c r="T1534" s="6" t="str">
        <f>IF($K1534="","",IF($S1534="",0,IF(ISNUMBER(SEARCH("apport-exterieur",IFERROR(INDEX('Paramètres'!$N:$N,MATCH($D1534,'Paramètres'!$M:$M,0))&amp;"",""))),0,IF(OR(IFERROR(INDEX('Paramètres'!$I:$I,MATCH($C1534,'Paramètres'!$D:$D,0))&amp;"","")="Les deux",IFERROR(INDEX('Paramètres'!$I:$I,MATCH($C1534,'Paramètres'!$D:$D,0))&amp;"","")=IF($P1534=1,"Débit",$L1534)),-IF($P1534=1,-$K1534,$K1534),0))))</f>
        <v/>
      </c>
      <c r="U1534" s="6" t="str">
        <f>IF($K1534="","",IF(ISNUMBER(SEARCH("sortie-epargne",IFERROR(INDEX('Paramètres'!$N:$N,MATCH($D1534,'Paramètres'!$M:$M,0))&amp;"",""))),$K1534,0))</f>
        <v/>
      </c>
      <c r="V1534" s="6" t="str">
        <f>IF(AND($A1534&lt;&gt;"",$O1534=1,$L1534="Débit",N($Q1534)&gt;0,$A1534&gt;=Visualisation!$B$1,$A1534&lt;Visualisation!$D$1),MAX($V$1:V1533)+1,"")</f>
        <v/>
      </c>
    </row>
    <row r="1535" spans="1:22" x14ac:dyDescent="0.25">
      <c r="A1535" s="9"/>
      <c r="E1535" s="10"/>
      <c r="K1535" s="11" t="str">
        <f>IF($E1535="","",ROUND($E1535*IF(ISNA(MATCH($C1535,'Paramètres'!$D:$D,0)),1,IF(INDEX('Paramètres'!$J:$J,MATCH($C1535,'Paramètres'!$D:$D,0))="",1,INDEX('Paramètres'!$J:$J,MATCH($C1535,'Paramètres'!$D:$D,0)))),2))</f>
        <v/>
      </c>
      <c r="L1535" s="6" t="str">
        <f>IF($D1535="","",IF($F1535&lt;&gt;"",$F1535,IF(ISNA(MATCH($D1535,'Paramètres'!$M:$M,0)),"⚠ Type inconnu",IFERROR(INDEX('Paramètres'!$P:$P,MATCH($D1535,'Paramètres'!$M:$M,0))&amp;"",""))))</f>
        <v/>
      </c>
      <c r="M1535" s="6" t="str">
        <f>IF($D1535="","",IF(ISNA(MATCH($D1535,'Paramètres'!$M:$M,0)),"⚠ Type inconnu",IF($L1535="Crédit","",IFERROR(INDEX('Paramètres'!$O:$O,MATCH($D1535,'Paramètres'!$M:$M,0))&amp;"",""))))</f>
        <v/>
      </c>
      <c r="N1535" s="6" t="str">
        <f>IF($D1535="","",IFERROR(INDEX('Paramètres'!$Q:$Q,MATCH($D1535,'Paramètres'!$M:$M,0))&amp;"",""))</f>
        <v/>
      </c>
      <c r="O1535" s="6" t="str">
        <f>IF($A1535="","",IF(OR($J1535&lt;&gt;"x",$A1535&lt;=FinReleve),1,0))</f>
        <v/>
      </c>
      <c r="P1535" s="6" t="str">
        <f>IF($D1535="","",IF(AND($L1535="Crédit",OR(IFERROR(INDEX('Paramètres'!$O:$O,MATCH($D1535,'Paramètres'!$M:$M,0))&amp;"","")&lt;&gt;"",ISNUMBER(SEARCH("remboursement",IFERROR(INDEX('Paramètres'!$N:$N,MATCH($D1535,'Paramètres'!$M:$M,0))&amp;"",""))))),1,0))</f>
        <v/>
      </c>
      <c r="Q1535" s="6" t="str">
        <f>IF($K1535="","",IF(ISNUMBER(SEARCH("transfert-interne",IFERROR(INDEX('Paramètres'!$N:$N,MATCH($D1535,'Paramètres'!$M:$M,0))&amp;"",""))),0,IF($L1535="Débit",$K1535,IF($P1535=1,-$K1535,0))))</f>
        <v/>
      </c>
      <c r="R1535" s="6" t="str">
        <f>IF($K1535="","",IF($L1535="Crédit",$K1535,-$K1535))</f>
        <v/>
      </c>
      <c r="S1535" s="6" t="str">
        <f>IF($C1535="","",IFERROR(INDEX('Paramètres'!$H:$H,MATCH($C1535,'Paramètres'!$D:$D,0))&amp;"",""))</f>
        <v/>
      </c>
      <c r="T1535" s="6" t="str">
        <f>IF($K1535="","",IF($S1535="",0,IF(ISNUMBER(SEARCH("apport-exterieur",IFERROR(INDEX('Paramètres'!$N:$N,MATCH($D1535,'Paramètres'!$M:$M,0))&amp;"",""))),0,IF(OR(IFERROR(INDEX('Paramètres'!$I:$I,MATCH($C1535,'Paramètres'!$D:$D,0))&amp;"","")="Les deux",IFERROR(INDEX('Paramètres'!$I:$I,MATCH($C1535,'Paramètres'!$D:$D,0))&amp;"","")=IF($P1535=1,"Débit",$L1535)),-IF($P1535=1,-$K1535,$K1535),0))))</f>
        <v/>
      </c>
      <c r="U1535" s="6" t="str">
        <f>IF($K1535="","",IF(ISNUMBER(SEARCH("sortie-epargne",IFERROR(INDEX('Paramètres'!$N:$N,MATCH($D1535,'Paramètres'!$M:$M,0))&amp;"",""))),$K1535,0))</f>
        <v/>
      </c>
      <c r="V1535" s="6" t="str">
        <f>IF(AND($A1535&lt;&gt;"",$O1535=1,$L1535="Débit",N($Q1535)&gt;0,$A1535&gt;=Visualisation!$B$1,$A1535&lt;Visualisation!$D$1),MAX($V$1:V1534)+1,"")</f>
        <v/>
      </c>
    </row>
    <row r="1536" spans="1:22" x14ac:dyDescent="0.25">
      <c r="A1536" s="9"/>
      <c r="E1536" s="10"/>
      <c r="K1536" s="11" t="str">
        <f>IF($E1536="","",ROUND($E1536*IF(ISNA(MATCH($C1536,'Paramètres'!$D:$D,0)),1,IF(INDEX('Paramètres'!$J:$J,MATCH($C1536,'Paramètres'!$D:$D,0))="",1,INDEX('Paramètres'!$J:$J,MATCH($C1536,'Paramètres'!$D:$D,0)))),2))</f>
        <v/>
      </c>
      <c r="L1536" s="6" t="str">
        <f>IF($D1536="","",IF($F1536&lt;&gt;"",$F1536,IF(ISNA(MATCH($D1536,'Paramètres'!$M:$M,0)),"⚠ Type inconnu",IFERROR(INDEX('Paramètres'!$P:$P,MATCH($D1536,'Paramètres'!$M:$M,0))&amp;"",""))))</f>
        <v/>
      </c>
      <c r="M1536" s="6" t="str">
        <f>IF($D1536="","",IF(ISNA(MATCH($D1536,'Paramètres'!$M:$M,0)),"⚠ Type inconnu",IF($L1536="Crédit","",IFERROR(INDEX('Paramètres'!$O:$O,MATCH($D1536,'Paramètres'!$M:$M,0))&amp;"",""))))</f>
        <v/>
      </c>
      <c r="N1536" s="6" t="str">
        <f>IF($D1536="","",IFERROR(INDEX('Paramètres'!$Q:$Q,MATCH($D1536,'Paramètres'!$M:$M,0))&amp;"",""))</f>
        <v/>
      </c>
      <c r="O1536" s="6" t="str">
        <f>IF($A1536="","",IF(OR($J1536&lt;&gt;"x",$A1536&lt;=FinReleve),1,0))</f>
        <v/>
      </c>
      <c r="P1536" s="6" t="str">
        <f>IF($D1536="","",IF(AND($L1536="Crédit",OR(IFERROR(INDEX('Paramètres'!$O:$O,MATCH($D1536,'Paramètres'!$M:$M,0))&amp;"","")&lt;&gt;"",ISNUMBER(SEARCH("remboursement",IFERROR(INDEX('Paramètres'!$N:$N,MATCH($D1536,'Paramètres'!$M:$M,0))&amp;"",""))))),1,0))</f>
        <v/>
      </c>
      <c r="Q1536" s="6" t="str">
        <f>IF($K1536="","",IF(ISNUMBER(SEARCH("transfert-interne",IFERROR(INDEX('Paramètres'!$N:$N,MATCH($D1536,'Paramètres'!$M:$M,0))&amp;"",""))),0,IF($L1536="Débit",$K1536,IF($P1536=1,-$K1536,0))))</f>
        <v/>
      </c>
      <c r="R1536" s="6" t="str">
        <f>IF($K1536="","",IF($L1536="Crédit",$K1536,-$K1536))</f>
        <v/>
      </c>
      <c r="S1536" s="6" t="str">
        <f>IF($C1536="","",IFERROR(INDEX('Paramètres'!$H:$H,MATCH($C1536,'Paramètres'!$D:$D,0))&amp;"",""))</f>
        <v/>
      </c>
      <c r="T1536" s="6" t="str">
        <f>IF($K1536="","",IF($S1536="",0,IF(ISNUMBER(SEARCH("apport-exterieur",IFERROR(INDEX('Paramètres'!$N:$N,MATCH($D1536,'Paramètres'!$M:$M,0))&amp;"",""))),0,IF(OR(IFERROR(INDEX('Paramètres'!$I:$I,MATCH($C1536,'Paramètres'!$D:$D,0))&amp;"","")="Les deux",IFERROR(INDEX('Paramètres'!$I:$I,MATCH($C1536,'Paramètres'!$D:$D,0))&amp;"","")=IF($P1536=1,"Débit",$L1536)),-IF($P1536=1,-$K1536,$K1536),0))))</f>
        <v/>
      </c>
      <c r="U1536" s="6" t="str">
        <f>IF($K1536="","",IF(ISNUMBER(SEARCH("sortie-epargne",IFERROR(INDEX('Paramètres'!$N:$N,MATCH($D1536,'Paramètres'!$M:$M,0))&amp;"",""))),$K1536,0))</f>
        <v/>
      </c>
      <c r="V1536" s="6" t="str">
        <f>IF(AND($A1536&lt;&gt;"",$O1536=1,$L1536="Débit",N($Q1536)&gt;0,$A1536&gt;=Visualisation!$B$1,$A1536&lt;Visualisation!$D$1),MAX($V$1:V1535)+1,"")</f>
        <v/>
      </c>
    </row>
    <row r="1537" spans="1:22" x14ac:dyDescent="0.25">
      <c r="A1537" s="9"/>
      <c r="E1537" s="10"/>
      <c r="K1537" s="11" t="str">
        <f>IF($E1537="","",ROUND($E1537*IF(ISNA(MATCH($C1537,'Paramètres'!$D:$D,0)),1,IF(INDEX('Paramètres'!$J:$J,MATCH($C1537,'Paramètres'!$D:$D,0))="",1,INDEX('Paramètres'!$J:$J,MATCH($C1537,'Paramètres'!$D:$D,0)))),2))</f>
        <v/>
      </c>
      <c r="L1537" s="6" t="str">
        <f>IF($D1537="","",IF($F1537&lt;&gt;"",$F1537,IF(ISNA(MATCH($D1537,'Paramètres'!$M:$M,0)),"⚠ Type inconnu",IFERROR(INDEX('Paramètres'!$P:$P,MATCH($D1537,'Paramètres'!$M:$M,0))&amp;"",""))))</f>
        <v/>
      </c>
      <c r="M1537" s="6" t="str">
        <f>IF($D1537="","",IF(ISNA(MATCH($D1537,'Paramètres'!$M:$M,0)),"⚠ Type inconnu",IF($L1537="Crédit","",IFERROR(INDEX('Paramètres'!$O:$O,MATCH($D1537,'Paramètres'!$M:$M,0))&amp;"",""))))</f>
        <v/>
      </c>
      <c r="N1537" s="6" t="str">
        <f>IF($D1537="","",IFERROR(INDEX('Paramètres'!$Q:$Q,MATCH($D1537,'Paramètres'!$M:$M,0))&amp;"",""))</f>
        <v/>
      </c>
      <c r="O1537" s="6" t="str">
        <f>IF($A1537="","",IF(OR($J1537&lt;&gt;"x",$A1537&lt;=FinReleve),1,0))</f>
        <v/>
      </c>
      <c r="P1537" s="6" t="str">
        <f>IF($D1537="","",IF(AND($L1537="Crédit",OR(IFERROR(INDEX('Paramètres'!$O:$O,MATCH($D1537,'Paramètres'!$M:$M,0))&amp;"","")&lt;&gt;"",ISNUMBER(SEARCH("remboursement",IFERROR(INDEX('Paramètres'!$N:$N,MATCH($D1537,'Paramètres'!$M:$M,0))&amp;"",""))))),1,0))</f>
        <v/>
      </c>
      <c r="Q1537" s="6" t="str">
        <f>IF($K1537="","",IF(ISNUMBER(SEARCH("transfert-interne",IFERROR(INDEX('Paramètres'!$N:$N,MATCH($D1537,'Paramètres'!$M:$M,0))&amp;"",""))),0,IF($L1537="Débit",$K1537,IF($P1537=1,-$K1537,0))))</f>
        <v/>
      </c>
      <c r="R1537" s="6" t="str">
        <f>IF($K1537="","",IF($L1537="Crédit",$K1537,-$K1537))</f>
        <v/>
      </c>
      <c r="S1537" s="6" t="str">
        <f>IF($C1537="","",IFERROR(INDEX('Paramètres'!$H:$H,MATCH($C1537,'Paramètres'!$D:$D,0))&amp;"",""))</f>
        <v/>
      </c>
      <c r="T1537" s="6" t="str">
        <f>IF($K1537="","",IF($S1537="",0,IF(ISNUMBER(SEARCH("apport-exterieur",IFERROR(INDEX('Paramètres'!$N:$N,MATCH($D1537,'Paramètres'!$M:$M,0))&amp;"",""))),0,IF(OR(IFERROR(INDEX('Paramètres'!$I:$I,MATCH($C1537,'Paramètres'!$D:$D,0))&amp;"","")="Les deux",IFERROR(INDEX('Paramètres'!$I:$I,MATCH($C1537,'Paramètres'!$D:$D,0))&amp;"","")=IF($P1537=1,"Débit",$L1537)),-IF($P1537=1,-$K1537,$K1537),0))))</f>
        <v/>
      </c>
      <c r="U1537" s="6" t="str">
        <f>IF($K1537="","",IF(ISNUMBER(SEARCH("sortie-epargne",IFERROR(INDEX('Paramètres'!$N:$N,MATCH($D1537,'Paramètres'!$M:$M,0))&amp;"",""))),$K1537,0))</f>
        <v/>
      </c>
      <c r="V1537" s="6" t="str">
        <f>IF(AND($A1537&lt;&gt;"",$O1537=1,$L1537="Débit",N($Q1537)&gt;0,$A1537&gt;=Visualisation!$B$1,$A1537&lt;Visualisation!$D$1),MAX($V$1:V1536)+1,"")</f>
        <v/>
      </c>
    </row>
    <row r="1538" spans="1:22" x14ac:dyDescent="0.25">
      <c r="A1538" s="9"/>
      <c r="E1538" s="10"/>
      <c r="K1538" s="11" t="str">
        <f>IF($E1538="","",ROUND($E1538*IF(ISNA(MATCH($C1538,'Paramètres'!$D:$D,0)),1,IF(INDEX('Paramètres'!$J:$J,MATCH($C1538,'Paramètres'!$D:$D,0))="",1,INDEX('Paramètres'!$J:$J,MATCH($C1538,'Paramètres'!$D:$D,0)))),2))</f>
        <v/>
      </c>
      <c r="L1538" s="6" t="str">
        <f>IF($D1538="","",IF($F1538&lt;&gt;"",$F1538,IF(ISNA(MATCH($D1538,'Paramètres'!$M:$M,0)),"⚠ Type inconnu",IFERROR(INDEX('Paramètres'!$P:$P,MATCH($D1538,'Paramètres'!$M:$M,0))&amp;"",""))))</f>
        <v/>
      </c>
      <c r="M1538" s="6" t="str">
        <f>IF($D1538="","",IF(ISNA(MATCH($D1538,'Paramètres'!$M:$M,0)),"⚠ Type inconnu",IF($L1538="Crédit","",IFERROR(INDEX('Paramètres'!$O:$O,MATCH($D1538,'Paramètres'!$M:$M,0))&amp;"",""))))</f>
        <v/>
      </c>
      <c r="N1538" s="6" t="str">
        <f>IF($D1538="","",IFERROR(INDEX('Paramètres'!$Q:$Q,MATCH($D1538,'Paramètres'!$M:$M,0))&amp;"",""))</f>
        <v/>
      </c>
      <c r="O1538" s="6" t="str">
        <f>IF($A1538="","",IF(OR($J1538&lt;&gt;"x",$A1538&lt;=FinReleve),1,0))</f>
        <v/>
      </c>
      <c r="P1538" s="6" t="str">
        <f>IF($D1538="","",IF(AND($L1538="Crédit",OR(IFERROR(INDEX('Paramètres'!$O:$O,MATCH($D1538,'Paramètres'!$M:$M,0))&amp;"","")&lt;&gt;"",ISNUMBER(SEARCH("remboursement",IFERROR(INDEX('Paramètres'!$N:$N,MATCH($D1538,'Paramètres'!$M:$M,0))&amp;"",""))))),1,0))</f>
        <v/>
      </c>
      <c r="Q1538" s="6" t="str">
        <f>IF($K1538="","",IF(ISNUMBER(SEARCH("transfert-interne",IFERROR(INDEX('Paramètres'!$N:$N,MATCH($D1538,'Paramètres'!$M:$M,0))&amp;"",""))),0,IF($L1538="Débit",$K1538,IF($P1538=1,-$K1538,0))))</f>
        <v/>
      </c>
      <c r="R1538" s="6" t="str">
        <f>IF($K1538="","",IF($L1538="Crédit",$K1538,-$K1538))</f>
        <v/>
      </c>
      <c r="S1538" s="6" t="str">
        <f>IF($C1538="","",IFERROR(INDEX('Paramètres'!$H:$H,MATCH($C1538,'Paramètres'!$D:$D,0))&amp;"",""))</f>
        <v/>
      </c>
      <c r="T1538" s="6" t="str">
        <f>IF($K1538="","",IF($S1538="",0,IF(ISNUMBER(SEARCH("apport-exterieur",IFERROR(INDEX('Paramètres'!$N:$N,MATCH($D1538,'Paramètres'!$M:$M,0))&amp;"",""))),0,IF(OR(IFERROR(INDEX('Paramètres'!$I:$I,MATCH($C1538,'Paramètres'!$D:$D,0))&amp;"","")="Les deux",IFERROR(INDEX('Paramètres'!$I:$I,MATCH($C1538,'Paramètres'!$D:$D,0))&amp;"","")=IF($P1538=1,"Débit",$L1538)),-IF($P1538=1,-$K1538,$K1538),0))))</f>
        <v/>
      </c>
      <c r="U1538" s="6" t="str">
        <f>IF($K1538="","",IF(ISNUMBER(SEARCH("sortie-epargne",IFERROR(INDEX('Paramètres'!$N:$N,MATCH($D1538,'Paramètres'!$M:$M,0))&amp;"",""))),$K1538,0))</f>
        <v/>
      </c>
      <c r="V1538" s="6" t="str">
        <f>IF(AND($A1538&lt;&gt;"",$O1538=1,$L1538="Débit",N($Q1538)&gt;0,$A1538&gt;=Visualisation!$B$1,$A1538&lt;Visualisation!$D$1),MAX($V$1:V1537)+1,"")</f>
        <v/>
      </c>
    </row>
    <row r="1539" spans="1:22" x14ac:dyDescent="0.25">
      <c r="A1539" s="9"/>
      <c r="E1539" s="10"/>
      <c r="K1539" s="11" t="str">
        <f>IF($E1539="","",ROUND($E1539*IF(ISNA(MATCH($C1539,'Paramètres'!$D:$D,0)),1,IF(INDEX('Paramètres'!$J:$J,MATCH($C1539,'Paramètres'!$D:$D,0))="",1,INDEX('Paramètres'!$J:$J,MATCH($C1539,'Paramètres'!$D:$D,0)))),2))</f>
        <v/>
      </c>
      <c r="L1539" s="6" t="str">
        <f>IF($D1539="","",IF($F1539&lt;&gt;"",$F1539,IF(ISNA(MATCH($D1539,'Paramètres'!$M:$M,0)),"⚠ Type inconnu",IFERROR(INDEX('Paramètres'!$P:$P,MATCH($D1539,'Paramètres'!$M:$M,0))&amp;"",""))))</f>
        <v/>
      </c>
      <c r="M1539" s="6" t="str">
        <f>IF($D1539="","",IF(ISNA(MATCH($D1539,'Paramètres'!$M:$M,0)),"⚠ Type inconnu",IF($L1539="Crédit","",IFERROR(INDEX('Paramètres'!$O:$O,MATCH($D1539,'Paramètres'!$M:$M,0))&amp;"",""))))</f>
        <v/>
      </c>
      <c r="N1539" s="6" t="str">
        <f>IF($D1539="","",IFERROR(INDEX('Paramètres'!$Q:$Q,MATCH($D1539,'Paramètres'!$M:$M,0))&amp;"",""))</f>
        <v/>
      </c>
      <c r="O1539" s="6" t="str">
        <f>IF($A1539="","",IF(OR($J1539&lt;&gt;"x",$A1539&lt;=FinReleve),1,0))</f>
        <v/>
      </c>
      <c r="P1539" s="6" t="str">
        <f>IF($D1539="","",IF(AND($L1539="Crédit",OR(IFERROR(INDEX('Paramètres'!$O:$O,MATCH($D1539,'Paramètres'!$M:$M,0))&amp;"","")&lt;&gt;"",ISNUMBER(SEARCH("remboursement",IFERROR(INDEX('Paramètres'!$N:$N,MATCH($D1539,'Paramètres'!$M:$M,0))&amp;"",""))))),1,0))</f>
        <v/>
      </c>
      <c r="Q1539" s="6" t="str">
        <f>IF($K1539="","",IF(ISNUMBER(SEARCH("transfert-interne",IFERROR(INDEX('Paramètres'!$N:$N,MATCH($D1539,'Paramètres'!$M:$M,0))&amp;"",""))),0,IF($L1539="Débit",$K1539,IF($P1539=1,-$K1539,0))))</f>
        <v/>
      </c>
      <c r="R1539" s="6" t="str">
        <f>IF($K1539="","",IF($L1539="Crédit",$K1539,-$K1539))</f>
        <v/>
      </c>
      <c r="S1539" s="6" t="str">
        <f>IF($C1539="","",IFERROR(INDEX('Paramètres'!$H:$H,MATCH($C1539,'Paramètres'!$D:$D,0))&amp;"",""))</f>
        <v/>
      </c>
      <c r="T1539" s="6" t="str">
        <f>IF($K1539="","",IF($S1539="",0,IF(ISNUMBER(SEARCH("apport-exterieur",IFERROR(INDEX('Paramètres'!$N:$N,MATCH($D1539,'Paramètres'!$M:$M,0))&amp;"",""))),0,IF(OR(IFERROR(INDEX('Paramètres'!$I:$I,MATCH($C1539,'Paramètres'!$D:$D,0))&amp;"","")="Les deux",IFERROR(INDEX('Paramètres'!$I:$I,MATCH($C1539,'Paramètres'!$D:$D,0))&amp;"","")=IF($P1539=1,"Débit",$L1539)),-IF($P1539=1,-$K1539,$K1539),0))))</f>
        <v/>
      </c>
      <c r="U1539" s="6" t="str">
        <f>IF($K1539="","",IF(ISNUMBER(SEARCH("sortie-epargne",IFERROR(INDEX('Paramètres'!$N:$N,MATCH($D1539,'Paramètres'!$M:$M,0))&amp;"",""))),$K1539,0))</f>
        <v/>
      </c>
      <c r="V1539" s="6" t="str">
        <f>IF(AND($A1539&lt;&gt;"",$O1539=1,$L1539="Débit",N($Q1539)&gt;0,$A1539&gt;=Visualisation!$B$1,$A1539&lt;Visualisation!$D$1),MAX($V$1:V1538)+1,"")</f>
        <v/>
      </c>
    </row>
    <row r="1540" spans="1:22" x14ac:dyDescent="0.25">
      <c r="A1540" s="9"/>
      <c r="E1540" s="10"/>
      <c r="K1540" s="11" t="str">
        <f>IF($E1540="","",ROUND($E1540*IF(ISNA(MATCH($C1540,'Paramètres'!$D:$D,0)),1,IF(INDEX('Paramètres'!$J:$J,MATCH($C1540,'Paramètres'!$D:$D,0))="",1,INDEX('Paramètres'!$J:$J,MATCH($C1540,'Paramètres'!$D:$D,0)))),2))</f>
        <v/>
      </c>
      <c r="L1540" s="6" t="str">
        <f>IF($D1540="","",IF($F1540&lt;&gt;"",$F1540,IF(ISNA(MATCH($D1540,'Paramètres'!$M:$M,0)),"⚠ Type inconnu",IFERROR(INDEX('Paramètres'!$P:$P,MATCH($D1540,'Paramètres'!$M:$M,0))&amp;"",""))))</f>
        <v/>
      </c>
      <c r="M1540" s="6" t="str">
        <f>IF($D1540="","",IF(ISNA(MATCH($D1540,'Paramètres'!$M:$M,0)),"⚠ Type inconnu",IF($L1540="Crédit","",IFERROR(INDEX('Paramètres'!$O:$O,MATCH($D1540,'Paramètres'!$M:$M,0))&amp;"",""))))</f>
        <v/>
      </c>
      <c r="N1540" s="6" t="str">
        <f>IF($D1540="","",IFERROR(INDEX('Paramètres'!$Q:$Q,MATCH($D1540,'Paramètres'!$M:$M,0))&amp;"",""))</f>
        <v/>
      </c>
      <c r="O1540" s="6" t="str">
        <f>IF($A1540="","",IF(OR($J1540&lt;&gt;"x",$A1540&lt;=FinReleve),1,0))</f>
        <v/>
      </c>
      <c r="P1540" s="6" t="str">
        <f>IF($D1540="","",IF(AND($L1540="Crédit",OR(IFERROR(INDEX('Paramètres'!$O:$O,MATCH($D1540,'Paramètres'!$M:$M,0))&amp;"","")&lt;&gt;"",ISNUMBER(SEARCH("remboursement",IFERROR(INDEX('Paramètres'!$N:$N,MATCH($D1540,'Paramètres'!$M:$M,0))&amp;"",""))))),1,0))</f>
        <v/>
      </c>
      <c r="Q1540" s="6" t="str">
        <f>IF($K1540="","",IF(ISNUMBER(SEARCH("transfert-interne",IFERROR(INDEX('Paramètres'!$N:$N,MATCH($D1540,'Paramètres'!$M:$M,0))&amp;"",""))),0,IF($L1540="Débit",$K1540,IF($P1540=1,-$K1540,0))))</f>
        <v/>
      </c>
      <c r="R1540" s="6" t="str">
        <f>IF($K1540="","",IF($L1540="Crédit",$K1540,-$K1540))</f>
        <v/>
      </c>
      <c r="S1540" s="6" t="str">
        <f>IF($C1540="","",IFERROR(INDEX('Paramètres'!$H:$H,MATCH($C1540,'Paramètres'!$D:$D,0))&amp;"",""))</f>
        <v/>
      </c>
      <c r="T1540" s="6" t="str">
        <f>IF($K1540="","",IF($S1540="",0,IF(ISNUMBER(SEARCH("apport-exterieur",IFERROR(INDEX('Paramètres'!$N:$N,MATCH($D1540,'Paramètres'!$M:$M,0))&amp;"",""))),0,IF(OR(IFERROR(INDEX('Paramètres'!$I:$I,MATCH($C1540,'Paramètres'!$D:$D,0))&amp;"","")="Les deux",IFERROR(INDEX('Paramètres'!$I:$I,MATCH($C1540,'Paramètres'!$D:$D,0))&amp;"","")=IF($P1540=1,"Débit",$L1540)),-IF($P1540=1,-$K1540,$K1540),0))))</f>
        <v/>
      </c>
      <c r="U1540" s="6" t="str">
        <f>IF($K1540="","",IF(ISNUMBER(SEARCH("sortie-epargne",IFERROR(INDEX('Paramètres'!$N:$N,MATCH($D1540,'Paramètres'!$M:$M,0))&amp;"",""))),$K1540,0))</f>
        <v/>
      </c>
      <c r="V1540" s="6" t="str">
        <f>IF(AND($A1540&lt;&gt;"",$O1540=1,$L1540="Débit",N($Q1540)&gt;0,$A1540&gt;=Visualisation!$B$1,$A1540&lt;Visualisation!$D$1),MAX($V$1:V1539)+1,"")</f>
        <v/>
      </c>
    </row>
    <row r="1541" spans="1:22" x14ac:dyDescent="0.25">
      <c r="A1541" s="9"/>
      <c r="E1541" s="10"/>
      <c r="K1541" s="11" t="str">
        <f>IF($E1541="","",ROUND($E1541*IF(ISNA(MATCH($C1541,'Paramètres'!$D:$D,0)),1,IF(INDEX('Paramètres'!$J:$J,MATCH($C1541,'Paramètres'!$D:$D,0))="",1,INDEX('Paramètres'!$J:$J,MATCH($C1541,'Paramètres'!$D:$D,0)))),2))</f>
        <v/>
      </c>
      <c r="L1541" s="6" t="str">
        <f>IF($D1541="","",IF($F1541&lt;&gt;"",$F1541,IF(ISNA(MATCH($D1541,'Paramètres'!$M:$M,0)),"⚠ Type inconnu",IFERROR(INDEX('Paramètres'!$P:$P,MATCH($D1541,'Paramètres'!$M:$M,0))&amp;"",""))))</f>
        <v/>
      </c>
      <c r="M1541" s="6" t="str">
        <f>IF($D1541="","",IF(ISNA(MATCH($D1541,'Paramètres'!$M:$M,0)),"⚠ Type inconnu",IF($L1541="Crédit","",IFERROR(INDEX('Paramètres'!$O:$O,MATCH($D1541,'Paramètres'!$M:$M,0))&amp;"",""))))</f>
        <v/>
      </c>
      <c r="N1541" s="6" t="str">
        <f>IF($D1541="","",IFERROR(INDEX('Paramètres'!$Q:$Q,MATCH($D1541,'Paramètres'!$M:$M,0))&amp;"",""))</f>
        <v/>
      </c>
      <c r="O1541" s="6" t="str">
        <f>IF($A1541="","",IF(OR($J1541&lt;&gt;"x",$A1541&lt;=FinReleve),1,0))</f>
        <v/>
      </c>
      <c r="P1541" s="6" t="str">
        <f>IF($D1541="","",IF(AND($L1541="Crédit",OR(IFERROR(INDEX('Paramètres'!$O:$O,MATCH($D1541,'Paramètres'!$M:$M,0))&amp;"","")&lt;&gt;"",ISNUMBER(SEARCH("remboursement",IFERROR(INDEX('Paramètres'!$N:$N,MATCH($D1541,'Paramètres'!$M:$M,0))&amp;"",""))))),1,0))</f>
        <v/>
      </c>
      <c r="Q1541" s="6" t="str">
        <f>IF($K1541="","",IF(ISNUMBER(SEARCH("transfert-interne",IFERROR(INDEX('Paramètres'!$N:$N,MATCH($D1541,'Paramètres'!$M:$M,0))&amp;"",""))),0,IF($L1541="Débit",$K1541,IF($P1541=1,-$K1541,0))))</f>
        <v/>
      </c>
      <c r="R1541" s="6" t="str">
        <f>IF($K1541="","",IF($L1541="Crédit",$K1541,-$K1541))</f>
        <v/>
      </c>
      <c r="S1541" s="6" t="str">
        <f>IF($C1541="","",IFERROR(INDEX('Paramètres'!$H:$H,MATCH($C1541,'Paramètres'!$D:$D,0))&amp;"",""))</f>
        <v/>
      </c>
      <c r="T1541" s="6" t="str">
        <f>IF($K1541="","",IF($S1541="",0,IF(ISNUMBER(SEARCH("apport-exterieur",IFERROR(INDEX('Paramètres'!$N:$N,MATCH($D1541,'Paramètres'!$M:$M,0))&amp;"",""))),0,IF(OR(IFERROR(INDEX('Paramètres'!$I:$I,MATCH($C1541,'Paramètres'!$D:$D,0))&amp;"","")="Les deux",IFERROR(INDEX('Paramètres'!$I:$I,MATCH($C1541,'Paramètres'!$D:$D,0))&amp;"","")=IF($P1541=1,"Débit",$L1541)),-IF($P1541=1,-$K1541,$K1541),0))))</f>
        <v/>
      </c>
      <c r="U1541" s="6" t="str">
        <f>IF($K1541="","",IF(ISNUMBER(SEARCH("sortie-epargne",IFERROR(INDEX('Paramètres'!$N:$N,MATCH($D1541,'Paramètres'!$M:$M,0))&amp;"",""))),$K1541,0))</f>
        <v/>
      </c>
      <c r="V1541" s="6" t="str">
        <f>IF(AND($A1541&lt;&gt;"",$O1541=1,$L1541="Débit",N($Q1541)&gt;0,$A1541&gt;=Visualisation!$B$1,$A1541&lt;Visualisation!$D$1),MAX($V$1:V1540)+1,"")</f>
        <v/>
      </c>
    </row>
    <row r="1542" spans="1:22" x14ac:dyDescent="0.25">
      <c r="A1542" s="9"/>
      <c r="E1542" s="10"/>
      <c r="K1542" s="11" t="str">
        <f>IF($E1542="","",ROUND($E1542*IF(ISNA(MATCH($C1542,'Paramètres'!$D:$D,0)),1,IF(INDEX('Paramètres'!$J:$J,MATCH($C1542,'Paramètres'!$D:$D,0))="",1,INDEX('Paramètres'!$J:$J,MATCH($C1542,'Paramètres'!$D:$D,0)))),2))</f>
        <v/>
      </c>
      <c r="L1542" s="6" t="str">
        <f>IF($D1542="","",IF($F1542&lt;&gt;"",$F1542,IF(ISNA(MATCH($D1542,'Paramètres'!$M:$M,0)),"⚠ Type inconnu",IFERROR(INDEX('Paramètres'!$P:$P,MATCH($D1542,'Paramètres'!$M:$M,0))&amp;"",""))))</f>
        <v/>
      </c>
      <c r="M1542" s="6" t="str">
        <f>IF($D1542="","",IF(ISNA(MATCH($D1542,'Paramètres'!$M:$M,0)),"⚠ Type inconnu",IF($L1542="Crédit","",IFERROR(INDEX('Paramètres'!$O:$O,MATCH($D1542,'Paramètres'!$M:$M,0))&amp;"",""))))</f>
        <v/>
      </c>
      <c r="N1542" s="6" t="str">
        <f>IF($D1542="","",IFERROR(INDEX('Paramètres'!$Q:$Q,MATCH($D1542,'Paramètres'!$M:$M,0))&amp;"",""))</f>
        <v/>
      </c>
      <c r="O1542" s="6" t="str">
        <f>IF($A1542="","",IF(OR($J1542&lt;&gt;"x",$A1542&lt;=FinReleve),1,0))</f>
        <v/>
      </c>
      <c r="P1542" s="6" t="str">
        <f>IF($D1542="","",IF(AND($L1542="Crédit",OR(IFERROR(INDEX('Paramètres'!$O:$O,MATCH($D1542,'Paramètres'!$M:$M,0))&amp;"","")&lt;&gt;"",ISNUMBER(SEARCH("remboursement",IFERROR(INDEX('Paramètres'!$N:$N,MATCH($D1542,'Paramètres'!$M:$M,0))&amp;"",""))))),1,0))</f>
        <v/>
      </c>
      <c r="Q1542" s="6" t="str">
        <f>IF($K1542="","",IF(ISNUMBER(SEARCH("transfert-interne",IFERROR(INDEX('Paramètres'!$N:$N,MATCH($D1542,'Paramètres'!$M:$M,0))&amp;"",""))),0,IF($L1542="Débit",$K1542,IF($P1542=1,-$K1542,0))))</f>
        <v/>
      </c>
      <c r="R1542" s="6" t="str">
        <f>IF($K1542="","",IF($L1542="Crédit",$K1542,-$K1542))</f>
        <v/>
      </c>
      <c r="S1542" s="6" t="str">
        <f>IF($C1542="","",IFERROR(INDEX('Paramètres'!$H:$H,MATCH($C1542,'Paramètres'!$D:$D,0))&amp;"",""))</f>
        <v/>
      </c>
      <c r="T1542" s="6" t="str">
        <f>IF($K1542="","",IF($S1542="",0,IF(ISNUMBER(SEARCH("apport-exterieur",IFERROR(INDEX('Paramètres'!$N:$N,MATCH($D1542,'Paramètres'!$M:$M,0))&amp;"",""))),0,IF(OR(IFERROR(INDEX('Paramètres'!$I:$I,MATCH($C1542,'Paramètres'!$D:$D,0))&amp;"","")="Les deux",IFERROR(INDEX('Paramètres'!$I:$I,MATCH($C1542,'Paramètres'!$D:$D,0))&amp;"","")=IF($P1542=1,"Débit",$L1542)),-IF($P1542=1,-$K1542,$K1542),0))))</f>
        <v/>
      </c>
      <c r="U1542" s="6" t="str">
        <f>IF($K1542="","",IF(ISNUMBER(SEARCH("sortie-epargne",IFERROR(INDEX('Paramètres'!$N:$N,MATCH($D1542,'Paramètres'!$M:$M,0))&amp;"",""))),$K1542,0))</f>
        <v/>
      </c>
      <c r="V1542" s="6" t="str">
        <f>IF(AND($A1542&lt;&gt;"",$O1542=1,$L1542="Débit",N($Q1542)&gt;0,$A1542&gt;=Visualisation!$B$1,$A1542&lt;Visualisation!$D$1),MAX($V$1:V1541)+1,"")</f>
        <v/>
      </c>
    </row>
    <row r="1543" spans="1:22" x14ac:dyDescent="0.25">
      <c r="A1543" s="9"/>
      <c r="E1543" s="10"/>
      <c r="K1543" s="11" t="str">
        <f>IF($E1543="","",ROUND($E1543*IF(ISNA(MATCH($C1543,'Paramètres'!$D:$D,0)),1,IF(INDEX('Paramètres'!$J:$J,MATCH($C1543,'Paramètres'!$D:$D,0))="",1,INDEX('Paramètres'!$J:$J,MATCH($C1543,'Paramètres'!$D:$D,0)))),2))</f>
        <v/>
      </c>
      <c r="L1543" s="6" t="str">
        <f>IF($D1543="","",IF($F1543&lt;&gt;"",$F1543,IF(ISNA(MATCH($D1543,'Paramètres'!$M:$M,0)),"⚠ Type inconnu",IFERROR(INDEX('Paramètres'!$P:$P,MATCH($D1543,'Paramètres'!$M:$M,0))&amp;"",""))))</f>
        <v/>
      </c>
      <c r="M1543" s="6" t="str">
        <f>IF($D1543="","",IF(ISNA(MATCH($D1543,'Paramètres'!$M:$M,0)),"⚠ Type inconnu",IF($L1543="Crédit","",IFERROR(INDEX('Paramètres'!$O:$O,MATCH($D1543,'Paramètres'!$M:$M,0))&amp;"",""))))</f>
        <v/>
      </c>
      <c r="N1543" s="6" t="str">
        <f>IF($D1543="","",IFERROR(INDEX('Paramètres'!$Q:$Q,MATCH($D1543,'Paramètres'!$M:$M,0))&amp;"",""))</f>
        <v/>
      </c>
      <c r="O1543" s="6" t="str">
        <f>IF($A1543="","",IF(OR($J1543&lt;&gt;"x",$A1543&lt;=FinReleve),1,0))</f>
        <v/>
      </c>
      <c r="P1543" s="6" t="str">
        <f>IF($D1543="","",IF(AND($L1543="Crédit",OR(IFERROR(INDEX('Paramètres'!$O:$O,MATCH($D1543,'Paramètres'!$M:$M,0))&amp;"","")&lt;&gt;"",ISNUMBER(SEARCH("remboursement",IFERROR(INDEX('Paramètres'!$N:$N,MATCH($D1543,'Paramètres'!$M:$M,0))&amp;"",""))))),1,0))</f>
        <v/>
      </c>
      <c r="Q1543" s="6" t="str">
        <f>IF($K1543="","",IF(ISNUMBER(SEARCH("transfert-interne",IFERROR(INDEX('Paramètres'!$N:$N,MATCH($D1543,'Paramètres'!$M:$M,0))&amp;"",""))),0,IF($L1543="Débit",$K1543,IF($P1543=1,-$K1543,0))))</f>
        <v/>
      </c>
      <c r="R1543" s="6" t="str">
        <f>IF($K1543="","",IF($L1543="Crédit",$K1543,-$K1543))</f>
        <v/>
      </c>
      <c r="S1543" s="6" t="str">
        <f>IF($C1543="","",IFERROR(INDEX('Paramètres'!$H:$H,MATCH($C1543,'Paramètres'!$D:$D,0))&amp;"",""))</f>
        <v/>
      </c>
      <c r="T1543" s="6" t="str">
        <f>IF($K1543="","",IF($S1543="",0,IF(ISNUMBER(SEARCH("apport-exterieur",IFERROR(INDEX('Paramètres'!$N:$N,MATCH($D1543,'Paramètres'!$M:$M,0))&amp;"",""))),0,IF(OR(IFERROR(INDEX('Paramètres'!$I:$I,MATCH($C1543,'Paramètres'!$D:$D,0))&amp;"","")="Les deux",IFERROR(INDEX('Paramètres'!$I:$I,MATCH($C1543,'Paramètres'!$D:$D,0))&amp;"","")=IF($P1543=1,"Débit",$L1543)),-IF($P1543=1,-$K1543,$K1543),0))))</f>
        <v/>
      </c>
      <c r="U1543" s="6" t="str">
        <f>IF($K1543="","",IF(ISNUMBER(SEARCH("sortie-epargne",IFERROR(INDEX('Paramètres'!$N:$N,MATCH($D1543,'Paramètres'!$M:$M,0))&amp;"",""))),$K1543,0))</f>
        <v/>
      </c>
      <c r="V1543" s="6" t="str">
        <f>IF(AND($A1543&lt;&gt;"",$O1543=1,$L1543="Débit",N($Q1543)&gt;0,$A1543&gt;=Visualisation!$B$1,$A1543&lt;Visualisation!$D$1),MAX($V$1:V1542)+1,"")</f>
        <v/>
      </c>
    </row>
    <row r="1544" spans="1:22" x14ac:dyDescent="0.25">
      <c r="A1544" s="9"/>
      <c r="E1544" s="10"/>
      <c r="K1544" s="11" t="str">
        <f>IF($E1544="","",ROUND($E1544*IF(ISNA(MATCH($C1544,'Paramètres'!$D:$D,0)),1,IF(INDEX('Paramètres'!$J:$J,MATCH($C1544,'Paramètres'!$D:$D,0))="",1,INDEX('Paramètres'!$J:$J,MATCH($C1544,'Paramètres'!$D:$D,0)))),2))</f>
        <v/>
      </c>
      <c r="L1544" s="6" t="str">
        <f>IF($D1544="","",IF($F1544&lt;&gt;"",$F1544,IF(ISNA(MATCH($D1544,'Paramètres'!$M:$M,0)),"⚠ Type inconnu",IFERROR(INDEX('Paramètres'!$P:$P,MATCH($D1544,'Paramètres'!$M:$M,0))&amp;"",""))))</f>
        <v/>
      </c>
      <c r="M1544" s="6" t="str">
        <f>IF($D1544="","",IF(ISNA(MATCH($D1544,'Paramètres'!$M:$M,0)),"⚠ Type inconnu",IF($L1544="Crédit","",IFERROR(INDEX('Paramètres'!$O:$O,MATCH($D1544,'Paramètres'!$M:$M,0))&amp;"",""))))</f>
        <v/>
      </c>
      <c r="N1544" s="6" t="str">
        <f>IF($D1544="","",IFERROR(INDEX('Paramètres'!$Q:$Q,MATCH($D1544,'Paramètres'!$M:$M,0))&amp;"",""))</f>
        <v/>
      </c>
      <c r="O1544" s="6" t="str">
        <f>IF($A1544="","",IF(OR($J1544&lt;&gt;"x",$A1544&lt;=FinReleve),1,0))</f>
        <v/>
      </c>
      <c r="P1544" s="6" t="str">
        <f>IF($D1544="","",IF(AND($L1544="Crédit",OR(IFERROR(INDEX('Paramètres'!$O:$O,MATCH($D1544,'Paramètres'!$M:$M,0))&amp;"","")&lt;&gt;"",ISNUMBER(SEARCH("remboursement",IFERROR(INDEX('Paramètres'!$N:$N,MATCH($D1544,'Paramètres'!$M:$M,0))&amp;"",""))))),1,0))</f>
        <v/>
      </c>
      <c r="Q1544" s="6" t="str">
        <f>IF($K1544="","",IF(ISNUMBER(SEARCH("transfert-interne",IFERROR(INDEX('Paramètres'!$N:$N,MATCH($D1544,'Paramètres'!$M:$M,0))&amp;"",""))),0,IF($L1544="Débit",$K1544,IF($P1544=1,-$K1544,0))))</f>
        <v/>
      </c>
      <c r="R1544" s="6" t="str">
        <f>IF($K1544="","",IF($L1544="Crédit",$K1544,-$K1544))</f>
        <v/>
      </c>
      <c r="S1544" s="6" t="str">
        <f>IF($C1544="","",IFERROR(INDEX('Paramètres'!$H:$H,MATCH($C1544,'Paramètres'!$D:$D,0))&amp;"",""))</f>
        <v/>
      </c>
      <c r="T1544" s="6" t="str">
        <f>IF($K1544="","",IF($S1544="",0,IF(ISNUMBER(SEARCH("apport-exterieur",IFERROR(INDEX('Paramètres'!$N:$N,MATCH($D1544,'Paramètres'!$M:$M,0))&amp;"",""))),0,IF(OR(IFERROR(INDEX('Paramètres'!$I:$I,MATCH($C1544,'Paramètres'!$D:$D,0))&amp;"","")="Les deux",IFERROR(INDEX('Paramètres'!$I:$I,MATCH($C1544,'Paramètres'!$D:$D,0))&amp;"","")=IF($P1544=1,"Débit",$L1544)),-IF($P1544=1,-$K1544,$K1544),0))))</f>
        <v/>
      </c>
      <c r="U1544" s="6" t="str">
        <f>IF($K1544="","",IF(ISNUMBER(SEARCH("sortie-epargne",IFERROR(INDEX('Paramètres'!$N:$N,MATCH($D1544,'Paramètres'!$M:$M,0))&amp;"",""))),$K1544,0))</f>
        <v/>
      </c>
      <c r="V1544" s="6" t="str">
        <f>IF(AND($A1544&lt;&gt;"",$O1544=1,$L1544="Débit",N($Q1544)&gt;0,$A1544&gt;=Visualisation!$B$1,$A1544&lt;Visualisation!$D$1),MAX($V$1:V1543)+1,"")</f>
        <v/>
      </c>
    </row>
    <row r="1545" spans="1:22" x14ac:dyDescent="0.25">
      <c r="A1545" s="9"/>
      <c r="E1545" s="10"/>
      <c r="K1545" s="11" t="str">
        <f>IF($E1545="","",ROUND($E1545*IF(ISNA(MATCH($C1545,'Paramètres'!$D:$D,0)),1,IF(INDEX('Paramètres'!$J:$J,MATCH($C1545,'Paramètres'!$D:$D,0))="",1,INDEX('Paramètres'!$J:$J,MATCH($C1545,'Paramètres'!$D:$D,0)))),2))</f>
        <v/>
      </c>
      <c r="L1545" s="6" t="str">
        <f>IF($D1545="","",IF($F1545&lt;&gt;"",$F1545,IF(ISNA(MATCH($D1545,'Paramètres'!$M:$M,0)),"⚠ Type inconnu",IFERROR(INDEX('Paramètres'!$P:$P,MATCH($D1545,'Paramètres'!$M:$M,0))&amp;"",""))))</f>
        <v/>
      </c>
      <c r="M1545" s="6" t="str">
        <f>IF($D1545="","",IF(ISNA(MATCH($D1545,'Paramètres'!$M:$M,0)),"⚠ Type inconnu",IF($L1545="Crédit","",IFERROR(INDEX('Paramètres'!$O:$O,MATCH($D1545,'Paramètres'!$M:$M,0))&amp;"",""))))</f>
        <v/>
      </c>
      <c r="N1545" s="6" t="str">
        <f>IF($D1545="","",IFERROR(INDEX('Paramètres'!$Q:$Q,MATCH($D1545,'Paramètres'!$M:$M,0))&amp;"",""))</f>
        <v/>
      </c>
      <c r="O1545" s="6" t="str">
        <f>IF($A1545="","",IF(OR($J1545&lt;&gt;"x",$A1545&lt;=FinReleve),1,0))</f>
        <v/>
      </c>
      <c r="P1545" s="6" t="str">
        <f>IF($D1545="","",IF(AND($L1545="Crédit",OR(IFERROR(INDEX('Paramètres'!$O:$O,MATCH($D1545,'Paramètres'!$M:$M,0))&amp;"","")&lt;&gt;"",ISNUMBER(SEARCH("remboursement",IFERROR(INDEX('Paramètres'!$N:$N,MATCH($D1545,'Paramètres'!$M:$M,0))&amp;"",""))))),1,0))</f>
        <v/>
      </c>
      <c r="Q1545" s="6" t="str">
        <f>IF($K1545="","",IF(ISNUMBER(SEARCH("transfert-interne",IFERROR(INDEX('Paramètres'!$N:$N,MATCH($D1545,'Paramètres'!$M:$M,0))&amp;"",""))),0,IF($L1545="Débit",$K1545,IF($P1545=1,-$K1545,0))))</f>
        <v/>
      </c>
      <c r="R1545" s="6" t="str">
        <f>IF($K1545="","",IF($L1545="Crédit",$K1545,-$K1545))</f>
        <v/>
      </c>
      <c r="S1545" s="6" t="str">
        <f>IF($C1545="","",IFERROR(INDEX('Paramètres'!$H:$H,MATCH($C1545,'Paramètres'!$D:$D,0))&amp;"",""))</f>
        <v/>
      </c>
      <c r="T1545" s="6" t="str">
        <f>IF($K1545="","",IF($S1545="",0,IF(ISNUMBER(SEARCH("apport-exterieur",IFERROR(INDEX('Paramètres'!$N:$N,MATCH($D1545,'Paramètres'!$M:$M,0))&amp;"",""))),0,IF(OR(IFERROR(INDEX('Paramètres'!$I:$I,MATCH($C1545,'Paramètres'!$D:$D,0))&amp;"","")="Les deux",IFERROR(INDEX('Paramètres'!$I:$I,MATCH($C1545,'Paramètres'!$D:$D,0))&amp;"","")=IF($P1545=1,"Débit",$L1545)),-IF($P1545=1,-$K1545,$K1545),0))))</f>
        <v/>
      </c>
      <c r="U1545" s="6" t="str">
        <f>IF($K1545="","",IF(ISNUMBER(SEARCH("sortie-epargne",IFERROR(INDEX('Paramètres'!$N:$N,MATCH($D1545,'Paramètres'!$M:$M,0))&amp;"",""))),$K1545,0))</f>
        <v/>
      </c>
      <c r="V1545" s="6" t="str">
        <f>IF(AND($A1545&lt;&gt;"",$O1545=1,$L1545="Débit",N($Q1545)&gt;0,$A1545&gt;=Visualisation!$B$1,$A1545&lt;Visualisation!$D$1),MAX($V$1:V1544)+1,"")</f>
        <v/>
      </c>
    </row>
    <row r="1546" spans="1:22" x14ac:dyDescent="0.25">
      <c r="A1546" s="9"/>
      <c r="E1546" s="10"/>
      <c r="K1546" s="11" t="str">
        <f>IF($E1546="","",ROUND($E1546*IF(ISNA(MATCH($C1546,'Paramètres'!$D:$D,0)),1,IF(INDEX('Paramètres'!$J:$J,MATCH($C1546,'Paramètres'!$D:$D,0))="",1,INDEX('Paramètres'!$J:$J,MATCH($C1546,'Paramètres'!$D:$D,0)))),2))</f>
        <v/>
      </c>
      <c r="L1546" s="6" t="str">
        <f>IF($D1546="","",IF($F1546&lt;&gt;"",$F1546,IF(ISNA(MATCH($D1546,'Paramètres'!$M:$M,0)),"⚠ Type inconnu",IFERROR(INDEX('Paramètres'!$P:$P,MATCH($D1546,'Paramètres'!$M:$M,0))&amp;"",""))))</f>
        <v/>
      </c>
      <c r="M1546" s="6" t="str">
        <f>IF($D1546="","",IF(ISNA(MATCH($D1546,'Paramètres'!$M:$M,0)),"⚠ Type inconnu",IF($L1546="Crédit","",IFERROR(INDEX('Paramètres'!$O:$O,MATCH($D1546,'Paramètres'!$M:$M,0))&amp;"",""))))</f>
        <v/>
      </c>
      <c r="N1546" s="6" t="str">
        <f>IF($D1546="","",IFERROR(INDEX('Paramètres'!$Q:$Q,MATCH($D1546,'Paramètres'!$M:$M,0))&amp;"",""))</f>
        <v/>
      </c>
      <c r="O1546" s="6" t="str">
        <f>IF($A1546="","",IF(OR($J1546&lt;&gt;"x",$A1546&lt;=FinReleve),1,0))</f>
        <v/>
      </c>
      <c r="P1546" s="6" t="str">
        <f>IF($D1546="","",IF(AND($L1546="Crédit",OR(IFERROR(INDEX('Paramètres'!$O:$O,MATCH($D1546,'Paramètres'!$M:$M,0))&amp;"","")&lt;&gt;"",ISNUMBER(SEARCH("remboursement",IFERROR(INDEX('Paramètres'!$N:$N,MATCH($D1546,'Paramètres'!$M:$M,0))&amp;"",""))))),1,0))</f>
        <v/>
      </c>
      <c r="Q1546" s="6" t="str">
        <f>IF($K1546="","",IF(ISNUMBER(SEARCH("transfert-interne",IFERROR(INDEX('Paramètres'!$N:$N,MATCH($D1546,'Paramètres'!$M:$M,0))&amp;"",""))),0,IF($L1546="Débit",$K1546,IF($P1546=1,-$K1546,0))))</f>
        <v/>
      </c>
      <c r="R1546" s="6" t="str">
        <f>IF($K1546="","",IF($L1546="Crédit",$K1546,-$K1546))</f>
        <v/>
      </c>
      <c r="S1546" s="6" t="str">
        <f>IF($C1546="","",IFERROR(INDEX('Paramètres'!$H:$H,MATCH($C1546,'Paramètres'!$D:$D,0))&amp;"",""))</f>
        <v/>
      </c>
      <c r="T1546" s="6" t="str">
        <f>IF($K1546="","",IF($S1546="",0,IF(ISNUMBER(SEARCH("apport-exterieur",IFERROR(INDEX('Paramètres'!$N:$N,MATCH($D1546,'Paramètres'!$M:$M,0))&amp;"",""))),0,IF(OR(IFERROR(INDEX('Paramètres'!$I:$I,MATCH($C1546,'Paramètres'!$D:$D,0))&amp;"","")="Les deux",IFERROR(INDEX('Paramètres'!$I:$I,MATCH($C1546,'Paramètres'!$D:$D,0))&amp;"","")=IF($P1546=1,"Débit",$L1546)),-IF($P1546=1,-$K1546,$K1546),0))))</f>
        <v/>
      </c>
      <c r="U1546" s="6" t="str">
        <f>IF($K1546="","",IF(ISNUMBER(SEARCH("sortie-epargne",IFERROR(INDEX('Paramètres'!$N:$N,MATCH($D1546,'Paramètres'!$M:$M,0))&amp;"",""))),$K1546,0))</f>
        <v/>
      </c>
      <c r="V1546" s="6" t="str">
        <f>IF(AND($A1546&lt;&gt;"",$O1546=1,$L1546="Débit",N($Q1546)&gt;0,$A1546&gt;=Visualisation!$B$1,$A1546&lt;Visualisation!$D$1),MAX($V$1:V1545)+1,"")</f>
        <v/>
      </c>
    </row>
    <row r="1547" spans="1:22" x14ac:dyDescent="0.25">
      <c r="A1547" s="9"/>
      <c r="E1547" s="10"/>
      <c r="K1547" s="11" t="str">
        <f>IF($E1547="","",ROUND($E1547*IF(ISNA(MATCH($C1547,'Paramètres'!$D:$D,0)),1,IF(INDEX('Paramètres'!$J:$J,MATCH($C1547,'Paramètres'!$D:$D,0))="",1,INDEX('Paramètres'!$J:$J,MATCH($C1547,'Paramètres'!$D:$D,0)))),2))</f>
        <v/>
      </c>
      <c r="L1547" s="6" t="str">
        <f>IF($D1547="","",IF($F1547&lt;&gt;"",$F1547,IF(ISNA(MATCH($D1547,'Paramètres'!$M:$M,0)),"⚠ Type inconnu",IFERROR(INDEX('Paramètres'!$P:$P,MATCH($D1547,'Paramètres'!$M:$M,0))&amp;"",""))))</f>
        <v/>
      </c>
      <c r="M1547" s="6" t="str">
        <f>IF($D1547="","",IF(ISNA(MATCH($D1547,'Paramètres'!$M:$M,0)),"⚠ Type inconnu",IF($L1547="Crédit","",IFERROR(INDEX('Paramètres'!$O:$O,MATCH($D1547,'Paramètres'!$M:$M,0))&amp;"",""))))</f>
        <v/>
      </c>
      <c r="N1547" s="6" t="str">
        <f>IF($D1547="","",IFERROR(INDEX('Paramètres'!$Q:$Q,MATCH($D1547,'Paramètres'!$M:$M,0))&amp;"",""))</f>
        <v/>
      </c>
      <c r="O1547" s="6" t="str">
        <f>IF($A1547="","",IF(OR($J1547&lt;&gt;"x",$A1547&lt;=FinReleve),1,0))</f>
        <v/>
      </c>
      <c r="P1547" s="6" t="str">
        <f>IF($D1547="","",IF(AND($L1547="Crédit",OR(IFERROR(INDEX('Paramètres'!$O:$O,MATCH($D1547,'Paramètres'!$M:$M,0))&amp;"","")&lt;&gt;"",ISNUMBER(SEARCH("remboursement",IFERROR(INDEX('Paramètres'!$N:$N,MATCH($D1547,'Paramètres'!$M:$M,0))&amp;"",""))))),1,0))</f>
        <v/>
      </c>
      <c r="Q1547" s="6" t="str">
        <f>IF($K1547="","",IF(ISNUMBER(SEARCH("transfert-interne",IFERROR(INDEX('Paramètres'!$N:$N,MATCH($D1547,'Paramètres'!$M:$M,0))&amp;"",""))),0,IF($L1547="Débit",$K1547,IF($P1547=1,-$K1547,0))))</f>
        <v/>
      </c>
      <c r="R1547" s="6" t="str">
        <f>IF($K1547="","",IF($L1547="Crédit",$K1547,-$K1547))</f>
        <v/>
      </c>
      <c r="S1547" s="6" t="str">
        <f>IF($C1547="","",IFERROR(INDEX('Paramètres'!$H:$H,MATCH($C1547,'Paramètres'!$D:$D,0))&amp;"",""))</f>
        <v/>
      </c>
      <c r="T1547" s="6" t="str">
        <f>IF($K1547="","",IF($S1547="",0,IF(ISNUMBER(SEARCH("apport-exterieur",IFERROR(INDEX('Paramètres'!$N:$N,MATCH($D1547,'Paramètres'!$M:$M,0))&amp;"",""))),0,IF(OR(IFERROR(INDEX('Paramètres'!$I:$I,MATCH($C1547,'Paramètres'!$D:$D,0))&amp;"","")="Les deux",IFERROR(INDEX('Paramètres'!$I:$I,MATCH($C1547,'Paramètres'!$D:$D,0))&amp;"","")=IF($P1547=1,"Débit",$L1547)),-IF($P1547=1,-$K1547,$K1547),0))))</f>
        <v/>
      </c>
      <c r="U1547" s="6" t="str">
        <f>IF($K1547="","",IF(ISNUMBER(SEARCH("sortie-epargne",IFERROR(INDEX('Paramètres'!$N:$N,MATCH($D1547,'Paramètres'!$M:$M,0))&amp;"",""))),$K1547,0))</f>
        <v/>
      </c>
      <c r="V1547" s="6" t="str">
        <f>IF(AND($A1547&lt;&gt;"",$O1547=1,$L1547="Débit",N($Q1547)&gt;0,$A1547&gt;=Visualisation!$B$1,$A1547&lt;Visualisation!$D$1),MAX($V$1:V1546)+1,"")</f>
        <v/>
      </c>
    </row>
    <row r="1548" spans="1:22" x14ac:dyDescent="0.25">
      <c r="A1548" s="9"/>
      <c r="E1548" s="10"/>
      <c r="K1548" s="11" t="str">
        <f>IF($E1548="","",ROUND($E1548*IF(ISNA(MATCH($C1548,'Paramètres'!$D:$D,0)),1,IF(INDEX('Paramètres'!$J:$J,MATCH($C1548,'Paramètres'!$D:$D,0))="",1,INDEX('Paramètres'!$J:$J,MATCH($C1548,'Paramètres'!$D:$D,0)))),2))</f>
        <v/>
      </c>
      <c r="L1548" s="6" t="str">
        <f>IF($D1548="","",IF($F1548&lt;&gt;"",$F1548,IF(ISNA(MATCH($D1548,'Paramètres'!$M:$M,0)),"⚠ Type inconnu",IFERROR(INDEX('Paramètres'!$P:$P,MATCH($D1548,'Paramètres'!$M:$M,0))&amp;"",""))))</f>
        <v/>
      </c>
      <c r="M1548" s="6" t="str">
        <f>IF($D1548="","",IF(ISNA(MATCH($D1548,'Paramètres'!$M:$M,0)),"⚠ Type inconnu",IF($L1548="Crédit","",IFERROR(INDEX('Paramètres'!$O:$O,MATCH($D1548,'Paramètres'!$M:$M,0))&amp;"",""))))</f>
        <v/>
      </c>
      <c r="N1548" s="6" t="str">
        <f>IF($D1548="","",IFERROR(INDEX('Paramètres'!$Q:$Q,MATCH($D1548,'Paramètres'!$M:$M,0))&amp;"",""))</f>
        <v/>
      </c>
      <c r="O1548" s="6" t="str">
        <f>IF($A1548="","",IF(OR($J1548&lt;&gt;"x",$A1548&lt;=FinReleve),1,0))</f>
        <v/>
      </c>
      <c r="P1548" s="6" t="str">
        <f>IF($D1548="","",IF(AND($L1548="Crédit",OR(IFERROR(INDEX('Paramètres'!$O:$O,MATCH($D1548,'Paramètres'!$M:$M,0))&amp;"","")&lt;&gt;"",ISNUMBER(SEARCH("remboursement",IFERROR(INDEX('Paramètres'!$N:$N,MATCH($D1548,'Paramètres'!$M:$M,0))&amp;"",""))))),1,0))</f>
        <v/>
      </c>
      <c r="Q1548" s="6" t="str">
        <f>IF($K1548="","",IF(ISNUMBER(SEARCH("transfert-interne",IFERROR(INDEX('Paramètres'!$N:$N,MATCH($D1548,'Paramètres'!$M:$M,0))&amp;"",""))),0,IF($L1548="Débit",$K1548,IF($P1548=1,-$K1548,0))))</f>
        <v/>
      </c>
      <c r="R1548" s="6" t="str">
        <f>IF($K1548="","",IF($L1548="Crédit",$K1548,-$K1548))</f>
        <v/>
      </c>
      <c r="S1548" s="6" t="str">
        <f>IF($C1548="","",IFERROR(INDEX('Paramètres'!$H:$H,MATCH($C1548,'Paramètres'!$D:$D,0))&amp;"",""))</f>
        <v/>
      </c>
      <c r="T1548" s="6" t="str">
        <f>IF($K1548="","",IF($S1548="",0,IF(ISNUMBER(SEARCH("apport-exterieur",IFERROR(INDEX('Paramètres'!$N:$N,MATCH($D1548,'Paramètres'!$M:$M,0))&amp;"",""))),0,IF(OR(IFERROR(INDEX('Paramètres'!$I:$I,MATCH($C1548,'Paramètres'!$D:$D,0))&amp;"","")="Les deux",IFERROR(INDEX('Paramètres'!$I:$I,MATCH($C1548,'Paramètres'!$D:$D,0))&amp;"","")=IF($P1548=1,"Débit",$L1548)),-IF($P1548=1,-$K1548,$K1548),0))))</f>
        <v/>
      </c>
      <c r="U1548" s="6" t="str">
        <f>IF($K1548="","",IF(ISNUMBER(SEARCH("sortie-epargne",IFERROR(INDEX('Paramètres'!$N:$N,MATCH($D1548,'Paramètres'!$M:$M,0))&amp;"",""))),$K1548,0))</f>
        <v/>
      </c>
      <c r="V1548" s="6" t="str">
        <f>IF(AND($A1548&lt;&gt;"",$O1548=1,$L1548="Débit",N($Q1548)&gt;0,$A1548&gt;=Visualisation!$B$1,$A1548&lt;Visualisation!$D$1),MAX($V$1:V1547)+1,"")</f>
        <v/>
      </c>
    </row>
    <row r="1549" spans="1:22" x14ac:dyDescent="0.25">
      <c r="A1549" s="9"/>
      <c r="E1549" s="10"/>
      <c r="K1549" s="11" t="str">
        <f>IF($E1549="","",ROUND($E1549*IF(ISNA(MATCH($C1549,'Paramètres'!$D:$D,0)),1,IF(INDEX('Paramètres'!$J:$J,MATCH($C1549,'Paramètres'!$D:$D,0))="",1,INDEX('Paramètres'!$J:$J,MATCH($C1549,'Paramètres'!$D:$D,0)))),2))</f>
        <v/>
      </c>
      <c r="L1549" s="6" t="str">
        <f>IF($D1549="","",IF($F1549&lt;&gt;"",$F1549,IF(ISNA(MATCH($D1549,'Paramètres'!$M:$M,0)),"⚠ Type inconnu",IFERROR(INDEX('Paramètres'!$P:$P,MATCH($D1549,'Paramètres'!$M:$M,0))&amp;"",""))))</f>
        <v/>
      </c>
      <c r="M1549" s="6" t="str">
        <f>IF($D1549="","",IF(ISNA(MATCH($D1549,'Paramètres'!$M:$M,0)),"⚠ Type inconnu",IF($L1549="Crédit","",IFERROR(INDEX('Paramètres'!$O:$O,MATCH($D1549,'Paramètres'!$M:$M,0))&amp;"",""))))</f>
        <v/>
      </c>
      <c r="N1549" s="6" t="str">
        <f>IF($D1549="","",IFERROR(INDEX('Paramètres'!$Q:$Q,MATCH($D1549,'Paramètres'!$M:$M,0))&amp;"",""))</f>
        <v/>
      </c>
      <c r="O1549" s="6" t="str">
        <f>IF($A1549="","",IF(OR($J1549&lt;&gt;"x",$A1549&lt;=FinReleve),1,0))</f>
        <v/>
      </c>
      <c r="P1549" s="6" t="str">
        <f>IF($D1549="","",IF(AND($L1549="Crédit",OR(IFERROR(INDEX('Paramètres'!$O:$O,MATCH($D1549,'Paramètres'!$M:$M,0))&amp;"","")&lt;&gt;"",ISNUMBER(SEARCH("remboursement",IFERROR(INDEX('Paramètres'!$N:$N,MATCH($D1549,'Paramètres'!$M:$M,0))&amp;"",""))))),1,0))</f>
        <v/>
      </c>
      <c r="Q1549" s="6" t="str">
        <f>IF($K1549="","",IF(ISNUMBER(SEARCH("transfert-interne",IFERROR(INDEX('Paramètres'!$N:$N,MATCH($D1549,'Paramètres'!$M:$M,0))&amp;"",""))),0,IF($L1549="Débit",$K1549,IF($P1549=1,-$K1549,0))))</f>
        <v/>
      </c>
      <c r="R1549" s="6" t="str">
        <f>IF($K1549="","",IF($L1549="Crédit",$K1549,-$K1549))</f>
        <v/>
      </c>
      <c r="S1549" s="6" t="str">
        <f>IF($C1549="","",IFERROR(INDEX('Paramètres'!$H:$H,MATCH($C1549,'Paramètres'!$D:$D,0))&amp;"",""))</f>
        <v/>
      </c>
      <c r="T1549" s="6" t="str">
        <f>IF($K1549="","",IF($S1549="",0,IF(ISNUMBER(SEARCH("apport-exterieur",IFERROR(INDEX('Paramètres'!$N:$N,MATCH($D1549,'Paramètres'!$M:$M,0))&amp;"",""))),0,IF(OR(IFERROR(INDEX('Paramètres'!$I:$I,MATCH($C1549,'Paramètres'!$D:$D,0))&amp;"","")="Les deux",IFERROR(INDEX('Paramètres'!$I:$I,MATCH($C1549,'Paramètres'!$D:$D,0))&amp;"","")=IF($P1549=1,"Débit",$L1549)),-IF($P1549=1,-$K1549,$K1549),0))))</f>
        <v/>
      </c>
      <c r="U1549" s="6" t="str">
        <f>IF($K1549="","",IF(ISNUMBER(SEARCH("sortie-epargne",IFERROR(INDEX('Paramètres'!$N:$N,MATCH($D1549,'Paramètres'!$M:$M,0))&amp;"",""))),$K1549,0))</f>
        <v/>
      </c>
      <c r="V1549" s="6" t="str">
        <f>IF(AND($A1549&lt;&gt;"",$O1549=1,$L1549="Débit",N($Q1549)&gt;0,$A1549&gt;=Visualisation!$B$1,$A1549&lt;Visualisation!$D$1),MAX($V$1:V1548)+1,"")</f>
        <v/>
      </c>
    </row>
    <row r="1550" spans="1:22" x14ac:dyDescent="0.25">
      <c r="A1550" s="9"/>
      <c r="E1550" s="10"/>
      <c r="K1550" s="11" t="str">
        <f>IF($E1550="","",ROUND($E1550*IF(ISNA(MATCH($C1550,'Paramètres'!$D:$D,0)),1,IF(INDEX('Paramètres'!$J:$J,MATCH($C1550,'Paramètres'!$D:$D,0))="",1,INDEX('Paramètres'!$J:$J,MATCH($C1550,'Paramètres'!$D:$D,0)))),2))</f>
        <v/>
      </c>
      <c r="L1550" s="6" t="str">
        <f>IF($D1550="","",IF($F1550&lt;&gt;"",$F1550,IF(ISNA(MATCH($D1550,'Paramètres'!$M:$M,0)),"⚠ Type inconnu",IFERROR(INDEX('Paramètres'!$P:$P,MATCH($D1550,'Paramètres'!$M:$M,0))&amp;"",""))))</f>
        <v/>
      </c>
      <c r="M1550" s="6" t="str">
        <f>IF($D1550="","",IF(ISNA(MATCH($D1550,'Paramètres'!$M:$M,0)),"⚠ Type inconnu",IF($L1550="Crédit","",IFERROR(INDEX('Paramètres'!$O:$O,MATCH($D1550,'Paramètres'!$M:$M,0))&amp;"",""))))</f>
        <v/>
      </c>
      <c r="N1550" s="6" t="str">
        <f>IF($D1550="","",IFERROR(INDEX('Paramètres'!$Q:$Q,MATCH($D1550,'Paramètres'!$M:$M,0))&amp;"",""))</f>
        <v/>
      </c>
      <c r="O1550" s="6" t="str">
        <f>IF($A1550="","",IF(OR($J1550&lt;&gt;"x",$A1550&lt;=FinReleve),1,0))</f>
        <v/>
      </c>
      <c r="P1550" s="6" t="str">
        <f>IF($D1550="","",IF(AND($L1550="Crédit",OR(IFERROR(INDEX('Paramètres'!$O:$O,MATCH($D1550,'Paramètres'!$M:$M,0))&amp;"","")&lt;&gt;"",ISNUMBER(SEARCH("remboursement",IFERROR(INDEX('Paramètres'!$N:$N,MATCH($D1550,'Paramètres'!$M:$M,0))&amp;"",""))))),1,0))</f>
        <v/>
      </c>
      <c r="Q1550" s="6" t="str">
        <f>IF($K1550="","",IF(ISNUMBER(SEARCH("transfert-interne",IFERROR(INDEX('Paramètres'!$N:$N,MATCH($D1550,'Paramètres'!$M:$M,0))&amp;"",""))),0,IF($L1550="Débit",$K1550,IF($P1550=1,-$K1550,0))))</f>
        <v/>
      </c>
      <c r="R1550" s="6" t="str">
        <f>IF($K1550="","",IF($L1550="Crédit",$K1550,-$K1550))</f>
        <v/>
      </c>
      <c r="S1550" s="6" t="str">
        <f>IF($C1550="","",IFERROR(INDEX('Paramètres'!$H:$H,MATCH($C1550,'Paramètres'!$D:$D,0))&amp;"",""))</f>
        <v/>
      </c>
      <c r="T1550" s="6" t="str">
        <f>IF($K1550="","",IF($S1550="",0,IF(ISNUMBER(SEARCH("apport-exterieur",IFERROR(INDEX('Paramètres'!$N:$N,MATCH($D1550,'Paramètres'!$M:$M,0))&amp;"",""))),0,IF(OR(IFERROR(INDEX('Paramètres'!$I:$I,MATCH($C1550,'Paramètres'!$D:$D,0))&amp;"","")="Les deux",IFERROR(INDEX('Paramètres'!$I:$I,MATCH($C1550,'Paramètres'!$D:$D,0))&amp;"","")=IF($P1550=1,"Débit",$L1550)),-IF($P1550=1,-$K1550,$K1550),0))))</f>
        <v/>
      </c>
      <c r="U1550" s="6" t="str">
        <f>IF($K1550="","",IF(ISNUMBER(SEARCH("sortie-epargne",IFERROR(INDEX('Paramètres'!$N:$N,MATCH($D1550,'Paramètres'!$M:$M,0))&amp;"",""))),$K1550,0))</f>
        <v/>
      </c>
      <c r="V1550" s="6" t="str">
        <f>IF(AND($A1550&lt;&gt;"",$O1550=1,$L1550="Débit",N($Q1550)&gt;0,$A1550&gt;=Visualisation!$B$1,$A1550&lt;Visualisation!$D$1),MAX($V$1:V1549)+1,"")</f>
        <v/>
      </c>
    </row>
    <row r="1551" spans="1:22" x14ac:dyDescent="0.25">
      <c r="A1551" s="9"/>
      <c r="E1551" s="10"/>
      <c r="K1551" s="11" t="str">
        <f>IF($E1551="","",ROUND($E1551*IF(ISNA(MATCH($C1551,'Paramètres'!$D:$D,0)),1,IF(INDEX('Paramètres'!$J:$J,MATCH($C1551,'Paramètres'!$D:$D,0))="",1,INDEX('Paramètres'!$J:$J,MATCH($C1551,'Paramètres'!$D:$D,0)))),2))</f>
        <v/>
      </c>
      <c r="L1551" s="6" t="str">
        <f>IF($D1551="","",IF($F1551&lt;&gt;"",$F1551,IF(ISNA(MATCH($D1551,'Paramètres'!$M:$M,0)),"⚠ Type inconnu",IFERROR(INDEX('Paramètres'!$P:$P,MATCH($D1551,'Paramètres'!$M:$M,0))&amp;"",""))))</f>
        <v/>
      </c>
      <c r="M1551" s="6" t="str">
        <f>IF($D1551="","",IF(ISNA(MATCH($D1551,'Paramètres'!$M:$M,0)),"⚠ Type inconnu",IF($L1551="Crédit","",IFERROR(INDEX('Paramètres'!$O:$O,MATCH($D1551,'Paramètres'!$M:$M,0))&amp;"",""))))</f>
        <v/>
      </c>
      <c r="N1551" s="6" t="str">
        <f>IF($D1551="","",IFERROR(INDEX('Paramètres'!$Q:$Q,MATCH($D1551,'Paramètres'!$M:$M,0))&amp;"",""))</f>
        <v/>
      </c>
      <c r="O1551" s="6" t="str">
        <f>IF($A1551="","",IF(OR($J1551&lt;&gt;"x",$A1551&lt;=FinReleve),1,0))</f>
        <v/>
      </c>
      <c r="P1551" s="6" t="str">
        <f>IF($D1551="","",IF(AND($L1551="Crédit",OR(IFERROR(INDEX('Paramètres'!$O:$O,MATCH($D1551,'Paramètres'!$M:$M,0))&amp;"","")&lt;&gt;"",ISNUMBER(SEARCH("remboursement",IFERROR(INDEX('Paramètres'!$N:$N,MATCH($D1551,'Paramètres'!$M:$M,0))&amp;"",""))))),1,0))</f>
        <v/>
      </c>
      <c r="Q1551" s="6" t="str">
        <f>IF($K1551="","",IF(ISNUMBER(SEARCH("transfert-interne",IFERROR(INDEX('Paramètres'!$N:$N,MATCH($D1551,'Paramètres'!$M:$M,0))&amp;"",""))),0,IF($L1551="Débit",$K1551,IF($P1551=1,-$K1551,0))))</f>
        <v/>
      </c>
      <c r="R1551" s="6" t="str">
        <f>IF($K1551="","",IF($L1551="Crédit",$K1551,-$K1551))</f>
        <v/>
      </c>
      <c r="S1551" s="6" t="str">
        <f>IF($C1551="","",IFERROR(INDEX('Paramètres'!$H:$H,MATCH($C1551,'Paramètres'!$D:$D,0))&amp;"",""))</f>
        <v/>
      </c>
      <c r="T1551" s="6" t="str">
        <f>IF($K1551="","",IF($S1551="",0,IF(ISNUMBER(SEARCH("apport-exterieur",IFERROR(INDEX('Paramètres'!$N:$N,MATCH($D1551,'Paramètres'!$M:$M,0))&amp;"",""))),0,IF(OR(IFERROR(INDEX('Paramètres'!$I:$I,MATCH($C1551,'Paramètres'!$D:$D,0))&amp;"","")="Les deux",IFERROR(INDEX('Paramètres'!$I:$I,MATCH($C1551,'Paramètres'!$D:$D,0))&amp;"","")=IF($P1551=1,"Débit",$L1551)),-IF($P1551=1,-$K1551,$K1551),0))))</f>
        <v/>
      </c>
      <c r="U1551" s="6" t="str">
        <f>IF($K1551="","",IF(ISNUMBER(SEARCH("sortie-epargne",IFERROR(INDEX('Paramètres'!$N:$N,MATCH($D1551,'Paramètres'!$M:$M,0))&amp;"",""))),$K1551,0))</f>
        <v/>
      </c>
      <c r="V1551" s="6" t="str">
        <f>IF(AND($A1551&lt;&gt;"",$O1551=1,$L1551="Débit",N($Q1551)&gt;0,$A1551&gt;=Visualisation!$B$1,$A1551&lt;Visualisation!$D$1),MAX($V$1:V1550)+1,"")</f>
        <v/>
      </c>
    </row>
    <row r="1552" spans="1:22" x14ac:dyDescent="0.25">
      <c r="A1552" s="9"/>
      <c r="E1552" s="10"/>
      <c r="K1552" s="11" t="str">
        <f>IF($E1552="","",ROUND($E1552*IF(ISNA(MATCH($C1552,'Paramètres'!$D:$D,0)),1,IF(INDEX('Paramètres'!$J:$J,MATCH($C1552,'Paramètres'!$D:$D,0))="",1,INDEX('Paramètres'!$J:$J,MATCH($C1552,'Paramètres'!$D:$D,0)))),2))</f>
        <v/>
      </c>
      <c r="L1552" s="6" t="str">
        <f>IF($D1552="","",IF($F1552&lt;&gt;"",$F1552,IF(ISNA(MATCH($D1552,'Paramètres'!$M:$M,0)),"⚠ Type inconnu",IFERROR(INDEX('Paramètres'!$P:$P,MATCH($D1552,'Paramètres'!$M:$M,0))&amp;"",""))))</f>
        <v/>
      </c>
      <c r="M1552" s="6" t="str">
        <f>IF($D1552="","",IF(ISNA(MATCH($D1552,'Paramètres'!$M:$M,0)),"⚠ Type inconnu",IF($L1552="Crédit","",IFERROR(INDEX('Paramètres'!$O:$O,MATCH($D1552,'Paramètres'!$M:$M,0))&amp;"",""))))</f>
        <v/>
      </c>
      <c r="N1552" s="6" t="str">
        <f>IF($D1552="","",IFERROR(INDEX('Paramètres'!$Q:$Q,MATCH($D1552,'Paramètres'!$M:$M,0))&amp;"",""))</f>
        <v/>
      </c>
      <c r="O1552" s="6" t="str">
        <f>IF($A1552="","",IF(OR($J1552&lt;&gt;"x",$A1552&lt;=FinReleve),1,0))</f>
        <v/>
      </c>
      <c r="P1552" s="6" t="str">
        <f>IF($D1552="","",IF(AND($L1552="Crédit",OR(IFERROR(INDEX('Paramètres'!$O:$O,MATCH($D1552,'Paramètres'!$M:$M,0))&amp;"","")&lt;&gt;"",ISNUMBER(SEARCH("remboursement",IFERROR(INDEX('Paramètres'!$N:$N,MATCH($D1552,'Paramètres'!$M:$M,0))&amp;"",""))))),1,0))</f>
        <v/>
      </c>
      <c r="Q1552" s="6" t="str">
        <f>IF($K1552="","",IF(ISNUMBER(SEARCH("transfert-interne",IFERROR(INDEX('Paramètres'!$N:$N,MATCH($D1552,'Paramètres'!$M:$M,0))&amp;"",""))),0,IF($L1552="Débit",$K1552,IF($P1552=1,-$K1552,0))))</f>
        <v/>
      </c>
      <c r="R1552" s="6" t="str">
        <f>IF($K1552="","",IF($L1552="Crédit",$K1552,-$K1552))</f>
        <v/>
      </c>
      <c r="S1552" s="6" t="str">
        <f>IF($C1552="","",IFERROR(INDEX('Paramètres'!$H:$H,MATCH($C1552,'Paramètres'!$D:$D,0))&amp;"",""))</f>
        <v/>
      </c>
      <c r="T1552" s="6" t="str">
        <f>IF($K1552="","",IF($S1552="",0,IF(ISNUMBER(SEARCH("apport-exterieur",IFERROR(INDEX('Paramètres'!$N:$N,MATCH($D1552,'Paramètres'!$M:$M,0))&amp;"",""))),0,IF(OR(IFERROR(INDEX('Paramètres'!$I:$I,MATCH($C1552,'Paramètres'!$D:$D,0))&amp;"","")="Les deux",IFERROR(INDEX('Paramètres'!$I:$I,MATCH($C1552,'Paramètres'!$D:$D,0))&amp;"","")=IF($P1552=1,"Débit",$L1552)),-IF($P1552=1,-$K1552,$K1552),0))))</f>
        <v/>
      </c>
      <c r="U1552" s="6" t="str">
        <f>IF($K1552="","",IF(ISNUMBER(SEARCH("sortie-epargne",IFERROR(INDEX('Paramètres'!$N:$N,MATCH($D1552,'Paramètres'!$M:$M,0))&amp;"",""))),$K1552,0))</f>
        <v/>
      </c>
      <c r="V1552" s="6" t="str">
        <f>IF(AND($A1552&lt;&gt;"",$O1552=1,$L1552="Débit",N($Q1552)&gt;0,$A1552&gt;=Visualisation!$B$1,$A1552&lt;Visualisation!$D$1),MAX($V$1:V1551)+1,"")</f>
        <v/>
      </c>
    </row>
    <row r="1553" spans="1:22" x14ac:dyDescent="0.25">
      <c r="A1553" s="9"/>
      <c r="E1553" s="10"/>
      <c r="K1553" s="11" t="str">
        <f>IF($E1553="","",ROUND($E1553*IF(ISNA(MATCH($C1553,'Paramètres'!$D:$D,0)),1,IF(INDEX('Paramètres'!$J:$J,MATCH($C1553,'Paramètres'!$D:$D,0))="",1,INDEX('Paramètres'!$J:$J,MATCH($C1553,'Paramètres'!$D:$D,0)))),2))</f>
        <v/>
      </c>
      <c r="L1553" s="6" t="str">
        <f>IF($D1553="","",IF($F1553&lt;&gt;"",$F1553,IF(ISNA(MATCH($D1553,'Paramètres'!$M:$M,0)),"⚠ Type inconnu",IFERROR(INDEX('Paramètres'!$P:$P,MATCH($D1553,'Paramètres'!$M:$M,0))&amp;"",""))))</f>
        <v/>
      </c>
      <c r="M1553" s="6" t="str">
        <f>IF($D1553="","",IF(ISNA(MATCH($D1553,'Paramètres'!$M:$M,0)),"⚠ Type inconnu",IF($L1553="Crédit","",IFERROR(INDEX('Paramètres'!$O:$O,MATCH($D1553,'Paramètres'!$M:$M,0))&amp;"",""))))</f>
        <v/>
      </c>
      <c r="N1553" s="6" t="str">
        <f>IF($D1553="","",IFERROR(INDEX('Paramètres'!$Q:$Q,MATCH($D1553,'Paramètres'!$M:$M,0))&amp;"",""))</f>
        <v/>
      </c>
      <c r="O1553" s="6" t="str">
        <f>IF($A1553="","",IF(OR($J1553&lt;&gt;"x",$A1553&lt;=FinReleve),1,0))</f>
        <v/>
      </c>
      <c r="P1553" s="6" t="str">
        <f>IF($D1553="","",IF(AND($L1553="Crédit",OR(IFERROR(INDEX('Paramètres'!$O:$O,MATCH($D1553,'Paramètres'!$M:$M,0))&amp;"","")&lt;&gt;"",ISNUMBER(SEARCH("remboursement",IFERROR(INDEX('Paramètres'!$N:$N,MATCH($D1553,'Paramètres'!$M:$M,0))&amp;"",""))))),1,0))</f>
        <v/>
      </c>
      <c r="Q1553" s="6" t="str">
        <f>IF($K1553="","",IF(ISNUMBER(SEARCH("transfert-interne",IFERROR(INDEX('Paramètres'!$N:$N,MATCH($D1553,'Paramètres'!$M:$M,0))&amp;"",""))),0,IF($L1553="Débit",$K1553,IF($P1553=1,-$K1553,0))))</f>
        <v/>
      </c>
      <c r="R1553" s="6" t="str">
        <f>IF($K1553="","",IF($L1553="Crédit",$K1553,-$K1553))</f>
        <v/>
      </c>
      <c r="S1553" s="6" t="str">
        <f>IF($C1553="","",IFERROR(INDEX('Paramètres'!$H:$H,MATCH($C1553,'Paramètres'!$D:$D,0))&amp;"",""))</f>
        <v/>
      </c>
      <c r="T1553" s="6" t="str">
        <f>IF($K1553="","",IF($S1553="",0,IF(ISNUMBER(SEARCH("apport-exterieur",IFERROR(INDEX('Paramètres'!$N:$N,MATCH($D1553,'Paramètres'!$M:$M,0))&amp;"",""))),0,IF(OR(IFERROR(INDEX('Paramètres'!$I:$I,MATCH($C1553,'Paramètres'!$D:$D,0))&amp;"","")="Les deux",IFERROR(INDEX('Paramètres'!$I:$I,MATCH($C1553,'Paramètres'!$D:$D,0))&amp;"","")=IF($P1553=1,"Débit",$L1553)),-IF($P1553=1,-$K1553,$K1553),0))))</f>
        <v/>
      </c>
      <c r="U1553" s="6" t="str">
        <f>IF($K1553="","",IF(ISNUMBER(SEARCH("sortie-epargne",IFERROR(INDEX('Paramètres'!$N:$N,MATCH($D1553,'Paramètres'!$M:$M,0))&amp;"",""))),$K1553,0))</f>
        <v/>
      </c>
      <c r="V1553" s="6" t="str">
        <f>IF(AND($A1553&lt;&gt;"",$O1553=1,$L1553="Débit",N($Q1553)&gt;0,$A1553&gt;=Visualisation!$B$1,$A1553&lt;Visualisation!$D$1),MAX($V$1:V1552)+1,"")</f>
        <v/>
      </c>
    </row>
    <row r="1554" spans="1:22" x14ac:dyDescent="0.25">
      <c r="A1554" s="9"/>
      <c r="E1554" s="10"/>
      <c r="K1554" s="11" t="str">
        <f>IF($E1554="","",ROUND($E1554*IF(ISNA(MATCH($C1554,'Paramètres'!$D:$D,0)),1,IF(INDEX('Paramètres'!$J:$J,MATCH($C1554,'Paramètres'!$D:$D,0))="",1,INDEX('Paramètres'!$J:$J,MATCH($C1554,'Paramètres'!$D:$D,0)))),2))</f>
        <v/>
      </c>
      <c r="L1554" s="6" t="str">
        <f>IF($D1554="","",IF($F1554&lt;&gt;"",$F1554,IF(ISNA(MATCH($D1554,'Paramètres'!$M:$M,0)),"⚠ Type inconnu",IFERROR(INDEX('Paramètres'!$P:$P,MATCH($D1554,'Paramètres'!$M:$M,0))&amp;"",""))))</f>
        <v/>
      </c>
      <c r="M1554" s="6" t="str">
        <f>IF($D1554="","",IF(ISNA(MATCH($D1554,'Paramètres'!$M:$M,0)),"⚠ Type inconnu",IF($L1554="Crédit","",IFERROR(INDEX('Paramètres'!$O:$O,MATCH($D1554,'Paramètres'!$M:$M,0))&amp;"",""))))</f>
        <v/>
      </c>
      <c r="N1554" s="6" t="str">
        <f>IF($D1554="","",IFERROR(INDEX('Paramètres'!$Q:$Q,MATCH($D1554,'Paramètres'!$M:$M,0))&amp;"",""))</f>
        <v/>
      </c>
      <c r="O1554" s="6" t="str">
        <f>IF($A1554="","",IF(OR($J1554&lt;&gt;"x",$A1554&lt;=FinReleve),1,0))</f>
        <v/>
      </c>
      <c r="P1554" s="6" t="str">
        <f>IF($D1554="","",IF(AND($L1554="Crédit",OR(IFERROR(INDEX('Paramètres'!$O:$O,MATCH($D1554,'Paramètres'!$M:$M,0))&amp;"","")&lt;&gt;"",ISNUMBER(SEARCH("remboursement",IFERROR(INDEX('Paramètres'!$N:$N,MATCH($D1554,'Paramètres'!$M:$M,0))&amp;"",""))))),1,0))</f>
        <v/>
      </c>
      <c r="Q1554" s="6" t="str">
        <f>IF($K1554="","",IF(ISNUMBER(SEARCH("transfert-interne",IFERROR(INDEX('Paramètres'!$N:$N,MATCH($D1554,'Paramètres'!$M:$M,0))&amp;"",""))),0,IF($L1554="Débit",$K1554,IF($P1554=1,-$K1554,0))))</f>
        <v/>
      </c>
      <c r="R1554" s="6" t="str">
        <f>IF($K1554="","",IF($L1554="Crédit",$K1554,-$K1554))</f>
        <v/>
      </c>
      <c r="S1554" s="6" t="str">
        <f>IF($C1554="","",IFERROR(INDEX('Paramètres'!$H:$H,MATCH($C1554,'Paramètres'!$D:$D,0))&amp;"",""))</f>
        <v/>
      </c>
      <c r="T1554" s="6" t="str">
        <f>IF($K1554="","",IF($S1554="",0,IF(ISNUMBER(SEARCH("apport-exterieur",IFERROR(INDEX('Paramètres'!$N:$N,MATCH($D1554,'Paramètres'!$M:$M,0))&amp;"",""))),0,IF(OR(IFERROR(INDEX('Paramètres'!$I:$I,MATCH($C1554,'Paramètres'!$D:$D,0))&amp;"","")="Les deux",IFERROR(INDEX('Paramètres'!$I:$I,MATCH($C1554,'Paramètres'!$D:$D,0))&amp;"","")=IF($P1554=1,"Débit",$L1554)),-IF($P1554=1,-$K1554,$K1554),0))))</f>
        <v/>
      </c>
      <c r="U1554" s="6" t="str">
        <f>IF($K1554="","",IF(ISNUMBER(SEARCH("sortie-epargne",IFERROR(INDEX('Paramètres'!$N:$N,MATCH($D1554,'Paramètres'!$M:$M,0))&amp;"",""))),$K1554,0))</f>
        <v/>
      </c>
      <c r="V1554" s="6" t="str">
        <f>IF(AND($A1554&lt;&gt;"",$O1554=1,$L1554="Débit",N($Q1554)&gt;0,$A1554&gt;=Visualisation!$B$1,$A1554&lt;Visualisation!$D$1),MAX($V$1:V1553)+1,"")</f>
        <v/>
      </c>
    </row>
    <row r="1555" spans="1:22" x14ac:dyDescent="0.25">
      <c r="A1555" s="9"/>
      <c r="E1555" s="10"/>
      <c r="K1555" s="11" t="str">
        <f>IF($E1555="","",ROUND($E1555*IF(ISNA(MATCH($C1555,'Paramètres'!$D:$D,0)),1,IF(INDEX('Paramètres'!$J:$J,MATCH($C1555,'Paramètres'!$D:$D,0))="",1,INDEX('Paramètres'!$J:$J,MATCH($C1555,'Paramètres'!$D:$D,0)))),2))</f>
        <v/>
      </c>
      <c r="L1555" s="6" t="str">
        <f>IF($D1555="","",IF($F1555&lt;&gt;"",$F1555,IF(ISNA(MATCH($D1555,'Paramètres'!$M:$M,0)),"⚠ Type inconnu",IFERROR(INDEX('Paramètres'!$P:$P,MATCH($D1555,'Paramètres'!$M:$M,0))&amp;"",""))))</f>
        <v/>
      </c>
      <c r="M1555" s="6" t="str">
        <f>IF($D1555="","",IF(ISNA(MATCH($D1555,'Paramètres'!$M:$M,0)),"⚠ Type inconnu",IF($L1555="Crédit","",IFERROR(INDEX('Paramètres'!$O:$O,MATCH($D1555,'Paramètres'!$M:$M,0))&amp;"",""))))</f>
        <v/>
      </c>
      <c r="N1555" s="6" t="str">
        <f>IF($D1555="","",IFERROR(INDEX('Paramètres'!$Q:$Q,MATCH($D1555,'Paramètres'!$M:$M,0))&amp;"",""))</f>
        <v/>
      </c>
      <c r="O1555" s="6" t="str">
        <f>IF($A1555="","",IF(OR($J1555&lt;&gt;"x",$A1555&lt;=FinReleve),1,0))</f>
        <v/>
      </c>
      <c r="P1555" s="6" t="str">
        <f>IF($D1555="","",IF(AND($L1555="Crédit",OR(IFERROR(INDEX('Paramètres'!$O:$O,MATCH($D1555,'Paramètres'!$M:$M,0))&amp;"","")&lt;&gt;"",ISNUMBER(SEARCH("remboursement",IFERROR(INDEX('Paramètres'!$N:$N,MATCH($D1555,'Paramètres'!$M:$M,0))&amp;"",""))))),1,0))</f>
        <v/>
      </c>
      <c r="Q1555" s="6" t="str">
        <f>IF($K1555="","",IF(ISNUMBER(SEARCH("transfert-interne",IFERROR(INDEX('Paramètres'!$N:$N,MATCH($D1555,'Paramètres'!$M:$M,0))&amp;"",""))),0,IF($L1555="Débit",$K1555,IF($P1555=1,-$K1555,0))))</f>
        <v/>
      </c>
      <c r="R1555" s="6" t="str">
        <f>IF($K1555="","",IF($L1555="Crédit",$K1555,-$K1555))</f>
        <v/>
      </c>
      <c r="S1555" s="6" t="str">
        <f>IF($C1555="","",IFERROR(INDEX('Paramètres'!$H:$H,MATCH($C1555,'Paramètres'!$D:$D,0))&amp;"",""))</f>
        <v/>
      </c>
      <c r="T1555" s="6" t="str">
        <f>IF($K1555="","",IF($S1555="",0,IF(ISNUMBER(SEARCH("apport-exterieur",IFERROR(INDEX('Paramètres'!$N:$N,MATCH($D1555,'Paramètres'!$M:$M,0))&amp;"",""))),0,IF(OR(IFERROR(INDEX('Paramètres'!$I:$I,MATCH($C1555,'Paramètres'!$D:$D,0))&amp;"","")="Les deux",IFERROR(INDEX('Paramètres'!$I:$I,MATCH($C1555,'Paramètres'!$D:$D,0))&amp;"","")=IF($P1555=1,"Débit",$L1555)),-IF($P1555=1,-$K1555,$K1555),0))))</f>
        <v/>
      </c>
      <c r="U1555" s="6" t="str">
        <f>IF($K1555="","",IF(ISNUMBER(SEARCH("sortie-epargne",IFERROR(INDEX('Paramètres'!$N:$N,MATCH($D1555,'Paramètres'!$M:$M,0))&amp;"",""))),$K1555,0))</f>
        <v/>
      </c>
      <c r="V1555" s="6" t="str">
        <f>IF(AND($A1555&lt;&gt;"",$O1555=1,$L1555="Débit",N($Q1555)&gt;0,$A1555&gt;=Visualisation!$B$1,$A1555&lt;Visualisation!$D$1),MAX($V$1:V1554)+1,"")</f>
        <v/>
      </c>
    </row>
    <row r="1556" spans="1:22" x14ac:dyDescent="0.25">
      <c r="A1556" s="9"/>
      <c r="E1556" s="10"/>
      <c r="K1556" s="11" t="str">
        <f>IF($E1556="","",ROUND($E1556*IF(ISNA(MATCH($C1556,'Paramètres'!$D:$D,0)),1,IF(INDEX('Paramètres'!$J:$J,MATCH($C1556,'Paramètres'!$D:$D,0))="",1,INDEX('Paramètres'!$J:$J,MATCH($C1556,'Paramètres'!$D:$D,0)))),2))</f>
        <v/>
      </c>
      <c r="L1556" s="6" t="str">
        <f>IF($D1556="","",IF($F1556&lt;&gt;"",$F1556,IF(ISNA(MATCH($D1556,'Paramètres'!$M:$M,0)),"⚠ Type inconnu",IFERROR(INDEX('Paramètres'!$P:$P,MATCH($D1556,'Paramètres'!$M:$M,0))&amp;"",""))))</f>
        <v/>
      </c>
      <c r="M1556" s="6" t="str">
        <f>IF($D1556="","",IF(ISNA(MATCH($D1556,'Paramètres'!$M:$M,0)),"⚠ Type inconnu",IF($L1556="Crédit","",IFERROR(INDEX('Paramètres'!$O:$O,MATCH($D1556,'Paramètres'!$M:$M,0))&amp;"",""))))</f>
        <v/>
      </c>
      <c r="N1556" s="6" t="str">
        <f>IF($D1556="","",IFERROR(INDEX('Paramètres'!$Q:$Q,MATCH($D1556,'Paramètres'!$M:$M,0))&amp;"",""))</f>
        <v/>
      </c>
      <c r="O1556" s="6" t="str">
        <f>IF($A1556="","",IF(OR($J1556&lt;&gt;"x",$A1556&lt;=FinReleve),1,0))</f>
        <v/>
      </c>
      <c r="P1556" s="6" t="str">
        <f>IF($D1556="","",IF(AND($L1556="Crédit",OR(IFERROR(INDEX('Paramètres'!$O:$O,MATCH($D1556,'Paramètres'!$M:$M,0))&amp;"","")&lt;&gt;"",ISNUMBER(SEARCH("remboursement",IFERROR(INDEX('Paramètres'!$N:$N,MATCH($D1556,'Paramètres'!$M:$M,0))&amp;"",""))))),1,0))</f>
        <v/>
      </c>
      <c r="Q1556" s="6" t="str">
        <f>IF($K1556="","",IF(ISNUMBER(SEARCH("transfert-interne",IFERROR(INDEX('Paramètres'!$N:$N,MATCH($D1556,'Paramètres'!$M:$M,0))&amp;"",""))),0,IF($L1556="Débit",$K1556,IF($P1556=1,-$K1556,0))))</f>
        <v/>
      </c>
      <c r="R1556" s="6" t="str">
        <f>IF($K1556="","",IF($L1556="Crédit",$K1556,-$K1556))</f>
        <v/>
      </c>
      <c r="S1556" s="6" t="str">
        <f>IF($C1556="","",IFERROR(INDEX('Paramètres'!$H:$H,MATCH($C1556,'Paramètres'!$D:$D,0))&amp;"",""))</f>
        <v/>
      </c>
      <c r="T1556" s="6" t="str">
        <f>IF($K1556="","",IF($S1556="",0,IF(ISNUMBER(SEARCH("apport-exterieur",IFERROR(INDEX('Paramètres'!$N:$N,MATCH($D1556,'Paramètres'!$M:$M,0))&amp;"",""))),0,IF(OR(IFERROR(INDEX('Paramètres'!$I:$I,MATCH($C1556,'Paramètres'!$D:$D,0))&amp;"","")="Les deux",IFERROR(INDEX('Paramètres'!$I:$I,MATCH($C1556,'Paramètres'!$D:$D,0))&amp;"","")=IF($P1556=1,"Débit",$L1556)),-IF($P1556=1,-$K1556,$K1556),0))))</f>
        <v/>
      </c>
      <c r="U1556" s="6" t="str">
        <f>IF($K1556="","",IF(ISNUMBER(SEARCH("sortie-epargne",IFERROR(INDEX('Paramètres'!$N:$N,MATCH($D1556,'Paramètres'!$M:$M,0))&amp;"",""))),$K1556,0))</f>
        <v/>
      </c>
      <c r="V1556" s="6" t="str">
        <f>IF(AND($A1556&lt;&gt;"",$O1556=1,$L1556="Débit",N($Q1556)&gt;0,$A1556&gt;=Visualisation!$B$1,$A1556&lt;Visualisation!$D$1),MAX($V$1:V1555)+1,"")</f>
        <v/>
      </c>
    </row>
    <row r="1557" spans="1:22" x14ac:dyDescent="0.25">
      <c r="A1557" s="9"/>
      <c r="E1557" s="10"/>
      <c r="K1557" s="11" t="str">
        <f>IF($E1557="","",ROUND($E1557*IF(ISNA(MATCH($C1557,'Paramètres'!$D:$D,0)),1,IF(INDEX('Paramètres'!$J:$J,MATCH($C1557,'Paramètres'!$D:$D,0))="",1,INDEX('Paramètres'!$J:$J,MATCH($C1557,'Paramètres'!$D:$D,0)))),2))</f>
        <v/>
      </c>
      <c r="L1557" s="6" t="str">
        <f>IF($D1557="","",IF($F1557&lt;&gt;"",$F1557,IF(ISNA(MATCH($D1557,'Paramètres'!$M:$M,0)),"⚠ Type inconnu",IFERROR(INDEX('Paramètres'!$P:$P,MATCH($D1557,'Paramètres'!$M:$M,0))&amp;"",""))))</f>
        <v/>
      </c>
      <c r="M1557" s="6" t="str">
        <f>IF($D1557="","",IF(ISNA(MATCH($D1557,'Paramètres'!$M:$M,0)),"⚠ Type inconnu",IF($L1557="Crédit","",IFERROR(INDEX('Paramètres'!$O:$O,MATCH($D1557,'Paramètres'!$M:$M,0))&amp;"",""))))</f>
        <v/>
      </c>
      <c r="N1557" s="6" t="str">
        <f>IF($D1557="","",IFERROR(INDEX('Paramètres'!$Q:$Q,MATCH($D1557,'Paramètres'!$M:$M,0))&amp;"",""))</f>
        <v/>
      </c>
      <c r="O1557" s="6" t="str">
        <f>IF($A1557="","",IF(OR($J1557&lt;&gt;"x",$A1557&lt;=FinReleve),1,0))</f>
        <v/>
      </c>
      <c r="P1557" s="6" t="str">
        <f>IF($D1557="","",IF(AND($L1557="Crédit",OR(IFERROR(INDEX('Paramètres'!$O:$O,MATCH($D1557,'Paramètres'!$M:$M,0))&amp;"","")&lt;&gt;"",ISNUMBER(SEARCH("remboursement",IFERROR(INDEX('Paramètres'!$N:$N,MATCH($D1557,'Paramètres'!$M:$M,0))&amp;"",""))))),1,0))</f>
        <v/>
      </c>
      <c r="Q1557" s="6" t="str">
        <f>IF($K1557="","",IF(ISNUMBER(SEARCH("transfert-interne",IFERROR(INDEX('Paramètres'!$N:$N,MATCH($D1557,'Paramètres'!$M:$M,0))&amp;"",""))),0,IF($L1557="Débit",$K1557,IF($P1557=1,-$K1557,0))))</f>
        <v/>
      </c>
      <c r="R1557" s="6" t="str">
        <f>IF($K1557="","",IF($L1557="Crédit",$K1557,-$K1557))</f>
        <v/>
      </c>
      <c r="S1557" s="6" t="str">
        <f>IF($C1557="","",IFERROR(INDEX('Paramètres'!$H:$H,MATCH($C1557,'Paramètres'!$D:$D,0))&amp;"",""))</f>
        <v/>
      </c>
      <c r="T1557" s="6" t="str">
        <f>IF($K1557="","",IF($S1557="",0,IF(ISNUMBER(SEARCH("apport-exterieur",IFERROR(INDEX('Paramètres'!$N:$N,MATCH($D1557,'Paramètres'!$M:$M,0))&amp;"",""))),0,IF(OR(IFERROR(INDEX('Paramètres'!$I:$I,MATCH($C1557,'Paramètres'!$D:$D,0))&amp;"","")="Les deux",IFERROR(INDEX('Paramètres'!$I:$I,MATCH($C1557,'Paramètres'!$D:$D,0))&amp;"","")=IF($P1557=1,"Débit",$L1557)),-IF($P1557=1,-$K1557,$K1557),0))))</f>
        <v/>
      </c>
      <c r="U1557" s="6" t="str">
        <f>IF($K1557="","",IF(ISNUMBER(SEARCH("sortie-epargne",IFERROR(INDEX('Paramètres'!$N:$N,MATCH($D1557,'Paramètres'!$M:$M,0))&amp;"",""))),$K1557,0))</f>
        <v/>
      </c>
      <c r="V1557" s="6" t="str">
        <f>IF(AND($A1557&lt;&gt;"",$O1557=1,$L1557="Débit",N($Q1557)&gt;0,$A1557&gt;=Visualisation!$B$1,$A1557&lt;Visualisation!$D$1),MAX($V$1:V1556)+1,"")</f>
        <v/>
      </c>
    </row>
    <row r="1558" spans="1:22" x14ac:dyDescent="0.25">
      <c r="A1558" s="9"/>
      <c r="E1558" s="10"/>
      <c r="K1558" s="11" t="str">
        <f>IF($E1558="","",ROUND($E1558*IF(ISNA(MATCH($C1558,'Paramètres'!$D:$D,0)),1,IF(INDEX('Paramètres'!$J:$J,MATCH($C1558,'Paramètres'!$D:$D,0))="",1,INDEX('Paramètres'!$J:$J,MATCH($C1558,'Paramètres'!$D:$D,0)))),2))</f>
        <v/>
      </c>
      <c r="L1558" s="6" t="str">
        <f>IF($D1558="","",IF($F1558&lt;&gt;"",$F1558,IF(ISNA(MATCH($D1558,'Paramètres'!$M:$M,0)),"⚠ Type inconnu",IFERROR(INDEX('Paramètres'!$P:$P,MATCH($D1558,'Paramètres'!$M:$M,0))&amp;"",""))))</f>
        <v/>
      </c>
      <c r="M1558" s="6" t="str">
        <f>IF($D1558="","",IF(ISNA(MATCH($D1558,'Paramètres'!$M:$M,0)),"⚠ Type inconnu",IF($L1558="Crédit","",IFERROR(INDEX('Paramètres'!$O:$O,MATCH($D1558,'Paramètres'!$M:$M,0))&amp;"",""))))</f>
        <v/>
      </c>
      <c r="N1558" s="6" t="str">
        <f>IF($D1558="","",IFERROR(INDEX('Paramètres'!$Q:$Q,MATCH($D1558,'Paramètres'!$M:$M,0))&amp;"",""))</f>
        <v/>
      </c>
      <c r="O1558" s="6" t="str">
        <f>IF($A1558="","",IF(OR($J1558&lt;&gt;"x",$A1558&lt;=FinReleve),1,0))</f>
        <v/>
      </c>
      <c r="P1558" s="6" t="str">
        <f>IF($D1558="","",IF(AND($L1558="Crédit",OR(IFERROR(INDEX('Paramètres'!$O:$O,MATCH($D1558,'Paramètres'!$M:$M,0))&amp;"","")&lt;&gt;"",ISNUMBER(SEARCH("remboursement",IFERROR(INDEX('Paramètres'!$N:$N,MATCH($D1558,'Paramètres'!$M:$M,0))&amp;"",""))))),1,0))</f>
        <v/>
      </c>
      <c r="Q1558" s="6" t="str">
        <f>IF($K1558="","",IF(ISNUMBER(SEARCH("transfert-interne",IFERROR(INDEX('Paramètres'!$N:$N,MATCH($D1558,'Paramètres'!$M:$M,0))&amp;"",""))),0,IF($L1558="Débit",$K1558,IF($P1558=1,-$K1558,0))))</f>
        <v/>
      </c>
      <c r="R1558" s="6" t="str">
        <f>IF($K1558="","",IF($L1558="Crédit",$K1558,-$K1558))</f>
        <v/>
      </c>
      <c r="S1558" s="6" t="str">
        <f>IF($C1558="","",IFERROR(INDEX('Paramètres'!$H:$H,MATCH($C1558,'Paramètres'!$D:$D,0))&amp;"",""))</f>
        <v/>
      </c>
      <c r="T1558" s="6" t="str">
        <f>IF($K1558="","",IF($S1558="",0,IF(ISNUMBER(SEARCH("apport-exterieur",IFERROR(INDEX('Paramètres'!$N:$N,MATCH($D1558,'Paramètres'!$M:$M,0))&amp;"",""))),0,IF(OR(IFERROR(INDEX('Paramètres'!$I:$I,MATCH($C1558,'Paramètres'!$D:$D,0))&amp;"","")="Les deux",IFERROR(INDEX('Paramètres'!$I:$I,MATCH($C1558,'Paramètres'!$D:$D,0))&amp;"","")=IF($P1558=1,"Débit",$L1558)),-IF($P1558=1,-$K1558,$K1558),0))))</f>
        <v/>
      </c>
      <c r="U1558" s="6" t="str">
        <f>IF($K1558="","",IF(ISNUMBER(SEARCH("sortie-epargne",IFERROR(INDEX('Paramètres'!$N:$N,MATCH($D1558,'Paramètres'!$M:$M,0))&amp;"",""))),$K1558,0))</f>
        <v/>
      </c>
      <c r="V1558" s="6" t="str">
        <f>IF(AND($A1558&lt;&gt;"",$O1558=1,$L1558="Débit",N($Q1558)&gt;0,$A1558&gt;=Visualisation!$B$1,$A1558&lt;Visualisation!$D$1),MAX($V$1:V1557)+1,"")</f>
        <v/>
      </c>
    </row>
    <row r="1559" spans="1:22" x14ac:dyDescent="0.25">
      <c r="A1559" s="9"/>
      <c r="E1559" s="10"/>
      <c r="K1559" s="11" t="str">
        <f>IF($E1559="","",ROUND($E1559*IF(ISNA(MATCH($C1559,'Paramètres'!$D:$D,0)),1,IF(INDEX('Paramètres'!$J:$J,MATCH($C1559,'Paramètres'!$D:$D,0))="",1,INDEX('Paramètres'!$J:$J,MATCH($C1559,'Paramètres'!$D:$D,0)))),2))</f>
        <v/>
      </c>
      <c r="L1559" s="6" t="str">
        <f>IF($D1559="","",IF($F1559&lt;&gt;"",$F1559,IF(ISNA(MATCH($D1559,'Paramètres'!$M:$M,0)),"⚠ Type inconnu",IFERROR(INDEX('Paramètres'!$P:$P,MATCH($D1559,'Paramètres'!$M:$M,0))&amp;"",""))))</f>
        <v/>
      </c>
      <c r="M1559" s="6" t="str">
        <f>IF($D1559="","",IF(ISNA(MATCH($D1559,'Paramètres'!$M:$M,0)),"⚠ Type inconnu",IF($L1559="Crédit","",IFERROR(INDEX('Paramètres'!$O:$O,MATCH($D1559,'Paramètres'!$M:$M,0))&amp;"",""))))</f>
        <v/>
      </c>
      <c r="N1559" s="6" t="str">
        <f>IF($D1559="","",IFERROR(INDEX('Paramètres'!$Q:$Q,MATCH($D1559,'Paramètres'!$M:$M,0))&amp;"",""))</f>
        <v/>
      </c>
      <c r="O1559" s="6" t="str">
        <f>IF($A1559="","",IF(OR($J1559&lt;&gt;"x",$A1559&lt;=FinReleve),1,0))</f>
        <v/>
      </c>
      <c r="P1559" s="6" t="str">
        <f>IF($D1559="","",IF(AND($L1559="Crédit",OR(IFERROR(INDEX('Paramètres'!$O:$O,MATCH($D1559,'Paramètres'!$M:$M,0))&amp;"","")&lt;&gt;"",ISNUMBER(SEARCH("remboursement",IFERROR(INDEX('Paramètres'!$N:$N,MATCH($D1559,'Paramètres'!$M:$M,0))&amp;"",""))))),1,0))</f>
        <v/>
      </c>
      <c r="Q1559" s="6" t="str">
        <f>IF($K1559="","",IF(ISNUMBER(SEARCH("transfert-interne",IFERROR(INDEX('Paramètres'!$N:$N,MATCH($D1559,'Paramètres'!$M:$M,0))&amp;"",""))),0,IF($L1559="Débit",$K1559,IF($P1559=1,-$K1559,0))))</f>
        <v/>
      </c>
      <c r="R1559" s="6" t="str">
        <f>IF($K1559="","",IF($L1559="Crédit",$K1559,-$K1559))</f>
        <v/>
      </c>
      <c r="S1559" s="6" t="str">
        <f>IF($C1559="","",IFERROR(INDEX('Paramètres'!$H:$H,MATCH($C1559,'Paramètres'!$D:$D,0))&amp;"",""))</f>
        <v/>
      </c>
      <c r="T1559" s="6" t="str">
        <f>IF($K1559="","",IF($S1559="",0,IF(ISNUMBER(SEARCH("apport-exterieur",IFERROR(INDEX('Paramètres'!$N:$N,MATCH($D1559,'Paramètres'!$M:$M,0))&amp;"",""))),0,IF(OR(IFERROR(INDEX('Paramètres'!$I:$I,MATCH($C1559,'Paramètres'!$D:$D,0))&amp;"","")="Les deux",IFERROR(INDEX('Paramètres'!$I:$I,MATCH($C1559,'Paramètres'!$D:$D,0))&amp;"","")=IF($P1559=1,"Débit",$L1559)),-IF($P1559=1,-$K1559,$K1559),0))))</f>
        <v/>
      </c>
      <c r="U1559" s="6" t="str">
        <f>IF($K1559="","",IF(ISNUMBER(SEARCH("sortie-epargne",IFERROR(INDEX('Paramètres'!$N:$N,MATCH($D1559,'Paramètres'!$M:$M,0))&amp;"",""))),$K1559,0))</f>
        <v/>
      </c>
      <c r="V1559" s="6" t="str">
        <f>IF(AND($A1559&lt;&gt;"",$O1559=1,$L1559="Débit",N($Q1559)&gt;0,$A1559&gt;=Visualisation!$B$1,$A1559&lt;Visualisation!$D$1),MAX($V$1:V1558)+1,"")</f>
        <v/>
      </c>
    </row>
    <row r="1560" spans="1:22" x14ac:dyDescent="0.25">
      <c r="A1560" s="9"/>
      <c r="E1560" s="10"/>
      <c r="K1560" s="11" t="str">
        <f>IF($E1560="","",ROUND($E1560*IF(ISNA(MATCH($C1560,'Paramètres'!$D:$D,0)),1,IF(INDEX('Paramètres'!$J:$J,MATCH($C1560,'Paramètres'!$D:$D,0))="",1,INDEX('Paramètres'!$J:$J,MATCH($C1560,'Paramètres'!$D:$D,0)))),2))</f>
        <v/>
      </c>
      <c r="L1560" s="6" t="str">
        <f>IF($D1560="","",IF($F1560&lt;&gt;"",$F1560,IF(ISNA(MATCH($D1560,'Paramètres'!$M:$M,0)),"⚠ Type inconnu",IFERROR(INDEX('Paramètres'!$P:$P,MATCH($D1560,'Paramètres'!$M:$M,0))&amp;"",""))))</f>
        <v/>
      </c>
      <c r="M1560" s="6" t="str">
        <f>IF($D1560="","",IF(ISNA(MATCH($D1560,'Paramètres'!$M:$M,0)),"⚠ Type inconnu",IF($L1560="Crédit","",IFERROR(INDEX('Paramètres'!$O:$O,MATCH($D1560,'Paramètres'!$M:$M,0))&amp;"",""))))</f>
        <v/>
      </c>
      <c r="N1560" s="6" t="str">
        <f>IF($D1560="","",IFERROR(INDEX('Paramètres'!$Q:$Q,MATCH($D1560,'Paramètres'!$M:$M,0))&amp;"",""))</f>
        <v/>
      </c>
      <c r="O1560" s="6" t="str">
        <f>IF($A1560="","",IF(OR($J1560&lt;&gt;"x",$A1560&lt;=FinReleve),1,0))</f>
        <v/>
      </c>
      <c r="P1560" s="6" t="str">
        <f>IF($D1560="","",IF(AND($L1560="Crédit",OR(IFERROR(INDEX('Paramètres'!$O:$O,MATCH($D1560,'Paramètres'!$M:$M,0))&amp;"","")&lt;&gt;"",ISNUMBER(SEARCH("remboursement",IFERROR(INDEX('Paramètres'!$N:$N,MATCH($D1560,'Paramètres'!$M:$M,0))&amp;"",""))))),1,0))</f>
        <v/>
      </c>
      <c r="Q1560" s="6" t="str">
        <f>IF($K1560="","",IF(ISNUMBER(SEARCH("transfert-interne",IFERROR(INDEX('Paramètres'!$N:$N,MATCH($D1560,'Paramètres'!$M:$M,0))&amp;"",""))),0,IF($L1560="Débit",$K1560,IF($P1560=1,-$K1560,0))))</f>
        <v/>
      </c>
      <c r="R1560" s="6" t="str">
        <f>IF($K1560="","",IF($L1560="Crédit",$K1560,-$K1560))</f>
        <v/>
      </c>
      <c r="S1560" s="6" t="str">
        <f>IF($C1560="","",IFERROR(INDEX('Paramètres'!$H:$H,MATCH($C1560,'Paramètres'!$D:$D,0))&amp;"",""))</f>
        <v/>
      </c>
      <c r="T1560" s="6" t="str">
        <f>IF($K1560="","",IF($S1560="",0,IF(ISNUMBER(SEARCH("apport-exterieur",IFERROR(INDEX('Paramètres'!$N:$N,MATCH($D1560,'Paramètres'!$M:$M,0))&amp;"",""))),0,IF(OR(IFERROR(INDEX('Paramètres'!$I:$I,MATCH($C1560,'Paramètres'!$D:$D,0))&amp;"","")="Les deux",IFERROR(INDEX('Paramètres'!$I:$I,MATCH($C1560,'Paramètres'!$D:$D,0))&amp;"","")=IF($P1560=1,"Débit",$L1560)),-IF($P1560=1,-$K1560,$K1560),0))))</f>
        <v/>
      </c>
      <c r="U1560" s="6" t="str">
        <f>IF($K1560="","",IF(ISNUMBER(SEARCH("sortie-epargne",IFERROR(INDEX('Paramètres'!$N:$N,MATCH($D1560,'Paramètres'!$M:$M,0))&amp;"",""))),$K1560,0))</f>
        <v/>
      </c>
      <c r="V1560" s="6" t="str">
        <f>IF(AND($A1560&lt;&gt;"",$O1560=1,$L1560="Débit",N($Q1560)&gt;0,$A1560&gt;=Visualisation!$B$1,$A1560&lt;Visualisation!$D$1),MAX($V$1:V1559)+1,"")</f>
        <v/>
      </c>
    </row>
    <row r="1561" spans="1:22" x14ac:dyDescent="0.25">
      <c r="A1561" s="9"/>
      <c r="E1561" s="10"/>
      <c r="K1561" s="11" t="str">
        <f>IF($E1561="","",ROUND($E1561*IF(ISNA(MATCH($C1561,'Paramètres'!$D:$D,0)),1,IF(INDEX('Paramètres'!$J:$J,MATCH($C1561,'Paramètres'!$D:$D,0))="",1,INDEX('Paramètres'!$J:$J,MATCH($C1561,'Paramètres'!$D:$D,0)))),2))</f>
        <v/>
      </c>
      <c r="L1561" s="6" t="str">
        <f>IF($D1561="","",IF($F1561&lt;&gt;"",$F1561,IF(ISNA(MATCH($D1561,'Paramètres'!$M:$M,0)),"⚠ Type inconnu",IFERROR(INDEX('Paramètres'!$P:$P,MATCH($D1561,'Paramètres'!$M:$M,0))&amp;"",""))))</f>
        <v/>
      </c>
      <c r="M1561" s="6" t="str">
        <f>IF($D1561="","",IF(ISNA(MATCH($D1561,'Paramètres'!$M:$M,0)),"⚠ Type inconnu",IF($L1561="Crédit","",IFERROR(INDEX('Paramètres'!$O:$O,MATCH($D1561,'Paramètres'!$M:$M,0))&amp;"",""))))</f>
        <v/>
      </c>
      <c r="N1561" s="6" t="str">
        <f>IF($D1561="","",IFERROR(INDEX('Paramètres'!$Q:$Q,MATCH($D1561,'Paramètres'!$M:$M,0))&amp;"",""))</f>
        <v/>
      </c>
      <c r="O1561" s="6" t="str">
        <f>IF($A1561="","",IF(OR($J1561&lt;&gt;"x",$A1561&lt;=FinReleve),1,0))</f>
        <v/>
      </c>
      <c r="P1561" s="6" t="str">
        <f>IF($D1561="","",IF(AND($L1561="Crédit",OR(IFERROR(INDEX('Paramètres'!$O:$O,MATCH($D1561,'Paramètres'!$M:$M,0))&amp;"","")&lt;&gt;"",ISNUMBER(SEARCH("remboursement",IFERROR(INDEX('Paramètres'!$N:$N,MATCH($D1561,'Paramètres'!$M:$M,0))&amp;"",""))))),1,0))</f>
        <v/>
      </c>
      <c r="Q1561" s="6" t="str">
        <f>IF($K1561="","",IF(ISNUMBER(SEARCH("transfert-interne",IFERROR(INDEX('Paramètres'!$N:$N,MATCH($D1561,'Paramètres'!$M:$M,0))&amp;"",""))),0,IF($L1561="Débit",$K1561,IF($P1561=1,-$K1561,0))))</f>
        <v/>
      </c>
      <c r="R1561" s="6" t="str">
        <f>IF($K1561="","",IF($L1561="Crédit",$K1561,-$K1561))</f>
        <v/>
      </c>
      <c r="S1561" s="6" t="str">
        <f>IF($C1561="","",IFERROR(INDEX('Paramètres'!$H:$H,MATCH($C1561,'Paramètres'!$D:$D,0))&amp;"",""))</f>
        <v/>
      </c>
      <c r="T1561" s="6" t="str">
        <f>IF($K1561="","",IF($S1561="",0,IF(ISNUMBER(SEARCH("apport-exterieur",IFERROR(INDEX('Paramètres'!$N:$N,MATCH($D1561,'Paramètres'!$M:$M,0))&amp;"",""))),0,IF(OR(IFERROR(INDEX('Paramètres'!$I:$I,MATCH($C1561,'Paramètres'!$D:$D,0))&amp;"","")="Les deux",IFERROR(INDEX('Paramètres'!$I:$I,MATCH($C1561,'Paramètres'!$D:$D,0))&amp;"","")=IF($P1561=1,"Débit",$L1561)),-IF($P1561=1,-$K1561,$K1561),0))))</f>
        <v/>
      </c>
      <c r="U1561" s="6" t="str">
        <f>IF($K1561="","",IF(ISNUMBER(SEARCH("sortie-epargne",IFERROR(INDEX('Paramètres'!$N:$N,MATCH($D1561,'Paramètres'!$M:$M,0))&amp;"",""))),$K1561,0))</f>
        <v/>
      </c>
      <c r="V1561" s="6" t="str">
        <f>IF(AND($A1561&lt;&gt;"",$O1561=1,$L1561="Débit",N($Q1561)&gt;0,$A1561&gt;=Visualisation!$B$1,$A1561&lt;Visualisation!$D$1),MAX($V$1:V1560)+1,"")</f>
        <v/>
      </c>
    </row>
    <row r="1562" spans="1:22" x14ac:dyDescent="0.25">
      <c r="A1562" s="9"/>
      <c r="E1562" s="10"/>
      <c r="K1562" s="11" t="str">
        <f>IF($E1562="","",ROUND($E1562*IF(ISNA(MATCH($C1562,'Paramètres'!$D:$D,0)),1,IF(INDEX('Paramètres'!$J:$J,MATCH($C1562,'Paramètres'!$D:$D,0))="",1,INDEX('Paramètres'!$J:$J,MATCH($C1562,'Paramètres'!$D:$D,0)))),2))</f>
        <v/>
      </c>
      <c r="L1562" s="6" t="str">
        <f>IF($D1562="","",IF($F1562&lt;&gt;"",$F1562,IF(ISNA(MATCH($D1562,'Paramètres'!$M:$M,0)),"⚠ Type inconnu",IFERROR(INDEX('Paramètres'!$P:$P,MATCH($D1562,'Paramètres'!$M:$M,0))&amp;"",""))))</f>
        <v/>
      </c>
      <c r="M1562" s="6" t="str">
        <f>IF($D1562="","",IF(ISNA(MATCH($D1562,'Paramètres'!$M:$M,0)),"⚠ Type inconnu",IF($L1562="Crédit","",IFERROR(INDEX('Paramètres'!$O:$O,MATCH($D1562,'Paramètres'!$M:$M,0))&amp;"",""))))</f>
        <v/>
      </c>
      <c r="N1562" s="6" t="str">
        <f>IF($D1562="","",IFERROR(INDEX('Paramètres'!$Q:$Q,MATCH($D1562,'Paramètres'!$M:$M,0))&amp;"",""))</f>
        <v/>
      </c>
      <c r="O1562" s="6" t="str">
        <f>IF($A1562="","",IF(OR($J1562&lt;&gt;"x",$A1562&lt;=FinReleve),1,0))</f>
        <v/>
      </c>
      <c r="P1562" s="6" t="str">
        <f>IF($D1562="","",IF(AND($L1562="Crédit",OR(IFERROR(INDEX('Paramètres'!$O:$O,MATCH($D1562,'Paramètres'!$M:$M,0))&amp;"","")&lt;&gt;"",ISNUMBER(SEARCH("remboursement",IFERROR(INDEX('Paramètres'!$N:$N,MATCH($D1562,'Paramètres'!$M:$M,0))&amp;"",""))))),1,0))</f>
        <v/>
      </c>
      <c r="Q1562" s="6" t="str">
        <f>IF($K1562="","",IF(ISNUMBER(SEARCH("transfert-interne",IFERROR(INDEX('Paramètres'!$N:$N,MATCH($D1562,'Paramètres'!$M:$M,0))&amp;"",""))),0,IF($L1562="Débit",$K1562,IF($P1562=1,-$K1562,0))))</f>
        <v/>
      </c>
      <c r="R1562" s="6" t="str">
        <f>IF($K1562="","",IF($L1562="Crédit",$K1562,-$K1562))</f>
        <v/>
      </c>
      <c r="S1562" s="6" t="str">
        <f>IF($C1562="","",IFERROR(INDEX('Paramètres'!$H:$H,MATCH($C1562,'Paramètres'!$D:$D,0))&amp;"",""))</f>
        <v/>
      </c>
      <c r="T1562" s="6" t="str">
        <f>IF($K1562="","",IF($S1562="",0,IF(ISNUMBER(SEARCH("apport-exterieur",IFERROR(INDEX('Paramètres'!$N:$N,MATCH($D1562,'Paramètres'!$M:$M,0))&amp;"",""))),0,IF(OR(IFERROR(INDEX('Paramètres'!$I:$I,MATCH($C1562,'Paramètres'!$D:$D,0))&amp;"","")="Les deux",IFERROR(INDEX('Paramètres'!$I:$I,MATCH($C1562,'Paramètres'!$D:$D,0))&amp;"","")=IF($P1562=1,"Débit",$L1562)),-IF($P1562=1,-$K1562,$K1562),0))))</f>
        <v/>
      </c>
      <c r="U1562" s="6" t="str">
        <f>IF($K1562="","",IF(ISNUMBER(SEARCH("sortie-epargne",IFERROR(INDEX('Paramètres'!$N:$N,MATCH($D1562,'Paramètres'!$M:$M,0))&amp;"",""))),$K1562,0))</f>
        <v/>
      </c>
      <c r="V1562" s="6" t="str">
        <f>IF(AND($A1562&lt;&gt;"",$O1562=1,$L1562="Débit",N($Q1562)&gt;0,$A1562&gt;=Visualisation!$B$1,$A1562&lt;Visualisation!$D$1),MAX($V$1:V1561)+1,"")</f>
        <v/>
      </c>
    </row>
    <row r="1563" spans="1:22" x14ac:dyDescent="0.25">
      <c r="A1563" s="9"/>
      <c r="E1563" s="10"/>
      <c r="K1563" s="11" t="str">
        <f>IF($E1563="","",ROUND($E1563*IF(ISNA(MATCH($C1563,'Paramètres'!$D:$D,0)),1,IF(INDEX('Paramètres'!$J:$J,MATCH($C1563,'Paramètres'!$D:$D,0))="",1,INDEX('Paramètres'!$J:$J,MATCH($C1563,'Paramètres'!$D:$D,0)))),2))</f>
        <v/>
      </c>
      <c r="L1563" s="6" t="str">
        <f>IF($D1563="","",IF($F1563&lt;&gt;"",$F1563,IF(ISNA(MATCH($D1563,'Paramètres'!$M:$M,0)),"⚠ Type inconnu",IFERROR(INDEX('Paramètres'!$P:$P,MATCH($D1563,'Paramètres'!$M:$M,0))&amp;"",""))))</f>
        <v/>
      </c>
      <c r="M1563" s="6" t="str">
        <f>IF($D1563="","",IF(ISNA(MATCH($D1563,'Paramètres'!$M:$M,0)),"⚠ Type inconnu",IF($L1563="Crédit","",IFERROR(INDEX('Paramètres'!$O:$O,MATCH($D1563,'Paramètres'!$M:$M,0))&amp;"",""))))</f>
        <v/>
      </c>
      <c r="N1563" s="6" t="str">
        <f>IF($D1563="","",IFERROR(INDEX('Paramètres'!$Q:$Q,MATCH($D1563,'Paramètres'!$M:$M,0))&amp;"",""))</f>
        <v/>
      </c>
      <c r="O1563" s="6" t="str">
        <f>IF($A1563="","",IF(OR($J1563&lt;&gt;"x",$A1563&lt;=FinReleve),1,0))</f>
        <v/>
      </c>
      <c r="P1563" s="6" t="str">
        <f>IF($D1563="","",IF(AND($L1563="Crédit",OR(IFERROR(INDEX('Paramètres'!$O:$O,MATCH($D1563,'Paramètres'!$M:$M,0))&amp;"","")&lt;&gt;"",ISNUMBER(SEARCH("remboursement",IFERROR(INDEX('Paramètres'!$N:$N,MATCH($D1563,'Paramètres'!$M:$M,0))&amp;"",""))))),1,0))</f>
        <v/>
      </c>
      <c r="Q1563" s="6" t="str">
        <f>IF($K1563="","",IF(ISNUMBER(SEARCH("transfert-interne",IFERROR(INDEX('Paramètres'!$N:$N,MATCH($D1563,'Paramètres'!$M:$M,0))&amp;"",""))),0,IF($L1563="Débit",$K1563,IF($P1563=1,-$K1563,0))))</f>
        <v/>
      </c>
      <c r="R1563" s="6" t="str">
        <f>IF($K1563="","",IF($L1563="Crédit",$K1563,-$K1563))</f>
        <v/>
      </c>
      <c r="S1563" s="6" t="str">
        <f>IF($C1563="","",IFERROR(INDEX('Paramètres'!$H:$H,MATCH($C1563,'Paramètres'!$D:$D,0))&amp;"",""))</f>
        <v/>
      </c>
      <c r="T1563" s="6" t="str">
        <f>IF($K1563="","",IF($S1563="",0,IF(ISNUMBER(SEARCH("apport-exterieur",IFERROR(INDEX('Paramètres'!$N:$N,MATCH($D1563,'Paramètres'!$M:$M,0))&amp;"",""))),0,IF(OR(IFERROR(INDEX('Paramètres'!$I:$I,MATCH($C1563,'Paramètres'!$D:$D,0))&amp;"","")="Les deux",IFERROR(INDEX('Paramètres'!$I:$I,MATCH($C1563,'Paramètres'!$D:$D,0))&amp;"","")=IF($P1563=1,"Débit",$L1563)),-IF($P1563=1,-$K1563,$K1563),0))))</f>
        <v/>
      </c>
      <c r="U1563" s="6" t="str">
        <f>IF($K1563="","",IF(ISNUMBER(SEARCH("sortie-epargne",IFERROR(INDEX('Paramètres'!$N:$N,MATCH($D1563,'Paramètres'!$M:$M,0))&amp;"",""))),$K1563,0))</f>
        <v/>
      </c>
      <c r="V1563" s="6" t="str">
        <f>IF(AND($A1563&lt;&gt;"",$O1563=1,$L1563="Débit",N($Q1563)&gt;0,$A1563&gt;=Visualisation!$B$1,$A1563&lt;Visualisation!$D$1),MAX($V$1:V1562)+1,"")</f>
        <v/>
      </c>
    </row>
    <row r="1564" spans="1:22" x14ac:dyDescent="0.25">
      <c r="A1564" s="9"/>
      <c r="E1564" s="10"/>
      <c r="K1564" s="11" t="str">
        <f>IF($E1564="","",ROUND($E1564*IF(ISNA(MATCH($C1564,'Paramètres'!$D:$D,0)),1,IF(INDEX('Paramètres'!$J:$J,MATCH($C1564,'Paramètres'!$D:$D,0))="",1,INDEX('Paramètres'!$J:$J,MATCH($C1564,'Paramètres'!$D:$D,0)))),2))</f>
        <v/>
      </c>
      <c r="L1564" s="6" t="str">
        <f>IF($D1564="","",IF($F1564&lt;&gt;"",$F1564,IF(ISNA(MATCH($D1564,'Paramètres'!$M:$M,0)),"⚠ Type inconnu",IFERROR(INDEX('Paramètres'!$P:$P,MATCH($D1564,'Paramètres'!$M:$M,0))&amp;"",""))))</f>
        <v/>
      </c>
      <c r="M1564" s="6" t="str">
        <f>IF($D1564="","",IF(ISNA(MATCH($D1564,'Paramètres'!$M:$M,0)),"⚠ Type inconnu",IF($L1564="Crédit","",IFERROR(INDEX('Paramètres'!$O:$O,MATCH($D1564,'Paramètres'!$M:$M,0))&amp;"",""))))</f>
        <v/>
      </c>
      <c r="N1564" s="6" t="str">
        <f>IF($D1564="","",IFERROR(INDEX('Paramètres'!$Q:$Q,MATCH($D1564,'Paramètres'!$M:$M,0))&amp;"",""))</f>
        <v/>
      </c>
      <c r="O1564" s="6" t="str">
        <f>IF($A1564="","",IF(OR($J1564&lt;&gt;"x",$A1564&lt;=FinReleve),1,0))</f>
        <v/>
      </c>
      <c r="P1564" s="6" t="str">
        <f>IF($D1564="","",IF(AND($L1564="Crédit",OR(IFERROR(INDEX('Paramètres'!$O:$O,MATCH($D1564,'Paramètres'!$M:$M,0))&amp;"","")&lt;&gt;"",ISNUMBER(SEARCH("remboursement",IFERROR(INDEX('Paramètres'!$N:$N,MATCH($D1564,'Paramètres'!$M:$M,0))&amp;"",""))))),1,0))</f>
        <v/>
      </c>
      <c r="Q1564" s="6" t="str">
        <f>IF($K1564="","",IF(ISNUMBER(SEARCH("transfert-interne",IFERROR(INDEX('Paramètres'!$N:$N,MATCH($D1564,'Paramètres'!$M:$M,0))&amp;"",""))),0,IF($L1564="Débit",$K1564,IF($P1564=1,-$K1564,0))))</f>
        <v/>
      </c>
      <c r="R1564" s="6" t="str">
        <f>IF($K1564="","",IF($L1564="Crédit",$K1564,-$K1564))</f>
        <v/>
      </c>
      <c r="S1564" s="6" t="str">
        <f>IF($C1564="","",IFERROR(INDEX('Paramètres'!$H:$H,MATCH($C1564,'Paramètres'!$D:$D,0))&amp;"",""))</f>
        <v/>
      </c>
      <c r="T1564" s="6" t="str">
        <f>IF($K1564="","",IF($S1564="",0,IF(ISNUMBER(SEARCH("apport-exterieur",IFERROR(INDEX('Paramètres'!$N:$N,MATCH($D1564,'Paramètres'!$M:$M,0))&amp;"",""))),0,IF(OR(IFERROR(INDEX('Paramètres'!$I:$I,MATCH($C1564,'Paramètres'!$D:$D,0))&amp;"","")="Les deux",IFERROR(INDEX('Paramètres'!$I:$I,MATCH($C1564,'Paramètres'!$D:$D,0))&amp;"","")=IF($P1564=1,"Débit",$L1564)),-IF($P1564=1,-$K1564,$K1564),0))))</f>
        <v/>
      </c>
      <c r="U1564" s="6" t="str">
        <f>IF($K1564="","",IF(ISNUMBER(SEARCH("sortie-epargne",IFERROR(INDEX('Paramètres'!$N:$N,MATCH($D1564,'Paramètres'!$M:$M,0))&amp;"",""))),$K1564,0))</f>
        <v/>
      </c>
      <c r="V1564" s="6" t="str">
        <f>IF(AND($A1564&lt;&gt;"",$O1564=1,$L1564="Débit",N($Q1564)&gt;0,$A1564&gt;=Visualisation!$B$1,$A1564&lt;Visualisation!$D$1),MAX($V$1:V1563)+1,"")</f>
        <v/>
      </c>
    </row>
    <row r="1565" spans="1:22" x14ac:dyDescent="0.25">
      <c r="A1565" s="9"/>
      <c r="E1565" s="10"/>
      <c r="K1565" s="11" t="str">
        <f>IF($E1565="","",ROUND($E1565*IF(ISNA(MATCH($C1565,'Paramètres'!$D:$D,0)),1,IF(INDEX('Paramètres'!$J:$J,MATCH($C1565,'Paramètres'!$D:$D,0))="",1,INDEX('Paramètres'!$J:$J,MATCH($C1565,'Paramètres'!$D:$D,0)))),2))</f>
        <v/>
      </c>
      <c r="L1565" s="6" t="str">
        <f>IF($D1565="","",IF($F1565&lt;&gt;"",$F1565,IF(ISNA(MATCH($D1565,'Paramètres'!$M:$M,0)),"⚠ Type inconnu",IFERROR(INDEX('Paramètres'!$P:$P,MATCH($D1565,'Paramètres'!$M:$M,0))&amp;"",""))))</f>
        <v/>
      </c>
      <c r="M1565" s="6" t="str">
        <f>IF($D1565="","",IF(ISNA(MATCH($D1565,'Paramètres'!$M:$M,0)),"⚠ Type inconnu",IF($L1565="Crédit","",IFERROR(INDEX('Paramètres'!$O:$O,MATCH($D1565,'Paramètres'!$M:$M,0))&amp;"",""))))</f>
        <v/>
      </c>
      <c r="N1565" s="6" t="str">
        <f>IF($D1565="","",IFERROR(INDEX('Paramètres'!$Q:$Q,MATCH($D1565,'Paramètres'!$M:$M,0))&amp;"",""))</f>
        <v/>
      </c>
      <c r="O1565" s="6" t="str">
        <f>IF($A1565="","",IF(OR($J1565&lt;&gt;"x",$A1565&lt;=FinReleve),1,0))</f>
        <v/>
      </c>
      <c r="P1565" s="6" t="str">
        <f>IF($D1565="","",IF(AND($L1565="Crédit",OR(IFERROR(INDEX('Paramètres'!$O:$O,MATCH($D1565,'Paramètres'!$M:$M,0))&amp;"","")&lt;&gt;"",ISNUMBER(SEARCH("remboursement",IFERROR(INDEX('Paramètres'!$N:$N,MATCH($D1565,'Paramètres'!$M:$M,0))&amp;"",""))))),1,0))</f>
        <v/>
      </c>
      <c r="Q1565" s="6" t="str">
        <f>IF($K1565="","",IF(ISNUMBER(SEARCH("transfert-interne",IFERROR(INDEX('Paramètres'!$N:$N,MATCH($D1565,'Paramètres'!$M:$M,0))&amp;"",""))),0,IF($L1565="Débit",$K1565,IF($P1565=1,-$K1565,0))))</f>
        <v/>
      </c>
      <c r="R1565" s="6" t="str">
        <f>IF($K1565="","",IF($L1565="Crédit",$K1565,-$K1565))</f>
        <v/>
      </c>
      <c r="S1565" s="6" t="str">
        <f>IF($C1565="","",IFERROR(INDEX('Paramètres'!$H:$H,MATCH($C1565,'Paramètres'!$D:$D,0))&amp;"",""))</f>
        <v/>
      </c>
      <c r="T1565" s="6" t="str">
        <f>IF($K1565="","",IF($S1565="",0,IF(ISNUMBER(SEARCH("apport-exterieur",IFERROR(INDEX('Paramètres'!$N:$N,MATCH($D1565,'Paramètres'!$M:$M,0))&amp;"",""))),0,IF(OR(IFERROR(INDEX('Paramètres'!$I:$I,MATCH($C1565,'Paramètres'!$D:$D,0))&amp;"","")="Les deux",IFERROR(INDEX('Paramètres'!$I:$I,MATCH($C1565,'Paramètres'!$D:$D,0))&amp;"","")=IF($P1565=1,"Débit",$L1565)),-IF($P1565=1,-$K1565,$K1565),0))))</f>
        <v/>
      </c>
      <c r="U1565" s="6" t="str">
        <f>IF($K1565="","",IF(ISNUMBER(SEARCH("sortie-epargne",IFERROR(INDEX('Paramètres'!$N:$N,MATCH($D1565,'Paramètres'!$M:$M,0))&amp;"",""))),$K1565,0))</f>
        <v/>
      </c>
      <c r="V1565" s="6" t="str">
        <f>IF(AND($A1565&lt;&gt;"",$O1565=1,$L1565="Débit",N($Q1565)&gt;0,$A1565&gt;=Visualisation!$B$1,$A1565&lt;Visualisation!$D$1),MAX($V$1:V1564)+1,"")</f>
        <v/>
      </c>
    </row>
    <row r="1566" spans="1:22" x14ac:dyDescent="0.25">
      <c r="A1566" s="9"/>
      <c r="E1566" s="10"/>
      <c r="K1566" s="11" t="str">
        <f>IF($E1566="","",ROUND($E1566*IF(ISNA(MATCH($C1566,'Paramètres'!$D:$D,0)),1,IF(INDEX('Paramètres'!$J:$J,MATCH($C1566,'Paramètres'!$D:$D,0))="",1,INDEX('Paramètres'!$J:$J,MATCH($C1566,'Paramètres'!$D:$D,0)))),2))</f>
        <v/>
      </c>
      <c r="L1566" s="6" t="str">
        <f>IF($D1566="","",IF($F1566&lt;&gt;"",$F1566,IF(ISNA(MATCH($D1566,'Paramètres'!$M:$M,0)),"⚠ Type inconnu",IFERROR(INDEX('Paramètres'!$P:$P,MATCH($D1566,'Paramètres'!$M:$M,0))&amp;"",""))))</f>
        <v/>
      </c>
      <c r="M1566" s="6" t="str">
        <f>IF($D1566="","",IF(ISNA(MATCH($D1566,'Paramètres'!$M:$M,0)),"⚠ Type inconnu",IF($L1566="Crédit","",IFERROR(INDEX('Paramètres'!$O:$O,MATCH($D1566,'Paramètres'!$M:$M,0))&amp;"",""))))</f>
        <v/>
      </c>
      <c r="N1566" s="6" t="str">
        <f>IF($D1566="","",IFERROR(INDEX('Paramètres'!$Q:$Q,MATCH($D1566,'Paramètres'!$M:$M,0))&amp;"",""))</f>
        <v/>
      </c>
      <c r="O1566" s="6" t="str">
        <f>IF($A1566="","",IF(OR($J1566&lt;&gt;"x",$A1566&lt;=FinReleve),1,0))</f>
        <v/>
      </c>
      <c r="P1566" s="6" t="str">
        <f>IF($D1566="","",IF(AND($L1566="Crédit",OR(IFERROR(INDEX('Paramètres'!$O:$O,MATCH($D1566,'Paramètres'!$M:$M,0))&amp;"","")&lt;&gt;"",ISNUMBER(SEARCH("remboursement",IFERROR(INDEX('Paramètres'!$N:$N,MATCH($D1566,'Paramètres'!$M:$M,0))&amp;"",""))))),1,0))</f>
        <v/>
      </c>
      <c r="Q1566" s="6" t="str">
        <f>IF($K1566="","",IF(ISNUMBER(SEARCH("transfert-interne",IFERROR(INDEX('Paramètres'!$N:$N,MATCH($D1566,'Paramètres'!$M:$M,0))&amp;"",""))),0,IF($L1566="Débit",$K1566,IF($P1566=1,-$K1566,0))))</f>
        <v/>
      </c>
      <c r="R1566" s="6" t="str">
        <f>IF($K1566="","",IF($L1566="Crédit",$K1566,-$K1566))</f>
        <v/>
      </c>
      <c r="S1566" s="6" t="str">
        <f>IF($C1566="","",IFERROR(INDEX('Paramètres'!$H:$H,MATCH($C1566,'Paramètres'!$D:$D,0))&amp;"",""))</f>
        <v/>
      </c>
      <c r="T1566" s="6" t="str">
        <f>IF($K1566="","",IF($S1566="",0,IF(ISNUMBER(SEARCH("apport-exterieur",IFERROR(INDEX('Paramètres'!$N:$N,MATCH($D1566,'Paramètres'!$M:$M,0))&amp;"",""))),0,IF(OR(IFERROR(INDEX('Paramètres'!$I:$I,MATCH($C1566,'Paramètres'!$D:$D,0))&amp;"","")="Les deux",IFERROR(INDEX('Paramètres'!$I:$I,MATCH($C1566,'Paramètres'!$D:$D,0))&amp;"","")=IF($P1566=1,"Débit",$L1566)),-IF($P1566=1,-$K1566,$K1566),0))))</f>
        <v/>
      </c>
      <c r="U1566" s="6" t="str">
        <f>IF($K1566="","",IF(ISNUMBER(SEARCH("sortie-epargne",IFERROR(INDEX('Paramètres'!$N:$N,MATCH($D1566,'Paramètres'!$M:$M,0))&amp;"",""))),$K1566,0))</f>
        <v/>
      </c>
      <c r="V1566" s="6" t="str">
        <f>IF(AND($A1566&lt;&gt;"",$O1566=1,$L1566="Débit",N($Q1566)&gt;0,$A1566&gt;=Visualisation!$B$1,$A1566&lt;Visualisation!$D$1),MAX($V$1:V1565)+1,"")</f>
        <v/>
      </c>
    </row>
    <row r="1567" spans="1:22" x14ac:dyDescent="0.25">
      <c r="A1567" s="9"/>
      <c r="E1567" s="10"/>
      <c r="K1567" s="11" t="str">
        <f>IF($E1567="","",ROUND($E1567*IF(ISNA(MATCH($C1567,'Paramètres'!$D:$D,0)),1,IF(INDEX('Paramètres'!$J:$J,MATCH($C1567,'Paramètres'!$D:$D,0))="",1,INDEX('Paramètres'!$J:$J,MATCH($C1567,'Paramètres'!$D:$D,0)))),2))</f>
        <v/>
      </c>
      <c r="L1567" s="6" t="str">
        <f>IF($D1567="","",IF($F1567&lt;&gt;"",$F1567,IF(ISNA(MATCH($D1567,'Paramètres'!$M:$M,0)),"⚠ Type inconnu",IFERROR(INDEX('Paramètres'!$P:$P,MATCH($D1567,'Paramètres'!$M:$M,0))&amp;"",""))))</f>
        <v/>
      </c>
      <c r="M1567" s="6" t="str">
        <f>IF($D1567="","",IF(ISNA(MATCH($D1567,'Paramètres'!$M:$M,0)),"⚠ Type inconnu",IF($L1567="Crédit","",IFERROR(INDEX('Paramètres'!$O:$O,MATCH($D1567,'Paramètres'!$M:$M,0))&amp;"",""))))</f>
        <v/>
      </c>
      <c r="N1567" s="6" t="str">
        <f>IF($D1567="","",IFERROR(INDEX('Paramètres'!$Q:$Q,MATCH($D1567,'Paramètres'!$M:$M,0))&amp;"",""))</f>
        <v/>
      </c>
      <c r="O1567" s="6" t="str">
        <f>IF($A1567="","",IF(OR($J1567&lt;&gt;"x",$A1567&lt;=FinReleve),1,0))</f>
        <v/>
      </c>
      <c r="P1567" s="6" t="str">
        <f>IF($D1567="","",IF(AND($L1567="Crédit",OR(IFERROR(INDEX('Paramètres'!$O:$O,MATCH($D1567,'Paramètres'!$M:$M,0))&amp;"","")&lt;&gt;"",ISNUMBER(SEARCH("remboursement",IFERROR(INDEX('Paramètres'!$N:$N,MATCH($D1567,'Paramètres'!$M:$M,0))&amp;"",""))))),1,0))</f>
        <v/>
      </c>
      <c r="Q1567" s="6" t="str">
        <f>IF($K1567="","",IF(ISNUMBER(SEARCH("transfert-interne",IFERROR(INDEX('Paramètres'!$N:$N,MATCH($D1567,'Paramètres'!$M:$M,0))&amp;"",""))),0,IF($L1567="Débit",$K1567,IF($P1567=1,-$K1567,0))))</f>
        <v/>
      </c>
      <c r="R1567" s="6" t="str">
        <f>IF($K1567="","",IF($L1567="Crédit",$K1567,-$K1567))</f>
        <v/>
      </c>
      <c r="S1567" s="6" t="str">
        <f>IF($C1567="","",IFERROR(INDEX('Paramètres'!$H:$H,MATCH($C1567,'Paramètres'!$D:$D,0))&amp;"",""))</f>
        <v/>
      </c>
      <c r="T1567" s="6" t="str">
        <f>IF($K1567="","",IF($S1567="",0,IF(ISNUMBER(SEARCH("apport-exterieur",IFERROR(INDEX('Paramètres'!$N:$N,MATCH($D1567,'Paramètres'!$M:$M,0))&amp;"",""))),0,IF(OR(IFERROR(INDEX('Paramètres'!$I:$I,MATCH($C1567,'Paramètres'!$D:$D,0))&amp;"","")="Les deux",IFERROR(INDEX('Paramètres'!$I:$I,MATCH($C1567,'Paramètres'!$D:$D,0))&amp;"","")=IF($P1567=1,"Débit",$L1567)),-IF($P1567=1,-$K1567,$K1567),0))))</f>
        <v/>
      </c>
      <c r="U1567" s="6" t="str">
        <f>IF($K1567="","",IF(ISNUMBER(SEARCH("sortie-epargne",IFERROR(INDEX('Paramètres'!$N:$N,MATCH($D1567,'Paramètres'!$M:$M,0))&amp;"",""))),$K1567,0))</f>
        <v/>
      </c>
      <c r="V1567" s="6" t="str">
        <f>IF(AND($A1567&lt;&gt;"",$O1567=1,$L1567="Débit",N($Q1567)&gt;0,$A1567&gt;=Visualisation!$B$1,$A1567&lt;Visualisation!$D$1),MAX($V$1:V1566)+1,"")</f>
        <v/>
      </c>
    </row>
    <row r="1568" spans="1:22" x14ac:dyDescent="0.25">
      <c r="A1568" s="9"/>
      <c r="E1568" s="10"/>
      <c r="K1568" s="11" t="str">
        <f>IF($E1568="","",ROUND($E1568*IF(ISNA(MATCH($C1568,'Paramètres'!$D:$D,0)),1,IF(INDEX('Paramètres'!$J:$J,MATCH($C1568,'Paramètres'!$D:$D,0))="",1,INDEX('Paramètres'!$J:$J,MATCH($C1568,'Paramètres'!$D:$D,0)))),2))</f>
        <v/>
      </c>
      <c r="L1568" s="6" t="str">
        <f>IF($D1568="","",IF($F1568&lt;&gt;"",$F1568,IF(ISNA(MATCH($D1568,'Paramètres'!$M:$M,0)),"⚠ Type inconnu",IFERROR(INDEX('Paramètres'!$P:$P,MATCH($D1568,'Paramètres'!$M:$M,0))&amp;"",""))))</f>
        <v/>
      </c>
      <c r="M1568" s="6" t="str">
        <f>IF($D1568="","",IF(ISNA(MATCH($D1568,'Paramètres'!$M:$M,0)),"⚠ Type inconnu",IF($L1568="Crédit","",IFERROR(INDEX('Paramètres'!$O:$O,MATCH($D1568,'Paramètres'!$M:$M,0))&amp;"",""))))</f>
        <v/>
      </c>
      <c r="N1568" s="6" t="str">
        <f>IF($D1568="","",IFERROR(INDEX('Paramètres'!$Q:$Q,MATCH($D1568,'Paramètres'!$M:$M,0))&amp;"",""))</f>
        <v/>
      </c>
      <c r="O1568" s="6" t="str">
        <f>IF($A1568="","",IF(OR($J1568&lt;&gt;"x",$A1568&lt;=FinReleve),1,0))</f>
        <v/>
      </c>
      <c r="P1568" s="6" t="str">
        <f>IF($D1568="","",IF(AND($L1568="Crédit",OR(IFERROR(INDEX('Paramètres'!$O:$O,MATCH($D1568,'Paramètres'!$M:$M,0))&amp;"","")&lt;&gt;"",ISNUMBER(SEARCH("remboursement",IFERROR(INDEX('Paramètres'!$N:$N,MATCH($D1568,'Paramètres'!$M:$M,0))&amp;"",""))))),1,0))</f>
        <v/>
      </c>
      <c r="Q1568" s="6" t="str">
        <f>IF($K1568="","",IF(ISNUMBER(SEARCH("transfert-interne",IFERROR(INDEX('Paramètres'!$N:$N,MATCH($D1568,'Paramètres'!$M:$M,0))&amp;"",""))),0,IF($L1568="Débit",$K1568,IF($P1568=1,-$K1568,0))))</f>
        <v/>
      </c>
      <c r="R1568" s="6" t="str">
        <f>IF($K1568="","",IF($L1568="Crédit",$K1568,-$K1568))</f>
        <v/>
      </c>
      <c r="S1568" s="6" t="str">
        <f>IF($C1568="","",IFERROR(INDEX('Paramètres'!$H:$H,MATCH($C1568,'Paramètres'!$D:$D,0))&amp;"",""))</f>
        <v/>
      </c>
      <c r="T1568" s="6" t="str">
        <f>IF($K1568="","",IF($S1568="",0,IF(ISNUMBER(SEARCH("apport-exterieur",IFERROR(INDEX('Paramètres'!$N:$N,MATCH($D1568,'Paramètres'!$M:$M,0))&amp;"",""))),0,IF(OR(IFERROR(INDEX('Paramètres'!$I:$I,MATCH($C1568,'Paramètres'!$D:$D,0))&amp;"","")="Les deux",IFERROR(INDEX('Paramètres'!$I:$I,MATCH($C1568,'Paramètres'!$D:$D,0))&amp;"","")=IF($P1568=1,"Débit",$L1568)),-IF($P1568=1,-$K1568,$K1568),0))))</f>
        <v/>
      </c>
      <c r="U1568" s="6" t="str">
        <f>IF($K1568="","",IF(ISNUMBER(SEARCH("sortie-epargne",IFERROR(INDEX('Paramètres'!$N:$N,MATCH($D1568,'Paramètres'!$M:$M,0))&amp;"",""))),$K1568,0))</f>
        <v/>
      </c>
      <c r="V1568" s="6" t="str">
        <f>IF(AND($A1568&lt;&gt;"",$O1568=1,$L1568="Débit",N($Q1568)&gt;0,$A1568&gt;=Visualisation!$B$1,$A1568&lt;Visualisation!$D$1),MAX($V$1:V1567)+1,"")</f>
        <v/>
      </c>
    </row>
    <row r="1569" spans="1:22" x14ac:dyDescent="0.25">
      <c r="A1569" s="9"/>
      <c r="E1569" s="10"/>
      <c r="K1569" s="11" t="str">
        <f>IF($E1569="","",ROUND($E1569*IF(ISNA(MATCH($C1569,'Paramètres'!$D:$D,0)),1,IF(INDEX('Paramètres'!$J:$J,MATCH($C1569,'Paramètres'!$D:$D,0))="",1,INDEX('Paramètres'!$J:$J,MATCH($C1569,'Paramètres'!$D:$D,0)))),2))</f>
        <v/>
      </c>
      <c r="L1569" s="6" t="str">
        <f>IF($D1569="","",IF($F1569&lt;&gt;"",$F1569,IF(ISNA(MATCH($D1569,'Paramètres'!$M:$M,0)),"⚠ Type inconnu",IFERROR(INDEX('Paramètres'!$P:$P,MATCH($D1569,'Paramètres'!$M:$M,0))&amp;"",""))))</f>
        <v/>
      </c>
      <c r="M1569" s="6" t="str">
        <f>IF($D1569="","",IF(ISNA(MATCH($D1569,'Paramètres'!$M:$M,0)),"⚠ Type inconnu",IF($L1569="Crédit","",IFERROR(INDEX('Paramètres'!$O:$O,MATCH($D1569,'Paramètres'!$M:$M,0))&amp;"",""))))</f>
        <v/>
      </c>
      <c r="N1569" s="6" t="str">
        <f>IF($D1569="","",IFERROR(INDEX('Paramètres'!$Q:$Q,MATCH($D1569,'Paramètres'!$M:$M,0))&amp;"",""))</f>
        <v/>
      </c>
      <c r="O1569" s="6" t="str">
        <f>IF($A1569="","",IF(OR($J1569&lt;&gt;"x",$A1569&lt;=FinReleve),1,0))</f>
        <v/>
      </c>
      <c r="P1569" s="6" t="str">
        <f>IF($D1569="","",IF(AND($L1569="Crédit",OR(IFERROR(INDEX('Paramètres'!$O:$O,MATCH($D1569,'Paramètres'!$M:$M,0))&amp;"","")&lt;&gt;"",ISNUMBER(SEARCH("remboursement",IFERROR(INDEX('Paramètres'!$N:$N,MATCH($D1569,'Paramètres'!$M:$M,0))&amp;"",""))))),1,0))</f>
        <v/>
      </c>
      <c r="Q1569" s="6" t="str">
        <f>IF($K1569="","",IF(ISNUMBER(SEARCH("transfert-interne",IFERROR(INDEX('Paramètres'!$N:$N,MATCH($D1569,'Paramètres'!$M:$M,0))&amp;"",""))),0,IF($L1569="Débit",$K1569,IF($P1569=1,-$K1569,0))))</f>
        <v/>
      </c>
      <c r="R1569" s="6" t="str">
        <f>IF($K1569="","",IF($L1569="Crédit",$K1569,-$K1569))</f>
        <v/>
      </c>
      <c r="S1569" s="6" t="str">
        <f>IF($C1569="","",IFERROR(INDEX('Paramètres'!$H:$H,MATCH($C1569,'Paramètres'!$D:$D,0))&amp;"",""))</f>
        <v/>
      </c>
      <c r="T1569" s="6" t="str">
        <f>IF($K1569="","",IF($S1569="",0,IF(ISNUMBER(SEARCH("apport-exterieur",IFERROR(INDEX('Paramètres'!$N:$N,MATCH($D1569,'Paramètres'!$M:$M,0))&amp;"",""))),0,IF(OR(IFERROR(INDEX('Paramètres'!$I:$I,MATCH($C1569,'Paramètres'!$D:$D,0))&amp;"","")="Les deux",IFERROR(INDEX('Paramètres'!$I:$I,MATCH($C1569,'Paramètres'!$D:$D,0))&amp;"","")=IF($P1569=1,"Débit",$L1569)),-IF($P1569=1,-$K1569,$K1569),0))))</f>
        <v/>
      </c>
      <c r="U1569" s="6" t="str">
        <f>IF($K1569="","",IF(ISNUMBER(SEARCH("sortie-epargne",IFERROR(INDEX('Paramètres'!$N:$N,MATCH($D1569,'Paramètres'!$M:$M,0))&amp;"",""))),$K1569,0))</f>
        <v/>
      </c>
      <c r="V1569" s="6" t="str">
        <f>IF(AND($A1569&lt;&gt;"",$O1569=1,$L1569="Débit",N($Q1569)&gt;0,$A1569&gt;=Visualisation!$B$1,$A1569&lt;Visualisation!$D$1),MAX($V$1:V1568)+1,"")</f>
        <v/>
      </c>
    </row>
    <row r="1570" spans="1:22" x14ac:dyDescent="0.25">
      <c r="A1570" s="9"/>
      <c r="E1570" s="10"/>
      <c r="K1570" s="11" t="str">
        <f>IF($E1570="","",ROUND($E1570*IF(ISNA(MATCH($C1570,'Paramètres'!$D:$D,0)),1,IF(INDEX('Paramètres'!$J:$J,MATCH($C1570,'Paramètres'!$D:$D,0))="",1,INDEX('Paramètres'!$J:$J,MATCH($C1570,'Paramètres'!$D:$D,0)))),2))</f>
        <v/>
      </c>
      <c r="L1570" s="6" t="str">
        <f>IF($D1570="","",IF($F1570&lt;&gt;"",$F1570,IF(ISNA(MATCH($D1570,'Paramètres'!$M:$M,0)),"⚠ Type inconnu",IFERROR(INDEX('Paramètres'!$P:$P,MATCH($D1570,'Paramètres'!$M:$M,0))&amp;"",""))))</f>
        <v/>
      </c>
      <c r="M1570" s="6" t="str">
        <f>IF($D1570="","",IF(ISNA(MATCH($D1570,'Paramètres'!$M:$M,0)),"⚠ Type inconnu",IF($L1570="Crédit","",IFERROR(INDEX('Paramètres'!$O:$O,MATCH($D1570,'Paramètres'!$M:$M,0))&amp;"",""))))</f>
        <v/>
      </c>
      <c r="N1570" s="6" t="str">
        <f>IF($D1570="","",IFERROR(INDEX('Paramètres'!$Q:$Q,MATCH($D1570,'Paramètres'!$M:$M,0))&amp;"",""))</f>
        <v/>
      </c>
      <c r="O1570" s="6" t="str">
        <f>IF($A1570="","",IF(OR($J1570&lt;&gt;"x",$A1570&lt;=FinReleve),1,0))</f>
        <v/>
      </c>
      <c r="P1570" s="6" t="str">
        <f>IF($D1570="","",IF(AND($L1570="Crédit",OR(IFERROR(INDEX('Paramètres'!$O:$O,MATCH($D1570,'Paramètres'!$M:$M,0))&amp;"","")&lt;&gt;"",ISNUMBER(SEARCH("remboursement",IFERROR(INDEX('Paramètres'!$N:$N,MATCH($D1570,'Paramètres'!$M:$M,0))&amp;"",""))))),1,0))</f>
        <v/>
      </c>
      <c r="Q1570" s="6" t="str">
        <f>IF($K1570="","",IF(ISNUMBER(SEARCH("transfert-interne",IFERROR(INDEX('Paramètres'!$N:$N,MATCH($D1570,'Paramètres'!$M:$M,0))&amp;"",""))),0,IF($L1570="Débit",$K1570,IF($P1570=1,-$K1570,0))))</f>
        <v/>
      </c>
      <c r="R1570" s="6" t="str">
        <f>IF($K1570="","",IF($L1570="Crédit",$K1570,-$K1570))</f>
        <v/>
      </c>
      <c r="S1570" s="6" t="str">
        <f>IF($C1570="","",IFERROR(INDEX('Paramètres'!$H:$H,MATCH($C1570,'Paramètres'!$D:$D,0))&amp;"",""))</f>
        <v/>
      </c>
      <c r="T1570" s="6" t="str">
        <f>IF($K1570="","",IF($S1570="",0,IF(ISNUMBER(SEARCH("apport-exterieur",IFERROR(INDEX('Paramètres'!$N:$N,MATCH($D1570,'Paramètres'!$M:$M,0))&amp;"",""))),0,IF(OR(IFERROR(INDEX('Paramètres'!$I:$I,MATCH($C1570,'Paramètres'!$D:$D,0))&amp;"","")="Les deux",IFERROR(INDEX('Paramètres'!$I:$I,MATCH($C1570,'Paramètres'!$D:$D,0))&amp;"","")=IF($P1570=1,"Débit",$L1570)),-IF($P1570=1,-$K1570,$K1570),0))))</f>
        <v/>
      </c>
      <c r="U1570" s="6" t="str">
        <f>IF($K1570="","",IF(ISNUMBER(SEARCH("sortie-epargne",IFERROR(INDEX('Paramètres'!$N:$N,MATCH($D1570,'Paramètres'!$M:$M,0))&amp;"",""))),$K1570,0))</f>
        <v/>
      </c>
      <c r="V1570" s="6" t="str">
        <f>IF(AND($A1570&lt;&gt;"",$O1570=1,$L1570="Débit",N($Q1570)&gt;0,$A1570&gt;=Visualisation!$B$1,$A1570&lt;Visualisation!$D$1),MAX($V$1:V1569)+1,"")</f>
        <v/>
      </c>
    </row>
    <row r="1571" spans="1:22" x14ac:dyDescent="0.25">
      <c r="A1571" s="9"/>
      <c r="E1571" s="10"/>
      <c r="K1571" s="11" t="str">
        <f>IF($E1571="","",ROUND($E1571*IF(ISNA(MATCH($C1571,'Paramètres'!$D:$D,0)),1,IF(INDEX('Paramètres'!$J:$J,MATCH($C1571,'Paramètres'!$D:$D,0))="",1,INDEX('Paramètres'!$J:$J,MATCH($C1571,'Paramètres'!$D:$D,0)))),2))</f>
        <v/>
      </c>
      <c r="L1571" s="6" t="str">
        <f>IF($D1571="","",IF($F1571&lt;&gt;"",$F1571,IF(ISNA(MATCH($D1571,'Paramètres'!$M:$M,0)),"⚠ Type inconnu",IFERROR(INDEX('Paramètres'!$P:$P,MATCH($D1571,'Paramètres'!$M:$M,0))&amp;"",""))))</f>
        <v/>
      </c>
      <c r="M1571" s="6" t="str">
        <f>IF($D1571="","",IF(ISNA(MATCH($D1571,'Paramètres'!$M:$M,0)),"⚠ Type inconnu",IF($L1571="Crédit","",IFERROR(INDEX('Paramètres'!$O:$O,MATCH($D1571,'Paramètres'!$M:$M,0))&amp;"",""))))</f>
        <v/>
      </c>
      <c r="N1571" s="6" t="str">
        <f>IF($D1571="","",IFERROR(INDEX('Paramètres'!$Q:$Q,MATCH($D1571,'Paramètres'!$M:$M,0))&amp;"",""))</f>
        <v/>
      </c>
      <c r="O1571" s="6" t="str">
        <f>IF($A1571="","",IF(OR($J1571&lt;&gt;"x",$A1571&lt;=FinReleve),1,0))</f>
        <v/>
      </c>
      <c r="P1571" s="6" t="str">
        <f>IF($D1571="","",IF(AND($L1571="Crédit",OR(IFERROR(INDEX('Paramètres'!$O:$O,MATCH($D1571,'Paramètres'!$M:$M,0))&amp;"","")&lt;&gt;"",ISNUMBER(SEARCH("remboursement",IFERROR(INDEX('Paramètres'!$N:$N,MATCH($D1571,'Paramètres'!$M:$M,0))&amp;"",""))))),1,0))</f>
        <v/>
      </c>
      <c r="Q1571" s="6" t="str">
        <f>IF($K1571="","",IF(ISNUMBER(SEARCH("transfert-interne",IFERROR(INDEX('Paramètres'!$N:$N,MATCH($D1571,'Paramètres'!$M:$M,0))&amp;"",""))),0,IF($L1571="Débit",$K1571,IF($P1571=1,-$K1571,0))))</f>
        <v/>
      </c>
      <c r="R1571" s="6" t="str">
        <f>IF($K1571="","",IF($L1571="Crédit",$K1571,-$K1571))</f>
        <v/>
      </c>
      <c r="S1571" s="6" t="str">
        <f>IF($C1571="","",IFERROR(INDEX('Paramètres'!$H:$H,MATCH($C1571,'Paramètres'!$D:$D,0))&amp;"",""))</f>
        <v/>
      </c>
      <c r="T1571" s="6" t="str">
        <f>IF($K1571="","",IF($S1571="",0,IF(ISNUMBER(SEARCH("apport-exterieur",IFERROR(INDEX('Paramètres'!$N:$N,MATCH($D1571,'Paramètres'!$M:$M,0))&amp;"",""))),0,IF(OR(IFERROR(INDEX('Paramètres'!$I:$I,MATCH($C1571,'Paramètres'!$D:$D,0))&amp;"","")="Les deux",IFERROR(INDEX('Paramètres'!$I:$I,MATCH($C1571,'Paramètres'!$D:$D,0))&amp;"","")=IF($P1571=1,"Débit",$L1571)),-IF($P1571=1,-$K1571,$K1571),0))))</f>
        <v/>
      </c>
      <c r="U1571" s="6" t="str">
        <f>IF($K1571="","",IF(ISNUMBER(SEARCH("sortie-epargne",IFERROR(INDEX('Paramètres'!$N:$N,MATCH($D1571,'Paramètres'!$M:$M,0))&amp;"",""))),$K1571,0))</f>
        <v/>
      </c>
      <c r="V1571" s="6" t="str">
        <f>IF(AND($A1571&lt;&gt;"",$O1571=1,$L1571="Débit",N($Q1571)&gt;0,$A1571&gt;=Visualisation!$B$1,$A1571&lt;Visualisation!$D$1),MAX($V$1:V1570)+1,"")</f>
        <v/>
      </c>
    </row>
    <row r="1572" spans="1:22" x14ac:dyDescent="0.25">
      <c r="A1572" s="9"/>
      <c r="E1572" s="10"/>
      <c r="K1572" s="11" t="str">
        <f>IF($E1572="","",ROUND($E1572*IF(ISNA(MATCH($C1572,'Paramètres'!$D:$D,0)),1,IF(INDEX('Paramètres'!$J:$J,MATCH($C1572,'Paramètres'!$D:$D,0))="",1,INDEX('Paramètres'!$J:$J,MATCH($C1572,'Paramètres'!$D:$D,0)))),2))</f>
        <v/>
      </c>
      <c r="L1572" s="6" t="str">
        <f>IF($D1572="","",IF($F1572&lt;&gt;"",$F1572,IF(ISNA(MATCH($D1572,'Paramètres'!$M:$M,0)),"⚠ Type inconnu",IFERROR(INDEX('Paramètres'!$P:$P,MATCH($D1572,'Paramètres'!$M:$M,0))&amp;"",""))))</f>
        <v/>
      </c>
      <c r="M1572" s="6" t="str">
        <f>IF($D1572="","",IF(ISNA(MATCH($D1572,'Paramètres'!$M:$M,0)),"⚠ Type inconnu",IF($L1572="Crédit","",IFERROR(INDEX('Paramètres'!$O:$O,MATCH($D1572,'Paramètres'!$M:$M,0))&amp;"",""))))</f>
        <v/>
      </c>
      <c r="N1572" s="6" t="str">
        <f>IF($D1572="","",IFERROR(INDEX('Paramètres'!$Q:$Q,MATCH($D1572,'Paramètres'!$M:$M,0))&amp;"",""))</f>
        <v/>
      </c>
      <c r="O1572" s="6" t="str">
        <f>IF($A1572="","",IF(OR($J1572&lt;&gt;"x",$A1572&lt;=FinReleve),1,0))</f>
        <v/>
      </c>
      <c r="P1572" s="6" t="str">
        <f>IF($D1572="","",IF(AND($L1572="Crédit",OR(IFERROR(INDEX('Paramètres'!$O:$O,MATCH($D1572,'Paramètres'!$M:$M,0))&amp;"","")&lt;&gt;"",ISNUMBER(SEARCH("remboursement",IFERROR(INDEX('Paramètres'!$N:$N,MATCH($D1572,'Paramètres'!$M:$M,0))&amp;"",""))))),1,0))</f>
        <v/>
      </c>
      <c r="Q1572" s="6" t="str">
        <f>IF($K1572="","",IF(ISNUMBER(SEARCH("transfert-interne",IFERROR(INDEX('Paramètres'!$N:$N,MATCH($D1572,'Paramètres'!$M:$M,0))&amp;"",""))),0,IF($L1572="Débit",$K1572,IF($P1572=1,-$K1572,0))))</f>
        <v/>
      </c>
      <c r="R1572" s="6" t="str">
        <f>IF($K1572="","",IF($L1572="Crédit",$K1572,-$K1572))</f>
        <v/>
      </c>
      <c r="S1572" s="6" t="str">
        <f>IF($C1572="","",IFERROR(INDEX('Paramètres'!$H:$H,MATCH($C1572,'Paramètres'!$D:$D,0))&amp;"",""))</f>
        <v/>
      </c>
      <c r="T1572" s="6" t="str">
        <f>IF($K1572="","",IF($S1572="",0,IF(ISNUMBER(SEARCH("apport-exterieur",IFERROR(INDEX('Paramètres'!$N:$N,MATCH($D1572,'Paramètres'!$M:$M,0))&amp;"",""))),0,IF(OR(IFERROR(INDEX('Paramètres'!$I:$I,MATCH($C1572,'Paramètres'!$D:$D,0))&amp;"","")="Les deux",IFERROR(INDEX('Paramètres'!$I:$I,MATCH($C1572,'Paramètres'!$D:$D,0))&amp;"","")=IF($P1572=1,"Débit",$L1572)),-IF($P1572=1,-$K1572,$K1572),0))))</f>
        <v/>
      </c>
      <c r="U1572" s="6" t="str">
        <f>IF($K1572="","",IF(ISNUMBER(SEARCH("sortie-epargne",IFERROR(INDEX('Paramètres'!$N:$N,MATCH($D1572,'Paramètres'!$M:$M,0))&amp;"",""))),$K1572,0))</f>
        <v/>
      </c>
      <c r="V1572" s="6" t="str">
        <f>IF(AND($A1572&lt;&gt;"",$O1572=1,$L1572="Débit",N($Q1572)&gt;0,$A1572&gt;=Visualisation!$B$1,$A1572&lt;Visualisation!$D$1),MAX($V$1:V1571)+1,"")</f>
        <v/>
      </c>
    </row>
    <row r="1573" spans="1:22" x14ac:dyDescent="0.25">
      <c r="A1573" s="9"/>
      <c r="E1573" s="10"/>
      <c r="K1573" s="11" t="str">
        <f>IF($E1573="","",ROUND($E1573*IF(ISNA(MATCH($C1573,'Paramètres'!$D:$D,0)),1,IF(INDEX('Paramètres'!$J:$J,MATCH($C1573,'Paramètres'!$D:$D,0))="",1,INDEX('Paramètres'!$J:$J,MATCH($C1573,'Paramètres'!$D:$D,0)))),2))</f>
        <v/>
      </c>
      <c r="L1573" s="6" t="str">
        <f>IF($D1573="","",IF($F1573&lt;&gt;"",$F1573,IF(ISNA(MATCH($D1573,'Paramètres'!$M:$M,0)),"⚠ Type inconnu",IFERROR(INDEX('Paramètres'!$P:$P,MATCH($D1573,'Paramètres'!$M:$M,0))&amp;"",""))))</f>
        <v/>
      </c>
      <c r="M1573" s="6" t="str">
        <f>IF($D1573="","",IF(ISNA(MATCH($D1573,'Paramètres'!$M:$M,0)),"⚠ Type inconnu",IF($L1573="Crédit","",IFERROR(INDEX('Paramètres'!$O:$O,MATCH($D1573,'Paramètres'!$M:$M,0))&amp;"",""))))</f>
        <v/>
      </c>
      <c r="N1573" s="6" t="str">
        <f>IF($D1573="","",IFERROR(INDEX('Paramètres'!$Q:$Q,MATCH($D1573,'Paramètres'!$M:$M,0))&amp;"",""))</f>
        <v/>
      </c>
      <c r="O1573" s="6" t="str">
        <f>IF($A1573="","",IF(OR($J1573&lt;&gt;"x",$A1573&lt;=FinReleve),1,0))</f>
        <v/>
      </c>
      <c r="P1573" s="6" t="str">
        <f>IF($D1573="","",IF(AND($L1573="Crédit",OR(IFERROR(INDEX('Paramètres'!$O:$O,MATCH($D1573,'Paramètres'!$M:$M,0))&amp;"","")&lt;&gt;"",ISNUMBER(SEARCH("remboursement",IFERROR(INDEX('Paramètres'!$N:$N,MATCH($D1573,'Paramètres'!$M:$M,0))&amp;"",""))))),1,0))</f>
        <v/>
      </c>
      <c r="Q1573" s="6" t="str">
        <f>IF($K1573="","",IF(ISNUMBER(SEARCH("transfert-interne",IFERROR(INDEX('Paramètres'!$N:$N,MATCH($D1573,'Paramètres'!$M:$M,0))&amp;"",""))),0,IF($L1573="Débit",$K1573,IF($P1573=1,-$K1573,0))))</f>
        <v/>
      </c>
      <c r="R1573" s="6" t="str">
        <f>IF($K1573="","",IF($L1573="Crédit",$K1573,-$K1573))</f>
        <v/>
      </c>
      <c r="S1573" s="6" t="str">
        <f>IF($C1573="","",IFERROR(INDEX('Paramètres'!$H:$H,MATCH($C1573,'Paramètres'!$D:$D,0))&amp;"",""))</f>
        <v/>
      </c>
      <c r="T1573" s="6" t="str">
        <f>IF($K1573="","",IF($S1573="",0,IF(ISNUMBER(SEARCH("apport-exterieur",IFERROR(INDEX('Paramètres'!$N:$N,MATCH($D1573,'Paramètres'!$M:$M,0))&amp;"",""))),0,IF(OR(IFERROR(INDEX('Paramètres'!$I:$I,MATCH($C1573,'Paramètres'!$D:$D,0))&amp;"","")="Les deux",IFERROR(INDEX('Paramètres'!$I:$I,MATCH($C1573,'Paramètres'!$D:$D,0))&amp;"","")=IF($P1573=1,"Débit",$L1573)),-IF($P1573=1,-$K1573,$K1573),0))))</f>
        <v/>
      </c>
      <c r="U1573" s="6" t="str">
        <f>IF($K1573="","",IF(ISNUMBER(SEARCH("sortie-epargne",IFERROR(INDEX('Paramètres'!$N:$N,MATCH($D1573,'Paramètres'!$M:$M,0))&amp;"",""))),$K1573,0))</f>
        <v/>
      </c>
      <c r="V1573" s="6" t="str">
        <f>IF(AND($A1573&lt;&gt;"",$O1573=1,$L1573="Débit",N($Q1573)&gt;0,$A1573&gt;=Visualisation!$B$1,$A1573&lt;Visualisation!$D$1),MAX($V$1:V1572)+1,"")</f>
        <v/>
      </c>
    </row>
    <row r="1574" spans="1:22" x14ac:dyDescent="0.25">
      <c r="A1574" s="9"/>
      <c r="E1574" s="10"/>
      <c r="K1574" s="11" t="str">
        <f>IF($E1574="","",ROUND($E1574*IF(ISNA(MATCH($C1574,'Paramètres'!$D:$D,0)),1,IF(INDEX('Paramètres'!$J:$J,MATCH($C1574,'Paramètres'!$D:$D,0))="",1,INDEX('Paramètres'!$J:$J,MATCH($C1574,'Paramètres'!$D:$D,0)))),2))</f>
        <v/>
      </c>
      <c r="L1574" s="6" t="str">
        <f>IF($D1574="","",IF($F1574&lt;&gt;"",$F1574,IF(ISNA(MATCH($D1574,'Paramètres'!$M:$M,0)),"⚠ Type inconnu",IFERROR(INDEX('Paramètres'!$P:$P,MATCH($D1574,'Paramètres'!$M:$M,0))&amp;"",""))))</f>
        <v/>
      </c>
      <c r="M1574" s="6" t="str">
        <f>IF($D1574="","",IF(ISNA(MATCH($D1574,'Paramètres'!$M:$M,0)),"⚠ Type inconnu",IF($L1574="Crédit","",IFERROR(INDEX('Paramètres'!$O:$O,MATCH($D1574,'Paramètres'!$M:$M,0))&amp;"",""))))</f>
        <v/>
      </c>
      <c r="N1574" s="6" t="str">
        <f>IF($D1574="","",IFERROR(INDEX('Paramètres'!$Q:$Q,MATCH($D1574,'Paramètres'!$M:$M,0))&amp;"",""))</f>
        <v/>
      </c>
      <c r="O1574" s="6" t="str">
        <f>IF($A1574="","",IF(OR($J1574&lt;&gt;"x",$A1574&lt;=FinReleve),1,0))</f>
        <v/>
      </c>
      <c r="P1574" s="6" t="str">
        <f>IF($D1574="","",IF(AND($L1574="Crédit",OR(IFERROR(INDEX('Paramètres'!$O:$O,MATCH($D1574,'Paramètres'!$M:$M,0))&amp;"","")&lt;&gt;"",ISNUMBER(SEARCH("remboursement",IFERROR(INDEX('Paramètres'!$N:$N,MATCH($D1574,'Paramètres'!$M:$M,0))&amp;"",""))))),1,0))</f>
        <v/>
      </c>
      <c r="Q1574" s="6" t="str">
        <f>IF($K1574="","",IF(ISNUMBER(SEARCH("transfert-interne",IFERROR(INDEX('Paramètres'!$N:$N,MATCH($D1574,'Paramètres'!$M:$M,0))&amp;"",""))),0,IF($L1574="Débit",$K1574,IF($P1574=1,-$K1574,0))))</f>
        <v/>
      </c>
      <c r="R1574" s="6" t="str">
        <f>IF($K1574="","",IF($L1574="Crédit",$K1574,-$K1574))</f>
        <v/>
      </c>
      <c r="S1574" s="6" t="str">
        <f>IF($C1574="","",IFERROR(INDEX('Paramètres'!$H:$H,MATCH($C1574,'Paramètres'!$D:$D,0))&amp;"",""))</f>
        <v/>
      </c>
      <c r="T1574" s="6" t="str">
        <f>IF($K1574="","",IF($S1574="",0,IF(ISNUMBER(SEARCH("apport-exterieur",IFERROR(INDEX('Paramètres'!$N:$N,MATCH($D1574,'Paramètres'!$M:$M,0))&amp;"",""))),0,IF(OR(IFERROR(INDEX('Paramètres'!$I:$I,MATCH($C1574,'Paramètres'!$D:$D,0))&amp;"","")="Les deux",IFERROR(INDEX('Paramètres'!$I:$I,MATCH($C1574,'Paramètres'!$D:$D,0))&amp;"","")=IF($P1574=1,"Débit",$L1574)),-IF($P1574=1,-$K1574,$K1574),0))))</f>
        <v/>
      </c>
      <c r="U1574" s="6" t="str">
        <f>IF($K1574="","",IF(ISNUMBER(SEARCH("sortie-epargne",IFERROR(INDEX('Paramètres'!$N:$N,MATCH($D1574,'Paramètres'!$M:$M,0))&amp;"",""))),$K1574,0))</f>
        <v/>
      </c>
      <c r="V1574" s="6" t="str">
        <f>IF(AND($A1574&lt;&gt;"",$O1574=1,$L1574="Débit",N($Q1574)&gt;0,$A1574&gt;=Visualisation!$B$1,$A1574&lt;Visualisation!$D$1),MAX($V$1:V1573)+1,"")</f>
        <v/>
      </c>
    </row>
    <row r="1575" spans="1:22" x14ac:dyDescent="0.25">
      <c r="A1575" s="9"/>
      <c r="E1575" s="10"/>
      <c r="K1575" s="11" t="str">
        <f>IF($E1575="","",ROUND($E1575*IF(ISNA(MATCH($C1575,'Paramètres'!$D:$D,0)),1,IF(INDEX('Paramètres'!$J:$J,MATCH($C1575,'Paramètres'!$D:$D,0))="",1,INDEX('Paramètres'!$J:$J,MATCH($C1575,'Paramètres'!$D:$D,0)))),2))</f>
        <v/>
      </c>
      <c r="L1575" s="6" t="str">
        <f>IF($D1575="","",IF($F1575&lt;&gt;"",$F1575,IF(ISNA(MATCH($D1575,'Paramètres'!$M:$M,0)),"⚠ Type inconnu",IFERROR(INDEX('Paramètres'!$P:$P,MATCH($D1575,'Paramètres'!$M:$M,0))&amp;"",""))))</f>
        <v/>
      </c>
      <c r="M1575" s="6" t="str">
        <f>IF($D1575="","",IF(ISNA(MATCH($D1575,'Paramètres'!$M:$M,0)),"⚠ Type inconnu",IF($L1575="Crédit","",IFERROR(INDEX('Paramètres'!$O:$O,MATCH($D1575,'Paramètres'!$M:$M,0))&amp;"",""))))</f>
        <v/>
      </c>
      <c r="N1575" s="6" t="str">
        <f>IF($D1575="","",IFERROR(INDEX('Paramètres'!$Q:$Q,MATCH($D1575,'Paramètres'!$M:$M,0))&amp;"",""))</f>
        <v/>
      </c>
      <c r="O1575" s="6" t="str">
        <f>IF($A1575="","",IF(OR($J1575&lt;&gt;"x",$A1575&lt;=FinReleve),1,0))</f>
        <v/>
      </c>
      <c r="P1575" s="6" t="str">
        <f>IF($D1575="","",IF(AND($L1575="Crédit",OR(IFERROR(INDEX('Paramètres'!$O:$O,MATCH($D1575,'Paramètres'!$M:$M,0))&amp;"","")&lt;&gt;"",ISNUMBER(SEARCH("remboursement",IFERROR(INDEX('Paramètres'!$N:$N,MATCH($D1575,'Paramètres'!$M:$M,0))&amp;"",""))))),1,0))</f>
        <v/>
      </c>
      <c r="Q1575" s="6" t="str">
        <f>IF($K1575="","",IF(ISNUMBER(SEARCH("transfert-interne",IFERROR(INDEX('Paramètres'!$N:$N,MATCH($D1575,'Paramètres'!$M:$M,0))&amp;"",""))),0,IF($L1575="Débit",$K1575,IF($P1575=1,-$K1575,0))))</f>
        <v/>
      </c>
      <c r="R1575" s="6" t="str">
        <f>IF($K1575="","",IF($L1575="Crédit",$K1575,-$K1575))</f>
        <v/>
      </c>
      <c r="S1575" s="6" t="str">
        <f>IF($C1575="","",IFERROR(INDEX('Paramètres'!$H:$H,MATCH($C1575,'Paramètres'!$D:$D,0))&amp;"",""))</f>
        <v/>
      </c>
      <c r="T1575" s="6" t="str">
        <f>IF($K1575="","",IF($S1575="",0,IF(ISNUMBER(SEARCH("apport-exterieur",IFERROR(INDEX('Paramètres'!$N:$N,MATCH($D1575,'Paramètres'!$M:$M,0))&amp;"",""))),0,IF(OR(IFERROR(INDEX('Paramètres'!$I:$I,MATCH($C1575,'Paramètres'!$D:$D,0))&amp;"","")="Les deux",IFERROR(INDEX('Paramètres'!$I:$I,MATCH($C1575,'Paramètres'!$D:$D,0))&amp;"","")=IF($P1575=1,"Débit",$L1575)),-IF($P1575=1,-$K1575,$K1575),0))))</f>
        <v/>
      </c>
      <c r="U1575" s="6" t="str">
        <f>IF($K1575="","",IF(ISNUMBER(SEARCH("sortie-epargne",IFERROR(INDEX('Paramètres'!$N:$N,MATCH($D1575,'Paramètres'!$M:$M,0))&amp;"",""))),$K1575,0))</f>
        <v/>
      </c>
      <c r="V1575" s="6" t="str">
        <f>IF(AND($A1575&lt;&gt;"",$O1575=1,$L1575="Débit",N($Q1575)&gt;0,$A1575&gt;=Visualisation!$B$1,$A1575&lt;Visualisation!$D$1),MAX($V$1:V1574)+1,"")</f>
        <v/>
      </c>
    </row>
    <row r="1576" spans="1:22" x14ac:dyDescent="0.25">
      <c r="A1576" s="9"/>
      <c r="E1576" s="10"/>
      <c r="K1576" s="11" t="str">
        <f>IF($E1576="","",ROUND($E1576*IF(ISNA(MATCH($C1576,'Paramètres'!$D:$D,0)),1,IF(INDEX('Paramètres'!$J:$J,MATCH($C1576,'Paramètres'!$D:$D,0))="",1,INDEX('Paramètres'!$J:$J,MATCH($C1576,'Paramètres'!$D:$D,0)))),2))</f>
        <v/>
      </c>
      <c r="L1576" s="6" t="str">
        <f>IF($D1576="","",IF($F1576&lt;&gt;"",$F1576,IF(ISNA(MATCH($D1576,'Paramètres'!$M:$M,0)),"⚠ Type inconnu",IFERROR(INDEX('Paramètres'!$P:$P,MATCH($D1576,'Paramètres'!$M:$M,0))&amp;"",""))))</f>
        <v/>
      </c>
      <c r="M1576" s="6" t="str">
        <f>IF($D1576="","",IF(ISNA(MATCH($D1576,'Paramètres'!$M:$M,0)),"⚠ Type inconnu",IF($L1576="Crédit","",IFERROR(INDEX('Paramètres'!$O:$O,MATCH($D1576,'Paramètres'!$M:$M,0))&amp;"",""))))</f>
        <v/>
      </c>
      <c r="N1576" s="6" t="str">
        <f>IF($D1576="","",IFERROR(INDEX('Paramètres'!$Q:$Q,MATCH($D1576,'Paramètres'!$M:$M,0))&amp;"",""))</f>
        <v/>
      </c>
      <c r="O1576" s="6" t="str">
        <f>IF($A1576="","",IF(OR($J1576&lt;&gt;"x",$A1576&lt;=FinReleve),1,0))</f>
        <v/>
      </c>
      <c r="P1576" s="6" t="str">
        <f>IF($D1576="","",IF(AND($L1576="Crédit",OR(IFERROR(INDEX('Paramètres'!$O:$O,MATCH($D1576,'Paramètres'!$M:$M,0))&amp;"","")&lt;&gt;"",ISNUMBER(SEARCH("remboursement",IFERROR(INDEX('Paramètres'!$N:$N,MATCH($D1576,'Paramètres'!$M:$M,0))&amp;"",""))))),1,0))</f>
        <v/>
      </c>
      <c r="Q1576" s="6" t="str">
        <f>IF($K1576="","",IF(ISNUMBER(SEARCH("transfert-interne",IFERROR(INDEX('Paramètres'!$N:$N,MATCH($D1576,'Paramètres'!$M:$M,0))&amp;"",""))),0,IF($L1576="Débit",$K1576,IF($P1576=1,-$K1576,0))))</f>
        <v/>
      </c>
      <c r="R1576" s="6" t="str">
        <f>IF($K1576="","",IF($L1576="Crédit",$K1576,-$K1576))</f>
        <v/>
      </c>
      <c r="S1576" s="6" t="str">
        <f>IF($C1576="","",IFERROR(INDEX('Paramètres'!$H:$H,MATCH($C1576,'Paramètres'!$D:$D,0))&amp;"",""))</f>
        <v/>
      </c>
      <c r="T1576" s="6" t="str">
        <f>IF($K1576="","",IF($S1576="",0,IF(ISNUMBER(SEARCH("apport-exterieur",IFERROR(INDEX('Paramètres'!$N:$N,MATCH($D1576,'Paramètres'!$M:$M,0))&amp;"",""))),0,IF(OR(IFERROR(INDEX('Paramètres'!$I:$I,MATCH($C1576,'Paramètres'!$D:$D,0))&amp;"","")="Les deux",IFERROR(INDEX('Paramètres'!$I:$I,MATCH($C1576,'Paramètres'!$D:$D,0))&amp;"","")=IF($P1576=1,"Débit",$L1576)),-IF($P1576=1,-$K1576,$K1576),0))))</f>
        <v/>
      </c>
      <c r="U1576" s="6" t="str">
        <f>IF($K1576="","",IF(ISNUMBER(SEARCH("sortie-epargne",IFERROR(INDEX('Paramètres'!$N:$N,MATCH($D1576,'Paramètres'!$M:$M,0))&amp;"",""))),$K1576,0))</f>
        <v/>
      </c>
      <c r="V1576" s="6" t="str">
        <f>IF(AND($A1576&lt;&gt;"",$O1576=1,$L1576="Débit",N($Q1576)&gt;0,$A1576&gt;=Visualisation!$B$1,$A1576&lt;Visualisation!$D$1),MAX($V$1:V1575)+1,"")</f>
        <v/>
      </c>
    </row>
    <row r="1577" spans="1:22" x14ac:dyDescent="0.25">
      <c r="A1577" s="9"/>
      <c r="E1577" s="10"/>
      <c r="K1577" s="11" t="str">
        <f>IF($E1577="","",ROUND($E1577*IF(ISNA(MATCH($C1577,'Paramètres'!$D:$D,0)),1,IF(INDEX('Paramètres'!$J:$J,MATCH($C1577,'Paramètres'!$D:$D,0))="",1,INDEX('Paramètres'!$J:$J,MATCH($C1577,'Paramètres'!$D:$D,0)))),2))</f>
        <v/>
      </c>
      <c r="L1577" s="6" t="str">
        <f>IF($D1577="","",IF($F1577&lt;&gt;"",$F1577,IF(ISNA(MATCH($D1577,'Paramètres'!$M:$M,0)),"⚠ Type inconnu",IFERROR(INDEX('Paramètres'!$P:$P,MATCH($D1577,'Paramètres'!$M:$M,0))&amp;"",""))))</f>
        <v/>
      </c>
      <c r="M1577" s="6" t="str">
        <f>IF($D1577="","",IF(ISNA(MATCH($D1577,'Paramètres'!$M:$M,0)),"⚠ Type inconnu",IF($L1577="Crédit","",IFERROR(INDEX('Paramètres'!$O:$O,MATCH($D1577,'Paramètres'!$M:$M,0))&amp;"",""))))</f>
        <v/>
      </c>
      <c r="N1577" s="6" t="str">
        <f>IF($D1577="","",IFERROR(INDEX('Paramètres'!$Q:$Q,MATCH($D1577,'Paramètres'!$M:$M,0))&amp;"",""))</f>
        <v/>
      </c>
      <c r="O1577" s="6" t="str">
        <f>IF($A1577="","",IF(OR($J1577&lt;&gt;"x",$A1577&lt;=FinReleve),1,0))</f>
        <v/>
      </c>
      <c r="P1577" s="6" t="str">
        <f>IF($D1577="","",IF(AND($L1577="Crédit",OR(IFERROR(INDEX('Paramètres'!$O:$O,MATCH($D1577,'Paramètres'!$M:$M,0))&amp;"","")&lt;&gt;"",ISNUMBER(SEARCH("remboursement",IFERROR(INDEX('Paramètres'!$N:$N,MATCH($D1577,'Paramètres'!$M:$M,0))&amp;"",""))))),1,0))</f>
        <v/>
      </c>
      <c r="Q1577" s="6" t="str">
        <f>IF($K1577="","",IF(ISNUMBER(SEARCH("transfert-interne",IFERROR(INDEX('Paramètres'!$N:$N,MATCH($D1577,'Paramètres'!$M:$M,0))&amp;"",""))),0,IF($L1577="Débit",$K1577,IF($P1577=1,-$K1577,0))))</f>
        <v/>
      </c>
      <c r="R1577" s="6" t="str">
        <f>IF($K1577="","",IF($L1577="Crédit",$K1577,-$K1577))</f>
        <v/>
      </c>
      <c r="S1577" s="6" t="str">
        <f>IF($C1577="","",IFERROR(INDEX('Paramètres'!$H:$H,MATCH($C1577,'Paramètres'!$D:$D,0))&amp;"",""))</f>
        <v/>
      </c>
      <c r="T1577" s="6" t="str">
        <f>IF($K1577="","",IF($S1577="",0,IF(ISNUMBER(SEARCH("apport-exterieur",IFERROR(INDEX('Paramètres'!$N:$N,MATCH($D1577,'Paramètres'!$M:$M,0))&amp;"",""))),0,IF(OR(IFERROR(INDEX('Paramètres'!$I:$I,MATCH($C1577,'Paramètres'!$D:$D,0))&amp;"","")="Les deux",IFERROR(INDEX('Paramètres'!$I:$I,MATCH($C1577,'Paramètres'!$D:$D,0))&amp;"","")=IF($P1577=1,"Débit",$L1577)),-IF($P1577=1,-$K1577,$K1577),0))))</f>
        <v/>
      </c>
      <c r="U1577" s="6" t="str">
        <f>IF($K1577="","",IF(ISNUMBER(SEARCH("sortie-epargne",IFERROR(INDEX('Paramètres'!$N:$N,MATCH($D1577,'Paramètres'!$M:$M,0))&amp;"",""))),$K1577,0))</f>
        <v/>
      </c>
      <c r="V1577" s="6" t="str">
        <f>IF(AND($A1577&lt;&gt;"",$O1577=1,$L1577="Débit",N($Q1577)&gt;0,$A1577&gt;=Visualisation!$B$1,$A1577&lt;Visualisation!$D$1),MAX($V$1:V1576)+1,"")</f>
        <v/>
      </c>
    </row>
    <row r="1578" spans="1:22" x14ac:dyDescent="0.25">
      <c r="A1578" s="9"/>
      <c r="E1578" s="10"/>
      <c r="K1578" s="11" t="str">
        <f>IF($E1578="","",ROUND($E1578*IF(ISNA(MATCH($C1578,'Paramètres'!$D:$D,0)),1,IF(INDEX('Paramètres'!$J:$J,MATCH($C1578,'Paramètres'!$D:$D,0))="",1,INDEX('Paramètres'!$J:$J,MATCH($C1578,'Paramètres'!$D:$D,0)))),2))</f>
        <v/>
      </c>
      <c r="L1578" s="6" t="str">
        <f>IF($D1578="","",IF($F1578&lt;&gt;"",$F1578,IF(ISNA(MATCH($D1578,'Paramètres'!$M:$M,0)),"⚠ Type inconnu",IFERROR(INDEX('Paramètres'!$P:$P,MATCH($D1578,'Paramètres'!$M:$M,0))&amp;"",""))))</f>
        <v/>
      </c>
      <c r="M1578" s="6" t="str">
        <f>IF($D1578="","",IF(ISNA(MATCH($D1578,'Paramètres'!$M:$M,0)),"⚠ Type inconnu",IF($L1578="Crédit","",IFERROR(INDEX('Paramètres'!$O:$O,MATCH($D1578,'Paramètres'!$M:$M,0))&amp;"",""))))</f>
        <v/>
      </c>
      <c r="N1578" s="6" t="str">
        <f>IF($D1578="","",IFERROR(INDEX('Paramètres'!$Q:$Q,MATCH($D1578,'Paramètres'!$M:$M,0))&amp;"",""))</f>
        <v/>
      </c>
      <c r="O1578" s="6" t="str">
        <f>IF($A1578="","",IF(OR($J1578&lt;&gt;"x",$A1578&lt;=FinReleve),1,0))</f>
        <v/>
      </c>
      <c r="P1578" s="6" t="str">
        <f>IF($D1578="","",IF(AND($L1578="Crédit",OR(IFERROR(INDEX('Paramètres'!$O:$O,MATCH($D1578,'Paramètres'!$M:$M,0))&amp;"","")&lt;&gt;"",ISNUMBER(SEARCH("remboursement",IFERROR(INDEX('Paramètres'!$N:$N,MATCH($D1578,'Paramètres'!$M:$M,0))&amp;"",""))))),1,0))</f>
        <v/>
      </c>
      <c r="Q1578" s="6" t="str">
        <f>IF($K1578="","",IF(ISNUMBER(SEARCH("transfert-interne",IFERROR(INDEX('Paramètres'!$N:$N,MATCH($D1578,'Paramètres'!$M:$M,0))&amp;"",""))),0,IF($L1578="Débit",$K1578,IF($P1578=1,-$K1578,0))))</f>
        <v/>
      </c>
      <c r="R1578" s="6" t="str">
        <f>IF($K1578="","",IF($L1578="Crédit",$K1578,-$K1578))</f>
        <v/>
      </c>
      <c r="S1578" s="6" t="str">
        <f>IF($C1578="","",IFERROR(INDEX('Paramètres'!$H:$H,MATCH($C1578,'Paramètres'!$D:$D,0))&amp;"",""))</f>
        <v/>
      </c>
      <c r="T1578" s="6" t="str">
        <f>IF($K1578="","",IF($S1578="",0,IF(ISNUMBER(SEARCH("apport-exterieur",IFERROR(INDEX('Paramètres'!$N:$N,MATCH($D1578,'Paramètres'!$M:$M,0))&amp;"",""))),0,IF(OR(IFERROR(INDEX('Paramètres'!$I:$I,MATCH($C1578,'Paramètres'!$D:$D,0))&amp;"","")="Les deux",IFERROR(INDEX('Paramètres'!$I:$I,MATCH($C1578,'Paramètres'!$D:$D,0))&amp;"","")=IF($P1578=1,"Débit",$L1578)),-IF($P1578=1,-$K1578,$K1578),0))))</f>
        <v/>
      </c>
      <c r="U1578" s="6" t="str">
        <f>IF($K1578="","",IF(ISNUMBER(SEARCH("sortie-epargne",IFERROR(INDEX('Paramètres'!$N:$N,MATCH($D1578,'Paramètres'!$M:$M,0))&amp;"",""))),$K1578,0))</f>
        <v/>
      </c>
      <c r="V1578" s="6" t="str">
        <f>IF(AND($A1578&lt;&gt;"",$O1578=1,$L1578="Débit",N($Q1578)&gt;0,$A1578&gt;=Visualisation!$B$1,$A1578&lt;Visualisation!$D$1),MAX($V$1:V1577)+1,"")</f>
        <v/>
      </c>
    </row>
    <row r="1579" spans="1:22" x14ac:dyDescent="0.25">
      <c r="A1579" s="9"/>
      <c r="E1579" s="10"/>
      <c r="K1579" s="11" t="str">
        <f>IF($E1579="","",ROUND($E1579*IF(ISNA(MATCH($C1579,'Paramètres'!$D:$D,0)),1,IF(INDEX('Paramètres'!$J:$J,MATCH($C1579,'Paramètres'!$D:$D,0))="",1,INDEX('Paramètres'!$J:$J,MATCH($C1579,'Paramètres'!$D:$D,0)))),2))</f>
        <v/>
      </c>
      <c r="L1579" s="6" t="str">
        <f>IF($D1579="","",IF($F1579&lt;&gt;"",$F1579,IF(ISNA(MATCH($D1579,'Paramètres'!$M:$M,0)),"⚠ Type inconnu",IFERROR(INDEX('Paramètres'!$P:$P,MATCH($D1579,'Paramètres'!$M:$M,0))&amp;"",""))))</f>
        <v/>
      </c>
      <c r="M1579" s="6" t="str">
        <f>IF($D1579="","",IF(ISNA(MATCH($D1579,'Paramètres'!$M:$M,0)),"⚠ Type inconnu",IF($L1579="Crédit","",IFERROR(INDEX('Paramètres'!$O:$O,MATCH($D1579,'Paramètres'!$M:$M,0))&amp;"",""))))</f>
        <v/>
      </c>
      <c r="N1579" s="6" t="str">
        <f>IF($D1579="","",IFERROR(INDEX('Paramètres'!$Q:$Q,MATCH($D1579,'Paramètres'!$M:$M,0))&amp;"",""))</f>
        <v/>
      </c>
      <c r="O1579" s="6" t="str">
        <f>IF($A1579="","",IF(OR($J1579&lt;&gt;"x",$A1579&lt;=FinReleve),1,0))</f>
        <v/>
      </c>
      <c r="P1579" s="6" t="str">
        <f>IF($D1579="","",IF(AND($L1579="Crédit",OR(IFERROR(INDEX('Paramètres'!$O:$O,MATCH($D1579,'Paramètres'!$M:$M,0))&amp;"","")&lt;&gt;"",ISNUMBER(SEARCH("remboursement",IFERROR(INDEX('Paramètres'!$N:$N,MATCH($D1579,'Paramètres'!$M:$M,0))&amp;"",""))))),1,0))</f>
        <v/>
      </c>
      <c r="Q1579" s="6" t="str">
        <f>IF($K1579="","",IF(ISNUMBER(SEARCH("transfert-interne",IFERROR(INDEX('Paramètres'!$N:$N,MATCH($D1579,'Paramètres'!$M:$M,0))&amp;"",""))),0,IF($L1579="Débit",$K1579,IF($P1579=1,-$K1579,0))))</f>
        <v/>
      </c>
      <c r="R1579" s="6" t="str">
        <f>IF($K1579="","",IF($L1579="Crédit",$K1579,-$K1579))</f>
        <v/>
      </c>
      <c r="S1579" s="6" t="str">
        <f>IF($C1579="","",IFERROR(INDEX('Paramètres'!$H:$H,MATCH($C1579,'Paramètres'!$D:$D,0))&amp;"",""))</f>
        <v/>
      </c>
      <c r="T1579" s="6" t="str">
        <f>IF($K1579="","",IF($S1579="",0,IF(ISNUMBER(SEARCH("apport-exterieur",IFERROR(INDEX('Paramètres'!$N:$N,MATCH($D1579,'Paramètres'!$M:$M,0))&amp;"",""))),0,IF(OR(IFERROR(INDEX('Paramètres'!$I:$I,MATCH($C1579,'Paramètres'!$D:$D,0))&amp;"","")="Les deux",IFERROR(INDEX('Paramètres'!$I:$I,MATCH($C1579,'Paramètres'!$D:$D,0))&amp;"","")=IF($P1579=1,"Débit",$L1579)),-IF($P1579=1,-$K1579,$K1579),0))))</f>
        <v/>
      </c>
      <c r="U1579" s="6" t="str">
        <f>IF($K1579="","",IF(ISNUMBER(SEARCH("sortie-epargne",IFERROR(INDEX('Paramètres'!$N:$N,MATCH($D1579,'Paramètres'!$M:$M,0))&amp;"",""))),$K1579,0))</f>
        <v/>
      </c>
      <c r="V1579" s="6" t="str">
        <f>IF(AND($A1579&lt;&gt;"",$O1579=1,$L1579="Débit",N($Q1579)&gt;0,$A1579&gt;=Visualisation!$B$1,$A1579&lt;Visualisation!$D$1),MAX($V$1:V1578)+1,"")</f>
        <v/>
      </c>
    </row>
    <row r="1580" spans="1:22" x14ac:dyDescent="0.25">
      <c r="A1580" s="9"/>
      <c r="E1580" s="10"/>
      <c r="K1580" s="11" t="str">
        <f>IF($E1580="","",ROUND($E1580*IF(ISNA(MATCH($C1580,'Paramètres'!$D:$D,0)),1,IF(INDEX('Paramètres'!$J:$J,MATCH($C1580,'Paramètres'!$D:$D,0))="",1,INDEX('Paramètres'!$J:$J,MATCH($C1580,'Paramètres'!$D:$D,0)))),2))</f>
        <v/>
      </c>
      <c r="L1580" s="6" t="str">
        <f>IF($D1580="","",IF($F1580&lt;&gt;"",$F1580,IF(ISNA(MATCH($D1580,'Paramètres'!$M:$M,0)),"⚠ Type inconnu",IFERROR(INDEX('Paramètres'!$P:$P,MATCH($D1580,'Paramètres'!$M:$M,0))&amp;"",""))))</f>
        <v/>
      </c>
      <c r="M1580" s="6" t="str">
        <f>IF($D1580="","",IF(ISNA(MATCH($D1580,'Paramètres'!$M:$M,0)),"⚠ Type inconnu",IF($L1580="Crédit","",IFERROR(INDEX('Paramètres'!$O:$O,MATCH($D1580,'Paramètres'!$M:$M,0))&amp;"",""))))</f>
        <v/>
      </c>
      <c r="N1580" s="6" t="str">
        <f>IF($D1580="","",IFERROR(INDEX('Paramètres'!$Q:$Q,MATCH($D1580,'Paramètres'!$M:$M,0))&amp;"",""))</f>
        <v/>
      </c>
      <c r="O1580" s="6" t="str">
        <f>IF($A1580="","",IF(OR($J1580&lt;&gt;"x",$A1580&lt;=FinReleve),1,0))</f>
        <v/>
      </c>
      <c r="P1580" s="6" t="str">
        <f>IF($D1580="","",IF(AND($L1580="Crédit",OR(IFERROR(INDEX('Paramètres'!$O:$O,MATCH($D1580,'Paramètres'!$M:$M,0))&amp;"","")&lt;&gt;"",ISNUMBER(SEARCH("remboursement",IFERROR(INDEX('Paramètres'!$N:$N,MATCH($D1580,'Paramètres'!$M:$M,0))&amp;"",""))))),1,0))</f>
        <v/>
      </c>
      <c r="Q1580" s="6" t="str">
        <f>IF($K1580="","",IF(ISNUMBER(SEARCH("transfert-interne",IFERROR(INDEX('Paramètres'!$N:$N,MATCH($D1580,'Paramètres'!$M:$M,0))&amp;"",""))),0,IF($L1580="Débit",$K1580,IF($P1580=1,-$K1580,0))))</f>
        <v/>
      </c>
      <c r="R1580" s="6" t="str">
        <f>IF($K1580="","",IF($L1580="Crédit",$K1580,-$K1580))</f>
        <v/>
      </c>
      <c r="S1580" s="6" t="str">
        <f>IF($C1580="","",IFERROR(INDEX('Paramètres'!$H:$H,MATCH($C1580,'Paramètres'!$D:$D,0))&amp;"",""))</f>
        <v/>
      </c>
      <c r="T1580" s="6" t="str">
        <f>IF($K1580="","",IF($S1580="",0,IF(ISNUMBER(SEARCH("apport-exterieur",IFERROR(INDEX('Paramètres'!$N:$N,MATCH($D1580,'Paramètres'!$M:$M,0))&amp;"",""))),0,IF(OR(IFERROR(INDEX('Paramètres'!$I:$I,MATCH($C1580,'Paramètres'!$D:$D,0))&amp;"","")="Les deux",IFERROR(INDEX('Paramètres'!$I:$I,MATCH($C1580,'Paramètres'!$D:$D,0))&amp;"","")=IF($P1580=1,"Débit",$L1580)),-IF($P1580=1,-$K1580,$K1580),0))))</f>
        <v/>
      </c>
      <c r="U1580" s="6" t="str">
        <f>IF($K1580="","",IF(ISNUMBER(SEARCH("sortie-epargne",IFERROR(INDEX('Paramètres'!$N:$N,MATCH($D1580,'Paramètres'!$M:$M,0))&amp;"",""))),$K1580,0))</f>
        <v/>
      </c>
      <c r="V1580" s="6" t="str">
        <f>IF(AND($A1580&lt;&gt;"",$O1580=1,$L1580="Débit",N($Q1580)&gt;0,$A1580&gt;=Visualisation!$B$1,$A1580&lt;Visualisation!$D$1),MAX($V$1:V1579)+1,"")</f>
        <v/>
      </c>
    </row>
    <row r="1581" spans="1:22" x14ac:dyDescent="0.25">
      <c r="A1581" s="9"/>
      <c r="E1581" s="10"/>
      <c r="K1581" s="11" t="str">
        <f>IF($E1581="","",ROUND($E1581*IF(ISNA(MATCH($C1581,'Paramètres'!$D:$D,0)),1,IF(INDEX('Paramètres'!$J:$J,MATCH($C1581,'Paramètres'!$D:$D,0))="",1,INDEX('Paramètres'!$J:$J,MATCH($C1581,'Paramètres'!$D:$D,0)))),2))</f>
        <v/>
      </c>
      <c r="L1581" s="6" t="str">
        <f>IF($D1581="","",IF($F1581&lt;&gt;"",$F1581,IF(ISNA(MATCH($D1581,'Paramètres'!$M:$M,0)),"⚠ Type inconnu",IFERROR(INDEX('Paramètres'!$P:$P,MATCH($D1581,'Paramètres'!$M:$M,0))&amp;"",""))))</f>
        <v/>
      </c>
      <c r="M1581" s="6" t="str">
        <f>IF($D1581="","",IF(ISNA(MATCH($D1581,'Paramètres'!$M:$M,0)),"⚠ Type inconnu",IF($L1581="Crédit","",IFERROR(INDEX('Paramètres'!$O:$O,MATCH($D1581,'Paramètres'!$M:$M,0))&amp;"",""))))</f>
        <v/>
      </c>
      <c r="N1581" s="6" t="str">
        <f>IF($D1581="","",IFERROR(INDEX('Paramètres'!$Q:$Q,MATCH($D1581,'Paramètres'!$M:$M,0))&amp;"",""))</f>
        <v/>
      </c>
      <c r="O1581" s="6" t="str">
        <f>IF($A1581="","",IF(OR($J1581&lt;&gt;"x",$A1581&lt;=FinReleve),1,0))</f>
        <v/>
      </c>
      <c r="P1581" s="6" t="str">
        <f>IF($D1581="","",IF(AND($L1581="Crédit",OR(IFERROR(INDEX('Paramètres'!$O:$O,MATCH($D1581,'Paramètres'!$M:$M,0))&amp;"","")&lt;&gt;"",ISNUMBER(SEARCH("remboursement",IFERROR(INDEX('Paramètres'!$N:$N,MATCH($D1581,'Paramètres'!$M:$M,0))&amp;"",""))))),1,0))</f>
        <v/>
      </c>
      <c r="Q1581" s="6" t="str">
        <f>IF($K1581="","",IF(ISNUMBER(SEARCH("transfert-interne",IFERROR(INDEX('Paramètres'!$N:$N,MATCH($D1581,'Paramètres'!$M:$M,0))&amp;"",""))),0,IF($L1581="Débit",$K1581,IF($P1581=1,-$K1581,0))))</f>
        <v/>
      </c>
      <c r="R1581" s="6" t="str">
        <f>IF($K1581="","",IF($L1581="Crédit",$K1581,-$K1581))</f>
        <v/>
      </c>
      <c r="S1581" s="6" t="str">
        <f>IF($C1581="","",IFERROR(INDEX('Paramètres'!$H:$H,MATCH($C1581,'Paramètres'!$D:$D,0))&amp;"",""))</f>
        <v/>
      </c>
      <c r="T1581" s="6" t="str">
        <f>IF($K1581="","",IF($S1581="",0,IF(ISNUMBER(SEARCH("apport-exterieur",IFERROR(INDEX('Paramètres'!$N:$N,MATCH($D1581,'Paramètres'!$M:$M,0))&amp;"",""))),0,IF(OR(IFERROR(INDEX('Paramètres'!$I:$I,MATCH($C1581,'Paramètres'!$D:$D,0))&amp;"","")="Les deux",IFERROR(INDEX('Paramètres'!$I:$I,MATCH($C1581,'Paramètres'!$D:$D,0))&amp;"","")=IF($P1581=1,"Débit",$L1581)),-IF($P1581=1,-$K1581,$K1581),0))))</f>
        <v/>
      </c>
      <c r="U1581" s="6" t="str">
        <f>IF($K1581="","",IF(ISNUMBER(SEARCH("sortie-epargne",IFERROR(INDEX('Paramètres'!$N:$N,MATCH($D1581,'Paramètres'!$M:$M,0))&amp;"",""))),$K1581,0))</f>
        <v/>
      </c>
      <c r="V1581" s="6" t="str">
        <f>IF(AND($A1581&lt;&gt;"",$O1581=1,$L1581="Débit",N($Q1581)&gt;0,$A1581&gt;=Visualisation!$B$1,$A1581&lt;Visualisation!$D$1),MAX($V$1:V1580)+1,"")</f>
        <v/>
      </c>
    </row>
    <row r="1582" spans="1:22" x14ac:dyDescent="0.25">
      <c r="A1582" s="9"/>
      <c r="E1582" s="10"/>
      <c r="K1582" s="11" t="str">
        <f>IF($E1582="","",ROUND($E1582*IF(ISNA(MATCH($C1582,'Paramètres'!$D:$D,0)),1,IF(INDEX('Paramètres'!$J:$J,MATCH($C1582,'Paramètres'!$D:$D,0))="",1,INDEX('Paramètres'!$J:$J,MATCH($C1582,'Paramètres'!$D:$D,0)))),2))</f>
        <v/>
      </c>
      <c r="L1582" s="6" t="str">
        <f>IF($D1582="","",IF($F1582&lt;&gt;"",$F1582,IF(ISNA(MATCH($D1582,'Paramètres'!$M:$M,0)),"⚠ Type inconnu",IFERROR(INDEX('Paramètres'!$P:$P,MATCH($D1582,'Paramètres'!$M:$M,0))&amp;"",""))))</f>
        <v/>
      </c>
      <c r="M1582" s="6" t="str">
        <f>IF($D1582="","",IF(ISNA(MATCH($D1582,'Paramètres'!$M:$M,0)),"⚠ Type inconnu",IF($L1582="Crédit","",IFERROR(INDEX('Paramètres'!$O:$O,MATCH($D1582,'Paramètres'!$M:$M,0))&amp;"",""))))</f>
        <v/>
      </c>
      <c r="N1582" s="6" t="str">
        <f>IF($D1582="","",IFERROR(INDEX('Paramètres'!$Q:$Q,MATCH($D1582,'Paramètres'!$M:$M,0))&amp;"",""))</f>
        <v/>
      </c>
      <c r="O1582" s="6" t="str">
        <f>IF($A1582="","",IF(OR($J1582&lt;&gt;"x",$A1582&lt;=FinReleve),1,0))</f>
        <v/>
      </c>
      <c r="P1582" s="6" t="str">
        <f>IF($D1582="","",IF(AND($L1582="Crédit",OR(IFERROR(INDEX('Paramètres'!$O:$O,MATCH($D1582,'Paramètres'!$M:$M,0))&amp;"","")&lt;&gt;"",ISNUMBER(SEARCH("remboursement",IFERROR(INDEX('Paramètres'!$N:$N,MATCH($D1582,'Paramètres'!$M:$M,0))&amp;"",""))))),1,0))</f>
        <v/>
      </c>
      <c r="Q1582" s="6" t="str">
        <f>IF($K1582="","",IF(ISNUMBER(SEARCH("transfert-interne",IFERROR(INDEX('Paramètres'!$N:$N,MATCH($D1582,'Paramètres'!$M:$M,0))&amp;"",""))),0,IF($L1582="Débit",$K1582,IF($P1582=1,-$K1582,0))))</f>
        <v/>
      </c>
      <c r="R1582" s="6" t="str">
        <f>IF($K1582="","",IF($L1582="Crédit",$K1582,-$K1582))</f>
        <v/>
      </c>
      <c r="S1582" s="6" t="str">
        <f>IF($C1582="","",IFERROR(INDEX('Paramètres'!$H:$H,MATCH($C1582,'Paramètres'!$D:$D,0))&amp;"",""))</f>
        <v/>
      </c>
      <c r="T1582" s="6" t="str">
        <f>IF($K1582="","",IF($S1582="",0,IF(ISNUMBER(SEARCH("apport-exterieur",IFERROR(INDEX('Paramètres'!$N:$N,MATCH($D1582,'Paramètres'!$M:$M,0))&amp;"",""))),0,IF(OR(IFERROR(INDEX('Paramètres'!$I:$I,MATCH($C1582,'Paramètres'!$D:$D,0))&amp;"","")="Les deux",IFERROR(INDEX('Paramètres'!$I:$I,MATCH($C1582,'Paramètres'!$D:$D,0))&amp;"","")=IF($P1582=1,"Débit",$L1582)),-IF($P1582=1,-$K1582,$K1582),0))))</f>
        <v/>
      </c>
      <c r="U1582" s="6" t="str">
        <f>IF($K1582="","",IF(ISNUMBER(SEARCH("sortie-epargne",IFERROR(INDEX('Paramètres'!$N:$N,MATCH($D1582,'Paramètres'!$M:$M,0))&amp;"",""))),$K1582,0))</f>
        <v/>
      </c>
      <c r="V1582" s="6" t="str">
        <f>IF(AND($A1582&lt;&gt;"",$O1582=1,$L1582="Débit",N($Q1582)&gt;0,$A1582&gt;=Visualisation!$B$1,$A1582&lt;Visualisation!$D$1),MAX($V$1:V1581)+1,"")</f>
        <v/>
      </c>
    </row>
    <row r="1583" spans="1:22" x14ac:dyDescent="0.25">
      <c r="A1583" s="9"/>
      <c r="E1583" s="10"/>
      <c r="K1583" s="11" t="str">
        <f>IF($E1583="","",ROUND($E1583*IF(ISNA(MATCH($C1583,'Paramètres'!$D:$D,0)),1,IF(INDEX('Paramètres'!$J:$J,MATCH($C1583,'Paramètres'!$D:$D,0))="",1,INDEX('Paramètres'!$J:$J,MATCH($C1583,'Paramètres'!$D:$D,0)))),2))</f>
        <v/>
      </c>
      <c r="L1583" s="6" t="str">
        <f>IF($D1583="","",IF($F1583&lt;&gt;"",$F1583,IF(ISNA(MATCH($D1583,'Paramètres'!$M:$M,0)),"⚠ Type inconnu",IFERROR(INDEX('Paramètres'!$P:$P,MATCH($D1583,'Paramètres'!$M:$M,0))&amp;"",""))))</f>
        <v/>
      </c>
      <c r="M1583" s="6" t="str">
        <f>IF($D1583="","",IF(ISNA(MATCH($D1583,'Paramètres'!$M:$M,0)),"⚠ Type inconnu",IF($L1583="Crédit","",IFERROR(INDEX('Paramètres'!$O:$O,MATCH($D1583,'Paramètres'!$M:$M,0))&amp;"",""))))</f>
        <v/>
      </c>
      <c r="N1583" s="6" t="str">
        <f>IF($D1583="","",IFERROR(INDEX('Paramètres'!$Q:$Q,MATCH($D1583,'Paramètres'!$M:$M,0))&amp;"",""))</f>
        <v/>
      </c>
      <c r="O1583" s="6" t="str">
        <f>IF($A1583="","",IF(OR($J1583&lt;&gt;"x",$A1583&lt;=FinReleve),1,0))</f>
        <v/>
      </c>
      <c r="P1583" s="6" t="str">
        <f>IF($D1583="","",IF(AND($L1583="Crédit",OR(IFERROR(INDEX('Paramètres'!$O:$O,MATCH($D1583,'Paramètres'!$M:$M,0))&amp;"","")&lt;&gt;"",ISNUMBER(SEARCH("remboursement",IFERROR(INDEX('Paramètres'!$N:$N,MATCH($D1583,'Paramètres'!$M:$M,0))&amp;"",""))))),1,0))</f>
        <v/>
      </c>
      <c r="Q1583" s="6" t="str">
        <f>IF($K1583="","",IF(ISNUMBER(SEARCH("transfert-interne",IFERROR(INDEX('Paramètres'!$N:$N,MATCH($D1583,'Paramètres'!$M:$M,0))&amp;"",""))),0,IF($L1583="Débit",$K1583,IF($P1583=1,-$K1583,0))))</f>
        <v/>
      </c>
      <c r="R1583" s="6" t="str">
        <f>IF($K1583="","",IF($L1583="Crédit",$K1583,-$K1583))</f>
        <v/>
      </c>
      <c r="S1583" s="6" t="str">
        <f>IF($C1583="","",IFERROR(INDEX('Paramètres'!$H:$H,MATCH($C1583,'Paramètres'!$D:$D,0))&amp;"",""))</f>
        <v/>
      </c>
      <c r="T1583" s="6" t="str">
        <f>IF($K1583="","",IF($S1583="",0,IF(ISNUMBER(SEARCH("apport-exterieur",IFERROR(INDEX('Paramètres'!$N:$N,MATCH($D1583,'Paramètres'!$M:$M,0))&amp;"",""))),0,IF(OR(IFERROR(INDEX('Paramètres'!$I:$I,MATCH($C1583,'Paramètres'!$D:$D,0))&amp;"","")="Les deux",IFERROR(INDEX('Paramètres'!$I:$I,MATCH($C1583,'Paramètres'!$D:$D,0))&amp;"","")=IF($P1583=1,"Débit",$L1583)),-IF($P1583=1,-$K1583,$K1583),0))))</f>
        <v/>
      </c>
      <c r="U1583" s="6" t="str">
        <f>IF($K1583="","",IF(ISNUMBER(SEARCH("sortie-epargne",IFERROR(INDEX('Paramètres'!$N:$N,MATCH($D1583,'Paramètres'!$M:$M,0))&amp;"",""))),$K1583,0))</f>
        <v/>
      </c>
      <c r="V1583" s="6" t="str">
        <f>IF(AND($A1583&lt;&gt;"",$O1583=1,$L1583="Débit",N($Q1583)&gt;0,$A1583&gt;=Visualisation!$B$1,$A1583&lt;Visualisation!$D$1),MAX($V$1:V1582)+1,"")</f>
        <v/>
      </c>
    </row>
    <row r="1584" spans="1:22" x14ac:dyDescent="0.25">
      <c r="A1584" s="9"/>
      <c r="E1584" s="10"/>
      <c r="K1584" s="11" t="str">
        <f>IF($E1584="","",ROUND($E1584*IF(ISNA(MATCH($C1584,'Paramètres'!$D:$D,0)),1,IF(INDEX('Paramètres'!$J:$J,MATCH($C1584,'Paramètres'!$D:$D,0))="",1,INDEX('Paramètres'!$J:$J,MATCH($C1584,'Paramètres'!$D:$D,0)))),2))</f>
        <v/>
      </c>
      <c r="L1584" s="6" t="str">
        <f>IF($D1584="","",IF($F1584&lt;&gt;"",$F1584,IF(ISNA(MATCH($D1584,'Paramètres'!$M:$M,0)),"⚠ Type inconnu",IFERROR(INDEX('Paramètres'!$P:$P,MATCH($D1584,'Paramètres'!$M:$M,0))&amp;"",""))))</f>
        <v/>
      </c>
      <c r="M1584" s="6" t="str">
        <f>IF($D1584="","",IF(ISNA(MATCH($D1584,'Paramètres'!$M:$M,0)),"⚠ Type inconnu",IF($L1584="Crédit","",IFERROR(INDEX('Paramètres'!$O:$O,MATCH($D1584,'Paramètres'!$M:$M,0))&amp;"",""))))</f>
        <v/>
      </c>
      <c r="N1584" s="6" t="str">
        <f>IF($D1584="","",IFERROR(INDEX('Paramètres'!$Q:$Q,MATCH($D1584,'Paramètres'!$M:$M,0))&amp;"",""))</f>
        <v/>
      </c>
      <c r="O1584" s="6" t="str">
        <f>IF($A1584="","",IF(OR($J1584&lt;&gt;"x",$A1584&lt;=FinReleve),1,0))</f>
        <v/>
      </c>
      <c r="P1584" s="6" t="str">
        <f>IF($D1584="","",IF(AND($L1584="Crédit",OR(IFERROR(INDEX('Paramètres'!$O:$O,MATCH($D1584,'Paramètres'!$M:$M,0))&amp;"","")&lt;&gt;"",ISNUMBER(SEARCH("remboursement",IFERROR(INDEX('Paramètres'!$N:$N,MATCH($D1584,'Paramètres'!$M:$M,0))&amp;"",""))))),1,0))</f>
        <v/>
      </c>
      <c r="Q1584" s="6" t="str">
        <f>IF($K1584="","",IF(ISNUMBER(SEARCH("transfert-interne",IFERROR(INDEX('Paramètres'!$N:$N,MATCH($D1584,'Paramètres'!$M:$M,0))&amp;"",""))),0,IF($L1584="Débit",$K1584,IF($P1584=1,-$K1584,0))))</f>
        <v/>
      </c>
      <c r="R1584" s="6" t="str">
        <f>IF($K1584="","",IF($L1584="Crédit",$K1584,-$K1584))</f>
        <v/>
      </c>
      <c r="S1584" s="6" t="str">
        <f>IF($C1584="","",IFERROR(INDEX('Paramètres'!$H:$H,MATCH($C1584,'Paramètres'!$D:$D,0))&amp;"",""))</f>
        <v/>
      </c>
      <c r="T1584" s="6" t="str">
        <f>IF($K1584="","",IF($S1584="",0,IF(ISNUMBER(SEARCH("apport-exterieur",IFERROR(INDEX('Paramètres'!$N:$N,MATCH($D1584,'Paramètres'!$M:$M,0))&amp;"",""))),0,IF(OR(IFERROR(INDEX('Paramètres'!$I:$I,MATCH($C1584,'Paramètres'!$D:$D,0))&amp;"","")="Les deux",IFERROR(INDEX('Paramètres'!$I:$I,MATCH($C1584,'Paramètres'!$D:$D,0))&amp;"","")=IF($P1584=1,"Débit",$L1584)),-IF($P1584=1,-$K1584,$K1584),0))))</f>
        <v/>
      </c>
      <c r="U1584" s="6" t="str">
        <f>IF($K1584="","",IF(ISNUMBER(SEARCH("sortie-epargne",IFERROR(INDEX('Paramètres'!$N:$N,MATCH($D1584,'Paramètres'!$M:$M,0))&amp;"",""))),$K1584,0))</f>
        <v/>
      </c>
      <c r="V1584" s="6" t="str">
        <f>IF(AND($A1584&lt;&gt;"",$O1584=1,$L1584="Débit",N($Q1584)&gt;0,$A1584&gt;=Visualisation!$B$1,$A1584&lt;Visualisation!$D$1),MAX($V$1:V1583)+1,"")</f>
        <v/>
      </c>
    </row>
    <row r="1585" spans="1:22" x14ac:dyDescent="0.25">
      <c r="A1585" s="9"/>
      <c r="E1585" s="10"/>
      <c r="K1585" s="11" t="str">
        <f>IF($E1585="","",ROUND($E1585*IF(ISNA(MATCH($C1585,'Paramètres'!$D:$D,0)),1,IF(INDEX('Paramètres'!$J:$J,MATCH($C1585,'Paramètres'!$D:$D,0))="",1,INDEX('Paramètres'!$J:$J,MATCH($C1585,'Paramètres'!$D:$D,0)))),2))</f>
        <v/>
      </c>
      <c r="L1585" s="6" t="str">
        <f>IF($D1585="","",IF($F1585&lt;&gt;"",$F1585,IF(ISNA(MATCH($D1585,'Paramètres'!$M:$M,0)),"⚠ Type inconnu",IFERROR(INDEX('Paramètres'!$P:$P,MATCH($D1585,'Paramètres'!$M:$M,0))&amp;"",""))))</f>
        <v/>
      </c>
      <c r="M1585" s="6" t="str">
        <f>IF($D1585="","",IF(ISNA(MATCH($D1585,'Paramètres'!$M:$M,0)),"⚠ Type inconnu",IF($L1585="Crédit","",IFERROR(INDEX('Paramètres'!$O:$O,MATCH($D1585,'Paramètres'!$M:$M,0))&amp;"",""))))</f>
        <v/>
      </c>
      <c r="N1585" s="6" t="str">
        <f>IF($D1585="","",IFERROR(INDEX('Paramètres'!$Q:$Q,MATCH($D1585,'Paramètres'!$M:$M,0))&amp;"",""))</f>
        <v/>
      </c>
      <c r="O1585" s="6" t="str">
        <f>IF($A1585="","",IF(OR($J1585&lt;&gt;"x",$A1585&lt;=FinReleve),1,0))</f>
        <v/>
      </c>
      <c r="P1585" s="6" t="str">
        <f>IF($D1585="","",IF(AND($L1585="Crédit",OR(IFERROR(INDEX('Paramètres'!$O:$O,MATCH($D1585,'Paramètres'!$M:$M,0))&amp;"","")&lt;&gt;"",ISNUMBER(SEARCH("remboursement",IFERROR(INDEX('Paramètres'!$N:$N,MATCH($D1585,'Paramètres'!$M:$M,0))&amp;"",""))))),1,0))</f>
        <v/>
      </c>
      <c r="Q1585" s="6" t="str">
        <f>IF($K1585="","",IF(ISNUMBER(SEARCH("transfert-interne",IFERROR(INDEX('Paramètres'!$N:$N,MATCH($D1585,'Paramètres'!$M:$M,0))&amp;"",""))),0,IF($L1585="Débit",$K1585,IF($P1585=1,-$K1585,0))))</f>
        <v/>
      </c>
      <c r="R1585" s="6" t="str">
        <f>IF($K1585="","",IF($L1585="Crédit",$K1585,-$K1585))</f>
        <v/>
      </c>
      <c r="S1585" s="6" t="str">
        <f>IF($C1585="","",IFERROR(INDEX('Paramètres'!$H:$H,MATCH($C1585,'Paramètres'!$D:$D,0))&amp;"",""))</f>
        <v/>
      </c>
      <c r="T1585" s="6" t="str">
        <f>IF($K1585="","",IF($S1585="",0,IF(ISNUMBER(SEARCH("apport-exterieur",IFERROR(INDEX('Paramètres'!$N:$N,MATCH($D1585,'Paramètres'!$M:$M,0))&amp;"",""))),0,IF(OR(IFERROR(INDEX('Paramètres'!$I:$I,MATCH($C1585,'Paramètres'!$D:$D,0))&amp;"","")="Les deux",IFERROR(INDEX('Paramètres'!$I:$I,MATCH($C1585,'Paramètres'!$D:$D,0))&amp;"","")=IF($P1585=1,"Débit",$L1585)),-IF($P1585=1,-$K1585,$K1585),0))))</f>
        <v/>
      </c>
      <c r="U1585" s="6" t="str">
        <f>IF($K1585="","",IF(ISNUMBER(SEARCH("sortie-epargne",IFERROR(INDEX('Paramètres'!$N:$N,MATCH($D1585,'Paramètres'!$M:$M,0))&amp;"",""))),$K1585,0))</f>
        <v/>
      </c>
      <c r="V1585" s="6" t="str">
        <f>IF(AND($A1585&lt;&gt;"",$O1585=1,$L1585="Débit",N($Q1585)&gt;0,$A1585&gt;=Visualisation!$B$1,$A1585&lt;Visualisation!$D$1),MAX($V$1:V1584)+1,"")</f>
        <v/>
      </c>
    </row>
    <row r="1586" spans="1:22" x14ac:dyDescent="0.25">
      <c r="A1586" s="9"/>
      <c r="E1586" s="10"/>
      <c r="K1586" s="11" t="str">
        <f>IF($E1586="","",ROUND($E1586*IF(ISNA(MATCH($C1586,'Paramètres'!$D:$D,0)),1,IF(INDEX('Paramètres'!$J:$J,MATCH($C1586,'Paramètres'!$D:$D,0))="",1,INDEX('Paramètres'!$J:$J,MATCH($C1586,'Paramètres'!$D:$D,0)))),2))</f>
        <v/>
      </c>
      <c r="L1586" s="6" t="str">
        <f>IF($D1586="","",IF($F1586&lt;&gt;"",$F1586,IF(ISNA(MATCH($D1586,'Paramètres'!$M:$M,0)),"⚠ Type inconnu",IFERROR(INDEX('Paramètres'!$P:$P,MATCH($D1586,'Paramètres'!$M:$M,0))&amp;"",""))))</f>
        <v/>
      </c>
      <c r="M1586" s="6" t="str">
        <f>IF($D1586="","",IF(ISNA(MATCH($D1586,'Paramètres'!$M:$M,0)),"⚠ Type inconnu",IF($L1586="Crédit","",IFERROR(INDEX('Paramètres'!$O:$O,MATCH($D1586,'Paramètres'!$M:$M,0))&amp;"",""))))</f>
        <v/>
      </c>
      <c r="N1586" s="6" t="str">
        <f>IF($D1586="","",IFERROR(INDEX('Paramètres'!$Q:$Q,MATCH($D1586,'Paramètres'!$M:$M,0))&amp;"",""))</f>
        <v/>
      </c>
      <c r="O1586" s="6" t="str">
        <f>IF($A1586="","",IF(OR($J1586&lt;&gt;"x",$A1586&lt;=FinReleve),1,0))</f>
        <v/>
      </c>
      <c r="P1586" s="6" t="str">
        <f>IF($D1586="","",IF(AND($L1586="Crédit",OR(IFERROR(INDEX('Paramètres'!$O:$O,MATCH($D1586,'Paramètres'!$M:$M,0))&amp;"","")&lt;&gt;"",ISNUMBER(SEARCH("remboursement",IFERROR(INDEX('Paramètres'!$N:$N,MATCH($D1586,'Paramètres'!$M:$M,0))&amp;"",""))))),1,0))</f>
        <v/>
      </c>
      <c r="Q1586" s="6" t="str">
        <f>IF($K1586="","",IF(ISNUMBER(SEARCH("transfert-interne",IFERROR(INDEX('Paramètres'!$N:$N,MATCH($D1586,'Paramètres'!$M:$M,0))&amp;"",""))),0,IF($L1586="Débit",$K1586,IF($P1586=1,-$K1586,0))))</f>
        <v/>
      </c>
      <c r="R1586" s="6" t="str">
        <f>IF($K1586="","",IF($L1586="Crédit",$K1586,-$K1586))</f>
        <v/>
      </c>
      <c r="S1586" s="6" t="str">
        <f>IF($C1586="","",IFERROR(INDEX('Paramètres'!$H:$H,MATCH($C1586,'Paramètres'!$D:$D,0))&amp;"",""))</f>
        <v/>
      </c>
      <c r="T1586" s="6" t="str">
        <f>IF($K1586="","",IF($S1586="",0,IF(ISNUMBER(SEARCH("apport-exterieur",IFERROR(INDEX('Paramètres'!$N:$N,MATCH($D1586,'Paramètres'!$M:$M,0))&amp;"",""))),0,IF(OR(IFERROR(INDEX('Paramètres'!$I:$I,MATCH($C1586,'Paramètres'!$D:$D,0))&amp;"","")="Les deux",IFERROR(INDEX('Paramètres'!$I:$I,MATCH($C1586,'Paramètres'!$D:$D,0))&amp;"","")=IF($P1586=1,"Débit",$L1586)),-IF($P1586=1,-$K1586,$K1586),0))))</f>
        <v/>
      </c>
      <c r="U1586" s="6" t="str">
        <f>IF($K1586="","",IF(ISNUMBER(SEARCH("sortie-epargne",IFERROR(INDEX('Paramètres'!$N:$N,MATCH($D1586,'Paramètres'!$M:$M,0))&amp;"",""))),$K1586,0))</f>
        <v/>
      </c>
      <c r="V1586" s="6" t="str">
        <f>IF(AND($A1586&lt;&gt;"",$O1586=1,$L1586="Débit",N($Q1586)&gt;0,$A1586&gt;=Visualisation!$B$1,$A1586&lt;Visualisation!$D$1),MAX($V$1:V1585)+1,"")</f>
        <v/>
      </c>
    </row>
    <row r="1587" spans="1:22" x14ac:dyDescent="0.25">
      <c r="A1587" s="9"/>
      <c r="E1587" s="10"/>
      <c r="K1587" s="11" t="str">
        <f>IF($E1587="","",ROUND($E1587*IF(ISNA(MATCH($C1587,'Paramètres'!$D:$D,0)),1,IF(INDEX('Paramètres'!$J:$J,MATCH($C1587,'Paramètres'!$D:$D,0))="",1,INDEX('Paramètres'!$J:$J,MATCH($C1587,'Paramètres'!$D:$D,0)))),2))</f>
        <v/>
      </c>
      <c r="L1587" s="6" t="str">
        <f>IF($D1587="","",IF($F1587&lt;&gt;"",$F1587,IF(ISNA(MATCH($D1587,'Paramètres'!$M:$M,0)),"⚠ Type inconnu",IFERROR(INDEX('Paramètres'!$P:$P,MATCH($D1587,'Paramètres'!$M:$M,0))&amp;"",""))))</f>
        <v/>
      </c>
      <c r="M1587" s="6" t="str">
        <f>IF($D1587="","",IF(ISNA(MATCH($D1587,'Paramètres'!$M:$M,0)),"⚠ Type inconnu",IF($L1587="Crédit","",IFERROR(INDEX('Paramètres'!$O:$O,MATCH($D1587,'Paramètres'!$M:$M,0))&amp;"",""))))</f>
        <v/>
      </c>
      <c r="N1587" s="6" t="str">
        <f>IF($D1587="","",IFERROR(INDEX('Paramètres'!$Q:$Q,MATCH($D1587,'Paramètres'!$M:$M,0))&amp;"",""))</f>
        <v/>
      </c>
      <c r="O1587" s="6" t="str">
        <f>IF($A1587="","",IF(OR($J1587&lt;&gt;"x",$A1587&lt;=FinReleve),1,0))</f>
        <v/>
      </c>
      <c r="P1587" s="6" t="str">
        <f>IF($D1587="","",IF(AND($L1587="Crédit",OR(IFERROR(INDEX('Paramètres'!$O:$O,MATCH($D1587,'Paramètres'!$M:$M,0))&amp;"","")&lt;&gt;"",ISNUMBER(SEARCH("remboursement",IFERROR(INDEX('Paramètres'!$N:$N,MATCH($D1587,'Paramètres'!$M:$M,0))&amp;"",""))))),1,0))</f>
        <v/>
      </c>
      <c r="Q1587" s="6" t="str">
        <f>IF($K1587="","",IF(ISNUMBER(SEARCH("transfert-interne",IFERROR(INDEX('Paramètres'!$N:$N,MATCH($D1587,'Paramètres'!$M:$M,0))&amp;"",""))),0,IF($L1587="Débit",$K1587,IF($P1587=1,-$K1587,0))))</f>
        <v/>
      </c>
      <c r="R1587" s="6" t="str">
        <f>IF($K1587="","",IF($L1587="Crédit",$K1587,-$K1587))</f>
        <v/>
      </c>
      <c r="S1587" s="6" t="str">
        <f>IF($C1587="","",IFERROR(INDEX('Paramètres'!$H:$H,MATCH($C1587,'Paramètres'!$D:$D,0))&amp;"",""))</f>
        <v/>
      </c>
      <c r="T1587" s="6" t="str">
        <f>IF($K1587="","",IF($S1587="",0,IF(ISNUMBER(SEARCH("apport-exterieur",IFERROR(INDEX('Paramètres'!$N:$N,MATCH($D1587,'Paramètres'!$M:$M,0))&amp;"",""))),0,IF(OR(IFERROR(INDEX('Paramètres'!$I:$I,MATCH($C1587,'Paramètres'!$D:$D,0))&amp;"","")="Les deux",IFERROR(INDEX('Paramètres'!$I:$I,MATCH($C1587,'Paramètres'!$D:$D,0))&amp;"","")=IF($P1587=1,"Débit",$L1587)),-IF($P1587=1,-$K1587,$K1587),0))))</f>
        <v/>
      </c>
      <c r="U1587" s="6" t="str">
        <f>IF($K1587="","",IF(ISNUMBER(SEARCH("sortie-epargne",IFERROR(INDEX('Paramètres'!$N:$N,MATCH($D1587,'Paramètres'!$M:$M,0))&amp;"",""))),$K1587,0))</f>
        <v/>
      </c>
      <c r="V1587" s="6" t="str">
        <f>IF(AND($A1587&lt;&gt;"",$O1587=1,$L1587="Débit",N($Q1587)&gt;0,$A1587&gt;=Visualisation!$B$1,$A1587&lt;Visualisation!$D$1),MAX($V$1:V1586)+1,"")</f>
        <v/>
      </c>
    </row>
    <row r="1588" spans="1:22" x14ac:dyDescent="0.25">
      <c r="A1588" s="9"/>
      <c r="E1588" s="10"/>
      <c r="K1588" s="11" t="str">
        <f>IF($E1588="","",ROUND($E1588*IF(ISNA(MATCH($C1588,'Paramètres'!$D:$D,0)),1,IF(INDEX('Paramètres'!$J:$J,MATCH($C1588,'Paramètres'!$D:$D,0))="",1,INDEX('Paramètres'!$J:$J,MATCH($C1588,'Paramètres'!$D:$D,0)))),2))</f>
        <v/>
      </c>
      <c r="L1588" s="6" t="str">
        <f>IF($D1588="","",IF($F1588&lt;&gt;"",$F1588,IF(ISNA(MATCH($D1588,'Paramètres'!$M:$M,0)),"⚠ Type inconnu",IFERROR(INDEX('Paramètres'!$P:$P,MATCH($D1588,'Paramètres'!$M:$M,0))&amp;"",""))))</f>
        <v/>
      </c>
      <c r="M1588" s="6" t="str">
        <f>IF($D1588="","",IF(ISNA(MATCH($D1588,'Paramètres'!$M:$M,0)),"⚠ Type inconnu",IF($L1588="Crédit","",IFERROR(INDEX('Paramètres'!$O:$O,MATCH($D1588,'Paramètres'!$M:$M,0))&amp;"",""))))</f>
        <v/>
      </c>
      <c r="N1588" s="6" t="str">
        <f>IF($D1588="","",IFERROR(INDEX('Paramètres'!$Q:$Q,MATCH($D1588,'Paramètres'!$M:$M,0))&amp;"",""))</f>
        <v/>
      </c>
      <c r="O1588" s="6" t="str">
        <f>IF($A1588="","",IF(OR($J1588&lt;&gt;"x",$A1588&lt;=FinReleve),1,0))</f>
        <v/>
      </c>
      <c r="P1588" s="6" t="str">
        <f>IF($D1588="","",IF(AND($L1588="Crédit",OR(IFERROR(INDEX('Paramètres'!$O:$O,MATCH($D1588,'Paramètres'!$M:$M,0))&amp;"","")&lt;&gt;"",ISNUMBER(SEARCH("remboursement",IFERROR(INDEX('Paramètres'!$N:$N,MATCH($D1588,'Paramètres'!$M:$M,0))&amp;"",""))))),1,0))</f>
        <v/>
      </c>
      <c r="Q1588" s="6" t="str">
        <f>IF($K1588="","",IF(ISNUMBER(SEARCH("transfert-interne",IFERROR(INDEX('Paramètres'!$N:$N,MATCH($D1588,'Paramètres'!$M:$M,0))&amp;"",""))),0,IF($L1588="Débit",$K1588,IF($P1588=1,-$K1588,0))))</f>
        <v/>
      </c>
      <c r="R1588" s="6" t="str">
        <f>IF($K1588="","",IF($L1588="Crédit",$K1588,-$K1588))</f>
        <v/>
      </c>
      <c r="S1588" s="6" t="str">
        <f>IF($C1588="","",IFERROR(INDEX('Paramètres'!$H:$H,MATCH($C1588,'Paramètres'!$D:$D,0))&amp;"",""))</f>
        <v/>
      </c>
      <c r="T1588" s="6" t="str">
        <f>IF($K1588="","",IF($S1588="",0,IF(ISNUMBER(SEARCH("apport-exterieur",IFERROR(INDEX('Paramètres'!$N:$N,MATCH($D1588,'Paramètres'!$M:$M,0))&amp;"",""))),0,IF(OR(IFERROR(INDEX('Paramètres'!$I:$I,MATCH($C1588,'Paramètres'!$D:$D,0))&amp;"","")="Les deux",IFERROR(INDEX('Paramètres'!$I:$I,MATCH($C1588,'Paramètres'!$D:$D,0))&amp;"","")=IF($P1588=1,"Débit",$L1588)),-IF($P1588=1,-$K1588,$K1588),0))))</f>
        <v/>
      </c>
      <c r="U1588" s="6" t="str">
        <f>IF($K1588="","",IF(ISNUMBER(SEARCH("sortie-epargne",IFERROR(INDEX('Paramètres'!$N:$N,MATCH($D1588,'Paramètres'!$M:$M,0))&amp;"",""))),$K1588,0))</f>
        <v/>
      </c>
      <c r="V1588" s="6" t="str">
        <f>IF(AND($A1588&lt;&gt;"",$O1588=1,$L1588="Débit",N($Q1588)&gt;0,$A1588&gt;=Visualisation!$B$1,$A1588&lt;Visualisation!$D$1),MAX($V$1:V1587)+1,"")</f>
        <v/>
      </c>
    </row>
    <row r="1589" spans="1:22" x14ac:dyDescent="0.25">
      <c r="A1589" s="9"/>
      <c r="E1589" s="10"/>
      <c r="K1589" s="11" t="str">
        <f>IF($E1589="","",ROUND($E1589*IF(ISNA(MATCH($C1589,'Paramètres'!$D:$D,0)),1,IF(INDEX('Paramètres'!$J:$J,MATCH($C1589,'Paramètres'!$D:$D,0))="",1,INDEX('Paramètres'!$J:$J,MATCH($C1589,'Paramètres'!$D:$D,0)))),2))</f>
        <v/>
      </c>
      <c r="L1589" s="6" t="str">
        <f>IF($D1589="","",IF($F1589&lt;&gt;"",$F1589,IF(ISNA(MATCH($D1589,'Paramètres'!$M:$M,0)),"⚠ Type inconnu",IFERROR(INDEX('Paramètres'!$P:$P,MATCH($D1589,'Paramètres'!$M:$M,0))&amp;"",""))))</f>
        <v/>
      </c>
      <c r="M1589" s="6" t="str">
        <f>IF($D1589="","",IF(ISNA(MATCH($D1589,'Paramètres'!$M:$M,0)),"⚠ Type inconnu",IF($L1589="Crédit","",IFERROR(INDEX('Paramètres'!$O:$O,MATCH($D1589,'Paramètres'!$M:$M,0))&amp;"",""))))</f>
        <v/>
      </c>
      <c r="N1589" s="6" t="str">
        <f>IF($D1589="","",IFERROR(INDEX('Paramètres'!$Q:$Q,MATCH($D1589,'Paramètres'!$M:$M,0))&amp;"",""))</f>
        <v/>
      </c>
      <c r="O1589" s="6" t="str">
        <f>IF($A1589="","",IF(OR($J1589&lt;&gt;"x",$A1589&lt;=FinReleve),1,0))</f>
        <v/>
      </c>
      <c r="P1589" s="6" t="str">
        <f>IF($D1589="","",IF(AND($L1589="Crédit",OR(IFERROR(INDEX('Paramètres'!$O:$O,MATCH($D1589,'Paramètres'!$M:$M,0))&amp;"","")&lt;&gt;"",ISNUMBER(SEARCH("remboursement",IFERROR(INDEX('Paramètres'!$N:$N,MATCH($D1589,'Paramètres'!$M:$M,0))&amp;"",""))))),1,0))</f>
        <v/>
      </c>
      <c r="Q1589" s="6" t="str">
        <f>IF($K1589="","",IF(ISNUMBER(SEARCH("transfert-interne",IFERROR(INDEX('Paramètres'!$N:$N,MATCH($D1589,'Paramètres'!$M:$M,0))&amp;"",""))),0,IF($L1589="Débit",$K1589,IF($P1589=1,-$K1589,0))))</f>
        <v/>
      </c>
      <c r="R1589" s="6" t="str">
        <f>IF($K1589="","",IF($L1589="Crédit",$K1589,-$K1589))</f>
        <v/>
      </c>
      <c r="S1589" s="6" t="str">
        <f>IF($C1589="","",IFERROR(INDEX('Paramètres'!$H:$H,MATCH($C1589,'Paramètres'!$D:$D,0))&amp;"",""))</f>
        <v/>
      </c>
      <c r="T1589" s="6" t="str">
        <f>IF($K1589="","",IF($S1589="",0,IF(ISNUMBER(SEARCH("apport-exterieur",IFERROR(INDEX('Paramètres'!$N:$N,MATCH($D1589,'Paramètres'!$M:$M,0))&amp;"",""))),0,IF(OR(IFERROR(INDEX('Paramètres'!$I:$I,MATCH($C1589,'Paramètres'!$D:$D,0))&amp;"","")="Les deux",IFERROR(INDEX('Paramètres'!$I:$I,MATCH($C1589,'Paramètres'!$D:$D,0))&amp;"","")=IF($P1589=1,"Débit",$L1589)),-IF($P1589=1,-$K1589,$K1589),0))))</f>
        <v/>
      </c>
      <c r="U1589" s="6" t="str">
        <f>IF($K1589="","",IF(ISNUMBER(SEARCH("sortie-epargne",IFERROR(INDEX('Paramètres'!$N:$N,MATCH($D1589,'Paramètres'!$M:$M,0))&amp;"",""))),$K1589,0))</f>
        <v/>
      </c>
      <c r="V1589" s="6" t="str">
        <f>IF(AND($A1589&lt;&gt;"",$O1589=1,$L1589="Débit",N($Q1589)&gt;0,$A1589&gt;=Visualisation!$B$1,$A1589&lt;Visualisation!$D$1),MAX($V$1:V1588)+1,"")</f>
        <v/>
      </c>
    </row>
    <row r="1590" spans="1:22" x14ac:dyDescent="0.25">
      <c r="A1590" s="9"/>
      <c r="E1590" s="10"/>
      <c r="K1590" s="11" t="str">
        <f>IF($E1590="","",ROUND($E1590*IF(ISNA(MATCH($C1590,'Paramètres'!$D:$D,0)),1,IF(INDEX('Paramètres'!$J:$J,MATCH($C1590,'Paramètres'!$D:$D,0))="",1,INDEX('Paramètres'!$J:$J,MATCH($C1590,'Paramètres'!$D:$D,0)))),2))</f>
        <v/>
      </c>
      <c r="L1590" s="6" t="str">
        <f>IF($D1590="","",IF($F1590&lt;&gt;"",$F1590,IF(ISNA(MATCH($D1590,'Paramètres'!$M:$M,0)),"⚠ Type inconnu",IFERROR(INDEX('Paramètres'!$P:$P,MATCH($D1590,'Paramètres'!$M:$M,0))&amp;"",""))))</f>
        <v/>
      </c>
      <c r="M1590" s="6" t="str">
        <f>IF($D1590="","",IF(ISNA(MATCH($D1590,'Paramètres'!$M:$M,0)),"⚠ Type inconnu",IF($L1590="Crédit","",IFERROR(INDEX('Paramètres'!$O:$O,MATCH($D1590,'Paramètres'!$M:$M,0))&amp;"",""))))</f>
        <v/>
      </c>
      <c r="N1590" s="6" t="str">
        <f>IF($D1590="","",IFERROR(INDEX('Paramètres'!$Q:$Q,MATCH($D1590,'Paramètres'!$M:$M,0))&amp;"",""))</f>
        <v/>
      </c>
      <c r="O1590" s="6" t="str">
        <f>IF($A1590="","",IF(OR($J1590&lt;&gt;"x",$A1590&lt;=FinReleve),1,0))</f>
        <v/>
      </c>
      <c r="P1590" s="6" t="str">
        <f>IF($D1590="","",IF(AND($L1590="Crédit",OR(IFERROR(INDEX('Paramètres'!$O:$O,MATCH($D1590,'Paramètres'!$M:$M,0))&amp;"","")&lt;&gt;"",ISNUMBER(SEARCH("remboursement",IFERROR(INDEX('Paramètres'!$N:$N,MATCH($D1590,'Paramètres'!$M:$M,0))&amp;"",""))))),1,0))</f>
        <v/>
      </c>
      <c r="Q1590" s="6" t="str">
        <f>IF($K1590="","",IF(ISNUMBER(SEARCH("transfert-interne",IFERROR(INDEX('Paramètres'!$N:$N,MATCH($D1590,'Paramètres'!$M:$M,0))&amp;"",""))),0,IF($L1590="Débit",$K1590,IF($P1590=1,-$K1590,0))))</f>
        <v/>
      </c>
      <c r="R1590" s="6" t="str">
        <f>IF($K1590="","",IF($L1590="Crédit",$K1590,-$K1590))</f>
        <v/>
      </c>
      <c r="S1590" s="6" t="str">
        <f>IF($C1590="","",IFERROR(INDEX('Paramètres'!$H:$H,MATCH($C1590,'Paramètres'!$D:$D,0))&amp;"",""))</f>
        <v/>
      </c>
      <c r="T1590" s="6" t="str">
        <f>IF($K1590="","",IF($S1590="",0,IF(ISNUMBER(SEARCH("apport-exterieur",IFERROR(INDEX('Paramètres'!$N:$N,MATCH($D1590,'Paramètres'!$M:$M,0))&amp;"",""))),0,IF(OR(IFERROR(INDEX('Paramètres'!$I:$I,MATCH($C1590,'Paramètres'!$D:$D,0))&amp;"","")="Les deux",IFERROR(INDEX('Paramètres'!$I:$I,MATCH($C1590,'Paramètres'!$D:$D,0))&amp;"","")=IF($P1590=1,"Débit",$L1590)),-IF($P1590=1,-$K1590,$K1590),0))))</f>
        <v/>
      </c>
      <c r="U1590" s="6" t="str">
        <f>IF($K1590="","",IF(ISNUMBER(SEARCH("sortie-epargne",IFERROR(INDEX('Paramètres'!$N:$N,MATCH($D1590,'Paramètres'!$M:$M,0))&amp;"",""))),$K1590,0))</f>
        <v/>
      </c>
      <c r="V1590" s="6" t="str">
        <f>IF(AND($A1590&lt;&gt;"",$O1590=1,$L1590="Débit",N($Q1590)&gt;0,$A1590&gt;=Visualisation!$B$1,$A1590&lt;Visualisation!$D$1),MAX($V$1:V1589)+1,"")</f>
        <v/>
      </c>
    </row>
    <row r="1591" spans="1:22" x14ac:dyDescent="0.25">
      <c r="A1591" s="9"/>
      <c r="E1591" s="10"/>
      <c r="K1591" s="11" t="str">
        <f>IF($E1591="","",ROUND($E1591*IF(ISNA(MATCH($C1591,'Paramètres'!$D:$D,0)),1,IF(INDEX('Paramètres'!$J:$J,MATCH($C1591,'Paramètres'!$D:$D,0))="",1,INDEX('Paramètres'!$J:$J,MATCH($C1591,'Paramètres'!$D:$D,0)))),2))</f>
        <v/>
      </c>
      <c r="L1591" s="6" t="str">
        <f>IF($D1591="","",IF($F1591&lt;&gt;"",$F1591,IF(ISNA(MATCH($D1591,'Paramètres'!$M:$M,0)),"⚠ Type inconnu",IFERROR(INDEX('Paramètres'!$P:$P,MATCH($D1591,'Paramètres'!$M:$M,0))&amp;"",""))))</f>
        <v/>
      </c>
      <c r="M1591" s="6" t="str">
        <f>IF($D1591="","",IF(ISNA(MATCH($D1591,'Paramètres'!$M:$M,0)),"⚠ Type inconnu",IF($L1591="Crédit","",IFERROR(INDEX('Paramètres'!$O:$O,MATCH($D1591,'Paramètres'!$M:$M,0))&amp;"",""))))</f>
        <v/>
      </c>
      <c r="N1591" s="6" t="str">
        <f>IF($D1591="","",IFERROR(INDEX('Paramètres'!$Q:$Q,MATCH($D1591,'Paramètres'!$M:$M,0))&amp;"",""))</f>
        <v/>
      </c>
      <c r="O1591" s="6" t="str">
        <f>IF($A1591="","",IF(OR($J1591&lt;&gt;"x",$A1591&lt;=FinReleve),1,0))</f>
        <v/>
      </c>
      <c r="P1591" s="6" t="str">
        <f>IF($D1591="","",IF(AND($L1591="Crédit",OR(IFERROR(INDEX('Paramètres'!$O:$O,MATCH($D1591,'Paramètres'!$M:$M,0))&amp;"","")&lt;&gt;"",ISNUMBER(SEARCH("remboursement",IFERROR(INDEX('Paramètres'!$N:$N,MATCH($D1591,'Paramètres'!$M:$M,0))&amp;"",""))))),1,0))</f>
        <v/>
      </c>
      <c r="Q1591" s="6" t="str">
        <f>IF($K1591="","",IF(ISNUMBER(SEARCH("transfert-interne",IFERROR(INDEX('Paramètres'!$N:$N,MATCH($D1591,'Paramètres'!$M:$M,0))&amp;"",""))),0,IF($L1591="Débit",$K1591,IF($P1591=1,-$K1591,0))))</f>
        <v/>
      </c>
      <c r="R1591" s="6" t="str">
        <f>IF($K1591="","",IF($L1591="Crédit",$K1591,-$K1591))</f>
        <v/>
      </c>
      <c r="S1591" s="6" t="str">
        <f>IF($C1591="","",IFERROR(INDEX('Paramètres'!$H:$H,MATCH($C1591,'Paramètres'!$D:$D,0))&amp;"",""))</f>
        <v/>
      </c>
      <c r="T1591" s="6" t="str">
        <f>IF($K1591="","",IF($S1591="",0,IF(ISNUMBER(SEARCH("apport-exterieur",IFERROR(INDEX('Paramètres'!$N:$N,MATCH($D1591,'Paramètres'!$M:$M,0))&amp;"",""))),0,IF(OR(IFERROR(INDEX('Paramètres'!$I:$I,MATCH($C1591,'Paramètres'!$D:$D,0))&amp;"","")="Les deux",IFERROR(INDEX('Paramètres'!$I:$I,MATCH($C1591,'Paramètres'!$D:$D,0))&amp;"","")=IF($P1591=1,"Débit",$L1591)),-IF($P1591=1,-$K1591,$K1591),0))))</f>
        <v/>
      </c>
      <c r="U1591" s="6" t="str">
        <f>IF($K1591="","",IF(ISNUMBER(SEARCH("sortie-epargne",IFERROR(INDEX('Paramètres'!$N:$N,MATCH($D1591,'Paramètres'!$M:$M,0))&amp;"",""))),$K1591,0))</f>
        <v/>
      </c>
      <c r="V1591" s="6" t="str">
        <f>IF(AND($A1591&lt;&gt;"",$O1591=1,$L1591="Débit",N($Q1591)&gt;0,$A1591&gt;=Visualisation!$B$1,$A1591&lt;Visualisation!$D$1),MAX($V$1:V1590)+1,"")</f>
        <v/>
      </c>
    </row>
    <row r="1592" spans="1:22" x14ac:dyDescent="0.25">
      <c r="A1592" s="9"/>
      <c r="E1592" s="10"/>
      <c r="K1592" s="11" t="str">
        <f>IF($E1592="","",ROUND($E1592*IF(ISNA(MATCH($C1592,'Paramètres'!$D:$D,0)),1,IF(INDEX('Paramètres'!$J:$J,MATCH($C1592,'Paramètres'!$D:$D,0))="",1,INDEX('Paramètres'!$J:$J,MATCH($C1592,'Paramètres'!$D:$D,0)))),2))</f>
        <v/>
      </c>
      <c r="L1592" s="6" t="str">
        <f>IF($D1592="","",IF($F1592&lt;&gt;"",$F1592,IF(ISNA(MATCH($D1592,'Paramètres'!$M:$M,0)),"⚠ Type inconnu",IFERROR(INDEX('Paramètres'!$P:$P,MATCH($D1592,'Paramètres'!$M:$M,0))&amp;"",""))))</f>
        <v/>
      </c>
      <c r="M1592" s="6" t="str">
        <f>IF($D1592="","",IF(ISNA(MATCH($D1592,'Paramètres'!$M:$M,0)),"⚠ Type inconnu",IF($L1592="Crédit","",IFERROR(INDEX('Paramètres'!$O:$O,MATCH($D1592,'Paramètres'!$M:$M,0))&amp;"",""))))</f>
        <v/>
      </c>
      <c r="N1592" s="6" t="str">
        <f>IF($D1592="","",IFERROR(INDEX('Paramètres'!$Q:$Q,MATCH($D1592,'Paramètres'!$M:$M,0))&amp;"",""))</f>
        <v/>
      </c>
      <c r="O1592" s="6" t="str">
        <f>IF($A1592="","",IF(OR($J1592&lt;&gt;"x",$A1592&lt;=FinReleve),1,0))</f>
        <v/>
      </c>
      <c r="P1592" s="6" t="str">
        <f>IF($D1592="","",IF(AND($L1592="Crédit",OR(IFERROR(INDEX('Paramètres'!$O:$O,MATCH($D1592,'Paramètres'!$M:$M,0))&amp;"","")&lt;&gt;"",ISNUMBER(SEARCH("remboursement",IFERROR(INDEX('Paramètres'!$N:$N,MATCH($D1592,'Paramètres'!$M:$M,0))&amp;"",""))))),1,0))</f>
        <v/>
      </c>
      <c r="Q1592" s="6" t="str">
        <f>IF($K1592="","",IF(ISNUMBER(SEARCH("transfert-interne",IFERROR(INDEX('Paramètres'!$N:$N,MATCH($D1592,'Paramètres'!$M:$M,0))&amp;"",""))),0,IF($L1592="Débit",$K1592,IF($P1592=1,-$K1592,0))))</f>
        <v/>
      </c>
      <c r="R1592" s="6" t="str">
        <f>IF($K1592="","",IF($L1592="Crédit",$K1592,-$K1592))</f>
        <v/>
      </c>
      <c r="S1592" s="6" t="str">
        <f>IF($C1592="","",IFERROR(INDEX('Paramètres'!$H:$H,MATCH($C1592,'Paramètres'!$D:$D,0))&amp;"",""))</f>
        <v/>
      </c>
      <c r="T1592" s="6" t="str">
        <f>IF($K1592="","",IF($S1592="",0,IF(ISNUMBER(SEARCH("apport-exterieur",IFERROR(INDEX('Paramètres'!$N:$N,MATCH($D1592,'Paramètres'!$M:$M,0))&amp;"",""))),0,IF(OR(IFERROR(INDEX('Paramètres'!$I:$I,MATCH($C1592,'Paramètres'!$D:$D,0))&amp;"","")="Les deux",IFERROR(INDEX('Paramètres'!$I:$I,MATCH($C1592,'Paramètres'!$D:$D,0))&amp;"","")=IF($P1592=1,"Débit",$L1592)),-IF($P1592=1,-$K1592,$K1592),0))))</f>
        <v/>
      </c>
      <c r="U1592" s="6" t="str">
        <f>IF($K1592="","",IF(ISNUMBER(SEARCH("sortie-epargne",IFERROR(INDEX('Paramètres'!$N:$N,MATCH($D1592,'Paramètres'!$M:$M,0))&amp;"",""))),$K1592,0))</f>
        <v/>
      </c>
      <c r="V1592" s="6" t="str">
        <f>IF(AND($A1592&lt;&gt;"",$O1592=1,$L1592="Débit",N($Q1592)&gt;0,$A1592&gt;=Visualisation!$B$1,$A1592&lt;Visualisation!$D$1),MAX($V$1:V1591)+1,"")</f>
        <v/>
      </c>
    </row>
    <row r="1593" spans="1:22" x14ac:dyDescent="0.25">
      <c r="A1593" s="9"/>
      <c r="E1593" s="10"/>
      <c r="K1593" s="11" t="str">
        <f>IF($E1593="","",ROUND($E1593*IF(ISNA(MATCH($C1593,'Paramètres'!$D:$D,0)),1,IF(INDEX('Paramètres'!$J:$J,MATCH($C1593,'Paramètres'!$D:$D,0))="",1,INDEX('Paramètres'!$J:$J,MATCH($C1593,'Paramètres'!$D:$D,0)))),2))</f>
        <v/>
      </c>
      <c r="L1593" s="6" t="str">
        <f>IF($D1593="","",IF($F1593&lt;&gt;"",$F1593,IF(ISNA(MATCH($D1593,'Paramètres'!$M:$M,0)),"⚠ Type inconnu",IFERROR(INDEX('Paramètres'!$P:$P,MATCH($D1593,'Paramètres'!$M:$M,0))&amp;"",""))))</f>
        <v/>
      </c>
      <c r="M1593" s="6" t="str">
        <f>IF($D1593="","",IF(ISNA(MATCH($D1593,'Paramètres'!$M:$M,0)),"⚠ Type inconnu",IF($L1593="Crédit","",IFERROR(INDEX('Paramètres'!$O:$O,MATCH($D1593,'Paramètres'!$M:$M,0))&amp;"",""))))</f>
        <v/>
      </c>
      <c r="N1593" s="6" t="str">
        <f>IF($D1593="","",IFERROR(INDEX('Paramètres'!$Q:$Q,MATCH($D1593,'Paramètres'!$M:$M,0))&amp;"",""))</f>
        <v/>
      </c>
      <c r="O1593" s="6" t="str">
        <f>IF($A1593="","",IF(OR($J1593&lt;&gt;"x",$A1593&lt;=FinReleve),1,0))</f>
        <v/>
      </c>
      <c r="P1593" s="6" t="str">
        <f>IF($D1593="","",IF(AND($L1593="Crédit",OR(IFERROR(INDEX('Paramètres'!$O:$O,MATCH($D1593,'Paramètres'!$M:$M,0))&amp;"","")&lt;&gt;"",ISNUMBER(SEARCH("remboursement",IFERROR(INDEX('Paramètres'!$N:$N,MATCH($D1593,'Paramètres'!$M:$M,0))&amp;"",""))))),1,0))</f>
        <v/>
      </c>
      <c r="Q1593" s="6" t="str">
        <f>IF($K1593="","",IF(ISNUMBER(SEARCH("transfert-interne",IFERROR(INDEX('Paramètres'!$N:$N,MATCH($D1593,'Paramètres'!$M:$M,0))&amp;"",""))),0,IF($L1593="Débit",$K1593,IF($P1593=1,-$K1593,0))))</f>
        <v/>
      </c>
      <c r="R1593" s="6" t="str">
        <f>IF($K1593="","",IF($L1593="Crédit",$K1593,-$K1593))</f>
        <v/>
      </c>
      <c r="S1593" s="6" t="str">
        <f>IF($C1593="","",IFERROR(INDEX('Paramètres'!$H:$H,MATCH($C1593,'Paramètres'!$D:$D,0))&amp;"",""))</f>
        <v/>
      </c>
      <c r="T1593" s="6" t="str">
        <f>IF($K1593="","",IF($S1593="",0,IF(ISNUMBER(SEARCH("apport-exterieur",IFERROR(INDEX('Paramètres'!$N:$N,MATCH($D1593,'Paramètres'!$M:$M,0))&amp;"",""))),0,IF(OR(IFERROR(INDEX('Paramètres'!$I:$I,MATCH($C1593,'Paramètres'!$D:$D,0))&amp;"","")="Les deux",IFERROR(INDEX('Paramètres'!$I:$I,MATCH($C1593,'Paramètres'!$D:$D,0))&amp;"","")=IF($P1593=1,"Débit",$L1593)),-IF($P1593=1,-$K1593,$K1593),0))))</f>
        <v/>
      </c>
      <c r="U1593" s="6" t="str">
        <f>IF($K1593="","",IF(ISNUMBER(SEARCH("sortie-epargne",IFERROR(INDEX('Paramètres'!$N:$N,MATCH($D1593,'Paramètres'!$M:$M,0))&amp;"",""))),$K1593,0))</f>
        <v/>
      </c>
      <c r="V1593" s="6" t="str">
        <f>IF(AND($A1593&lt;&gt;"",$O1593=1,$L1593="Débit",N($Q1593)&gt;0,$A1593&gt;=Visualisation!$B$1,$A1593&lt;Visualisation!$D$1),MAX($V$1:V1592)+1,"")</f>
        <v/>
      </c>
    </row>
    <row r="1594" spans="1:22" x14ac:dyDescent="0.25">
      <c r="A1594" s="9"/>
      <c r="E1594" s="10"/>
      <c r="K1594" s="11" t="str">
        <f>IF($E1594="","",ROUND($E1594*IF(ISNA(MATCH($C1594,'Paramètres'!$D:$D,0)),1,IF(INDEX('Paramètres'!$J:$J,MATCH($C1594,'Paramètres'!$D:$D,0))="",1,INDEX('Paramètres'!$J:$J,MATCH($C1594,'Paramètres'!$D:$D,0)))),2))</f>
        <v/>
      </c>
      <c r="L1594" s="6" t="str">
        <f>IF($D1594="","",IF($F1594&lt;&gt;"",$F1594,IF(ISNA(MATCH($D1594,'Paramètres'!$M:$M,0)),"⚠ Type inconnu",IFERROR(INDEX('Paramètres'!$P:$P,MATCH($D1594,'Paramètres'!$M:$M,0))&amp;"",""))))</f>
        <v/>
      </c>
      <c r="M1594" s="6" t="str">
        <f>IF($D1594="","",IF(ISNA(MATCH($D1594,'Paramètres'!$M:$M,0)),"⚠ Type inconnu",IF($L1594="Crédit","",IFERROR(INDEX('Paramètres'!$O:$O,MATCH($D1594,'Paramètres'!$M:$M,0))&amp;"",""))))</f>
        <v/>
      </c>
      <c r="N1594" s="6" t="str">
        <f>IF($D1594="","",IFERROR(INDEX('Paramètres'!$Q:$Q,MATCH($D1594,'Paramètres'!$M:$M,0))&amp;"",""))</f>
        <v/>
      </c>
      <c r="O1594" s="6" t="str">
        <f>IF($A1594="","",IF(OR($J1594&lt;&gt;"x",$A1594&lt;=FinReleve),1,0))</f>
        <v/>
      </c>
      <c r="P1594" s="6" t="str">
        <f>IF($D1594="","",IF(AND($L1594="Crédit",OR(IFERROR(INDEX('Paramètres'!$O:$O,MATCH($D1594,'Paramètres'!$M:$M,0))&amp;"","")&lt;&gt;"",ISNUMBER(SEARCH("remboursement",IFERROR(INDEX('Paramètres'!$N:$N,MATCH($D1594,'Paramètres'!$M:$M,0))&amp;"",""))))),1,0))</f>
        <v/>
      </c>
      <c r="Q1594" s="6" t="str">
        <f>IF($K1594="","",IF(ISNUMBER(SEARCH("transfert-interne",IFERROR(INDEX('Paramètres'!$N:$N,MATCH($D1594,'Paramètres'!$M:$M,0))&amp;"",""))),0,IF($L1594="Débit",$K1594,IF($P1594=1,-$K1594,0))))</f>
        <v/>
      </c>
      <c r="R1594" s="6" t="str">
        <f>IF($K1594="","",IF($L1594="Crédit",$K1594,-$K1594))</f>
        <v/>
      </c>
      <c r="S1594" s="6" t="str">
        <f>IF($C1594="","",IFERROR(INDEX('Paramètres'!$H:$H,MATCH($C1594,'Paramètres'!$D:$D,0))&amp;"",""))</f>
        <v/>
      </c>
      <c r="T1594" s="6" t="str">
        <f>IF($K1594="","",IF($S1594="",0,IF(ISNUMBER(SEARCH("apport-exterieur",IFERROR(INDEX('Paramètres'!$N:$N,MATCH($D1594,'Paramètres'!$M:$M,0))&amp;"",""))),0,IF(OR(IFERROR(INDEX('Paramètres'!$I:$I,MATCH($C1594,'Paramètres'!$D:$D,0))&amp;"","")="Les deux",IFERROR(INDEX('Paramètres'!$I:$I,MATCH($C1594,'Paramètres'!$D:$D,0))&amp;"","")=IF($P1594=1,"Débit",$L1594)),-IF($P1594=1,-$K1594,$K1594),0))))</f>
        <v/>
      </c>
      <c r="U1594" s="6" t="str">
        <f>IF($K1594="","",IF(ISNUMBER(SEARCH("sortie-epargne",IFERROR(INDEX('Paramètres'!$N:$N,MATCH($D1594,'Paramètres'!$M:$M,0))&amp;"",""))),$K1594,0))</f>
        <v/>
      </c>
      <c r="V1594" s="6" t="str">
        <f>IF(AND($A1594&lt;&gt;"",$O1594=1,$L1594="Débit",N($Q1594)&gt;0,$A1594&gt;=Visualisation!$B$1,$A1594&lt;Visualisation!$D$1),MAX($V$1:V1593)+1,"")</f>
        <v/>
      </c>
    </row>
    <row r="1595" spans="1:22" x14ac:dyDescent="0.25">
      <c r="A1595" s="9"/>
      <c r="E1595" s="10"/>
      <c r="K1595" s="11" t="str">
        <f>IF($E1595="","",ROUND($E1595*IF(ISNA(MATCH($C1595,'Paramètres'!$D:$D,0)),1,IF(INDEX('Paramètres'!$J:$J,MATCH($C1595,'Paramètres'!$D:$D,0))="",1,INDEX('Paramètres'!$J:$J,MATCH($C1595,'Paramètres'!$D:$D,0)))),2))</f>
        <v/>
      </c>
      <c r="L1595" s="6" t="str">
        <f>IF($D1595="","",IF($F1595&lt;&gt;"",$F1595,IF(ISNA(MATCH($D1595,'Paramètres'!$M:$M,0)),"⚠ Type inconnu",IFERROR(INDEX('Paramètres'!$P:$P,MATCH($D1595,'Paramètres'!$M:$M,0))&amp;"",""))))</f>
        <v/>
      </c>
      <c r="M1595" s="6" t="str">
        <f>IF($D1595="","",IF(ISNA(MATCH($D1595,'Paramètres'!$M:$M,0)),"⚠ Type inconnu",IF($L1595="Crédit","",IFERROR(INDEX('Paramètres'!$O:$O,MATCH($D1595,'Paramètres'!$M:$M,0))&amp;"",""))))</f>
        <v/>
      </c>
      <c r="N1595" s="6" t="str">
        <f>IF($D1595="","",IFERROR(INDEX('Paramètres'!$Q:$Q,MATCH($D1595,'Paramètres'!$M:$M,0))&amp;"",""))</f>
        <v/>
      </c>
      <c r="O1595" s="6" t="str">
        <f>IF($A1595="","",IF(OR($J1595&lt;&gt;"x",$A1595&lt;=FinReleve),1,0))</f>
        <v/>
      </c>
      <c r="P1595" s="6" t="str">
        <f>IF($D1595="","",IF(AND($L1595="Crédit",OR(IFERROR(INDEX('Paramètres'!$O:$O,MATCH($D1595,'Paramètres'!$M:$M,0))&amp;"","")&lt;&gt;"",ISNUMBER(SEARCH("remboursement",IFERROR(INDEX('Paramètres'!$N:$N,MATCH($D1595,'Paramètres'!$M:$M,0))&amp;"",""))))),1,0))</f>
        <v/>
      </c>
      <c r="Q1595" s="6" t="str">
        <f>IF($K1595="","",IF(ISNUMBER(SEARCH("transfert-interne",IFERROR(INDEX('Paramètres'!$N:$N,MATCH($D1595,'Paramètres'!$M:$M,0))&amp;"",""))),0,IF($L1595="Débit",$K1595,IF($P1595=1,-$K1595,0))))</f>
        <v/>
      </c>
      <c r="R1595" s="6" t="str">
        <f>IF($K1595="","",IF($L1595="Crédit",$K1595,-$K1595))</f>
        <v/>
      </c>
      <c r="S1595" s="6" t="str">
        <f>IF($C1595="","",IFERROR(INDEX('Paramètres'!$H:$H,MATCH($C1595,'Paramètres'!$D:$D,0))&amp;"",""))</f>
        <v/>
      </c>
      <c r="T1595" s="6" t="str">
        <f>IF($K1595="","",IF($S1595="",0,IF(ISNUMBER(SEARCH("apport-exterieur",IFERROR(INDEX('Paramètres'!$N:$N,MATCH($D1595,'Paramètres'!$M:$M,0))&amp;"",""))),0,IF(OR(IFERROR(INDEX('Paramètres'!$I:$I,MATCH($C1595,'Paramètres'!$D:$D,0))&amp;"","")="Les deux",IFERROR(INDEX('Paramètres'!$I:$I,MATCH($C1595,'Paramètres'!$D:$D,0))&amp;"","")=IF($P1595=1,"Débit",$L1595)),-IF($P1595=1,-$K1595,$K1595),0))))</f>
        <v/>
      </c>
      <c r="U1595" s="6" t="str">
        <f>IF($K1595="","",IF(ISNUMBER(SEARCH("sortie-epargne",IFERROR(INDEX('Paramètres'!$N:$N,MATCH($D1595,'Paramètres'!$M:$M,0))&amp;"",""))),$K1595,0))</f>
        <v/>
      </c>
      <c r="V1595" s="6" t="str">
        <f>IF(AND($A1595&lt;&gt;"",$O1595=1,$L1595="Débit",N($Q1595)&gt;0,$A1595&gt;=Visualisation!$B$1,$A1595&lt;Visualisation!$D$1),MAX($V$1:V1594)+1,"")</f>
        <v/>
      </c>
    </row>
    <row r="1596" spans="1:22" x14ac:dyDescent="0.25">
      <c r="A1596" s="9"/>
      <c r="E1596" s="10"/>
      <c r="K1596" s="11" t="str">
        <f>IF($E1596="","",ROUND($E1596*IF(ISNA(MATCH($C1596,'Paramètres'!$D:$D,0)),1,IF(INDEX('Paramètres'!$J:$J,MATCH($C1596,'Paramètres'!$D:$D,0))="",1,INDEX('Paramètres'!$J:$J,MATCH($C1596,'Paramètres'!$D:$D,0)))),2))</f>
        <v/>
      </c>
      <c r="L1596" s="6" t="str">
        <f>IF($D1596="","",IF($F1596&lt;&gt;"",$F1596,IF(ISNA(MATCH($D1596,'Paramètres'!$M:$M,0)),"⚠ Type inconnu",IFERROR(INDEX('Paramètres'!$P:$P,MATCH($D1596,'Paramètres'!$M:$M,0))&amp;"",""))))</f>
        <v/>
      </c>
      <c r="M1596" s="6" t="str">
        <f>IF($D1596="","",IF(ISNA(MATCH($D1596,'Paramètres'!$M:$M,0)),"⚠ Type inconnu",IF($L1596="Crédit","",IFERROR(INDEX('Paramètres'!$O:$O,MATCH($D1596,'Paramètres'!$M:$M,0))&amp;"",""))))</f>
        <v/>
      </c>
      <c r="N1596" s="6" t="str">
        <f>IF($D1596="","",IFERROR(INDEX('Paramètres'!$Q:$Q,MATCH($D1596,'Paramètres'!$M:$M,0))&amp;"",""))</f>
        <v/>
      </c>
      <c r="O1596" s="6" t="str">
        <f>IF($A1596="","",IF(OR($J1596&lt;&gt;"x",$A1596&lt;=FinReleve),1,0))</f>
        <v/>
      </c>
      <c r="P1596" s="6" t="str">
        <f>IF($D1596="","",IF(AND($L1596="Crédit",OR(IFERROR(INDEX('Paramètres'!$O:$O,MATCH($D1596,'Paramètres'!$M:$M,0))&amp;"","")&lt;&gt;"",ISNUMBER(SEARCH("remboursement",IFERROR(INDEX('Paramètres'!$N:$N,MATCH($D1596,'Paramètres'!$M:$M,0))&amp;"",""))))),1,0))</f>
        <v/>
      </c>
      <c r="Q1596" s="6" t="str">
        <f>IF($K1596="","",IF(ISNUMBER(SEARCH("transfert-interne",IFERROR(INDEX('Paramètres'!$N:$N,MATCH($D1596,'Paramètres'!$M:$M,0))&amp;"",""))),0,IF($L1596="Débit",$K1596,IF($P1596=1,-$K1596,0))))</f>
        <v/>
      </c>
      <c r="R1596" s="6" t="str">
        <f>IF($K1596="","",IF($L1596="Crédit",$K1596,-$K1596))</f>
        <v/>
      </c>
      <c r="S1596" s="6" t="str">
        <f>IF($C1596="","",IFERROR(INDEX('Paramètres'!$H:$H,MATCH($C1596,'Paramètres'!$D:$D,0))&amp;"",""))</f>
        <v/>
      </c>
      <c r="T1596" s="6" t="str">
        <f>IF($K1596="","",IF($S1596="",0,IF(ISNUMBER(SEARCH("apport-exterieur",IFERROR(INDEX('Paramètres'!$N:$N,MATCH($D1596,'Paramètres'!$M:$M,0))&amp;"",""))),0,IF(OR(IFERROR(INDEX('Paramètres'!$I:$I,MATCH($C1596,'Paramètres'!$D:$D,0))&amp;"","")="Les deux",IFERROR(INDEX('Paramètres'!$I:$I,MATCH($C1596,'Paramètres'!$D:$D,0))&amp;"","")=IF($P1596=1,"Débit",$L1596)),-IF($P1596=1,-$K1596,$K1596),0))))</f>
        <v/>
      </c>
      <c r="U1596" s="6" t="str">
        <f>IF($K1596="","",IF(ISNUMBER(SEARCH("sortie-epargne",IFERROR(INDEX('Paramètres'!$N:$N,MATCH($D1596,'Paramètres'!$M:$M,0))&amp;"",""))),$K1596,0))</f>
        <v/>
      </c>
      <c r="V1596" s="6" t="str">
        <f>IF(AND($A1596&lt;&gt;"",$O1596=1,$L1596="Débit",N($Q1596)&gt;0,$A1596&gt;=Visualisation!$B$1,$A1596&lt;Visualisation!$D$1),MAX($V$1:V1595)+1,"")</f>
        <v/>
      </c>
    </row>
    <row r="1597" spans="1:22" x14ac:dyDescent="0.25">
      <c r="A1597" s="9"/>
      <c r="E1597" s="10"/>
      <c r="K1597" s="11" t="str">
        <f>IF($E1597="","",ROUND($E1597*IF(ISNA(MATCH($C1597,'Paramètres'!$D:$D,0)),1,IF(INDEX('Paramètres'!$J:$J,MATCH($C1597,'Paramètres'!$D:$D,0))="",1,INDEX('Paramètres'!$J:$J,MATCH($C1597,'Paramètres'!$D:$D,0)))),2))</f>
        <v/>
      </c>
      <c r="L1597" s="6" t="str">
        <f>IF($D1597="","",IF($F1597&lt;&gt;"",$F1597,IF(ISNA(MATCH($D1597,'Paramètres'!$M:$M,0)),"⚠ Type inconnu",IFERROR(INDEX('Paramètres'!$P:$P,MATCH($D1597,'Paramètres'!$M:$M,0))&amp;"",""))))</f>
        <v/>
      </c>
      <c r="M1597" s="6" t="str">
        <f>IF($D1597="","",IF(ISNA(MATCH($D1597,'Paramètres'!$M:$M,0)),"⚠ Type inconnu",IF($L1597="Crédit","",IFERROR(INDEX('Paramètres'!$O:$O,MATCH($D1597,'Paramètres'!$M:$M,0))&amp;"",""))))</f>
        <v/>
      </c>
      <c r="N1597" s="6" t="str">
        <f>IF($D1597="","",IFERROR(INDEX('Paramètres'!$Q:$Q,MATCH($D1597,'Paramètres'!$M:$M,0))&amp;"",""))</f>
        <v/>
      </c>
      <c r="O1597" s="6" t="str">
        <f>IF($A1597="","",IF(OR($J1597&lt;&gt;"x",$A1597&lt;=FinReleve),1,0))</f>
        <v/>
      </c>
      <c r="P1597" s="6" t="str">
        <f>IF($D1597="","",IF(AND($L1597="Crédit",OR(IFERROR(INDEX('Paramètres'!$O:$O,MATCH($D1597,'Paramètres'!$M:$M,0))&amp;"","")&lt;&gt;"",ISNUMBER(SEARCH("remboursement",IFERROR(INDEX('Paramètres'!$N:$N,MATCH($D1597,'Paramètres'!$M:$M,0))&amp;"",""))))),1,0))</f>
        <v/>
      </c>
      <c r="Q1597" s="6" t="str">
        <f>IF($K1597="","",IF(ISNUMBER(SEARCH("transfert-interne",IFERROR(INDEX('Paramètres'!$N:$N,MATCH($D1597,'Paramètres'!$M:$M,0))&amp;"",""))),0,IF($L1597="Débit",$K1597,IF($P1597=1,-$K1597,0))))</f>
        <v/>
      </c>
      <c r="R1597" s="6" t="str">
        <f>IF($K1597="","",IF($L1597="Crédit",$K1597,-$K1597))</f>
        <v/>
      </c>
      <c r="S1597" s="6" t="str">
        <f>IF($C1597="","",IFERROR(INDEX('Paramètres'!$H:$H,MATCH($C1597,'Paramètres'!$D:$D,0))&amp;"",""))</f>
        <v/>
      </c>
      <c r="T1597" s="6" t="str">
        <f>IF($K1597="","",IF($S1597="",0,IF(ISNUMBER(SEARCH("apport-exterieur",IFERROR(INDEX('Paramètres'!$N:$N,MATCH($D1597,'Paramètres'!$M:$M,0))&amp;"",""))),0,IF(OR(IFERROR(INDEX('Paramètres'!$I:$I,MATCH($C1597,'Paramètres'!$D:$D,0))&amp;"","")="Les deux",IFERROR(INDEX('Paramètres'!$I:$I,MATCH($C1597,'Paramètres'!$D:$D,0))&amp;"","")=IF($P1597=1,"Débit",$L1597)),-IF($P1597=1,-$K1597,$K1597),0))))</f>
        <v/>
      </c>
      <c r="U1597" s="6" t="str">
        <f>IF($K1597="","",IF(ISNUMBER(SEARCH("sortie-epargne",IFERROR(INDEX('Paramètres'!$N:$N,MATCH($D1597,'Paramètres'!$M:$M,0))&amp;"",""))),$K1597,0))</f>
        <v/>
      </c>
      <c r="V1597" s="6" t="str">
        <f>IF(AND($A1597&lt;&gt;"",$O1597=1,$L1597="Débit",N($Q1597)&gt;0,$A1597&gt;=Visualisation!$B$1,$A1597&lt;Visualisation!$D$1),MAX($V$1:V1596)+1,"")</f>
        <v/>
      </c>
    </row>
    <row r="1598" spans="1:22" x14ac:dyDescent="0.25">
      <c r="A1598" s="9"/>
      <c r="E1598" s="10"/>
      <c r="K1598" s="11" t="str">
        <f>IF($E1598="","",ROUND($E1598*IF(ISNA(MATCH($C1598,'Paramètres'!$D:$D,0)),1,IF(INDEX('Paramètres'!$J:$J,MATCH($C1598,'Paramètres'!$D:$D,0))="",1,INDEX('Paramètres'!$J:$J,MATCH($C1598,'Paramètres'!$D:$D,0)))),2))</f>
        <v/>
      </c>
      <c r="L1598" s="6" t="str">
        <f>IF($D1598="","",IF($F1598&lt;&gt;"",$F1598,IF(ISNA(MATCH($D1598,'Paramètres'!$M:$M,0)),"⚠ Type inconnu",IFERROR(INDEX('Paramètres'!$P:$P,MATCH($D1598,'Paramètres'!$M:$M,0))&amp;"",""))))</f>
        <v/>
      </c>
      <c r="M1598" s="6" t="str">
        <f>IF($D1598="","",IF(ISNA(MATCH($D1598,'Paramètres'!$M:$M,0)),"⚠ Type inconnu",IF($L1598="Crédit","",IFERROR(INDEX('Paramètres'!$O:$O,MATCH($D1598,'Paramètres'!$M:$M,0))&amp;"",""))))</f>
        <v/>
      </c>
      <c r="N1598" s="6" t="str">
        <f>IF($D1598="","",IFERROR(INDEX('Paramètres'!$Q:$Q,MATCH($D1598,'Paramètres'!$M:$M,0))&amp;"",""))</f>
        <v/>
      </c>
      <c r="O1598" s="6" t="str">
        <f>IF($A1598="","",IF(OR($J1598&lt;&gt;"x",$A1598&lt;=FinReleve),1,0))</f>
        <v/>
      </c>
      <c r="P1598" s="6" t="str">
        <f>IF($D1598="","",IF(AND($L1598="Crédit",OR(IFERROR(INDEX('Paramètres'!$O:$O,MATCH($D1598,'Paramètres'!$M:$M,0))&amp;"","")&lt;&gt;"",ISNUMBER(SEARCH("remboursement",IFERROR(INDEX('Paramètres'!$N:$N,MATCH($D1598,'Paramètres'!$M:$M,0))&amp;"",""))))),1,0))</f>
        <v/>
      </c>
      <c r="Q1598" s="6" t="str">
        <f>IF($K1598="","",IF(ISNUMBER(SEARCH("transfert-interne",IFERROR(INDEX('Paramètres'!$N:$N,MATCH($D1598,'Paramètres'!$M:$M,0))&amp;"",""))),0,IF($L1598="Débit",$K1598,IF($P1598=1,-$K1598,0))))</f>
        <v/>
      </c>
      <c r="R1598" s="6" t="str">
        <f>IF($K1598="","",IF($L1598="Crédit",$K1598,-$K1598))</f>
        <v/>
      </c>
      <c r="S1598" s="6" t="str">
        <f>IF($C1598="","",IFERROR(INDEX('Paramètres'!$H:$H,MATCH($C1598,'Paramètres'!$D:$D,0))&amp;"",""))</f>
        <v/>
      </c>
      <c r="T1598" s="6" t="str">
        <f>IF($K1598="","",IF($S1598="",0,IF(ISNUMBER(SEARCH("apport-exterieur",IFERROR(INDEX('Paramètres'!$N:$N,MATCH($D1598,'Paramètres'!$M:$M,0))&amp;"",""))),0,IF(OR(IFERROR(INDEX('Paramètres'!$I:$I,MATCH($C1598,'Paramètres'!$D:$D,0))&amp;"","")="Les deux",IFERROR(INDEX('Paramètres'!$I:$I,MATCH($C1598,'Paramètres'!$D:$D,0))&amp;"","")=IF($P1598=1,"Débit",$L1598)),-IF($P1598=1,-$K1598,$K1598),0))))</f>
        <v/>
      </c>
      <c r="U1598" s="6" t="str">
        <f>IF($K1598="","",IF(ISNUMBER(SEARCH("sortie-epargne",IFERROR(INDEX('Paramètres'!$N:$N,MATCH($D1598,'Paramètres'!$M:$M,0))&amp;"",""))),$K1598,0))</f>
        <v/>
      </c>
      <c r="V1598" s="6" t="str">
        <f>IF(AND($A1598&lt;&gt;"",$O1598=1,$L1598="Débit",N($Q1598)&gt;0,$A1598&gt;=Visualisation!$B$1,$A1598&lt;Visualisation!$D$1),MAX($V$1:V1597)+1,"")</f>
        <v/>
      </c>
    </row>
    <row r="1599" spans="1:22" x14ac:dyDescent="0.25">
      <c r="A1599" s="9"/>
      <c r="E1599" s="10"/>
      <c r="K1599" s="11" t="str">
        <f>IF($E1599="","",ROUND($E1599*IF(ISNA(MATCH($C1599,'Paramètres'!$D:$D,0)),1,IF(INDEX('Paramètres'!$J:$J,MATCH($C1599,'Paramètres'!$D:$D,0))="",1,INDEX('Paramètres'!$J:$J,MATCH($C1599,'Paramètres'!$D:$D,0)))),2))</f>
        <v/>
      </c>
      <c r="L1599" s="6" t="str">
        <f>IF($D1599="","",IF($F1599&lt;&gt;"",$F1599,IF(ISNA(MATCH($D1599,'Paramètres'!$M:$M,0)),"⚠ Type inconnu",IFERROR(INDEX('Paramètres'!$P:$P,MATCH($D1599,'Paramètres'!$M:$M,0))&amp;"",""))))</f>
        <v/>
      </c>
      <c r="M1599" s="6" t="str">
        <f>IF($D1599="","",IF(ISNA(MATCH($D1599,'Paramètres'!$M:$M,0)),"⚠ Type inconnu",IF($L1599="Crédit","",IFERROR(INDEX('Paramètres'!$O:$O,MATCH($D1599,'Paramètres'!$M:$M,0))&amp;"",""))))</f>
        <v/>
      </c>
      <c r="N1599" s="6" t="str">
        <f>IF($D1599="","",IFERROR(INDEX('Paramètres'!$Q:$Q,MATCH($D1599,'Paramètres'!$M:$M,0))&amp;"",""))</f>
        <v/>
      </c>
      <c r="O1599" s="6" t="str">
        <f>IF($A1599="","",IF(OR($J1599&lt;&gt;"x",$A1599&lt;=FinReleve),1,0))</f>
        <v/>
      </c>
      <c r="P1599" s="6" t="str">
        <f>IF($D1599="","",IF(AND($L1599="Crédit",OR(IFERROR(INDEX('Paramètres'!$O:$O,MATCH($D1599,'Paramètres'!$M:$M,0))&amp;"","")&lt;&gt;"",ISNUMBER(SEARCH("remboursement",IFERROR(INDEX('Paramètres'!$N:$N,MATCH($D1599,'Paramètres'!$M:$M,0))&amp;"",""))))),1,0))</f>
        <v/>
      </c>
      <c r="Q1599" s="6" t="str">
        <f>IF($K1599="","",IF(ISNUMBER(SEARCH("transfert-interne",IFERROR(INDEX('Paramètres'!$N:$N,MATCH($D1599,'Paramètres'!$M:$M,0))&amp;"",""))),0,IF($L1599="Débit",$K1599,IF($P1599=1,-$K1599,0))))</f>
        <v/>
      </c>
      <c r="R1599" s="6" t="str">
        <f>IF($K1599="","",IF($L1599="Crédit",$K1599,-$K1599))</f>
        <v/>
      </c>
      <c r="S1599" s="6" t="str">
        <f>IF($C1599="","",IFERROR(INDEX('Paramètres'!$H:$H,MATCH($C1599,'Paramètres'!$D:$D,0))&amp;"",""))</f>
        <v/>
      </c>
      <c r="T1599" s="6" t="str">
        <f>IF($K1599="","",IF($S1599="",0,IF(ISNUMBER(SEARCH("apport-exterieur",IFERROR(INDEX('Paramètres'!$N:$N,MATCH($D1599,'Paramètres'!$M:$M,0))&amp;"",""))),0,IF(OR(IFERROR(INDEX('Paramètres'!$I:$I,MATCH($C1599,'Paramètres'!$D:$D,0))&amp;"","")="Les deux",IFERROR(INDEX('Paramètres'!$I:$I,MATCH($C1599,'Paramètres'!$D:$D,0))&amp;"","")=IF($P1599=1,"Débit",$L1599)),-IF($P1599=1,-$K1599,$K1599),0))))</f>
        <v/>
      </c>
      <c r="U1599" s="6" t="str">
        <f>IF($K1599="","",IF(ISNUMBER(SEARCH("sortie-epargne",IFERROR(INDEX('Paramètres'!$N:$N,MATCH($D1599,'Paramètres'!$M:$M,0))&amp;"",""))),$K1599,0))</f>
        <v/>
      </c>
      <c r="V1599" s="6" t="str">
        <f>IF(AND($A1599&lt;&gt;"",$O1599=1,$L1599="Débit",N($Q1599)&gt;0,$A1599&gt;=Visualisation!$B$1,$A1599&lt;Visualisation!$D$1),MAX($V$1:V1598)+1,"")</f>
        <v/>
      </c>
    </row>
    <row r="1600" spans="1:22" x14ac:dyDescent="0.25">
      <c r="A1600" s="9"/>
      <c r="E1600" s="10"/>
      <c r="K1600" s="11" t="str">
        <f>IF($E1600="","",ROUND($E1600*IF(ISNA(MATCH($C1600,'Paramètres'!$D:$D,0)),1,IF(INDEX('Paramètres'!$J:$J,MATCH($C1600,'Paramètres'!$D:$D,0))="",1,INDEX('Paramètres'!$J:$J,MATCH($C1600,'Paramètres'!$D:$D,0)))),2))</f>
        <v/>
      </c>
      <c r="L1600" s="6" t="str">
        <f>IF($D1600="","",IF($F1600&lt;&gt;"",$F1600,IF(ISNA(MATCH($D1600,'Paramètres'!$M:$M,0)),"⚠ Type inconnu",IFERROR(INDEX('Paramètres'!$P:$P,MATCH($D1600,'Paramètres'!$M:$M,0))&amp;"",""))))</f>
        <v/>
      </c>
      <c r="M1600" s="6" t="str">
        <f>IF($D1600="","",IF(ISNA(MATCH($D1600,'Paramètres'!$M:$M,0)),"⚠ Type inconnu",IF($L1600="Crédit","",IFERROR(INDEX('Paramètres'!$O:$O,MATCH($D1600,'Paramètres'!$M:$M,0))&amp;"",""))))</f>
        <v/>
      </c>
      <c r="N1600" s="6" t="str">
        <f>IF($D1600="","",IFERROR(INDEX('Paramètres'!$Q:$Q,MATCH($D1600,'Paramètres'!$M:$M,0))&amp;"",""))</f>
        <v/>
      </c>
      <c r="O1600" s="6" t="str">
        <f>IF($A1600="","",IF(OR($J1600&lt;&gt;"x",$A1600&lt;=FinReleve),1,0))</f>
        <v/>
      </c>
      <c r="P1600" s="6" t="str">
        <f>IF($D1600="","",IF(AND($L1600="Crédit",OR(IFERROR(INDEX('Paramètres'!$O:$O,MATCH($D1600,'Paramètres'!$M:$M,0))&amp;"","")&lt;&gt;"",ISNUMBER(SEARCH("remboursement",IFERROR(INDEX('Paramètres'!$N:$N,MATCH($D1600,'Paramètres'!$M:$M,0))&amp;"",""))))),1,0))</f>
        <v/>
      </c>
      <c r="Q1600" s="6" t="str">
        <f>IF($K1600="","",IF(ISNUMBER(SEARCH("transfert-interne",IFERROR(INDEX('Paramètres'!$N:$N,MATCH($D1600,'Paramètres'!$M:$M,0))&amp;"",""))),0,IF($L1600="Débit",$K1600,IF($P1600=1,-$K1600,0))))</f>
        <v/>
      </c>
      <c r="R1600" s="6" t="str">
        <f>IF($K1600="","",IF($L1600="Crédit",$K1600,-$K1600))</f>
        <v/>
      </c>
      <c r="S1600" s="6" t="str">
        <f>IF($C1600="","",IFERROR(INDEX('Paramètres'!$H:$H,MATCH($C1600,'Paramètres'!$D:$D,0))&amp;"",""))</f>
        <v/>
      </c>
      <c r="T1600" s="6" t="str">
        <f>IF($K1600="","",IF($S1600="",0,IF(ISNUMBER(SEARCH("apport-exterieur",IFERROR(INDEX('Paramètres'!$N:$N,MATCH($D1600,'Paramètres'!$M:$M,0))&amp;"",""))),0,IF(OR(IFERROR(INDEX('Paramètres'!$I:$I,MATCH($C1600,'Paramètres'!$D:$D,0))&amp;"","")="Les deux",IFERROR(INDEX('Paramètres'!$I:$I,MATCH($C1600,'Paramètres'!$D:$D,0))&amp;"","")=IF($P1600=1,"Débit",$L1600)),-IF($P1600=1,-$K1600,$K1600),0))))</f>
        <v/>
      </c>
      <c r="U1600" s="6" t="str">
        <f>IF($K1600="","",IF(ISNUMBER(SEARCH("sortie-epargne",IFERROR(INDEX('Paramètres'!$N:$N,MATCH($D1600,'Paramètres'!$M:$M,0))&amp;"",""))),$K1600,0))</f>
        <v/>
      </c>
      <c r="V1600" s="6" t="str">
        <f>IF(AND($A1600&lt;&gt;"",$O1600=1,$L1600="Débit",N($Q1600)&gt;0,$A1600&gt;=Visualisation!$B$1,$A1600&lt;Visualisation!$D$1),MAX($V$1:V1599)+1,"")</f>
        <v/>
      </c>
    </row>
    <row r="1601" spans="1:22" x14ac:dyDescent="0.25">
      <c r="A1601" s="9"/>
      <c r="E1601" s="10"/>
      <c r="K1601" s="11" t="str">
        <f>IF($E1601="","",ROUND($E1601*IF(ISNA(MATCH($C1601,'Paramètres'!$D:$D,0)),1,IF(INDEX('Paramètres'!$J:$J,MATCH($C1601,'Paramètres'!$D:$D,0))="",1,INDEX('Paramètres'!$J:$J,MATCH($C1601,'Paramètres'!$D:$D,0)))),2))</f>
        <v/>
      </c>
      <c r="L1601" s="6" t="str">
        <f>IF($D1601="","",IF($F1601&lt;&gt;"",$F1601,IF(ISNA(MATCH($D1601,'Paramètres'!$M:$M,0)),"⚠ Type inconnu",IFERROR(INDEX('Paramètres'!$P:$P,MATCH($D1601,'Paramètres'!$M:$M,0))&amp;"",""))))</f>
        <v/>
      </c>
      <c r="M1601" s="6" t="str">
        <f>IF($D1601="","",IF(ISNA(MATCH($D1601,'Paramètres'!$M:$M,0)),"⚠ Type inconnu",IF($L1601="Crédit","",IFERROR(INDEX('Paramètres'!$O:$O,MATCH($D1601,'Paramètres'!$M:$M,0))&amp;"",""))))</f>
        <v/>
      </c>
      <c r="N1601" s="6" t="str">
        <f>IF($D1601="","",IFERROR(INDEX('Paramètres'!$Q:$Q,MATCH($D1601,'Paramètres'!$M:$M,0))&amp;"",""))</f>
        <v/>
      </c>
      <c r="O1601" s="6" t="str">
        <f>IF($A1601="","",IF(OR($J1601&lt;&gt;"x",$A1601&lt;=FinReleve),1,0))</f>
        <v/>
      </c>
      <c r="P1601" s="6" t="str">
        <f>IF($D1601="","",IF(AND($L1601="Crédit",OR(IFERROR(INDEX('Paramètres'!$O:$O,MATCH($D1601,'Paramètres'!$M:$M,0))&amp;"","")&lt;&gt;"",ISNUMBER(SEARCH("remboursement",IFERROR(INDEX('Paramètres'!$N:$N,MATCH($D1601,'Paramètres'!$M:$M,0))&amp;"",""))))),1,0))</f>
        <v/>
      </c>
      <c r="Q1601" s="6" t="str">
        <f>IF($K1601="","",IF(ISNUMBER(SEARCH("transfert-interne",IFERROR(INDEX('Paramètres'!$N:$N,MATCH($D1601,'Paramètres'!$M:$M,0))&amp;"",""))),0,IF($L1601="Débit",$K1601,IF($P1601=1,-$K1601,0))))</f>
        <v/>
      </c>
      <c r="R1601" s="6" t="str">
        <f>IF($K1601="","",IF($L1601="Crédit",$K1601,-$K1601))</f>
        <v/>
      </c>
      <c r="S1601" s="6" t="str">
        <f>IF($C1601="","",IFERROR(INDEX('Paramètres'!$H:$H,MATCH($C1601,'Paramètres'!$D:$D,0))&amp;"",""))</f>
        <v/>
      </c>
      <c r="T1601" s="6" t="str">
        <f>IF($K1601="","",IF($S1601="",0,IF(ISNUMBER(SEARCH("apport-exterieur",IFERROR(INDEX('Paramètres'!$N:$N,MATCH($D1601,'Paramètres'!$M:$M,0))&amp;"",""))),0,IF(OR(IFERROR(INDEX('Paramètres'!$I:$I,MATCH($C1601,'Paramètres'!$D:$D,0))&amp;"","")="Les deux",IFERROR(INDEX('Paramètres'!$I:$I,MATCH($C1601,'Paramètres'!$D:$D,0))&amp;"","")=IF($P1601=1,"Débit",$L1601)),-IF($P1601=1,-$K1601,$K1601),0))))</f>
        <v/>
      </c>
      <c r="U1601" s="6" t="str">
        <f>IF($K1601="","",IF(ISNUMBER(SEARCH("sortie-epargne",IFERROR(INDEX('Paramètres'!$N:$N,MATCH($D1601,'Paramètres'!$M:$M,0))&amp;"",""))),$K1601,0))</f>
        <v/>
      </c>
      <c r="V1601" s="6" t="str">
        <f>IF(AND($A1601&lt;&gt;"",$O1601=1,$L1601="Débit",N($Q1601)&gt;0,$A1601&gt;=Visualisation!$B$1,$A1601&lt;Visualisation!$D$1),MAX($V$1:V1600)+1,"")</f>
        <v/>
      </c>
    </row>
    <row r="1602" spans="1:22" x14ac:dyDescent="0.25">
      <c r="A1602" s="9"/>
      <c r="E1602" s="10"/>
      <c r="K1602" s="11" t="str">
        <f>IF($E1602="","",ROUND($E1602*IF(ISNA(MATCH($C1602,'Paramètres'!$D:$D,0)),1,IF(INDEX('Paramètres'!$J:$J,MATCH($C1602,'Paramètres'!$D:$D,0))="",1,INDEX('Paramètres'!$J:$J,MATCH($C1602,'Paramètres'!$D:$D,0)))),2))</f>
        <v/>
      </c>
      <c r="L1602" s="6" t="str">
        <f>IF($D1602="","",IF($F1602&lt;&gt;"",$F1602,IF(ISNA(MATCH($D1602,'Paramètres'!$M:$M,0)),"⚠ Type inconnu",IFERROR(INDEX('Paramètres'!$P:$P,MATCH($D1602,'Paramètres'!$M:$M,0))&amp;"",""))))</f>
        <v/>
      </c>
      <c r="M1602" s="6" t="str">
        <f>IF($D1602="","",IF(ISNA(MATCH($D1602,'Paramètres'!$M:$M,0)),"⚠ Type inconnu",IF($L1602="Crédit","",IFERROR(INDEX('Paramètres'!$O:$O,MATCH($D1602,'Paramètres'!$M:$M,0))&amp;"",""))))</f>
        <v/>
      </c>
      <c r="N1602" s="6" t="str">
        <f>IF($D1602="","",IFERROR(INDEX('Paramètres'!$Q:$Q,MATCH($D1602,'Paramètres'!$M:$M,0))&amp;"",""))</f>
        <v/>
      </c>
      <c r="O1602" s="6" t="str">
        <f>IF($A1602="","",IF(OR($J1602&lt;&gt;"x",$A1602&lt;=FinReleve),1,0))</f>
        <v/>
      </c>
      <c r="P1602" s="6" t="str">
        <f>IF($D1602="","",IF(AND($L1602="Crédit",OR(IFERROR(INDEX('Paramètres'!$O:$O,MATCH($D1602,'Paramètres'!$M:$M,0))&amp;"","")&lt;&gt;"",ISNUMBER(SEARCH("remboursement",IFERROR(INDEX('Paramètres'!$N:$N,MATCH($D1602,'Paramètres'!$M:$M,0))&amp;"",""))))),1,0))</f>
        <v/>
      </c>
      <c r="Q1602" s="6" t="str">
        <f>IF($K1602="","",IF(ISNUMBER(SEARCH("transfert-interne",IFERROR(INDEX('Paramètres'!$N:$N,MATCH($D1602,'Paramètres'!$M:$M,0))&amp;"",""))),0,IF($L1602="Débit",$K1602,IF($P1602=1,-$K1602,0))))</f>
        <v/>
      </c>
      <c r="R1602" s="6" t="str">
        <f>IF($K1602="","",IF($L1602="Crédit",$K1602,-$K1602))</f>
        <v/>
      </c>
      <c r="S1602" s="6" t="str">
        <f>IF($C1602="","",IFERROR(INDEX('Paramètres'!$H:$H,MATCH($C1602,'Paramètres'!$D:$D,0))&amp;"",""))</f>
        <v/>
      </c>
      <c r="T1602" s="6" t="str">
        <f>IF($K1602="","",IF($S1602="",0,IF(ISNUMBER(SEARCH("apport-exterieur",IFERROR(INDEX('Paramètres'!$N:$N,MATCH($D1602,'Paramètres'!$M:$M,0))&amp;"",""))),0,IF(OR(IFERROR(INDEX('Paramètres'!$I:$I,MATCH($C1602,'Paramètres'!$D:$D,0))&amp;"","")="Les deux",IFERROR(INDEX('Paramètres'!$I:$I,MATCH($C1602,'Paramètres'!$D:$D,0))&amp;"","")=IF($P1602=1,"Débit",$L1602)),-IF($P1602=1,-$K1602,$K1602),0))))</f>
        <v/>
      </c>
      <c r="U1602" s="6" t="str">
        <f>IF($K1602="","",IF(ISNUMBER(SEARCH("sortie-epargne",IFERROR(INDEX('Paramètres'!$N:$N,MATCH($D1602,'Paramètres'!$M:$M,0))&amp;"",""))),$K1602,0))</f>
        <v/>
      </c>
      <c r="V1602" s="6" t="str">
        <f>IF(AND($A1602&lt;&gt;"",$O1602=1,$L1602="Débit",N($Q1602)&gt;0,$A1602&gt;=Visualisation!$B$1,$A1602&lt;Visualisation!$D$1),MAX($V$1:V1601)+1,"")</f>
        <v/>
      </c>
    </row>
    <row r="1603" spans="1:22" x14ac:dyDescent="0.25">
      <c r="A1603" s="9"/>
      <c r="E1603" s="10"/>
      <c r="K1603" s="11" t="str">
        <f>IF($E1603="","",ROUND($E1603*IF(ISNA(MATCH($C1603,'Paramètres'!$D:$D,0)),1,IF(INDEX('Paramètres'!$J:$J,MATCH($C1603,'Paramètres'!$D:$D,0))="",1,INDEX('Paramètres'!$J:$J,MATCH($C1603,'Paramètres'!$D:$D,0)))),2))</f>
        <v/>
      </c>
      <c r="L1603" s="6" t="str">
        <f>IF($D1603="","",IF($F1603&lt;&gt;"",$F1603,IF(ISNA(MATCH($D1603,'Paramètres'!$M:$M,0)),"⚠ Type inconnu",IFERROR(INDEX('Paramètres'!$P:$P,MATCH($D1603,'Paramètres'!$M:$M,0))&amp;"",""))))</f>
        <v/>
      </c>
      <c r="M1603" s="6" t="str">
        <f>IF($D1603="","",IF(ISNA(MATCH($D1603,'Paramètres'!$M:$M,0)),"⚠ Type inconnu",IF($L1603="Crédit","",IFERROR(INDEX('Paramètres'!$O:$O,MATCH($D1603,'Paramètres'!$M:$M,0))&amp;"",""))))</f>
        <v/>
      </c>
      <c r="N1603" s="6" t="str">
        <f>IF($D1603="","",IFERROR(INDEX('Paramètres'!$Q:$Q,MATCH($D1603,'Paramètres'!$M:$M,0))&amp;"",""))</f>
        <v/>
      </c>
      <c r="O1603" s="6" t="str">
        <f>IF($A1603="","",IF(OR($J1603&lt;&gt;"x",$A1603&lt;=FinReleve),1,0))</f>
        <v/>
      </c>
      <c r="P1603" s="6" t="str">
        <f>IF($D1603="","",IF(AND($L1603="Crédit",OR(IFERROR(INDEX('Paramètres'!$O:$O,MATCH($D1603,'Paramètres'!$M:$M,0))&amp;"","")&lt;&gt;"",ISNUMBER(SEARCH("remboursement",IFERROR(INDEX('Paramètres'!$N:$N,MATCH($D1603,'Paramètres'!$M:$M,0))&amp;"",""))))),1,0))</f>
        <v/>
      </c>
      <c r="Q1603" s="6" t="str">
        <f>IF($K1603="","",IF(ISNUMBER(SEARCH("transfert-interne",IFERROR(INDEX('Paramètres'!$N:$N,MATCH($D1603,'Paramètres'!$M:$M,0))&amp;"",""))),0,IF($L1603="Débit",$K1603,IF($P1603=1,-$K1603,0))))</f>
        <v/>
      </c>
      <c r="R1603" s="6" t="str">
        <f>IF($K1603="","",IF($L1603="Crédit",$K1603,-$K1603))</f>
        <v/>
      </c>
      <c r="S1603" s="6" t="str">
        <f>IF($C1603="","",IFERROR(INDEX('Paramètres'!$H:$H,MATCH($C1603,'Paramètres'!$D:$D,0))&amp;"",""))</f>
        <v/>
      </c>
      <c r="T1603" s="6" t="str">
        <f>IF($K1603="","",IF($S1603="",0,IF(ISNUMBER(SEARCH("apport-exterieur",IFERROR(INDEX('Paramètres'!$N:$N,MATCH($D1603,'Paramètres'!$M:$M,0))&amp;"",""))),0,IF(OR(IFERROR(INDEX('Paramètres'!$I:$I,MATCH($C1603,'Paramètres'!$D:$D,0))&amp;"","")="Les deux",IFERROR(INDEX('Paramètres'!$I:$I,MATCH($C1603,'Paramètres'!$D:$D,0))&amp;"","")=IF($P1603=1,"Débit",$L1603)),-IF($P1603=1,-$K1603,$K1603),0))))</f>
        <v/>
      </c>
      <c r="U1603" s="6" t="str">
        <f>IF($K1603="","",IF(ISNUMBER(SEARCH("sortie-epargne",IFERROR(INDEX('Paramètres'!$N:$N,MATCH($D1603,'Paramètres'!$M:$M,0))&amp;"",""))),$K1603,0))</f>
        <v/>
      </c>
      <c r="V1603" s="6" t="str">
        <f>IF(AND($A1603&lt;&gt;"",$O1603=1,$L1603="Débit",N($Q1603)&gt;0,$A1603&gt;=Visualisation!$B$1,$A1603&lt;Visualisation!$D$1),MAX($V$1:V1602)+1,"")</f>
        <v/>
      </c>
    </row>
    <row r="1604" spans="1:22" x14ac:dyDescent="0.25">
      <c r="A1604" s="9"/>
      <c r="E1604" s="10"/>
      <c r="K1604" s="11" t="str">
        <f>IF($E1604="","",ROUND($E1604*IF(ISNA(MATCH($C1604,'Paramètres'!$D:$D,0)),1,IF(INDEX('Paramètres'!$J:$J,MATCH($C1604,'Paramètres'!$D:$D,0))="",1,INDEX('Paramètres'!$J:$J,MATCH($C1604,'Paramètres'!$D:$D,0)))),2))</f>
        <v/>
      </c>
      <c r="L1604" s="6" t="str">
        <f>IF($D1604="","",IF($F1604&lt;&gt;"",$F1604,IF(ISNA(MATCH($D1604,'Paramètres'!$M:$M,0)),"⚠ Type inconnu",IFERROR(INDEX('Paramètres'!$P:$P,MATCH($D1604,'Paramètres'!$M:$M,0))&amp;"",""))))</f>
        <v/>
      </c>
      <c r="M1604" s="6" t="str">
        <f>IF($D1604="","",IF(ISNA(MATCH($D1604,'Paramètres'!$M:$M,0)),"⚠ Type inconnu",IF($L1604="Crédit","",IFERROR(INDEX('Paramètres'!$O:$O,MATCH($D1604,'Paramètres'!$M:$M,0))&amp;"",""))))</f>
        <v/>
      </c>
      <c r="N1604" s="6" t="str">
        <f>IF($D1604="","",IFERROR(INDEX('Paramètres'!$Q:$Q,MATCH($D1604,'Paramètres'!$M:$M,0))&amp;"",""))</f>
        <v/>
      </c>
      <c r="O1604" s="6" t="str">
        <f>IF($A1604="","",IF(OR($J1604&lt;&gt;"x",$A1604&lt;=FinReleve),1,0))</f>
        <v/>
      </c>
      <c r="P1604" s="6" t="str">
        <f>IF($D1604="","",IF(AND($L1604="Crédit",OR(IFERROR(INDEX('Paramètres'!$O:$O,MATCH($D1604,'Paramètres'!$M:$M,0))&amp;"","")&lt;&gt;"",ISNUMBER(SEARCH("remboursement",IFERROR(INDEX('Paramètres'!$N:$N,MATCH($D1604,'Paramètres'!$M:$M,0))&amp;"",""))))),1,0))</f>
        <v/>
      </c>
      <c r="Q1604" s="6" t="str">
        <f>IF($K1604="","",IF(ISNUMBER(SEARCH("transfert-interne",IFERROR(INDEX('Paramètres'!$N:$N,MATCH($D1604,'Paramètres'!$M:$M,0))&amp;"",""))),0,IF($L1604="Débit",$K1604,IF($P1604=1,-$K1604,0))))</f>
        <v/>
      </c>
      <c r="R1604" s="6" t="str">
        <f>IF($K1604="","",IF($L1604="Crédit",$K1604,-$K1604))</f>
        <v/>
      </c>
      <c r="S1604" s="6" t="str">
        <f>IF($C1604="","",IFERROR(INDEX('Paramètres'!$H:$H,MATCH($C1604,'Paramètres'!$D:$D,0))&amp;"",""))</f>
        <v/>
      </c>
      <c r="T1604" s="6" t="str">
        <f>IF($K1604="","",IF($S1604="",0,IF(ISNUMBER(SEARCH("apport-exterieur",IFERROR(INDEX('Paramètres'!$N:$N,MATCH($D1604,'Paramètres'!$M:$M,0))&amp;"",""))),0,IF(OR(IFERROR(INDEX('Paramètres'!$I:$I,MATCH($C1604,'Paramètres'!$D:$D,0))&amp;"","")="Les deux",IFERROR(INDEX('Paramètres'!$I:$I,MATCH($C1604,'Paramètres'!$D:$D,0))&amp;"","")=IF($P1604=1,"Débit",$L1604)),-IF($P1604=1,-$K1604,$K1604),0))))</f>
        <v/>
      </c>
      <c r="U1604" s="6" t="str">
        <f>IF($K1604="","",IF(ISNUMBER(SEARCH("sortie-epargne",IFERROR(INDEX('Paramètres'!$N:$N,MATCH($D1604,'Paramètres'!$M:$M,0))&amp;"",""))),$K1604,0))</f>
        <v/>
      </c>
      <c r="V1604" s="6" t="str">
        <f>IF(AND($A1604&lt;&gt;"",$O1604=1,$L1604="Débit",N($Q1604)&gt;0,$A1604&gt;=Visualisation!$B$1,$A1604&lt;Visualisation!$D$1),MAX($V$1:V1603)+1,"")</f>
        <v/>
      </c>
    </row>
    <row r="1605" spans="1:22" x14ac:dyDescent="0.25">
      <c r="A1605" s="9"/>
      <c r="E1605" s="10"/>
      <c r="K1605" s="11" t="str">
        <f>IF($E1605="","",ROUND($E1605*IF(ISNA(MATCH($C1605,'Paramètres'!$D:$D,0)),1,IF(INDEX('Paramètres'!$J:$J,MATCH($C1605,'Paramètres'!$D:$D,0))="",1,INDEX('Paramètres'!$J:$J,MATCH($C1605,'Paramètres'!$D:$D,0)))),2))</f>
        <v/>
      </c>
      <c r="L1605" s="6" t="str">
        <f>IF($D1605="","",IF($F1605&lt;&gt;"",$F1605,IF(ISNA(MATCH($D1605,'Paramètres'!$M:$M,0)),"⚠ Type inconnu",IFERROR(INDEX('Paramètres'!$P:$P,MATCH($D1605,'Paramètres'!$M:$M,0))&amp;"",""))))</f>
        <v/>
      </c>
      <c r="M1605" s="6" t="str">
        <f>IF($D1605="","",IF(ISNA(MATCH($D1605,'Paramètres'!$M:$M,0)),"⚠ Type inconnu",IF($L1605="Crédit","",IFERROR(INDEX('Paramètres'!$O:$O,MATCH($D1605,'Paramètres'!$M:$M,0))&amp;"",""))))</f>
        <v/>
      </c>
      <c r="N1605" s="6" t="str">
        <f>IF($D1605="","",IFERROR(INDEX('Paramètres'!$Q:$Q,MATCH($D1605,'Paramètres'!$M:$M,0))&amp;"",""))</f>
        <v/>
      </c>
      <c r="O1605" s="6" t="str">
        <f>IF($A1605="","",IF(OR($J1605&lt;&gt;"x",$A1605&lt;=FinReleve),1,0))</f>
        <v/>
      </c>
      <c r="P1605" s="6" t="str">
        <f>IF($D1605="","",IF(AND($L1605="Crédit",OR(IFERROR(INDEX('Paramètres'!$O:$O,MATCH($D1605,'Paramètres'!$M:$M,0))&amp;"","")&lt;&gt;"",ISNUMBER(SEARCH("remboursement",IFERROR(INDEX('Paramètres'!$N:$N,MATCH($D1605,'Paramètres'!$M:$M,0))&amp;"",""))))),1,0))</f>
        <v/>
      </c>
      <c r="Q1605" s="6" t="str">
        <f>IF($K1605="","",IF(ISNUMBER(SEARCH("transfert-interne",IFERROR(INDEX('Paramètres'!$N:$N,MATCH($D1605,'Paramètres'!$M:$M,0))&amp;"",""))),0,IF($L1605="Débit",$K1605,IF($P1605=1,-$K1605,0))))</f>
        <v/>
      </c>
      <c r="R1605" s="6" t="str">
        <f>IF($K1605="","",IF($L1605="Crédit",$K1605,-$K1605))</f>
        <v/>
      </c>
      <c r="S1605" s="6" t="str">
        <f>IF($C1605="","",IFERROR(INDEX('Paramètres'!$H:$H,MATCH($C1605,'Paramètres'!$D:$D,0))&amp;"",""))</f>
        <v/>
      </c>
      <c r="T1605" s="6" t="str">
        <f>IF($K1605="","",IF($S1605="",0,IF(ISNUMBER(SEARCH("apport-exterieur",IFERROR(INDEX('Paramètres'!$N:$N,MATCH($D1605,'Paramètres'!$M:$M,0))&amp;"",""))),0,IF(OR(IFERROR(INDEX('Paramètres'!$I:$I,MATCH($C1605,'Paramètres'!$D:$D,0))&amp;"","")="Les deux",IFERROR(INDEX('Paramètres'!$I:$I,MATCH($C1605,'Paramètres'!$D:$D,0))&amp;"","")=IF($P1605=1,"Débit",$L1605)),-IF($P1605=1,-$K1605,$K1605),0))))</f>
        <v/>
      </c>
      <c r="U1605" s="6" t="str">
        <f>IF($K1605="","",IF(ISNUMBER(SEARCH("sortie-epargne",IFERROR(INDEX('Paramètres'!$N:$N,MATCH($D1605,'Paramètres'!$M:$M,0))&amp;"",""))),$K1605,0))</f>
        <v/>
      </c>
      <c r="V1605" s="6" t="str">
        <f>IF(AND($A1605&lt;&gt;"",$O1605=1,$L1605="Débit",N($Q1605)&gt;0,$A1605&gt;=Visualisation!$B$1,$A1605&lt;Visualisation!$D$1),MAX($V$1:V1604)+1,"")</f>
        <v/>
      </c>
    </row>
    <row r="1606" spans="1:22" x14ac:dyDescent="0.25">
      <c r="A1606" s="9"/>
      <c r="E1606" s="10"/>
      <c r="K1606" s="11" t="str">
        <f>IF($E1606="","",ROUND($E1606*IF(ISNA(MATCH($C1606,'Paramètres'!$D:$D,0)),1,IF(INDEX('Paramètres'!$J:$J,MATCH($C1606,'Paramètres'!$D:$D,0))="",1,INDEX('Paramètres'!$J:$J,MATCH($C1606,'Paramètres'!$D:$D,0)))),2))</f>
        <v/>
      </c>
      <c r="L1606" s="6" t="str">
        <f>IF($D1606="","",IF($F1606&lt;&gt;"",$F1606,IF(ISNA(MATCH($D1606,'Paramètres'!$M:$M,0)),"⚠ Type inconnu",IFERROR(INDEX('Paramètres'!$P:$P,MATCH($D1606,'Paramètres'!$M:$M,0))&amp;"",""))))</f>
        <v/>
      </c>
      <c r="M1606" s="6" t="str">
        <f>IF($D1606="","",IF(ISNA(MATCH($D1606,'Paramètres'!$M:$M,0)),"⚠ Type inconnu",IF($L1606="Crédit","",IFERROR(INDEX('Paramètres'!$O:$O,MATCH($D1606,'Paramètres'!$M:$M,0))&amp;"",""))))</f>
        <v/>
      </c>
      <c r="N1606" s="6" t="str">
        <f>IF($D1606="","",IFERROR(INDEX('Paramètres'!$Q:$Q,MATCH($D1606,'Paramètres'!$M:$M,0))&amp;"",""))</f>
        <v/>
      </c>
      <c r="O1606" s="6" t="str">
        <f>IF($A1606="","",IF(OR($J1606&lt;&gt;"x",$A1606&lt;=FinReleve),1,0))</f>
        <v/>
      </c>
      <c r="P1606" s="6" t="str">
        <f>IF($D1606="","",IF(AND($L1606="Crédit",OR(IFERROR(INDEX('Paramètres'!$O:$O,MATCH($D1606,'Paramètres'!$M:$M,0))&amp;"","")&lt;&gt;"",ISNUMBER(SEARCH("remboursement",IFERROR(INDEX('Paramètres'!$N:$N,MATCH($D1606,'Paramètres'!$M:$M,0))&amp;"",""))))),1,0))</f>
        <v/>
      </c>
      <c r="Q1606" s="6" t="str">
        <f>IF($K1606="","",IF(ISNUMBER(SEARCH("transfert-interne",IFERROR(INDEX('Paramètres'!$N:$N,MATCH($D1606,'Paramètres'!$M:$M,0))&amp;"",""))),0,IF($L1606="Débit",$K1606,IF($P1606=1,-$K1606,0))))</f>
        <v/>
      </c>
      <c r="R1606" s="6" t="str">
        <f>IF($K1606="","",IF($L1606="Crédit",$K1606,-$K1606))</f>
        <v/>
      </c>
      <c r="S1606" s="6" t="str">
        <f>IF($C1606="","",IFERROR(INDEX('Paramètres'!$H:$H,MATCH($C1606,'Paramètres'!$D:$D,0))&amp;"",""))</f>
        <v/>
      </c>
      <c r="T1606" s="6" t="str">
        <f>IF($K1606="","",IF($S1606="",0,IF(ISNUMBER(SEARCH("apport-exterieur",IFERROR(INDEX('Paramètres'!$N:$N,MATCH($D1606,'Paramètres'!$M:$M,0))&amp;"",""))),0,IF(OR(IFERROR(INDEX('Paramètres'!$I:$I,MATCH($C1606,'Paramètres'!$D:$D,0))&amp;"","")="Les deux",IFERROR(INDEX('Paramètres'!$I:$I,MATCH($C1606,'Paramètres'!$D:$D,0))&amp;"","")=IF($P1606=1,"Débit",$L1606)),-IF($P1606=1,-$K1606,$K1606),0))))</f>
        <v/>
      </c>
      <c r="U1606" s="6" t="str">
        <f>IF($K1606="","",IF(ISNUMBER(SEARCH("sortie-epargne",IFERROR(INDEX('Paramètres'!$N:$N,MATCH($D1606,'Paramètres'!$M:$M,0))&amp;"",""))),$K1606,0))</f>
        <v/>
      </c>
      <c r="V1606" s="6" t="str">
        <f>IF(AND($A1606&lt;&gt;"",$O1606=1,$L1606="Débit",N($Q1606)&gt;0,$A1606&gt;=Visualisation!$B$1,$A1606&lt;Visualisation!$D$1),MAX($V$1:V1605)+1,"")</f>
        <v/>
      </c>
    </row>
    <row r="1607" spans="1:22" x14ac:dyDescent="0.25">
      <c r="A1607" s="9"/>
      <c r="E1607" s="10"/>
      <c r="K1607" s="11" t="str">
        <f>IF($E1607="","",ROUND($E1607*IF(ISNA(MATCH($C1607,'Paramètres'!$D:$D,0)),1,IF(INDEX('Paramètres'!$J:$J,MATCH($C1607,'Paramètres'!$D:$D,0))="",1,INDEX('Paramètres'!$J:$J,MATCH($C1607,'Paramètres'!$D:$D,0)))),2))</f>
        <v/>
      </c>
      <c r="L1607" s="6" t="str">
        <f>IF($D1607="","",IF($F1607&lt;&gt;"",$F1607,IF(ISNA(MATCH($D1607,'Paramètres'!$M:$M,0)),"⚠ Type inconnu",IFERROR(INDEX('Paramètres'!$P:$P,MATCH($D1607,'Paramètres'!$M:$M,0))&amp;"",""))))</f>
        <v/>
      </c>
      <c r="M1607" s="6" t="str">
        <f>IF($D1607="","",IF(ISNA(MATCH($D1607,'Paramètres'!$M:$M,0)),"⚠ Type inconnu",IF($L1607="Crédit","",IFERROR(INDEX('Paramètres'!$O:$O,MATCH($D1607,'Paramètres'!$M:$M,0))&amp;"",""))))</f>
        <v/>
      </c>
      <c r="N1607" s="6" t="str">
        <f>IF($D1607="","",IFERROR(INDEX('Paramètres'!$Q:$Q,MATCH($D1607,'Paramètres'!$M:$M,0))&amp;"",""))</f>
        <v/>
      </c>
      <c r="O1607" s="6" t="str">
        <f>IF($A1607="","",IF(OR($J1607&lt;&gt;"x",$A1607&lt;=FinReleve),1,0))</f>
        <v/>
      </c>
      <c r="P1607" s="6" t="str">
        <f>IF($D1607="","",IF(AND($L1607="Crédit",OR(IFERROR(INDEX('Paramètres'!$O:$O,MATCH($D1607,'Paramètres'!$M:$M,0))&amp;"","")&lt;&gt;"",ISNUMBER(SEARCH("remboursement",IFERROR(INDEX('Paramètres'!$N:$N,MATCH($D1607,'Paramètres'!$M:$M,0))&amp;"",""))))),1,0))</f>
        <v/>
      </c>
      <c r="Q1607" s="6" t="str">
        <f>IF($K1607="","",IF(ISNUMBER(SEARCH("transfert-interne",IFERROR(INDEX('Paramètres'!$N:$N,MATCH($D1607,'Paramètres'!$M:$M,0))&amp;"",""))),0,IF($L1607="Débit",$K1607,IF($P1607=1,-$K1607,0))))</f>
        <v/>
      </c>
      <c r="R1607" s="6" t="str">
        <f>IF($K1607="","",IF($L1607="Crédit",$K1607,-$K1607))</f>
        <v/>
      </c>
      <c r="S1607" s="6" t="str">
        <f>IF($C1607="","",IFERROR(INDEX('Paramètres'!$H:$H,MATCH($C1607,'Paramètres'!$D:$D,0))&amp;"",""))</f>
        <v/>
      </c>
      <c r="T1607" s="6" t="str">
        <f>IF($K1607="","",IF($S1607="",0,IF(ISNUMBER(SEARCH("apport-exterieur",IFERROR(INDEX('Paramètres'!$N:$N,MATCH($D1607,'Paramètres'!$M:$M,0))&amp;"",""))),0,IF(OR(IFERROR(INDEX('Paramètres'!$I:$I,MATCH($C1607,'Paramètres'!$D:$D,0))&amp;"","")="Les deux",IFERROR(INDEX('Paramètres'!$I:$I,MATCH($C1607,'Paramètres'!$D:$D,0))&amp;"","")=IF($P1607=1,"Débit",$L1607)),-IF($P1607=1,-$K1607,$K1607),0))))</f>
        <v/>
      </c>
      <c r="U1607" s="6" t="str">
        <f>IF($K1607="","",IF(ISNUMBER(SEARCH("sortie-epargne",IFERROR(INDEX('Paramètres'!$N:$N,MATCH($D1607,'Paramètres'!$M:$M,0))&amp;"",""))),$K1607,0))</f>
        <v/>
      </c>
      <c r="V1607" s="6" t="str">
        <f>IF(AND($A1607&lt;&gt;"",$O1607=1,$L1607="Débit",N($Q1607)&gt;0,$A1607&gt;=Visualisation!$B$1,$A1607&lt;Visualisation!$D$1),MAX($V$1:V1606)+1,"")</f>
        <v/>
      </c>
    </row>
    <row r="1608" spans="1:22" x14ac:dyDescent="0.25">
      <c r="A1608" s="9"/>
      <c r="E1608" s="10"/>
      <c r="K1608" s="11" t="str">
        <f>IF($E1608="","",ROUND($E1608*IF(ISNA(MATCH($C1608,'Paramètres'!$D:$D,0)),1,IF(INDEX('Paramètres'!$J:$J,MATCH($C1608,'Paramètres'!$D:$D,0))="",1,INDEX('Paramètres'!$J:$J,MATCH($C1608,'Paramètres'!$D:$D,0)))),2))</f>
        <v/>
      </c>
      <c r="L1608" s="6" t="str">
        <f>IF($D1608="","",IF($F1608&lt;&gt;"",$F1608,IF(ISNA(MATCH($D1608,'Paramètres'!$M:$M,0)),"⚠ Type inconnu",IFERROR(INDEX('Paramètres'!$P:$P,MATCH($D1608,'Paramètres'!$M:$M,0))&amp;"",""))))</f>
        <v/>
      </c>
      <c r="M1608" s="6" t="str">
        <f>IF($D1608="","",IF(ISNA(MATCH($D1608,'Paramètres'!$M:$M,0)),"⚠ Type inconnu",IF($L1608="Crédit","",IFERROR(INDEX('Paramètres'!$O:$O,MATCH($D1608,'Paramètres'!$M:$M,0))&amp;"",""))))</f>
        <v/>
      </c>
      <c r="N1608" s="6" t="str">
        <f>IF($D1608="","",IFERROR(INDEX('Paramètres'!$Q:$Q,MATCH($D1608,'Paramètres'!$M:$M,0))&amp;"",""))</f>
        <v/>
      </c>
      <c r="O1608" s="6" t="str">
        <f>IF($A1608="","",IF(OR($J1608&lt;&gt;"x",$A1608&lt;=FinReleve),1,0))</f>
        <v/>
      </c>
      <c r="P1608" s="6" t="str">
        <f>IF($D1608="","",IF(AND($L1608="Crédit",OR(IFERROR(INDEX('Paramètres'!$O:$O,MATCH($D1608,'Paramètres'!$M:$M,0))&amp;"","")&lt;&gt;"",ISNUMBER(SEARCH("remboursement",IFERROR(INDEX('Paramètres'!$N:$N,MATCH($D1608,'Paramètres'!$M:$M,0))&amp;"",""))))),1,0))</f>
        <v/>
      </c>
      <c r="Q1608" s="6" t="str">
        <f>IF($K1608="","",IF(ISNUMBER(SEARCH("transfert-interne",IFERROR(INDEX('Paramètres'!$N:$N,MATCH($D1608,'Paramètres'!$M:$M,0))&amp;"",""))),0,IF($L1608="Débit",$K1608,IF($P1608=1,-$K1608,0))))</f>
        <v/>
      </c>
      <c r="R1608" s="6" t="str">
        <f>IF($K1608="","",IF($L1608="Crédit",$K1608,-$K1608))</f>
        <v/>
      </c>
      <c r="S1608" s="6" t="str">
        <f>IF($C1608="","",IFERROR(INDEX('Paramètres'!$H:$H,MATCH($C1608,'Paramètres'!$D:$D,0))&amp;"",""))</f>
        <v/>
      </c>
      <c r="T1608" s="6" t="str">
        <f>IF($K1608="","",IF($S1608="",0,IF(ISNUMBER(SEARCH("apport-exterieur",IFERROR(INDEX('Paramètres'!$N:$N,MATCH($D1608,'Paramètres'!$M:$M,0))&amp;"",""))),0,IF(OR(IFERROR(INDEX('Paramètres'!$I:$I,MATCH($C1608,'Paramètres'!$D:$D,0))&amp;"","")="Les deux",IFERROR(INDEX('Paramètres'!$I:$I,MATCH($C1608,'Paramètres'!$D:$D,0))&amp;"","")=IF($P1608=1,"Débit",$L1608)),-IF($P1608=1,-$K1608,$K1608),0))))</f>
        <v/>
      </c>
      <c r="U1608" s="6" t="str">
        <f>IF($K1608="","",IF(ISNUMBER(SEARCH("sortie-epargne",IFERROR(INDEX('Paramètres'!$N:$N,MATCH($D1608,'Paramètres'!$M:$M,0))&amp;"",""))),$K1608,0))</f>
        <v/>
      </c>
      <c r="V1608" s="6" t="str">
        <f>IF(AND($A1608&lt;&gt;"",$O1608=1,$L1608="Débit",N($Q1608)&gt;0,$A1608&gt;=Visualisation!$B$1,$A1608&lt;Visualisation!$D$1),MAX($V$1:V1607)+1,"")</f>
        <v/>
      </c>
    </row>
    <row r="1609" spans="1:22" x14ac:dyDescent="0.25">
      <c r="A1609" s="9"/>
      <c r="E1609" s="10"/>
      <c r="K1609" s="11" t="str">
        <f>IF($E1609="","",ROUND($E1609*IF(ISNA(MATCH($C1609,'Paramètres'!$D:$D,0)),1,IF(INDEX('Paramètres'!$J:$J,MATCH($C1609,'Paramètres'!$D:$D,0))="",1,INDEX('Paramètres'!$J:$J,MATCH($C1609,'Paramètres'!$D:$D,0)))),2))</f>
        <v/>
      </c>
      <c r="L1609" s="6" t="str">
        <f>IF($D1609="","",IF($F1609&lt;&gt;"",$F1609,IF(ISNA(MATCH($D1609,'Paramètres'!$M:$M,0)),"⚠ Type inconnu",IFERROR(INDEX('Paramètres'!$P:$P,MATCH($D1609,'Paramètres'!$M:$M,0))&amp;"",""))))</f>
        <v/>
      </c>
      <c r="M1609" s="6" t="str">
        <f>IF($D1609="","",IF(ISNA(MATCH($D1609,'Paramètres'!$M:$M,0)),"⚠ Type inconnu",IF($L1609="Crédit","",IFERROR(INDEX('Paramètres'!$O:$O,MATCH($D1609,'Paramètres'!$M:$M,0))&amp;"",""))))</f>
        <v/>
      </c>
      <c r="N1609" s="6" t="str">
        <f>IF($D1609="","",IFERROR(INDEX('Paramètres'!$Q:$Q,MATCH($D1609,'Paramètres'!$M:$M,0))&amp;"",""))</f>
        <v/>
      </c>
      <c r="O1609" s="6" t="str">
        <f>IF($A1609="","",IF(OR($J1609&lt;&gt;"x",$A1609&lt;=FinReleve),1,0))</f>
        <v/>
      </c>
      <c r="P1609" s="6" t="str">
        <f>IF($D1609="","",IF(AND($L1609="Crédit",OR(IFERROR(INDEX('Paramètres'!$O:$O,MATCH($D1609,'Paramètres'!$M:$M,0))&amp;"","")&lt;&gt;"",ISNUMBER(SEARCH("remboursement",IFERROR(INDEX('Paramètres'!$N:$N,MATCH($D1609,'Paramètres'!$M:$M,0))&amp;"",""))))),1,0))</f>
        <v/>
      </c>
      <c r="Q1609" s="6" t="str">
        <f>IF($K1609="","",IF(ISNUMBER(SEARCH("transfert-interne",IFERROR(INDEX('Paramètres'!$N:$N,MATCH($D1609,'Paramètres'!$M:$M,0))&amp;"",""))),0,IF($L1609="Débit",$K1609,IF($P1609=1,-$K1609,0))))</f>
        <v/>
      </c>
      <c r="R1609" s="6" t="str">
        <f>IF($K1609="","",IF($L1609="Crédit",$K1609,-$K1609))</f>
        <v/>
      </c>
      <c r="S1609" s="6" t="str">
        <f>IF($C1609="","",IFERROR(INDEX('Paramètres'!$H:$H,MATCH($C1609,'Paramètres'!$D:$D,0))&amp;"",""))</f>
        <v/>
      </c>
      <c r="T1609" s="6" t="str">
        <f>IF($K1609="","",IF($S1609="",0,IF(ISNUMBER(SEARCH("apport-exterieur",IFERROR(INDEX('Paramètres'!$N:$N,MATCH($D1609,'Paramètres'!$M:$M,0))&amp;"",""))),0,IF(OR(IFERROR(INDEX('Paramètres'!$I:$I,MATCH($C1609,'Paramètres'!$D:$D,0))&amp;"","")="Les deux",IFERROR(INDEX('Paramètres'!$I:$I,MATCH($C1609,'Paramètres'!$D:$D,0))&amp;"","")=IF($P1609=1,"Débit",$L1609)),-IF($P1609=1,-$K1609,$K1609),0))))</f>
        <v/>
      </c>
      <c r="U1609" s="6" t="str">
        <f>IF($K1609="","",IF(ISNUMBER(SEARCH("sortie-epargne",IFERROR(INDEX('Paramètres'!$N:$N,MATCH($D1609,'Paramètres'!$M:$M,0))&amp;"",""))),$K1609,0))</f>
        <v/>
      </c>
      <c r="V1609" s="6" t="str">
        <f>IF(AND($A1609&lt;&gt;"",$O1609=1,$L1609="Débit",N($Q1609)&gt;0,$A1609&gt;=Visualisation!$B$1,$A1609&lt;Visualisation!$D$1),MAX($V$1:V1608)+1,"")</f>
        <v/>
      </c>
    </row>
    <row r="1610" spans="1:22" x14ac:dyDescent="0.25">
      <c r="A1610" s="9"/>
      <c r="E1610" s="10"/>
      <c r="K1610" s="11" t="str">
        <f>IF($E1610="","",ROUND($E1610*IF(ISNA(MATCH($C1610,'Paramètres'!$D:$D,0)),1,IF(INDEX('Paramètres'!$J:$J,MATCH($C1610,'Paramètres'!$D:$D,0))="",1,INDEX('Paramètres'!$J:$J,MATCH($C1610,'Paramètres'!$D:$D,0)))),2))</f>
        <v/>
      </c>
      <c r="L1610" s="6" t="str">
        <f>IF($D1610="","",IF($F1610&lt;&gt;"",$F1610,IF(ISNA(MATCH($D1610,'Paramètres'!$M:$M,0)),"⚠ Type inconnu",IFERROR(INDEX('Paramètres'!$P:$P,MATCH($D1610,'Paramètres'!$M:$M,0))&amp;"",""))))</f>
        <v/>
      </c>
      <c r="M1610" s="6" t="str">
        <f>IF($D1610="","",IF(ISNA(MATCH($D1610,'Paramètres'!$M:$M,0)),"⚠ Type inconnu",IF($L1610="Crédit","",IFERROR(INDEX('Paramètres'!$O:$O,MATCH($D1610,'Paramètres'!$M:$M,0))&amp;"",""))))</f>
        <v/>
      </c>
      <c r="N1610" s="6" t="str">
        <f>IF($D1610="","",IFERROR(INDEX('Paramètres'!$Q:$Q,MATCH($D1610,'Paramètres'!$M:$M,0))&amp;"",""))</f>
        <v/>
      </c>
      <c r="O1610" s="6" t="str">
        <f>IF($A1610="","",IF(OR($J1610&lt;&gt;"x",$A1610&lt;=FinReleve),1,0))</f>
        <v/>
      </c>
      <c r="P1610" s="6" t="str">
        <f>IF($D1610="","",IF(AND($L1610="Crédit",OR(IFERROR(INDEX('Paramètres'!$O:$O,MATCH($D1610,'Paramètres'!$M:$M,0))&amp;"","")&lt;&gt;"",ISNUMBER(SEARCH("remboursement",IFERROR(INDEX('Paramètres'!$N:$N,MATCH($D1610,'Paramètres'!$M:$M,0))&amp;"",""))))),1,0))</f>
        <v/>
      </c>
      <c r="Q1610" s="6" t="str">
        <f>IF($K1610="","",IF(ISNUMBER(SEARCH("transfert-interne",IFERROR(INDEX('Paramètres'!$N:$N,MATCH($D1610,'Paramètres'!$M:$M,0))&amp;"",""))),0,IF($L1610="Débit",$K1610,IF($P1610=1,-$K1610,0))))</f>
        <v/>
      </c>
      <c r="R1610" s="6" t="str">
        <f>IF($K1610="","",IF($L1610="Crédit",$K1610,-$K1610))</f>
        <v/>
      </c>
      <c r="S1610" s="6" t="str">
        <f>IF($C1610="","",IFERROR(INDEX('Paramètres'!$H:$H,MATCH($C1610,'Paramètres'!$D:$D,0))&amp;"",""))</f>
        <v/>
      </c>
      <c r="T1610" s="6" t="str">
        <f>IF($K1610="","",IF($S1610="",0,IF(ISNUMBER(SEARCH("apport-exterieur",IFERROR(INDEX('Paramètres'!$N:$N,MATCH($D1610,'Paramètres'!$M:$M,0))&amp;"",""))),0,IF(OR(IFERROR(INDEX('Paramètres'!$I:$I,MATCH($C1610,'Paramètres'!$D:$D,0))&amp;"","")="Les deux",IFERROR(INDEX('Paramètres'!$I:$I,MATCH($C1610,'Paramètres'!$D:$D,0))&amp;"","")=IF($P1610=1,"Débit",$L1610)),-IF($P1610=1,-$K1610,$K1610),0))))</f>
        <v/>
      </c>
      <c r="U1610" s="6" t="str">
        <f>IF($K1610="","",IF(ISNUMBER(SEARCH("sortie-epargne",IFERROR(INDEX('Paramètres'!$N:$N,MATCH($D1610,'Paramètres'!$M:$M,0))&amp;"",""))),$K1610,0))</f>
        <v/>
      </c>
      <c r="V1610" s="6" t="str">
        <f>IF(AND($A1610&lt;&gt;"",$O1610=1,$L1610="Débit",N($Q1610)&gt;0,$A1610&gt;=Visualisation!$B$1,$A1610&lt;Visualisation!$D$1),MAX($V$1:V1609)+1,"")</f>
        <v/>
      </c>
    </row>
    <row r="1611" spans="1:22" x14ac:dyDescent="0.25">
      <c r="A1611" s="9"/>
      <c r="E1611" s="10"/>
      <c r="K1611" s="11" t="str">
        <f>IF($E1611="","",ROUND($E1611*IF(ISNA(MATCH($C1611,'Paramètres'!$D:$D,0)),1,IF(INDEX('Paramètres'!$J:$J,MATCH($C1611,'Paramètres'!$D:$D,0))="",1,INDEX('Paramètres'!$J:$J,MATCH($C1611,'Paramètres'!$D:$D,0)))),2))</f>
        <v/>
      </c>
      <c r="L1611" s="6" t="str">
        <f>IF($D1611="","",IF($F1611&lt;&gt;"",$F1611,IF(ISNA(MATCH($D1611,'Paramètres'!$M:$M,0)),"⚠ Type inconnu",IFERROR(INDEX('Paramètres'!$P:$P,MATCH($D1611,'Paramètres'!$M:$M,0))&amp;"",""))))</f>
        <v/>
      </c>
      <c r="M1611" s="6" t="str">
        <f>IF($D1611="","",IF(ISNA(MATCH($D1611,'Paramètres'!$M:$M,0)),"⚠ Type inconnu",IF($L1611="Crédit","",IFERROR(INDEX('Paramètres'!$O:$O,MATCH($D1611,'Paramètres'!$M:$M,0))&amp;"",""))))</f>
        <v/>
      </c>
      <c r="N1611" s="6" t="str">
        <f>IF($D1611="","",IFERROR(INDEX('Paramètres'!$Q:$Q,MATCH($D1611,'Paramètres'!$M:$M,0))&amp;"",""))</f>
        <v/>
      </c>
      <c r="O1611" s="6" t="str">
        <f>IF($A1611="","",IF(OR($J1611&lt;&gt;"x",$A1611&lt;=FinReleve),1,0))</f>
        <v/>
      </c>
      <c r="P1611" s="6" t="str">
        <f>IF($D1611="","",IF(AND($L1611="Crédit",OR(IFERROR(INDEX('Paramètres'!$O:$O,MATCH($D1611,'Paramètres'!$M:$M,0))&amp;"","")&lt;&gt;"",ISNUMBER(SEARCH("remboursement",IFERROR(INDEX('Paramètres'!$N:$N,MATCH($D1611,'Paramètres'!$M:$M,0))&amp;"",""))))),1,0))</f>
        <v/>
      </c>
      <c r="Q1611" s="6" t="str">
        <f>IF($K1611="","",IF(ISNUMBER(SEARCH("transfert-interne",IFERROR(INDEX('Paramètres'!$N:$N,MATCH($D1611,'Paramètres'!$M:$M,0))&amp;"",""))),0,IF($L1611="Débit",$K1611,IF($P1611=1,-$K1611,0))))</f>
        <v/>
      </c>
      <c r="R1611" s="6" t="str">
        <f>IF($K1611="","",IF($L1611="Crédit",$K1611,-$K1611))</f>
        <v/>
      </c>
      <c r="S1611" s="6" t="str">
        <f>IF($C1611="","",IFERROR(INDEX('Paramètres'!$H:$H,MATCH($C1611,'Paramètres'!$D:$D,0))&amp;"",""))</f>
        <v/>
      </c>
      <c r="T1611" s="6" t="str">
        <f>IF($K1611="","",IF($S1611="",0,IF(ISNUMBER(SEARCH("apport-exterieur",IFERROR(INDEX('Paramètres'!$N:$N,MATCH($D1611,'Paramètres'!$M:$M,0))&amp;"",""))),0,IF(OR(IFERROR(INDEX('Paramètres'!$I:$I,MATCH($C1611,'Paramètres'!$D:$D,0))&amp;"","")="Les deux",IFERROR(INDEX('Paramètres'!$I:$I,MATCH($C1611,'Paramètres'!$D:$D,0))&amp;"","")=IF($P1611=1,"Débit",$L1611)),-IF($P1611=1,-$K1611,$K1611),0))))</f>
        <v/>
      </c>
      <c r="U1611" s="6" t="str">
        <f>IF($K1611="","",IF(ISNUMBER(SEARCH("sortie-epargne",IFERROR(INDEX('Paramètres'!$N:$N,MATCH($D1611,'Paramètres'!$M:$M,0))&amp;"",""))),$K1611,0))</f>
        <v/>
      </c>
      <c r="V1611" s="6" t="str">
        <f>IF(AND($A1611&lt;&gt;"",$O1611=1,$L1611="Débit",N($Q1611)&gt;0,$A1611&gt;=Visualisation!$B$1,$A1611&lt;Visualisation!$D$1),MAX($V$1:V1610)+1,"")</f>
        <v/>
      </c>
    </row>
    <row r="1612" spans="1:22" x14ac:dyDescent="0.25">
      <c r="A1612" s="9"/>
      <c r="E1612" s="10"/>
      <c r="K1612" s="11" t="str">
        <f>IF($E1612="","",ROUND($E1612*IF(ISNA(MATCH($C1612,'Paramètres'!$D:$D,0)),1,IF(INDEX('Paramètres'!$J:$J,MATCH($C1612,'Paramètres'!$D:$D,0))="",1,INDEX('Paramètres'!$J:$J,MATCH($C1612,'Paramètres'!$D:$D,0)))),2))</f>
        <v/>
      </c>
      <c r="L1612" s="6" t="str">
        <f>IF($D1612="","",IF($F1612&lt;&gt;"",$F1612,IF(ISNA(MATCH($D1612,'Paramètres'!$M:$M,0)),"⚠ Type inconnu",IFERROR(INDEX('Paramètres'!$P:$P,MATCH($D1612,'Paramètres'!$M:$M,0))&amp;"",""))))</f>
        <v/>
      </c>
      <c r="M1612" s="6" t="str">
        <f>IF($D1612="","",IF(ISNA(MATCH($D1612,'Paramètres'!$M:$M,0)),"⚠ Type inconnu",IF($L1612="Crédit","",IFERROR(INDEX('Paramètres'!$O:$O,MATCH($D1612,'Paramètres'!$M:$M,0))&amp;"",""))))</f>
        <v/>
      </c>
      <c r="N1612" s="6" t="str">
        <f>IF($D1612="","",IFERROR(INDEX('Paramètres'!$Q:$Q,MATCH($D1612,'Paramètres'!$M:$M,0))&amp;"",""))</f>
        <v/>
      </c>
      <c r="O1612" s="6" t="str">
        <f>IF($A1612="","",IF(OR($J1612&lt;&gt;"x",$A1612&lt;=FinReleve),1,0))</f>
        <v/>
      </c>
      <c r="P1612" s="6" t="str">
        <f>IF($D1612="","",IF(AND($L1612="Crédit",OR(IFERROR(INDEX('Paramètres'!$O:$O,MATCH($D1612,'Paramètres'!$M:$M,0))&amp;"","")&lt;&gt;"",ISNUMBER(SEARCH("remboursement",IFERROR(INDEX('Paramètres'!$N:$N,MATCH($D1612,'Paramètres'!$M:$M,0))&amp;"",""))))),1,0))</f>
        <v/>
      </c>
      <c r="Q1612" s="6" t="str">
        <f>IF($K1612="","",IF(ISNUMBER(SEARCH("transfert-interne",IFERROR(INDEX('Paramètres'!$N:$N,MATCH($D1612,'Paramètres'!$M:$M,0))&amp;"",""))),0,IF($L1612="Débit",$K1612,IF($P1612=1,-$K1612,0))))</f>
        <v/>
      </c>
      <c r="R1612" s="6" t="str">
        <f>IF($K1612="","",IF($L1612="Crédit",$K1612,-$K1612))</f>
        <v/>
      </c>
      <c r="S1612" s="6" t="str">
        <f>IF($C1612="","",IFERROR(INDEX('Paramètres'!$H:$H,MATCH($C1612,'Paramètres'!$D:$D,0))&amp;"",""))</f>
        <v/>
      </c>
      <c r="T1612" s="6" t="str">
        <f>IF($K1612="","",IF($S1612="",0,IF(ISNUMBER(SEARCH("apport-exterieur",IFERROR(INDEX('Paramètres'!$N:$N,MATCH($D1612,'Paramètres'!$M:$M,0))&amp;"",""))),0,IF(OR(IFERROR(INDEX('Paramètres'!$I:$I,MATCH($C1612,'Paramètres'!$D:$D,0))&amp;"","")="Les deux",IFERROR(INDEX('Paramètres'!$I:$I,MATCH($C1612,'Paramètres'!$D:$D,0))&amp;"","")=IF($P1612=1,"Débit",$L1612)),-IF($P1612=1,-$K1612,$K1612),0))))</f>
        <v/>
      </c>
      <c r="U1612" s="6" t="str">
        <f>IF($K1612="","",IF(ISNUMBER(SEARCH("sortie-epargne",IFERROR(INDEX('Paramètres'!$N:$N,MATCH($D1612,'Paramètres'!$M:$M,0))&amp;"",""))),$K1612,0))</f>
        <v/>
      </c>
      <c r="V1612" s="6" t="str">
        <f>IF(AND($A1612&lt;&gt;"",$O1612=1,$L1612="Débit",N($Q1612)&gt;0,$A1612&gt;=Visualisation!$B$1,$A1612&lt;Visualisation!$D$1),MAX($V$1:V1611)+1,"")</f>
        <v/>
      </c>
    </row>
    <row r="1613" spans="1:22" x14ac:dyDescent="0.25">
      <c r="A1613" s="9"/>
      <c r="E1613" s="10"/>
      <c r="K1613" s="11" t="str">
        <f>IF($E1613="","",ROUND($E1613*IF(ISNA(MATCH($C1613,'Paramètres'!$D:$D,0)),1,IF(INDEX('Paramètres'!$J:$J,MATCH($C1613,'Paramètres'!$D:$D,0))="",1,INDEX('Paramètres'!$J:$J,MATCH($C1613,'Paramètres'!$D:$D,0)))),2))</f>
        <v/>
      </c>
      <c r="L1613" s="6" t="str">
        <f>IF($D1613="","",IF($F1613&lt;&gt;"",$F1613,IF(ISNA(MATCH($D1613,'Paramètres'!$M:$M,0)),"⚠ Type inconnu",IFERROR(INDEX('Paramètres'!$P:$P,MATCH($D1613,'Paramètres'!$M:$M,0))&amp;"",""))))</f>
        <v/>
      </c>
      <c r="M1613" s="6" t="str">
        <f>IF($D1613="","",IF(ISNA(MATCH($D1613,'Paramètres'!$M:$M,0)),"⚠ Type inconnu",IF($L1613="Crédit","",IFERROR(INDEX('Paramètres'!$O:$O,MATCH($D1613,'Paramètres'!$M:$M,0))&amp;"",""))))</f>
        <v/>
      </c>
      <c r="N1613" s="6" t="str">
        <f>IF($D1613="","",IFERROR(INDEX('Paramètres'!$Q:$Q,MATCH($D1613,'Paramètres'!$M:$M,0))&amp;"",""))</f>
        <v/>
      </c>
      <c r="O1613" s="6" t="str">
        <f>IF($A1613="","",IF(OR($J1613&lt;&gt;"x",$A1613&lt;=FinReleve),1,0))</f>
        <v/>
      </c>
      <c r="P1613" s="6" t="str">
        <f>IF($D1613="","",IF(AND($L1613="Crédit",OR(IFERROR(INDEX('Paramètres'!$O:$O,MATCH($D1613,'Paramètres'!$M:$M,0))&amp;"","")&lt;&gt;"",ISNUMBER(SEARCH("remboursement",IFERROR(INDEX('Paramètres'!$N:$N,MATCH($D1613,'Paramètres'!$M:$M,0))&amp;"",""))))),1,0))</f>
        <v/>
      </c>
      <c r="Q1613" s="6" t="str">
        <f>IF($K1613="","",IF(ISNUMBER(SEARCH("transfert-interne",IFERROR(INDEX('Paramètres'!$N:$N,MATCH($D1613,'Paramètres'!$M:$M,0))&amp;"",""))),0,IF($L1613="Débit",$K1613,IF($P1613=1,-$K1613,0))))</f>
        <v/>
      </c>
      <c r="R1613" s="6" t="str">
        <f>IF($K1613="","",IF($L1613="Crédit",$K1613,-$K1613))</f>
        <v/>
      </c>
      <c r="S1613" s="6" t="str">
        <f>IF($C1613="","",IFERROR(INDEX('Paramètres'!$H:$H,MATCH($C1613,'Paramètres'!$D:$D,0))&amp;"",""))</f>
        <v/>
      </c>
      <c r="T1613" s="6" t="str">
        <f>IF($K1613="","",IF($S1613="",0,IF(ISNUMBER(SEARCH("apport-exterieur",IFERROR(INDEX('Paramètres'!$N:$N,MATCH($D1613,'Paramètres'!$M:$M,0))&amp;"",""))),0,IF(OR(IFERROR(INDEX('Paramètres'!$I:$I,MATCH($C1613,'Paramètres'!$D:$D,0))&amp;"","")="Les deux",IFERROR(INDEX('Paramètres'!$I:$I,MATCH($C1613,'Paramètres'!$D:$D,0))&amp;"","")=IF($P1613=1,"Débit",$L1613)),-IF($P1613=1,-$K1613,$K1613),0))))</f>
        <v/>
      </c>
      <c r="U1613" s="6" t="str">
        <f>IF($K1613="","",IF(ISNUMBER(SEARCH("sortie-epargne",IFERROR(INDEX('Paramètres'!$N:$N,MATCH($D1613,'Paramètres'!$M:$M,0))&amp;"",""))),$K1613,0))</f>
        <v/>
      </c>
      <c r="V1613" s="6" t="str">
        <f>IF(AND($A1613&lt;&gt;"",$O1613=1,$L1613="Débit",N($Q1613)&gt;0,$A1613&gt;=Visualisation!$B$1,$A1613&lt;Visualisation!$D$1),MAX($V$1:V1612)+1,"")</f>
        <v/>
      </c>
    </row>
    <row r="1614" spans="1:22" x14ac:dyDescent="0.25">
      <c r="A1614" s="9"/>
      <c r="E1614" s="10"/>
      <c r="K1614" s="11" t="str">
        <f>IF($E1614="","",ROUND($E1614*IF(ISNA(MATCH($C1614,'Paramètres'!$D:$D,0)),1,IF(INDEX('Paramètres'!$J:$J,MATCH($C1614,'Paramètres'!$D:$D,0))="",1,INDEX('Paramètres'!$J:$J,MATCH($C1614,'Paramètres'!$D:$D,0)))),2))</f>
        <v/>
      </c>
      <c r="L1614" s="6" t="str">
        <f>IF($D1614="","",IF($F1614&lt;&gt;"",$F1614,IF(ISNA(MATCH($D1614,'Paramètres'!$M:$M,0)),"⚠ Type inconnu",IFERROR(INDEX('Paramètres'!$P:$P,MATCH($D1614,'Paramètres'!$M:$M,0))&amp;"",""))))</f>
        <v/>
      </c>
      <c r="M1614" s="6" t="str">
        <f>IF($D1614="","",IF(ISNA(MATCH($D1614,'Paramètres'!$M:$M,0)),"⚠ Type inconnu",IF($L1614="Crédit","",IFERROR(INDEX('Paramètres'!$O:$O,MATCH($D1614,'Paramètres'!$M:$M,0))&amp;"",""))))</f>
        <v/>
      </c>
      <c r="N1614" s="6" t="str">
        <f>IF($D1614="","",IFERROR(INDEX('Paramètres'!$Q:$Q,MATCH($D1614,'Paramètres'!$M:$M,0))&amp;"",""))</f>
        <v/>
      </c>
      <c r="O1614" s="6" t="str">
        <f>IF($A1614="","",IF(OR($J1614&lt;&gt;"x",$A1614&lt;=FinReleve),1,0))</f>
        <v/>
      </c>
      <c r="P1614" s="6" t="str">
        <f>IF($D1614="","",IF(AND($L1614="Crédit",OR(IFERROR(INDEX('Paramètres'!$O:$O,MATCH($D1614,'Paramètres'!$M:$M,0))&amp;"","")&lt;&gt;"",ISNUMBER(SEARCH("remboursement",IFERROR(INDEX('Paramètres'!$N:$N,MATCH($D1614,'Paramètres'!$M:$M,0))&amp;"",""))))),1,0))</f>
        <v/>
      </c>
      <c r="Q1614" s="6" t="str">
        <f>IF($K1614="","",IF(ISNUMBER(SEARCH("transfert-interne",IFERROR(INDEX('Paramètres'!$N:$N,MATCH($D1614,'Paramètres'!$M:$M,0))&amp;"",""))),0,IF($L1614="Débit",$K1614,IF($P1614=1,-$K1614,0))))</f>
        <v/>
      </c>
      <c r="R1614" s="6" t="str">
        <f>IF($K1614="","",IF($L1614="Crédit",$K1614,-$K1614))</f>
        <v/>
      </c>
      <c r="S1614" s="6" t="str">
        <f>IF($C1614="","",IFERROR(INDEX('Paramètres'!$H:$H,MATCH($C1614,'Paramètres'!$D:$D,0))&amp;"",""))</f>
        <v/>
      </c>
      <c r="T1614" s="6" t="str">
        <f>IF($K1614="","",IF($S1614="",0,IF(ISNUMBER(SEARCH("apport-exterieur",IFERROR(INDEX('Paramètres'!$N:$N,MATCH($D1614,'Paramètres'!$M:$M,0))&amp;"",""))),0,IF(OR(IFERROR(INDEX('Paramètres'!$I:$I,MATCH($C1614,'Paramètres'!$D:$D,0))&amp;"","")="Les deux",IFERROR(INDEX('Paramètres'!$I:$I,MATCH($C1614,'Paramètres'!$D:$D,0))&amp;"","")=IF($P1614=1,"Débit",$L1614)),-IF($P1614=1,-$K1614,$K1614),0))))</f>
        <v/>
      </c>
      <c r="U1614" s="6" t="str">
        <f>IF($K1614="","",IF(ISNUMBER(SEARCH("sortie-epargne",IFERROR(INDEX('Paramètres'!$N:$N,MATCH($D1614,'Paramètres'!$M:$M,0))&amp;"",""))),$K1614,0))</f>
        <v/>
      </c>
      <c r="V1614" s="6" t="str">
        <f>IF(AND($A1614&lt;&gt;"",$O1614=1,$L1614="Débit",N($Q1614)&gt;0,$A1614&gt;=Visualisation!$B$1,$A1614&lt;Visualisation!$D$1),MAX($V$1:V1613)+1,"")</f>
        <v/>
      </c>
    </row>
    <row r="1615" spans="1:22" x14ac:dyDescent="0.25">
      <c r="A1615" s="9"/>
      <c r="E1615" s="10"/>
      <c r="K1615" s="11" t="str">
        <f>IF($E1615="","",ROUND($E1615*IF(ISNA(MATCH($C1615,'Paramètres'!$D:$D,0)),1,IF(INDEX('Paramètres'!$J:$J,MATCH($C1615,'Paramètres'!$D:$D,0))="",1,INDEX('Paramètres'!$J:$J,MATCH($C1615,'Paramètres'!$D:$D,0)))),2))</f>
        <v/>
      </c>
      <c r="L1615" s="6" t="str">
        <f>IF($D1615="","",IF($F1615&lt;&gt;"",$F1615,IF(ISNA(MATCH($D1615,'Paramètres'!$M:$M,0)),"⚠ Type inconnu",IFERROR(INDEX('Paramètres'!$P:$P,MATCH($D1615,'Paramètres'!$M:$M,0))&amp;"",""))))</f>
        <v/>
      </c>
      <c r="M1615" s="6" t="str">
        <f>IF($D1615="","",IF(ISNA(MATCH($D1615,'Paramètres'!$M:$M,0)),"⚠ Type inconnu",IF($L1615="Crédit","",IFERROR(INDEX('Paramètres'!$O:$O,MATCH($D1615,'Paramètres'!$M:$M,0))&amp;"",""))))</f>
        <v/>
      </c>
      <c r="N1615" s="6" t="str">
        <f>IF($D1615="","",IFERROR(INDEX('Paramètres'!$Q:$Q,MATCH($D1615,'Paramètres'!$M:$M,0))&amp;"",""))</f>
        <v/>
      </c>
      <c r="O1615" s="6" t="str">
        <f>IF($A1615="","",IF(OR($J1615&lt;&gt;"x",$A1615&lt;=FinReleve),1,0))</f>
        <v/>
      </c>
      <c r="P1615" s="6" t="str">
        <f>IF($D1615="","",IF(AND($L1615="Crédit",OR(IFERROR(INDEX('Paramètres'!$O:$O,MATCH($D1615,'Paramètres'!$M:$M,0))&amp;"","")&lt;&gt;"",ISNUMBER(SEARCH("remboursement",IFERROR(INDEX('Paramètres'!$N:$N,MATCH($D1615,'Paramètres'!$M:$M,0))&amp;"",""))))),1,0))</f>
        <v/>
      </c>
      <c r="Q1615" s="6" t="str">
        <f>IF($K1615="","",IF(ISNUMBER(SEARCH("transfert-interne",IFERROR(INDEX('Paramètres'!$N:$N,MATCH($D1615,'Paramètres'!$M:$M,0))&amp;"",""))),0,IF($L1615="Débit",$K1615,IF($P1615=1,-$K1615,0))))</f>
        <v/>
      </c>
      <c r="R1615" s="6" t="str">
        <f>IF($K1615="","",IF($L1615="Crédit",$K1615,-$K1615))</f>
        <v/>
      </c>
      <c r="S1615" s="6" t="str">
        <f>IF($C1615="","",IFERROR(INDEX('Paramètres'!$H:$H,MATCH($C1615,'Paramètres'!$D:$D,0))&amp;"",""))</f>
        <v/>
      </c>
      <c r="T1615" s="6" t="str">
        <f>IF($K1615="","",IF($S1615="",0,IF(ISNUMBER(SEARCH("apport-exterieur",IFERROR(INDEX('Paramètres'!$N:$N,MATCH($D1615,'Paramètres'!$M:$M,0))&amp;"",""))),0,IF(OR(IFERROR(INDEX('Paramètres'!$I:$I,MATCH($C1615,'Paramètres'!$D:$D,0))&amp;"","")="Les deux",IFERROR(INDEX('Paramètres'!$I:$I,MATCH($C1615,'Paramètres'!$D:$D,0))&amp;"","")=IF($P1615=1,"Débit",$L1615)),-IF($P1615=1,-$K1615,$K1615),0))))</f>
        <v/>
      </c>
      <c r="U1615" s="6" t="str">
        <f>IF($K1615="","",IF(ISNUMBER(SEARCH("sortie-epargne",IFERROR(INDEX('Paramètres'!$N:$N,MATCH($D1615,'Paramètres'!$M:$M,0))&amp;"",""))),$K1615,0))</f>
        <v/>
      </c>
      <c r="V1615" s="6" t="str">
        <f>IF(AND($A1615&lt;&gt;"",$O1615=1,$L1615="Débit",N($Q1615)&gt;0,$A1615&gt;=Visualisation!$B$1,$A1615&lt;Visualisation!$D$1),MAX($V$1:V1614)+1,"")</f>
        <v/>
      </c>
    </row>
    <row r="1616" spans="1:22" x14ac:dyDescent="0.25">
      <c r="A1616" s="9"/>
      <c r="E1616" s="10"/>
      <c r="K1616" s="11" t="str">
        <f>IF($E1616="","",ROUND($E1616*IF(ISNA(MATCH($C1616,'Paramètres'!$D:$D,0)),1,IF(INDEX('Paramètres'!$J:$J,MATCH($C1616,'Paramètres'!$D:$D,0))="",1,INDEX('Paramètres'!$J:$J,MATCH($C1616,'Paramètres'!$D:$D,0)))),2))</f>
        <v/>
      </c>
      <c r="L1616" s="6" t="str">
        <f>IF($D1616="","",IF($F1616&lt;&gt;"",$F1616,IF(ISNA(MATCH($D1616,'Paramètres'!$M:$M,0)),"⚠ Type inconnu",IFERROR(INDEX('Paramètres'!$P:$P,MATCH($D1616,'Paramètres'!$M:$M,0))&amp;"",""))))</f>
        <v/>
      </c>
      <c r="M1616" s="6" t="str">
        <f>IF($D1616="","",IF(ISNA(MATCH($D1616,'Paramètres'!$M:$M,0)),"⚠ Type inconnu",IF($L1616="Crédit","",IFERROR(INDEX('Paramètres'!$O:$O,MATCH($D1616,'Paramètres'!$M:$M,0))&amp;"",""))))</f>
        <v/>
      </c>
      <c r="N1616" s="6" t="str">
        <f>IF($D1616="","",IFERROR(INDEX('Paramètres'!$Q:$Q,MATCH($D1616,'Paramètres'!$M:$M,0))&amp;"",""))</f>
        <v/>
      </c>
      <c r="O1616" s="6" t="str">
        <f>IF($A1616="","",IF(OR($J1616&lt;&gt;"x",$A1616&lt;=FinReleve),1,0))</f>
        <v/>
      </c>
      <c r="P1616" s="6" t="str">
        <f>IF($D1616="","",IF(AND($L1616="Crédit",OR(IFERROR(INDEX('Paramètres'!$O:$O,MATCH($D1616,'Paramètres'!$M:$M,0))&amp;"","")&lt;&gt;"",ISNUMBER(SEARCH("remboursement",IFERROR(INDEX('Paramètres'!$N:$N,MATCH($D1616,'Paramètres'!$M:$M,0))&amp;"",""))))),1,0))</f>
        <v/>
      </c>
      <c r="Q1616" s="6" t="str">
        <f>IF($K1616="","",IF(ISNUMBER(SEARCH("transfert-interne",IFERROR(INDEX('Paramètres'!$N:$N,MATCH($D1616,'Paramètres'!$M:$M,0))&amp;"",""))),0,IF($L1616="Débit",$K1616,IF($P1616=1,-$K1616,0))))</f>
        <v/>
      </c>
      <c r="R1616" s="6" t="str">
        <f>IF($K1616="","",IF($L1616="Crédit",$K1616,-$K1616))</f>
        <v/>
      </c>
      <c r="S1616" s="6" t="str">
        <f>IF($C1616="","",IFERROR(INDEX('Paramètres'!$H:$H,MATCH($C1616,'Paramètres'!$D:$D,0))&amp;"",""))</f>
        <v/>
      </c>
      <c r="T1616" s="6" t="str">
        <f>IF($K1616="","",IF($S1616="",0,IF(ISNUMBER(SEARCH("apport-exterieur",IFERROR(INDEX('Paramètres'!$N:$N,MATCH($D1616,'Paramètres'!$M:$M,0))&amp;"",""))),0,IF(OR(IFERROR(INDEX('Paramètres'!$I:$I,MATCH($C1616,'Paramètres'!$D:$D,0))&amp;"","")="Les deux",IFERROR(INDEX('Paramètres'!$I:$I,MATCH($C1616,'Paramètres'!$D:$D,0))&amp;"","")=IF($P1616=1,"Débit",$L1616)),-IF($P1616=1,-$K1616,$K1616),0))))</f>
        <v/>
      </c>
      <c r="U1616" s="6" t="str">
        <f>IF($K1616="","",IF(ISNUMBER(SEARCH("sortie-epargne",IFERROR(INDEX('Paramètres'!$N:$N,MATCH($D1616,'Paramètres'!$M:$M,0))&amp;"",""))),$K1616,0))</f>
        <v/>
      </c>
      <c r="V1616" s="6" t="str">
        <f>IF(AND($A1616&lt;&gt;"",$O1616=1,$L1616="Débit",N($Q1616)&gt;0,$A1616&gt;=Visualisation!$B$1,$A1616&lt;Visualisation!$D$1),MAX($V$1:V1615)+1,"")</f>
        <v/>
      </c>
    </row>
    <row r="1617" spans="1:22" x14ac:dyDescent="0.25">
      <c r="A1617" s="9"/>
      <c r="E1617" s="10"/>
      <c r="K1617" s="11" t="str">
        <f>IF($E1617="","",ROUND($E1617*IF(ISNA(MATCH($C1617,'Paramètres'!$D:$D,0)),1,IF(INDEX('Paramètres'!$J:$J,MATCH($C1617,'Paramètres'!$D:$D,0))="",1,INDEX('Paramètres'!$J:$J,MATCH($C1617,'Paramètres'!$D:$D,0)))),2))</f>
        <v/>
      </c>
      <c r="L1617" s="6" t="str">
        <f>IF($D1617="","",IF($F1617&lt;&gt;"",$F1617,IF(ISNA(MATCH($D1617,'Paramètres'!$M:$M,0)),"⚠ Type inconnu",IFERROR(INDEX('Paramètres'!$P:$P,MATCH($D1617,'Paramètres'!$M:$M,0))&amp;"",""))))</f>
        <v/>
      </c>
      <c r="M1617" s="6" t="str">
        <f>IF($D1617="","",IF(ISNA(MATCH($D1617,'Paramètres'!$M:$M,0)),"⚠ Type inconnu",IF($L1617="Crédit","",IFERROR(INDEX('Paramètres'!$O:$O,MATCH($D1617,'Paramètres'!$M:$M,0))&amp;"",""))))</f>
        <v/>
      </c>
      <c r="N1617" s="6" t="str">
        <f>IF($D1617="","",IFERROR(INDEX('Paramètres'!$Q:$Q,MATCH($D1617,'Paramètres'!$M:$M,0))&amp;"",""))</f>
        <v/>
      </c>
      <c r="O1617" s="6" t="str">
        <f>IF($A1617="","",IF(OR($J1617&lt;&gt;"x",$A1617&lt;=FinReleve),1,0))</f>
        <v/>
      </c>
      <c r="P1617" s="6" t="str">
        <f>IF($D1617="","",IF(AND($L1617="Crédit",OR(IFERROR(INDEX('Paramètres'!$O:$O,MATCH($D1617,'Paramètres'!$M:$M,0))&amp;"","")&lt;&gt;"",ISNUMBER(SEARCH("remboursement",IFERROR(INDEX('Paramètres'!$N:$N,MATCH($D1617,'Paramètres'!$M:$M,0))&amp;"",""))))),1,0))</f>
        <v/>
      </c>
      <c r="Q1617" s="6" t="str">
        <f>IF($K1617="","",IF(ISNUMBER(SEARCH("transfert-interne",IFERROR(INDEX('Paramètres'!$N:$N,MATCH($D1617,'Paramètres'!$M:$M,0))&amp;"",""))),0,IF($L1617="Débit",$K1617,IF($P1617=1,-$K1617,0))))</f>
        <v/>
      </c>
      <c r="R1617" s="6" t="str">
        <f>IF($K1617="","",IF($L1617="Crédit",$K1617,-$K1617))</f>
        <v/>
      </c>
      <c r="S1617" s="6" t="str">
        <f>IF($C1617="","",IFERROR(INDEX('Paramètres'!$H:$H,MATCH($C1617,'Paramètres'!$D:$D,0))&amp;"",""))</f>
        <v/>
      </c>
      <c r="T1617" s="6" t="str">
        <f>IF($K1617="","",IF($S1617="",0,IF(ISNUMBER(SEARCH("apport-exterieur",IFERROR(INDEX('Paramètres'!$N:$N,MATCH($D1617,'Paramètres'!$M:$M,0))&amp;"",""))),0,IF(OR(IFERROR(INDEX('Paramètres'!$I:$I,MATCH($C1617,'Paramètres'!$D:$D,0))&amp;"","")="Les deux",IFERROR(INDEX('Paramètres'!$I:$I,MATCH($C1617,'Paramètres'!$D:$D,0))&amp;"","")=IF($P1617=1,"Débit",$L1617)),-IF($P1617=1,-$K1617,$K1617),0))))</f>
        <v/>
      </c>
      <c r="U1617" s="6" t="str">
        <f>IF($K1617="","",IF(ISNUMBER(SEARCH("sortie-epargne",IFERROR(INDEX('Paramètres'!$N:$N,MATCH($D1617,'Paramètres'!$M:$M,0))&amp;"",""))),$K1617,0))</f>
        <v/>
      </c>
      <c r="V1617" s="6" t="str">
        <f>IF(AND($A1617&lt;&gt;"",$O1617=1,$L1617="Débit",N($Q1617)&gt;0,$A1617&gt;=Visualisation!$B$1,$A1617&lt;Visualisation!$D$1),MAX($V$1:V1616)+1,"")</f>
        <v/>
      </c>
    </row>
    <row r="1618" spans="1:22" x14ac:dyDescent="0.25">
      <c r="A1618" s="9"/>
      <c r="E1618" s="10"/>
      <c r="K1618" s="11" t="str">
        <f>IF($E1618="","",ROUND($E1618*IF(ISNA(MATCH($C1618,'Paramètres'!$D:$D,0)),1,IF(INDEX('Paramètres'!$J:$J,MATCH($C1618,'Paramètres'!$D:$D,0))="",1,INDEX('Paramètres'!$J:$J,MATCH($C1618,'Paramètres'!$D:$D,0)))),2))</f>
        <v/>
      </c>
      <c r="L1618" s="6" t="str">
        <f>IF($D1618="","",IF($F1618&lt;&gt;"",$F1618,IF(ISNA(MATCH($D1618,'Paramètres'!$M:$M,0)),"⚠ Type inconnu",IFERROR(INDEX('Paramètres'!$P:$P,MATCH($D1618,'Paramètres'!$M:$M,0))&amp;"",""))))</f>
        <v/>
      </c>
      <c r="M1618" s="6" t="str">
        <f>IF($D1618="","",IF(ISNA(MATCH($D1618,'Paramètres'!$M:$M,0)),"⚠ Type inconnu",IF($L1618="Crédit","",IFERROR(INDEX('Paramètres'!$O:$O,MATCH($D1618,'Paramètres'!$M:$M,0))&amp;"",""))))</f>
        <v/>
      </c>
      <c r="N1618" s="6" t="str">
        <f>IF($D1618="","",IFERROR(INDEX('Paramètres'!$Q:$Q,MATCH($D1618,'Paramètres'!$M:$M,0))&amp;"",""))</f>
        <v/>
      </c>
      <c r="O1618" s="6" t="str">
        <f>IF($A1618="","",IF(OR($J1618&lt;&gt;"x",$A1618&lt;=FinReleve),1,0))</f>
        <v/>
      </c>
      <c r="P1618" s="6" t="str">
        <f>IF($D1618="","",IF(AND($L1618="Crédit",OR(IFERROR(INDEX('Paramètres'!$O:$O,MATCH($D1618,'Paramètres'!$M:$M,0))&amp;"","")&lt;&gt;"",ISNUMBER(SEARCH("remboursement",IFERROR(INDEX('Paramètres'!$N:$N,MATCH($D1618,'Paramètres'!$M:$M,0))&amp;"",""))))),1,0))</f>
        <v/>
      </c>
      <c r="Q1618" s="6" t="str">
        <f>IF($K1618="","",IF(ISNUMBER(SEARCH("transfert-interne",IFERROR(INDEX('Paramètres'!$N:$N,MATCH($D1618,'Paramètres'!$M:$M,0))&amp;"",""))),0,IF($L1618="Débit",$K1618,IF($P1618=1,-$K1618,0))))</f>
        <v/>
      </c>
      <c r="R1618" s="6" t="str">
        <f>IF($K1618="","",IF($L1618="Crédit",$K1618,-$K1618))</f>
        <v/>
      </c>
      <c r="S1618" s="6" t="str">
        <f>IF($C1618="","",IFERROR(INDEX('Paramètres'!$H:$H,MATCH($C1618,'Paramètres'!$D:$D,0))&amp;"",""))</f>
        <v/>
      </c>
      <c r="T1618" s="6" t="str">
        <f>IF($K1618="","",IF($S1618="",0,IF(ISNUMBER(SEARCH("apport-exterieur",IFERROR(INDEX('Paramètres'!$N:$N,MATCH($D1618,'Paramètres'!$M:$M,0))&amp;"",""))),0,IF(OR(IFERROR(INDEX('Paramètres'!$I:$I,MATCH($C1618,'Paramètres'!$D:$D,0))&amp;"","")="Les deux",IFERROR(INDEX('Paramètres'!$I:$I,MATCH($C1618,'Paramètres'!$D:$D,0))&amp;"","")=IF($P1618=1,"Débit",$L1618)),-IF($P1618=1,-$K1618,$K1618),0))))</f>
        <v/>
      </c>
      <c r="U1618" s="6" t="str">
        <f>IF($K1618="","",IF(ISNUMBER(SEARCH("sortie-epargne",IFERROR(INDEX('Paramètres'!$N:$N,MATCH($D1618,'Paramètres'!$M:$M,0))&amp;"",""))),$K1618,0))</f>
        <v/>
      </c>
      <c r="V1618" s="6" t="str">
        <f>IF(AND($A1618&lt;&gt;"",$O1618=1,$L1618="Débit",N($Q1618)&gt;0,$A1618&gt;=Visualisation!$B$1,$A1618&lt;Visualisation!$D$1),MAX($V$1:V1617)+1,"")</f>
        <v/>
      </c>
    </row>
    <row r="1619" spans="1:22" x14ac:dyDescent="0.25">
      <c r="A1619" s="9"/>
      <c r="E1619" s="10"/>
      <c r="K1619" s="11" t="str">
        <f>IF($E1619="","",ROUND($E1619*IF(ISNA(MATCH($C1619,'Paramètres'!$D:$D,0)),1,IF(INDEX('Paramètres'!$J:$J,MATCH($C1619,'Paramètres'!$D:$D,0))="",1,INDEX('Paramètres'!$J:$J,MATCH($C1619,'Paramètres'!$D:$D,0)))),2))</f>
        <v/>
      </c>
      <c r="L1619" s="6" t="str">
        <f>IF($D1619="","",IF($F1619&lt;&gt;"",$F1619,IF(ISNA(MATCH($D1619,'Paramètres'!$M:$M,0)),"⚠ Type inconnu",IFERROR(INDEX('Paramètres'!$P:$P,MATCH($D1619,'Paramètres'!$M:$M,0))&amp;"",""))))</f>
        <v/>
      </c>
      <c r="M1619" s="6" t="str">
        <f>IF($D1619="","",IF(ISNA(MATCH($D1619,'Paramètres'!$M:$M,0)),"⚠ Type inconnu",IF($L1619="Crédit","",IFERROR(INDEX('Paramètres'!$O:$O,MATCH($D1619,'Paramètres'!$M:$M,0))&amp;"",""))))</f>
        <v/>
      </c>
      <c r="N1619" s="6" t="str">
        <f>IF($D1619="","",IFERROR(INDEX('Paramètres'!$Q:$Q,MATCH($D1619,'Paramètres'!$M:$M,0))&amp;"",""))</f>
        <v/>
      </c>
      <c r="O1619" s="6" t="str">
        <f>IF($A1619="","",IF(OR($J1619&lt;&gt;"x",$A1619&lt;=FinReleve),1,0))</f>
        <v/>
      </c>
      <c r="P1619" s="6" t="str">
        <f>IF($D1619="","",IF(AND($L1619="Crédit",OR(IFERROR(INDEX('Paramètres'!$O:$O,MATCH($D1619,'Paramètres'!$M:$M,0))&amp;"","")&lt;&gt;"",ISNUMBER(SEARCH("remboursement",IFERROR(INDEX('Paramètres'!$N:$N,MATCH($D1619,'Paramètres'!$M:$M,0))&amp;"",""))))),1,0))</f>
        <v/>
      </c>
      <c r="Q1619" s="6" t="str">
        <f>IF($K1619="","",IF(ISNUMBER(SEARCH("transfert-interne",IFERROR(INDEX('Paramètres'!$N:$N,MATCH($D1619,'Paramètres'!$M:$M,0))&amp;"",""))),0,IF($L1619="Débit",$K1619,IF($P1619=1,-$K1619,0))))</f>
        <v/>
      </c>
      <c r="R1619" s="6" t="str">
        <f>IF($K1619="","",IF($L1619="Crédit",$K1619,-$K1619))</f>
        <v/>
      </c>
      <c r="S1619" s="6" t="str">
        <f>IF($C1619="","",IFERROR(INDEX('Paramètres'!$H:$H,MATCH($C1619,'Paramètres'!$D:$D,0))&amp;"",""))</f>
        <v/>
      </c>
      <c r="T1619" s="6" t="str">
        <f>IF($K1619="","",IF($S1619="",0,IF(ISNUMBER(SEARCH("apport-exterieur",IFERROR(INDEX('Paramètres'!$N:$N,MATCH($D1619,'Paramètres'!$M:$M,0))&amp;"",""))),0,IF(OR(IFERROR(INDEX('Paramètres'!$I:$I,MATCH($C1619,'Paramètres'!$D:$D,0))&amp;"","")="Les deux",IFERROR(INDEX('Paramètres'!$I:$I,MATCH($C1619,'Paramètres'!$D:$D,0))&amp;"","")=IF($P1619=1,"Débit",$L1619)),-IF($P1619=1,-$K1619,$K1619),0))))</f>
        <v/>
      </c>
      <c r="U1619" s="6" t="str">
        <f>IF($K1619="","",IF(ISNUMBER(SEARCH("sortie-epargne",IFERROR(INDEX('Paramètres'!$N:$N,MATCH($D1619,'Paramètres'!$M:$M,0))&amp;"",""))),$K1619,0))</f>
        <v/>
      </c>
      <c r="V1619" s="6" t="str">
        <f>IF(AND($A1619&lt;&gt;"",$O1619=1,$L1619="Débit",N($Q1619)&gt;0,$A1619&gt;=Visualisation!$B$1,$A1619&lt;Visualisation!$D$1),MAX($V$1:V1618)+1,"")</f>
        <v/>
      </c>
    </row>
    <row r="1620" spans="1:22" x14ac:dyDescent="0.25">
      <c r="A1620" s="9"/>
      <c r="E1620" s="10"/>
      <c r="K1620" s="11" t="str">
        <f>IF($E1620="","",ROUND($E1620*IF(ISNA(MATCH($C1620,'Paramètres'!$D:$D,0)),1,IF(INDEX('Paramètres'!$J:$J,MATCH($C1620,'Paramètres'!$D:$D,0))="",1,INDEX('Paramètres'!$J:$J,MATCH($C1620,'Paramètres'!$D:$D,0)))),2))</f>
        <v/>
      </c>
      <c r="L1620" s="6" t="str">
        <f>IF($D1620="","",IF($F1620&lt;&gt;"",$F1620,IF(ISNA(MATCH($D1620,'Paramètres'!$M:$M,0)),"⚠ Type inconnu",IFERROR(INDEX('Paramètres'!$P:$P,MATCH($D1620,'Paramètres'!$M:$M,0))&amp;"",""))))</f>
        <v/>
      </c>
      <c r="M1620" s="6" t="str">
        <f>IF($D1620="","",IF(ISNA(MATCH($D1620,'Paramètres'!$M:$M,0)),"⚠ Type inconnu",IF($L1620="Crédit","",IFERROR(INDEX('Paramètres'!$O:$O,MATCH($D1620,'Paramètres'!$M:$M,0))&amp;"",""))))</f>
        <v/>
      </c>
      <c r="N1620" s="6" t="str">
        <f>IF($D1620="","",IFERROR(INDEX('Paramètres'!$Q:$Q,MATCH($D1620,'Paramètres'!$M:$M,0))&amp;"",""))</f>
        <v/>
      </c>
      <c r="O1620" s="6" t="str">
        <f>IF($A1620="","",IF(OR($J1620&lt;&gt;"x",$A1620&lt;=FinReleve),1,0))</f>
        <v/>
      </c>
      <c r="P1620" s="6" t="str">
        <f>IF($D1620="","",IF(AND($L1620="Crédit",OR(IFERROR(INDEX('Paramètres'!$O:$O,MATCH($D1620,'Paramètres'!$M:$M,0))&amp;"","")&lt;&gt;"",ISNUMBER(SEARCH("remboursement",IFERROR(INDEX('Paramètres'!$N:$N,MATCH($D1620,'Paramètres'!$M:$M,0))&amp;"",""))))),1,0))</f>
        <v/>
      </c>
      <c r="Q1620" s="6" t="str">
        <f>IF($K1620="","",IF(ISNUMBER(SEARCH("transfert-interne",IFERROR(INDEX('Paramètres'!$N:$N,MATCH($D1620,'Paramètres'!$M:$M,0))&amp;"",""))),0,IF($L1620="Débit",$K1620,IF($P1620=1,-$K1620,0))))</f>
        <v/>
      </c>
      <c r="R1620" s="6" t="str">
        <f>IF($K1620="","",IF($L1620="Crédit",$K1620,-$K1620))</f>
        <v/>
      </c>
      <c r="S1620" s="6" t="str">
        <f>IF($C1620="","",IFERROR(INDEX('Paramètres'!$H:$H,MATCH($C1620,'Paramètres'!$D:$D,0))&amp;"",""))</f>
        <v/>
      </c>
      <c r="T1620" s="6" t="str">
        <f>IF($K1620="","",IF($S1620="",0,IF(ISNUMBER(SEARCH("apport-exterieur",IFERROR(INDEX('Paramètres'!$N:$N,MATCH($D1620,'Paramètres'!$M:$M,0))&amp;"",""))),0,IF(OR(IFERROR(INDEX('Paramètres'!$I:$I,MATCH($C1620,'Paramètres'!$D:$D,0))&amp;"","")="Les deux",IFERROR(INDEX('Paramètres'!$I:$I,MATCH($C1620,'Paramètres'!$D:$D,0))&amp;"","")=IF($P1620=1,"Débit",$L1620)),-IF($P1620=1,-$K1620,$K1620),0))))</f>
        <v/>
      </c>
      <c r="U1620" s="6" t="str">
        <f>IF($K1620="","",IF(ISNUMBER(SEARCH("sortie-epargne",IFERROR(INDEX('Paramètres'!$N:$N,MATCH($D1620,'Paramètres'!$M:$M,0))&amp;"",""))),$K1620,0))</f>
        <v/>
      </c>
      <c r="V1620" s="6" t="str">
        <f>IF(AND($A1620&lt;&gt;"",$O1620=1,$L1620="Débit",N($Q1620)&gt;0,$A1620&gt;=Visualisation!$B$1,$A1620&lt;Visualisation!$D$1),MAX($V$1:V1619)+1,"")</f>
        <v/>
      </c>
    </row>
    <row r="1621" spans="1:22" x14ac:dyDescent="0.25">
      <c r="A1621" s="9"/>
      <c r="E1621" s="10"/>
      <c r="K1621" s="11" t="str">
        <f>IF($E1621="","",ROUND($E1621*IF(ISNA(MATCH($C1621,'Paramètres'!$D:$D,0)),1,IF(INDEX('Paramètres'!$J:$J,MATCH($C1621,'Paramètres'!$D:$D,0))="",1,INDEX('Paramètres'!$J:$J,MATCH($C1621,'Paramètres'!$D:$D,0)))),2))</f>
        <v/>
      </c>
      <c r="L1621" s="6" t="str">
        <f>IF($D1621="","",IF($F1621&lt;&gt;"",$F1621,IF(ISNA(MATCH($D1621,'Paramètres'!$M:$M,0)),"⚠ Type inconnu",IFERROR(INDEX('Paramètres'!$P:$P,MATCH($D1621,'Paramètres'!$M:$M,0))&amp;"",""))))</f>
        <v/>
      </c>
      <c r="M1621" s="6" t="str">
        <f>IF($D1621="","",IF(ISNA(MATCH($D1621,'Paramètres'!$M:$M,0)),"⚠ Type inconnu",IF($L1621="Crédit","",IFERROR(INDEX('Paramètres'!$O:$O,MATCH($D1621,'Paramètres'!$M:$M,0))&amp;"",""))))</f>
        <v/>
      </c>
      <c r="N1621" s="6" t="str">
        <f>IF($D1621="","",IFERROR(INDEX('Paramètres'!$Q:$Q,MATCH($D1621,'Paramètres'!$M:$M,0))&amp;"",""))</f>
        <v/>
      </c>
      <c r="O1621" s="6" t="str">
        <f>IF($A1621="","",IF(OR($J1621&lt;&gt;"x",$A1621&lt;=FinReleve),1,0))</f>
        <v/>
      </c>
      <c r="P1621" s="6" t="str">
        <f>IF($D1621="","",IF(AND($L1621="Crédit",OR(IFERROR(INDEX('Paramètres'!$O:$O,MATCH($D1621,'Paramètres'!$M:$M,0))&amp;"","")&lt;&gt;"",ISNUMBER(SEARCH("remboursement",IFERROR(INDEX('Paramètres'!$N:$N,MATCH($D1621,'Paramètres'!$M:$M,0))&amp;"",""))))),1,0))</f>
        <v/>
      </c>
      <c r="Q1621" s="6" t="str">
        <f>IF($K1621="","",IF(ISNUMBER(SEARCH("transfert-interne",IFERROR(INDEX('Paramètres'!$N:$N,MATCH($D1621,'Paramètres'!$M:$M,0))&amp;"",""))),0,IF($L1621="Débit",$K1621,IF($P1621=1,-$K1621,0))))</f>
        <v/>
      </c>
      <c r="R1621" s="6" t="str">
        <f>IF($K1621="","",IF($L1621="Crédit",$K1621,-$K1621))</f>
        <v/>
      </c>
      <c r="S1621" s="6" t="str">
        <f>IF($C1621="","",IFERROR(INDEX('Paramètres'!$H:$H,MATCH($C1621,'Paramètres'!$D:$D,0))&amp;"",""))</f>
        <v/>
      </c>
      <c r="T1621" s="6" t="str">
        <f>IF($K1621="","",IF($S1621="",0,IF(ISNUMBER(SEARCH("apport-exterieur",IFERROR(INDEX('Paramètres'!$N:$N,MATCH($D1621,'Paramètres'!$M:$M,0))&amp;"",""))),0,IF(OR(IFERROR(INDEX('Paramètres'!$I:$I,MATCH($C1621,'Paramètres'!$D:$D,0))&amp;"","")="Les deux",IFERROR(INDEX('Paramètres'!$I:$I,MATCH($C1621,'Paramètres'!$D:$D,0))&amp;"","")=IF($P1621=1,"Débit",$L1621)),-IF($P1621=1,-$K1621,$K1621),0))))</f>
        <v/>
      </c>
      <c r="U1621" s="6" t="str">
        <f>IF($K1621="","",IF(ISNUMBER(SEARCH("sortie-epargne",IFERROR(INDEX('Paramètres'!$N:$N,MATCH($D1621,'Paramètres'!$M:$M,0))&amp;"",""))),$K1621,0))</f>
        <v/>
      </c>
      <c r="V1621" s="6" t="str">
        <f>IF(AND($A1621&lt;&gt;"",$O1621=1,$L1621="Débit",N($Q1621)&gt;0,$A1621&gt;=Visualisation!$B$1,$A1621&lt;Visualisation!$D$1),MAX($V$1:V1620)+1,"")</f>
        <v/>
      </c>
    </row>
    <row r="1622" spans="1:22" x14ac:dyDescent="0.25">
      <c r="A1622" s="9"/>
      <c r="E1622" s="10"/>
      <c r="K1622" s="11" t="str">
        <f>IF($E1622="","",ROUND($E1622*IF(ISNA(MATCH($C1622,'Paramètres'!$D:$D,0)),1,IF(INDEX('Paramètres'!$J:$J,MATCH($C1622,'Paramètres'!$D:$D,0))="",1,INDEX('Paramètres'!$J:$J,MATCH($C1622,'Paramètres'!$D:$D,0)))),2))</f>
        <v/>
      </c>
      <c r="L1622" s="6" t="str">
        <f>IF($D1622="","",IF($F1622&lt;&gt;"",$F1622,IF(ISNA(MATCH($D1622,'Paramètres'!$M:$M,0)),"⚠ Type inconnu",IFERROR(INDEX('Paramètres'!$P:$P,MATCH($D1622,'Paramètres'!$M:$M,0))&amp;"",""))))</f>
        <v/>
      </c>
      <c r="M1622" s="6" t="str">
        <f>IF($D1622="","",IF(ISNA(MATCH($D1622,'Paramètres'!$M:$M,0)),"⚠ Type inconnu",IF($L1622="Crédit","",IFERROR(INDEX('Paramètres'!$O:$O,MATCH($D1622,'Paramètres'!$M:$M,0))&amp;"",""))))</f>
        <v/>
      </c>
      <c r="N1622" s="6" t="str">
        <f>IF($D1622="","",IFERROR(INDEX('Paramètres'!$Q:$Q,MATCH($D1622,'Paramètres'!$M:$M,0))&amp;"",""))</f>
        <v/>
      </c>
      <c r="O1622" s="6" t="str">
        <f>IF($A1622="","",IF(OR($J1622&lt;&gt;"x",$A1622&lt;=FinReleve),1,0))</f>
        <v/>
      </c>
      <c r="P1622" s="6" t="str">
        <f>IF($D1622="","",IF(AND($L1622="Crédit",OR(IFERROR(INDEX('Paramètres'!$O:$O,MATCH($D1622,'Paramètres'!$M:$M,0))&amp;"","")&lt;&gt;"",ISNUMBER(SEARCH("remboursement",IFERROR(INDEX('Paramètres'!$N:$N,MATCH($D1622,'Paramètres'!$M:$M,0))&amp;"",""))))),1,0))</f>
        <v/>
      </c>
      <c r="Q1622" s="6" t="str">
        <f>IF($K1622="","",IF(ISNUMBER(SEARCH("transfert-interne",IFERROR(INDEX('Paramètres'!$N:$N,MATCH($D1622,'Paramètres'!$M:$M,0))&amp;"",""))),0,IF($L1622="Débit",$K1622,IF($P1622=1,-$K1622,0))))</f>
        <v/>
      </c>
      <c r="R1622" s="6" t="str">
        <f>IF($K1622="","",IF($L1622="Crédit",$K1622,-$K1622))</f>
        <v/>
      </c>
      <c r="S1622" s="6" t="str">
        <f>IF($C1622="","",IFERROR(INDEX('Paramètres'!$H:$H,MATCH($C1622,'Paramètres'!$D:$D,0))&amp;"",""))</f>
        <v/>
      </c>
      <c r="T1622" s="6" t="str">
        <f>IF($K1622="","",IF($S1622="",0,IF(ISNUMBER(SEARCH("apport-exterieur",IFERROR(INDEX('Paramètres'!$N:$N,MATCH($D1622,'Paramètres'!$M:$M,0))&amp;"",""))),0,IF(OR(IFERROR(INDEX('Paramètres'!$I:$I,MATCH($C1622,'Paramètres'!$D:$D,0))&amp;"","")="Les deux",IFERROR(INDEX('Paramètres'!$I:$I,MATCH($C1622,'Paramètres'!$D:$D,0))&amp;"","")=IF($P1622=1,"Débit",$L1622)),-IF($P1622=1,-$K1622,$K1622),0))))</f>
        <v/>
      </c>
      <c r="U1622" s="6" t="str">
        <f>IF($K1622="","",IF(ISNUMBER(SEARCH("sortie-epargne",IFERROR(INDEX('Paramètres'!$N:$N,MATCH($D1622,'Paramètres'!$M:$M,0))&amp;"",""))),$K1622,0))</f>
        <v/>
      </c>
      <c r="V1622" s="6" t="str">
        <f>IF(AND($A1622&lt;&gt;"",$O1622=1,$L1622="Débit",N($Q1622)&gt;0,$A1622&gt;=Visualisation!$B$1,$A1622&lt;Visualisation!$D$1),MAX($V$1:V1621)+1,"")</f>
        <v/>
      </c>
    </row>
    <row r="1623" spans="1:22" x14ac:dyDescent="0.25">
      <c r="A1623" s="9"/>
      <c r="E1623" s="10"/>
      <c r="K1623" s="11" t="str">
        <f>IF($E1623="","",ROUND($E1623*IF(ISNA(MATCH($C1623,'Paramètres'!$D:$D,0)),1,IF(INDEX('Paramètres'!$J:$J,MATCH($C1623,'Paramètres'!$D:$D,0))="",1,INDEX('Paramètres'!$J:$J,MATCH($C1623,'Paramètres'!$D:$D,0)))),2))</f>
        <v/>
      </c>
      <c r="L1623" s="6" t="str">
        <f>IF($D1623="","",IF($F1623&lt;&gt;"",$F1623,IF(ISNA(MATCH($D1623,'Paramètres'!$M:$M,0)),"⚠ Type inconnu",IFERROR(INDEX('Paramètres'!$P:$P,MATCH($D1623,'Paramètres'!$M:$M,0))&amp;"",""))))</f>
        <v/>
      </c>
      <c r="M1623" s="6" t="str">
        <f>IF($D1623="","",IF(ISNA(MATCH($D1623,'Paramètres'!$M:$M,0)),"⚠ Type inconnu",IF($L1623="Crédit","",IFERROR(INDEX('Paramètres'!$O:$O,MATCH($D1623,'Paramètres'!$M:$M,0))&amp;"",""))))</f>
        <v/>
      </c>
      <c r="N1623" s="6" t="str">
        <f>IF($D1623="","",IFERROR(INDEX('Paramètres'!$Q:$Q,MATCH($D1623,'Paramètres'!$M:$M,0))&amp;"",""))</f>
        <v/>
      </c>
      <c r="O1623" s="6" t="str">
        <f>IF($A1623="","",IF(OR($J1623&lt;&gt;"x",$A1623&lt;=FinReleve),1,0))</f>
        <v/>
      </c>
      <c r="P1623" s="6" t="str">
        <f>IF($D1623="","",IF(AND($L1623="Crédit",OR(IFERROR(INDEX('Paramètres'!$O:$O,MATCH($D1623,'Paramètres'!$M:$M,0))&amp;"","")&lt;&gt;"",ISNUMBER(SEARCH("remboursement",IFERROR(INDEX('Paramètres'!$N:$N,MATCH($D1623,'Paramètres'!$M:$M,0))&amp;"",""))))),1,0))</f>
        <v/>
      </c>
      <c r="Q1623" s="6" t="str">
        <f>IF($K1623="","",IF(ISNUMBER(SEARCH("transfert-interne",IFERROR(INDEX('Paramètres'!$N:$N,MATCH($D1623,'Paramètres'!$M:$M,0))&amp;"",""))),0,IF($L1623="Débit",$K1623,IF($P1623=1,-$K1623,0))))</f>
        <v/>
      </c>
      <c r="R1623" s="6" t="str">
        <f>IF($K1623="","",IF($L1623="Crédit",$K1623,-$K1623))</f>
        <v/>
      </c>
      <c r="S1623" s="6" t="str">
        <f>IF($C1623="","",IFERROR(INDEX('Paramètres'!$H:$H,MATCH($C1623,'Paramètres'!$D:$D,0))&amp;"",""))</f>
        <v/>
      </c>
      <c r="T1623" s="6" t="str">
        <f>IF($K1623="","",IF($S1623="",0,IF(ISNUMBER(SEARCH("apport-exterieur",IFERROR(INDEX('Paramètres'!$N:$N,MATCH($D1623,'Paramètres'!$M:$M,0))&amp;"",""))),0,IF(OR(IFERROR(INDEX('Paramètres'!$I:$I,MATCH($C1623,'Paramètres'!$D:$D,0))&amp;"","")="Les deux",IFERROR(INDEX('Paramètres'!$I:$I,MATCH($C1623,'Paramètres'!$D:$D,0))&amp;"","")=IF($P1623=1,"Débit",$L1623)),-IF($P1623=1,-$K1623,$K1623),0))))</f>
        <v/>
      </c>
      <c r="U1623" s="6" t="str">
        <f>IF($K1623="","",IF(ISNUMBER(SEARCH("sortie-epargne",IFERROR(INDEX('Paramètres'!$N:$N,MATCH($D1623,'Paramètres'!$M:$M,0))&amp;"",""))),$K1623,0))</f>
        <v/>
      </c>
      <c r="V1623" s="6" t="str">
        <f>IF(AND($A1623&lt;&gt;"",$O1623=1,$L1623="Débit",N($Q1623)&gt;0,$A1623&gt;=Visualisation!$B$1,$A1623&lt;Visualisation!$D$1),MAX($V$1:V1622)+1,"")</f>
        <v/>
      </c>
    </row>
    <row r="1624" spans="1:22" x14ac:dyDescent="0.25">
      <c r="A1624" s="9"/>
      <c r="E1624" s="10"/>
      <c r="K1624" s="11" t="str">
        <f>IF($E1624="","",ROUND($E1624*IF(ISNA(MATCH($C1624,'Paramètres'!$D:$D,0)),1,IF(INDEX('Paramètres'!$J:$J,MATCH($C1624,'Paramètres'!$D:$D,0))="",1,INDEX('Paramètres'!$J:$J,MATCH($C1624,'Paramètres'!$D:$D,0)))),2))</f>
        <v/>
      </c>
      <c r="L1624" s="6" t="str">
        <f>IF($D1624="","",IF($F1624&lt;&gt;"",$F1624,IF(ISNA(MATCH($D1624,'Paramètres'!$M:$M,0)),"⚠ Type inconnu",IFERROR(INDEX('Paramètres'!$P:$P,MATCH($D1624,'Paramètres'!$M:$M,0))&amp;"",""))))</f>
        <v/>
      </c>
      <c r="M1624" s="6" t="str">
        <f>IF($D1624="","",IF(ISNA(MATCH($D1624,'Paramètres'!$M:$M,0)),"⚠ Type inconnu",IF($L1624="Crédit","",IFERROR(INDEX('Paramètres'!$O:$O,MATCH($D1624,'Paramètres'!$M:$M,0))&amp;"",""))))</f>
        <v/>
      </c>
      <c r="N1624" s="6" t="str">
        <f>IF($D1624="","",IFERROR(INDEX('Paramètres'!$Q:$Q,MATCH($D1624,'Paramètres'!$M:$M,0))&amp;"",""))</f>
        <v/>
      </c>
      <c r="O1624" s="6" t="str">
        <f>IF($A1624="","",IF(OR($J1624&lt;&gt;"x",$A1624&lt;=FinReleve),1,0))</f>
        <v/>
      </c>
      <c r="P1624" s="6" t="str">
        <f>IF($D1624="","",IF(AND($L1624="Crédit",OR(IFERROR(INDEX('Paramètres'!$O:$O,MATCH($D1624,'Paramètres'!$M:$M,0))&amp;"","")&lt;&gt;"",ISNUMBER(SEARCH("remboursement",IFERROR(INDEX('Paramètres'!$N:$N,MATCH($D1624,'Paramètres'!$M:$M,0))&amp;"",""))))),1,0))</f>
        <v/>
      </c>
      <c r="Q1624" s="6" t="str">
        <f>IF($K1624="","",IF(ISNUMBER(SEARCH("transfert-interne",IFERROR(INDEX('Paramètres'!$N:$N,MATCH($D1624,'Paramètres'!$M:$M,0))&amp;"",""))),0,IF($L1624="Débit",$K1624,IF($P1624=1,-$K1624,0))))</f>
        <v/>
      </c>
      <c r="R1624" s="6" t="str">
        <f>IF($K1624="","",IF($L1624="Crédit",$K1624,-$K1624))</f>
        <v/>
      </c>
      <c r="S1624" s="6" t="str">
        <f>IF($C1624="","",IFERROR(INDEX('Paramètres'!$H:$H,MATCH($C1624,'Paramètres'!$D:$D,0))&amp;"",""))</f>
        <v/>
      </c>
      <c r="T1624" s="6" t="str">
        <f>IF($K1624="","",IF($S1624="",0,IF(ISNUMBER(SEARCH("apport-exterieur",IFERROR(INDEX('Paramètres'!$N:$N,MATCH($D1624,'Paramètres'!$M:$M,0))&amp;"",""))),0,IF(OR(IFERROR(INDEX('Paramètres'!$I:$I,MATCH($C1624,'Paramètres'!$D:$D,0))&amp;"","")="Les deux",IFERROR(INDEX('Paramètres'!$I:$I,MATCH($C1624,'Paramètres'!$D:$D,0))&amp;"","")=IF($P1624=1,"Débit",$L1624)),-IF($P1624=1,-$K1624,$K1624),0))))</f>
        <v/>
      </c>
      <c r="U1624" s="6" t="str">
        <f>IF($K1624="","",IF(ISNUMBER(SEARCH("sortie-epargne",IFERROR(INDEX('Paramètres'!$N:$N,MATCH($D1624,'Paramètres'!$M:$M,0))&amp;"",""))),$K1624,0))</f>
        <v/>
      </c>
      <c r="V1624" s="6" t="str">
        <f>IF(AND($A1624&lt;&gt;"",$O1624=1,$L1624="Débit",N($Q1624)&gt;0,$A1624&gt;=Visualisation!$B$1,$A1624&lt;Visualisation!$D$1),MAX($V$1:V1623)+1,"")</f>
        <v/>
      </c>
    </row>
    <row r="1625" spans="1:22" x14ac:dyDescent="0.25">
      <c r="A1625" s="9"/>
      <c r="E1625" s="10"/>
      <c r="K1625" s="11" t="str">
        <f>IF($E1625="","",ROUND($E1625*IF(ISNA(MATCH($C1625,'Paramètres'!$D:$D,0)),1,IF(INDEX('Paramètres'!$J:$J,MATCH($C1625,'Paramètres'!$D:$D,0))="",1,INDEX('Paramètres'!$J:$J,MATCH($C1625,'Paramètres'!$D:$D,0)))),2))</f>
        <v/>
      </c>
      <c r="L1625" s="6" t="str">
        <f>IF($D1625="","",IF($F1625&lt;&gt;"",$F1625,IF(ISNA(MATCH($D1625,'Paramètres'!$M:$M,0)),"⚠ Type inconnu",IFERROR(INDEX('Paramètres'!$P:$P,MATCH($D1625,'Paramètres'!$M:$M,0))&amp;"",""))))</f>
        <v/>
      </c>
      <c r="M1625" s="6" t="str">
        <f>IF($D1625="","",IF(ISNA(MATCH($D1625,'Paramètres'!$M:$M,0)),"⚠ Type inconnu",IF($L1625="Crédit","",IFERROR(INDEX('Paramètres'!$O:$O,MATCH($D1625,'Paramètres'!$M:$M,0))&amp;"",""))))</f>
        <v/>
      </c>
      <c r="N1625" s="6" t="str">
        <f>IF($D1625="","",IFERROR(INDEX('Paramètres'!$Q:$Q,MATCH($D1625,'Paramètres'!$M:$M,0))&amp;"",""))</f>
        <v/>
      </c>
      <c r="O1625" s="6" t="str">
        <f>IF($A1625="","",IF(OR($J1625&lt;&gt;"x",$A1625&lt;=FinReleve),1,0))</f>
        <v/>
      </c>
      <c r="P1625" s="6" t="str">
        <f>IF($D1625="","",IF(AND($L1625="Crédit",OR(IFERROR(INDEX('Paramètres'!$O:$O,MATCH($D1625,'Paramètres'!$M:$M,0))&amp;"","")&lt;&gt;"",ISNUMBER(SEARCH("remboursement",IFERROR(INDEX('Paramètres'!$N:$N,MATCH($D1625,'Paramètres'!$M:$M,0))&amp;"",""))))),1,0))</f>
        <v/>
      </c>
      <c r="Q1625" s="6" t="str">
        <f>IF($K1625="","",IF(ISNUMBER(SEARCH("transfert-interne",IFERROR(INDEX('Paramètres'!$N:$N,MATCH($D1625,'Paramètres'!$M:$M,0))&amp;"",""))),0,IF($L1625="Débit",$K1625,IF($P1625=1,-$K1625,0))))</f>
        <v/>
      </c>
      <c r="R1625" s="6" t="str">
        <f>IF($K1625="","",IF($L1625="Crédit",$K1625,-$K1625))</f>
        <v/>
      </c>
      <c r="S1625" s="6" t="str">
        <f>IF($C1625="","",IFERROR(INDEX('Paramètres'!$H:$H,MATCH($C1625,'Paramètres'!$D:$D,0))&amp;"",""))</f>
        <v/>
      </c>
      <c r="T1625" s="6" t="str">
        <f>IF($K1625="","",IF($S1625="",0,IF(ISNUMBER(SEARCH("apport-exterieur",IFERROR(INDEX('Paramètres'!$N:$N,MATCH($D1625,'Paramètres'!$M:$M,0))&amp;"",""))),0,IF(OR(IFERROR(INDEX('Paramètres'!$I:$I,MATCH($C1625,'Paramètres'!$D:$D,0))&amp;"","")="Les deux",IFERROR(INDEX('Paramètres'!$I:$I,MATCH($C1625,'Paramètres'!$D:$D,0))&amp;"","")=IF($P1625=1,"Débit",$L1625)),-IF($P1625=1,-$K1625,$K1625),0))))</f>
        <v/>
      </c>
      <c r="U1625" s="6" t="str">
        <f>IF($K1625="","",IF(ISNUMBER(SEARCH("sortie-epargne",IFERROR(INDEX('Paramètres'!$N:$N,MATCH($D1625,'Paramètres'!$M:$M,0))&amp;"",""))),$K1625,0))</f>
        <v/>
      </c>
      <c r="V1625" s="6" t="str">
        <f>IF(AND($A1625&lt;&gt;"",$O1625=1,$L1625="Débit",N($Q1625)&gt;0,$A1625&gt;=Visualisation!$B$1,$A1625&lt;Visualisation!$D$1),MAX($V$1:V1624)+1,"")</f>
        <v/>
      </c>
    </row>
    <row r="1626" spans="1:22" x14ac:dyDescent="0.25">
      <c r="A1626" s="9"/>
      <c r="E1626" s="10"/>
      <c r="K1626" s="11" t="str">
        <f>IF($E1626="","",ROUND($E1626*IF(ISNA(MATCH($C1626,'Paramètres'!$D:$D,0)),1,IF(INDEX('Paramètres'!$J:$J,MATCH($C1626,'Paramètres'!$D:$D,0))="",1,INDEX('Paramètres'!$J:$J,MATCH($C1626,'Paramètres'!$D:$D,0)))),2))</f>
        <v/>
      </c>
      <c r="L1626" s="6" t="str">
        <f>IF($D1626="","",IF($F1626&lt;&gt;"",$F1626,IF(ISNA(MATCH($D1626,'Paramètres'!$M:$M,0)),"⚠ Type inconnu",IFERROR(INDEX('Paramètres'!$P:$P,MATCH($D1626,'Paramètres'!$M:$M,0))&amp;"",""))))</f>
        <v/>
      </c>
      <c r="M1626" s="6" t="str">
        <f>IF($D1626="","",IF(ISNA(MATCH($D1626,'Paramètres'!$M:$M,0)),"⚠ Type inconnu",IF($L1626="Crédit","",IFERROR(INDEX('Paramètres'!$O:$O,MATCH($D1626,'Paramètres'!$M:$M,0))&amp;"",""))))</f>
        <v/>
      </c>
      <c r="N1626" s="6" t="str">
        <f>IF($D1626="","",IFERROR(INDEX('Paramètres'!$Q:$Q,MATCH($D1626,'Paramètres'!$M:$M,0))&amp;"",""))</f>
        <v/>
      </c>
      <c r="O1626" s="6" t="str">
        <f>IF($A1626="","",IF(OR($J1626&lt;&gt;"x",$A1626&lt;=FinReleve),1,0))</f>
        <v/>
      </c>
      <c r="P1626" s="6" t="str">
        <f>IF($D1626="","",IF(AND($L1626="Crédit",OR(IFERROR(INDEX('Paramètres'!$O:$O,MATCH($D1626,'Paramètres'!$M:$M,0))&amp;"","")&lt;&gt;"",ISNUMBER(SEARCH("remboursement",IFERROR(INDEX('Paramètres'!$N:$N,MATCH($D1626,'Paramètres'!$M:$M,0))&amp;"",""))))),1,0))</f>
        <v/>
      </c>
      <c r="Q1626" s="6" t="str">
        <f>IF($K1626="","",IF(ISNUMBER(SEARCH("transfert-interne",IFERROR(INDEX('Paramètres'!$N:$N,MATCH($D1626,'Paramètres'!$M:$M,0))&amp;"",""))),0,IF($L1626="Débit",$K1626,IF($P1626=1,-$K1626,0))))</f>
        <v/>
      </c>
      <c r="R1626" s="6" t="str">
        <f>IF($K1626="","",IF($L1626="Crédit",$K1626,-$K1626))</f>
        <v/>
      </c>
      <c r="S1626" s="6" t="str">
        <f>IF($C1626="","",IFERROR(INDEX('Paramètres'!$H:$H,MATCH($C1626,'Paramètres'!$D:$D,0))&amp;"",""))</f>
        <v/>
      </c>
      <c r="T1626" s="6" t="str">
        <f>IF($K1626="","",IF($S1626="",0,IF(ISNUMBER(SEARCH("apport-exterieur",IFERROR(INDEX('Paramètres'!$N:$N,MATCH($D1626,'Paramètres'!$M:$M,0))&amp;"",""))),0,IF(OR(IFERROR(INDEX('Paramètres'!$I:$I,MATCH($C1626,'Paramètres'!$D:$D,0))&amp;"","")="Les deux",IFERROR(INDEX('Paramètres'!$I:$I,MATCH($C1626,'Paramètres'!$D:$D,0))&amp;"","")=IF($P1626=1,"Débit",$L1626)),-IF($P1626=1,-$K1626,$K1626),0))))</f>
        <v/>
      </c>
      <c r="U1626" s="6" t="str">
        <f>IF($K1626="","",IF(ISNUMBER(SEARCH("sortie-epargne",IFERROR(INDEX('Paramètres'!$N:$N,MATCH($D1626,'Paramètres'!$M:$M,0))&amp;"",""))),$K1626,0))</f>
        <v/>
      </c>
      <c r="V1626" s="6" t="str">
        <f>IF(AND($A1626&lt;&gt;"",$O1626=1,$L1626="Débit",N($Q1626)&gt;0,$A1626&gt;=Visualisation!$B$1,$A1626&lt;Visualisation!$D$1),MAX($V$1:V1625)+1,"")</f>
        <v/>
      </c>
    </row>
    <row r="1627" spans="1:22" x14ac:dyDescent="0.25">
      <c r="A1627" s="9"/>
      <c r="E1627" s="10"/>
      <c r="K1627" s="11" t="str">
        <f>IF($E1627="","",ROUND($E1627*IF(ISNA(MATCH($C1627,'Paramètres'!$D:$D,0)),1,IF(INDEX('Paramètres'!$J:$J,MATCH($C1627,'Paramètres'!$D:$D,0))="",1,INDEX('Paramètres'!$J:$J,MATCH($C1627,'Paramètres'!$D:$D,0)))),2))</f>
        <v/>
      </c>
      <c r="L1627" s="6" t="str">
        <f>IF($D1627="","",IF($F1627&lt;&gt;"",$F1627,IF(ISNA(MATCH($D1627,'Paramètres'!$M:$M,0)),"⚠ Type inconnu",IFERROR(INDEX('Paramètres'!$P:$P,MATCH($D1627,'Paramètres'!$M:$M,0))&amp;"",""))))</f>
        <v/>
      </c>
      <c r="M1627" s="6" t="str">
        <f>IF($D1627="","",IF(ISNA(MATCH($D1627,'Paramètres'!$M:$M,0)),"⚠ Type inconnu",IF($L1627="Crédit","",IFERROR(INDEX('Paramètres'!$O:$O,MATCH($D1627,'Paramètres'!$M:$M,0))&amp;"",""))))</f>
        <v/>
      </c>
      <c r="N1627" s="6" t="str">
        <f>IF($D1627="","",IFERROR(INDEX('Paramètres'!$Q:$Q,MATCH($D1627,'Paramètres'!$M:$M,0))&amp;"",""))</f>
        <v/>
      </c>
      <c r="O1627" s="6" t="str">
        <f>IF($A1627="","",IF(OR($J1627&lt;&gt;"x",$A1627&lt;=FinReleve),1,0))</f>
        <v/>
      </c>
      <c r="P1627" s="6" t="str">
        <f>IF($D1627="","",IF(AND($L1627="Crédit",OR(IFERROR(INDEX('Paramètres'!$O:$O,MATCH($D1627,'Paramètres'!$M:$M,0))&amp;"","")&lt;&gt;"",ISNUMBER(SEARCH("remboursement",IFERROR(INDEX('Paramètres'!$N:$N,MATCH($D1627,'Paramètres'!$M:$M,0))&amp;"",""))))),1,0))</f>
        <v/>
      </c>
      <c r="Q1627" s="6" t="str">
        <f>IF($K1627="","",IF(ISNUMBER(SEARCH("transfert-interne",IFERROR(INDEX('Paramètres'!$N:$N,MATCH($D1627,'Paramètres'!$M:$M,0))&amp;"",""))),0,IF($L1627="Débit",$K1627,IF($P1627=1,-$K1627,0))))</f>
        <v/>
      </c>
      <c r="R1627" s="6" t="str">
        <f>IF($K1627="","",IF($L1627="Crédit",$K1627,-$K1627))</f>
        <v/>
      </c>
      <c r="S1627" s="6" t="str">
        <f>IF($C1627="","",IFERROR(INDEX('Paramètres'!$H:$H,MATCH($C1627,'Paramètres'!$D:$D,0))&amp;"",""))</f>
        <v/>
      </c>
      <c r="T1627" s="6" t="str">
        <f>IF($K1627="","",IF($S1627="",0,IF(ISNUMBER(SEARCH("apport-exterieur",IFERROR(INDEX('Paramètres'!$N:$N,MATCH($D1627,'Paramètres'!$M:$M,0))&amp;"",""))),0,IF(OR(IFERROR(INDEX('Paramètres'!$I:$I,MATCH($C1627,'Paramètres'!$D:$D,0))&amp;"","")="Les deux",IFERROR(INDEX('Paramètres'!$I:$I,MATCH($C1627,'Paramètres'!$D:$D,0))&amp;"","")=IF($P1627=1,"Débit",$L1627)),-IF($P1627=1,-$K1627,$K1627),0))))</f>
        <v/>
      </c>
      <c r="U1627" s="6" t="str">
        <f>IF($K1627="","",IF(ISNUMBER(SEARCH("sortie-epargne",IFERROR(INDEX('Paramètres'!$N:$N,MATCH($D1627,'Paramètres'!$M:$M,0))&amp;"",""))),$K1627,0))</f>
        <v/>
      </c>
      <c r="V1627" s="6" t="str">
        <f>IF(AND($A1627&lt;&gt;"",$O1627=1,$L1627="Débit",N($Q1627)&gt;0,$A1627&gt;=Visualisation!$B$1,$A1627&lt;Visualisation!$D$1),MAX($V$1:V1626)+1,"")</f>
        <v/>
      </c>
    </row>
    <row r="1628" spans="1:22" x14ac:dyDescent="0.25">
      <c r="A1628" s="9"/>
      <c r="E1628" s="10"/>
      <c r="K1628" s="11" t="str">
        <f>IF($E1628="","",ROUND($E1628*IF(ISNA(MATCH($C1628,'Paramètres'!$D:$D,0)),1,IF(INDEX('Paramètres'!$J:$J,MATCH($C1628,'Paramètres'!$D:$D,0))="",1,INDEX('Paramètres'!$J:$J,MATCH($C1628,'Paramètres'!$D:$D,0)))),2))</f>
        <v/>
      </c>
      <c r="L1628" s="6" t="str">
        <f>IF($D1628="","",IF($F1628&lt;&gt;"",$F1628,IF(ISNA(MATCH($D1628,'Paramètres'!$M:$M,0)),"⚠ Type inconnu",IFERROR(INDEX('Paramètres'!$P:$P,MATCH($D1628,'Paramètres'!$M:$M,0))&amp;"",""))))</f>
        <v/>
      </c>
      <c r="M1628" s="6" t="str">
        <f>IF($D1628="","",IF(ISNA(MATCH($D1628,'Paramètres'!$M:$M,0)),"⚠ Type inconnu",IF($L1628="Crédit","",IFERROR(INDEX('Paramètres'!$O:$O,MATCH($D1628,'Paramètres'!$M:$M,0))&amp;"",""))))</f>
        <v/>
      </c>
      <c r="N1628" s="6" t="str">
        <f>IF($D1628="","",IFERROR(INDEX('Paramètres'!$Q:$Q,MATCH($D1628,'Paramètres'!$M:$M,0))&amp;"",""))</f>
        <v/>
      </c>
      <c r="O1628" s="6" t="str">
        <f>IF($A1628="","",IF(OR($J1628&lt;&gt;"x",$A1628&lt;=FinReleve),1,0))</f>
        <v/>
      </c>
      <c r="P1628" s="6" t="str">
        <f>IF($D1628="","",IF(AND($L1628="Crédit",OR(IFERROR(INDEX('Paramètres'!$O:$O,MATCH($D1628,'Paramètres'!$M:$M,0))&amp;"","")&lt;&gt;"",ISNUMBER(SEARCH("remboursement",IFERROR(INDEX('Paramètres'!$N:$N,MATCH($D1628,'Paramètres'!$M:$M,0))&amp;"",""))))),1,0))</f>
        <v/>
      </c>
      <c r="Q1628" s="6" t="str">
        <f>IF($K1628="","",IF(ISNUMBER(SEARCH("transfert-interne",IFERROR(INDEX('Paramètres'!$N:$N,MATCH($D1628,'Paramètres'!$M:$M,0))&amp;"",""))),0,IF($L1628="Débit",$K1628,IF($P1628=1,-$K1628,0))))</f>
        <v/>
      </c>
      <c r="R1628" s="6" t="str">
        <f>IF($K1628="","",IF($L1628="Crédit",$K1628,-$K1628))</f>
        <v/>
      </c>
      <c r="S1628" s="6" t="str">
        <f>IF($C1628="","",IFERROR(INDEX('Paramètres'!$H:$H,MATCH($C1628,'Paramètres'!$D:$D,0))&amp;"",""))</f>
        <v/>
      </c>
      <c r="T1628" s="6" t="str">
        <f>IF($K1628="","",IF($S1628="",0,IF(ISNUMBER(SEARCH("apport-exterieur",IFERROR(INDEX('Paramètres'!$N:$N,MATCH($D1628,'Paramètres'!$M:$M,0))&amp;"",""))),0,IF(OR(IFERROR(INDEX('Paramètres'!$I:$I,MATCH($C1628,'Paramètres'!$D:$D,0))&amp;"","")="Les deux",IFERROR(INDEX('Paramètres'!$I:$I,MATCH($C1628,'Paramètres'!$D:$D,0))&amp;"","")=IF($P1628=1,"Débit",$L1628)),-IF($P1628=1,-$K1628,$K1628),0))))</f>
        <v/>
      </c>
      <c r="U1628" s="6" t="str">
        <f>IF($K1628="","",IF(ISNUMBER(SEARCH("sortie-epargne",IFERROR(INDEX('Paramètres'!$N:$N,MATCH($D1628,'Paramètres'!$M:$M,0))&amp;"",""))),$K1628,0))</f>
        <v/>
      </c>
      <c r="V1628" s="6" t="str">
        <f>IF(AND($A1628&lt;&gt;"",$O1628=1,$L1628="Débit",N($Q1628)&gt;0,$A1628&gt;=Visualisation!$B$1,$A1628&lt;Visualisation!$D$1),MAX($V$1:V1627)+1,"")</f>
        <v/>
      </c>
    </row>
    <row r="1629" spans="1:22" x14ac:dyDescent="0.25">
      <c r="A1629" s="9"/>
      <c r="E1629" s="10"/>
      <c r="K1629" s="11" t="str">
        <f>IF($E1629="","",ROUND($E1629*IF(ISNA(MATCH($C1629,'Paramètres'!$D:$D,0)),1,IF(INDEX('Paramètres'!$J:$J,MATCH($C1629,'Paramètres'!$D:$D,0))="",1,INDEX('Paramètres'!$J:$J,MATCH($C1629,'Paramètres'!$D:$D,0)))),2))</f>
        <v/>
      </c>
      <c r="L1629" s="6" t="str">
        <f>IF($D1629="","",IF($F1629&lt;&gt;"",$F1629,IF(ISNA(MATCH($D1629,'Paramètres'!$M:$M,0)),"⚠ Type inconnu",IFERROR(INDEX('Paramètres'!$P:$P,MATCH($D1629,'Paramètres'!$M:$M,0))&amp;"",""))))</f>
        <v/>
      </c>
      <c r="M1629" s="6" t="str">
        <f>IF($D1629="","",IF(ISNA(MATCH($D1629,'Paramètres'!$M:$M,0)),"⚠ Type inconnu",IF($L1629="Crédit","",IFERROR(INDEX('Paramètres'!$O:$O,MATCH($D1629,'Paramètres'!$M:$M,0))&amp;"",""))))</f>
        <v/>
      </c>
      <c r="N1629" s="6" t="str">
        <f>IF($D1629="","",IFERROR(INDEX('Paramètres'!$Q:$Q,MATCH($D1629,'Paramètres'!$M:$M,0))&amp;"",""))</f>
        <v/>
      </c>
      <c r="O1629" s="6" t="str">
        <f>IF($A1629="","",IF(OR($J1629&lt;&gt;"x",$A1629&lt;=FinReleve),1,0))</f>
        <v/>
      </c>
      <c r="P1629" s="6" t="str">
        <f>IF($D1629="","",IF(AND($L1629="Crédit",OR(IFERROR(INDEX('Paramètres'!$O:$O,MATCH($D1629,'Paramètres'!$M:$M,0))&amp;"","")&lt;&gt;"",ISNUMBER(SEARCH("remboursement",IFERROR(INDEX('Paramètres'!$N:$N,MATCH($D1629,'Paramètres'!$M:$M,0))&amp;"",""))))),1,0))</f>
        <v/>
      </c>
      <c r="Q1629" s="6" t="str">
        <f>IF($K1629="","",IF(ISNUMBER(SEARCH("transfert-interne",IFERROR(INDEX('Paramètres'!$N:$N,MATCH($D1629,'Paramètres'!$M:$M,0))&amp;"",""))),0,IF($L1629="Débit",$K1629,IF($P1629=1,-$K1629,0))))</f>
        <v/>
      </c>
      <c r="R1629" s="6" t="str">
        <f>IF($K1629="","",IF($L1629="Crédit",$K1629,-$K1629))</f>
        <v/>
      </c>
      <c r="S1629" s="6" t="str">
        <f>IF($C1629="","",IFERROR(INDEX('Paramètres'!$H:$H,MATCH($C1629,'Paramètres'!$D:$D,0))&amp;"",""))</f>
        <v/>
      </c>
      <c r="T1629" s="6" t="str">
        <f>IF($K1629="","",IF($S1629="",0,IF(ISNUMBER(SEARCH("apport-exterieur",IFERROR(INDEX('Paramètres'!$N:$N,MATCH($D1629,'Paramètres'!$M:$M,0))&amp;"",""))),0,IF(OR(IFERROR(INDEX('Paramètres'!$I:$I,MATCH($C1629,'Paramètres'!$D:$D,0))&amp;"","")="Les deux",IFERROR(INDEX('Paramètres'!$I:$I,MATCH($C1629,'Paramètres'!$D:$D,0))&amp;"","")=IF($P1629=1,"Débit",$L1629)),-IF($P1629=1,-$K1629,$K1629),0))))</f>
        <v/>
      </c>
      <c r="U1629" s="6" t="str">
        <f>IF($K1629="","",IF(ISNUMBER(SEARCH("sortie-epargne",IFERROR(INDEX('Paramètres'!$N:$N,MATCH($D1629,'Paramètres'!$M:$M,0))&amp;"",""))),$K1629,0))</f>
        <v/>
      </c>
      <c r="V1629" s="6" t="str">
        <f>IF(AND($A1629&lt;&gt;"",$O1629=1,$L1629="Débit",N($Q1629)&gt;0,$A1629&gt;=Visualisation!$B$1,$A1629&lt;Visualisation!$D$1),MAX($V$1:V1628)+1,"")</f>
        <v/>
      </c>
    </row>
    <row r="1630" spans="1:22" x14ac:dyDescent="0.25">
      <c r="A1630" s="9"/>
      <c r="E1630" s="10"/>
      <c r="K1630" s="11" t="str">
        <f>IF($E1630="","",ROUND($E1630*IF(ISNA(MATCH($C1630,'Paramètres'!$D:$D,0)),1,IF(INDEX('Paramètres'!$J:$J,MATCH($C1630,'Paramètres'!$D:$D,0))="",1,INDEX('Paramètres'!$J:$J,MATCH($C1630,'Paramètres'!$D:$D,0)))),2))</f>
        <v/>
      </c>
      <c r="L1630" s="6" t="str">
        <f>IF($D1630="","",IF($F1630&lt;&gt;"",$F1630,IF(ISNA(MATCH($D1630,'Paramètres'!$M:$M,0)),"⚠ Type inconnu",IFERROR(INDEX('Paramètres'!$P:$P,MATCH($D1630,'Paramètres'!$M:$M,0))&amp;"",""))))</f>
        <v/>
      </c>
      <c r="M1630" s="6" t="str">
        <f>IF($D1630="","",IF(ISNA(MATCH($D1630,'Paramètres'!$M:$M,0)),"⚠ Type inconnu",IF($L1630="Crédit","",IFERROR(INDEX('Paramètres'!$O:$O,MATCH($D1630,'Paramètres'!$M:$M,0))&amp;"",""))))</f>
        <v/>
      </c>
      <c r="N1630" s="6" t="str">
        <f>IF($D1630="","",IFERROR(INDEX('Paramètres'!$Q:$Q,MATCH($D1630,'Paramètres'!$M:$M,0))&amp;"",""))</f>
        <v/>
      </c>
      <c r="O1630" s="6" t="str">
        <f>IF($A1630="","",IF(OR($J1630&lt;&gt;"x",$A1630&lt;=FinReleve),1,0))</f>
        <v/>
      </c>
      <c r="P1630" s="6" t="str">
        <f>IF($D1630="","",IF(AND($L1630="Crédit",OR(IFERROR(INDEX('Paramètres'!$O:$O,MATCH($D1630,'Paramètres'!$M:$M,0))&amp;"","")&lt;&gt;"",ISNUMBER(SEARCH("remboursement",IFERROR(INDEX('Paramètres'!$N:$N,MATCH($D1630,'Paramètres'!$M:$M,0))&amp;"",""))))),1,0))</f>
        <v/>
      </c>
      <c r="Q1630" s="6" t="str">
        <f>IF($K1630="","",IF(ISNUMBER(SEARCH("transfert-interne",IFERROR(INDEX('Paramètres'!$N:$N,MATCH($D1630,'Paramètres'!$M:$M,0))&amp;"",""))),0,IF($L1630="Débit",$K1630,IF($P1630=1,-$K1630,0))))</f>
        <v/>
      </c>
      <c r="R1630" s="6" t="str">
        <f>IF($K1630="","",IF($L1630="Crédit",$K1630,-$K1630))</f>
        <v/>
      </c>
      <c r="S1630" s="6" t="str">
        <f>IF($C1630="","",IFERROR(INDEX('Paramètres'!$H:$H,MATCH($C1630,'Paramètres'!$D:$D,0))&amp;"",""))</f>
        <v/>
      </c>
      <c r="T1630" s="6" t="str">
        <f>IF($K1630="","",IF($S1630="",0,IF(ISNUMBER(SEARCH("apport-exterieur",IFERROR(INDEX('Paramètres'!$N:$N,MATCH($D1630,'Paramètres'!$M:$M,0))&amp;"",""))),0,IF(OR(IFERROR(INDEX('Paramètres'!$I:$I,MATCH($C1630,'Paramètres'!$D:$D,0))&amp;"","")="Les deux",IFERROR(INDEX('Paramètres'!$I:$I,MATCH($C1630,'Paramètres'!$D:$D,0))&amp;"","")=IF($P1630=1,"Débit",$L1630)),-IF($P1630=1,-$K1630,$K1630),0))))</f>
        <v/>
      </c>
      <c r="U1630" s="6" t="str">
        <f>IF($K1630="","",IF(ISNUMBER(SEARCH("sortie-epargne",IFERROR(INDEX('Paramètres'!$N:$N,MATCH($D1630,'Paramètres'!$M:$M,0))&amp;"",""))),$K1630,0))</f>
        <v/>
      </c>
      <c r="V1630" s="6" t="str">
        <f>IF(AND($A1630&lt;&gt;"",$O1630=1,$L1630="Débit",N($Q1630)&gt;0,$A1630&gt;=Visualisation!$B$1,$A1630&lt;Visualisation!$D$1),MAX($V$1:V1629)+1,"")</f>
        <v/>
      </c>
    </row>
    <row r="1631" spans="1:22" x14ac:dyDescent="0.25">
      <c r="A1631" s="9"/>
      <c r="E1631" s="10"/>
      <c r="K1631" s="11" t="str">
        <f>IF($E1631="","",ROUND($E1631*IF(ISNA(MATCH($C1631,'Paramètres'!$D:$D,0)),1,IF(INDEX('Paramètres'!$J:$J,MATCH($C1631,'Paramètres'!$D:$D,0))="",1,INDEX('Paramètres'!$J:$J,MATCH($C1631,'Paramètres'!$D:$D,0)))),2))</f>
        <v/>
      </c>
      <c r="L1631" s="6" t="str">
        <f>IF($D1631="","",IF($F1631&lt;&gt;"",$F1631,IF(ISNA(MATCH($D1631,'Paramètres'!$M:$M,0)),"⚠ Type inconnu",IFERROR(INDEX('Paramètres'!$P:$P,MATCH($D1631,'Paramètres'!$M:$M,0))&amp;"",""))))</f>
        <v/>
      </c>
      <c r="M1631" s="6" t="str">
        <f>IF($D1631="","",IF(ISNA(MATCH($D1631,'Paramètres'!$M:$M,0)),"⚠ Type inconnu",IF($L1631="Crédit","",IFERROR(INDEX('Paramètres'!$O:$O,MATCH($D1631,'Paramètres'!$M:$M,0))&amp;"",""))))</f>
        <v/>
      </c>
      <c r="N1631" s="6" t="str">
        <f>IF($D1631="","",IFERROR(INDEX('Paramètres'!$Q:$Q,MATCH($D1631,'Paramètres'!$M:$M,0))&amp;"",""))</f>
        <v/>
      </c>
      <c r="O1631" s="6" t="str">
        <f>IF($A1631="","",IF(OR($J1631&lt;&gt;"x",$A1631&lt;=FinReleve),1,0))</f>
        <v/>
      </c>
      <c r="P1631" s="6" t="str">
        <f>IF($D1631="","",IF(AND($L1631="Crédit",OR(IFERROR(INDEX('Paramètres'!$O:$O,MATCH($D1631,'Paramètres'!$M:$M,0))&amp;"","")&lt;&gt;"",ISNUMBER(SEARCH("remboursement",IFERROR(INDEX('Paramètres'!$N:$N,MATCH($D1631,'Paramètres'!$M:$M,0))&amp;"",""))))),1,0))</f>
        <v/>
      </c>
      <c r="Q1631" s="6" t="str">
        <f>IF($K1631="","",IF(ISNUMBER(SEARCH("transfert-interne",IFERROR(INDEX('Paramètres'!$N:$N,MATCH($D1631,'Paramètres'!$M:$M,0))&amp;"",""))),0,IF($L1631="Débit",$K1631,IF($P1631=1,-$K1631,0))))</f>
        <v/>
      </c>
      <c r="R1631" s="6" t="str">
        <f>IF($K1631="","",IF($L1631="Crédit",$K1631,-$K1631))</f>
        <v/>
      </c>
      <c r="S1631" s="6" t="str">
        <f>IF($C1631="","",IFERROR(INDEX('Paramètres'!$H:$H,MATCH($C1631,'Paramètres'!$D:$D,0))&amp;"",""))</f>
        <v/>
      </c>
      <c r="T1631" s="6" t="str">
        <f>IF($K1631="","",IF($S1631="",0,IF(ISNUMBER(SEARCH("apport-exterieur",IFERROR(INDEX('Paramètres'!$N:$N,MATCH($D1631,'Paramètres'!$M:$M,0))&amp;"",""))),0,IF(OR(IFERROR(INDEX('Paramètres'!$I:$I,MATCH($C1631,'Paramètres'!$D:$D,0))&amp;"","")="Les deux",IFERROR(INDEX('Paramètres'!$I:$I,MATCH($C1631,'Paramètres'!$D:$D,0))&amp;"","")=IF($P1631=1,"Débit",$L1631)),-IF($P1631=1,-$K1631,$K1631),0))))</f>
        <v/>
      </c>
      <c r="U1631" s="6" t="str">
        <f>IF($K1631="","",IF(ISNUMBER(SEARCH("sortie-epargne",IFERROR(INDEX('Paramètres'!$N:$N,MATCH($D1631,'Paramètres'!$M:$M,0))&amp;"",""))),$K1631,0))</f>
        <v/>
      </c>
      <c r="V1631" s="6" t="str">
        <f>IF(AND($A1631&lt;&gt;"",$O1631=1,$L1631="Débit",N($Q1631)&gt;0,$A1631&gt;=Visualisation!$B$1,$A1631&lt;Visualisation!$D$1),MAX($V$1:V1630)+1,"")</f>
        <v/>
      </c>
    </row>
    <row r="1632" spans="1:22" x14ac:dyDescent="0.25">
      <c r="A1632" s="9"/>
      <c r="E1632" s="10"/>
      <c r="K1632" s="11" t="str">
        <f>IF($E1632="","",ROUND($E1632*IF(ISNA(MATCH($C1632,'Paramètres'!$D:$D,0)),1,IF(INDEX('Paramètres'!$J:$J,MATCH($C1632,'Paramètres'!$D:$D,0))="",1,INDEX('Paramètres'!$J:$J,MATCH($C1632,'Paramètres'!$D:$D,0)))),2))</f>
        <v/>
      </c>
      <c r="L1632" s="6" t="str">
        <f>IF($D1632="","",IF($F1632&lt;&gt;"",$F1632,IF(ISNA(MATCH($D1632,'Paramètres'!$M:$M,0)),"⚠ Type inconnu",IFERROR(INDEX('Paramètres'!$P:$P,MATCH($D1632,'Paramètres'!$M:$M,0))&amp;"",""))))</f>
        <v/>
      </c>
      <c r="M1632" s="6" t="str">
        <f>IF($D1632="","",IF(ISNA(MATCH($D1632,'Paramètres'!$M:$M,0)),"⚠ Type inconnu",IF($L1632="Crédit","",IFERROR(INDEX('Paramètres'!$O:$O,MATCH($D1632,'Paramètres'!$M:$M,0))&amp;"",""))))</f>
        <v/>
      </c>
      <c r="N1632" s="6" t="str">
        <f>IF($D1632="","",IFERROR(INDEX('Paramètres'!$Q:$Q,MATCH($D1632,'Paramètres'!$M:$M,0))&amp;"",""))</f>
        <v/>
      </c>
      <c r="O1632" s="6" t="str">
        <f>IF($A1632="","",IF(OR($J1632&lt;&gt;"x",$A1632&lt;=FinReleve),1,0))</f>
        <v/>
      </c>
      <c r="P1632" s="6" t="str">
        <f>IF($D1632="","",IF(AND($L1632="Crédit",OR(IFERROR(INDEX('Paramètres'!$O:$O,MATCH($D1632,'Paramètres'!$M:$M,0))&amp;"","")&lt;&gt;"",ISNUMBER(SEARCH("remboursement",IFERROR(INDEX('Paramètres'!$N:$N,MATCH($D1632,'Paramètres'!$M:$M,0))&amp;"",""))))),1,0))</f>
        <v/>
      </c>
      <c r="Q1632" s="6" t="str">
        <f>IF($K1632="","",IF(ISNUMBER(SEARCH("transfert-interne",IFERROR(INDEX('Paramètres'!$N:$N,MATCH($D1632,'Paramètres'!$M:$M,0))&amp;"",""))),0,IF($L1632="Débit",$K1632,IF($P1632=1,-$K1632,0))))</f>
        <v/>
      </c>
      <c r="R1632" s="6" t="str">
        <f>IF($K1632="","",IF($L1632="Crédit",$K1632,-$K1632))</f>
        <v/>
      </c>
      <c r="S1632" s="6" t="str">
        <f>IF($C1632="","",IFERROR(INDEX('Paramètres'!$H:$H,MATCH($C1632,'Paramètres'!$D:$D,0))&amp;"",""))</f>
        <v/>
      </c>
      <c r="T1632" s="6" t="str">
        <f>IF($K1632="","",IF($S1632="",0,IF(ISNUMBER(SEARCH("apport-exterieur",IFERROR(INDEX('Paramètres'!$N:$N,MATCH($D1632,'Paramètres'!$M:$M,0))&amp;"",""))),0,IF(OR(IFERROR(INDEX('Paramètres'!$I:$I,MATCH($C1632,'Paramètres'!$D:$D,0))&amp;"","")="Les deux",IFERROR(INDEX('Paramètres'!$I:$I,MATCH($C1632,'Paramètres'!$D:$D,0))&amp;"","")=IF($P1632=1,"Débit",$L1632)),-IF($P1632=1,-$K1632,$K1632),0))))</f>
        <v/>
      </c>
      <c r="U1632" s="6" t="str">
        <f>IF($K1632="","",IF(ISNUMBER(SEARCH("sortie-epargne",IFERROR(INDEX('Paramètres'!$N:$N,MATCH($D1632,'Paramètres'!$M:$M,0))&amp;"",""))),$K1632,0))</f>
        <v/>
      </c>
      <c r="V1632" s="6" t="str">
        <f>IF(AND($A1632&lt;&gt;"",$O1632=1,$L1632="Débit",N($Q1632)&gt;0,$A1632&gt;=Visualisation!$B$1,$A1632&lt;Visualisation!$D$1),MAX($V$1:V1631)+1,"")</f>
        <v/>
      </c>
    </row>
    <row r="1633" spans="1:22" x14ac:dyDescent="0.25">
      <c r="A1633" s="9"/>
      <c r="E1633" s="10"/>
      <c r="K1633" s="11" t="str">
        <f>IF($E1633="","",ROUND($E1633*IF(ISNA(MATCH($C1633,'Paramètres'!$D:$D,0)),1,IF(INDEX('Paramètres'!$J:$J,MATCH($C1633,'Paramètres'!$D:$D,0))="",1,INDEX('Paramètres'!$J:$J,MATCH($C1633,'Paramètres'!$D:$D,0)))),2))</f>
        <v/>
      </c>
      <c r="L1633" s="6" t="str">
        <f>IF($D1633="","",IF($F1633&lt;&gt;"",$F1633,IF(ISNA(MATCH($D1633,'Paramètres'!$M:$M,0)),"⚠ Type inconnu",IFERROR(INDEX('Paramètres'!$P:$P,MATCH($D1633,'Paramètres'!$M:$M,0))&amp;"",""))))</f>
        <v/>
      </c>
      <c r="M1633" s="6" t="str">
        <f>IF($D1633="","",IF(ISNA(MATCH($D1633,'Paramètres'!$M:$M,0)),"⚠ Type inconnu",IF($L1633="Crédit","",IFERROR(INDEX('Paramètres'!$O:$O,MATCH($D1633,'Paramètres'!$M:$M,0))&amp;"",""))))</f>
        <v/>
      </c>
      <c r="N1633" s="6" t="str">
        <f>IF($D1633="","",IFERROR(INDEX('Paramètres'!$Q:$Q,MATCH($D1633,'Paramètres'!$M:$M,0))&amp;"",""))</f>
        <v/>
      </c>
      <c r="O1633" s="6" t="str">
        <f>IF($A1633="","",IF(OR($J1633&lt;&gt;"x",$A1633&lt;=FinReleve),1,0))</f>
        <v/>
      </c>
      <c r="P1633" s="6" t="str">
        <f>IF($D1633="","",IF(AND($L1633="Crédit",OR(IFERROR(INDEX('Paramètres'!$O:$O,MATCH($D1633,'Paramètres'!$M:$M,0))&amp;"","")&lt;&gt;"",ISNUMBER(SEARCH("remboursement",IFERROR(INDEX('Paramètres'!$N:$N,MATCH($D1633,'Paramètres'!$M:$M,0))&amp;"",""))))),1,0))</f>
        <v/>
      </c>
      <c r="Q1633" s="6" t="str">
        <f>IF($K1633="","",IF(ISNUMBER(SEARCH("transfert-interne",IFERROR(INDEX('Paramètres'!$N:$N,MATCH($D1633,'Paramètres'!$M:$M,0))&amp;"",""))),0,IF($L1633="Débit",$K1633,IF($P1633=1,-$K1633,0))))</f>
        <v/>
      </c>
      <c r="R1633" s="6" t="str">
        <f>IF($K1633="","",IF($L1633="Crédit",$K1633,-$K1633))</f>
        <v/>
      </c>
      <c r="S1633" s="6" t="str">
        <f>IF($C1633="","",IFERROR(INDEX('Paramètres'!$H:$H,MATCH($C1633,'Paramètres'!$D:$D,0))&amp;"",""))</f>
        <v/>
      </c>
      <c r="T1633" s="6" t="str">
        <f>IF($K1633="","",IF($S1633="",0,IF(ISNUMBER(SEARCH("apport-exterieur",IFERROR(INDEX('Paramètres'!$N:$N,MATCH($D1633,'Paramètres'!$M:$M,0))&amp;"",""))),0,IF(OR(IFERROR(INDEX('Paramètres'!$I:$I,MATCH($C1633,'Paramètres'!$D:$D,0))&amp;"","")="Les deux",IFERROR(INDEX('Paramètres'!$I:$I,MATCH($C1633,'Paramètres'!$D:$D,0))&amp;"","")=IF($P1633=1,"Débit",$L1633)),-IF($P1633=1,-$K1633,$K1633),0))))</f>
        <v/>
      </c>
      <c r="U1633" s="6" t="str">
        <f>IF($K1633="","",IF(ISNUMBER(SEARCH("sortie-epargne",IFERROR(INDEX('Paramètres'!$N:$N,MATCH($D1633,'Paramètres'!$M:$M,0))&amp;"",""))),$K1633,0))</f>
        <v/>
      </c>
      <c r="V1633" s="6" t="str">
        <f>IF(AND($A1633&lt;&gt;"",$O1633=1,$L1633="Débit",N($Q1633)&gt;0,$A1633&gt;=Visualisation!$B$1,$A1633&lt;Visualisation!$D$1),MAX($V$1:V1632)+1,"")</f>
        <v/>
      </c>
    </row>
    <row r="1634" spans="1:22" x14ac:dyDescent="0.25">
      <c r="A1634" s="9"/>
      <c r="E1634" s="10"/>
      <c r="K1634" s="11" t="str">
        <f>IF($E1634="","",ROUND($E1634*IF(ISNA(MATCH($C1634,'Paramètres'!$D:$D,0)),1,IF(INDEX('Paramètres'!$J:$J,MATCH($C1634,'Paramètres'!$D:$D,0))="",1,INDEX('Paramètres'!$J:$J,MATCH($C1634,'Paramètres'!$D:$D,0)))),2))</f>
        <v/>
      </c>
      <c r="L1634" s="6" t="str">
        <f>IF($D1634="","",IF($F1634&lt;&gt;"",$F1634,IF(ISNA(MATCH($D1634,'Paramètres'!$M:$M,0)),"⚠ Type inconnu",IFERROR(INDEX('Paramètres'!$P:$P,MATCH($D1634,'Paramètres'!$M:$M,0))&amp;"",""))))</f>
        <v/>
      </c>
      <c r="M1634" s="6" t="str">
        <f>IF($D1634="","",IF(ISNA(MATCH($D1634,'Paramètres'!$M:$M,0)),"⚠ Type inconnu",IF($L1634="Crédit","",IFERROR(INDEX('Paramètres'!$O:$O,MATCH($D1634,'Paramètres'!$M:$M,0))&amp;"",""))))</f>
        <v/>
      </c>
      <c r="N1634" s="6" t="str">
        <f>IF($D1634="","",IFERROR(INDEX('Paramètres'!$Q:$Q,MATCH($D1634,'Paramètres'!$M:$M,0))&amp;"",""))</f>
        <v/>
      </c>
      <c r="O1634" s="6" t="str">
        <f>IF($A1634="","",IF(OR($J1634&lt;&gt;"x",$A1634&lt;=FinReleve),1,0))</f>
        <v/>
      </c>
      <c r="P1634" s="6" t="str">
        <f>IF($D1634="","",IF(AND($L1634="Crédit",OR(IFERROR(INDEX('Paramètres'!$O:$O,MATCH($D1634,'Paramètres'!$M:$M,0))&amp;"","")&lt;&gt;"",ISNUMBER(SEARCH("remboursement",IFERROR(INDEX('Paramètres'!$N:$N,MATCH($D1634,'Paramètres'!$M:$M,0))&amp;"",""))))),1,0))</f>
        <v/>
      </c>
      <c r="Q1634" s="6" t="str">
        <f>IF($K1634="","",IF(ISNUMBER(SEARCH("transfert-interne",IFERROR(INDEX('Paramètres'!$N:$N,MATCH($D1634,'Paramètres'!$M:$M,0))&amp;"",""))),0,IF($L1634="Débit",$K1634,IF($P1634=1,-$K1634,0))))</f>
        <v/>
      </c>
      <c r="R1634" s="6" t="str">
        <f>IF($K1634="","",IF($L1634="Crédit",$K1634,-$K1634))</f>
        <v/>
      </c>
      <c r="S1634" s="6" t="str">
        <f>IF($C1634="","",IFERROR(INDEX('Paramètres'!$H:$H,MATCH($C1634,'Paramètres'!$D:$D,0))&amp;"",""))</f>
        <v/>
      </c>
      <c r="T1634" s="6" t="str">
        <f>IF($K1634="","",IF($S1634="",0,IF(ISNUMBER(SEARCH("apport-exterieur",IFERROR(INDEX('Paramètres'!$N:$N,MATCH($D1634,'Paramètres'!$M:$M,0))&amp;"",""))),0,IF(OR(IFERROR(INDEX('Paramètres'!$I:$I,MATCH($C1634,'Paramètres'!$D:$D,0))&amp;"","")="Les deux",IFERROR(INDEX('Paramètres'!$I:$I,MATCH($C1634,'Paramètres'!$D:$D,0))&amp;"","")=IF($P1634=1,"Débit",$L1634)),-IF($P1634=1,-$K1634,$K1634),0))))</f>
        <v/>
      </c>
      <c r="U1634" s="6" t="str">
        <f>IF($K1634="","",IF(ISNUMBER(SEARCH("sortie-epargne",IFERROR(INDEX('Paramètres'!$N:$N,MATCH($D1634,'Paramètres'!$M:$M,0))&amp;"",""))),$K1634,0))</f>
        <v/>
      </c>
      <c r="V1634" s="6" t="str">
        <f>IF(AND($A1634&lt;&gt;"",$O1634=1,$L1634="Débit",N($Q1634)&gt;0,$A1634&gt;=Visualisation!$B$1,$A1634&lt;Visualisation!$D$1),MAX($V$1:V1633)+1,"")</f>
        <v/>
      </c>
    </row>
    <row r="1635" spans="1:22" x14ac:dyDescent="0.25">
      <c r="A1635" s="9"/>
      <c r="E1635" s="10"/>
      <c r="K1635" s="11" t="str">
        <f>IF($E1635="","",ROUND($E1635*IF(ISNA(MATCH($C1635,'Paramètres'!$D:$D,0)),1,IF(INDEX('Paramètres'!$J:$J,MATCH($C1635,'Paramètres'!$D:$D,0))="",1,INDEX('Paramètres'!$J:$J,MATCH($C1635,'Paramètres'!$D:$D,0)))),2))</f>
        <v/>
      </c>
      <c r="L1635" s="6" t="str">
        <f>IF($D1635="","",IF($F1635&lt;&gt;"",$F1635,IF(ISNA(MATCH($D1635,'Paramètres'!$M:$M,0)),"⚠ Type inconnu",IFERROR(INDEX('Paramètres'!$P:$P,MATCH($D1635,'Paramètres'!$M:$M,0))&amp;"",""))))</f>
        <v/>
      </c>
      <c r="M1635" s="6" t="str">
        <f>IF($D1635="","",IF(ISNA(MATCH($D1635,'Paramètres'!$M:$M,0)),"⚠ Type inconnu",IF($L1635="Crédit","",IFERROR(INDEX('Paramètres'!$O:$O,MATCH($D1635,'Paramètres'!$M:$M,0))&amp;"",""))))</f>
        <v/>
      </c>
      <c r="N1635" s="6" t="str">
        <f>IF($D1635="","",IFERROR(INDEX('Paramètres'!$Q:$Q,MATCH($D1635,'Paramètres'!$M:$M,0))&amp;"",""))</f>
        <v/>
      </c>
      <c r="O1635" s="6" t="str">
        <f>IF($A1635="","",IF(OR($J1635&lt;&gt;"x",$A1635&lt;=FinReleve),1,0))</f>
        <v/>
      </c>
      <c r="P1635" s="6" t="str">
        <f>IF($D1635="","",IF(AND($L1635="Crédit",OR(IFERROR(INDEX('Paramètres'!$O:$O,MATCH($D1635,'Paramètres'!$M:$M,0))&amp;"","")&lt;&gt;"",ISNUMBER(SEARCH("remboursement",IFERROR(INDEX('Paramètres'!$N:$N,MATCH($D1635,'Paramètres'!$M:$M,0))&amp;"",""))))),1,0))</f>
        <v/>
      </c>
      <c r="Q1635" s="6" t="str">
        <f>IF($K1635="","",IF(ISNUMBER(SEARCH("transfert-interne",IFERROR(INDEX('Paramètres'!$N:$N,MATCH($D1635,'Paramètres'!$M:$M,0))&amp;"",""))),0,IF($L1635="Débit",$K1635,IF($P1635=1,-$K1635,0))))</f>
        <v/>
      </c>
      <c r="R1635" s="6" t="str">
        <f>IF($K1635="","",IF($L1635="Crédit",$K1635,-$K1635))</f>
        <v/>
      </c>
      <c r="S1635" s="6" t="str">
        <f>IF($C1635="","",IFERROR(INDEX('Paramètres'!$H:$H,MATCH($C1635,'Paramètres'!$D:$D,0))&amp;"",""))</f>
        <v/>
      </c>
      <c r="T1635" s="6" t="str">
        <f>IF($K1635="","",IF($S1635="",0,IF(ISNUMBER(SEARCH("apport-exterieur",IFERROR(INDEX('Paramètres'!$N:$N,MATCH($D1635,'Paramètres'!$M:$M,0))&amp;"",""))),0,IF(OR(IFERROR(INDEX('Paramètres'!$I:$I,MATCH($C1635,'Paramètres'!$D:$D,0))&amp;"","")="Les deux",IFERROR(INDEX('Paramètres'!$I:$I,MATCH($C1635,'Paramètres'!$D:$D,0))&amp;"","")=IF($P1635=1,"Débit",$L1635)),-IF($P1635=1,-$K1635,$K1635),0))))</f>
        <v/>
      </c>
      <c r="U1635" s="6" t="str">
        <f>IF($K1635="","",IF(ISNUMBER(SEARCH("sortie-epargne",IFERROR(INDEX('Paramètres'!$N:$N,MATCH($D1635,'Paramètres'!$M:$M,0))&amp;"",""))),$K1635,0))</f>
        <v/>
      </c>
      <c r="V1635" s="6" t="str">
        <f>IF(AND($A1635&lt;&gt;"",$O1635=1,$L1635="Débit",N($Q1635)&gt;0,$A1635&gt;=Visualisation!$B$1,$A1635&lt;Visualisation!$D$1),MAX($V$1:V1634)+1,"")</f>
        <v/>
      </c>
    </row>
    <row r="1636" spans="1:22" x14ac:dyDescent="0.25">
      <c r="A1636" s="9"/>
      <c r="E1636" s="10"/>
      <c r="K1636" s="11" t="str">
        <f>IF($E1636="","",ROUND($E1636*IF(ISNA(MATCH($C1636,'Paramètres'!$D:$D,0)),1,IF(INDEX('Paramètres'!$J:$J,MATCH($C1636,'Paramètres'!$D:$D,0))="",1,INDEX('Paramètres'!$J:$J,MATCH($C1636,'Paramètres'!$D:$D,0)))),2))</f>
        <v/>
      </c>
      <c r="L1636" s="6" t="str">
        <f>IF($D1636="","",IF($F1636&lt;&gt;"",$F1636,IF(ISNA(MATCH($D1636,'Paramètres'!$M:$M,0)),"⚠ Type inconnu",IFERROR(INDEX('Paramètres'!$P:$P,MATCH($D1636,'Paramètres'!$M:$M,0))&amp;"",""))))</f>
        <v/>
      </c>
      <c r="M1636" s="6" t="str">
        <f>IF($D1636="","",IF(ISNA(MATCH($D1636,'Paramètres'!$M:$M,0)),"⚠ Type inconnu",IF($L1636="Crédit","",IFERROR(INDEX('Paramètres'!$O:$O,MATCH($D1636,'Paramètres'!$M:$M,0))&amp;"",""))))</f>
        <v/>
      </c>
      <c r="N1636" s="6" t="str">
        <f>IF($D1636="","",IFERROR(INDEX('Paramètres'!$Q:$Q,MATCH($D1636,'Paramètres'!$M:$M,0))&amp;"",""))</f>
        <v/>
      </c>
      <c r="O1636" s="6" t="str">
        <f>IF($A1636="","",IF(OR($J1636&lt;&gt;"x",$A1636&lt;=FinReleve),1,0))</f>
        <v/>
      </c>
      <c r="P1636" s="6" t="str">
        <f>IF($D1636="","",IF(AND($L1636="Crédit",OR(IFERROR(INDEX('Paramètres'!$O:$O,MATCH($D1636,'Paramètres'!$M:$M,0))&amp;"","")&lt;&gt;"",ISNUMBER(SEARCH("remboursement",IFERROR(INDEX('Paramètres'!$N:$N,MATCH($D1636,'Paramètres'!$M:$M,0))&amp;"",""))))),1,0))</f>
        <v/>
      </c>
      <c r="Q1636" s="6" t="str">
        <f>IF($K1636="","",IF(ISNUMBER(SEARCH("transfert-interne",IFERROR(INDEX('Paramètres'!$N:$N,MATCH($D1636,'Paramètres'!$M:$M,0))&amp;"",""))),0,IF($L1636="Débit",$K1636,IF($P1636=1,-$K1636,0))))</f>
        <v/>
      </c>
      <c r="R1636" s="6" t="str">
        <f>IF($K1636="","",IF($L1636="Crédit",$K1636,-$K1636))</f>
        <v/>
      </c>
      <c r="S1636" s="6" t="str">
        <f>IF($C1636="","",IFERROR(INDEX('Paramètres'!$H:$H,MATCH($C1636,'Paramètres'!$D:$D,0))&amp;"",""))</f>
        <v/>
      </c>
      <c r="T1636" s="6" t="str">
        <f>IF($K1636="","",IF($S1636="",0,IF(ISNUMBER(SEARCH("apport-exterieur",IFERROR(INDEX('Paramètres'!$N:$N,MATCH($D1636,'Paramètres'!$M:$M,0))&amp;"",""))),0,IF(OR(IFERROR(INDEX('Paramètres'!$I:$I,MATCH($C1636,'Paramètres'!$D:$D,0))&amp;"","")="Les deux",IFERROR(INDEX('Paramètres'!$I:$I,MATCH($C1636,'Paramètres'!$D:$D,0))&amp;"","")=IF($P1636=1,"Débit",$L1636)),-IF($P1636=1,-$K1636,$K1636),0))))</f>
        <v/>
      </c>
      <c r="U1636" s="6" t="str">
        <f>IF($K1636="","",IF(ISNUMBER(SEARCH("sortie-epargne",IFERROR(INDEX('Paramètres'!$N:$N,MATCH($D1636,'Paramètres'!$M:$M,0))&amp;"",""))),$K1636,0))</f>
        <v/>
      </c>
      <c r="V1636" s="6" t="str">
        <f>IF(AND($A1636&lt;&gt;"",$O1636=1,$L1636="Débit",N($Q1636)&gt;0,$A1636&gt;=Visualisation!$B$1,$A1636&lt;Visualisation!$D$1),MAX($V$1:V1635)+1,"")</f>
        <v/>
      </c>
    </row>
    <row r="1637" spans="1:22" x14ac:dyDescent="0.25">
      <c r="A1637" s="9"/>
      <c r="E1637" s="10"/>
      <c r="K1637" s="11" t="str">
        <f>IF($E1637="","",ROUND($E1637*IF(ISNA(MATCH($C1637,'Paramètres'!$D:$D,0)),1,IF(INDEX('Paramètres'!$J:$J,MATCH($C1637,'Paramètres'!$D:$D,0))="",1,INDEX('Paramètres'!$J:$J,MATCH($C1637,'Paramètres'!$D:$D,0)))),2))</f>
        <v/>
      </c>
      <c r="L1637" s="6" t="str">
        <f>IF($D1637="","",IF($F1637&lt;&gt;"",$F1637,IF(ISNA(MATCH($D1637,'Paramètres'!$M:$M,0)),"⚠ Type inconnu",IFERROR(INDEX('Paramètres'!$P:$P,MATCH($D1637,'Paramètres'!$M:$M,0))&amp;"",""))))</f>
        <v/>
      </c>
      <c r="M1637" s="6" t="str">
        <f>IF($D1637="","",IF(ISNA(MATCH($D1637,'Paramètres'!$M:$M,0)),"⚠ Type inconnu",IF($L1637="Crédit","",IFERROR(INDEX('Paramètres'!$O:$O,MATCH($D1637,'Paramètres'!$M:$M,0))&amp;"",""))))</f>
        <v/>
      </c>
      <c r="N1637" s="6" t="str">
        <f>IF($D1637="","",IFERROR(INDEX('Paramètres'!$Q:$Q,MATCH($D1637,'Paramètres'!$M:$M,0))&amp;"",""))</f>
        <v/>
      </c>
      <c r="O1637" s="6" t="str">
        <f>IF($A1637="","",IF(OR($J1637&lt;&gt;"x",$A1637&lt;=FinReleve),1,0))</f>
        <v/>
      </c>
      <c r="P1637" s="6" t="str">
        <f>IF($D1637="","",IF(AND($L1637="Crédit",OR(IFERROR(INDEX('Paramètres'!$O:$O,MATCH($D1637,'Paramètres'!$M:$M,0))&amp;"","")&lt;&gt;"",ISNUMBER(SEARCH("remboursement",IFERROR(INDEX('Paramètres'!$N:$N,MATCH($D1637,'Paramètres'!$M:$M,0))&amp;"",""))))),1,0))</f>
        <v/>
      </c>
      <c r="Q1637" s="6" t="str">
        <f>IF($K1637="","",IF(ISNUMBER(SEARCH("transfert-interne",IFERROR(INDEX('Paramètres'!$N:$N,MATCH($D1637,'Paramètres'!$M:$M,0))&amp;"",""))),0,IF($L1637="Débit",$K1637,IF($P1637=1,-$K1637,0))))</f>
        <v/>
      </c>
      <c r="R1637" s="6" t="str">
        <f>IF($K1637="","",IF($L1637="Crédit",$K1637,-$K1637))</f>
        <v/>
      </c>
      <c r="S1637" s="6" t="str">
        <f>IF($C1637="","",IFERROR(INDEX('Paramètres'!$H:$H,MATCH($C1637,'Paramètres'!$D:$D,0))&amp;"",""))</f>
        <v/>
      </c>
      <c r="T1637" s="6" t="str">
        <f>IF($K1637="","",IF($S1637="",0,IF(ISNUMBER(SEARCH("apport-exterieur",IFERROR(INDEX('Paramètres'!$N:$N,MATCH($D1637,'Paramètres'!$M:$M,0))&amp;"",""))),0,IF(OR(IFERROR(INDEX('Paramètres'!$I:$I,MATCH($C1637,'Paramètres'!$D:$D,0))&amp;"","")="Les deux",IFERROR(INDEX('Paramètres'!$I:$I,MATCH($C1637,'Paramètres'!$D:$D,0))&amp;"","")=IF($P1637=1,"Débit",$L1637)),-IF($P1637=1,-$K1637,$K1637),0))))</f>
        <v/>
      </c>
      <c r="U1637" s="6" t="str">
        <f>IF($K1637="","",IF(ISNUMBER(SEARCH("sortie-epargne",IFERROR(INDEX('Paramètres'!$N:$N,MATCH($D1637,'Paramètres'!$M:$M,0))&amp;"",""))),$K1637,0))</f>
        <v/>
      </c>
      <c r="V1637" s="6" t="str">
        <f>IF(AND($A1637&lt;&gt;"",$O1637=1,$L1637="Débit",N($Q1637)&gt;0,$A1637&gt;=Visualisation!$B$1,$A1637&lt;Visualisation!$D$1),MAX($V$1:V1636)+1,"")</f>
        <v/>
      </c>
    </row>
    <row r="1638" spans="1:22" x14ac:dyDescent="0.25">
      <c r="A1638" s="9"/>
      <c r="E1638" s="10"/>
      <c r="K1638" s="11" t="str">
        <f>IF($E1638="","",ROUND($E1638*IF(ISNA(MATCH($C1638,'Paramètres'!$D:$D,0)),1,IF(INDEX('Paramètres'!$J:$J,MATCH($C1638,'Paramètres'!$D:$D,0))="",1,INDEX('Paramètres'!$J:$J,MATCH($C1638,'Paramètres'!$D:$D,0)))),2))</f>
        <v/>
      </c>
      <c r="L1638" s="6" t="str">
        <f>IF($D1638="","",IF($F1638&lt;&gt;"",$F1638,IF(ISNA(MATCH($D1638,'Paramètres'!$M:$M,0)),"⚠ Type inconnu",IFERROR(INDEX('Paramètres'!$P:$P,MATCH($D1638,'Paramètres'!$M:$M,0))&amp;"",""))))</f>
        <v/>
      </c>
      <c r="M1638" s="6" t="str">
        <f>IF($D1638="","",IF(ISNA(MATCH($D1638,'Paramètres'!$M:$M,0)),"⚠ Type inconnu",IF($L1638="Crédit","",IFERROR(INDEX('Paramètres'!$O:$O,MATCH($D1638,'Paramètres'!$M:$M,0))&amp;"",""))))</f>
        <v/>
      </c>
      <c r="N1638" s="6" t="str">
        <f>IF($D1638="","",IFERROR(INDEX('Paramètres'!$Q:$Q,MATCH($D1638,'Paramètres'!$M:$M,0))&amp;"",""))</f>
        <v/>
      </c>
      <c r="O1638" s="6" t="str">
        <f>IF($A1638="","",IF(OR($J1638&lt;&gt;"x",$A1638&lt;=FinReleve),1,0))</f>
        <v/>
      </c>
      <c r="P1638" s="6" t="str">
        <f>IF($D1638="","",IF(AND($L1638="Crédit",OR(IFERROR(INDEX('Paramètres'!$O:$O,MATCH($D1638,'Paramètres'!$M:$M,0))&amp;"","")&lt;&gt;"",ISNUMBER(SEARCH("remboursement",IFERROR(INDEX('Paramètres'!$N:$N,MATCH($D1638,'Paramètres'!$M:$M,0))&amp;"",""))))),1,0))</f>
        <v/>
      </c>
      <c r="Q1638" s="6" t="str">
        <f>IF($K1638="","",IF(ISNUMBER(SEARCH("transfert-interne",IFERROR(INDEX('Paramètres'!$N:$N,MATCH($D1638,'Paramètres'!$M:$M,0))&amp;"",""))),0,IF($L1638="Débit",$K1638,IF($P1638=1,-$K1638,0))))</f>
        <v/>
      </c>
      <c r="R1638" s="6" t="str">
        <f>IF($K1638="","",IF($L1638="Crédit",$K1638,-$K1638))</f>
        <v/>
      </c>
      <c r="S1638" s="6" t="str">
        <f>IF($C1638="","",IFERROR(INDEX('Paramètres'!$H:$H,MATCH($C1638,'Paramètres'!$D:$D,0))&amp;"",""))</f>
        <v/>
      </c>
      <c r="T1638" s="6" t="str">
        <f>IF($K1638="","",IF($S1638="",0,IF(ISNUMBER(SEARCH("apport-exterieur",IFERROR(INDEX('Paramètres'!$N:$N,MATCH($D1638,'Paramètres'!$M:$M,0))&amp;"",""))),0,IF(OR(IFERROR(INDEX('Paramètres'!$I:$I,MATCH($C1638,'Paramètres'!$D:$D,0))&amp;"","")="Les deux",IFERROR(INDEX('Paramètres'!$I:$I,MATCH($C1638,'Paramètres'!$D:$D,0))&amp;"","")=IF($P1638=1,"Débit",$L1638)),-IF($P1638=1,-$K1638,$K1638),0))))</f>
        <v/>
      </c>
      <c r="U1638" s="6" t="str">
        <f>IF($K1638="","",IF(ISNUMBER(SEARCH("sortie-epargne",IFERROR(INDEX('Paramètres'!$N:$N,MATCH($D1638,'Paramètres'!$M:$M,0))&amp;"",""))),$K1638,0))</f>
        <v/>
      </c>
      <c r="V1638" s="6" t="str">
        <f>IF(AND($A1638&lt;&gt;"",$O1638=1,$L1638="Débit",N($Q1638)&gt;0,$A1638&gt;=Visualisation!$B$1,$A1638&lt;Visualisation!$D$1),MAX($V$1:V1637)+1,"")</f>
        <v/>
      </c>
    </row>
    <row r="1639" spans="1:22" x14ac:dyDescent="0.25">
      <c r="A1639" s="9"/>
      <c r="E1639" s="10"/>
      <c r="K1639" s="11" t="str">
        <f>IF($E1639="","",ROUND($E1639*IF(ISNA(MATCH($C1639,'Paramètres'!$D:$D,0)),1,IF(INDEX('Paramètres'!$J:$J,MATCH($C1639,'Paramètres'!$D:$D,0))="",1,INDEX('Paramètres'!$J:$J,MATCH($C1639,'Paramètres'!$D:$D,0)))),2))</f>
        <v/>
      </c>
      <c r="L1639" s="6" t="str">
        <f>IF($D1639="","",IF($F1639&lt;&gt;"",$F1639,IF(ISNA(MATCH($D1639,'Paramètres'!$M:$M,0)),"⚠ Type inconnu",IFERROR(INDEX('Paramètres'!$P:$P,MATCH($D1639,'Paramètres'!$M:$M,0))&amp;"",""))))</f>
        <v/>
      </c>
      <c r="M1639" s="6" t="str">
        <f>IF($D1639="","",IF(ISNA(MATCH($D1639,'Paramètres'!$M:$M,0)),"⚠ Type inconnu",IF($L1639="Crédit","",IFERROR(INDEX('Paramètres'!$O:$O,MATCH($D1639,'Paramètres'!$M:$M,0))&amp;"",""))))</f>
        <v/>
      </c>
      <c r="N1639" s="6" t="str">
        <f>IF($D1639="","",IFERROR(INDEX('Paramètres'!$Q:$Q,MATCH($D1639,'Paramètres'!$M:$M,0))&amp;"",""))</f>
        <v/>
      </c>
      <c r="O1639" s="6" t="str">
        <f>IF($A1639="","",IF(OR($J1639&lt;&gt;"x",$A1639&lt;=FinReleve),1,0))</f>
        <v/>
      </c>
      <c r="P1639" s="6" t="str">
        <f>IF($D1639="","",IF(AND($L1639="Crédit",OR(IFERROR(INDEX('Paramètres'!$O:$O,MATCH($D1639,'Paramètres'!$M:$M,0))&amp;"","")&lt;&gt;"",ISNUMBER(SEARCH("remboursement",IFERROR(INDEX('Paramètres'!$N:$N,MATCH($D1639,'Paramètres'!$M:$M,0))&amp;"",""))))),1,0))</f>
        <v/>
      </c>
      <c r="Q1639" s="6" t="str">
        <f>IF($K1639="","",IF(ISNUMBER(SEARCH("transfert-interne",IFERROR(INDEX('Paramètres'!$N:$N,MATCH($D1639,'Paramètres'!$M:$M,0))&amp;"",""))),0,IF($L1639="Débit",$K1639,IF($P1639=1,-$K1639,0))))</f>
        <v/>
      </c>
      <c r="R1639" s="6" t="str">
        <f>IF($K1639="","",IF($L1639="Crédit",$K1639,-$K1639))</f>
        <v/>
      </c>
      <c r="S1639" s="6" t="str">
        <f>IF($C1639="","",IFERROR(INDEX('Paramètres'!$H:$H,MATCH($C1639,'Paramètres'!$D:$D,0))&amp;"",""))</f>
        <v/>
      </c>
      <c r="T1639" s="6" t="str">
        <f>IF($K1639="","",IF($S1639="",0,IF(ISNUMBER(SEARCH("apport-exterieur",IFERROR(INDEX('Paramètres'!$N:$N,MATCH($D1639,'Paramètres'!$M:$M,0))&amp;"",""))),0,IF(OR(IFERROR(INDEX('Paramètres'!$I:$I,MATCH($C1639,'Paramètres'!$D:$D,0))&amp;"","")="Les deux",IFERROR(INDEX('Paramètres'!$I:$I,MATCH($C1639,'Paramètres'!$D:$D,0))&amp;"","")=IF($P1639=1,"Débit",$L1639)),-IF($P1639=1,-$K1639,$K1639),0))))</f>
        <v/>
      </c>
      <c r="U1639" s="6" t="str">
        <f>IF($K1639="","",IF(ISNUMBER(SEARCH("sortie-epargne",IFERROR(INDEX('Paramètres'!$N:$N,MATCH($D1639,'Paramètres'!$M:$M,0))&amp;"",""))),$K1639,0))</f>
        <v/>
      </c>
      <c r="V1639" s="6" t="str">
        <f>IF(AND($A1639&lt;&gt;"",$O1639=1,$L1639="Débit",N($Q1639)&gt;0,$A1639&gt;=Visualisation!$B$1,$A1639&lt;Visualisation!$D$1),MAX($V$1:V1638)+1,"")</f>
        <v/>
      </c>
    </row>
    <row r="1640" spans="1:22" x14ac:dyDescent="0.25">
      <c r="A1640" s="9"/>
      <c r="E1640" s="10"/>
      <c r="K1640" s="11" t="str">
        <f>IF($E1640="","",ROUND($E1640*IF(ISNA(MATCH($C1640,'Paramètres'!$D:$D,0)),1,IF(INDEX('Paramètres'!$J:$J,MATCH($C1640,'Paramètres'!$D:$D,0))="",1,INDEX('Paramètres'!$J:$J,MATCH($C1640,'Paramètres'!$D:$D,0)))),2))</f>
        <v/>
      </c>
      <c r="L1640" s="6" t="str">
        <f>IF($D1640="","",IF($F1640&lt;&gt;"",$F1640,IF(ISNA(MATCH($D1640,'Paramètres'!$M:$M,0)),"⚠ Type inconnu",IFERROR(INDEX('Paramètres'!$P:$P,MATCH($D1640,'Paramètres'!$M:$M,0))&amp;"",""))))</f>
        <v/>
      </c>
      <c r="M1640" s="6" t="str">
        <f>IF($D1640="","",IF(ISNA(MATCH($D1640,'Paramètres'!$M:$M,0)),"⚠ Type inconnu",IF($L1640="Crédit","",IFERROR(INDEX('Paramètres'!$O:$O,MATCH($D1640,'Paramètres'!$M:$M,0))&amp;"",""))))</f>
        <v/>
      </c>
      <c r="N1640" s="6" t="str">
        <f>IF($D1640="","",IFERROR(INDEX('Paramètres'!$Q:$Q,MATCH($D1640,'Paramètres'!$M:$M,0))&amp;"",""))</f>
        <v/>
      </c>
      <c r="O1640" s="6" t="str">
        <f>IF($A1640="","",IF(OR($J1640&lt;&gt;"x",$A1640&lt;=FinReleve),1,0))</f>
        <v/>
      </c>
      <c r="P1640" s="6" t="str">
        <f>IF($D1640="","",IF(AND($L1640="Crédit",OR(IFERROR(INDEX('Paramètres'!$O:$O,MATCH($D1640,'Paramètres'!$M:$M,0))&amp;"","")&lt;&gt;"",ISNUMBER(SEARCH("remboursement",IFERROR(INDEX('Paramètres'!$N:$N,MATCH($D1640,'Paramètres'!$M:$M,0))&amp;"",""))))),1,0))</f>
        <v/>
      </c>
      <c r="Q1640" s="6" t="str">
        <f>IF($K1640="","",IF(ISNUMBER(SEARCH("transfert-interne",IFERROR(INDEX('Paramètres'!$N:$N,MATCH($D1640,'Paramètres'!$M:$M,0))&amp;"",""))),0,IF($L1640="Débit",$K1640,IF($P1640=1,-$K1640,0))))</f>
        <v/>
      </c>
      <c r="R1640" s="6" t="str">
        <f>IF($K1640="","",IF($L1640="Crédit",$K1640,-$K1640))</f>
        <v/>
      </c>
      <c r="S1640" s="6" t="str">
        <f>IF($C1640="","",IFERROR(INDEX('Paramètres'!$H:$H,MATCH($C1640,'Paramètres'!$D:$D,0))&amp;"",""))</f>
        <v/>
      </c>
      <c r="T1640" s="6" t="str">
        <f>IF($K1640="","",IF($S1640="",0,IF(ISNUMBER(SEARCH("apport-exterieur",IFERROR(INDEX('Paramètres'!$N:$N,MATCH($D1640,'Paramètres'!$M:$M,0))&amp;"",""))),0,IF(OR(IFERROR(INDEX('Paramètres'!$I:$I,MATCH($C1640,'Paramètres'!$D:$D,0))&amp;"","")="Les deux",IFERROR(INDEX('Paramètres'!$I:$I,MATCH($C1640,'Paramètres'!$D:$D,0))&amp;"","")=IF($P1640=1,"Débit",$L1640)),-IF($P1640=1,-$K1640,$K1640),0))))</f>
        <v/>
      </c>
      <c r="U1640" s="6" t="str">
        <f>IF($K1640="","",IF(ISNUMBER(SEARCH("sortie-epargne",IFERROR(INDEX('Paramètres'!$N:$N,MATCH($D1640,'Paramètres'!$M:$M,0))&amp;"",""))),$K1640,0))</f>
        <v/>
      </c>
      <c r="V1640" s="6" t="str">
        <f>IF(AND($A1640&lt;&gt;"",$O1640=1,$L1640="Débit",N($Q1640)&gt;0,$A1640&gt;=Visualisation!$B$1,$A1640&lt;Visualisation!$D$1),MAX($V$1:V1639)+1,"")</f>
        <v/>
      </c>
    </row>
    <row r="1641" spans="1:22" x14ac:dyDescent="0.25">
      <c r="A1641" s="9"/>
      <c r="E1641" s="10"/>
      <c r="K1641" s="11" t="str">
        <f>IF($E1641="","",ROUND($E1641*IF(ISNA(MATCH($C1641,'Paramètres'!$D:$D,0)),1,IF(INDEX('Paramètres'!$J:$J,MATCH($C1641,'Paramètres'!$D:$D,0))="",1,INDEX('Paramètres'!$J:$J,MATCH($C1641,'Paramètres'!$D:$D,0)))),2))</f>
        <v/>
      </c>
      <c r="L1641" s="6" t="str">
        <f>IF($D1641="","",IF($F1641&lt;&gt;"",$F1641,IF(ISNA(MATCH($D1641,'Paramètres'!$M:$M,0)),"⚠ Type inconnu",IFERROR(INDEX('Paramètres'!$P:$P,MATCH($D1641,'Paramètres'!$M:$M,0))&amp;"",""))))</f>
        <v/>
      </c>
      <c r="M1641" s="6" t="str">
        <f>IF($D1641="","",IF(ISNA(MATCH($D1641,'Paramètres'!$M:$M,0)),"⚠ Type inconnu",IF($L1641="Crédit","",IFERROR(INDEX('Paramètres'!$O:$O,MATCH($D1641,'Paramètres'!$M:$M,0))&amp;"",""))))</f>
        <v/>
      </c>
      <c r="N1641" s="6" t="str">
        <f>IF($D1641="","",IFERROR(INDEX('Paramètres'!$Q:$Q,MATCH($D1641,'Paramètres'!$M:$M,0))&amp;"",""))</f>
        <v/>
      </c>
      <c r="O1641" s="6" t="str">
        <f>IF($A1641="","",IF(OR($J1641&lt;&gt;"x",$A1641&lt;=FinReleve),1,0))</f>
        <v/>
      </c>
      <c r="P1641" s="6" t="str">
        <f>IF($D1641="","",IF(AND($L1641="Crédit",OR(IFERROR(INDEX('Paramètres'!$O:$O,MATCH($D1641,'Paramètres'!$M:$M,0))&amp;"","")&lt;&gt;"",ISNUMBER(SEARCH("remboursement",IFERROR(INDEX('Paramètres'!$N:$N,MATCH($D1641,'Paramètres'!$M:$M,0))&amp;"",""))))),1,0))</f>
        <v/>
      </c>
      <c r="Q1641" s="6" t="str">
        <f>IF($K1641="","",IF(ISNUMBER(SEARCH("transfert-interne",IFERROR(INDEX('Paramètres'!$N:$N,MATCH($D1641,'Paramètres'!$M:$M,0))&amp;"",""))),0,IF($L1641="Débit",$K1641,IF($P1641=1,-$K1641,0))))</f>
        <v/>
      </c>
      <c r="R1641" s="6" t="str">
        <f>IF($K1641="","",IF($L1641="Crédit",$K1641,-$K1641))</f>
        <v/>
      </c>
      <c r="S1641" s="6" t="str">
        <f>IF($C1641="","",IFERROR(INDEX('Paramètres'!$H:$H,MATCH($C1641,'Paramètres'!$D:$D,0))&amp;"",""))</f>
        <v/>
      </c>
      <c r="T1641" s="6" t="str">
        <f>IF($K1641="","",IF($S1641="",0,IF(ISNUMBER(SEARCH("apport-exterieur",IFERROR(INDEX('Paramètres'!$N:$N,MATCH($D1641,'Paramètres'!$M:$M,0))&amp;"",""))),0,IF(OR(IFERROR(INDEX('Paramètres'!$I:$I,MATCH($C1641,'Paramètres'!$D:$D,0))&amp;"","")="Les deux",IFERROR(INDEX('Paramètres'!$I:$I,MATCH($C1641,'Paramètres'!$D:$D,0))&amp;"","")=IF($P1641=1,"Débit",$L1641)),-IF($P1641=1,-$K1641,$K1641),0))))</f>
        <v/>
      </c>
      <c r="U1641" s="6" t="str">
        <f>IF($K1641="","",IF(ISNUMBER(SEARCH("sortie-epargne",IFERROR(INDEX('Paramètres'!$N:$N,MATCH($D1641,'Paramètres'!$M:$M,0))&amp;"",""))),$K1641,0))</f>
        <v/>
      </c>
      <c r="V1641" s="6" t="str">
        <f>IF(AND($A1641&lt;&gt;"",$O1641=1,$L1641="Débit",N($Q1641)&gt;0,$A1641&gt;=Visualisation!$B$1,$A1641&lt;Visualisation!$D$1),MAX($V$1:V1640)+1,"")</f>
        <v/>
      </c>
    </row>
    <row r="1642" spans="1:22" x14ac:dyDescent="0.25">
      <c r="A1642" s="9"/>
      <c r="E1642" s="10"/>
      <c r="K1642" s="11" t="str">
        <f>IF($E1642="","",ROUND($E1642*IF(ISNA(MATCH($C1642,'Paramètres'!$D:$D,0)),1,IF(INDEX('Paramètres'!$J:$J,MATCH($C1642,'Paramètres'!$D:$D,0))="",1,INDEX('Paramètres'!$J:$J,MATCH($C1642,'Paramètres'!$D:$D,0)))),2))</f>
        <v/>
      </c>
      <c r="L1642" s="6" t="str">
        <f>IF($D1642="","",IF($F1642&lt;&gt;"",$F1642,IF(ISNA(MATCH($D1642,'Paramètres'!$M:$M,0)),"⚠ Type inconnu",IFERROR(INDEX('Paramètres'!$P:$P,MATCH($D1642,'Paramètres'!$M:$M,0))&amp;"",""))))</f>
        <v/>
      </c>
      <c r="M1642" s="6" t="str">
        <f>IF($D1642="","",IF(ISNA(MATCH($D1642,'Paramètres'!$M:$M,0)),"⚠ Type inconnu",IF($L1642="Crédit","",IFERROR(INDEX('Paramètres'!$O:$O,MATCH($D1642,'Paramètres'!$M:$M,0))&amp;"",""))))</f>
        <v/>
      </c>
      <c r="N1642" s="6" t="str">
        <f>IF($D1642="","",IFERROR(INDEX('Paramètres'!$Q:$Q,MATCH($D1642,'Paramètres'!$M:$M,0))&amp;"",""))</f>
        <v/>
      </c>
      <c r="O1642" s="6" t="str">
        <f>IF($A1642="","",IF(OR($J1642&lt;&gt;"x",$A1642&lt;=FinReleve),1,0))</f>
        <v/>
      </c>
      <c r="P1642" s="6" t="str">
        <f>IF($D1642="","",IF(AND($L1642="Crédit",OR(IFERROR(INDEX('Paramètres'!$O:$O,MATCH($D1642,'Paramètres'!$M:$M,0))&amp;"","")&lt;&gt;"",ISNUMBER(SEARCH("remboursement",IFERROR(INDEX('Paramètres'!$N:$N,MATCH($D1642,'Paramètres'!$M:$M,0))&amp;"",""))))),1,0))</f>
        <v/>
      </c>
      <c r="Q1642" s="6" t="str">
        <f>IF($K1642="","",IF(ISNUMBER(SEARCH("transfert-interne",IFERROR(INDEX('Paramètres'!$N:$N,MATCH($D1642,'Paramètres'!$M:$M,0))&amp;"",""))),0,IF($L1642="Débit",$K1642,IF($P1642=1,-$K1642,0))))</f>
        <v/>
      </c>
      <c r="R1642" s="6" t="str">
        <f>IF($K1642="","",IF($L1642="Crédit",$K1642,-$K1642))</f>
        <v/>
      </c>
      <c r="S1642" s="6" t="str">
        <f>IF($C1642="","",IFERROR(INDEX('Paramètres'!$H:$H,MATCH($C1642,'Paramètres'!$D:$D,0))&amp;"",""))</f>
        <v/>
      </c>
      <c r="T1642" s="6" t="str">
        <f>IF($K1642="","",IF($S1642="",0,IF(ISNUMBER(SEARCH("apport-exterieur",IFERROR(INDEX('Paramètres'!$N:$N,MATCH($D1642,'Paramètres'!$M:$M,0))&amp;"",""))),0,IF(OR(IFERROR(INDEX('Paramètres'!$I:$I,MATCH($C1642,'Paramètres'!$D:$D,0))&amp;"","")="Les deux",IFERROR(INDEX('Paramètres'!$I:$I,MATCH($C1642,'Paramètres'!$D:$D,0))&amp;"","")=IF($P1642=1,"Débit",$L1642)),-IF($P1642=1,-$K1642,$K1642),0))))</f>
        <v/>
      </c>
      <c r="U1642" s="6" t="str">
        <f>IF($K1642="","",IF(ISNUMBER(SEARCH("sortie-epargne",IFERROR(INDEX('Paramètres'!$N:$N,MATCH($D1642,'Paramètres'!$M:$M,0))&amp;"",""))),$K1642,0))</f>
        <v/>
      </c>
      <c r="V1642" s="6" t="str">
        <f>IF(AND($A1642&lt;&gt;"",$O1642=1,$L1642="Débit",N($Q1642)&gt;0,$A1642&gt;=Visualisation!$B$1,$A1642&lt;Visualisation!$D$1),MAX($V$1:V1641)+1,"")</f>
        <v/>
      </c>
    </row>
    <row r="1643" spans="1:22" x14ac:dyDescent="0.25">
      <c r="A1643" s="9"/>
      <c r="E1643" s="10"/>
      <c r="K1643" s="11" t="str">
        <f>IF($E1643="","",ROUND($E1643*IF(ISNA(MATCH($C1643,'Paramètres'!$D:$D,0)),1,IF(INDEX('Paramètres'!$J:$J,MATCH($C1643,'Paramètres'!$D:$D,0))="",1,INDEX('Paramètres'!$J:$J,MATCH($C1643,'Paramètres'!$D:$D,0)))),2))</f>
        <v/>
      </c>
      <c r="L1643" s="6" t="str">
        <f>IF($D1643="","",IF($F1643&lt;&gt;"",$F1643,IF(ISNA(MATCH($D1643,'Paramètres'!$M:$M,0)),"⚠ Type inconnu",IFERROR(INDEX('Paramètres'!$P:$P,MATCH($D1643,'Paramètres'!$M:$M,0))&amp;"",""))))</f>
        <v/>
      </c>
      <c r="M1643" s="6" t="str">
        <f>IF($D1643="","",IF(ISNA(MATCH($D1643,'Paramètres'!$M:$M,0)),"⚠ Type inconnu",IF($L1643="Crédit","",IFERROR(INDEX('Paramètres'!$O:$O,MATCH($D1643,'Paramètres'!$M:$M,0))&amp;"",""))))</f>
        <v/>
      </c>
      <c r="N1643" s="6" t="str">
        <f>IF($D1643="","",IFERROR(INDEX('Paramètres'!$Q:$Q,MATCH($D1643,'Paramètres'!$M:$M,0))&amp;"",""))</f>
        <v/>
      </c>
      <c r="O1643" s="6" t="str">
        <f>IF($A1643="","",IF(OR($J1643&lt;&gt;"x",$A1643&lt;=FinReleve),1,0))</f>
        <v/>
      </c>
      <c r="P1643" s="6" t="str">
        <f>IF($D1643="","",IF(AND($L1643="Crédit",OR(IFERROR(INDEX('Paramètres'!$O:$O,MATCH($D1643,'Paramètres'!$M:$M,0))&amp;"","")&lt;&gt;"",ISNUMBER(SEARCH("remboursement",IFERROR(INDEX('Paramètres'!$N:$N,MATCH($D1643,'Paramètres'!$M:$M,0))&amp;"",""))))),1,0))</f>
        <v/>
      </c>
      <c r="Q1643" s="6" t="str">
        <f>IF($K1643="","",IF(ISNUMBER(SEARCH("transfert-interne",IFERROR(INDEX('Paramètres'!$N:$N,MATCH($D1643,'Paramètres'!$M:$M,0))&amp;"",""))),0,IF($L1643="Débit",$K1643,IF($P1643=1,-$K1643,0))))</f>
        <v/>
      </c>
      <c r="R1643" s="6" t="str">
        <f>IF($K1643="","",IF($L1643="Crédit",$K1643,-$K1643))</f>
        <v/>
      </c>
      <c r="S1643" s="6" t="str">
        <f>IF($C1643="","",IFERROR(INDEX('Paramètres'!$H:$H,MATCH($C1643,'Paramètres'!$D:$D,0))&amp;"",""))</f>
        <v/>
      </c>
      <c r="T1643" s="6" t="str">
        <f>IF($K1643="","",IF($S1643="",0,IF(ISNUMBER(SEARCH("apport-exterieur",IFERROR(INDEX('Paramètres'!$N:$N,MATCH($D1643,'Paramètres'!$M:$M,0))&amp;"",""))),0,IF(OR(IFERROR(INDEX('Paramètres'!$I:$I,MATCH($C1643,'Paramètres'!$D:$D,0))&amp;"","")="Les deux",IFERROR(INDEX('Paramètres'!$I:$I,MATCH($C1643,'Paramètres'!$D:$D,0))&amp;"","")=IF($P1643=1,"Débit",$L1643)),-IF($P1643=1,-$K1643,$K1643),0))))</f>
        <v/>
      </c>
      <c r="U1643" s="6" t="str">
        <f>IF($K1643="","",IF(ISNUMBER(SEARCH("sortie-epargne",IFERROR(INDEX('Paramètres'!$N:$N,MATCH($D1643,'Paramètres'!$M:$M,0))&amp;"",""))),$K1643,0))</f>
        <v/>
      </c>
      <c r="V1643" s="6" t="str">
        <f>IF(AND($A1643&lt;&gt;"",$O1643=1,$L1643="Débit",N($Q1643)&gt;0,$A1643&gt;=Visualisation!$B$1,$A1643&lt;Visualisation!$D$1),MAX($V$1:V1642)+1,"")</f>
        <v/>
      </c>
    </row>
    <row r="1644" spans="1:22" x14ac:dyDescent="0.25">
      <c r="A1644" s="9"/>
      <c r="E1644" s="10"/>
      <c r="K1644" s="11" t="str">
        <f>IF($E1644="","",ROUND($E1644*IF(ISNA(MATCH($C1644,'Paramètres'!$D:$D,0)),1,IF(INDEX('Paramètres'!$J:$J,MATCH($C1644,'Paramètres'!$D:$D,0))="",1,INDEX('Paramètres'!$J:$J,MATCH($C1644,'Paramètres'!$D:$D,0)))),2))</f>
        <v/>
      </c>
      <c r="L1644" s="6" t="str">
        <f>IF($D1644="","",IF($F1644&lt;&gt;"",$F1644,IF(ISNA(MATCH($D1644,'Paramètres'!$M:$M,0)),"⚠ Type inconnu",IFERROR(INDEX('Paramètres'!$P:$P,MATCH($D1644,'Paramètres'!$M:$M,0))&amp;"",""))))</f>
        <v/>
      </c>
      <c r="M1644" s="6" t="str">
        <f>IF($D1644="","",IF(ISNA(MATCH($D1644,'Paramètres'!$M:$M,0)),"⚠ Type inconnu",IF($L1644="Crédit","",IFERROR(INDEX('Paramètres'!$O:$O,MATCH($D1644,'Paramètres'!$M:$M,0))&amp;"",""))))</f>
        <v/>
      </c>
      <c r="N1644" s="6" t="str">
        <f>IF($D1644="","",IFERROR(INDEX('Paramètres'!$Q:$Q,MATCH($D1644,'Paramètres'!$M:$M,0))&amp;"",""))</f>
        <v/>
      </c>
      <c r="O1644" s="6" t="str">
        <f>IF($A1644="","",IF(OR($J1644&lt;&gt;"x",$A1644&lt;=FinReleve),1,0))</f>
        <v/>
      </c>
      <c r="P1644" s="6" t="str">
        <f>IF($D1644="","",IF(AND($L1644="Crédit",OR(IFERROR(INDEX('Paramètres'!$O:$O,MATCH($D1644,'Paramètres'!$M:$M,0))&amp;"","")&lt;&gt;"",ISNUMBER(SEARCH("remboursement",IFERROR(INDEX('Paramètres'!$N:$N,MATCH($D1644,'Paramètres'!$M:$M,0))&amp;"",""))))),1,0))</f>
        <v/>
      </c>
      <c r="Q1644" s="6" t="str">
        <f>IF($K1644="","",IF(ISNUMBER(SEARCH("transfert-interne",IFERROR(INDEX('Paramètres'!$N:$N,MATCH($D1644,'Paramètres'!$M:$M,0))&amp;"",""))),0,IF($L1644="Débit",$K1644,IF($P1644=1,-$K1644,0))))</f>
        <v/>
      </c>
      <c r="R1644" s="6" t="str">
        <f>IF($K1644="","",IF($L1644="Crédit",$K1644,-$K1644))</f>
        <v/>
      </c>
      <c r="S1644" s="6" t="str">
        <f>IF($C1644="","",IFERROR(INDEX('Paramètres'!$H:$H,MATCH($C1644,'Paramètres'!$D:$D,0))&amp;"",""))</f>
        <v/>
      </c>
      <c r="T1644" s="6" t="str">
        <f>IF($K1644="","",IF($S1644="",0,IF(ISNUMBER(SEARCH("apport-exterieur",IFERROR(INDEX('Paramètres'!$N:$N,MATCH($D1644,'Paramètres'!$M:$M,0))&amp;"",""))),0,IF(OR(IFERROR(INDEX('Paramètres'!$I:$I,MATCH($C1644,'Paramètres'!$D:$D,0))&amp;"","")="Les deux",IFERROR(INDEX('Paramètres'!$I:$I,MATCH($C1644,'Paramètres'!$D:$D,0))&amp;"","")=IF($P1644=1,"Débit",$L1644)),-IF($P1644=1,-$K1644,$K1644),0))))</f>
        <v/>
      </c>
      <c r="U1644" s="6" t="str">
        <f>IF($K1644="","",IF(ISNUMBER(SEARCH("sortie-epargne",IFERROR(INDEX('Paramètres'!$N:$N,MATCH($D1644,'Paramètres'!$M:$M,0))&amp;"",""))),$K1644,0))</f>
        <v/>
      </c>
      <c r="V1644" s="6" t="str">
        <f>IF(AND($A1644&lt;&gt;"",$O1644=1,$L1644="Débit",N($Q1644)&gt;0,$A1644&gt;=Visualisation!$B$1,$A1644&lt;Visualisation!$D$1),MAX($V$1:V1643)+1,"")</f>
        <v/>
      </c>
    </row>
    <row r="1645" spans="1:22" x14ac:dyDescent="0.25">
      <c r="A1645" s="9"/>
      <c r="E1645" s="10"/>
      <c r="K1645" s="11" t="str">
        <f>IF($E1645="","",ROUND($E1645*IF(ISNA(MATCH($C1645,'Paramètres'!$D:$D,0)),1,IF(INDEX('Paramètres'!$J:$J,MATCH($C1645,'Paramètres'!$D:$D,0))="",1,INDEX('Paramètres'!$J:$J,MATCH($C1645,'Paramètres'!$D:$D,0)))),2))</f>
        <v/>
      </c>
      <c r="L1645" s="6" t="str">
        <f>IF($D1645="","",IF($F1645&lt;&gt;"",$F1645,IF(ISNA(MATCH($D1645,'Paramètres'!$M:$M,0)),"⚠ Type inconnu",IFERROR(INDEX('Paramètres'!$P:$P,MATCH($D1645,'Paramètres'!$M:$M,0))&amp;"",""))))</f>
        <v/>
      </c>
      <c r="M1645" s="6" t="str">
        <f>IF($D1645="","",IF(ISNA(MATCH($D1645,'Paramètres'!$M:$M,0)),"⚠ Type inconnu",IF($L1645="Crédit","",IFERROR(INDEX('Paramètres'!$O:$O,MATCH($D1645,'Paramètres'!$M:$M,0))&amp;"",""))))</f>
        <v/>
      </c>
      <c r="N1645" s="6" t="str">
        <f>IF($D1645="","",IFERROR(INDEX('Paramètres'!$Q:$Q,MATCH($D1645,'Paramètres'!$M:$M,0))&amp;"",""))</f>
        <v/>
      </c>
      <c r="O1645" s="6" t="str">
        <f>IF($A1645="","",IF(OR($J1645&lt;&gt;"x",$A1645&lt;=FinReleve),1,0))</f>
        <v/>
      </c>
      <c r="P1645" s="6" t="str">
        <f>IF($D1645="","",IF(AND($L1645="Crédit",OR(IFERROR(INDEX('Paramètres'!$O:$O,MATCH($D1645,'Paramètres'!$M:$M,0))&amp;"","")&lt;&gt;"",ISNUMBER(SEARCH("remboursement",IFERROR(INDEX('Paramètres'!$N:$N,MATCH($D1645,'Paramètres'!$M:$M,0))&amp;"",""))))),1,0))</f>
        <v/>
      </c>
      <c r="Q1645" s="6" t="str">
        <f>IF($K1645="","",IF(ISNUMBER(SEARCH("transfert-interne",IFERROR(INDEX('Paramètres'!$N:$N,MATCH($D1645,'Paramètres'!$M:$M,0))&amp;"",""))),0,IF($L1645="Débit",$K1645,IF($P1645=1,-$K1645,0))))</f>
        <v/>
      </c>
      <c r="R1645" s="6" t="str">
        <f>IF($K1645="","",IF($L1645="Crédit",$K1645,-$K1645))</f>
        <v/>
      </c>
      <c r="S1645" s="6" t="str">
        <f>IF($C1645="","",IFERROR(INDEX('Paramètres'!$H:$H,MATCH($C1645,'Paramètres'!$D:$D,0))&amp;"",""))</f>
        <v/>
      </c>
      <c r="T1645" s="6" t="str">
        <f>IF($K1645="","",IF($S1645="",0,IF(ISNUMBER(SEARCH("apport-exterieur",IFERROR(INDEX('Paramètres'!$N:$N,MATCH($D1645,'Paramètres'!$M:$M,0))&amp;"",""))),0,IF(OR(IFERROR(INDEX('Paramètres'!$I:$I,MATCH($C1645,'Paramètres'!$D:$D,0))&amp;"","")="Les deux",IFERROR(INDEX('Paramètres'!$I:$I,MATCH($C1645,'Paramètres'!$D:$D,0))&amp;"","")=IF($P1645=1,"Débit",$L1645)),-IF($P1645=1,-$K1645,$K1645),0))))</f>
        <v/>
      </c>
      <c r="U1645" s="6" t="str">
        <f>IF($K1645="","",IF(ISNUMBER(SEARCH("sortie-epargne",IFERROR(INDEX('Paramètres'!$N:$N,MATCH($D1645,'Paramètres'!$M:$M,0))&amp;"",""))),$K1645,0))</f>
        <v/>
      </c>
      <c r="V1645" s="6" t="str">
        <f>IF(AND($A1645&lt;&gt;"",$O1645=1,$L1645="Débit",N($Q1645)&gt;0,$A1645&gt;=Visualisation!$B$1,$A1645&lt;Visualisation!$D$1),MAX($V$1:V1644)+1,"")</f>
        <v/>
      </c>
    </row>
    <row r="1646" spans="1:22" x14ac:dyDescent="0.25">
      <c r="A1646" s="9"/>
      <c r="E1646" s="10"/>
      <c r="K1646" s="11" t="str">
        <f>IF($E1646="","",ROUND($E1646*IF(ISNA(MATCH($C1646,'Paramètres'!$D:$D,0)),1,IF(INDEX('Paramètres'!$J:$J,MATCH($C1646,'Paramètres'!$D:$D,0))="",1,INDEX('Paramètres'!$J:$J,MATCH($C1646,'Paramètres'!$D:$D,0)))),2))</f>
        <v/>
      </c>
      <c r="L1646" s="6" t="str">
        <f>IF($D1646="","",IF($F1646&lt;&gt;"",$F1646,IF(ISNA(MATCH($D1646,'Paramètres'!$M:$M,0)),"⚠ Type inconnu",IFERROR(INDEX('Paramètres'!$P:$P,MATCH($D1646,'Paramètres'!$M:$M,0))&amp;"",""))))</f>
        <v/>
      </c>
      <c r="M1646" s="6" t="str">
        <f>IF($D1646="","",IF(ISNA(MATCH($D1646,'Paramètres'!$M:$M,0)),"⚠ Type inconnu",IF($L1646="Crédit","",IFERROR(INDEX('Paramètres'!$O:$O,MATCH($D1646,'Paramètres'!$M:$M,0))&amp;"",""))))</f>
        <v/>
      </c>
      <c r="N1646" s="6" t="str">
        <f>IF($D1646="","",IFERROR(INDEX('Paramètres'!$Q:$Q,MATCH($D1646,'Paramètres'!$M:$M,0))&amp;"",""))</f>
        <v/>
      </c>
      <c r="O1646" s="6" t="str">
        <f>IF($A1646="","",IF(OR($J1646&lt;&gt;"x",$A1646&lt;=FinReleve),1,0))</f>
        <v/>
      </c>
      <c r="P1646" s="6" t="str">
        <f>IF($D1646="","",IF(AND($L1646="Crédit",OR(IFERROR(INDEX('Paramètres'!$O:$O,MATCH($D1646,'Paramètres'!$M:$M,0))&amp;"","")&lt;&gt;"",ISNUMBER(SEARCH("remboursement",IFERROR(INDEX('Paramètres'!$N:$N,MATCH($D1646,'Paramètres'!$M:$M,0))&amp;"",""))))),1,0))</f>
        <v/>
      </c>
      <c r="Q1646" s="6" t="str">
        <f>IF($K1646="","",IF(ISNUMBER(SEARCH("transfert-interne",IFERROR(INDEX('Paramètres'!$N:$N,MATCH($D1646,'Paramètres'!$M:$M,0))&amp;"",""))),0,IF($L1646="Débit",$K1646,IF($P1646=1,-$K1646,0))))</f>
        <v/>
      </c>
      <c r="R1646" s="6" t="str">
        <f>IF($K1646="","",IF($L1646="Crédit",$K1646,-$K1646))</f>
        <v/>
      </c>
      <c r="S1646" s="6" t="str">
        <f>IF($C1646="","",IFERROR(INDEX('Paramètres'!$H:$H,MATCH($C1646,'Paramètres'!$D:$D,0))&amp;"",""))</f>
        <v/>
      </c>
      <c r="T1646" s="6" t="str">
        <f>IF($K1646="","",IF($S1646="",0,IF(ISNUMBER(SEARCH("apport-exterieur",IFERROR(INDEX('Paramètres'!$N:$N,MATCH($D1646,'Paramètres'!$M:$M,0))&amp;"",""))),0,IF(OR(IFERROR(INDEX('Paramètres'!$I:$I,MATCH($C1646,'Paramètres'!$D:$D,0))&amp;"","")="Les deux",IFERROR(INDEX('Paramètres'!$I:$I,MATCH($C1646,'Paramètres'!$D:$D,0))&amp;"","")=IF($P1646=1,"Débit",$L1646)),-IF($P1646=1,-$K1646,$K1646),0))))</f>
        <v/>
      </c>
      <c r="U1646" s="6" t="str">
        <f>IF($K1646="","",IF(ISNUMBER(SEARCH("sortie-epargne",IFERROR(INDEX('Paramètres'!$N:$N,MATCH($D1646,'Paramètres'!$M:$M,0))&amp;"",""))),$K1646,0))</f>
        <v/>
      </c>
      <c r="V1646" s="6" t="str">
        <f>IF(AND($A1646&lt;&gt;"",$O1646=1,$L1646="Débit",N($Q1646)&gt;0,$A1646&gt;=Visualisation!$B$1,$A1646&lt;Visualisation!$D$1),MAX($V$1:V1645)+1,"")</f>
        <v/>
      </c>
    </row>
    <row r="1647" spans="1:22" x14ac:dyDescent="0.25">
      <c r="A1647" s="9"/>
      <c r="E1647" s="10"/>
      <c r="K1647" s="11" t="str">
        <f>IF($E1647="","",ROUND($E1647*IF(ISNA(MATCH($C1647,'Paramètres'!$D:$D,0)),1,IF(INDEX('Paramètres'!$J:$J,MATCH($C1647,'Paramètres'!$D:$D,0))="",1,INDEX('Paramètres'!$J:$J,MATCH($C1647,'Paramètres'!$D:$D,0)))),2))</f>
        <v/>
      </c>
      <c r="L1647" s="6" t="str">
        <f>IF($D1647="","",IF($F1647&lt;&gt;"",$F1647,IF(ISNA(MATCH($D1647,'Paramètres'!$M:$M,0)),"⚠ Type inconnu",IFERROR(INDEX('Paramètres'!$P:$P,MATCH($D1647,'Paramètres'!$M:$M,0))&amp;"",""))))</f>
        <v/>
      </c>
      <c r="M1647" s="6" t="str">
        <f>IF($D1647="","",IF(ISNA(MATCH($D1647,'Paramètres'!$M:$M,0)),"⚠ Type inconnu",IF($L1647="Crédit","",IFERROR(INDEX('Paramètres'!$O:$O,MATCH($D1647,'Paramètres'!$M:$M,0))&amp;"",""))))</f>
        <v/>
      </c>
      <c r="N1647" s="6" t="str">
        <f>IF($D1647="","",IFERROR(INDEX('Paramètres'!$Q:$Q,MATCH($D1647,'Paramètres'!$M:$M,0))&amp;"",""))</f>
        <v/>
      </c>
      <c r="O1647" s="6" t="str">
        <f>IF($A1647="","",IF(OR($J1647&lt;&gt;"x",$A1647&lt;=FinReleve),1,0))</f>
        <v/>
      </c>
      <c r="P1647" s="6" t="str">
        <f>IF($D1647="","",IF(AND($L1647="Crédit",OR(IFERROR(INDEX('Paramètres'!$O:$O,MATCH($D1647,'Paramètres'!$M:$M,0))&amp;"","")&lt;&gt;"",ISNUMBER(SEARCH("remboursement",IFERROR(INDEX('Paramètres'!$N:$N,MATCH($D1647,'Paramètres'!$M:$M,0))&amp;"",""))))),1,0))</f>
        <v/>
      </c>
      <c r="Q1647" s="6" t="str">
        <f>IF($K1647="","",IF(ISNUMBER(SEARCH("transfert-interne",IFERROR(INDEX('Paramètres'!$N:$N,MATCH($D1647,'Paramètres'!$M:$M,0))&amp;"",""))),0,IF($L1647="Débit",$K1647,IF($P1647=1,-$K1647,0))))</f>
        <v/>
      </c>
      <c r="R1647" s="6" t="str">
        <f>IF($K1647="","",IF($L1647="Crédit",$K1647,-$K1647))</f>
        <v/>
      </c>
      <c r="S1647" s="6" t="str">
        <f>IF($C1647="","",IFERROR(INDEX('Paramètres'!$H:$H,MATCH($C1647,'Paramètres'!$D:$D,0))&amp;"",""))</f>
        <v/>
      </c>
      <c r="T1647" s="6" t="str">
        <f>IF($K1647="","",IF($S1647="",0,IF(ISNUMBER(SEARCH("apport-exterieur",IFERROR(INDEX('Paramètres'!$N:$N,MATCH($D1647,'Paramètres'!$M:$M,0))&amp;"",""))),0,IF(OR(IFERROR(INDEX('Paramètres'!$I:$I,MATCH($C1647,'Paramètres'!$D:$D,0))&amp;"","")="Les deux",IFERROR(INDEX('Paramètres'!$I:$I,MATCH($C1647,'Paramètres'!$D:$D,0))&amp;"","")=IF($P1647=1,"Débit",$L1647)),-IF($P1647=1,-$K1647,$K1647),0))))</f>
        <v/>
      </c>
      <c r="U1647" s="6" t="str">
        <f>IF($K1647="","",IF(ISNUMBER(SEARCH("sortie-epargne",IFERROR(INDEX('Paramètres'!$N:$N,MATCH($D1647,'Paramètres'!$M:$M,0))&amp;"",""))),$K1647,0))</f>
        <v/>
      </c>
      <c r="V1647" s="6" t="str">
        <f>IF(AND($A1647&lt;&gt;"",$O1647=1,$L1647="Débit",N($Q1647)&gt;0,$A1647&gt;=Visualisation!$B$1,$A1647&lt;Visualisation!$D$1),MAX($V$1:V1646)+1,"")</f>
        <v/>
      </c>
    </row>
    <row r="1648" spans="1:22" x14ac:dyDescent="0.25">
      <c r="A1648" s="9"/>
      <c r="E1648" s="10"/>
      <c r="K1648" s="11" t="str">
        <f>IF($E1648="","",ROUND($E1648*IF(ISNA(MATCH($C1648,'Paramètres'!$D:$D,0)),1,IF(INDEX('Paramètres'!$J:$J,MATCH($C1648,'Paramètres'!$D:$D,0))="",1,INDEX('Paramètres'!$J:$J,MATCH($C1648,'Paramètres'!$D:$D,0)))),2))</f>
        <v/>
      </c>
      <c r="L1648" s="6" t="str">
        <f>IF($D1648="","",IF($F1648&lt;&gt;"",$F1648,IF(ISNA(MATCH($D1648,'Paramètres'!$M:$M,0)),"⚠ Type inconnu",IFERROR(INDEX('Paramètres'!$P:$P,MATCH($D1648,'Paramètres'!$M:$M,0))&amp;"",""))))</f>
        <v/>
      </c>
      <c r="M1648" s="6" t="str">
        <f>IF($D1648="","",IF(ISNA(MATCH($D1648,'Paramètres'!$M:$M,0)),"⚠ Type inconnu",IF($L1648="Crédit","",IFERROR(INDEX('Paramètres'!$O:$O,MATCH($D1648,'Paramètres'!$M:$M,0))&amp;"",""))))</f>
        <v/>
      </c>
      <c r="N1648" s="6" t="str">
        <f>IF($D1648="","",IFERROR(INDEX('Paramètres'!$Q:$Q,MATCH($D1648,'Paramètres'!$M:$M,0))&amp;"",""))</f>
        <v/>
      </c>
      <c r="O1648" s="6" t="str">
        <f>IF($A1648="","",IF(OR($J1648&lt;&gt;"x",$A1648&lt;=FinReleve),1,0))</f>
        <v/>
      </c>
      <c r="P1648" s="6" t="str">
        <f>IF($D1648="","",IF(AND($L1648="Crédit",OR(IFERROR(INDEX('Paramètres'!$O:$O,MATCH($D1648,'Paramètres'!$M:$M,0))&amp;"","")&lt;&gt;"",ISNUMBER(SEARCH("remboursement",IFERROR(INDEX('Paramètres'!$N:$N,MATCH($D1648,'Paramètres'!$M:$M,0))&amp;"",""))))),1,0))</f>
        <v/>
      </c>
      <c r="Q1648" s="6" t="str">
        <f>IF($K1648="","",IF(ISNUMBER(SEARCH("transfert-interne",IFERROR(INDEX('Paramètres'!$N:$N,MATCH($D1648,'Paramètres'!$M:$M,0))&amp;"",""))),0,IF($L1648="Débit",$K1648,IF($P1648=1,-$K1648,0))))</f>
        <v/>
      </c>
      <c r="R1648" s="6" t="str">
        <f>IF($K1648="","",IF($L1648="Crédit",$K1648,-$K1648))</f>
        <v/>
      </c>
      <c r="S1648" s="6" t="str">
        <f>IF($C1648="","",IFERROR(INDEX('Paramètres'!$H:$H,MATCH($C1648,'Paramètres'!$D:$D,0))&amp;"",""))</f>
        <v/>
      </c>
      <c r="T1648" s="6" t="str">
        <f>IF($K1648="","",IF($S1648="",0,IF(ISNUMBER(SEARCH("apport-exterieur",IFERROR(INDEX('Paramètres'!$N:$N,MATCH($D1648,'Paramètres'!$M:$M,0))&amp;"",""))),0,IF(OR(IFERROR(INDEX('Paramètres'!$I:$I,MATCH($C1648,'Paramètres'!$D:$D,0))&amp;"","")="Les deux",IFERROR(INDEX('Paramètres'!$I:$I,MATCH($C1648,'Paramètres'!$D:$D,0))&amp;"","")=IF($P1648=1,"Débit",$L1648)),-IF($P1648=1,-$K1648,$K1648),0))))</f>
        <v/>
      </c>
      <c r="U1648" s="6" t="str">
        <f>IF($K1648="","",IF(ISNUMBER(SEARCH("sortie-epargne",IFERROR(INDEX('Paramètres'!$N:$N,MATCH($D1648,'Paramètres'!$M:$M,0))&amp;"",""))),$K1648,0))</f>
        <v/>
      </c>
      <c r="V1648" s="6" t="str">
        <f>IF(AND($A1648&lt;&gt;"",$O1648=1,$L1648="Débit",N($Q1648)&gt;0,$A1648&gt;=Visualisation!$B$1,$A1648&lt;Visualisation!$D$1),MAX($V$1:V1647)+1,"")</f>
        <v/>
      </c>
    </row>
    <row r="1649" spans="1:22" x14ac:dyDescent="0.25">
      <c r="A1649" s="9"/>
      <c r="E1649" s="10"/>
      <c r="K1649" s="11" t="str">
        <f>IF($E1649="","",ROUND($E1649*IF(ISNA(MATCH($C1649,'Paramètres'!$D:$D,0)),1,IF(INDEX('Paramètres'!$J:$J,MATCH($C1649,'Paramètres'!$D:$D,0))="",1,INDEX('Paramètres'!$J:$J,MATCH($C1649,'Paramètres'!$D:$D,0)))),2))</f>
        <v/>
      </c>
      <c r="L1649" s="6" t="str">
        <f>IF($D1649="","",IF($F1649&lt;&gt;"",$F1649,IF(ISNA(MATCH($D1649,'Paramètres'!$M:$M,0)),"⚠ Type inconnu",IFERROR(INDEX('Paramètres'!$P:$P,MATCH($D1649,'Paramètres'!$M:$M,0))&amp;"",""))))</f>
        <v/>
      </c>
      <c r="M1649" s="6" t="str">
        <f>IF($D1649="","",IF(ISNA(MATCH($D1649,'Paramètres'!$M:$M,0)),"⚠ Type inconnu",IF($L1649="Crédit","",IFERROR(INDEX('Paramètres'!$O:$O,MATCH($D1649,'Paramètres'!$M:$M,0))&amp;"",""))))</f>
        <v/>
      </c>
      <c r="N1649" s="6" t="str">
        <f>IF($D1649="","",IFERROR(INDEX('Paramètres'!$Q:$Q,MATCH($D1649,'Paramètres'!$M:$M,0))&amp;"",""))</f>
        <v/>
      </c>
      <c r="O1649" s="6" t="str">
        <f>IF($A1649="","",IF(OR($J1649&lt;&gt;"x",$A1649&lt;=FinReleve),1,0))</f>
        <v/>
      </c>
      <c r="P1649" s="6" t="str">
        <f>IF($D1649="","",IF(AND($L1649="Crédit",OR(IFERROR(INDEX('Paramètres'!$O:$O,MATCH($D1649,'Paramètres'!$M:$M,0))&amp;"","")&lt;&gt;"",ISNUMBER(SEARCH("remboursement",IFERROR(INDEX('Paramètres'!$N:$N,MATCH($D1649,'Paramètres'!$M:$M,0))&amp;"",""))))),1,0))</f>
        <v/>
      </c>
      <c r="Q1649" s="6" t="str">
        <f>IF($K1649="","",IF(ISNUMBER(SEARCH("transfert-interne",IFERROR(INDEX('Paramètres'!$N:$N,MATCH($D1649,'Paramètres'!$M:$M,0))&amp;"",""))),0,IF($L1649="Débit",$K1649,IF($P1649=1,-$K1649,0))))</f>
        <v/>
      </c>
      <c r="R1649" s="6" t="str">
        <f>IF($K1649="","",IF($L1649="Crédit",$K1649,-$K1649))</f>
        <v/>
      </c>
      <c r="S1649" s="6" t="str">
        <f>IF($C1649="","",IFERROR(INDEX('Paramètres'!$H:$H,MATCH($C1649,'Paramètres'!$D:$D,0))&amp;"",""))</f>
        <v/>
      </c>
      <c r="T1649" s="6" t="str">
        <f>IF($K1649="","",IF($S1649="",0,IF(ISNUMBER(SEARCH("apport-exterieur",IFERROR(INDEX('Paramètres'!$N:$N,MATCH($D1649,'Paramètres'!$M:$M,0))&amp;"",""))),0,IF(OR(IFERROR(INDEX('Paramètres'!$I:$I,MATCH($C1649,'Paramètres'!$D:$D,0))&amp;"","")="Les deux",IFERROR(INDEX('Paramètres'!$I:$I,MATCH($C1649,'Paramètres'!$D:$D,0))&amp;"","")=IF($P1649=1,"Débit",$L1649)),-IF($P1649=1,-$K1649,$K1649),0))))</f>
        <v/>
      </c>
      <c r="U1649" s="6" t="str">
        <f>IF($K1649="","",IF(ISNUMBER(SEARCH("sortie-epargne",IFERROR(INDEX('Paramètres'!$N:$N,MATCH($D1649,'Paramètres'!$M:$M,0))&amp;"",""))),$K1649,0))</f>
        <v/>
      </c>
      <c r="V1649" s="6" t="str">
        <f>IF(AND($A1649&lt;&gt;"",$O1649=1,$L1649="Débit",N($Q1649)&gt;0,$A1649&gt;=Visualisation!$B$1,$A1649&lt;Visualisation!$D$1),MAX($V$1:V1648)+1,"")</f>
        <v/>
      </c>
    </row>
    <row r="1650" spans="1:22" x14ac:dyDescent="0.25">
      <c r="A1650" s="9"/>
      <c r="E1650" s="10"/>
      <c r="K1650" s="11" t="str">
        <f>IF($E1650="","",ROUND($E1650*IF(ISNA(MATCH($C1650,'Paramètres'!$D:$D,0)),1,IF(INDEX('Paramètres'!$J:$J,MATCH($C1650,'Paramètres'!$D:$D,0))="",1,INDEX('Paramètres'!$J:$J,MATCH($C1650,'Paramètres'!$D:$D,0)))),2))</f>
        <v/>
      </c>
      <c r="L1650" s="6" t="str">
        <f>IF($D1650="","",IF($F1650&lt;&gt;"",$F1650,IF(ISNA(MATCH($D1650,'Paramètres'!$M:$M,0)),"⚠ Type inconnu",IFERROR(INDEX('Paramètres'!$P:$P,MATCH($D1650,'Paramètres'!$M:$M,0))&amp;"",""))))</f>
        <v/>
      </c>
      <c r="M1650" s="6" t="str">
        <f>IF($D1650="","",IF(ISNA(MATCH($D1650,'Paramètres'!$M:$M,0)),"⚠ Type inconnu",IF($L1650="Crédit","",IFERROR(INDEX('Paramètres'!$O:$O,MATCH($D1650,'Paramètres'!$M:$M,0))&amp;"",""))))</f>
        <v/>
      </c>
      <c r="N1650" s="6" t="str">
        <f>IF($D1650="","",IFERROR(INDEX('Paramètres'!$Q:$Q,MATCH($D1650,'Paramètres'!$M:$M,0))&amp;"",""))</f>
        <v/>
      </c>
      <c r="O1650" s="6" t="str">
        <f>IF($A1650="","",IF(OR($J1650&lt;&gt;"x",$A1650&lt;=FinReleve),1,0))</f>
        <v/>
      </c>
      <c r="P1650" s="6" t="str">
        <f>IF($D1650="","",IF(AND($L1650="Crédit",OR(IFERROR(INDEX('Paramètres'!$O:$O,MATCH($D1650,'Paramètres'!$M:$M,0))&amp;"","")&lt;&gt;"",ISNUMBER(SEARCH("remboursement",IFERROR(INDEX('Paramètres'!$N:$N,MATCH($D1650,'Paramètres'!$M:$M,0))&amp;"",""))))),1,0))</f>
        <v/>
      </c>
      <c r="Q1650" s="6" t="str">
        <f>IF($K1650="","",IF(ISNUMBER(SEARCH("transfert-interne",IFERROR(INDEX('Paramètres'!$N:$N,MATCH($D1650,'Paramètres'!$M:$M,0))&amp;"",""))),0,IF($L1650="Débit",$K1650,IF($P1650=1,-$K1650,0))))</f>
        <v/>
      </c>
      <c r="R1650" s="6" t="str">
        <f>IF($K1650="","",IF($L1650="Crédit",$K1650,-$K1650))</f>
        <v/>
      </c>
      <c r="S1650" s="6" t="str">
        <f>IF($C1650="","",IFERROR(INDEX('Paramètres'!$H:$H,MATCH($C1650,'Paramètres'!$D:$D,0))&amp;"",""))</f>
        <v/>
      </c>
      <c r="T1650" s="6" t="str">
        <f>IF($K1650="","",IF($S1650="",0,IF(ISNUMBER(SEARCH("apport-exterieur",IFERROR(INDEX('Paramètres'!$N:$N,MATCH($D1650,'Paramètres'!$M:$M,0))&amp;"",""))),0,IF(OR(IFERROR(INDEX('Paramètres'!$I:$I,MATCH($C1650,'Paramètres'!$D:$D,0))&amp;"","")="Les deux",IFERROR(INDEX('Paramètres'!$I:$I,MATCH($C1650,'Paramètres'!$D:$D,0))&amp;"","")=IF($P1650=1,"Débit",$L1650)),-IF($P1650=1,-$K1650,$K1650),0))))</f>
        <v/>
      </c>
      <c r="U1650" s="6" t="str">
        <f>IF($K1650="","",IF(ISNUMBER(SEARCH("sortie-epargne",IFERROR(INDEX('Paramètres'!$N:$N,MATCH($D1650,'Paramètres'!$M:$M,0))&amp;"",""))),$K1650,0))</f>
        <v/>
      </c>
      <c r="V1650" s="6" t="str">
        <f>IF(AND($A1650&lt;&gt;"",$O1650=1,$L1650="Débit",N($Q1650)&gt;0,$A1650&gt;=Visualisation!$B$1,$A1650&lt;Visualisation!$D$1),MAX($V$1:V1649)+1,"")</f>
        <v/>
      </c>
    </row>
    <row r="1651" spans="1:22" x14ac:dyDescent="0.25">
      <c r="A1651" s="9"/>
      <c r="E1651" s="10"/>
      <c r="K1651" s="11" t="str">
        <f>IF($E1651="","",ROUND($E1651*IF(ISNA(MATCH($C1651,'Paramètres'!$D:$D,0)),1,IF(INDEX('Paramètres'!$J:$J,MATCH($C1651,'Paramètres'!$D:$D,0))="",1,INDEX('Paramètres'!$J:$J,MATCH($C1651,'Paramètres'!$D:$D,0)))),2))</f>
        <v/>
      </c>
      <c r="L1651" s="6" t="str">
        <f>IF($D1651="","",IF($F1651&lt;&gt;"",$F1651,IF(ISNA(MATCH($D1651,'Paramètres'!$M:$M,0)),"⚠ Type inconnu",IFERROR(INDEX('Paramètres'!$P:$P,MATCH($D1651,'Paramètres'!$M:$M,0))&amp;"",""))))</f>
        <v/>
      </c>
      <c r="M1651" s="6" t="str">
        <f>IF($D1651="","",IF(ISNA(MATCH($D1651,'Paramètres'!$M:$M,0)),"⚠ Type inconnu",IF($L1651="Crédit","",IFERROR(INDEX('Paramètres'!$O:$O,MATCH($D1651,'Paramètres'!$M:$M,0))&amp;"",""))))</f>
        <v/>
      </c>
      <c r="N1651" s="6" t="str">
        <f>IF($D1651="","",IFERROR(INDEX('Paramètres'!$Q:$Q,MATCH($D1651,'Paramètres'!$M:$M,0))&amp;"",""))</f>
        <v/>
      </c>
      <c r="O1651" s="6" t="str">
        <f>IF($A1651="","",IF(OR($J1651&lt;&gt;"x",$A1651&lt;=FinReleve),1,0))</f>
        <v/>
      </c>
      <c r="P1651" s="6" t="str">
        <f>IF($D1651="","",IF(AND($L1651="Crédit",OR(IFERROR(INDEX('Paramètres'!$O:$O,MATCH($D1651,'Paramètres'!$M:$M,0))&amp;"","")&lt;&gt;"",ISNUMBER(SEARCH("remboursement",IFERROR(INDEX('Paramètres'!$N:$N,MATCH($D1651,'Paramètres'!$M:$M,0))&amp;"",""))))),1,0))</f>
        <v/>
      </c>
      <c r="Q1651" s="6" t="str">
        <f>IF($K1651="","",IF(ISNUMBER(SEARCH("transfert-interne",IFERROR(INDEX('Paramètres'!$N:$N,MATCH($D1651,'Paramètres'!$M:$M,0))&amp;"",""))),0,IF($L1651="Débit",$K1651,IF($P1651=1,-$K1651,0))))</f>
        <v/>
      </c>
      <c r="R1651" s="6" t="str">
        <f>IF($K1651="","",IF($L1651="Crédit",$K1651,-$K1651))</f>
        <v/>
      </c>
      <c r="S1651" s="6" t="str">
        <f>IF($C1651="","",IFERROR(INDEX('Paramètres'!$H:$H,MATCH($C1651,'Paramètres'!$D:$D,0))&amp;"",""))</f>
        <v/>
      </c>
      <c r="T1651" s="6" t="str">
        <f>IF($K1651="","",IF($S1651="",0,IF(ISNUMBER(SEARCH("apport-exterieur",IFERROR(INDEX('Paramètres'!$N:$N,MATCH($D1651,'Paramètres'!$M:$M,0))&amp;"",""))),0,IF(OR(IFERROR(INDEX('Paramètres'!$I:$I,MATCH($C1651,'Paramètres'!$D:$D,0))&amp;"","")="Les deux",IFERROR(INDEX('Paramètres'!$I:$I,MATCH($C1651,'Paramètres'!$D:$D,0))&amp;"","")=IF($P1651=1,"Débit",$L1651)),-IF($P1651=1,-$K1651,$K1651),0))))</f>
        <v/>
      </c>
      <c r="U1651" s="6" t="str">
        <f>IF($K1651="","",IF(ISNUMBER(SEARCH("sortie-epargne",IFERROR(INDEX('Paramètres'!$N:$N,MATCH($D1651,'Paramètres'!$M:$M,0))&amp;"",""))),$K1651,0))</f>
        <v/>
      </c>
      <c r="V1651" s="6" t="str">
        <f>IF(AND($A1651&lt;&gt;"",$O1651=1,$L1651="Débit",N($Q1651)&gt;0,$A1651&gt;=Visualisation!$B$1,$A1651&lt;Visualisation!$D$1),MAX($V$1:V1650)+1,"")</f>
        <v/>
      </c>
    </row>
    <row r="1652" spans="1:22" x14ac:dyDescent="0.25">
      <c r="A1652" s="9"/>
      <c r="E1652" s="10"/>
      <c r="K1652" s="11" t="str">
        <f>IF($E1652="","",ROUND($E1652*IF(ISNA(MATCH($C1652,'Paramètres'!$D:$D,0)),1,IF(INDEX('Paramètres'!$J:$J,MATCH($C1652,'Paramètres'!$D:$D,0))="",1,INDEX('Paramètres'!$J:$J,MATCH($C1652,'Paramètres'!$D:$D,0)))),2))</f>
        <v/>
      </c>
      <c r="L1652" s="6" t="str">
        <f>IF($D1652="","",IF($F1652&lt;&gt;"",$F1652,IF(ISNA(MATCH($D1652,'Paramètres'!$M:$M,0)),"⚠ Type inconnu",IFERROR(INDEX('Paramètres'!$P:$P,MATCH($D1652,'Paramètres'!$M:$M,0))&amp;"",""))))</f>
        <v/>
      </c>
      <c r="M1652" s="6" t="str">
        <f>IF($D1652="","",IF(ISNA(MATCH($D1652,'Paramètres'!$M:$M,0)),"⚠ Type inconnu",IF($L1652="Crédit","",IFERROR(INDEX('Paramètres'!$O:$O,MATCH($D1652,'Paramètres'!$M:$M,0))&amp;"",""))))</f>
        <v/>
      </c>
      <c r="N1652" s="6" t="str">
        <f>IF($D1652="","",IFERROR(INDEX('Paramètres'!$Q:$Q,MATCH($D1652,'Paramètres'!$M:$M,0))&amp;"",""))</f>
        <v/>
      </c>
      <c r="O1652" s="6" t="str">
        <f>IF($A1652="","",IF(OR($J1652&lt;&gt;"x",$A1652&lt;=FinReleve),1,0))</f>
        <v/>
      </c>
      <c r="P1652" s="6" t="str">
        <f>IF($D1652="","",IF(AND($L1652="Crédit",OR(IFERROR(INDEX('Paramètres'!$O:$O,MATCH($D1652,'Paramètres'!$M:$M,0))&amp;"","")&lt;&gt;"",ISNUMBER(SEARCH("remboursement",IFERROR(INDEX('Paramètres'!$N:$N,MATCH($D1652,'Paramètres'!$M:$M,0))&amp;"",""))))),1,0))</f>
        <v/>
      </c>
      <c r="Q1652" s="6" t="str">
        <f>IF($K1652="","",IF(ISNUMBER(SEARCH("transfert-interne",IFERROR(INDEX('Paramètres'!$N:$N,MATCH($D1652,'Paramètres'!$M:$M,0))&amp;"",""))),0,IF($L1652="Débit",$K1652,IF($P1652=1,-$K1652,0))))</f>
        <v/>
      </c>
      <c r="R1652" s="6" t="str">
        <f>IF($K1652="","",IF($L1652="Crédit",$K1652,-$K1652))</f>
        <v/>
      </c>
      <c r="S1652" s="6" t="str">
        <f>IF($C1652="","",IFERROR(INDEX('Paramètres'!$H:$H,MATCH($C1652,'Paramètres'!$D:$D,0))&amp;"",""))</f>
        <v/>
      </c>
      <c r="T1652" s="6" t="str">
        <f>IF($K1652="","",IF($S1652="",0,IF(ISNUMBER(SEARCH("apport-exterieur",IFERROR(INDEX('Paramètres'!$N:$N,MATCH($D1652,'Paramètres'!$M:$M,0))&amp;"",""))),0,IF(OR(IFERROR(INDEX('Paramètres'!$I:$I,MATCH($C1652,'Paramètres'!$D:$D,0))&amp;"","")="Les deux",IFERROR(INDEX('Paramètres'!$I:$I,MATCH($C1652,'Paramètres'!$D:$D,0))&amp;"","")=IF($P1652=1,"Débit",$L1652)),-IF($P1652=1,-$K1652,$K1652),0))))</f>
        <v/>
      </c>
      <c r="U1652" s="6" t="str">
        <f>IF($K1652="","",IF(ISNUMBER(SEARCH("sortie-epargne",IFERROR(INDEX('Paramètres'!$N:$N,MATCH($D1652,'Paramètres'!$M:$M,0))&amp;"",""))),$K1652,0))</f>
        <v/>
      </c>
      <c r="V1652" s="6" t="str">
        <f>IF(AND($A1652&lt;&gt;"",$O1652=1,$L1652="Débit",N($Q1652)&gt;0,$A1652&gt;=Visualisation!$B$1,$A1652&lt;Visualisation!$D$1),MAX($V$1:V1651)+1,"")</f>
        <v/>
      </c>
    </row>
    <row r="1653" spans="1:22" x14ac:dyDescent="0.25">
      <c r="A1653" s="9"/>
      <c r="E1653" s="10"/>
      <c r="K1653" s="11" t="str">
        <f>IF($E1653="","",ROUND($E1653*IF(ISNA(MATCH($C1653,'Paramètres'!$D:$D,0)),1,IF(INDEX('Paramètres'!$J:$J,MATCH($C1653,'Paramètres'!$D:$D,0))="",1,INDEX('Paramètres'!$J:$J,MATCH($C1653,'Paramètres'!$D:$D,0)))),2))</f>
        <v/>
      </c>
      <c r="L1653" s="6" t="str">
        <f>IF($D1653="","",IF($F1653&lt;&gt;"",$F1653,IF(ISNA(MATCH($D1653,'Paramètres'!$M:$M,0)),"⚠ Type inconnu",IFERROR(INDEX('Paramètres'!$P:$P,MATCH($D1653,'Paramètres'!$M:$M,0))&amp;"",""))))</f>
        <v/>
      </c>
      <c r="M1653" s="6" t="str">
        <f>IF($D1653="","",IF(ISNA(MATCH($D1653,'Paramètres'!$M:$M,0)),"⚠ Type inconnu",IF($L1653="Crédit","",IFERROR(INDEX('Paramètres'!$O:$O,MATCH($D1653,'Paramètres'!$M:$M,0))&amp;"",""))))</f>
        <v/>
      </c>
      <c r="N1653" s="6" t="str">
        <f>IF($D1653="","",IFERROR(INDEX('Paramètres'!$Q:$Q,MATCH($D1653,'Paramètres'!$M:$M,0))&amp;"",""))</f>
        <v/>
      </c>
      <c r="O1653" s="6" t="str">
        <f>IF($A1653="","",IF(OR($J1653&lt;&gt;"x",$A1653&lt;=FinReleve),1,0))</f>
        <v/>
      </c>
      <c r="P1653" s="6" t="str">
        <f>IF($D1653="","",IF(AND($L1653="Crédit",OR(IFERROR(INDEX('Paramètres'!$O:$O,MATCH($D1653,'Paramètres'!$M:$M,0))&amp;"","")&lt;&gt;"",ISNUMBER(SEARCH("remboursement",IFERROR(INDEX('Paramètres'!$N:$N,MATCH($D1653,'Paramètres'!$M:$M,0))&amp;"",""))))),1,0))</f>
        <v/>
      </c>
      <c r="Q1653" s="6" t="str">
        <f>IF($K1653="","",IF(ISNUMBER(SEARCH("transfert-interne",IFERROR(INDEX('Paramètres'!$N:$N,MATCH($D1653,'Paramètres'!$M:$M,0))&amp;"",""))),0,IF($L1653="Débit",$K1653,IF($P1653=1,-$K1653,0))))</f>
        <v/>
      </c>
      <c r="R1653" s="6" t="str">
        <f>IF($K1653="","",IF($L1653="Crédit",$K1653,-$K1653))</f>
        <v/>
      </c>
      <c r="S1653" s="6" t="str">
        <f>IF($C1653="","",IFERROR(INDEX('Paramètres'!$H:$H,MATCH($C1653,'Paramètres'!$D:$D,0))&amp;"",""))</f>
        <v/>
      </c>
      <c r="T1653" s="6" t="str">
        <f>IF($K1653="","",IF($S1653="",0,IF(ISNUMBER(SEARCH("apport-exterieur",IFERROR(INDEX('Paramètres'!$N:$N,MATCH($D1653,'Paramètres'!$M:$M,0))&amp;"",""))),0,IF(OR(IFERROR(INDEX('Paramètres'!$I:$I,MATCH($C1653,'Paramètres'!$D:$D,0))&amp;"","")="Les deux",IFERROR(INDEX('Paramètres'!$I:$I,MATCH($C1653,'Paramètres'!$D:$D,0))&amp;"","")=IF($P1653=1,"Débit",$L1653)),-IF($P1653=1,-$K1653,$K1653),0))))</f>
        <v/>
      </c>
      <c r="U1653" s="6" t="str">
        <f>IF($K1653="","",IF(ISNUMBER(SEARCH("sortie-epargne",IFERROR(INDEX('Paramètres'!$N:$N,MATCH($D1653,'Paramètres'!$M:$M,0))&amp;"",""))),$K1653,0))</f>
        <v/>
      </c>
      <c r="V1653" s="6" t="str">
        <f>IF(AND($A1653&lt;&gt;"",$O1653=1,$L1653="Débit",N($Q1653)&gt;0,$A1653&gt;=Visualisation!$B$1,$A1653&lt;Visualisation!$D$1),MAX($V$1:V1652)+1,"")</f>
        <v/>
      </c>
    </row>
    <row r="1654" spans="1:22" x14ac:dyDescent="0.25">
      <c r="A1654" s="9"/>
      <c r="E1654" s="10"/>
      <c r="K1654" s="11" t="str">
        <f>IF($E1654="","",ROUND($E1654*IF(ISNA(MATCH($C1654,'Paramètres'!$D:$D,0)),1,IF(INDEX('Paramètres'!$J:$J,MATCH($C1654,'Paramètres'!$D:$D,0))="",1,INDEX('Paramètres'!$J:$J,MATCH($C1654,'Paramètres'!$D:$D,0)))),2))</f>
        <v/>
      </c>
      <c r="L1654" s="6" t="str">
        <f>IF($D1654="","",IF($F1654&lt;&gt;"",$F1654,IF(ISNA(MATCH($D1654,'Paramètres'!$M:$M,0)),"⚠ Type inconnu",IFERROR(INDEX('Paramètres'!$P:$P,MATCH($D1654,'Paramètres'!$M:$M,0))&amp;"",""))))</f>
        <v/>
      </c>
      <c r="M1654" s="6" t="str">
        <f>IF($D1654="","",IF(ISNA(MATCH($D1654,'Paramètres'!$M:$M,0)),"⚠ Type inconnu",IF($L1654="Crédit","",IFERROR(INDEX('Paramètres'!$O:$O,MATCH($D1654,'Paramètres'!$M:$M,0))&amp;"",""))))</f>
        <v/>
      </c>
      <c r="N1654" s="6" t="str">
        <f>IF($D1654="","",IFERROR(INDEX('Paramètres'!$Q:$Q,MATCH($D1654,'Paramètres'!$M:$M,0))&amp;"",""))</f>
        <v/>
      </c>
      <c r="O1654" s="6" t="str">
        <f>IF($A1654="","",IF(OR($J1654&lt;&gt;"x",$A1654&lt;=FinReleve),1,0))</f>
        <v/>
      </c>
      <c r="P1654" s="6" t="str">
        <f>IF($D1654="","",IF(AND($L1654="Crédit",OR(IFERROR(INDEX('Paramètres'!$O:$O,MATCH($D1654,'Paramètres'!$M:$M,0))&amp;"","")&lt;&gt;"",ISNUMBER(SEARCH("remboursement",IFERROR(INDEX('Paramètres'!$N:$N,MATCH($D1654,'Paramètres'!$M:$M,0))&amp;"",""))))),1,0))</f>
        <v/>
      </c>
      <c r="Q1654" s="6" t="str">
        <f>IF($K1654="","",IF(ISNUMBER(SEARCH("transfert-interne",IFERROR(INDEX('Paramètres'!$N:$N,MATCH($D1654,'Paramètres'!$M:$M,0))&amp;"",""))),0,IF($L1654="Débit",$K1654,IF($P1654=1,-$K1654,0))))</f>
        <v/>
      </c>
      <c r="R1654" s="6" t="str">
        <f>IF($K1654="","",IF($L1654="Crédit",$K1654,-$K1654))</f>
        <v/>
      </c>
      <c r="S1654" s="6" t="str">
        <f>IF($C1654="","",IFERROR(INDEX('Paramètres'!$H:$H,MATCH($C1654,'Paramètres'!$D:$D,0))&amp;"",""))</f>
        <v/>
      </c>
      <c r="T1654" s="6" t="str">
        <f>IF($K1654="","",IF($S1654="",0,IF(ISNUMBER(SEARCH("apport-exterieur",IFERROR(INDEX('Paramètres'!$N:$N,MATCH($D1654,'Paramètres'!$M:$M,0))&amp;"",""))),0,IF(OR(IFERROR(INDEX('Paramètres'!$I:$I,MATCH($C1654,'Paramètres'!$D:$D,0))&amp;"","")="Les deux",IFERROR(INDEX('Paramètres'!$I:$I,MATCH($C1654,'Paramètres'!$D:$D,0))&amp;"","")=IF($P1654=1,"Débit",$L1654)),-IF($P1654=1,-$K1654,$K1654),0))))</f>
        <v/>
      </c>
      <c r="U1654" s="6" t="str">
        <f>IF($K1654="","",IF(ISNUMBER(SEARCH("sortie-epargne",IFERROR(INDEX('Paramètres'!$N:$N,MATCH($D1654,'Paramètres'!$M:$M,0))&amp;"",""))),$K1654,0))</f>
        <v/>
      </c>
      <c r="V1654" s="6" t="str">
        <f>IF(AND($A1654&lt;&gt;"",$O1654=1,$L1654="Débit",N($Q1654)&gt;0,$A1654&gt;=Visualisation!$B$1,$A1654&lt;Visualisation!$D$1),MAX($V$1:V1653)+1,"")</f>
        <v/>
      </c>
    </row>
    <row r="1655" spans="1:22" x14ac:dyDescent="0.25">
      <c r="A1655" s="9"/>
      <c r="E1655" s="10"/>
      <c r="K1655" s="11" t="str">
        <f>IF($E1655="","",ROUND($E1655*IF(ISNA(MATCH($C1655,'Paramètres'!$D:$D,0)),1,IF(INDEX('Paramètres'!$J:$J,MATCH($C1655,'Paramètres'!$D:$D,0))="",1,INDEX('Paramètres'!$J:$J,MATCH($C1655,'Paramètres'!$D:$D,0)))),2))</f>
        <v/>
      </c>
      <c r="L1655" s="6" t="str">
        <f>IF($D1655="","",IF($F1655&lt;&gt;"",$F1655,IF(ISNA(MATCH($D1655,'Paramètres'!$M:$M,0)),"⚠ Type inconnu",IFERROR(INDEX('Paramètres'!$P:$P,MATCH($D1655,'Paramètres'!$M:$M,0))&amp;"",""))))</f>
        <v/>
      </c>
      <c r="M1655" s="6" t="str">
        <f>IF($D1655="","",IF(ISNA(MATCH($D1655,'Paramètres'!$M:$M,0)),"⚠ Type inconnu",IF($L1655="Crédit","",IFERROR(INDEX('Paramètres'!$O:$O,MATCH($D1655,'Paramètres'!$M:$M,0))&amp;"",""))))</f>
        <v/>
      </c>
      <c r="N1655" s="6" t="str">
        <f>IF($D1655="","",IFERROR(INDEX('Paramètres'!$Q:$Q,MATCH($D1655,'Paramètres'!$M:$M,0))&amp;"",""))</f>
        <v/>
      </c>
      <c r="O1655" s="6" t="str">
        <f>IF($A1655="","",IF(OR($J1655&lt;&gt;"x",$A1655&lt;=FinReleve),1,0))</f>
        <v/>
      </c>
      <c r="P1655" s="6" t="str">
        <f>IF($D1655="","",IF(AND($L1655="Crédit",OR(IFERROR(INDEX('Paramètres'!$O:$O,MATCH($D1655,'Paramètres'!$M:$M,0))&amp;"","")&lt;&gt;"",ISNUMBER(SEARCH("remboursement",IFERROR(INDEX('Paramètres'!$N:$N,MATCH($D1655,'Paramètres'!$M:$M,0))&amp;"",""))))),1,0))</f>
        <v/>
      </c>
      <c r="Q1655" s="6" t="str">
        <f>IF($K1655="","",IF(ISNUMBER(SEARCH("transfert-interne",IFERROR(INDEX('Paramètres'!$N:$N,MATCH($D1655,'Paramètres'!$M:$M,0))&amp;"",""))),0,IF($L1655="Débit",$K1655,IF($P1655=1,-$K1655,0))))</f>
        <v/>
      </c>
      <c r="R1655" s="6" t="str">
        <f>IF($K1655="","",IF($L1655="Crédit",$K1655,-$K1655))</f>
        <v/>
      </c>
      <c r="S1655" s="6" t="str">
        <f>IF($C1655="","",IFERROR(INDEX('Paramètres'!$H:$H,MATCH($C1655,'Paramètres'!$D:$D,0))&amp;"",""))</f>
        <v/>
      </c>
      <c r="T1655" s="6" t="str">
        <f>IF($K1655="","",IF($S1655="",0,IF(ISNUMBER(SEARCH("apport-exterieur",IFERROR(INDEX('Paramètres'!$N:$N,MATCH($D1655,'Paramètres'!$M:$M,0))&amp;"",""))),0,IF(OR(IFERROR(INDEX('Paramètres'!$I:$I,MATCH($C1655,'Paramètres'!$D:$D,0))&amp;"","")="Les deux",IFERROR(INDEX('Paramètres'!$I:$I,MATCH($C1655,'Paramètres'!$D:$D,0))&amp;"","")=IF($P1655=1,"Débit",$L1655)),-IF($P1655=1,-$K1655,$K1655),0))))</f>
        <v/>
      </c>
      <c r="U1655" s="6" t="str">
        <f>IF($K1655="","",IF(ISNUMBER(SEARCH("sortie-epargne",IFERROR(INDEX('Paramètres'!$N:$N,MATCH($D1655,'Paramètres'!$M:$M,0))&amp;"",""))),$K1655,0))</f>
        <v/>
      </c>
      <c r="V1655" s="6" t="str">
        <f>IF(AND($A1655&lt;&gt;"",$O1655=1,$L1655="Débit",N($Q1655)&gt;0,$A1655&gt;=Visualisation!$B$1,$A1655&lt;Visualisation!$D$1),MAX($V$1:V1654)+1,"")</f>
        <v/>
      </c>
    </row>
    <row r="1656" spans="1:22" x14ac:dyDescent="0.25">
      <c r="A1656" s="9"/>
      <c r="E1656" s="10"/>
      <c r="K1656" s="11" t="str">
        <f>IF($E1656="","",ROUND($E1656*IF(ISNA(MATCH($C1656,'Paramètres'!$D:$D,0)),1,IF(INDEX('Paramètres'!$J:$J,MATCH($C1656,'Paramètres'!$D:$D,0))="",1,INDEX('Paramètres'!$J:$J,MATCH($C1656,'Paramètres'!$D:$D,0)))),2))</f>
        <v/>
      </c>
      <c r="L1656" s="6" t="str">
        <f>IF($D1656="","",IF($F1656&lt;&gt;"",$F1656,IF(ISNA(MATCH($D1656,'Paramètres'!$M:$M,0)),"⚠ Type inconnu",IFERROR(INDEX('Paramètres'!$P:$P,MATCH($D1656,'Paramètres'!$M:$M,0))&amp;"",""))))</f>
        <v/>
      </c>
      <c r="M1656" s="6" t="str">
        <f>IF($D1656="","",IF(ISNA(MATCH($D1656,'Paramètres'!$M:$M,0)),"⚠ Type inconnu",IF($L1656="Crédit","",IFERROR(INDEX('Paramètres'!$O:$O,MATCH($D1656,'Paramètres'!$M:$M,0))&amp;"",""))))</f>
        <v/>
      </c>
      <c r="N1656" s="6" t="str">
        <f>IF($D1656="","",IFERROR(INDEX('Paramètres'!$Q:$Q,MATCH($D1656,'Paramètres'!$M:$M,0))&amp;"",""))</f>
        <v/>
      </c>
      <c r="O1656" s="6" t="str">
        <f>IF($A1656="","",IF(OR($J1656&lt;&gt;"x",$A1656&lt;=FinReleve),1,0))</f>
        <v/>
      </c>
      <c r="P1656" s="6" t="str">
        <f>IF($D1656="","",IF(AND($L1656="Crédit",OR(IFERROR(INDEX('Paramètres'!$O:$O,MATCH($D1656,'Paramètres'!$M:$M,0))&amp;"","")&lt;&gt;"",ISNUMBER(SEARCH("remboursement",IFERROR(INDEX('Paramètres'!$N:$N,MATCH($D1656,'Paramètres'!$M:$M,0))&amp;"",""))))),1,0))</f>
        <v/>
      </c>
      <c r="Q1656" s="6" t="str">
        <f>IF($K1656="","",IF(ISNUMBER(SEARCH("transfert-interne",IFERROR(INDEX('Paramètres'!$N:$N,MATCH($D1656,'Paramètres'!$M:$M,0))&amp;"",""))),0,IF($L1656="Débit",$K1656,IF($P1656=1,-$K1656,0))))</f>
        <v/>
      </c>
      <c r="R1656" s="6" t="str">
        <f>IF($K1656="","",IF($L1656="Crédit",$K1656,-$K1656))</f>
        <v/>
      </c>
      <c r="S1656" s="6" t="str">
        <f>IF($C1656="","",IFERROR(INDEX('Paramètres'!$H:$H,MATCH($C1656,'Paramètres'!$D:$D,0))&amp;"",""))</f>
        <v/>
      </c>
      <c r="T1656" s="6" t="str">
        <f>IF($K1656="","",IF($S1656="",0,IF(ISNUMBER(SEARCH("apport-exterieur",IFERROR(INDEX('Paramètres'!$N:$N,MATCH($D1656,'Paramètres'!$M:$M,0))&amp;"",""))),0,IF(OR(IFERROR(INDEX('Paramètres'!$I:$I,MATCH($C1656,'Paramètres'!$D:$D,0))&amp;"","")="Les deux",IFERROR(INDEX('Paramètres'!$I:$I,MATCH($C1656,'Paramètres'!$D:$D,0))&amp;"","")=IF($P1656=1,"Débit",$L1656)),-IF($P1656=1,-$K1656,$K1656),0))))</f>
        <v/>
      </c>
      <c r="U1656" s="6" t="str">
        <f>IF($K1656="","",IF(ISNUMBER(SEARCH("sortie-epargne",IFERROR(INDEX('Paramètres'!$N:$N,MATCH($D1656,'Paramètres'!$M:$M,0))&amp;"",""))),$K1656,0))</f>
        <v/>
      </c>
      <c r="V1656" s="6" t="str">
        <f>IF(AND($A1656&lt;&gt;"",$O1656=1,$L1656="Débit",N($Q1656)&gt;0,$A1656&gt;=Visualisation!$B$1,$A1656&lt;Visualisation!$D$1),MAX($V$1:V1655)+1,"")</f>
        <v/>
      </c>
    </row>
    <row r="1657" spans="1:22" x14ac:dyDescent="0.25">
      <c r="A1657" s="9"/>
      <c r="E1657" s="10"/>
      <c r="K1657" s="11" t="str">
        <f>IF($E1657="","",ROUND($E1657*IF(ISNA(MATCH($C1657,'Paramètres'!$D:$D,0)),1,IF(INDEX('Paramètres'!$J:$J,MATCH($C1657,'Paramètres'!$D:$D,0))="",1,INDEX('Paramètres'!$J:$J,MATCH($C1657,'Paramètres'!$D:$D,0)))),2))</f>
        <v/>
      </c>
      <c r="L1657" s="6" t="str">
        <f>IF($D1657="","",IF($F1657&lt;&gt;"",$F1657,IF(ISNA(MATCH($D1657,'Paramètres'!$M:$M,0)),"⚠ Type inconnu",IFERROR(INDEX('Paramètres'!$P:$P,MATCH($D1657,'Paramètres'!$M:$M,0))&amp;"",""))))</f>
        <v/>
      </c>
      <c r="M1657" s="6" t="str">
        <f>IF($D1657="","",IF(ISNA(MATCH($D1657,'Paramètres'!$M:$M,0)),"⚠ Type inconnu",IF($L1657="Crédit","",IFERROR(INDEX('Paramètres'!$O:$O,MATCH($D1657,'Paramètres'!$M:$M,0))&amp;"",""))))</f>
        <v/>
      </c>
      <c r="N1657" s="6" t="str">
        <f>IF($D1657="","",IFERROR(INDEX('Paramètres'!$Q:$Q,MATCH($D1657,'Paramètres'!$M:$M,0))&amp;"",""))</f>
        <v/>
      </c>
      <c r="O1657" s="6" t="str">
        <f>IF($A1657="","",IF(OR($J1657&lt;&gt;"x",$A1657&lt;=FinReleve),1,0))</f>
        <v/>
      </c>
      <c r="P1657" s="6" t="str">
        <f>IF($D1657="","",IF(AND($L1657="Crédit",OR(IFERROR(INDEX('Paramètres'!$O:$O,MATCH($D1657,'Paramètres'!$M:$M,0))&amp;"","")&lt;&gt;"",ISNUMBER(SEARCH("remboursement",IFERROR(INDEX('Paramètres'!$N:$N,MATCH($D1657,'Paramètres'!$M:$M,0))&amp;"",""))))),1,0))</f>
        <v/>
      </c>
      <c r="Q1657" s="6" t="str">
        <f>IF($K1657="","",IF(ISNUMBER(SEARCH("transfert-interne",IFERROR(INDEX('Paramètres'!$N:$N,MATCH($D1657,'Paramètres'!$M:$M,0))&amp;"",""))),0,IF($L1657="Débit",$K1657,IF($P1657=1,-$K1657,0))))</f>
        <v/>
      </c>
      <c r="R1657" s="6" t="str">
        <f>IF($K1657="","",IF($L1657="Crédit",$K1657,-$K1657))</f>
        <v/>
      </c>
      <c r="S1657" s="6" t="str">
        <f>IF($C1657="","",IFERROR(INDEX('Paramètres'!$H:$H,MATCH($C1657,'Paramètres'!$D:$D,0))&amp;"",""))</f>
        <v/>
      </c>
      <c r="T1657" s="6" t="str">
        <f>IF($K1657="","",IF($S1657="",0,IF(ISNUMBER(SEARCH("apport-exterieur",IFERROR(INDEX('Paramètres'!$N:$N,MATCH($D1657,'Paramètres'!$M:$M,0))&amp;"",""))),0,IF(OR(IFERROR(INDEX('Paramètres'!$I:$I,MATCH($C1657,'Paramètres'!$D:$D,0))&amp;"","")="Les deux",IFERROR(INDEX('Paramètres'!$I:$I,MATCH($C1657,'Paramètres'!$D:$D,0))&amp;"","")=IF($P1657=1,"Débit",$L1657)),-IF($P1657=1,-$K1657,$K1657),0))))</f>
        <v/>
      </c>
      <c r="U1657" s="6" t="str">
        <f>IF($K1657="","",IF(ISNUMBER(SEARCH("sortie-epargne",IFERROR(INDEX('Paramètres'!$N:$N,MATCH($D1657,'Paramètres'!$M:$M,0))&amp;"",""))),$K1657,0))</f>
        <v/>
      </c>
      <c r="V1657" s="6" t="str">
        <f>IF(AND($A1657&lt;&gt;"",$O1657=1,$L1657="Débit",N($Q1657)&gt;0,$A1657&gt;=Visualisation!$B$1,$A1657&lt;Visualisation!$D$1),MAX($V$1:V1656)+1,"")</f>
        <v/>
      </c>
    </row>
    <row r="1658" spans="1:22" x14ac:dyDescent="0.25">
      <c r="A1658" s="9"/>
      <c r="E1658" s="10"/>
      <c r="K1658" s="11" t="str">
        <f>IF($E1658="","",ROUND($E1658*IF(ISNA(MATCH($C1658,'Paramètres'!$D:$D,0)),1,IF(INDEX('Paramètres'!$J:$J,MATCH($C1658,'Paramètres'!$D:$D,0))="",1,INDEX('Paramètres'!$J:$J,MATCH($C1658,'Paramètres'!$D:$D,0)))),2))</f>
        <v/>
      </c>
      <c r="L1658" s="6" t="str">
        <f>IF($D1658="","",IF($F1658&lt;&gt;"",$F1658,IF(ISNA(MATCH($D1658,'Paramètres'!$M:$M,0)),"⚠ Type inconnu",IFERROR(INDEX('Paramètres'!$P:$P,MATCH($D1658,'Paramètres'!$M:$M,0))&amp;"",""))))</f>
        <v/>
      </c>
      <c r="M1658" s="6" t="str">
        <f>IF($D1658="","",IF(ISNA(MATCH($D1658,'Paramètres'!$M:$M,0)),"⚠ Type inconnu",IF($L1658="Crédit","",IFERROR(INDEX('Paramètres'!$O:$O,MATCH($D1658,'Paramètres'!$M:$M,0))&amp;"",""))))</f>
        <v/>
      </c>
      <c r="N1658" s="6" t="str">
        <f>IF($D1658="","",IFERROR(INDEX('Paramètres'!$Q:$Q,MATCH($D1658,'Paramètres'!$M:$M,0))&amp;"",""))</f>
        <v/>
      </c>
      <c r="O1658" s="6" t="str">
        <f>IF($A1658="","",IF(OR($J1658&lt;&gt;"x",$A1658&lt;=FinReleve),1,0))</f>
        <v/>
      </c>
      <c r="P1658" s="6" t="str">
        <f>IF($D1658="","",IF(AND($L1658="Crédit",OR(IFERROR(INDEX('Paramètres'!$O:$O,MATCH($D1658,'Paramètres'!$M:$M,0))&amp;"","")&lt;&gt;"",ISNUMBER(SEARCH("remboursement",IFERROR(INDEX('Paramètres'!$N:$N,MATCH($D1658,'Paramètres'!$M:$M,0))&amp;"",""))))),1,0))</f>
        <v/>
      </c>
      <c r="Q1658" s="6" t="str">
        <f>IF($K1658="","",IF(ISNUMBER(SEARCH("transfert-interne",IFERROR(INDEX('Paramètres'!$N:$N,MATCH($D1658,'Paramètres'!$M:$M,0))&amp;"",""))),0,IF($L1658="Débit",$K1658,IF($P1658=1,-$K1658,0))))</f>
        <v/>
      </c>
      <c r="R1658" s="6" t="str">
        <f>IF($K1658="","",IF($L1658="Crédit",$K1658,-$K1658))</f>
        <v/>
      </c>
      <c r="S1658" s="6" t="str">
        <f>IF($C1658="","",IFERROR(INDEX('Paramètres'!$H:$H,MATCH($C1658,'Paramètres'!$D:$D,0))&amp;"",""))</f>
        <v/>
      </c>
      <c r="T1658" s="6" t="str">
        <f>IF($K1658="","",IF($S1658="",0,IF(ISNUMBER(SEARCH("apport-exterieur",IFERROR(INDEX('Paramètres'!$N:$N,MATCH($D1658,'Paramètres'!$M:$M,0))&amp;"",""))),0,IF(OR(IFERROR(INDEX('Paramètres'!$I:$I,MATCH($C1658,'Paramètres'!$D:$D,0))&amp;"","")="Les deux",IFERROR(INDEX('Paramètres'!$I:$I,MATCH($C1658,'Paramètres'!$D:$D,0))&amp;"","")=IF($P1658=1,"Débit",$L1658)),-IF($P1658=1,-$K1658,$K1658),0))))</f>
        <v/>
      </c>
      <c r="U1658" s="6" t="str">
        <f>IF($K1658="","",IF(ISNUMBER(SEARCH("sortie-epargne",IFERROR(INDEX('Paramètres'!$N:$N,MATCH($D1658,'Paramètres'!$M:$M,0))&amp;"",""))),$K1658,0))</f>
        <v/>
      </c>
      <c r="V1658" s="6" t="str">
        <f>IF(AND($A1658&lt;&gt;"",$O1658=1,$L1658="Débit",N($Q1658)&gt;0,$A1658&gt;=Visualisation!$B$1,$A1658&lt;Visualisation!$D$1),MAX($V$1:V1657)+1,"")</f>
        <v/>
      </c>
    </row>
    <row r="1659" spans="1:22" x14ac:dyDescent="0.25">
      <c r="A1659" s="9"/>
      <c r="E1659" s="10"/>
      <c r="K1659" s="11" t="str">
        <f>IF($E1659="","",ROUND($E1659*IF(ISNA(MATCH($C1659,'Paramètres'!$D:$D,0)),1,IF(INDEX('Paramètres'!$J:$J,MATCH($C1659,'Paramètres'!$D:$D,0))="",1,INDEX('Paramètres'!$J:$J,MATCH($C1659,'Paramètres'!$D:$D,0)))),2))</f>
        <v/>
      </c>
      <c r="L1659" s="6" t="str">
        <f>IF($D1659="","",IF($F1659&lt;&gt;"",$F1659,IF(ISNA(MATCH($D1659,'Paramètres'!$M:$M,0)),"⚠ Type inconnu",IFERROR(INDEX('Paramètres'!$P:$P,MATCH($D1659,'Paramètres'!$M:$M,0))&amp;"",""))))</f>
        <v/>
      </c>
      <c r="M1659" s="6" t="str">
        <f>IF($D1659="","",IF(ISNA(MATCH($D1659,'Paramètres'!$M:$M,0)),"⚠ Type inconnu",IF($L1659="Crédit","",IFERROR(INDEX('Paramètres'!$O:$O,MATCH($D1659,'Paramètres'!$M:$M,0))&amp;"",""))))</f>
        <v/>
      </c>
      <c r="N1659" s="6" t="str">
        <f>IF($D1659="","",IFERROR(INDEX('Paramètres'!$Q:$Q,MATCH($D1659,'Paramètres'!$M:$M,0))&amp;"",""))</f>
        <v/>
      </c>
      <c r="O1659" s="6" t="str">
        <f>IF($A1659="","",IF(OR($J1659&lt;&gt;"x",$A1659&lt;=FinReleve),1,0))</f>
        <v/>
      </c>
      <c r="P1659" s="6" t="str">
        <f>IF($D1659="","",IF(AND($L1659="Crédit",OR(IFERROR(INDEX('Paramètres'!$O:$O,MATCH($D1659,'Paramètres'!$M:$M,0))&amp;"","")&lt;&gt;"",ISNUMBER(SEARCH("remboursement",IFERROR(INDEX('Paramètres'!$N:$N,MATCH($D1659,'Paramètres'!$M:$M,0))&amp;"",""))))),1,0))</f>
        <v/>
      </c>
      <c r="Q1659" s="6" t="str">
        <f>IF($K1659="","",IF(ISNUMBER(SEARCH("transfert-interne",IFERROR(INDEX('Paramètres'!$N:$N,MATCH($D1659,'Paramètres'!$M:$M,0))&amp;"",""))),0,IF($L1659="Débit",$K1659,IF($P1659=1,-$K1659,0))))</f>
        <v/>
      </c>
      <c r="R1659" s="6" t="str">
        <f>IF($K1659="","",IF($L1659="Crédit",$K1659,-$K1659))</f>
        <v/>
      </c>
      <c r="S1659" s="6" t="str">
        <f>IF($C1659="","",IFERROR(INDEX('Paramètres'!$H:$H,MATCH($C1659,'Paramètres'!$D:$D,0))&amp;"",""))</f>
        <v/>
      </c>
      <c r="T1659" s="6" t="str">
        <f>IF($K1659="","",IF($S1659="",0,IF(ISNUMBER(SEARCH("apport-exterieur",IFERROR(INDEX('Paramètres'!$N:$N,MATCH($D1659,'Paramètres'!$M:$M,0))&amp;"",""))),0,IF(OR(IFERROR(INDEX('Paramètres'!$I:$I,MATCH($C1659,'Paramètres'!$D:$D,0))&amp;"","")="Les deux",IFERROR(INDEX('Paramètres'!$I:$I,MATCH($C1659,'Paramètres'!$D:$D,0))&amp;"","")=IF($P1659=1,"Débit",$L1659)),-IF($P1659=1,-$K1659,$K1659),0))))</f>
        <v/>
      </c>
      <c r="U1659" s="6" t="str">
        <f>IF($K1659="","",IF(ISNUMBER(SEARCH("sortie-epargne",IFERROR(INDEX('Paramètres'!$N:$N,MATCH($D1659,'Paramètres'!$M:$M,0))&amp;"",""))),$K1659,0))</f>
        <v/>
      </c>
      <c r="V1659" s="6" t="str">
        <f>IF(AND($A1659&lt;&gt;"",$O1659=1,$L1659="Débit",N($Q1659)&gt;0,$A1659&gt;=Visualisation!$B$1,$A1659&lt;Visualisation!$D$1),MAX($V$1:V1658)+1,"")</f>
        <v/>
      </c>
    </row>
    <row r="1660" spans="1:22" x14ac:dyDescent="0.25">
      <c r="A1660" s="9"/>
      <c r="E1660" s="10"/>
      <c r="K1660" s="11" t="str">
        <f>IF($E1660="","",ROUND($E1660*IF(ISNA(MATCH($C1660,'Paramètres'!$D:$D,0)),1,IF(INDEX('Paramètres'!$J:$J,MATCH($C1660,'Paramètres'!$D:$D,0))="",1,INDEX('Paramètres'!$J:$J,MATCH($C1660,'Paramètres'!$D:$D,0)))),2))</f>
        <v/>
      </c>
      <c r="L1660" s="6" t="str">
        <f>IF($D1660="","",IF($F1660&lt;&gt;"",$F1660,IF(ISNA(MATCH($D1660,'Paramètres'!$M:$M,0)),"⚠ Type inconnu",IFERROR(INDEX('Paramètres'!$P:$P,MATCH($D1660,'Paramètres'!$M:$M,0))&amp;"",""))))</f>
        <v/>
      </c>
      <c r="M1660" s="6" t="str">
        <f>IF($D1660="","",IF(ISNA(MATCH($D1660,'Paramètres'!$M:$M,0)),"⚠ Type inconnu",IF($L1660="Crédit","",IFERROR(INDEX('Paramètres'!$O:$O,MATCH($D1660,'Paramètres'!$M:$M,0))&amp;"",""))))</f>
        <v/>
      </c>
      <c r="N1660" s="6" t="str">
        <f>IF($D1660="","",IFERROR(INDEX('Paramètres'!$Q:$Q,MATCH($D1660,'Paramètres'!$M:$M,0))&amp;"",""))</f>
        <v/>
      </c>
      <c r="O1660" s="6" t="str">
        <f>IF($A1660="","",IF(OR($J1660&lt;&gt;"x",$A1660&lt;=FinReleve),1,0))</f>
        <v/>
      </c>
      <c r="P1660" s="6" t="str">
        <f>IF($D1660="","",IF(AND($L1660="Crédit",OR(IFERROR(INDEX('Paramètres'!$O:$O,MATCH($D1660,'Paramètres'!$M:$M,0))&amp;"","")&lt;&gt;"",ISNUMBER(SEARCH("remboursement",IFERROR(INDEX('Paramètres'!$N:$N,MATCH($D1660,'Paramètres'!$M:$M,0))&amp;"",""))))),1,0))</f>
        <v/>
      </c>
      <c r="Q1660" s="6" t="str">
        <f>IF($K1660="","",IF(ISNUMBER(SEARCH("transfert-interne",IFERROR(INDEX('Paramètres'!$N:$N,MATCH($D1660,'Paramètres'!$M:$M,0))&amp;"",""))),0,IF($L1660="Débit",$K1660,IF($P1660=1,-$K1660,0))))</f>
        <v/>
      </c>
      <c r="R1660" s="6" t="str">
        <f>IF($K1660="","",IF($L1660="Crédit",$K1660,-$K1660))</f>
        <v/>
      </c>
      <c r="S1660" s="6" t="str">
        <f>IF($C1660="","",IFERROR(INDEX('Paramètres'!$H:$H,MATCH($C1660,'Paramètres'!$D:$D,0))&amp;"",""))</f>
        <v/>
      </c>
      <c r="T1660" s="6" t="str">
        <f>IF($K1660="","",IF($S1660="",0,IF(ISNUMBER(SEARCH("apport-exterieur",IFERROR(INDEX('Paramètres'!$N:$N,MATCH($D1660,'Paramètres'!$M:$M,0))&amp;"",""))),0,IF(OR(IFERROR(INDEX('Paramètres'!$I:$I,MATCH($C1660,'Paramètres'!$D:$D,0))&amp;"","")="Les deux",IFERROR(INDEX('Paramètres'!$I:$I,MATCH($C1660,'Paramètres'!$D:$D,0))&amp;"","")=IF($P1660=1,"Débit",$L1660)),-IF($P1660=1,-$K1660,$K1660),0))))</f>
        <v/>
      </c>
      <c r="U1660" s="6" t="str">
        <f>IF($K1660="","",IF(ISNUMBER(SEARCH("sortie-epargne",IFERROR(INDEX('Paramètres'!$N:$N,MATCH($D1660,'Paramètres'!$M:$M,0))&amp;"",""))),$K1660,0))</f>
        <v/>
      </c>
      <c r="V1660" s="6" t="str">
        <f>IF(AND($A1660&lt;&gt;"",$O1660=1,$L1660="Débit",N($Q1660)&gt;0,$A1660&gt;=Visualisation!$B$1,$A1660&lt;Visualisation!$D$1),MAX($V$1:V1659)+1,"")</f>
        <v/>
      </c>
    </row>
    <row r="1661" spans="1:22" x14ac:dyDescent="0.25">
      <c r="A1661" s="9"/>
      <c r="E1661" s="10"/>
      <c r="K1661" s="11" t="str">
        <f>IF($E1661="","",ROUND($E1661*IF(ISNA(MATCH($C1661,'Paramètres'!$D:$D,0)),1,IF(INDEX('Paramètres'!$J:$J,MATCH($C1661,'Paramètres'!$D:$D,0))="",1,INDEX('Paramètres'!$J:$J,MATCH($C1661,'Paramètres'!$D:$D,0)))),2))</f>
        <v/>
      </c>
      <c r="L1661" s="6" t="str">
        <f>IF($D1661="","",IF($F1661&lt;&gt;"",$F1661,IF(ISNA(MATCH($D1661,'Paramètres'!$M:$M,0)),"⚠ Type inconnu",IFERROR(INDEX('Paramètres'!$P:$P,MATCH($D1661,'Paramètres'!$M:$M,0))&amp;"",""))))</f>
        <v/>
      </c>
      <c r="M1661" s="6" t="str">
        <f>IF($D1661="","",IF(ISNA(MATCH($D1661,'Paramètres'!$M:$M,0)),"⚠ Type inconnu",IF($L1661="Crédit","",IFERROR(INDEX('Paramètres'!$O:$O,MATCH($D1661,'Paramètres'!$M:$M,0))&amp;"",""))))</f>
        <v/>
      </c>
      <c r="N1661" s="6" t="str">
        <f>IF($D1661="","",IFERROR(INDEX('Paramètres'!$Q:$Q,MATCH($D1661,'Paramètres'!$M:$M,0))&amp;"",""))</f>
        <v/>
      </c>
      <c r="O1661" s="6" t="str">
        <f>IF($A1661="","",IF(OR($J1661&lt;&gt;"x",$A1661&lt;=FinReleve),1,0))</f>
        <v/>
      </c>
      <c r="P1661" s="6" t="str">
        <f>IF($D1661="","",IF(AND($L1661="Crédit",OR(IFERROR(INDEX('Paramètres'!$O:$O,MATCH($D1661,'Paramètres'!$M:$M,0))&amp;"","")&lt;&gt;"",ISNUMBER(SEARCH("remboursement",IFERROR(INDEX('Paramètres'!$N:$N,MATCH($D1661,'Paramètres'!$M:$M,0))&amp;"",""))))),1,0))</f>
        <v/>
      </c>
      <c r="Q1661" s="6" t="str">
        <f>IF($K1661="","",IF(ISNUMBER(SEARCH("transfert-interne",IFERROR(INDEX('Paramètres'!$N:$N,MATCH($D1661,'Paramètres'!$M:$M,0))&amp;"",""))),0,IF($L1661="Débit",$K1661,IF($P1661=1,-$K1661,0))))</f>
        <v/>
      </c>
      <c r="R1661" s="6" t="str">
        <f>IF($K1661="","",IF($L1661="Crédit",$K1661,-$K1661))</f>
        <v/>
      </c>
      <c r="S1661" s="6" t="str">
        <f>IF($C1661="","",IFERROR(INDEX('Paramètres'!$H:$H,MATCH($C1661,'Paramètres'!$D:$D,0))&amp;"",""))</f>
        <v/>
      </c>
      <c r="T1661" s="6" t="str">
        <f>IF($K1661="","",IF($S1661="",0,IF(ISNUMBER(SEARCH("apport-exterieur",IFERROR(INDEX('Paramètres'!$N:$N,MATCH($D1661,'Paramètres'!$M:$M,0))&amp;"",""))),0,IF(OR(IFERROR(INDEX('Paramètres'!$I:$I,MATCH($C1661,'Paramètres'!$D:$D,0))&amp;"","")="Les deux",IFERROR(INDEX('Paramètres'!$I:$I,MATCH($C1661,'Paramètres'!$D:$D,0))&amp;"","")=IF($P1661=1,"Débit",$L1661)),-IF($P1661=1,-$K1661,$K1661),0))))</f>
        <v/>
      </c>
      <c r="U1661" s="6" t="str">
        <f>IF($K1661="","",IF(ISNUMBER(SEARCH("sortie-epargne",IFERROR(INDEX('Paramètres'!$N:$N,MATCH($D1661,'Paramètres'!$M:$M,0))&amp;"",""))),$K1661,0))</f>
        <v/>
      </c>
      <c r="V1661" s="6" t="str">
        <f>IF(AND($A1661&lt;&gt;"",$O1661=1,$L1661="Débit",N($Q1661)&gt;0,$A1661&gt;=Visualisation!$B$1,$A1661&lt;Visualisation!$D$1),MAX($V$1:V1660)+1,"")</f>
        <v/>
      </c>
    </row>
    <row r="1662" spans="1:22" x14ac:dyDescent="0.25">
      <c r="A1662" s="9"/>
      <c r="E1662" s="10"/>
      <c r="K1662" s="11" t="str">
        <f>IF($E1662="","",ROUND($E1662*IF(ISNA(MATCH($C1662,'Paramètres'!$D:$D,0)),1,IF(INDEX('Paramètres'!$J:$J,MATCH($C1662,'Paramètres'!$D:$D,0))="",1,INDEX('Paramètres'!$J:$J,MATCH($C1662,'Paramètres'!$D:$D,0)))),2))</f>
        <v/>
      </c>
      <c r="L1662" s="6" t="str">
        <f>IF($D1662="","",IF($F1662&lt;&gt;"",$F1662,IF(ISNA(MATCH($D1662,'Paramètres'!$M:$M,0)),"⚠ Type inconnu",IFERROR(INDEX('Paramètres'!$P:$P,MATCH($D1662,'Paramètres'!$M:$M,0))&amp;"",""))))</f>
        <v/>
      </c>
      <c r="M1662" s="6" t="str">
        <f>IF($D1662="","",IF(ISNA(MATCH($D1662,'Paramètres'!$M:$M,0)),"⚠ Type inconnu",IF($L1662="Crédit","",IFERROR(INDEX('Paramètres'!$O:$O,MATCH($D1662,'Paramètres'!$M:$M,0))&amp;"",""))))</f>
        <v/>
      </c>
      <c r="N1662" s="6" t="str">
        <f>IF($D1662="","",IFERROR(INDEX('Paramètres'!$Q:$Q,MATCH($D1662,'Paramètres'!$M:$M,0))&amp;"",""))</f>
        <v/>
      </c>
      <c r="O1662" s="6" t="str">
        <f>IF($A1662="","",IF(OR($J1662&lt;&gt;"x",$A1662&lt;=FinReleve),1,0))</f>
        <v/>
      </c>
      <c r="P1662" s="6" t="str">
        <f>IF($D1662="","",IF(AND($L1662="Crédit",OR(IFERROR(INDEX('Paramètres'!$O:$O,MATCH($D1662,'Paramètres'!$M:$M,0))&amp;"","")&lt;&gt;"",ISNUMBER(SEARCH("remboursement",IFERROR(INDEX('Paramètres'!$N:$N,MATCH($D1662,'Paramètres'!$M:$M,0))&amp;"",""))))),1,0))</f>
        <v/>
      </c>
      <c r="Q1662" s="6" t="str">
        <f>IF($K1662="","",IF(ISNUMBER(SEARCH("transfert-interne",IFERROR(INDEX('Paramètres'!$N:$N,MATCH($D1662,'Paramètres'!$M:$M,0))&amp;"",""))),0,IF($L1662="Débit",$K1662,IF($P1662=1,-$K1662,0))))</f>
        <v/>
      </c>
      <c r="R1662" s="6" t="str">
        <f>IF($K1662="","",IF($L1662="Crédit",$K1662,-$K1662))</f>
        <v/>
      </c>
      <c r="S1662" s="6" t="str">
        <f>IF($C1662="","",IFERROR(INDEX('Paramètres'!$H:$H,MATCH($C1662,'Paramètres'!$D:$D,0))&amp;"",""))</f>
        <v/>
      </c>
      <c r="T1662" s="6" t="str">
        <f>IF($K1662="","",IF($S1662="",0,IF(ISNUMBER(SEARCH("apport-exterieur",IFERROR(INDEX('Paramètres'!$N:$N,MATCH($D1662,'Paramètres'!$M:$M,0))&amp;"",""))),0,IF(OR(IFERROR(INDEX('Paramètres'!$I:$I,MATCH($C1662,'Paramètres'!$D:$D,0))&amp;"","")="Les deux",IFERROR(INDEX('Paramètres'!$I:$I,MATCH($C1662,'Paramètres'!$D:$D,0))&amp;"","")=IF($P1662=1,"Débit",$L1662)),-IF($P1662=1,-$K1662,$K1662),0))))</f>
        <v/>
      </c>
      <c r="U1662" s="6" t="str">
        <f>IF($K1662="","",IF(ISNUMBER(SEARCH("sortie-epargne",IFERROR(INDEX('Paramètres'!$N:$N,MATCH($D1662,'Paramètres'!$M:$M,0))&amp;"",""))),$K1662,0))</f>
        <v/>
      </c>
      <c r="V1662" s="6" t="str">
        <f>IF(AND($A1662&lt;&gt;"",$O1662=1,$L1662="Débit",N($Q1662)&gt;0,$A1662&gt;=Visualisation!$B$1,$A1662&lt;Visualisation!$D$1),MAX($V$1:V1661)+1,"")</f>
        <v/>
      </c>
    </row>
    <row r="1663" spans="1:22" x14ac:dyDescent="0.25">
      <c r="A1663" s="9"/>
      <c r="E1663" s="10"/>
      <c r="K1663" s="11" t="str">
        <f>IF($E1663="","",ROUND($E1663*IF(ISNA(MATCH($C1663,'Paramètres'!$D:$D,0)),1,IF(INDEX('Paramètres'!$J:$J,MATCH($C1663,'Paramètres'!$D:$D,0))="",1,INDEX('Paramètres'!$J:$J,MATCH($C1663,'Paramètres'!$D:$D,0)))),2))</f>
        <v/>
      </c>
      <c r="L1663" s="6" t="str">
        <f>IF($D1663="","",IF($F1663&lt;&gt;"",$F1663,IF(ISNA(MATCH($D1663,'Paramètres'!$M:$M,0)),"⚠ Type inconnu",IFERROR(INDEX('Paramètres'!$P:$P,MATCH($D1663,'Paramètres'!$M:$M,0))&amp;"",""))))</f>
        <v/>
      </c>
      <c r="M1663" s="6" t="str">
        <f>IF($D1663="","",IF(ISNA(MATCH($D1663,'Paramètres'!$M:$M,0)),"⚠ Type inconnu",IF($L1663="Crédit","",IFERROR(INDEX('Paramètres'!$O:$O,MATCH($D1663,'Paramètres'!$M:$M,0))&amp;"",""))))</f>
        <v/>
      </c>
      <c r="N1663" s="6" t="str">
        <f>IF($D1663="","",IFERROR(INDEX('Paramètres'!$Q:$Q,MATCH($D1663,'Paramètres'!$M:$M,0))&amp;"",""))</f>
        <v/>
      </c>
      <c r="O1663" s="6" t="str">
        <f>IF($A1663="","",IF(OR($J1663&lt;&gt;"x",$A1663&lt;=FinReleve),1,0))</f>
        <v/>
      </c>
      <c r="P1663" s="6" t="str">
        <f>IF($D1663="","",IF(AND($L1663="Crédit",OR(IFERROR(INDEX('Paramètres'!$O:$O,MATCH($D1663,'Paramètres'!$M:$M,0))&amp;"","")&lt;&gt;"",ISNUMBER(SEARCH("remboursement",IFERROR(INDEX('Paramètres'!$N:$N,MATCH($D1663,'Paramètres'!$M:$M,0))&amp;"",""))))),1,0))</f>
        <v/>
      </c>
      <c r="Q1663" s="6" t="str">
        <f>IF($K1663="","",IF(ISNUMBER(SEARCH("transfert-interne",IFERROR(INDEX('Paramètres'!$N:$N,MATCH($D1663,'Paramètres'!$M:$M,0))&amp;"",""))),0,IF($L1663="Débit",$K1663,IF($P1663=1,-$K1663,0))))</f>
        <v/>
      </c>
      <c r="R1663" s="6" t="str">
        <f>IF($K1663="","",IF($L1663="Crédit",$K1663,-$K1663))</f>
        <v/>
      </c>
      <c r="S1663" s="6" t="str">
        <f>IF($C1663="","",IFERROR(INDEX('Paramètres'!$H:$H,MATCH($C1663,'Paramètres'!$D:$D,0))&amp;"",""))</f>
        <v/>
      </c>
      <c r="T1663" s="6" t="str">
        <f>IF($K1663="","",IF($S1663="",0,IF(ISNUMBER(SEARCH("apport-exterieur",IFERROR(INDEX('Paramètres'!$N:$N,MATCH($D1663,'Paramètres'!$M:$M,0))&amp;"",""))),0,IF(OR(IFERROR(INDEX('Paramètres'!$I:$I,MATCH($C1663,'Paramètres'!$D:$D,0))&amp;"","")="Les deux",IFERROR(INDEX('Paramètres'!$I:$I,MATCH($C1663,'Paramètres'!$D:$D,0))&amp;"","")=IF($P1663=1,"Débit",$L1663)),-IF($P1663=1,-$K1663,$K1663),0))))</f>
        <v/>
      </c>
      <c r="U1663" s="6" t="str">
        <f>IF($K1663="","",IF(ISNUMBER(SEARCH("sortie-epargne",IFERROR(INDEX('Paramètres'!$N:$N,MATCH($D1663,'Paramètres'!$M:$M,0))&amp;"",""))),$K1663,0))</f>
        <v/>
      </c>
      <c r="V1663" s="6" t="str">
        <f>IF(AND($A1663&lt;&gt;"",$O1663=1,$L1663="Débit",N($Q1663)&gt;0,$A1663&gt;=Visualisation!$B$1,$A1663&lt;Visualisation!$D$1),MAX($V$1:V1662)+1,"")</f>
        <v/>
      </c>
    </row>
    <row r="1664" spans="1:22" x14ac:dyDescent="0.25">
      <c r="A1664" s="9"/>
      <c r="E1664" s="10"/>
      <c r="K1664" s="11" t="str">
        <f>IF($E1664="","",ROUND($E1664*IF(ISNA(MATCH($C1664,'Paramètres'!$D:$D,0)),1,IF(INDEX('Paramètres'!$J:$J,MATCH($C1664,'Paramètres'!$D:$D,0))="",1,INDEX('Paramètres'!$J:$J,MATCH($C1664,'Paramètres'!$D:$D,0)))),2))</f>
        <v/>
      </c>
      <c r="L1664" s="6" t="str">
        <f>IF($D1664="","",IF($F1664&lt;&gt;"",$F1664,IF(ISNA(MATCH($D1664,'Paramètres'!$M:$M,0)),"⚠ Type inconnu",IFERROR(INDEX('Paramètres'!$P:$P,MATCH($D1664,'Paramètres'!$M:$M,0))&amp;"",""))))</f>
        <v/>
      </c>
      <c r="M1664" s="6" t="str">
        <f>IF($D1664="","",IF(ISNA(MATCH($D1664,'Paramètres'!$M:$M,0)),"⚠ Type inconnu",IF($L1664="Crédit","",IFERROR(INDEX('Paramètres'!$O:$O,MATCH($D1664,'Paramètres'!$M:$M,0))&amp;"",""))))</f>
        <v/>
      </c>
      <c r="N1664" s="6" t="str">
        <f>IF($D1664="","",IFERROR(INDEX('Paramètres'!$Q:$Q,MATCH($D1664,'Paramètres'!$M:$M,0))&amp;"",""))</f>
        <v/>
      </c>
      <c r="O1664" s="6" t="str">
        <f>IF($A1664="","",IF(OR($J1664&lt;&gt;"x",$A1664&lt;=FinReleve),1,0))</f>
        <v/>
      </c>
      <c r="P1664" s="6" t="str">
        <f>IF($D1664="","",IF(AND($L1664="Crédit",OR(IFERROR(INDEX('Paramètres'!$O:$O,MATCH($D1664,'Paramètres'!$M:$M,0))&amp;"","")&lt;&gt;"",ISNUMBER(SEARCH("remboursement",IFERROR(INDEX('Paramètres'!$N:$N,MATCH($D1664,'Paramètres'!$M:$M,0))&amp;"",""))))),1,0))</f>
        <v/>
      </c>
      <c r="Q1664" s="6" t="str">
        <f>IF($K1664="","",IF(ISNUMBER(SEARCH("transfert-interne",IFERROR(INDEX('Paramètres'!$N:$N,MATCH($D1664,'Paramètres'!$M:$M,0))&amp;"",""))),0,IF($L1664="Débit",$K1664,IF($P1664=1,-$K1664,0))))</f>
        <v/>
      </c>
      <c r="R1664" s="6" t="str">
        <f>IF($K1664="","",IF($L1664="Crédit",$K1664,-$K1664))</f>
        <v/>
      </c>
      <c r="S1664" s="6" t="str">
        <f>IF($C1664="","",IFERROR(INDEX('Paramètres'!$H:$H,MATCH($C1664,'Paramètres'!$D:$D,0))&amp;"",""))</f>
        <v/>
      </c>
      <c r="T1664" s="6" t="str">
        <f>IF($K1664="","",IF($S1664="",0,IF(ISNUMBER(SEARCH("apport-exterieur",IFERROR(INDEX('Paramètres'!$N:$N,MATCH($D1664,'Paramètres'!$M:$M,0))&amp;"",""))),0,IF(OR(IFERROR(INDEX('Paramètres'!$I:$I,MATCH($C1664,'Paramètres'!$D:$D,0))&amp;"","")="Les deux",IFERROR(INDEX('Paramètres'!$I:$I,MATCH($C1664,'Paramètres'!$D:$D,0))&amp;"","")=IF($P1664=1,"Débit",$L1664)),-IF($P1664=1,-$K1664,$K1664),0))))</f>
        <v/>
      </c>
      <c r="U1664" s="6" t="str">
        <f>IF($K1664="","",IF(ISNUMBER(SEARCH("sortie-epargne",IFERROR(INDEX('Paramètres'!$N:$N,MATCH($D1664,'Paramètres'!$M:$M,0))&amp;"",""))),$K1664,0))</f>
        <v/>
      </c>
      <c r="V1664" s="6" t="str">
        <f>IF(AND($A1664&lt;&gt;"",$O1664=1,$L1664="Débit",N($Q1664)&gt;0,$A1664&gt;=Visualisation!$B$1,$A1664&lt;Visualisation!$D$1),MAX($V$1:V1663)+1,"")</f>
        <v/>
      </c>
    </row>
    <row r="1665" spans="1:22" x14ac:dyDescent="0.25">
      <c r="A1665" s="9"/>
      <c r="E1665" s="10"/>
      <c r="K1665" s="11" t="str">
        <f>IF($E1665="","",ROUND($E1665*IF(ISNA(MATCH($C1665,'Paramètres'!$D:$D,0)),1,IF(INDEX('Paramètres'!$J:$J,MATCH($C1665,'Paramètres'!$D:$D,0))="",1,INDEX('Paramètres'!$J:$J,MATCH($C1665,'Paramètres'!$D:$D,0)))),2))</f>
        <v/>
      </c>
      <c r="L1665" s="6" t="str">
        <f>IF($D1665="","",IF($F1665&lt;&gt;"",$F1665,IF(ISNA(MATCH($D1665,'Paramètres'!$M:$M,0)),"⚠ Type inconnu",IFERROR(INDEX('Paramètres'!$P:$P,MATCH($D1665,'Paramètres'!$M:$M,0))&amp;"",""))))</f>
        <v/>
      </c>
      <c r="M1665" s="6" t="str">
        <f>IF($D1665="","",IF(ISNA(MATCH($D1665,'Paramètres'!$M:$M,0)),"⚠ Type inconnu",IF($L1665="Crédit","",IFERROR(INDEX('Paramètres'!$O:$O,MATCH($D1665,'Paramètres'!$M:$M,0))&amp;"",""))))</f>
        <v/>
      </c>
      <c r="N1665" s="6" t="str">
        <f>IF($D1665="","",IFERROR(INDEX('Paramètres'!$Q:$Q,MATCH($D1665,'Paramètres'!$M:$M,0))&amp;"",""))</f>
        <v/>
      </c>
      <c r="O1665" s="6" t="str">
        <f>IF($A1665="","",IF(OR($J1665&lt;&gt;"x",$A1665&lt;=FinReleve),1,0))</f>
        <v/>
      </c>
      <c r="P1665" s="6" t="str">
        <f>IF($D1665="","",IF(AND($L1665="Crédit",OR(IFERROR(INDEX('Paramètres'!$O:$O,MATCH($D1665,'Paramètres'!$M:$M,0))&amp;"","")&lt;&gt;"",ISNUMBER(SEARCH("remboursement",IFERROR(INDEX('Paramètres'!$N:$N,MATCH($D1665,'Paramètres'!$M:$M,0))&amp;"",""))))),1,0))</f>
        <v/>
      </c>
      <c r="Q1665" s="6" t="str">
        <f>IF($K1665="","",IF(ISNUMBER(SEARCH("transfert-interne",IFERROR(INDEX('Paramètres'!$N:$N,MATCH($D1665,'Paramètres'!$M:$M,0))&amp;"",""))),0,IF($L1665="Débit",$K1665,IF($P1665=1,-$K1665,0))))</f>
        <v/>
      </c>
      <c r="R1665" s="6" t="str">
        <f>IF($K1665="","",IF($L1665="Crédit",$K1665,-$K1665))</f>
        <v/>
      </c>
      <c r="S1665" s="6" t="str">
        <f>IF($C1665="","",IFERROR(INDEX('Paramètres'!$H:$H,MATCH($C1665,'Paramètres'!$D:$D,0))&amp;"",""))</f>
        <v/>
      </c>
      <c r="T1665" s="6" t="str">
        <f>IF($K1665="","",IF($S1665="",0,IF(ISNUMBER(SEARCH("apport-exterieur",IFERROR(INDEX('Paramètres'!$N:$N,MATCH($D1665,'Paramètres'!$M:$M,0))&amp;"",""))),0,IF(OR(IFERROR(INDEX('Paramètres'!$I:$I,MATCH($C1665,'Paramètres'!$D:$D,0))&amp;"","")="Les deux",IFERROR(INDEX('Paramètres'!$I:$I,MATCH($C1665,'Paramètres'!$D:$D,0))&amp;"","")=IF($P1665=1,"Débit",$L1665)),-IF($P1665=1,-$K1665,$K1665),0))))</f>
        <v/>
      </c>
      <c r="U1665" s="6" t="str">
        <f>IF($K1665="","",IF(ISNUMBER(SEARCH("sortie-epargne",IFERROR(INDEX('Paramètres'!$N:$N,MATCH($D1665,'Paramètres'!$M:$M,0))&amp;"",""))),$K1665,0))</f>
        <v/>
      </c>
      <c r="V1665" s="6" t="str">
        <f>IF(AND($A1665&lt;&gt;"",$O1665=1,$L1665="Débit",N($Q1665)&gt;0,$A1665&gt;=Visualisation!$B$1,$A1665&lt;Visualisation!$D$1),MAX($V$1:V1664)+1,"")</f>
        <v/>
      </c>
    </row>
    <row r="1666" spans="1:22" x14ac:dyDescent="0.25">
      <c r="A1666" s="9"/>
      <c r="E1666" s="10"/>
      <c r="K1666" s="11" t="str">
        <f>IF($E1666="","",ROUND($E1666*IF(ISNA(MATCH($C1666,'Paramètres'!$D:$D,0)),1,IF(INDEX('Paramètres'!$J:$J,MATCH($C1666,'Paramètres'!$D:$D,0))="",1,INDEX('Paramètres'!$J:$J,MATCH($C1666,'Paramètres'!$D:$D,0)))),2))</f>
        <v/>
      </c>
      <c r="L1666" s="6" t="str">
        <f>IF($D1666="","",IF($F1666&lt;&gt;"",$F1666,IF(ISNA(MATCH($D1666,'Paramètres'!$M:$M,0)),"⚠ Type inconnu",IFERROR(INDEX('Paramètres'!$P:$P,MATCH($D1666,'Paramètres'!$M:$M,0))&amp;"",""))))</f>
        <v/>
      </c>
      <c r="M1666" s="6" t="str">
        <f>IF($D1666="","",IF(ISNA(MATCH($D1666,'Paramètres'!$M:$M,0)),"⚠ Type inconnu",IF($L1666="Crédit","",IFERROR(INDEX('Paramètres'!$O:$O,MATCH($D1666,'Paramètres'!$M:$M,0))&amp;"",""))))</f>
        <v/>
      </c>
      <c r="N1666" s="6" t="str">
        <f>IF($D1666="","",IFERROR(INDEX('Paramètres'!$Q:$Q,MATCH($D1666,'Paramètres'!$M:$M,0))&amp;"",""))</f>
        <v/>
      </c>
      <c r="O1666" s="6" t="str">
        <f>IF($A1666="","",IF(OR($J1666&lt;&gt;"x",$A1666&lt;=FinReleve),1,0))</f>
        <v/>
      </c>
      <c r="P1666" s="6" t="str">
        <f>IF($D1666="","",IF(AND($L1666="Crédit",OR(IFERROR(INDEX('Paramètres'!$O:$O,MATCH($D1666,'Paramètres'!$M:$M,0))&amp;"","")&lt;&gt;"",ISNUMBER(SEARCH("remboursement",IFERROR(INDEX('Paramètres'!$N:$N,MATCH($D1666,'Paramètres'!$M:$M,0))&amp;"",""))))),1,0))</f>
        <v/>
      </c>
      <c r="Q1666" s="6" t="str">
        <f>IF($K1666="","",IF(ISNUMBER(SEARCH("transfert-interne",IFERROR(INDEX('Paramètres'!$N:$N,MATCH($D1666,'Paramètres'!$M:$M,0))&amp;"",""))),0,IF($L1666="Débit",$K1666,IF($P1666=1,-$K1666,0))))</f>
        <v/>
      </c>
      <c r="R1666" s="6" t="str">
        <f>IF($K1666="","",IF($L1666="Crédit",$K1666,-$K1666))</f>
        <v/>
      </c>
      <c r="S1666" s="6" t="str">
        <f>IF($C1666="","",IFERROR(INDEX('Paramètres'!$H:$H,MATCH($C1666,'Paramètres'!$D:$D,0))&amp;"",""))</f>
        <v/>
      </c>
      <c r="T1666" s="6" t="str">
        <f>IF($K1666="","",IF($S1666="",0,IF(ISNUMBER(SEARCH("apport-exterieur",IFERROR(INDEX('Paramètres'!$N:$N,MATCH($D1666,'Paramètres'!$M:$M,0))&amp;"",""))),0,IF(OR(IFERROR(INDEX('Paramètres'!$I:$I,MATCH($C1666,'Paramètres'!$D:$D,0))&amp;"","")="Les deux",IFERROR(INDEX('Paramètres'!$I:$I,MATCH($C1666,'Paramètres'!$D:$D,0))&amp;"","")=IF($P1666=1,"Débit",$L1666)),-IF($P1666=1,-$K1666,$K1666),0))))</f>
        <v/>
      </c>
      <c r="U1666" s="6" t="str">
        <f>IF($K1666="","",IF(ISNUMBER(SEARCH("sortie-epargne",IFERROR(INDEX('Paramètres'!$N:$N,MATCH($D1666,'Paramètres'!$M:$M,0))&amp;"",""))),$K1666,0))</f>
        <v/>
      </c>
      <c r="V1666" s="6" t="str">
        <f>IF(AND($A1666&lt;&gt;"",$O1666=1,$L1666="Débit",N($Q1666)&gt;0,$A1666&gt;=Visualisation!$B$1,$A1666&lt;Visualisation!$D$1),MAX($V$1:V1665)+1,"")</f>
        <v/>
      </c>
    </row>
    <row r="1667" spans="1:22" x14ac:dyDescent="0.25">
      <c r="A1667" s="9"/>
      <c r="E1667" s="10"/>
      <c r="K1667" s="11" t="str">
        <f>IF($E1667="","",ROUND($E1667*IF(ISNA(MATCH($C1667,'Paramètres'!$D:$D,0)),1,IF(INDEX('Paramètres'!$J:$J,MATCH($C1667,'Paramètres'!$D:$D,0))="",1,INDEX('Paramètres'!$J:$J,MATCH($C1667,'Paramètres'!$D:$D,0)))),2))</f>
        <v/>
      </c>
      <c r="L1667" s="6" t="str">
        <f>IF($D1667="","",IF($F1667&lt;&gt;"",$F1667,IF(ISNA(MATCH($D1667,'Paramètres'!$M:$M,0)),"⚠ Type inconnu",IFERROR(INDEX('Paramètres'!$P:$P,MATCH($D1667,'Paramètres'!$M:$M,0))&amp;"",""))))</f>
        <v/>
      </c>
      <c r="M1667" s="6" t="str">
        <f>IF($D1667="","",IF(ISNA(MATCH($D1667,'Paramètres'!$M:$M,0)),"⚠ Type inconnu",IF($L1667="Crédit","",IFERROR(INDEX('Paramètres'!$O:$O,MATCH($D1667,'Paramètres'!$M:$M,0))&amp;"",""))))</f>
        <v/>
      </c>
      <c r="N1667" s="6" t="str">
        <f>IF($D1667="","",IFERROR(INDEX('Paramètres'!$Q:$Q,MATCH($D1667,'Paramètres'!$M:$M,0))&amp;"",""))</f>
        <v/>
      </c>
      <c r="O1667" s="6" t="str">
        <f>IF($A1667="","",IF(OR($J1667&lt;&gt;"x",$A1667&lt;=FinReleve),1,0))</f>
        <v/>
      </c>
      <c r="P1667" s="6" t="str">
        <f>IF($D1667="","",IF(AND($L1667="Crédit",OR(IFERROR(INDEX('Paramètres'!$O:$O,MATCH($D1667,'Paramètres'!$M:$M,0))&amp;"","")&lt;&gt;"",ISNUMBER(SEARCH("remboursement",IFERROR(INDEX('Paramètres'!$N:$N,MATCH($D1667,'Paramètres'!$M:$M,0))&amp;"",""))))),1,0))</f>
        <v/>
      </c>
      <c r="Q1667" s="6" t="str">
        <f>IF($K1667="","",IF(ISNUMBER(SEARCH("transfert-interne",IFERROR(INDEX('Paramètres'!$N:$N,MATCH($D1667,'Paramètres'!$M:$M,0))&amp;"",""))),0,IF($L1667="Débit",$K1667,IF($P1667=1,-$K1667,0))))</f>
        <v/>
      </c>
      <c r="R1667" s="6" t="str">
        <f>IF($K1667="","",IF($L1667="Crédit",$K1667,-$K1667))</f>
        <v/>
      </c>
      <c r="S1667" s="6" t="str">
        <f>IF($C1667="","",IFERROR(INDEX('Paramètres'!$H:$H,MATCH($C1667,'Paramètres'!$D:$D,0))&amp;"",""))</f>
        <v/>
      </c>
      <c r="T1667" s="6" t="str">
        <f>IF($K1667="","",IF($S1667="",0,IF(ISNUMBER(SEARCH("apport-exterieur",IFERROR(INDEX('Paramètres'!$N:$N,MATCH($D1667,'Paramètres'!$M:$M,0))&amp;"",""))),0,IF(OR(IFERROR(INDEX('Paramètres'!$I:$I,MATCH($C1667,'Paramètres'!$D:$D,0))&amp;"","")="Les deux",IFERROR(INDEX('Paramètres'!$I:$I,MATCH($C1667,'Paramètres'!$D:$D,0))&amp;"","")=IF($P1667=1,"Débit",$L1667)),-IF($P1667=1,-$K1667,$K1667),0))))</f>
        <v/>
      </c>
      <c r="U1667" s="6" t="str">
        <f>IF($K1667="","",IF(ISNUMBER(SEARCH("sortie-epargne",IFERROR(INDEX('Paramètres'!$N:$N,MATCH($D1667,'Paramètres'!$M:$M,0))&amp;"",""))),$K1667,0))</f>
        <v/>
      </c>
      <c r="V1667" s="6" t="str">
        <f>IF(AND($A1667&lt;&gt;"",$O1667=1,$L1667="Débit",N($Q1667)&gt;0,$A1667&gt;=Visualisation!$B$1,$A1667&lt;Visualisation!$D$1),MAX($V$1:V1666)+1,"")</f>
        <v/>
      </c>
    </row>
    <row r="1668" spans="1:22" x14ac:dyDescent="0.25">
      <c r="A1668" s="9"/>
      <c r="E1668" s="10"/>
      <c r="K1668" s="11" t="str">
        <f>IF($E1668="","",ROUND($E1668*IF(ISNA(MATCH($C1668,'Paramètres'!$D:$D,0)),1,IF(INDEX('Paramètres'!$J:$J,MATCH($C1668,'Paramètres'!$D:$D,0))="",1,INDEX('Paramètres'!$J:$J,MATCH($C1668,'Paramètres'!$D:$D,0)))),2))</f>
        <v/>
      </c>
      <c r="L1668" s="6" t="str">
        <f>IF($D1668="","",IF($F1668&lt;&gt;"",$F1668,IF(ISNA(MATCH($D1668,'Paramètres'!$M:$M,0)),"⚠ Type inconnu",IFERROR(INDEX('Paramètres'!$P:$P,MATCH($D1668,'Paramètres'!$M:$M,0))&amp;"",""))))</f>
        <v/>
      </c>
      <c r="M1668" s="6" t="str">
        <f>IF($D1668="","",IF(ISNA(MATCH($D1668,'Paramètres'!$M:$M,0)),"⚠ Type inconnu",IF($L1668="Crédit","",IFERROR(INDEX('Paramètres'!$O:$O,MATCH($D1668,'Paramètres'!$M:$M,0))&amp;"",""))))</f>
        <v/>
      </c>
      <c r="N1668" s="6" t="str">
        <f>IF($D1668="","",IFERROR(INDEX('Paramètres'!$Q:$Q,MATCH($D1668,'Paramètres'!$M:$M,0))&amp;"",""))</f>
        <v/>
      </c>
      <c r="O1668" s="6" t="str">
        <f>IF($A1668="","",IF(OR($J1668&lt;&gt;"x",$A1668&lt;=FinReleve),1,0))</f>
        <v/>
      </c>
      <c r="P1668" s="6" t="str">
        <f>IF($D1668="","",IF(AND($L1668="Crédit",OR(IFERROR(INDEX('Paramètres'!$O:$O,MATCH($D1668,'Paramètres'!$M:$M,0))&amp;"","")&lt;&gt;"",ISNUMBER(SEARCH("remboursement",IFERROR(INDEX('Paramètres'!$N:$N,MATCH($D1668,'Paramètres'!$M:$M,0))&amp;"",""))))),1,0))</f>
        <v/>
      </c>
      <c r="Q1668" s="6" t="str">
        <f>IF($K1668="","",IF(ISNUMBER(SEARCH("transfert-interne",IFERROR(INDEX('Paramètres'!$N:$N,MATCH($D1668,'Paramètres'!$M:$M,0))&amp;"",""))),0,IF($L1668="Débit",$K1668,IF($P1668=1,-$K1668,0))))</f>
        <v/>
      </c>
      <c r="R1668" s="6" t="str">
        <f>IF($K1668="","",IF($L1668="Crédit",$K1668,-$K1668))</f>
        <v/>
      </c>
      <c r="S1668" s="6" t="str">
        <f>IF($C1668="","",IFERROR(INDEX('Paramètres'!$H:$H,MATCH($C1668,'Paramètres'!$D:$D,0))&amp;"",""))</f>
        <v/>
      </c>
      <c r="T1668" s="6" t="str">
        <f>IF($K1668="","",IF($S1668="",0,IF(ISNUMBER(SEARCH("apport-exterieur",IFERROR(INDEX('Paramètres'!$N:$N,MATCH($D1668,'Paramètres'!$M:$M,0))&amp;"",""))),0,IF(OR(IFERROR(INDEX('Paramètres'!$I:$I,MATCH($C1668,'Paramètres'!$D:$D,0))&amp;"","")="Les deux",IFERROR(INDEX('Paramètres'!$I:$I,MATCH($C1668,'Paramètres'!$D:$D,0))&amp;"","")=IF($P1668=1,"Débit",$L1668)),-IF($P1668=1,-$K1668,$K1668),0))))</f>
        <v/>
      </c>
      <c r="U1668" s="6" t="str">
        <f>IF($K1668="","",IF(ISNUMBER(SEARCH("sortie-epargne",IFERROR(INDEX('Paramètres'!$N:$N,MATCH($D1668,'Paramètres'!$M:$M,0))&amp;"",""))),$K1668,0))</f>
        <v/>
      </c>
      <c r="V1668" s="6" t="str">
        <f>IF(AND($A1668&lt;&gt;"",$O1668=1,$L1668="Débit",N($Q1668)&gt;0,$A1668&gt;=Visualisation!$B$1,$A1668&lt;Visualisation!$D$1),MAX($V$1:V1667)+1,"")</f>
        <v/>
      </c>
    </row>
    <row r="1669" spans="1:22" x14ac:dyDescent="0.25">
      <c r="A1669" s="9"/>
      <c r="E1669" s="10"/>
      <c r="K1669" s="11" t="str">
        <f>IF($E1669="","",ROUND($E1669*IF(ISNA(MATCH($C1669,'Paramètres'!$D:$D,0)),1,IF(INDEX('Paramètres'!$J:$J,MATCH($C1669,'Paramètres'!$D:$D,0))="",1,INDEX('Paramètres'!$J:$J,MATCH($C1669,'Paramètres'!$D:$D,0)))),2))</f>
        <v/>
      </c>
      <c r="L1669" s="6" t="str">
        <f>IF($D1669="","",IF($F1669&lt;&gt;"",$F1669,IF(ISNA(MATCH($D1669,'Paramètres'!$M:$M,0)),"⚠ Type inconnu",IFERROR(INDEX('Paramètres'!$P:$P,MATCH($D1669,'Paramètres'!$M:$M,0))&amp;"",""))))</f>
        <v/>
      </c>
      <c r="M1669" s="6" t="str">
        <f>IF($D1669="","",IF(ISNA(MATCH($D1669,'Paramètres'!$M:$M,0)),"⚠ Type inconnu",IF($L1669="Crédit","",IFERROR(INDEX('Paramètres'!$O:$O,MATCH($D1669,'Paramètres'!$M:$M,0))&amp;"",""))))</f>
        <v/>
      </c>
      <c r="N1669" s="6" t="str">
        <f>IF($D1669="","",IFERROR(INDEX('Paramètres'!$Q:$Q,MATCH($D1669,'Paramètres'!$M:$M,0))&amp;"",""))</f>
        <v/>
      </c>
      <c r="O1669" s="6" t="str">
        <f>IF($A1669="","",IF(OR($J1669&lt;&gt;"x",$A1669&lt;=FinReleve),1,0))</f>
        <v/>
      </c>
      <c r="P1669" s="6" t="str">
        <f>IF($D1669="","",IF(AND($L1669="Crédit",OR(IFERROR(INDEX('Paramètres'!$O:$O,MATCH($D1669,'Paramètres'!$M:$M,0))&amp;"","")&lt;&gt;"",ISNUMBER(SEARCH("remboursement",IFERROR(INDEX('Paramètres'!$N:$N,MATCH($D1669,'Paramètres'!$M:$M,0))&amp;"",""))))),1,0))</f>
        <v/>
      </c>
      <c r="Q1669" s="6" t="str">
        <f>IF($K1669="","",IF(ISNUMBER(SEARCH("transfert-interne",IFERROR(INDEX('Paramètres'!$N:$N,MATCH($D1669,'Paramètres'!$M:$M,0))&amp;"",""))),0,IF($L1669="Débit",$K1669,IF($P1669=1,-$K1669,0))))</f>
        <v/>
      </c>
      <c r="R1669" s="6" t="str">
        <f>IF($K1669="","",IF($L1669="Crédit",$K1669,-$K1669))</f>
        <v/>
      </c>
      <c r="S1669" s="6" t="str">
        <f>IF($C1669="","",IFERROR(INDEX('Paramètres'!$H:$H,MATCH($C1669,'Paramètres'!$D:$D,0))&amp;"",""))</f>
        <v/>
      </c>
      <c r="T1669" s="6" t="str">
        <f>IF($K1669="","",IF($S1669="",0,IF(ISNUMBER(SEARCH("apport-exterieur",IFERROR(INDEX('Paramètres'!$N:$N,MATCH($D1669,'Paramètres'!$M:$M,0))&amp;"",""))),0,IF(OR(IFERROR(INDEX('Paramètres'!$I:$I,MATCH($C1669,'Paramètres'!$D:$D,0))&amp;"","")="Les deux",IFERROR(INDEX('Paramètres'!$I:$I,MATCH($C1669,'Paramètres'!$D:$D,0))&amp;"","")=IF($P1669=1,"Débit",$L1669)),-IF($P1669=1,-$K1669,$K1669),0))))</f>
        <v/>
      </c>
      <c r="U1669" s="6" t="str">
        <f>IF($K1669="","",IF(ISNUMBER(SEARCH("sortie-epargne",IFERROR(INDEX('Paramètres'!$N:$N,MATCH($D1669,'Paramètres'!$M:$M,0))&amp;"",""))),$K1669,0))</f>
        <v/>
      </c>
      <c r="V1669" s="6" t="str">
        <f>IF(AND($A1669&lt;&gt;"",$O1669=1,$L1669="Débit",N($Q1669)&gt;0,$A1669&gt;=Visualisation!$B$1,$A1669&lt;Visualisation!$D$1),MAX($V$1:V1668)+1,"")</f>
        <v/>
      </c>
    </row>
    <row r="1670" spans="1:22" x14ac:dyDescent="0.25">
      <c r="A1670" s="9"/>
      <c r="E1670" s="10"/>
      <c r="K1670" s="11" t="str">
        <f>IF($E1670="","",ROUND($E1670*IF(ISNA(MATCH($C1670,'Paramètres'!$D:$D,0)),1,IF(INDEX('Paramètres'!$J:$J,MATCH($C1670,'Paramètres'!$D:$D,0))="",1,INDEX('Paramètres'!$J:$J,MATCH($C1670,'Paramètres'!$D:$D,0)))),2))</f>
        <v/>
      </c>
      <c r="L1670" s="6" t="str">
        <f>IF($D1670="","",IF($F1670&lt;&gt;"",$F1670,IF(ISNA(MATCH($D1670,'Paramètres'!$M:$M,0)),"⚠ Type inconnu",IFERROR(INDEX('Paramètres'!$P:$P,MATCH($D1670,'Paramètres'!$M:$M,0))&amp;"",""))))</f>
        <v/>
      </c>
      <c r="M1670" s="6" t="str">
        <f>IF($D1670="","",IF(ISNA(MATCH($D1670,'Paramètres'!$M:$M,0)),"⚠ Type inconnu",IF($L1670="Crédit","",IFERROR(INDEX('Paramètres'!$O:$O,MATCH($D1670,'Paramètres'!$M:$M,0))&amp;"",""))))</f>
        <v/>
      </c>
      <c r="N1670" s="6" t="str">
        <f>IF($D1670="","",IFERROR(INDEX('Paramètres'!$Q:$Q,MATCH($D1670,'Paramètres'!$M:$M,0))&amp;"",""))</f>
        <v/>
      </c>
      <c r="O1670" s="6" t="str">
        <f>IF($A1670="","",IF(OR($J1670&lt;&gt;"x",$A1670&lt;=FinReleve),1,0))</f>
        <v/>
      </c>
      <c r="P1670" s="6" t="str">
        <f>IF($D1670="","",IF(AND($L1670="Crédit",OR(IFERROR(INDEX('Paramètres'!$O:$O,MATCH($D1670,'Paramètres'!$M:$M,0))&amp;"","")&lt;&gt;"",ISNUMBER(SEARCH("remboursement",IFERROR(INDEX('Paramètres'!$N:$N,MATCH($D1670,'Paramètres'!$M:$M,0))&amp;"",""))))),1,0))</f>
        <v/>
      </c>
      <c r="Q1670" s="6" t="str">
        <f>IF($K1670="","",IF(ISNUMBER(SEARCH("transfert-interne",IFERROR(INDEX('Paramètres'!$N:$N,MATCH($D1670,'Paramètres'!$M:$M,0))&amp;"",""))),0,IF($L1670="Débit",$K1670,IF($P1670=1,-$K1670,0))))</f>
        <v/>
      </c>
      <c r="R1670" s="6" t="str">
        <f>IF($K1670="","",IF($L1670="Crédit",$K1670,-$K1670))</f>
        <v/>
      </c>
      <c r="S1670" s="6" t="str">
        <f>IF($C1670="","",IFERROR(INDEX('Paramètres'!$H:$H,MATCH($C1670,'Paramètres'!$D:$D,0))&amp;"",""))</f>
        <v/>
      </c>
      <c r="T1670" s="6" t="str">
        <f>IF($K1670="","",IF($S1670="",0,IF(ISNUMBER(SEARCH("apport-exterieur",IFERROR(INDEX('Paramètres'!$N:$N,MATCH($D1670,'Paramètres'!$M:$M,0))&amp;"",""))),0,IF(OR(IFERROR(INDEX('Paramètres'!$I:$I,MATCH($C1670,'Paramètres'!$D:$D,0))&amp;"","")="Les deux",IFERROR(INDEX('Paramètres'!$I:$I,MATCH($C1670,'Paramètres'!$D:$D,0))&amp;"","")=IF($P1670=1,"Débit",$L1670)),-IF($P1670=1,-$K1670,$K1670),0))))</f>
        <v/>
      </c>
      <c r="U1670" s="6" t="str">
        <f>IF($K1670="","",IF(ISNUMBER(SEARCH("sortie-epargne",IFERROR(INDEX('Paramètres'!$N:$N,MATCH($D1670,'Paramètres'!$M:$M,0))&amp;"",""))),$K1670,0))</f>
        <v/>
      </c>
      <c r="V1670" s="6" t="str">
        <f>IF(AND($A1670&lt;&gt;"",$O1670=1,$L1670="Débit",N($Q1670)&gt;0,$A1670&gt;=Visualisation!$B$1,$A1670&lt;Visualisation!$D$1),MAX($V$1:V1669)+1,"")</f>
        <v/>
      </c>
    </row>
    <row r="1671" spans="1:22" x14ac:dyDescent="0.25">
      <c r="A1671" s="9"/>
      <c r="E1671" s="10"/>
      <c r="K1671" s="11" t="str">
        <f>IF($E1671="","",ROUND($E1671*IF(ISNA(MATCH($C1671,'Paramètres'!$D:$D,0)),1,IF(INDEX('Paramètres'!$J:$J,MATCH($C1671,'Paramètres'!$D:$D,0))="",1,INDEX('Paramètres'!$J:$J,MATCH($C1671,'Paramètres'!$D:$D,0)))),2))</f>
        <v/>
      </c>
      <c r="L1671" s="6" t="str">
        <f>IF($D1671="","",IF($F1671&lt;&gt;"",$F1671,IF(ISNA(MATCH($D1671,'Paramètres'!$M:$M,0)),"⚠ Type inconnu",IFERROR(INDEX('Paramètres'!$P:$P,MATCH($D1671,'Paramètres'!$M:$M,0))&amp;"",""))))</f>
        <v/>
      </c>
      <c r="M1671" s="6" t="str">
        <f>IF($D1671="","",IF(ISNA(MATCH($D1671,'Paramètres'!$M:$M,0)),"⚠ Type inconnu",IF($L1671="Crédit","",IFERROR(INDEX('Paramètres'!$O:$O,MATCH($D1671,'Paramètres'!$M:$M,0))&amp;"",""))))</f>
        <v/>
      </c>
      <c r="N1671" s="6" t="str">
        <f>IF($D1671="","",IFERROR(INDEX('Paramètres'!$Q:$Q,MATCH($D1671,'Paramètres'!$M:$M,0))&amp;"",""))</f>
        <v/>
      </c>
      <c r="O1671" s="6" t="str">
        <f>IF($A1671="","",IF(OR($J1671&lt;&gt;"x",$A1671&lt;=FinReleve),1,0))</f>
        <v/>
      </c>
      <c r="P1671" s="6" t="str">
        <f>IF($D1671="","",IF(AND($L1671="Crédit",OR(IFERROR(INDEX('Paramètres'!$O:$O,MATCH($D1671,'Paramètres'!$M:$M,0))&amp;"","")&lt;&gt;"",ISNUMBER(SEARCH("remboursement",IFERROR(INDEX('Paramètres'!$N:$N,MATCH($D1671,'Paramètres'!$M:$M,0))&amp;"",""))))),1,0))</f>
        <v/>
      </c>
      <c r="Q1671" s="6" t="str">
        <f>IF($K1671="","",IF(ISNUMBER(SEARCH("transfert-interne",IFERROR(INDEX('Paramètres'!$N:$N,MATCH($D1671,'Paramètres'!$M:$M,0))&amp;"",""))),0,IF($L1671="Débit",$K1671,IF($P1671=1,-$K1671,0))))</f>
        <v/>
      </c>
      <c r="R1671" s="6" t="str">
        <f>IF($K1671="","",IF($L1671="Crédit",$K1671,-$K1671))</f>
        <v/>
      </c>
      <c r="S1671" s="6" t="str">
        <f>IF($C1671="","",IFERROR(INDEX('Paramètres'!$H:$H,MATCH($C1671,'Paramètres'!$D:$D,0))&amp;"",""))</f>
        <v/>
      </c>
      <c r="T1671" s="6" t="str">
        <f>IF($K1671="","",IF($S1671="",0,IF(ISNUMBER(SEARCH("apport-exterieur",IFERROR(INDEX('Paramètres'!$N:$N,MATCH($D1671,'Paramètres'!$M:$M,0))&amp;"",""))),0,IF(OR(IFERROR(INDEX('Paramètres'!$I:$I,MATCH($C1671,'Paramètres'!$D:$D,0))&amp;"","")="Les deux",IFERROR(INDEX('Paramètres'!$I:$I,MATCH($C1671,'Paramètres'!$D:$D,0))&amp;"","")=IF($P1671=1,"Débit",$L1671)),-IF($P1671=1,-$K1671,$K1671),0))))</f>
        <v/>
      </c>
      <c r="U1671" s="6" t="str">
        <f>IF($K1671="","",IF(ISNUMBER(SEARCH("sortie-epargne",IFERROR(INDEX('Paramètres'!$N:$N,MATCH($D1671,'Paramètres'!$M:$M,0))&amp;"",""))),$K1671,0))</f>
        <v/>
      </c>
      <c r="V1671" s="6" t="str">
        <f>IF(AND($A1671&lt;&gt;"",$O1671=1,$L1671="Débit",N($Q1671)&gt;0,$A1671&gt;=Visualisation!$B$1,$A1671&lt;Visualisation!$D$1),MAX($V$1:V1670)+1,"")</f>
        <v/>
      </c>
    </row>
    <row r="1672" spans="1:22" x14ac:dyDescent="0.25">
      <c r="A1672" s="9"/>
      <c r="E1672" s="10"/>
      <c r="K1672" s="11" t="str">
        <f>IF($E1672="","",ROUND($E1672*IF(ISNA(MATCH($C1672,'Paramètres'!$D:$D,0)),1,IF(INDEX('Paramètres'!$J:$J,MATCH($C1672,'Paramètres'!$D:$D,0))="",1,INDEX('Paramètres'!$J:$J,MATCH($C1672,'Paramètres'!$D:$D,0)))),2))</f>
        <v/>
      </c>
      <c r="L1672" s="6" t="str">
        <f>IF($D1672="","",IF($F1672&lt;&gt;"",$F1672,IF(ISNA(MATCH($D1672,'Paramètres'!$M:$M,0)),"⚠ Type inconnu",IFERROR(INDEX('Paramètres'!$P:$P,MATCH($D1672,'Paramètres'!$M:$M,0))&amp;"",""))))</f>
        <v/>
      </c>
      <c r="M1672" s="6" t="str">
        <f>IF($D1672="","",IF(ISNA(MATCH($D1672,'Paramètres'!$M:$M,0)),"⚠ Type inconnu",IF($L1672="Crédit","",IFERROR(INDEX('Paramètres'!$O:$O,MATCH($D1672,'Paramètres'!$M:$M,0))&amp;"",""))))</f>
        <v/>
      </c>
      <c r="N1672" s="6" t="str">
        <f>IF($D1672="","",IFERROR(INDEX('Paramètres'!$Q:$Q,MATCH($D1672,'Paramètres'!$M:$M,0))&amp;"",""))</f>
        <v/>
      </c>
      <c r="O1672" s="6" t="str">
        <f>IF($A1672="","",IF(OR($J1672&lt;&gt;"x",$A1672&lt;=FinReleve),1,0))</f>
        <v/>
      </c>
      <c r="P1672" s="6" t="str">
        <f>IF($D1672="","",IF(AND($L1672="Crédit",OR(IFERROR(INDEX('Paramètres'!$O:$O,MATCH($D1672,'Paramètres'!$M:$M,0))&amp;"","")&lt;&gt;"",ISNUMBER(SEARCH("remboursement",IFERROR(INDEX('Paramètres'!$N:$N,MATCH($D1672,'Paramètres'!$M:$M,0))&amp;"",""))))),1,0))</f>
        <v/>
      </c>
      <c r="Q1672" s="6" t="str">
        <f>IF($K1672="","",IF(ISNUMBER(SEARCH("transfert-interne",IFERROR(INDEX('Paramètres'!$N:$N,MATCH($D1672,'Paramètres'!$M:$M,0))&amp;"",""))),0,IF($L1672="Débit",$K1672,IF($P1672=1,-$K1672,0))))</f>
        <v/>
      </c>
      <c r="R1672" s="6" t="str">
        <f>IF($K1672="","",IF($L1672="Crédit",$K1672,-$K1672))</f>
        <v/>
      </c>
      <c r="S1672" s="6" t="str">
        <f>IF($C1672="","",IFERROR(INDEX('Paramètres'!$H:$H,MATCH($C1672,'Paramètres'!$D:$D,0))&amp;"",""))</f>
        <v/>
      </c>
      <c r="T1672" s="6" t="str">
        <f>IF($K1672="","",IF($S1672="",0,IF(ISNUMBER(SEARCH("apport-exterieur",IFERROR(INDEX('Paramètres'!$N:$N,MATCH($D1672,'Paramètres'!$M:$M,0))&amp;"",""))),0,IF(OR(IFERROR(INDEX('Paramètres'!$I:$I,MATCH($C1672,'Paramètres'!$D:$D,0))&amp;"","")="Les deux",IFERROR(INDEX('Paramètres'!$I:$I,MATCH($C1672,'Paramètres'!$D:$D,0))&amp;"","")=IF($P1672=1,"Débit",$L1672)),-IF($P1672=1,-$K1672,$K1672),0))))</f>
        <v/>
      </c>
      <c r="U1672" s="6" t="str">
        <f>IF($K1672="","",IF(ISNUMBER(SEARCH("sortie-epargne",IFERROR(INDEX('Paramètres'!$N:$N,MATCH($D1672,'Paramètres'!$M:$M,0))&amp;"",""))),$K1672,0))</f>
        <v/>
      </c>
      <c r="V1672" s="6" t="str">
        <f>IF(AND($A1672&lt;&gt;"",$O1672=1,$L1672="Débit",N($Q1672)&gt;0,$A1672&gt;=Visualisation!$B$1,$A1672&lt;Visualisation!$D$1),MAX($V$1:V1671)+1,"")</f>
        <v/>
      </c>
    </row>
    <row r="1673" spans="1:22" x14ac:dyDescent="0.25">
      <c r="A1673" s="9"/>
      <c r="E1673" s="10"/>
      <c r="K1673" s="11" t="str">
        <f>IF($E1673="","",ROUND($E1673*IF(ISNA(MATCH($C1673,'Paramètres'!$D:$D,0)),1,IF(INDEX('Paramètres'!$J:$J,MATCH($C1673,'Paramètres'!$D:$D,0))="",1,INDEX('Paramètres'!$J:$J,MATCH($C1673,'Paramètres'!$D:$D,0)))),2))</f>
        <v/>
      </c>
      <c r="L1673" s="6" t="str">
        <f>IF($D1673="","",IF($F1673&lt;&gt;"",$F1673,IF(ISNA(MATCH($D1673,'Paramètres'!$M:$M,0)),"⚠ Type inconnu",IFERROR(INDEX('Paramètres'!$P:$P,MATCH($D1673,'Paramètres'!$M:$M,0))&amp;"",""))))</f>
        <v/>
      </c>
      <c r="M1673" s="6" t="str">
        <f>IF($D1673="","",IF(ISNA(MATCH($D1673,'Paramètres'!$M:$M,0)),"⚠ Type inconnu",IF($L1673="Crédit","",IFERROR(INDEX('Paramètres'!$O:$O,MATCH($D1673,'Paramètres'!$M:$M,0))&amp;"",""))))</f>
        <v/>
      </c>
      <c r="N1673" s="6" t="str">
        <f>IF($D1673="","",IFERROR(INDEX('Paramètres'!$Q:$Q,MATCH($D1673,'Paramètres'!$M:$M,0))&amp;"",""))</f>
        <v/>
      </c>
      <c r="O1673" s="6" t="str">
        <f>IF($A1673="","",IF(OR($J1673&lt;&gt;"x",$A1673&lt;=FinReleve),1,0))</f>
        <v/>
      </c>
      <c r="P1673" s="6" t="str">
        <f>IF($D1673="","",IF(AND($L1673="Crédit",OR(IFERROR(INDEX('Paramètres'!$O:$O,MATCH($D1673,'Paramètres'!$M:$M,0))&amp;"","")&lt;&gt;"",ISNUMBER(SEARCH("remboursement",IFERROR(INDEX('Paramètres'!$N:$N,MATCH($D1673,'Paramètres'!$M:$M,0))&amp;"",""))))),1,0))</f>
        <v/>
      </c>
      <c r="Q1673" s="6" t="str">
        <f>IF($K1673="","",IF(ISNUMBER(SEARCH("transfert-interne",IFERROR(INDEX('Paramètres'!$N:$N,MATCH($D1673,'Paramètres'!$M:$M,0))&amp;"",""))),0,IF($L1673="Débit",$K1673,IF($P1673=1,-$K1673,0))))</f>
        <v/>
      </c>
      <c r="R1673" s="6" t="str">
        <f>IF($K1673="","",IF($L1673="Crédit",$K1673,-$K1673))</f>
        <v/>
      </c>
      <c r="S1673" s="6" t="str">
        <f>IF($C1673="","",IFERROR(INDEX('Paramètres'!$H:$H,MATCH($C1673,'Paramètres'!$D:$D,0))&amp;"",""))</f>
        <v/>
      </c>
      <c r="T1673" s="6" t="str">
        <f>IF($K1673="","",IF($S1673="",0,IF(ISNUMBER(SEARCH("apport-exterieur",IFERROR(INDEX('Paramètres'!$N:$N,MATCH($D1673,'Paramètres'!$M:$M,0))&amp;"",""))),0,IF(OR(IFERROR(INDEX('Paramètres'!$I:$I,MATCH($C1673,'Paramètres'!$D:$D,0))&amp;"","")="Les deux",IFERROR(INDEX('Paramètres'!$I:$I,MATCH($C1673,'Paramètres'!$D:$D,0))&amp;"","")=IF($P1673=1,"Débit",$L1673)),-IF($P1673=1,-$K1673,$K1673),0))))</f>
        <v/>
      </c>
      <c r="U1673" s="6" t="str">
        <f>IF($K1673="","",IF(ISNUMBER(SEARCH("sortie-epargne",IFERROR(INDEX('Paramètres'!$N:$N,MATCH($D1673,'Paramètres'!$M:$M,0))&amp;"",""))),$K1673,0))</f>
        <v/>
      </c>
      <c r="V1673" s="6" t="str">
        <f>IF(AND($A1673&lt;&gt;"",$O1673=1,$L1673="Débit",N($Q1673)&gt;0,$A1673&gt;=Visualisation!$B$1,$A1673&lt;Visualisation!$D$1),MAX($V$1:V1672)+1,"")</f>
        <v/>
      </c>
    </row>
    <row r="1674" spans="1:22" x14ac:dyDescent="0.25">
      <c r="A1674" s="9"/>
      <c r="E1674" s="10"/>
      <c r="K1674" s="11" t="str">
        <f>IF($E1674="","",ROUND($E1674*IF(ISNA(MATCH($C1674,'Paramètres'!$D:$D,0)),1,IF(INDEX('Paramètres'!$J:$J,MATCH($C1674,'Paramètres'!$D:$D,0))="",1,INDEX('Paramètres'!$J:$J,MATCH($C1674,'Paramètres'!$D:$D,0)))),2))</f>
        <v/>
      </c>
      <c r="L1674" s="6" t="str">
        <f>IF($D1674="","",IF($F1674&lt;&gt;"",$F1674,IF(ISNA(MATCH($D1674,'Paramètres'!$M:$M,0)),"⚠ Type inconnu",IFERROR(INDEX('Paramètres'!$P:$P,MATCH($D1674,'Paramètres'!$M:$M,0))&amp;"",""))))</f>
        <v/>
      </c>
      <c r="M1674" s="6" t="str">
        <f>IF($D1674="","",IF(ISNA(MATCH($D1674,'Paramètres'!$M:$M,0)),"⚠ Type inconnu",IF($L1674="Crédit","",IFERROR(INDEX('Paramètres'!$O:$O,MATCH($D1674,'Paramètres'!$M:$M,0))&amp;"",""))))</f>
        <v/>
      </c>
      <c r="N1674" s="6" t="str">
        <f>IF($D1674="","",IFERROR(INDEX('Paramètres'!$Q:$Q,MATCH($D1674,'Paramètres'!$M:$M,0))&amp;"",""))</f>
        <v/>
      </c>
      <c r="O1674" s="6" t="str">
        <f>IF($A1674="","",IF(OR($J1674&lt;&gt;"x",$A1674&lt;=FinReleve),1,0))</f>
        <v/>
      </c>
      <c r="P1674" s="6" t="str">
        <f>IF($D1674="","",IF(AND($L1674="Crédit",OR(IFERROR(INDEX('Paramètres'!$O:$O,MATCH($D1674,'Paramètres'!$M:$M,0))&amp;"","")&lt;&gt;"",ISNUMBER(SEARCH("remboursement",IFERROR(INDEX('Paramètres'!$N:$N,MATCH($D1674,'Paramètres'!$M:$M,0))&amp;"",""))))),1,0))</f>
        <v/>
      </c>
      <c r="Q1674" s="6" t="str">
        <f>IF($K1674="","",IF(ISNUMBER(SEARCH("transfert-interne",IFERROR(INDEX('Paramètres'!$N:$N,MATCH($D1674,'Paramètres'!$M:$M,0))&amp;"",""))),0,IF($L1674="Débit",$K1674,IF($P1674=1,-$K1674,0))))</f>
        <v/>
      </c>
      <c r="R1674" s="6" t="str">
        <f>IF($K1674="","",IF($L1674="Crédit",$K1674,-$K1674))</f>
        <v/>
      </c>
      <c r="S1674" s="6" t="str">
        <f>IF($C1674="","",IFERROR(INDEX('Paramètres'!$H:$H,MATCH($C1674,'Paramètres'!$D:$D,0))&amp;"",""))</f>
        <v/>
      </c>
      <c r="T1674" s="6" t="str">
        <f>IF($K1674="","",IF($S1674="",0,IF(ISNUMBER(SEARCH("apport-exterieur",IFERROR(INDEX('Paramètres'!$N:$N,MATCH($D1674,'Paramètres'!$M:$M,0))&amp;"",""))),0,IF(OR(IFERROR(INDEX('Paramètres'!$I:$I,MATCH($C1674,'Paramètres'!$D:$D,0))&amp;"","")="Les deux",IFERROR(INDEX('Paramètres'!$I:$I,MATCH($C1674,'Paramètres'!$D:$D,0))&amp;"","")=IF($P1674=1,"Débit",$L1674)),-IF($P1674=1,-$K1674,$K1674),0))))</f>
        <v/>
      </c>
      <c r="U1674" s="6" t="str">
        <f>IF($K1674="","",IF(ISNUMBER(SEARCH("sortie-epargne",IFERROR(INDEX('Paramètres'!$N:$N,MATCH($D1674,'Paramètres'!$M:$M,0))&amp;"",""))),$K1674,0))</f>
        <v/>
      </c>
      <c r="V1674" s="6" t="str">
        <f>IF(AND($A1674&lt;&gt;"",$O1674=1,$L1674="Débit",N($Q1674)&gt;0,$A1674&gt;=Visualisation!$B$1,$A1674&lt;Visualisation!$D$1),MAX($V$1:V1673)+1,"")</f>
        <v/>
      </c>
    </row>
    <row r="1675" spans="1:22" x14ac:dyDescent="0.25">
      <c r="A1675" s="9"/>
      <c r="E1675" s="10"/>
      <c r="K1675" s="11" t="str">
        <f>IF($E1675="","",ROUND($E1675*IF(ISNA(MATCH($C1675,'Paramètres'!$D:$D,0)),1,IF(INDEX('Paramètres'!$J:$J,MATCH($C1675,'Paramètres'!$D:$D,0))="",1,INDEX('Paramètres'!$J:$J,MATCH($C1675,'Paramètres'!$D:$D,0)))),2))</f>
        <v/>
      </c>
      <c r="L1675" s="6" t="str">
        <f>IF($D1675="","",IF($F1675&lt;&gt;"",$F1675,IF(ISNA(MATCH($D1675,'Paramètres'!$M:$M,0)),"⚠ Type inconnu",IFERROR(INDEX('Paramètres'!$P:$P,MATCH($D1675,'Paramètres'!$M:$M,0))&amp;"",""))))</f>
        <v/>
      </c>
      <c r="M1675" s="6" t="str">
        <f>IF($D1675="","",IF(ISNA(MATCH($D1675,'Paramètres'!$M:$M,0)),"⚠ Type inconnu",IF($L1675="Crédit","",IFERROR(INDEX('Paramètres'!$O:$O,MATCH($D1675,'Paramètres'!$M:$M,0))&amp;"",""))))</f>
        <v/>
      </c>
      <c r="N1675" s="6" t="str">
        <f>IF($D1675="","",IFERROR(INDEX('Paramètres'!$Q:$Q,MATCH($D1675,'Paramètres'!$M:$M,0))&amp;"",""))</f>
        <v/>
      </c>
      <c r="O1675" s="6" t="str">
        <f>IF($A1675="","",IF(OR($J1675&lt;&gt;"x",$A1675&lt;=FinReleve),1,0))</f>
        <v/>
      </c>
      <c r="P1675" s="6" t="str">
        <f>IF($D1675="","",IF(AND($L1675="Crédit",OR(IFERROR(INDEX('Paramètres'!$O:$O,MATCH($D1675,'Paramètres'!$M:$M,0))&amp;"","")&lt;&gt;"",ISNUMBER(SEARCH("remboursement",IFERROR(INDEX('Paramètres'!$N:$N,MATCH($D1675,'Paramètres'!$M:$M,0))&amp;"",""))))),1,0))</f>
        <v/>
      </c>
      <c r="Q1675" s="6" t="str">
        <f>IF($K1675="","",IF(ISNUMBER(SEARCH("transfert-interne",IFERROR(INDEX('Paramètres'!$N:$N,MATCH($D1675,'Paramètres'!$M:$M,0))&amp;"",""))),0,IF($L1675="Débit",$K1675,IF($P1675=1,-$K1675,0))))</f>
        <v/>
      </c>
      <c r="R1675" s="6" t="str">
        <f>IF($K1675="","",IF($L1675="Crédit",$K1675,-$K1675))</f>
        <v/>
      </c>
      <c r="S1675" s="6" t="str">
        <f>IF($C1675="","",IFERROR(INDEX('Paramètres'!$H:$H,MATCH($C1675,'Paramètres'!$D:$D,0))&amp;"",""))</f>
        <v/>
      </c>
      <c r="T1675" s="6" t="str">
        <f>IF($K1675="","",IF($S1675="",0,IF(ISNUMBER(SEARCH("apport-exterieur",IFERROR(INDEX('Paramètres'!$N:$N,MATCH($D1675,'Paramètres'!$M:$M,0))&amp;"",""))),0,IF(OR(IFERROR(INDEX('Paramètres'!$I:$I,MATCH($C1675,'Paramètres'!$D:$D,0))&amp;"","")="Les deux",IFERROR(INDEX('Paramètres'!$I:$I,MATCH($C1675,'Paramètres'!$D:$D,0))&amp;"","")=IF($P1675=1,"Débit",$L1675)),-IF($P1675=1,-$K1675,$K1675),0))))</f>
        <v/>
      </c>
      <c r="U1675" s="6" t="str">
        <f>IF($K1675="","",IF(ISNUMBER(SEARCH("sortie-epargne",IFERROR(INDEX('Paramètres'!$N:$N,MATCH($D1675,'Paramètres'!$M:$M,0))&amp;"",""))),$K1675,0))</f>
        <v/>
      </c>
      <c r="V1675" s="6" t="str">
        <f>IF(AND($A1675&lt;&gt;"",$O1675=1,$L1675="Débit",N($Q1675)&gt;0,$A1675&gt;=Visualisation!$B$1,$A1675&lt;Visualisation!$D$1),MAX($V$1:V1674)+1,"")</f>
        <v/>
      </c>
    </row>
    <row r="1676" spans="1:22" x14ac:dyDescent="0.25">
      <c r="A1676" s="9"/>
      <c r="E1676" s="10"/>
      <c r="K1676" s="11" t="str">
        <f>IF($E1676="","",ROUND($E1676*IF(ISNA(MATCH($C1676,'Paramètres'!$D:$D,0)),1,IF(INDEX('Paramètres'!$J:$J,MATCH($C1676,'Paramètres'!$D:$D,0))="",1,INDEX('Paramètres'!$J:$J,MATCH($C1676,'Paramètres'!$D:$D,0)))),2))</f>
        <v/>
      </c>
      <c r="L1676" s="6" t="str">
        <f>IF($D1676="","",IF($F1676&lt;&gt;"",$F1676,IF(ISNA(MATCH($D1676,'Paramètres'!$M:$M,0)),"⚠ Type inconnu",IFERROR(INDEX('Paramètres'!$P:$P,MATCH($D1676,'Paramètres'!$M:$M,0))&amp;"",""))))</f>
        <v/>
      </c>
      <c r="M1676" s="6" t="str">
        <f>IF($D1676="","",IF(ISNA(MATCH($D1676,'Paramètres'!$M:$M,0)),"⚠ Type inconnu",IF($L1676="Crédit","",IFERROR(INDEX('Paramètres'!$O:$O,MATCH($D1676,'Paramètres'!$M:$M,0))&amp;"",""))))</f>
        <v/>
      </c>
      <c r="N1676" s="6" t="str">
        <f>IF($D1676="","",IFERROR(INDEX('Paramètres'!$Q:$Q,MATCH($D1676,'Paramètres'!$M:$M,0))&amp;"",""))</f>
        <v/>
      </c>
      <c r="O1676" s="6" t="str">
        <f>IF($A1676="","",IF(OR($J1676&lt;&gt;"x",$A1676&lt;=FinReleve),1,0))</f>
        <v/>
      </c>
      <c r="P1676" s="6" t="str">
        <f>IF($D1676="","",IF(AND($L1676="Crédit",OR(IFERROR(INDEX('Paramètres'!$O:$O,MATCH($D1676,'Paramètres'!$M:$M,0))&amp;"","")&lt;&gt;"",ISNUMBER(SEARCH("remboursement",IFERROR(INDEX('Paramètres'!$N:$N,MATCH($D1676,'Paramètres'!$M:$M,0))&amp;"",""))))),1,0))</f>
        <v/>
      </c>
      <c r="Q1676" s="6" t="str">
        <f>IF($K1676="","",IF(ISNUMBER(SEARCH("transfert-interne",IFERROR(INDEX('Paramètres'!$N:$N,MATCH($D1676,'Paramètres'!$M:$M,0))&amp;"",""))),0,IF($L1676="Débit",$K1676,IF($P1676=1,-$K1676,0))))</f>
        <v/>
      </c>
      <c r="R1676" s="6" t="str">
        <f>IF($K1676="","",IF($L1676="Crédit",$K1676,-$K1676))</f>
        <v/>
      </c>
      <c r="S1676" s="6" t="str">
        <f>IF($C1676="","",IFERROR(INDEX('Paramètres'!$H:$H,MATCH($C1676,'Paramètres'!$D:$D,0))&amp;"",""))</f>
        <v/>
      </c>
      <c r="T1676" s="6" t="str">
        <f>IF($K1676="","",IF($S1676="",0,IF(ISNUMBER(SEARCH("apport-exterieur",IFERROR(INDEX('Paramètres'!$N:$N,MATCH($D1676,'Paramètres'!$M:$M,0))&amp;"",""))),0,IF(OR(IFERROR(INDEX('Paramètres'!$I:$I,MATCH($C1676,'Paramètres'!$D:$D,0))&amp;"","")="Les deux",IFERROR(INDEX('Paramètres'!$I:$I,MATCH($C1676,'Paramètres'!$D:$D,0))&amp;"","")=IF($P1676=1,"Débit",$L1676)),-IF($P1676=1,-$K1676,$K1676),0))))</f>
        <v/>
      </c>
      <c r="U1676" s="6" t="str">
        <f>IF($K1676="","",IF(ISNUMBER(SEARCH("sortie-epargne",IFERROR(INDEX('Paramètres'!$N:$N,MATCH($D1676,'Paramètres'!$M:$M,0))&amp;"",""))),$K1676,0))</f>
        <v/>
      </c>
      <c r="V1676" s="6" t="str">
        <f>IF(AND($A1676&lt;&gt;"",$O1676=1,$L1676="Débit",N($Q1676)&gt;0,$A1676&gt;=Visualisation!$B$1,$A1676&lt;Visualisation!$D$1),MAX($V$1:V1675)+1,"")</f>
        <v/>
      </c>
    </row>
    <row r="1677" spans="1:22" x14ac:dyDescent="0.25">
      <c r="A1677" s="9"/>
      <c r="E1677" s="10"/>
      <c r="K1677" s="11" t="str">
        <f>IF($E1677="","",ROUND($E1677*IF(ISNA(MATCH($C1677,'Paramètres'!$D:$D,0)),1,IF(INDEX('Paramètres'!$J:$J,MATCH($C1677,'Paramètres'!$D:$D,0))="",1,INDEX('Paramètres'!$J:$J,MATCH($C1677,'Paramètres'!$D:$D,0)))),2))</f>
        <v/>
      </c>
      <c r="L1677" s="6" t="str">
        <f>IF($D1677="","",IF($F1677&lt;&gt;"",$F1677,IF(ISNA(MATCH($D1677,'Paramètres'!$M:$M,0)),"⚠ Type inconnu",IFERROR(INDEX('Paramètres'!$P:$P,MATCH($D1677,'Paramètres'!$M:$M,0))&amp;"",""))))</f>
        <v/>
      </c>
      <c r="M1677" s="6" t="str">
        <f>IF($D1677="","",IF(ISNA(MATCH($D1677,'Paramètres'!$M:$M,0)),"⚠ Type inconnu",IF($L1677="Crédit","",IFERROR(INDEX('Paramètres'!$O:$O,MATCH($D1677,'Paramètres'!$M:$M,0))&amp;"",""))))</f>
        <v/>
      </c>
      <c r="N1677" s="6" t="str">
        <f>IF($D1677="","",IFERROR(INDEX('Paramètres'!$Q:$Q,MATCH($D1677,'Paramètres'!$M:$M,0))&amp;"",""))</f>
        <v/>
      </c>
      <c r="O1677" s="6" t="str">
        <f>IF($A1677="","",IF(OR($J1677&lt;&gt;"x",$A1677&lt;=FinReleve),1,0))</f>
        <v/>
      </c>
      <c r="P1677" s="6" t="str">
        <f>IF($D1677="","",IF(AND($L1677="Crédit",OR(IFERROR(INDEX('Paramètres'!$O:$O,MATCH($D1677,'Paramètres'!$M:$M,0))&amp;"","")&lt;&gt;"",ISNUMBER(SEARCH("remboursement",IFERROR(INDEX('Paramètres'!$N:$N,MATCH($D1677,'Paramètres'!$M:$M,0))&amp;"",""))))),1,0))</f>
        <v/>
      </c>
      <c r="Q1677" s="6" t="str">
        <f>IF($K1677="","",IF(ISNUMBER(SEARCH("transfert-interne",IFERROR(INDEX('Paramètres'!$N:$N,MATCH($D1677,'Paramètres'!$M:$M,0))&amp;"",""))),0,IF($L1677="Débit",$K1677,IF($P1677=1,-$K1677,0))))</f>
        <v/>
      </c>
      <c r="R1677" s="6" t="str">
        <f>IF($K1677="","",IF($L1677="Crédit",$K1677,-$K1677))</f>
        <v/>
      </c>
      <c r="S1677" s="6" t="str">
        <f>IF($C1677="","",IFERROR(INDEX('Paramètres'!$H:$H,MATCH($C1677,'Paramètres'!$D:$D,0))&amp;"",""))</f>
        <v/>
      </c>
      <c r="T1677" s="6" t="str">
        <f>IF($K1677="","",IF($S1677="",0,IF(ISNUMBER(SEARCH("apport-exterieur",IFERROR(INDEX('Paramètres'!$N:$N,MATCH($D1677,'Paramètres'!$M:$M,0))&amp;"",""))),0,IF(OR(IFERROR(INDEX('Paramètres'!$I:$I,MATCH($C1677,'Paramètres'!$D:$D,0))&amp;"","")="Les deux",IFERROR(INDEX('Paramètres'!$I:$I,MATCH($C1677,'Paramètres'!$D:$D,0))&amp;"","")=IF($P1677=1,"Débit",$L1677)),-IF($P1677=1,-$K1677,$K1677),0))))</f>
        <v/>
      </c>
      <c r="U1677" s="6" t="str">
        <f>IF($K1677="","",IF(ISNUMBER(SEARCH("sortie-epargne",IFERROR(INDEX('Paramètres'!$N:$N,MATCH($D1677,'Paramètres'!$M:$M,0))&amp;"",""))),$K1677,0))</f>
        <v/>
      </c>
      <c r="V1677" s="6" t="str">
        <f>IF(AND($A1677&lt;&gt;"",$O1677=1,$L1677="Débit",N($Q1677)&gt;0,$A1677&gt;=Visualisation!$B$1,$A1677&lt;Visualisation!$D$1),MAX($V$1:V1676)+1,"")</f>
        <v/>
      </c>
    </row>
    <row r="1678" spans="1:22" x14ac:dyDescent="0.25">
      <c r="A1678" s="9"/>
      <c r="E1678" s="10"/>
      <c r="K1678" s="11" t="str">
        <f>IF($E1678="","",ROUND($E1678*IF(ISNA(MATCH($C1678,'Paramètres'!$D:$D,0)),1,IF(INDEX('Paramètres'!$J:$J,MATCH($C1678,'Paramètres'!$D:$D,0))="",1,INDEX('Paramètres'!$J:$J,MATCH($C1678,'Paramètres'!$D:$D,0)))),2))</f>
        <v/>
      </c>
      <c r="L1678" s="6" t="str">
        <f>IF($D1678="","",IF($F1678&lt;&gt;"",$F1678,IF(ISNA(MATCH($D1678,'Paramètres'!$M:$M,0)),"⚠ Type inconnu",IFERROR(INDEX('Paramètres'!$P:$P,MATCH($D1678,'Paramètres'!$M:$M,0))&amp;"",""))))</f>
        <v/>
      </c>
      <c r="M1678" s="6" t="str">
        <f>IF($D1678="","",IF(ISNA(MATCH($D1678,'Paramètres'!$M:$M,0)),"⚠ Type inconnu",IF($L1678="Crédit","",IFERROR(INDEX('Paramètres'!$O:$O,MATCH($D1678,'Paramètres'!$M:$M,0))&amp;"",""))))</f>
        <v/>
      </c>
      <c r="N1678" s="6" t="str">
        <f>IF($D1678="","",IFERROR(INDEX('Paramètres'!$Q:$Q,MATCH($D1678,'Paramètres'!$M:$M,0))&amp;"",""))</f>
        <v/>
      </c>
      <c r="O1678" s="6" t="str">
        <f>IF($A1678="","",IF(OR($J1678&lt;&gt;"x",$A1678&lt;=FinReleve),1,0))</f>
        <v/>
      </c>
      <c r="P1678" s="6" t="str">
        <f>IF($D1678="","",IF(AND($L1678="Crédit",OR(IFERROR(INDEX('Paramètres'!$O:$O,MATCH($D1678,'Paramètres'!$M:$M,0))&amp;"","")&lt;&gt;"",ISNUMBER(SEARCH("remboursement",IFERROR(INDEX('Paramètres'!$N:$N,MATCH($D1678,'Paramètres'!$M:$M,0))&amp;"",""))))),1,0))</f>
        <v/>
      </c>
      <c r="Q1678" s="6" t="str">
        <f>IF($K1678="","",IF(ISNUMBER(SEARCH("transfert-interne",IFERROR(INDEX('Paramètres'!$N:$N,MATCH($D1678,'Paramètres'!$M:$M,0))&amp;"",""))),0,IF($L1678="Débit",$K1678,IF($P1678=1,-$K1678,0))))</f>
        <v/>
      </c>
      <c r="R1678" s="6" t="str">
        <f>IF($K1678="","",IF($L1678="Crédit",$K1678,-$K1678))</f>
        <v/>
      </c>
      <c r="S1678" s="6" t="str">
        <f>IF($C1678="","",IFERROR(INDEX('Paramètres'!$H:$H,MATCH($C1678,'Paramètres'!$D:$D,0))&amp;"",""))</f>
        <v/>
      </c>
      <c r="T1678" s="6" t="str">
        <f>IF($K1678="","",IF($S1678="",0,IF(ISNUMBER(SEARCH("apport-exterieur",IFERROR(INDEX('Paramètres'!$N:$N,MATCH($D1678,'Paramètres'!$M:$M,0))&amp;"",""))),0,IF(OR(IFERROR(INDEX('Paramètres'!$I:$I,MATCH($C1678,'Paramètres'!$D:$D,0))&amp;"","")="Les deux",IFERROR(INDEX('Paramètres'!$I:$I,MATCH($C1678,'Paramètres'!$D:$D,0))&amp;"","")=IF($P1678=1,"Débit",$L1678)),-IF($P1678=1,-$K1678,$K1678),0))))</f>
        <v/>
      </c>
      <c r="U1678" s="6" t="str">
        <f>IF($K1678="","",IF(ISNUMBER(SEARCH("sortie-epargne",IFERROR(INDEX('Paramètres'!$N:$N,MATCH($D1678,'Paramètres'!$M:$M,0))&amp;"",""))),$K1678,0))</f>
        <v/>
      </c>
      <c r="V1678" s="6" t="str">
        <f>IF(AND($A1678&lt;&gt;"",$O1678=1,$L1678="Débit",N($Q1678)&gt;0,$A1678&gt;=Visualisation!$B$1,$A1678&lt;Visualisation!$D$1),MAX($V$1:V1677)+1,"")</f>
        <v/>
      </c>
    </row>
    <row r="1679" spans="1:22" x14ac:dyDescent="0.25">
      <c r="A1679" s="9"/>
      <c r="E1679" s="10"/>
      <c r="K1679" s="11" t="str">
        <f>IF($E1679="","",ROUND($E1679*IF(ISNA(MATCH($C1679,'Paramètres'!$D:$D,0)),1,IF(INDEX('Paramètres'!$J:$J,MATCH($C1679,'Paramètres'!$D:$D,0))="",1,INDEX('Paramètres'!$J:$J,MATCH($C1679,'Paramètres'!$D:$D,0)))),2))</f>
        <v/>
      </c>
      <c r="L1679" s="6" t="str">
        <f>IF($D1679="","",IF($F1679&lt;&gt;"",$F1679,IF(ISNA(MATCH($D1679,'Paramètres'!$M:$M,0)),"⚠ Type inconnu",IFERROR(INDEX('Paramètres'!$P:$P,MATCH($D1679,'Paramètres'!$M:$M,0))&amp;"",""))))</f>
        <v/>
      </c>
      <c r="M1679" s="6" t="str">
        <f>IF($D1679="","",IF(ISNA(MATCH($D1679,'Paramètres'!$M:$M,0)),"⚠ Type inconnu",IF($L1679="Crédit","",IFERROR(INDEX('Paramètres'!$O:$O,MATCH($D1679,'Paramètres'!$M:$M,0))&amp;"",""))))</f>
        <v/>
      </c>
      <c r="N1679" s="6" t="str">
        <f>IF($D1679="","",IFERROR(INDEX('Paramètres'!$Q:$Q,MATCH($D1679,'Paramètres'!$M:$M,0))&amp;"",""))</f>
        <v/>
      </c>
      <c r="O1679" s="6" t="str">
        <f>IF($A1679="","",IF(OR($J1679&lt;&gt;"x",$A1679&lt;=FinReleve),1,0))</f>
        <v/>
      </c>
      <c r="P1679" s="6" t="str">
        <f>IF($D1679="","",IF(AND($L1679="Crédit",OR(IFERROR(INDEX('Paramètres'!$O:$O,MATCH($D1679,'Paramètres'!$M:$M,0))&amp;"","")&lt;&gt;"",ISNUMBER(SEARCH("remboursement",IFERROR(INDEX('Paramètres'!$N:$N,MATCH($D1679,'Paramètres'!$M:$M,0))&amp;"",""))))),1,0))</f>
        <v/>
      </c>
      <c r="Q1679" s="6" t="str">
        <f>IF($K1679="","",IF(ISNUMBER(SEARCH("transfert-interne",IFERROR(INDEX('Paramètres'!$N:$N,MATCH($D1679,'Paramètres'!$M:$M,0))&amp;"",""))),0,IF($L1679="Débit",$K1679,IF($P1679=1,-$K1679,0))))</f>
        <v/>
      </c>
      <c r="R1679" s="6" t="str">
        <f>IF($K1679="","",IF($L1679="Crédit",$K1679,-$K1679))</f>
        <v/>
      </c>
      <c r="S1679" s="6" t="str">
        <f>IF($C1679="","",IFERROR(INDEX('Paramètres'!$H:$H,MATCH($C1679,'Paramètres'!$D:$D,0))&amp;"",""))</f>
        <v/>
      </c>
      <c r="T1679" s="6" t="str">
        <f>IF($K1679="","",IF($S1679="",0,IF(ISNUMBER(SEARCH("apport-exterieur",IFERROR(INDEX('Paramètres'!$N:$N,MATCH($D1679,'Paramètres'!$M:$M,0))&amp;"",""))),0,IF(OR(IFERROR(INDEX('Paramètres'!$I:$I,MATCH($C1679,'Paramètres'!$D:$D,0))&amp;"","")="Les deux",IFERROR(INDEX('Paramètres'!$I:$I,MATCH($C1679,'Paramètres'!$D:$D,0))&amp;"","")=IF($P1679=1,"Débit",$L1679)),-IF($P1679=1,-$K1679,$K1679),0))))</f>
        <v/>
      </c>
      <c r="U1679" s="6" t="str">
        <f>IF($K1679="","",IF(ISNUMBER(SEARCH("sortie-epargne",IFERROR(INDEX('Paramètres'!$N:$N,MATCH($D1679,'Paramètres'!$M:$M,0))&amp;"",""))),$K1679,0))</f>
        <v/>
      </c>
      <c r="V1679" s="6" t="str">
        <f>IF(AND($A1679&lt;&gt;"",$O1679=1,$L1679="Débit",N($Q1679)&gt;0,$A1679&gt;=Visualisation!$B$1,$A1679&lt;Visualisation!$D$1),MAX($V$1:V1678)+1,"")</f>
        <v/>
      </c>
    </row>
    <row r="1680" spans="1:22" x14ac:dyDescent="0.25">
      <c r="A1680" s="9"/>
      <c r="E1680" s="10"/>
      <c r="K1680" s="11" t="str">
        <f>IF($E1680="","",ROUND($E1680*IF(ISNA(MATCH($C1680,'Paramètres'!$D:$D,0)),1,IF(INDEX('Paramètres'!$J:$J,MATCH($C1680,'Paramètres'!$D:$D,0))="",1,INDEX('Paramètres'!$J:$J,MATCH($C1680,'Paramètres'!$D:$D,0)))),2))</f>
        <v/>
      </c>
      <c r="L1680" s="6" t="str">
        <f>IF($D1680="","",IF($F1680&lt;&gt;"",$F1680,IF(ISNA(MATCH($D1680,'Paramètres'!$M:$M,0)),"⚠ Type inconnu",IFERROR(INDEX('Paramètres'!$P:$P,MATCH($D1680,'Paramètres'!$M:$M,0))&amp;"",""))))</f>
        <v/>
      </c>
      <c r="M1680" s="6" t="str">
        <f>IF($D1680="","",IF(ISNA(MATCH($D1680,'Paramètres'!$M:$M,0)),"⚠ Type inconnu",IF($L1680="Crédit","",IFERROR(INDEX('Paramètres'!$O:$O,MATCH($D1680,'Paramètres'!$M:$M,0))&amp;"",""))))</f>
        <v/>
      </c>
      <c r="N1680" s="6" t="str">
        <f>IF($D1680="","",IFERROR(INDEX('Paramètres'!$Q:$Q,MATCH($D1680,'Paramètres'!$M:$M,0))&amp;"",""))</f>
        <v/>
      </c>
      <c r="O1680" s="6" t="str">
        <f>IF($A1680="","",IF(OR($J1680&lt;&gt;"x",$A1680&lt;=FinReleve),1,0))</f>
        <v/>
      </c>
      <c r="P1680" s="6" t="str">
        <f>IF($D1680="","",IF(AND($L1680="Crédit",OR(IFERROR(INDEX('Paramètres'!$O:$O,MATCH($D1680,'Paramètres'!$M:$M,0))&amp;"","")&lt;&gt;"",ISNUMBER(SEARCH("remboursement",IFERROR(INDEX('Paramètres'!$N:$N,MATCH($D1680,'Paramètres'!$M:$M,0))&amp;"",""))))),1,0))</f>
        <v/>
      </c>
      <c r="Q1680" s="6" t="str">
        <f>IF($K1680="","",IF(ISNUMBER(SEARCH("transfert-interne",IFERROR(INDEX('Paramètres'!$N:$N,MATCH($D1680,'Paramètres'!$M:$M,0))&amp;"",""))),0,IF($L1680="Débit",$K1680,IF($P1680=1,-$K1680,0))))</f>
        <v/>
      </c>
      <c r="R1680" s="6" t="str">
        <f>IF($K1680="","",IF($L1680="Crédit",$K1680,-$K1680))</f>
        <v/>
      </c>
      <c r="S1680" s="6" t="str">
        <f>IF($C1680="","",IFERROR(INDEX('Paramètres'!$H:$H,MATCH($C1680,'Paramètres'!$D:$D,0))&amp;"",""))</f>
        <v/>
      </c>
      <c r="T1680" s="6" t="str">
        <f>IF($K1680="","",IF($S1680="",0,IF(ISNUMBER(SEARCH("apport-exterieur",IFERROR(INDEX('Paramètres'!$N:$N,MATCH($D1680,'Paramètres'!$M:$M,0))&amp;"",""))),0,IF(OR(IFERROR(INDEX('Paramètres'!$I:$I,MATCH($C1680,'Paramètres'!$D:$D,0))&amp;"","")="Les deux",IFERROR(INDEX('Paramètres'!$I:$I,MATCH($C1680,'Paramètres'!$D:$D,0))&amp;"","")=IF($P1680=1,"Débit",$L1680)),-IF($P1680=1,-$K1680,$K1680),0))))</f>
        <v/>
      </c>
      <c r="U1680" s="6" t="str">
        <f>IF($K1680="","",IF(ISNUMBER(SEARCH("sortie-epargne",IFERROR(INDEX('Paramètres'!$N:$N,MATCH($D1680,'Paramètres'!$M:$M,0))&amp;"",""))),$K1680,0))</f>
        <v/>
      </c>
      <c r="V1680" s="6" t="str">
        <f>IF(AND($A1680&lt;&gt;"",$O1680=1,$L1680="Débit",N($Q1680)&gt;0,$A1680&gt;=Visualisation!$B$1,$A1680&lt;Visualisation!$D$1),MAX($V$1:V1679)+1,"")</f>
        <v/>
      </c>
    </row>
    <row r="1681" spans="1:22" x14ac:dyDescent="0.25">
      <c r="A1681" s="9"/>
      <c r="E1681" s="10"/>
      <c r="K1681" s="11" t="str">
        <f>IF($E1681="","",ROUND($E1681*IF(ISNA(MATCH($C1681,'Paramètres'!$D:$D,0)),1,IF(INDEX('Paramètres'!$J:$J,MATCH($C1681,'Paramètres'!$D:$D,0))="",1,INDEX('Paramètres'!$J:$J,MATCH($C1681,'Paramètres'!$D:$D,0)))),2))</f>
        <v/>
      </c>
      <c r="L1681" s="6" t="str">
        <f>IF($D1681="","",IF($F1681&lt;&gt;"",$F1681,IF(ISNA(MATCH($D1681,'Paramètres'!$M:$M,0)),"⚠ Type inconnu",IFERROR(INDEX('Paramètres'!$P:$P,MATCH($D1681,'Paramètres'!$M:$M,0))&amp;"",""))))</f>
        <v/>
      </c>
      <c r="M1681" s="6" t="str">
        <f>IF($D1681="","",IF(ISNA(MATCH($D1681,'Paramètres'!$M:$M,0)),"⚠ Type inconnu",IF($L1681="Crédit","",IFERROR(INDEX('Paramètres'!$O:$O,MATCH($D1681,'Paramètres'!$M:$M,0))&amp;"",""))))</f>
        <v/>
      </c>
      <c r="N1681" s="6" t="str">
        <f>IF($D1681="","",IFERROR(INDEX('Paramètres'!$Q:$Q,MATCH($D1681,'Paramètres'!$M:$M,0))&amp;"",""))</f>
        <v/>
      </c>
      <c r="O1681" s="6" t="str">
        <f>IF($A1681="","",IF(OR($J1681&lt;&gt;"x",$A1681&lt;=FinReleve),1,0))</f>
        <v/>
      </c>
      <c r="P1681" s="6" t="str">
        <f>IF($D1681="","",IF(AND($L1681="Crédit",OR(IFERROR(INDEX('Paramètres'!$O:$O,MATCH($D1681,'Paramètres'!$M:$M,0))&amp;"","")&lt;&gt;"",ISNUMBER(SEARCH("remboursement",IFERROR(INDEX('Paramètres'!$N:$N,MATCH($D1681,'Paramètres'!$M:$M,0))&amp;"",""))))),1,0))</f>
        <v/>
      </c>
      <c r="Q1681" s="6" t="str">
        <f>IF($K1681="","",IF(ISNUMBER(SEARCH("transfert-interne",IFERROR(INDEX('Paramètres'!$N:$N,MATCH($D1681,'Paramètres'!$M:$M,0))&amp;"",""))),0,IF($L1681="Débit",$K1681,IF($P1681=1,-$K1681,0))))</f>
        <v/>
      </c>
      <c r="R1681" s="6" t="str">
        <f>IF($K1681="","",IF($L1681="Crédit",$K1681,-$K1681))</f>
        <v/>
      </c>
      <c r="S1681" s="6" t="str">
        <f>IF($C1681="","",IFERROR(INDEX('Paramètres'!$H:$H,MATCH($C1681,'Paramètres'!$D:$D,0))&amp;"",""))</f>
        <v/>
      </c>
      <c r="T1681" s="6" t="str">
        <f>IF($K1681="","",IF($S1681="",0,IF(ISNUMBER(SEARCH("apport-exterieur",IFERROR(INDEX('Paramètres'!$N:$N,MATCH($D1681,'Paramètres'!$M:$M,0))&amp;"",""))),0,IF(OR(IFERROR(INDEX('Paramètres'!$I:$I,MATCH($C1681,'Paramètres'!$D:$D,0))&amp;"","")="Les deux",IFERROR(INDEX('Paramètres'!$I:$I,MATCH($C1681,'Paramètres'!$D:$D,0))&amp;"","")=IF($P1681=1,"Débit",$L1681)),-IF($P1681=1,-$K1681,$K1681),0))))</f>
        <v/>
      </c>
      <c r="U1681" s="6" t="str">
        <f>IF($K1681="","",IF(ISNUMBER(SEARCH("sortie-epargne",IFERROR(INDEX('Paramètres'!$N:$N,MATCH($D1681,'Paramètres'!$M:$M,0))&amp;"",""))),$K1681,0))</f>
        <v/>
      </c>
      <c r="V1681" s="6" t="str">
        <f>IF(AND($A1681&lt;&gt;"",$O1681=1,$L1681="Débit",N($Q1681)&gt;0,$A1681&gt;=Visualisation!$B$1,$A1681&lt;Visualisation!$D$1),MAX($V$1:V1680)+1,"")</f>
        <v/>
      </c>
    </row>
    <row r="1682" spans="1:22" x14ac:dyDescent="0.25">
      <c r="A1682" s="9"/>
      <c r="E1682" s="10"/>
      <c r="K1682" s="11" t="str">
        <f>IF($E1682="","",ROUND($E1682*IF(ISNA(MATCH($C1682,'Paramètres'!$D:$D,0)),1,IF(INDEX('Paramètres'!$J:$J,MATCH($C1682,'Paramètres'!$D:$D,0))="",1,INDEX('Paramètres'!$J:$J,MATCH($C1682,'Paramètres'!$D:$D,0)))),2))</f>
        <v/>
      </c>
      <c r="L1682" s="6" t="str">
        <f>IF($D1682="","",IF($F1682&lt;&gt;"",$F1682,IF(ISNA(MATCH($D1682,'Paramètres'!$M:$M,0)),"⚠ Type inconnu",IFERROR(INDEX('Paramètres'!$P:$P,MATCH($D1682,'Paramètres'!$M:$M,0))&amp;"",""))))</f>
        <v/>
      </c>
      <c r="M1682" s="6" t="str">
        <f>IF($D1682="","",IF(ISNA(MATCH($D1682,'Paramètres'!$M:$M,0)),"⚠ Type inconnu",IF($L1682="Crédit","",IFERROR(INDEX('Paramètres'!$O:$O,MATCH($D1682,'Paramètres'!$M:$M,0))&amp;"",""))))</f>
        <v/>
      </c>
      <c r="N1682" s="6" t="str">
        <f>IF($D1682="","",IFERROR(INDEX('Paramètres'!$Q:$Q,MATCH($D1682,'Paramètres'!$M:$M,0))&amp;"",""))</f>
        <v/>
      </c>
      <c r="O1682" s="6" t="str">
        <f>IF($A1682="","",IF(OR($J1682&lt;&gt;"x",$A1682&lt;=FinReleve),1,0))</f>
        <v/>
      </c>
      <c r="P1682" s="6" t="str">
        <f>IF($D1682="","",IF(AND($L1682="Crédit",OR(IFERROR(INDEX('Paramètres'!$O:$O,MATCH($D1682,'Paramètres'!$M:$M,0))&amp;"","")&lt;&gt;"",ISNUMBER(SEARCH("remboursement",IFERROR(INDEX('Paramètres'!$N:$N,MATCH($D1682,'Paramètres'!$M:$M,0))&amp;"",""))))),1,0))</f>
        <v/>
      </c>
      <c r="Q1682" s="6" t="str">
        <f>IF($K1682="","",IF(ISNUMBER(SEARCH("transfert-interne",IFERROR(INDEX('Paramètres'!$N:$N,MATCH($D1682,'Paramètres'!$M:$M,0))&amp;"",""))),0,IF($L1682="Débit",$K1682,IF($P1682=1,-$K1682,0))))</f>
        <v/>
      </c>
      <c r="R1682" s="6" t="str">
        <f>IF($K1682="","",IF($L1682="Crédit",$K1682,-$K1682))</f>
        <v/>
      </c>
      <c r="S1682" s="6" t="str">
        <f>IF($C1682="","",IFERROR(INDEX('Paramètres'!$H:$H,MATCH($C1682,'Paramètres'!$D:$D,0))&amp;"",""))</f>
        <v/>
      </c>
      <c r="T1682" s="6" t="str">
        <f>IF($K1682="","",IF($S1682="",0,IF(ISNUMBER(SEARCH("apport-exterieur",IFERROR(INDEX('Paramètres'!$N:$N,MATCH($D1682,'Paramètres'!$M:$M,0))&amp;"",""))),0,IF(OR(IFERROR(INDEX('Paramètres'!$I:$I,MATCH($C1682,'Paramètres'!$D:$D,0))&amp;"","")="Les deux",IFERROR(INDEX('Paramètres'!$I:$I,MATCH($C1682,'Paramètres'!$D:$D,0))&amp;"","")=IF($P1682=1,"Débit",$L1682)),-IF($P1682=1,-$K1682,$K1682),0))))</f>
        <v/>
      </c>
      <c r="U1682" s="6" t="str">
        <f>IF($K1682="","",IF(ISNUMBER(SEARCH("sortie-epargne",IFERROR(INDEX('Paramètres'!$N:$N,MATCH($D1682,'Paramètres'!$M:$M,0))&amp;"",""))),$K1682,0))</f>
        <v/>
      </c>
      <c r="V1682" s="6" t="str">
        <f>IF(AND($A1682&lt;&gt;"",$O1682=1,$L1682="Débit",N($Q1682)&gt;0,$A1682&gt;=Visualisation!$B$1,$A1682&lt;Visualisation!$D$1),MAX($V$1:V1681)+1,"")</f>
        <v/>
      </c>
    </row>
    <row r="1683" spans="1:22" x14ac:dyDescent="0.25">
      <c r="A1683" s="9"/>
      <c r="E1683" s="10"/>
      <c r="K1683" s="11" t="str">
        <f>IF($E1683="","",ROUND($E1683*IF(ISNA(MATCH($C1683,'Paramètres'!$D:$D,0)),1,IF(INDEX('Paramètres'!$J:$J,MATCH($C1683,'Paramètres'!$D:$D,0))="",1,INDEX('Paramètres'!$J:$J,MATCH($C1683,'Paramètres'!$D:$D,0)))),2))</f>
        <v/>
      </c>
      <c r="L1683" s="6" t="str">
        <f>IF($D1683="","",IF($F1683&lt;&gt;"",$F1683,IF(ISNA(MATCH($D1683,'Paramètres'!$M:$M,0)),"⚠ Type inconnu",IFERROR(INDEX('Paramètres'!$P:$P,MATCH($D1683,'Paramètres'!$M:$M,0))&amp;"",""))))</f>
        <v/>
      </c>
      <c r="M1683" s="6" t="str">
        <f>IF($D1683="","",IF(ISNA(MATCH($D1683,'Paramètres'!$M:$M,0)),"⚠ Type inconnu",IF($L1683="Crédit","",IFERROR(INDEX('Paramètres'!$O:$O,MATCH($D1683,'Paramètres'!$M:$M,0))&amp;"",""))))</f>
        <v/>
      </c>
      <c r="N1683" s="6" t="str">
        <f>IF($D1683="","",IFERROR(INDEX('Paramètres'!$Q:$Q,MATCH($D1683,'Paramètres'!$M:$M,0))&amp;"",""))</f>
        <v/>
      </c>
      <c r="O1683" s="6" t="str">
        <f>IF($A1683="","",IF(OR($J1683&lt;&gt;"x",$A1683&lt;=FinReleve),1,0))</f>
        <v/>
      </c>
      <c r="P1683" s="6" t="str">
        <f>IF($D1683="","",IF(AND($L1683="Crédit",OR(IFERROR(INDEX('Paramètres'!$O:$O,MATCH($D1683,'Paramètres'!$M:$M,0))&amp;"","")&lt;&gt;"",ISNUMBER(SEARCH("remboursement",IFERROR(INDEX('Paramètres'!$N:$N,MATCH($D1683,'Paramètres'!$M:$M,0))&amp;"",""))))),1,0))</f>
        <v/>
      </c>
      <c r="Q1683" s="6" t="str">
        <f>IF($K1683="","",IF(ISNUMBER(SEARCH("transfert-interne",IFERROR(INDEX('Paramètres'!$N:$N,MATCH($D1683,'Paramètres'!$M:$M,0))&amp;"",""))),0,IF($L1683="Débit",$K1683,IF($P1683=1,-$K1683,0))))</f>
        <v/>
      </c>
      <c r="R1683" s="6" t="str">
        <f>IF($K1683="","",IF($L1683="Crédit",$K1683,-$K1683))</f>
        <v/>
      </c>
      <c r="S1683" s="6" t="str">
        <f>IF($C1683="","",IFERROR(INDEX('Paramètres'!$H:$H,MATCH($C1683,'Paramètres'!$D:$D,0))&amp;"",""))</f>
        <v/>
      </c>
      <c r="T1683" s="6" t="str">
        <f>IF($K1683="","",IF($S1683="",0,IF(ISNUMBER(SEARCH("apport-exterieur",IFERROR(INDEX('Paramètres'!$N:$N,MATCH($D1683,'Paramètres'!$M:$M,0))&amp;"",""))),0,IF(OR(IFERROR(INDEX('Paramètres'!$I:$I,MATCH($C1683,'Paramètres'!$D:$D,0))&amp;"","")="Les deux",IFERROR(INDEX('Paramètres'!$I:$I,MATCH($C1683,'Paramètres'!$D:$D,0))&amp;"","")=IF($P1683=1,"Débit",$L1683)),-IF($P1683=1,-$K1683,$K1683),0))))</f>
        <v/>
      </c>
      <c r="U1683" s="6" t="str">
        <f>IF($K1683="","",IF(ISNUMBER(SEARCH("sortie-epargne",IFERROR(INDEX('Paramètres'!$N:$N,MATCH($D1683,'Paramètres'!$M:$M,0))&amp;"",""))),$K1683,0))</f>
        <v/>
      </c>
      <c r="V1683" s="6" t="str">
        <f>IF(AND($A1683&lt;&gt;"",$O1683=1,$L1683="Débit",N($Q1683)&gt;0,$A1683&gt;=Visualisation!$B$1,$A1683&lt;Visualisation!$D$1),MAX($V$1:V1682)+1,"")</f>
        <v/>
      </c>
    </row>
    <row r="1684" spans="1:22" x14ac:dyDescent="0.25">
      <c r="A1684" s="9"/>
      <c r="E1684" s="10"/>
      <c r="K1684" s="11" t="str">
        <f>IF($E1684="","",ROUND($E1684*IF(ISNA(MATCH($C1684,'Paramètres'!$D:$D,0)),1,IF(INDEX('Paramètres'!$J:$J,MATCH($C1684,'Paramètres'!$D:$D,0))="",1,INDEX('Paramètres'!$J:$J,MATCH($C1684,'Paramètres'!$D:$D,0)))),2))</f>
        <v/>
      </c>
      <c r="L1684" s="6" t="str">
        <f>IF($D1684="","",IF($F1684&lt;&gt;"",$F1684,IF(ISNA(MATCH($D1684,'Paramètres'!$M:$M,0)),"⚠ Type inconnu",IFERROR(INDEX('Paramètres'!$P:$P,MATCH($D1684,'Paramètres'!$M:$M,0))&amp;"",""))))</f>
        <v/>
      </c>
      <c r="M1684" s="6" t="str">
        <f>IF($D1684="","",IF(ISNA(MATCH($D1684,'Paramètres'!$M:$M,0)),"⚠ Type inconnu",IF($L1684="Crédit","",IFERROR(INDEX('Paramètres'!$O:$O,MATCH($D1684,'Paramètres'!$M:$M,0))&amp;"",""))))</f>
        <v/>
      </c>
      <c r="N1684" s="6" t="str">
        <f>IF($D1684="","",IFERROR(INDEX('Paramètres'!$Q:$Q,MATCH($D1684,'Paramètres'!$M:$M,0))&amp;"",""))</f>
        <v/>
      </c>
      <c r="O1684" s="6" t="str">
        <f>IF($A1684="","",IF(OR($J1684&lt;&gt;"x",$A1684&lt;=FinReleve),1,0))</f>
        <v/>
      </c>
      <c r="P1684" s="6" t="str">
        <f>IF($D1684="","",IF(AND($L1684="Crédit",OR(IFERROR(INDEX('Paramètres'!$O:$O,MATCH($D1684,'Paramètres'!$M:$M,0))&amp;"","")&lt;&gt;"",ISNUMBER(SEARCH("remboursement",IFERROR(INDEX('Paramètres'!$N:$N,MATCH($D1684,'Paramètres'!$M:$M,0))&amp;"",""))))),1,0))</f>
        <v/>
      </c>
      <c r="Q1684" s="6" t="str">
        <f>IF($K1684="","",IF(ISNUMBER(SEARCH("transfert-interne",IFERROR(INDEX('Paramètres'!$N:$N,MATCH($D1684,'Paramètres'!$M:$M,0))&amp;"",""))),0,IF($L1684="Débit",$K1684,IF($P1684=1,-$K1684,0))))</f>
        <v/>
      </c>
      <c r="R1684" s="6" t="str">
        <f>IF($K1684="","",IF($L1684="Crédit",$K1684,-$K1684))</f>
        <v/>
      </c>
      <c r="S1684" s="6" t="str">
        <f>IF($C1684="","",IFERROR(INDEX('Paramètres'!$H:$H,MATCH($C1684,'Paramètres'!$D:$D,0))&amp;"",""))</f>
        <v/>
      </c>
      <c r="T1684" s="6" t="str">
        <f>IF($K1684="","",IF($S1684="",0,IF(ISNUMBER(SEARCH("apport-exterieur",IFERROR(INDEX('Paramètres'!$N:$N,MATCH($D1684,'Paramètres'!$M:$M,0))&amp;"",""))),0,IF(OR(IFERROR(INDEX('Paramètres'!$I:$I,MATCH($C1684,'Paramètres'!$D:$D,0))&amp;"","")="Les deux",IFERROR(INDEX('Paramètres'!$I:$I,MATCH($C1684,'Paramètres'!$D:$D,0))&amp;"","")=IF($P1684=1,"Débit",$L1684)),-IF($P1684=1,-$K1684,$K1684),0))))</f>
        <v/>
      </c>
      <c r="U1684" s="6" t="str">
        <f>IF($K1684="","",IF(ISNUMBER(SEARCH("sortie-epargne",IFERROR(INDEX('Paramètres'!$N:$N,MATCH($D1684,'Paramètres'!$M:$M,0))&amp;"",""))),$K1684,0))</f>
        <v/>
      </c>
      <c r="V1684" s="6" t="str">
        <f>IF(AND($A1684&lt;&gt;"",$O1684=1,$L1684="Débit",N($Q1684)&gt;0,$A1684&gt;=Visualisation!$B$1,$A1684&lt;Visualisation!$D$1),MAX($V$1:V1683)+1,"")</f>
        <v/>
      </c>
    </row>
    <row r="1685" spans="1:22" x14ac:dyDescent="0.25">
      <c r="A1685" s="9"/>
      <c r="E1685" s="10"/>
      <c r="K1685" s="11" t="str">
        <f>IF($E1685="","",ROUND($E1685*IF(ISNA(MATCH($C1685,'Paramètres'!$D:$D,0)),1,IF(INDEX('Paramètres'!$J:$J,MATCH($C1685,'Paramètres'!$D:$D,0))="",1,INDEX('Paramètres'!$J:$J,MATCH($C1685,'Paramètres'!$D:$D,0)))),2))</f>
        <v/>
      </c>
      <c r="L1685" s="6" t="str">
        <f>IF($D1685="","",IF($F1685&lt;&gt;"",$F1685,IF(ISNA(MATCH($D1685,'Paramètres'!$M:$M,0)),"⚠ Type inconnu",IFERROR(INDEX('Paramètres'!$P:$P,MATCH($D1685,'Paramètres'!$M:$M,0))&amp;"",""))))</f>
        <v/>
      </c>
      <c r="M1685" s="6" t="str">
        <f>IF($D1685="","",IF(ISNA(MATCH($D1685,'Paramètres'!$M:$M,0)),"⚠ Type inconnu",IF($L1685="Crédit","",IFERROR(INDEX('Paramètres'!$O:$O,MATCH($D1685,'Paramètres'!$M:$M,0))&amp;"",""))))</f>
        <v/>
      </c>
      <c r="N1685" s="6" t="str">
        <f>IF($D1685="","",IFERROR(INDEX('Paramètres'!$Q:$Q,MATCH($D1685,'Paramètres'!$M:$M,0))&amp;"",""))</f>
        <v/>
      </c>
      <c r="O1685" s="6" t="str">
        <f>IF($A1685="","",IF(OR($J1685&lt;&gt;"x",$A1685&lt;=FinReleve),1,0))</f>
        <v/>
      </c>
      <c r="P1685" s="6" t="str">
        <f>IF($D1685="","",IF(AND($L1685="Crédit",OR(IFERROR(INDEX('Paramètres'!$O:$O,MATCH($D1685,'Paramètres'!$M:$M,0))&amp;"","")&lt;&gt;"",ISNUMBER(SEARCH("remboursement",IFERROR(INDEX('Paramètres'!$N:$N,MATCH($D1685,'Paramètres'!$M:$M,0))&amp;"",""))))),1,0))</f>
        <v/>
      </c>
      <c r="Q1685" s="6" t="str">
        <f>IF($K1685="","",IF(ISNUMBER(SEARCH("transfert-interne",IFERROR(INDEX('Paramètres'!$N:$N,MATCH($D1685,'Paramètres'!$M:$M,0))&amp;"",""))),0,IF($L1685="Débit",$K1685,IF($P1685=1,-$K1685,0))))</f>
        <v/>
      </c>
      <c r="R1685" s="6" t="str">
        <f>IF($K1685="","",IF($L1685="Crédit",$K1685,-$K1685))</f>
        <v/>
      </c>
      <c r="S1685" s="6" t="str">
        <f>IF($C1685="","",IFERROR(INDEX('Paramètres'!$H:$H,MATCH($C1685,'Paramètres'!$D:$D,0))&amp;"",""))</f>
        <v/>
      </c>
      <c r="T1685" s="6" t="str">
        <f>IF($K1685="","",IF($S1685="",0,IF(ISNUMBER(SEARCH("apport-exterieur",IFERROR(INDEX('Paramètres'!$N:$N,MATCH($D1685,'Paramètres'!$M:$M,0))&amp;"",""))),0,IF(OR(IFERROR(INDEX('Paramètres'!$I:$I,MATCH($C1685,'Paramètres'!$D:$D,0))&amp;"","")="Les deux",IFERROR(INDEX('Paramètres'!$I:$I,MATCH($C1685,'Paramètres'!$D:$D,0))&amp;"","")=IF($P1685=1,"Débit",$L1685)),-IF($P1685=1,-$K1685,$K1685),0))))</f>
        <v/>
      </c>
      <c r="U1685" s="6" t="str">
        <f>IF($K1685="","",IF(ISNUMBER(SEARCH("sortie-epargne",IFERROR(INDEX('Paramètres'!$N:$N,MATCH($D1685,'Paramètres'!$M:$M,0))&amp;"",""))),$K1685,0))</f>
        <v/>
      </c>
      <c r="V1685" s="6" t="str">
        <f>IF(AND($A1685&lt;&gt;"",$O1685=1,$L1685="Débit",N($Q1685)&gt;0,$A1685&gt;=Visualisation!$B$1,$A1685&lt;Visualisation!$D$1),MAX($V$1:V1684)+1,"")</f>
        <v/>
      </c>
    </row>
    <row r="1686" spans="1:22" x14ac:dyDescent="0.25">
      <c r="A1686" s="9"/>
      <c r="E1686" s="10"/>
      <c r="K1686" s="11" t="str">
        <f>IF($E1686="","",ROUND($E1686*IF(ISNA(MATCH($C1686,'Paramètres'!$D:$D,0)),1,IF(INDEX('Paramètres'!$J:$J,MATCH($C1686,'Paramètres'!$D:$D,0))="",1,INDEX('Paramètres'!$J:$J,MATCH($C1686,'Paramètres'!$D:$D,0)))),2))</f>
        <v/>
      </c>
      <c r="L1686" s="6" t="str">
        <f>IF($D1686="","",IF($F1686&lt;&gt;"",$F1686,IF(ISNA(MATCH($D1686,'Paramètres'!$M:$M,0)),"⚠ Type inconnu",IFERROR(INDEX('Paramètres'!$P:$P,MATCH($D1686,'Paramètres'!$M:$M,0))&amp;"",""))))</f>
        <v/>
      </c>
      <c r="M1686" s="6" t="str">
        <f>IF($D1686="","",IF(ISNA(MATCH($D1686,'Paramètres'!$M:$M,0)),"⚠ Type inconnu",IF($L1686="Crédit","",IFERROR(INDEX('Paramètres'!$O:$O,MATCH($D1686,'Paramètres'!$M:$M,0))&amp;"",""))))</f>
        <v/>
      </c>
      <c r="N1686" s="6" t="str">
        <f>IF($D1686="","",IFERROR(INDEX('Paramètres'!$Q:$Q,MATCH($D1686,'Paramètres'!$M:$M,0))&amp;"",""))</f>
        <v/>
      </c>
      <c r="O1686" s="6" t="str">
        <f>IF($A1686="","",IF(OR($J1686&lt;&gt;"x",$A1686&lt;=FinReleve),1,0))</f>
        <v/>
      </c>
      <c r="P1686" s="6" t="str">
        <f>IF($D1686="","",IF(AND($L1686="Crédit",OR(IFERROR(INDEX('Paramètres'!$O:$O,MATCH($D1686,'Paramètres'!$M:$M,0))&amp;"","")&lt;&gt;"",ISNUMBER(SEARCH("remboursement",IFERROR(INDEX('Paramètres'!$N:$N,MATCH($D1686,'Paramètres'!$M:$M,0))&amp;"",""))))),1,0))</f>
        <v/>
      </c>
      <c r="Q1686" s="6" t="str">
        <f>IF($K1686="","",IF(ISNUMBER(SEARCH("transfert-interne",IFERROR(INDEX('Paramètres'!$N:$N,MATCH($D1686,'Paramètres'!$M:$M,0))&amp;"",""))),0,IF($L1686="Débit",$K1686,IF($P1686=1,-$K1686,0))))</f>
        <v/>
      </c>
      <c r="R1686" s="6" t="str">
        <f>IF($K1686="","",IF($L1686="Crédit",$K1686,-$K1686))</f>
        <v/>
      </c>
      <c r="S1686" s="6" t="str">
        <f>IF($C1686="","",IFERROR(INDEX('Paramètres'!$H:$H,MATCH($C1686,'Paramètres'!$D:$D,0))&amp;"",""))</f>
        <v/>
      </c>
      <c r="T1686" s="6" t="str">
        <f>IF($K1686="","",IF($S1686="",0,IF(ISNUMBER(SEARCH("apport-exterieur",IFERROR(INDEX('Paramètres'!$N:$N,MATCH($D1686,'Paramètres'!$M:$M,0))&amp;"",""))),0,IF(OR(IFERROR(INDEX('Paramètres'!$I:$I,MATCH($C1686,'Paramètres'!$D:$D,0))&amp;"","")="Les deux",IFERROR(INDEX('Paramètres'!$I:$I,MATCH($C1686,'Paramètres'!$D:$D,0))&amp;"","")=IF($P1686=1,"Débit",$L1686)),-IF($P1686=1,-$K1686,$K1686),0))))</f>
        <v/>
      </c>
      <c r="U1686" s="6" t="str">
        <f>IF($K1686="","",IF(ISNUMBER(SEARCH("sortie-epargne",IFERROR(INDEX('Paramètres'!$N:$N,MATCH($D1686,'Paramètres'!$M:$M,0))&amp;"",""))),$K1686,0))</f>
        <v/>
      </c>
      <c r="V1686" s="6" t="str">
        <f>IF(AND($A1686&lt;&gt;"",$O1686=1,$L1686="Débit",N($Q1686)&gt;0,$A1686&gt;=Visualisation!$B$1,$A1686&lt;Visualisation!$D$1),MAX($V$1:V1685)+1,"")</f>
        <v/>
      </c>
    </row>
    <row r="1687" spans="1:22" x14ac:dyDescent="0.25">
      <c r="A1687" s="9"/>
      <c r="E1687" s="10"/>
      <c r="K1687" s="11" t="str">
        <f>IF($E1687="","",ROUND($E1687*IF(ISNA(MATCH($C1687,'Paramètres'!$D:$D,0)),1,IF(INDEX('Paramètres'!$J:$J,MATCH($C1687,'Paramètres'!$D:$D,0))="",1,INDEX('Paramètres'!$J:$J,MATCH($C1687,'Paramètres'!$D:$D,0)))),2))</f>
        <v/>
      </c>
      <c r="L1687" s="6" t="str">
        <f>IF($D1687="","",IF($F1687&lt;&gt;"",$F1687,IF(ISNA(MATCH($D1687,'Paramètres'!$M:$M,0)),"⚠ Type inconnu",IFERROR(INDEX('Paramètres'!$P:$P,MATCH($D1687,'Paramètres'!$M:$M,0))&amp;"",""))))</f>
        <v/>
      </c>
      <c r="M1687" s="6" t="str">
        <f>IF($D1687="","",IF(ISNA(MATCH($D1687,'Paramètres'!$M:$M,0)),"⚠ Type inconnu",IF($L1687="Crédit","",IFERROR(INDEX('Paramètres'!$O:$O,MATCH($D1687,'Paramètres'!$M:$M,0))&amp;"",""))))</f>
        <v/>
      </c>
      <c r="N1687" s="6" t="str">
        <f>IF($D1687="","",IFERROR(INDEX('Paramètres'!$Q:$Q,MATCH($D1687,'Paramètres'!$M:$M,0))&amp;"",""))</f>
        <v/>
      </c>
      <c r="O1687" s="6" t="str">
        <f>IF($A1687="","",IF(OR($J1687&lt;&gt;"x",$A1687&lt;=FinReleve),1,0))</f>
        <v/>
      </c>
      <c r="P1687" s="6" t="str">
        <f>IF($D1687="","",IF(AND($L1687="Crédit",OR(IFERROR(INDEX('Paramètres'!$O:$O,MATCH($D1687,'Paramètres'!$M:$M,0))&amp;"","")&lt;&gt;"",ISNUMBER(SEARCH("remboursement",IFERROR(INDEX('Paramètres'!$N:$N,MATCH($D1687,'Paramètres'!$M:$M,0))&amp;"",""))))),1,0))</f>
        <v/>
      </c>
      <c r="Q1687" s="6" t="str">
        <f>IF($K1687="","",IF(ISNUMBER(SEARCH("transfert-interne",IFERROR(INDEX('Paramètres'!$N:$N,MATCH($D1687,'Paramètres'!$M:$M,0))&amp;"",""))),0,IF($L1687="Débit",$K1687,IF($P1687=1,-$K1687,0))))</f>
        <v/>
      </c>
      <c r="R1687" s="6" t="str">
        <f>IF($K1687="","",IF($L1687="Crédit",$K1687,-$K1687))</f>
        <v/>
      </c>
      <c r="S1687" s="6" t="str">
        <f>IF($C1687="","",IFERROR(INDEX('Paramètres'!$H:$H,MATCH($C1687,'Paramètres'!$D:$D,0))&amp;"",""))</f>
        <v/>
      </c>
      <c r="T1687" s="6" t="str">
        <f>IF($K1687="","",IF($S1687="",0,IF(ISNUMBER(SEARCH("apport-exterieur",IFERROR(INDEX('Paramètres'!$N:$N,MATCH($D1687,'Paramètres'!$M:$M,0))&amp;"",""))),0,IF(OR(IFERROR(INDEX('Paramètres'!$I:$I,MATCH($C1687,'Paramètres'!$D:$D,0))&amp;"","")="Les deux",IFERROR(INDEX('Paramètres'!$I:$I,MATCH($C1687,'Paramètres'!$D:$D,0))&amp;"","")=IF($P1687=1,"Débit",$L1687)),-IF($P1687=1,-$K1687,$K1687),0))))</f>
        <v/>
      </c>
      <c r="U1687" s="6" t="str">
        <f>IF($K1687="","",IF(ISNUMBER(SEARCH("sortie-epargne",IFERROR(INDEX('Paramètres'!$N:$N,MATCH($D1687,'Paramètres'!$M:$M,0))&amp;"",""))),$K1687,0))</f>
        <v/>
      </c>
      <c r="V1687" s="6" t="str">
        <f>IF(AND($A1687&lt;&gt;"",$O1687=1,$L1687="Débit",N($Q1687)&gt;0,$A1687&gt;=Visualisation!$B$1,$A1687&lt;Visualisation!$D$1),MAX($V$1:V1686)+1,"")</f>
        <v/>
      </c>
    </row>
    <row r="1688" spans="1:22" x14ac:dyDescent="0.25">
      <c r="A1688" s="9"/>
      <c r="E1688" s="10"/>
      <c r="K1688" s="11" t="str">
        <f>IF($E1688="","",ROUND($E1688*IF(ISNA(MATCH($C1688,'Paramètres'!$D:$D,0)),1,IF(INDEX('Paramètres'!$J:$J,MATCH($C1688,'Paramètres'!$D:$D,0))="",1,INDEX('Paramètres'!$J:$J,MATCH($C1688,'Paramètres'!$D:$D,0)))),2))</f>
        <v/>
      </c>
      <c r="L1688" s="6" t="str">
        <f>IF($D1688="","",IF($F1688&lt;&gt;"",$F1688,IF(ISNA(MATCH($D1688,'Paramètres'!$M:$M,0)),"⚠ Type inconnu",IFERROR(INDEX('Paramètres'!$P:$P,MATCH($D1688,'Paramètres'!$M:$M,0))&amp;"",""))))</f>
        <v/>
      </c>
      <c r="M1688" s="6" t="str">
        <f>IF($D1688="","",IF(ISNA(MATCH($D1688,'Paramètres'!$M:$M,0)),"⚠ Type inconnu",IF($L1688="Crédit","",IFERROR(INDEX('Paramètres'!$O:$O,MATCH($D1688,'Paramètres'!$M:$M,0))&amp;"",""))))</f>
        <v/>
      </c>
      <c r="N1688" s="6" t="str">
        <f>IF($D1688="","",IFERROR(INDEX('Paramètres'!$Q:$Q,MATCH($D1688,'Paramètres'!$M:$M,0))&amp;"",""))</f>
        <v/>
      </c>
      <c r="O1688" s="6" t="str">
        <f>IF($A1688="","",IF(OR($J1688&lt;&gt;"x",$A1688&lt;=FinReleve),1,0))</f>
        <v/>
      </c>
      <c r="P1688" s="6" t="str">
        <f>IF($D1688="","",IF(AND($L1688="Crédit",OR(IFERROR(INDEX('Paramètres'!$O:$O,MATCH($D1688,'Paramètres'!$M:$M,0))&amp;"","")&lt;&gt;"",ISNUMBER(SEARCH("remboursement",IFERROR(INDEX('Paramètres'!$N:$N,MATCH($D1688,'Paramètres'!$M:$M,0))&amp;"",""))))),1,0))</f>
        <v/>
      </c>
      <c r="Q1688" s="6" t="str">
        <f>IF($K1688="","",IF(ISNUMBER(SEARCH("transfert-interne",IFERROR(INDEX('Paramètres'!$N:$N,MATCH($D1688,'Paramètres'!$M:$M,0))&amp;"",""))),0,IF($L1688="Débit",$K1688,IF($P1688=1,-$K1688,0))))</f>
        <v/>
      </c>
      <c r="R1688" s="6" t="str">
        <f>IF($K1688="","",IF($L1688="Crédit",$K1688,-$K1688))</f>
        <v/>
      </c>
      <c r="S1688" s="6" t="str">
        <f>IF($C1688="","",IFERROR(INDEX('Paramètres'!$H:$H,MATCH($C1688,'Paramètres'!$D:$D,0))&amp;"",""))</f>
        <v/>
      </c>
      <c r="T1688" s="6" t="str">
        <f>IF($K1688="","",IF($S1688="",0,IF(ISNUMBER(SEARCH("apport-exterieur",IFERROR(INDEX('Paramètres'!$N:$N,MATCH($D1688,'Paramètres'!$M:$M,0))&amp;"",""))),0,IF(OR(IFERROR(INDEX('Paramètres'!$I:$I,MATCH($C1688,'Paramètres'!$D:$D,0))&amp;"","")="Les deux",IFERROR(INDEX('Paramètres'!$I:$I,MATCH($C1688,'Paramètres'!$D:$D,0))&amp;"","")=IF($P1688=1,"Débit",$L1688)),-IF($P1688=1,-$K1688,$K1688),0))))</f>
        <v/>
      </c>
      <c r="U1688" s="6" t="str">
        <f>IF($K1688="","",IF(ISNUMBER(SEARCH("sortie-epargne",IFERROR(INDEX('Paramètres'!$N:$N,MATCH($D1688,'Paramètres'!$M:$M,0))&amp;"",""))),$K1688,0))</f>
        <v/>
      </c>
      <c r="V1688" s="6" t="str">
        <f>IF(AND($A1688&lt;&gt;"",$O1688=1,$L1688="Débit",N($Q1688)&gt;0,$A1688&gt;=Visualisation!$B$1,$A1688&lt;Visualisation!$D$1),MAX($V$1:V1687)+1,"")</f>
        <v/>
      </c>
    </row>
    <row r="1689" spans="1:22" x14ac:dyDescent="0.25">
      <c r="A1689" s="9"/>
      <c r="E1689" s="10"/>
      <c r="K1689" s="11" t="str">
        <f>IF($E1689="","",ROUND($E1689*IF(ISNA(MATCH($C1689,'Paramètres'!$D:$D,0)),1,IF(INDEX('Paramètres'!$J:$J,MATCH($C1689,'Paramètres'!$D:$D,0))="",1,INDEX('Paramètres'!$J:$J,MATCH($C1689,'Paramètres'!$D:$D,0)))),2))</f>
        <v/>
      </c>
      <c r="L1689" s="6" t="str">
        <f>IF($D1689="","",IF($F1689&lt;&gt;"",$F1689,IF(ISNA(MATCH($D1689,'Paramètres'!$M:$M,0)),"⚠ Type inconnu",IFERROR(INDEX('Paramètres'!$P:$P,MATCH($D1689,'Paramètres'!$M:$M,0))&amp;"",""))))</f>
        <v/>
      </c>
      <c r="M1689" s="6" t="str">
        <f>IF($D1689="","",IF(ISNA(MATCH($D1689,'Paramètres'!$M:$M,0)),"⚠ Type inconnu",IF($L1689="Crédit","",IFERROR(INDEX('Paramètres'!$O:$O,MATCH($D1689,'Paramètres'!$M:$M,0))&amp;"",""))))</f>
        <v/>
      </c>
      <c r="N1689" s="6" t="str">
        <f>IF($D1689="","",IFERROR(INDEX('Paramètres'!$Q:$Q,MATCH($D1689,'Paramètres'!$M:$M,0))&amp;"",""))</f>
        <v/>
      </c>
      <c r="O1689" s="6" t="str">
        <f>IF($A1689="","",IF(OR($J1689&lt;&gt;"x",$A1689&lt;=FinReleve),1,0))</f>
        <v/>
      </c>
      <c r="P1689" s="6" t="str">
        <f>IF($D1689="","",IF(AND($L1689="Crédit",OR(IFERROR(INDEX('Paramètres'!$O:$O,MATCH($D1689,'Paramètres'!$M:$M,0))&amp;"","")&lt;&gt;"",ISNUMBER(SEARCH("remboursement",IFERROR(INDEX('Paramètres'!$N:$N,MATCH($D1689,'Paramètres'!$M:$M,0))&amp;"",""))))),1,0))</f>
        <v/>
      </c>
      <c r="Q1689" s="6" t="str">
        <f>IF($K1689="","",IF(ISNUMBER(SEARCH("transfert-interne",IFERROR(INDEX('Paramètres'!$N:$N,MATCH($D1689,'Paramètres'!$M:$M,0))&amp;"",""))),0,IF($L1689="Débit",$K1689,IF($P1689=1,-$K1689,0))))</f>
        <v/>
      </c>
      <c r="R1689" s="6" t="str">
        <f>IF($K1689="","",IF($L1689="Crédit",$K1689,-$K1689))</f>
        <v/>
      </c>
      <c r="S1689" s="6" t="str">
        <f>IF($C1689="","",IFERROR(INDEX('Paramètres'!$H:$H,MATCH($C1689,'Paramètres'!$D:$D,0))&amp;"",""))</f>
        <v/>
      </c>
      <c r="T1689" s="6" t="str">
        <f>IF($K1689="","",IF($S1689="",0,IF(ISNUMBER(SEARCH("apport-exterieur",IFERROR(INDEX('Paramètres'!$N:$N,MATCH($D1689,'Paramètres'!$M:$M,0))&amp;"",""))),0,IF(OR(IFERROR(INDEX('Paramètres'!$I:$I,MATCH($C1689,'Paramètres'!$D:$D,0))&amp;"","")="Les deux",IFERROR(INDEX('Paramètres'!$I:$I,MATCH($C1689,'Paramètres'!$D:$D,0))&amp;"","")=IF($P1689=1,"Débit",$L1689)),-IF($P1689=1,-$K1689,$K1689),0))))</f>
        <v/>
      </c>
      <c r="U1689" s="6" t="str">
        <f>IF($K1689="","",IF(ISNUMBER(SEARCH("sortie-epargne",IFERROR(INDEX('Paramètres'!$N:$N,MATCH($D1689,'Paramètres'!$M:$M,0))&amp;"",""))),$K1689,0))</f>
        <v/>
      </c>
      <c r="V1689" s="6" t="str">
        <f>IF(AND($A1689&lt;&gt;"",$O1689=1,$L1689="Débit",N($Q1689)&gt;0,$A1689&gt;=Visualisation!$B$1,$A1689&lt;Visualisation!$D$1),MAX($V$1:V1688)+1,"")</f>
        <v/>
      </c>
    </row>
    <row r="1690" spans="1:22" x14ac:dyDescent="0.25">
      <c r="A1690" s="9"/>
      <c r="E1690" s="10"/>
      <c r="K1690" s="11" t="str">
        <f>IF($E1690="","",ROUND($E1690*IF(ISNA(MATCH($C1690,'Paramètres'!$D:$D,0)),1,IF(INDEX('Paramètres'!$J:$J,MATCH($C1690,'Paramètres'!$D:$D,0))="",1,INDEX('Paramètres'!$J:$J,MATCH($C1690,'Paramètres'!$D:$D,0)))),2))</f>
        <v/>
      </c>
      <c r="L1690" s="6" t="str">
        <f>IF($D1690="","",IF($F1690&lt;&gt;"",$F1690,IF(ISNA(MATCH($D1690,'Paramètres'!$M:$M,0)),"⚠ Type inconnu",IFERROR(INDEX('Paramètres'!$P:$P,MATCH($D1690,'Paramètres'!$M:$M,0))&amp;"",""))))</f>
        <v/>
      </c>
      <c r="M1690" s="6" t="str">
        <f>IF($D1690="","",IF(ISNA(MATCH($D1690,'Paramètres'!$M:$M,0)),"⚠ Type inconnu",IF($L1690="Crédit","",IFERROR(INDEX('Paramètres'!$O:$O,MATCH($D1690,'Paramètres'!$M:$M,0))&amp;"",""))))</f>
        <v/>
      </c>
      <c r="N1690" s="6" t="str">
        <f>IF($D1690="","",IFERROR(INDEX('Paramètres'!$Q:$Q,MATCH($D1690,'Paramètres'!$M:$M,0))&amp;"",""))</f>
        <v/>
      </c>
      <c r="O1690" s="6" t="str">
        <f>IF($A1690="","",IF(OR($J1690&lt;&gt;"x",$A1690&lt;=FinReleve),1,0))</f>
        <v/>
      </c>
      <c r="P1690" s="6" t="str">
        <f>IF($D1690="","",IF(AND($L1690="Crédit",OR(IFERROR(INDEX('Paramètres'!$O:$O,MATCH($D1690,'Paramètres'!$M:$M,0))&amp;"","")&lt;&gt;"",ISNUMBER(SEARCH("remboursement",IFERROR(INDEX('Paramètres'!$N:$N,MATCH($D1690,'Paramètres'!$M:$M,0))&amp;"",""))))),1,0))</f>
        <v/>
      </c>
      <c r="Q1690" s="6" t="str">
        <f>IF($K1690="","",IF(ISNUMBER(SEARCH("transfert-interne",IFERROR(INDEX('Paramètres'!$N:$N,MATCH($D1690,'Paramètres'!$M:$M,0))&amp;"",""))),0,IF($L1690="Débit",$K1690,IF($P1690=1,-$K1690,0))))</f>
        <v/>
      </c>
      <c r="R1690" s="6" t="str">
        <f>IF($K1690="","",IF($L1690="Crédit",$K1690,-$K1690))</f>
        <v/>
      </c>
      <c r="S1690" s="6" t="str">
        <f>IF($C1690="","",IFERROR(INDEX('Paramètres'!$H:$H,MATCH($C1690,'Paramètres'!$D:$D,0))&amp;"",""))</f>
        <v/>
      </c>
      <c r="T1690" s="6" t="str">
        <f>IF($K1690="","",IF($S1690="",0,IF(ISNUMBER(SEARCH("apport-exterieur",IFERROR(INDEX('Paramètres'!$N:$N,MATCH($D1690,'Paramètres'!$M:$M,0))&amp;"",""))),0,IF(OR(IFERROR(INDEX('Paramètres'!$I:$I,MATCH($C1690,'Paramètres'!$D:$D,0))&amp;"","")="Les deux",IFERROR(INDEX('Paramètres'!$I:$I,MATCH($C1690,'Paramètres'!$D:$D,0))&amp;"","")=IF($P1690=1,"Débit",$L1690)),-IF($P1690=1,-$K1690,$K1690),0))))</f>
        <v/>
      </c>
      <c r="U1690" s="6" t="str">
        <f>IF($K1690="","",IF(ISNUMBER(SEARCH("sortie-epargne",IFERROR(INDEX('Paramètres'!$N:$N,MATCH($D1690,'Paramètres'!$M:$M,0))&amp;"",""))),$K1690,0))</f>
        <v/>
      </c>
      <c r="V1690" s="6" t="str">
        <f>IF(AND($A1690&lt;&gt;"",$O1690=1,$L1690="Débit",N($Q1690)&gt;0,$A1690&gt;=Visualisation!$B$1,$A1690&lt;Visualisation!$D$1),MAX($V$1:V1689)+1,"")</f>
        <v/>
      </c>
    </row>
    <row r="1691" spans="1:22" x14ac:dyDescent="0.25">
      <c r="A1691" s="9"/>
      <c r="E1691" s="10"/>
      <c r="K1691" s="11" t="str">
        <f>IF($E1691="","",ROUND($E1691*IF(ISNA(MATCH($C1691,'Paramètres'!$D:$D,0)),1,IF(INDEX('Paramètres'!$J:$J,MATCH($C1691,'Paramètres'!$D:$D,0))="",1,INDEX('Paramètres'!$J:$J,MATCH($C1691,'Paramètres'!$D:$D,0)))),2))</f>
        <v/>
      </c>
      <c r="L1691" s="6" t="str">
        <f>IF($D1691="","",IF($F1691&lt;&gt;"",$F1691,IF(ISNA(MATCH($D1691,'Paramètres'!$M:$M,0)),"⚠ Type inconnu",IFERROR(INDEX('Paramètres'!$P:$P,MATCH($D1691,'Paramètres'!$M:$M,0))&amp;"",""))))</f>
        <v/>
      </c>
      <c r="M1691" s="6" t="str">
        <f>IF($D1691="","",IF(ISNA(MATCH($D1691,'Paramètres'!$M:$M,0)),"⚠ Type inconnu",IF($L1691="Crédit","",IFERROR(INDEX('Paramètres'!$O:$O,MATCH($D1691,'Paramètres'!$M:$M,0))&amp;"",""))))</f>
        <v/>
      </c>
      <c r="N1691" s="6" t="str">
        <f>IF($D1691="","",IFERROR(INDEX('Paramètres'!$Q:$Q,MATCH($D1691,'Paramètres'!$M:$M,0))&amp;"",""))</f>
        <v/>
      </c>
      <c r="O1691" s="6" t="str">
        <f>IF($A1691="","",IF(OR($J1691&lt;&gt;"x",$A1691&lt;=FinReleve),1,0))</f>
        <v/>
      </c>
      <c r="P1691" s="6" t="str">
        <f>IF($D1691="","",IF(AND($L1691="Crédit",OR(IFERROR(INDEX('Paramètres'!$O:$O,MATCH($D1691,'Paramètres'!$M:$M,0))&amp;"","")&lt;&gt;"",ISNUMBER(SEARCH("remboursement",IFERROR(INDEX('Paramètres'!$N:$N,MATCH($D1691,'Paramètres'!$M:$M,0))&amp;"",""))))),1,0))</f>
        <v/>
      </c>
      <c r="Q1691" s="6" t="str">
        <f>IF($K1691="","",IF(ISNUMBER(SEARCH("transfert-interne",IFERROR(INDEX('Paramètres'!$N:$N,MATCH($D1691,'Paramètres'!$M:$M,0))&amp;"",""))),0,IF($L1691="Débit",$K1691,IF($P1691=1,-$K1691,0))))</f>
        <v/>
      </c>
      <c r="R1691" s="6" t="str">
        <f>IF($K1691="","",IF($L1691="Crédit",$K1691,-$K1691))</f>
        <v/>
      </c>
      <c r="S1691" s="6" t="str">
        <f>IF($C1691="","",IFERROR(INDEX('Paramètres'!$H:$H,MATCH($C1691,'Paramètres'!$D:$D,0))&amp;"",""))</f>
        <v/>
      </c>
      <c r="T1691" s="6" t="str">
        <f>IF($K1691="","",IF($S1691="",0,IF(ISNUMBER(SEARCH("apport-exterieur",IFERROR(INDEX('Paramètres'!$N:$N,MATCH($D1691,'Paramètres'!$M:$M,0))&amp;"",""))),0,IF(OR(IFERROR(INDEX('Paramètres'!$I:$I,MATCH($C1691,'Paramètres'!$D:$D,0))&amp;"","")="Les deux",IFERROR(INDEX('Paramètres'!$I:$I,MATCH($C1691,'Paramètres'!$D:$D,0))&amp;"","")=IF($P1691=1,"Débit",$L1691)),-IF($P1691=1,-$K1691,$K1691),0))))</f>
        <v/>
      </c>
      <c r="U1691" s="6" t="str">
        <f>IF($K1691="","",IF(ISNUMBER(SEARCH("sortie-epargne",IFERROR(INDEX('Paramètres'!$N:$N,MATCH($D1691,'Paramètres'!$M:$M,0))&amp;"",""))),$K1691,0))</f>
        <v/>
      </c>
      <c r="V1691" s="6" t="str">
        <f>IF(AND($A1691&lt;&gt;"",$O1691=1,$L1691="Débit",N($Q1691)&gt;0,$A1691&gt;=Visualisation!$B$1,$A1691&lt;Visualisation!$D$1),MAX($V$1:V1690)+1,"")</f>
        <v/>
      </c>
    </row>
    <row r="1692" spans="1:22" x14ac:dyDescent="0.25">
      <c r="A1692" s="9"/>
      <c r="E1692" s="10"/>
      <c r="K1692" s="11" t="str">
        <f>IF($E1692="","",ROUND($E1692*IF(ISNA(MATCH($C1692,'Paramètres'!$D:$D,0)),1,IF(INDEX('Paramètres'!$J:$J,MATCH($C1692,'Paramètres'!$D:$D,0))="",1,INDEX('Paramètres'!$J:$J,MATCH($C1692,'Paramètres'!$D:$D,0)))),2))</f>
        <v/>
      </c>
      <c r="L1692" s="6" t="str">
        <f>IF($D1692="","",IF($F1692&lt;&gt;"",$F1692,IF(ISNA(MATCH($D1692,'Paramètres'!$M:$M,0)),"⚠ Type inconnu",IFERROR(INDEX('Paramètres'!$P:$P,MATCH($D1692,'Paramètres'!$M:$M,0))&amp;"",""))))</f>
        <v/>
      </c>
      <c r="M1692" s="6" t="str">
        <f>IF($D1692="","",IF(ISNA(MATCH($D1692,'Paramètres'!$M:$M,0)),"⚠ Type inconnu",IF($L1692="Crédit","",IFERROR(INDEX('Paramètres'!$O:$O,MATCH($D1692,'Paramètres'!$M:$M,0))&amp;"",""))))</f>
        <v/>
      </c>
      <c r="N1692" s="6" t="str">
        <f>IF($D1692="","",IFERROR(INDEX('Paramètres'!$Q:$Q,MATCH($D1692,'Paramètres'!$M:$M,0))&amp;"",""))</f>
        <v/>
      </c>
      <c r="O1692" s="6" t="str">
        <f>IF($A1692="","",IF(OR($J1692&lt;&gt;"x",$A1692&lt;=FinReleve),1,0))</f>
        <v/>
      </c>
      <c r="P1692" s="6" t="str">
        <f>IF($D1692="","",IF(AND($L1692="Crédit",OR(IFERROR(INDEX('Paramètres'!$O:$O,MATCH($D1692,'Paramètres'!$M:$M,0))&amp;"","")&lt;&gt;"",ISNUMBER(SEARCH("remboursement",IFERROR(INDEX('Paramètres'!$N:$N,MATCH($D1692,'Paramètres'!$M:$M,0))&amp;"",""))))),1,0))</f>
        <v/>
      </c>
      <c r="Q1692" s="6" t="str">
        <f>IF($K1692="","",IF(ISNUMBER(SEARCH("transfert-interne",IFERROR(INDEX('Paramètres'!$N:$N,MATCH($D1692,'Paramètres'!$M:$M,0))&amp;"",""))),0,IF($L1692="Débit",$K1692,IF($P1692=1,-$K1692,0))))</f>
        <v/>
      </c>
      <c r="R1692" s="6" t="str">
        <f>IF($K1692="","",IF($L1692="Crédit",$K1692,-$K1692))</f>
        <v/>
      </c>
      <c r="S1692" s="6" t="str">
        <f>IF($C1692="","",IFERROR(INDEX('Paramètres'!$H:$H,MATCH($C1692,'Paramètres'!$D:$D,0))&amp;"",""))</f>
        <v/>
      </c>
      <c r="T1692" s="6" t="str">
        <f>IF($K1692="","",IF($S1692="",0,IF(ISNUMBER(SEARCH("apport-exterieur",IFERROR(INDEX('Paramètres'!$N:$N,MATCH($D1692,'Paramètres'!$M:$M,0))&amp;"",""))),0,IF(OR(IFERROR(INDEX('Paramètres'!$I:$I,MATCH($C1692,'Paramètres'!$D:$D,0))&amp;"","")="Les deux",IFERROR(INDEX('Paramètres'!$I:$I,MATCH($C1692,'Paramètres'!$D:$D,0))&amp;"","")=IF($P1692=1,"Débit",$L1692)),-IF($P1692=1,-$K1692,$K1692),0))))</f>
        <v/>
      </c>
      <c r="U1692" s="6" t="str">
        <f>IF($K1692="","",IF(ISNUMBER(SEARCH("sortie-epargne",IFERROR(INDEX('Paramètres'!$N:$N,MATCH($D1692,'Paramètres'!$M:$M,0))&amp;"",""))),$K1692,0))</f>
        <v/>
      </c>
      <c r="V1692" s="6" t="str">
        <f>IF(AND($A1692&lt;&gt;"",$O1692=1,$L1692="Débit",N($Q1692)&gt;0,$A1692&gt;=Visualisation!$B$1,$A1692&lt;Visualisation!$D$1),MAX($V$1:V1691)+1,"")</f>
        <v/>
      </c>
    </row>
    <row r="1693" spans="1:22" x14ac:dyDescent="0.25">
      <c r="A1693" s="9"/>
      <c r="E1693" s="10"/>
      <c r="K1693" s="11" t="str">
        <f>IF($E1693="","",ROUND($E1693*IF(ISNA(MATCH($C1693,'Paramètres'!$D:$D,0)),1,IF(INDEX('Paramètres'!$J:$J,MATCH($C1693,'Paramètres'!$D:$D,0))="",1,INDEX('Paramètres'!$J:$J,MATCH($C1693,'Paramètres'!$D:$D,0)))),2))</f>
        <v/>
      </c>
      <c r="L1693" s="6" t="str">
        <f>IF($D1693="","",IF($F1693&lt;&gt;"",$F1693,IF(ISNA(MATCH($D1693,'Paramètres'!$M:$M,0)),"⚠ Type inconnu",IFERROR(INDEX('Paramètres'!$P:$P,MATCH($D1693,'Paramètres'!$M:$M,0))&amp;"",""))))</f>
        <v/>
      </c>
      <c r="M1693" s="6" t="str">
        <f>IF($D1693="","",IF(ISNA(MATCH($D1693,'Paramètres'!$M:$M,0)),"⚠ Type inconnu",IF($L1693="Crédit","",IFERROR(INDEX('Paramètres'!$O:$O,MATCH($D1693,'Paramètres'!$M:$M,0))&amp;"",""))))</f>
        <v/>
      </c>
      <c r="N1693" s="6" t="str">
        <f>IF($D1693="","",IFERROR(INDEX('Paramètres'!$Q:$Q,MATCH($D1693,'Paramètres'!$M:$M,0))&amp;"",""))</f>
        <v/>
      </c>
      <c r="O1693" s="6" t="str">
        <f>IF($A1693="","",IF(OR($J1693&lt;&gt;"x",$A1693&lt;=FinReleve),1,0))</f>
        <v/>
      </c>
      <c r="P1693" s="6" t="str">
        <f>IF($D1693="","",IF(AND($L1693="Crédit",OR(IFERROR(INDEX('Paramètres'!$O:$O,MATCH($D1693,'Paramètres'!$M:$M,0))&amp;"","")&lt;&gt;"",ISNUMBER(SEARCH("remboursement",IFERROR(INDEX('Paramètres'!$N:$N,MATCH($D1693,'Paramètres'!$M:$M,0))&amp;"",""))))),1,0))</f>
        <v/>
      </c>
      <c r="Q1693" s="6" t="str">
        <f>IF($K1693="","",IF(ISNUMBER(SEARCH("transfert-interne",IFERROR(INDEX('Paramètres'!$N:$N,MATCH($D1693,'Paramètres'!$M:$M,0))&amp;"",""))),0,IF($L1693="Débit",$K1693,IF($P1693=1,-$K1693,0))))</f>
        <v/>
      </c>
      <c r="R1693" s="6" t="str">
        <f>IF($K1693="","",IF($L1693="Crédit",$K1693,-$K1693))</f>
        <v/>
      </c>
      <c r="S1693" s="6" t="str">
        <f>IF($C1693="","",IFERROR(INDEX('Paramètres'!$H:$H,MATCH($C1693,'Paramètres'!$D:$D,0))&amp;"",""))</f>
        <v/>
      </c>
      <c r="T1693" s="6" t="str">
        <f>IF($K1693="","",IF($S1693="",0,IF(ISNUMBER(SEARCH("apport-exterieur",IFERROR(INDEX('Paramètres'!$N:$N,MATCH($D1693,'Paramètres'!$M:$M,0))&amp;"",""))),0,IF(OR(IFERROR(INDEX('Paramètres'!$I:$I,MATCH($C1693,'Paramètres'!$D:$D,0))&amp;"","")="Les deux",IFERROR(INDEX('Paramètres'!$I:$I,MATCH($C1693,'Paramètres'!$D:$D,0))&amp;"","")=IF($P1693=1,"Débit",$L1693)),-IF($P1693=1,-$K1693,$K1693),0))))</f>
        <v/>
      </c>
      <c r="U1693" s="6" t="str">
        <f>IF($K1693="","",IF(ISNUMBER(SEARCH("sortie-epargne",IFERROR(INDEX('Paramètres'!$N:$N,MATCH($D1693,'Paramètres'!$M:$M,0))&amp;"",""))),$K1693,0))</f>
        <v/>
      </c>
      <c r="V1693" s="6" t="str">
        <f>IF(AND($A1693&lt;&gt;"",$O1693=1,$L1693="Débit",N($Q1693)&gt;0,$A1693&gt;=Visualisation!$B$1,$A1693&lt;Visualisation!$D$1),MAX($V$1:V1692)+1,"")</f>
        <v/>
      </c>
    </row>
    <row r="1694" spans="1:22" x14ac:dyDescent="0.25">
      <c r="A1694" s="9"/>
      <c r="E1694" s="10"/>
      <c r="K1694" s="11" t="str">
        <f>IF($E1694="","",ROUND($E1694*IF(ISNA(MATCH($C1694,'Paramètres'!$D:$D,0)),1,IF(INDEX('Paramètres'!$J:$J,MATCH($C1694,'Paramètres'!$D:$D,0))="",1,INDEX('Paramètres'!$J:$J,MATCH($C1694,'Paramètres'!$D:$D,0)))),2))</f>
        <v/>
      </c>
      <c r="L1694" s="6" t="str">
        <f>IF($D1694="","",IF($F1694&lt;&gt;"",$F1694,IF(ISNA(MATCH($D1694,'Paramètres'!$M:$M,0)),"⚠ Type inconnu",IFERROR(INDEX('Paramètres'!$P:$P,MATCH($D1694,'Paramètres'!$M:$M,0))&amp;"",""))))</f>
        <v/>
      </c>
      <c r="M1694" s="6" t="str">
        <f>IF($D1694="","",IF(ISNA(MATCH($D1694,'Paramètres'!$M:$M,0)),"⚠ Type inconnu",IF($L1694="Crédit","",IFERROR(INDEX('Paramètres'!$O:$O,MATCH($D1694,'Paramètres'!$M:$M,0))&amp;"",""))))</f>
        <v/>
      </c>
      <c r="N1694" s="6" t="str">
        <f>IF($D1694="","",IFERROR(INDEX('Paramètres'!$Q:$Q,MATCH($D1694,'Paramètres'!$M:$M,0))&amp;"",""))</f>
        <v/>
      </c>
      <c r="O1694" s="6" t="str">
        <f>IF($A1694="","",IF(OR($J1694&lt;&gt;"x",$A1694&lt;=FinReleve),1,0))</f>
        <v/>
      </c>
      <c r="P1694" s="6" t="str">
        <f>IF($D1694="","",IF(AND($L1694="Crédit",OR(IFERROR(INDEX('Paramètres'!$O:$O,MATCH($D1694,'Paramètres'!$M:$M,0))&amp;"","")&lt;&gt;"",ISNUMBER(SEARCH("remboursement",IFERROR(INDEX('Paramètres'!$N:$N,MATCH($D1694,'Paramètres'!$M:$M,0))&amp;"",""))))),1,0))</f>
        <v/>
      </c>
      <c r="Q1694" s="6" t="str">
        <f>IF($K1694="","",IF(ISNUMBER(SEARCH("transfert-interne",IFERROR(INDEX('Paramètres'!$N:$N,MATCH($D1694,'Paramètres'!$M:$M,0))&amp;"",""))),0,IF($L1694="Débit",$K1694,IF($P1694=1,-$K1694,0))))</f>
        <v/>
      </c>
      <c r="R1694" s="6" t="str">
        <f>IF($K1694="","",IF($L1694="Crédit",$K1694,-$K1694))</f>
        <v/>
      </c>
      <c r="S1694" s="6" t="str">
        <f>IF($C1694="","",IFERROR(INDEX('Paramètres'!$H:$H,MATCH($C1694,'Paramètres'!$D:$D,0))&amp;"",""))</f>
        <v/>
      </c>
      <c r="T1694" s="6" t="str">
        <f>IF($K1694="","",IF($S1694="",0,IF(ISNUMBER(SEARCH("apport-exterieur",IFERROR(INDEX('Paramètres'!$N:$N,MATCH($D1694,'Paramètres'!$M:$M,0))&amp;"",""))),0,IF(OR(IFERROR(INDEX('Paramètres'!$I:$I,MATCH($C1694,'Paramètres'!$D:$D,0))&amp;"","")="Les deux",IFERROR(INDEX('Paramètres'!$I:$I,MATCH($C1694,'Paramètres'!$D:$D,0))&amp;"","")=IF($P1694=1,"Débit",$L1694)),-IF($P1694=1,-$K1694,$K1694),0))))</f>
        <v/>
      </c>
      <c r="U1694" s="6" t="str">
        <f>IF($K1694="","",IF(ISNUMBER(SEARCH("sortie-epargne",IFERROR(INDEX('Paramètres'!$N:$N,MATCH($D1694,'Paramètres'!$M:$M,0))&amp;"",""))),$K1694,0))</f>
        <v/>
      </c>
      <c r="V1694" s="6" t="str">
        <f>IF(AND($A1694&lt;&gt;"",$O1694=1,$L1694="Débit",N($Q1694)&gt;0,$A1694&gt;=Visualisation!$B$1,$A1694&lt;Visualisation!$D$1),MAX($V$1:V1693)+1,"")</f>
        <v/>
      </c>
    </row>
    <row r="1695" spans="1:22" x14ac:dyDescent="0.25">
      <c r="A1695" s="9"/>
      <c r="E1695" s="10"/>
      <c r="K1695" s="11" t="str">
        <f>IF($E1695="","",ROUND($E1695*IF(ISNA(MATCH($C1695,'Paramètres'!$D:$D,0)),1,IF(INDEX('Paramètres'!$J:$J,MATCH($C1695,'Paramètres'!$D:$D,0))="",1,INDEX('Paramètres'!$J:$J,MATCH($C1695,'Paramètres'!$D:$D,0)))),2))</f>
        <v/>
      </c>
      <c r="L1695" s="6" t="str">
        <f>IF($D1695="","",IF($F1695&lt;&gt;"",$F1695,IF(ISNA(MATCH($D1695,'Paramètres'!$M:$M,0)),"⚠ Type inconnu",IFERROR(INDEX('Paramètres'!$P:$P,MATCH($D1695,'Paramètres'!$M:$M,0))&amp;"",""))))</f>
        <v/>
      </c>
      <c r="M1695" s="6" t="str">
        <f>IF($D1695="","",IF(ISNA(MATCH($D1695,'Paramètres'!$M:$M,0)),"⚠ Type inconnu",IF($L1695="Crédit","",IFERROR(INDEX('Paramètres'!$O:$O,MATCH($D1695,'Paramètres'!$M:$M,0))&amp;"",""))))</f>
        <v/>
      </c>
      <c r="N1695" s="6" t="str">
        <f>IF($D1695="","",IFERROR(INDEX('Paramètres'!$Q:$Q,MATCH($D1695,'Paramètres'!$M:$M,0))&amp;"",""))</f>
        <v/>
      </c>
      <c r="O1695" s="6" t="str">
        <f>IF($A1695="","",IF(OR($J1695&lt;&gt;"x",$A1695&lt;=FinReleve),1,0))</f>
        <v/>
      </c>
      <c r="P1695" s="6" t="str">
        <f>IF($D1695="","",IF(AND($L1695="Crédit",OR(IFERROR(INDEX('Paramètres'!$O:$O,MATCH($D1695,'Paramètres'!$M:$M,0))&amp;"","")&lt;&gt;"",ISNUMBER(SEARCH("remboursement",IFERROR(INDEX('Paramètres'!$N:$N,MATCH($D1695,'Paramètres'!$M:$M,0))&amp;"",""))))),1,0))</f>
        <v/>
      </c>
      <c r="Q1695" s="6" t="str">
        <f>IF($K1695="","",IF(ISNUMBER(SEARCH("transfert-interne",IFERROR(INDEX('Paramètres'!$N:$N,MATCH($D1695,'Paramètres'!$M:$M,0))&amp;"",""))),0,IF($L1695="Débit",$K1695,IF($P1695=1,-$K1695,0))))</f>
        <v/>
      </c>
      <c r="R1695" s="6" t="str">
        <f>IF($K1695="","",IF($L1695="Crédit",$K1695,-$K1695))</f>
        <v/>
      </c>
      <c r="S1695" s="6" t="str">
        <f>IF($C1695="","",IFERROR(INDEX('Paramètres'!$H:$H,MATCH($C1695,'Paramètres'!$D:$D,0))&amp;"",""))</f>
        <v/>
      </c>
      <c r="T1695" s="6" t="str">
        <f>IF($K1695="","",IF($S1695="",0,IF(ISNUMBER(SEARCH("apport-exterieur",IFERROR(INDEX('Paramètres'!$N:$N,MATCH($D1695,'Paramètres'!$M:$M,0))&amp;"",""))),0,IF(OR(IFERROR(INDEX('Paramètres'!$I:$I,MATCH($C1695,'Paramètres'!$D:$D,0))&amp;"","")="Les deux",IFERROR(INDEX('Paramètres'!$I:$I,MATCH($C1695,'Paramètres'!$D:$D,0))&amp;"","")=IF($P1695=1,"Débit",$L1695)),-IF($P1695=1,-$K1695,$K1695),0))))</f>
        <v/>
      </c>
      <c r="U1695" s="6" t="str">
        <f>IF($K1695="","",IF(ISNUMBER(SEARCH("sortie-epargne",IFERROR(INDEX('Paramètres'!$N:$N,MATCH($D1695,'Paramètres'!$M:$M,0))&amp;"",""))),$K1695,0))</f>
        <v/>
      </c>
      <c r="V1695" s="6" t="str">
        <f>IF(AND($A1695&lt;&gt;"",$O1695=1,$L1695="Débit",N($Q1695)&gt;0,$A1695&gt;=Visualisation!$B$1,$A1695&lt;Visualisation!$D$1),MAX($V$1:V1694)+1,"")</f>
        <v/>
      </c>
    </row>
    <row r="1696" spans="1:22" x14ac:dyDescent="0.25">
      <c r="A1696" s="9"/>
      <c r="E1696" s="10"/>
      <c r="K1696" s="11" t="str">
        <f>IF($E1696="","",ROUND($E1696*IF(ISNA(MATCH($C1696,'Paramètres'!$D:$D,0)),1,IF(INDEX('Paramètres'!$J:$J,MATCH($C1696,'Paramètres'!$D:$D,0))="",1,INDEX('Paramètres'!$J:$J,MATCH($C1696,'Paramètres'!$D:$D,0)))),2))</f>
        <v/>
      </c>
      <c r="L1696" s="6" t="str">
        <f>IF($D1696="","",IF($F1696&lt;&gt;"",$F1696,IF(ISNA(MATCH($D1696,'Paramètres'!$M:$M,0)),"⚠ Type inconnu",IFERROR(INDEX('Paramètres'!$P:$P,MATCH($D1696,'Paramètres'!$M:$M,0))&amp;"",""))))</f>
        <v/>
      </c>
      <c r="M1696" s="6" t="str">
        <f>IF($D1696="","",IF(ISNA(MATCH($D1696,'Paramètres'!$M:$M,0)),"⚠ Type inconnu",IF($L1696="Crédit","",IFERROR(INDEX('Paramètres'!$O:$O,MATCH($D1696,'Paramètres'!$M:$M,0))&amp;"",""))))</f>
        <v/>
      </c>
      <c r="N1696" s="6" t="str">
        <f>IF($D1696="","",IFERROR(INDEX('Paramètres'!$Q:$Q,MATCH($D1696,'Paramètres'!$M:$M,0))&amp;"",""))</f>
        <v/>
      </c>
      <c r="O1696" s="6" t="str">
        <f>IF($A1696="","",IF(OR($J1696&lt;&gt;"x",$A1696&lt;=FinReleve),1,0))</f>
        <v/>
      </c>
      <c r="P1696" s="6" t="str">
        <f>IF($D1696="","",IF(AND($L1696="Crédit",OR(IFERROR(INDEX('Paramètres'!$O:$O,MATCH($D1696,'Paramètres'!$M:$M,0))&amp;"","")&lt;&gt;"",ISNUMBER(SEARCH("remboursement",IFERROR(INDEX('Paramètres'!$N:$N,MATCH($D1696,'Paramètres'!$M:$M,0))&amp;"",""))))),1,0))</f>
        <v/>
      </c>
      <c r="Q1696" s="6" t="str">
        <f>IF($K1696="","",IF(ISNUMBER(SEARCH("transfert-interne",IFERROR(INDEX('Paramètres'!$N:$N,MATCH($D1696,'Paramètres'!$M:$M,0))&amp;"",""))),0,IF($L1696="Débit",$K1696,IF($P1696=1,-$K1696,0))))</f>
        <v/>
      </c>
      <c r="R1696" s="6" t="str">
        <f>IF($K1696="","",IF($L1696="Crédit",$K1696,-$K1696))</f>
        <v/>
      </c>
      <c r="S1696" s="6" t="str">
        <f>IF($C1696="","",IFERROR(INDEX('Paramètres'!$H:$H,MATCH($C1696,'Paramètres'!$D:$D,0))&amp;"",""))</f>
        <v/>
      </c>
      <c r="T1696" s="6" t="str">
        <f>IF($K1696="","",IF($S1696="",0,IF(ISNUMBER(SEARCH("apport-exterieur",IFERROR(INDEX('Paramètres'!$N:$N,MATCH($D1696,'Paramètres'!$M:$M,0))&amp;"",""))),0,IF(OR(IFERROR(INDEX('Paramètres'!$I:$I,MATCH($C1696,'Paramètres'!$D:$D,0))&amp;"","")="Les deux",IFERROR(INDEX('Paramètres'!$I:$I,MATCH($C1696,'Paramètres'!$D:$D,0))&amp;"","")=IF($P1696=1,"Débit",$L1696)),-IF($P1696=1,-$K1696,$K1696),0))))</f>
        <v/>
      </c>
      <c r="U1696" s="6" t="str">
        <f>IF($K1696="","",IF(ISNUMBER(SEARCH("sortie-epargne",IFERROR(INDEX('Paramètres'!$N:$N,MATCH($D1696,'Paramètres'!$M:$M,0))&amp;"",""))),$K1696,0))</f>
        <v/>
      </c>
      <c r="V1696" s="6" t="str">
        <f>IF(AND($A1696&lt;&gt;"",$O1696=1,$L1696="Débit",N($Q1696)&gt;0,$A1696&gt;=Visualisation!$B$1,$A1696&lt;Visualisation!$D$1),MAX($V$1:V1695)+1,"")</f>
        <v/>
      </c>
    </row>
    <row r="1697" spans="1:22" x14ac:dyDescent="0.25">
      <c r="A1697" s="9"/>
      <c r="E1697" s="10"/>
      <c r="K1697" s="11" t="str">
        <f>IF($E1697="","",ROUND($E1697*IF(ISNA(MATCH($C1697,'Paramètres'!$D:$D,0)),1,IF(INDEX('Paramètres'!$J:$J,MATCH($C1697,'Paramètres'!$D:$D,0))="",1,INDEX('Paramètres'!$J:$J,MATCH($C1697,'Paramètres'!$D:$D,0)))),2))</f>
        <v/>
      </c>
      <c r="L1697" s="6" t="str">
        <f>IF($D1697="","",IF($F1697&lt;&gt;"",$F1697,IF(ISNA(MATCH($D1697,'Paramètres'!$M:$M,0)),"⚠ Type inconnu",IFERROR(INDEX('Paramètres'!$P:$P,MATCH($D1697,'Paramètres'!$M:$M,0))&amp;"",""))))</f>
        <v/>
      </c>
      <c r="M1697" s="6" t="str">
        <f>IF($D1697="","",IF(ISNA(MATCH($D1697,'Paramètres'!$M:$M,0)),"⚠ Type inconnu",IF($L1697="Crédit","",IFERROR(INDEX('Paramètres'!$O:$O,MATCH($D1697,'Paramètres'!$M:$M,0))&amp;"",""))))</f>
        <v/>
      </c>
      <c r="N1697" s="6" t="str">
        <f>IF($D1697="","",IFERROR(INDEX('Paramètres'!$Q:$Q,MATCH($D1697,'Paramètres'!$M:$M,0))&amp;"",""))</f>
        <v/>
      </c>
      <c r="O1697" s="6" t="str">
        <f>IF($A1697="","",IF(OR($J1697&lt;&gt;"x",$A1697&lt;=FinReleve),1,0))</f>
        <v/>
      </c>
      <c r="P1697" s="6" t="str">
        <f>IF($D1697="","",IF(AND($L1697="Crédit",OR(IFERROR(INDEX('Paramètres'!$O:$O,MATCH($D1697,'Paramètres'!$M:$M,0))&amp;"","")&lt;&gt;"",ISNUMBER(SEARCH("remboursement",IFERROR(INDEX('Paramètres'!$N:$N,MATCH($D1697,'Paramètres'!$M:$M,0))&amp;"",""))))),1,0))</f>
        <v/>
      </c>
      <c r="Q1697" s="6" t="str">
        <f>IF($K1697="","",IF(ISNUMBER(SEARCH("transfert-interne",IFERROR(INDEX('Paramètres'!$N:$N,MATCH($D1697,'Paramètres'!$M:$M,0))&amp;"",""))),0,IF($L1697="Débit",$K1697,IF($P1697=1,-$K1697,0))))</f>
        <v/>
      </c>
      <c r="R1697" s="6" t="str">
        <f>IF($K1697="","",IF($L1697="Crédit",$K1697,-$K1697))</f>
        <v/>
      </c>
      <c r="S1697" s="6" t="str">
        <f>IF($C1697="","",IFERROR(INDEX('Paramètres'!$H:$H,MATCH($C1697,'Paramètres'!$D:$D,0))&amp;"",""))</f>
        <v/>
      </c>
      <c r="T1697" s="6" t="str">
        <f>IF($K1697="","",IF($S1697="",0,IF(ISNUMBER(SEARCH("apport-exterieur",IFERROR(INDEX('Paramètres'!$N:$N,MATCH($D1697,'Paramètres'!$M:$M,0))&amp;"",""))),0,IF(OR(IFERROR(INDEX('Paramètres'!$I:$I,MATCH($C1697,'Paramètres'!$D:$D,0))&amp;"","")="Les deux",IFERROR(INDEX('Paramètres'!$I:$I,MATCH($C1697,'Paramètres'!$D:$D,0))&amp;"","")=IF($P1697=1,"Débit",$L1697)),-IF($P1697=1,-$K1697,$K1697),0))))</f>
        <v/>
      </c>
      <c r="U1697" s="6" t="str">
        <f>IF($K1697="","",IF(ISNUMBER(SEARCH("sortie-epargne",IFERROR(INDEX('Paramètres'!$N:$N,MATCH($D1697,'Paramètres'!$M:$M,0))&amp;"",""))),$K1697,0))</f>
        <v/>
      </c>
      <c r="V1697" s="6" t="str">
        <f>IF(AND($A1697&lt;&gt;"",$O1697=1,$L1697="Débit",N($Q1697)&gt;0,$A1697&gt;=Visualisation!$B$1,$A1697&lt;Visualisation!$D$1),MAX($V$1:V1696)+1,"")</f>
        <v/>
      </c>
    </row>
    <row r="1698" spans="1:22" x14ac:dyDescent="0.25">
      <c r="A1698" s="9"/>
      <c r="E1698" s="10"/>
      <c r="K1698" s="11" t="str">
        <f>IF($E1698="","",ROUND($E1698*IF(ISNA(MATCH($C1698,'Paramètres'!$D:$D,0)),1,IF(INDEX('Paramètres'!$J:$J,MATCH($C1698,'Paramètres'!$D:$D,0))="",1,INDEX('Paramètres'!$J:$J,MATCH($C1698,'Paramètres'!$D:$D,0)))),2))</f>
        <v/>
      </c>
      <c r="L1698" s="6" t="str">
        <f>IF($D1698="","",IF($F1698&lt;&gt;"",$F1698,IF(ISNA(MATCH($D1698,'Paramètres'!$M:$M,0)),"⚠ Type inconnu",IFERROR(INDEX('Paramètres'!$P:$P,MATCH($D1698,'Paramètres'!$M:$M,0))&amp;"",""))))</f>
        <v/>
      </c>
      <c r="M1698" s="6" t="str">
        <f>IF($D1698="","",IF(ISNA(MATCH($D1698,'Paramètres'!$M:$M,0)),"⚠ Type inconnu",IF($L1698="Crédit","",IFERROR(INDEX('Paramètres'!$O:$O,MATCH($D1698,'Paramètres'!$M:$M,0))&amp;"",""))))</f>
        <v/>
      </c>
      <c r="N1698" s="6" t="str">
        <f>IF($D1698="","",IFERROR(INDEX('Paramètres'!$Q:$Q,MATCH($D1698,'Paramètres'!$M:$M,0))&amp;"",""))</f>
        <v/>
      </c>
      <c r="O1698" s="6" t="str">
        <f>IF($A1698="","",IF(OR($J1698&lt;&gt;"x",$A1698&lt;=FinReleve),1,0))</f>
        <v/>
      </c>
      <c r="P1698" s="6" t="str">
        <f>IF($D1698="","",IF(AND($L1698="Crédit",OR(IFERROR(INDEX('Paramètres'!$O:$O,MATCH($D1698,'Paramètres'!$M:$M,0))&amp;"","")&lt;&gt;"",ISNUMBER(SEARCH("remboursement",IFERROR(INDEX('Paramètres'!$N:$N,MATCH($D1698,'Paramètres'!$M:$M,0))&amp;"",""))))),1,0))</f>
        <v/>
      </c>
      <c r="Q1698" s="6" t="str">
        <f>IF($K1698="","",IF(ISNUMBER(SEARCH("transfert-interne",IFERROR(INDEX('Paramètres'!$N:$N,MATCH($D1698,'Paramètres'!$M:$M,0))&amp;"",""))),0,IF($L1698="Débit",$K1698,IF($P1698=1,-$K1698,0))))</f>
        <v/>
      </c>
      <c r="R1698" s="6" t="str">
        <f>IF($K1698="","",IF($L1698="Crédit",$K1698,-$K1698))</f>
        <v/>
      </c>
      <c r="S1698" s="6" t="str">
        <f>IF($C1698="","",IFERROR(INDEX('Paramètres'!$H:$H,MATCH($C1698,'Paramètres'!$D:$D,0))&amp;"",""))</f>
        <v/>
      </c>
      <c r="T1698" s="6" t="str">
        <f>IF($K1698="","",IF($S1698="",0,IF(ISNUMBER(SEARCH("apport-exterieur",IFERROR(INDEX('Paramètres'!$N:$N,MATCH($D1698,'Paramètres'!$M:$M,0))&amp;"",""))),0,IF(OR(IFERROR(INDEX('Paramètres'!$I:$I,MATCH($C1698,'Paramètres'!$D:$D,0))&amp;"","")="Les deux",IFERROR(INDEX('Paramètres'!$I:$I,MATCH($C1698,'Paramètres'!$D:$D,0))&amp;"","")=IF($P1698=1,"Débit",$L1698)),-IF($P1698=1,-$K1698,$K1698),0))))</f>
        <v/>
      </c>
      <c r="U1698" s="6" t="str">
        <f>IF($K1698="","",IF(ISNUMBER(SEARCH("sortie-epargne",IFERROR(INDEX('Paramètres'!$N:$N,MATCH($D1698,'Paramètres'!$M:$M,0))&amp;"",""))),$K1698,0))</f>
        <v/>
      </c>
      <c r="V1698" s="6" t="str">
        <f>IF(AND($A1698&lt;&gt;"",$O1698=1,$L1698="Débit",N($Q1698)&gt;0,$A1698&gt;=Visualisation!$B$1,$A1698&lt;Visualisation!$D$1),MAX($V$1:V1697)+1,"")</f>
        <v/>
      </c>
    </row>
    <row r="1699" spans="1:22" x14ac:dyDescent="0.25">
      <c r="A1699" s="9"/>
      <c r="E1699" s="10"/>
      <c r="K1699" s="11" t="str">
        <f>IF($E1699="","",ROUND($E1699*IF(ISNA(MATCH($C1699,'Paramètres'!$D:$D,0)),1,IF(INDEX('Paramètres'!$J:$J,MATCH($C1699,'Paramètres'!$D:$D,0))="",1,INDEX('Paramètres'!$J:$J,MATCH($C1699,'Paramètres'!$D:$D,0)))),2))</f>
        <v/>
      </c>
      <c r="L1699" s="6" t="str">
        <f>IF($D1699="","",IF($F1699&lt;&gt;"",$F1699,IF(ISNA(MATCH($D1699,'Paramètres'!$M:$M,0)),"⚠ Type inconnu",IFERROR(INDEX('Paramètres'!$P:$P,MATCH($D1699,'Paramètres'!$M:$M,0))&amp;"",""))))</f>
        <v/>
      </c>
      <c r="M1699" s="6" t="str">
        <f>IF($D1699="","",IF(ISNA(MATCH($D1699,'Paramètres'!$M:$M,0)),"⚠ Type inconnu",IF($L1699="Crédit","",IFERROR(INDEX('Paramètres'!$O:$O,MATCH($D1699,'Paramètres'!$M:$M,0))&amp;"",""))))</f>
        <v/>
      </c>
      <c r="N1699" s="6" t="str">
        <f>IF($D1699="","",IFERROR(INDEX('Paramètres'!$Q:$Q,MATCH($D1699,'Paramètres'!$M:$M,0))&amp;"",""))</f>
        <v/>
      </c>
      <c r="O1699" s="6" t="str">
        <f>IF($A1699="","",IF(OR($J1699&lt;&gt;"x",$A1699&lt;=FinReleve),1,0))</f>
        <v/>
      </c>
      <c r="P1699" s="6" t="str">
        <f>IF($D1699="","",IF(AND($L1699="Crédit",OR(IFERROR(INDEX('Paramètres'!$O:$O,MATCH($D1699,'Paramètres'!$M:$M,0))&amp;"","")&lt;&gt;"",ISNUMBER(SEARCH("remboursement",IFERROR(INDEX('Paramètres'!$N:$N,MATCH($D1699,'Paramètres'!$M:$M,0))&amp;"",""))))),1,0))</f>
        <v/>
      </c>
      <c r="Q1699" s="6" t="str">
        <f>IF($K1699="","",IF(ISNUMBER(SEARCH("transfert-interne",IFERROR(INDEX('Paramètres'!$N:$N,MATCH($D1699,'Paramètres'!$M:$M,0))&amp;"",""))),0,IF($L1699="Débit",$K1699,IF($P1699=1,-$K1699,0))))</f>
        <v/>
      </c>
      <c r="R1699" s="6" t="str">
        <f>IF($K1699="","",IF($L1699="Crédit",$K1699,-$K1699))</f>
        <v/>
      </c>
      <c r="S1699" s="6" t="str">
        <f>IF($C1699="","",IFERROR(INDEX('Paramètres'!$H:$H,MATCH($C1699,'Paramètres'!$D:$D,0))&amp;"",""))</f>
        <v/>
      </c>
      <c r="T1699" s="6" t="str">
        <f>IF($K1699="","",IF($S1699="",0,IF(ISNUMBER(SEARCH("apport-exterieur",IFERROR(INDEX('Paramètres'!$N:$N,MATCH($D1699,'Paramètres'!$M:$M,0))&amp;"",""))),0,IF(OR(IFERROR(INDEX('Paramètres'!$I:$I,MATCH($C1699,'Paramètres'!$D:$D,0))&amp;"","")="Les deux",IFERROR(INDEX('Paramètres'!$I:$I,MATCH($C1699,'Paramètres'!$D:$D,0))&amp;"","")=IF($P1699=1,"Débit",$L1699)),-IF($P1699=1,-$K1699,$K1699),0))))</f>
        <v/>
      </c>
      <c r="U1699" s="6" t="str">
        <f>IF($K1699="","",IF(ISNUMBER(SEARCH("sortie-epargne",IFERROR(INDEX('Paramètres'!$N:$N,MATCH($D1699,'Paramètres'!$M:$M,0))&amp;"",""))),$K1699,0))</f>
        <v/>
      </c>
      <c r="V1699" s="6" t="str">
        <f>IF(AND($A1699&lt;&gt;"",$O1699=1,$L1699="Débit",N($Q1699)&gt;0,$A1699&gt;=Visualisation!$B$1,$A1699&lt;Visualisation!$D$1),MAX($V$1:V1698)+1,"")</f>
        <v/>
      </c>
    </row>
    <row r="1700" spans="1:22" x14ac:dyDescent="0.25">
      <c r="A1700" s="9"/>
      <c r="E1700" s="10"/>
      <c r="K1700" s="11" t="str">
        <f>IF($E1700="","",ROUND($E1700*IF(ISNA(MATCH($C1700,'Paramètres'!$D:$D,0)),1,IF(INDEX('Paramètres'!$J:$J,MATCH($C1700,'Paramètres'!$D:$D,0))="",1,INDEX('Paramètres'!$J:$J,MATCH($C1700,'Paramètres'!$D:$D,0)))),2))</f>
        <v/>
      </c>
      <c r="L1700" s="6" t="str">
        <f>IF($D1700="","",IF($F1700&lt;&gt;"",$F1700,IF(ISNA(MATCH($D1700,'Paramètres'!$M:$M,0)),"⚠ Type inconnu",IFERROR(INDEX('Paramètres'!$P:$P,MATCH($D1700,'Paramètres'!$M:$M,0))&amp;"",""))))</f>
        <v/>
      </c>
      <c r="M1700" s="6" t="str">
        <f>IF($D1700="","",IF(ISNA(MATCH($D1700,'Paramètres'!$M:$M,0)),"⚠ Type inconnu",IF($L1700="Crédit","",IFERROR(INDEX('Paramètres'!$O:$O,MATCH($D1700,'Paramètres'!$M:$M,0))&amp;"",""))))</f>
        <v/>
      </c>
      <c r="N1700" s="6" t="str">
        <f>IF($D1700="","",IFERROR(INDEX('Paramètres'!$Q:$Q,MATCH($D1700,'Paramètres'!$M:$M,0))&amp;"",""))</f>
        <v/>
      </c>
      <c r="O1700" s="6" t="str">
        <f>IF($A1700="","",IF(OR($J1700&lt;&gt;"x",$A1700&lt;=FinReleve),1,0))</f>
        <v/>
      </c>
      <c r="P1700" s="6" t="str">
        <f>IF($D1700="","",IF(AND($L1700="Crédit",OR(IFERROR(INDEX('Paramètres'!$O:$O,MATCH($D1700,'Paramètres'!$M:$M,0))&amp;"","")&lt;&gt;"",ISNUMBER(SEARCH("remboursement",IFERROR(INDEX('Paramètres'!$N:$N,MATCH($D1700,'Paramètres'!$M:$M,0))&amp;"",""))))),1,0))</f>
        <v/>
      </c>
      <c r="Q1700" s="6" t="str">
        <f>IF($K1700="","",IF(ISNUMBER(SEARCH("transfert-interne",IFERROR(INDEX('Paramètres'!$N:$N,MATCH($D1700,'Paramètres'!$M:$M,0))&amp;"",""))),0,IF($L1700="Débit",$K1700,IF($P1700=1,-$K1700,0))))</f>
        <v/>
      </c>
      <c r="R1700" s="6" t="str">
        <f>IF($K1700="","",IF($L1700="Crédit",$K1700,-$K1700))</f>
        <v/>
      </c>
      <c r="S1700" s="6" t="str">
        <f>IF($C1700="","",IFERROR(INDEX('Paramètres'!$H:$H,MATCH($C1700,'Paramètres'!$D:$D,0))&amp;"",""))</f>
        <v/>
      </c>
      <c r="T1700" s="6" t="str">
        <f>IF($K1700="","",IF($S1700="",0,IF(ISNUMBER(SEARCH("apport-exterieur",IFERROR(INDEX('Paramètres'!$N:$N,MATCH($D1700,'Paramètres'!$M:$M,0))&amp;"",""))),0,IF(OR(IFERROR(INDEX('Paramètres'!$I:$I,MATCH($C1700,'Paramètres'!$D:$D,0))&amp;"","")="Les deux",IFERROR(INDEX('Paramètres'!$I:$I,MATCH($C1700,'Paramètres'!$D:$D,0))&amp;"","")=IF($P1700=1,"Débit",$L1700)),-IF($P1700=1,-$K1700,$K1700),0))))</f>
        <v/>
      </c>
      <c r="U1700" s="6" t="str">
        <f>IF($K1700="","",IF(ISNUMBER(SEARCH("sortie-epargne",IFERROR(INDEX('Paramètres'!$N:$N,MATCH($D1700,'Paramètres'!$M:$M,0))&amp;"",""))),$K1700,0))</f>
        <v/>
      </c>
      <c r="V1700" s="6" t="str">
        <f>IF(AND($A1700&lt;&gt;"",$O1700=1,$L1700="Débit",N($Q1700)&gt;0,$A1700&gt;=Visualisation!$B$1,$A1700&lt;Visualisation!$D$1),MAX($V$1:V1699)+1,"")</f>
        <v/>
      </c>
    </row>
    <row r="1701" spans="1:22" x14ac:dyDescent="0.25">
      <c r="A1701" s="9"/>
      <c r="E1701" s="10"/>
      <c r="K1701" s="11" t="str">
        <f>IF($E1701="","",ROUND($E1701*IF(ISNA(MATCH($C1701,'Paramètres'!$D:$D,0)),1,IF(INDEX('Paramètres'!$J:$J,MATCH($C1701,'Paramètres'!$D:$D,0))="",1,INDEX('Paramètres'!$J:$J,MATCH($C1701,'Paramètres'!$D:$D,0)))),2))</f>
        <v/>
      </c>
      <c r="L1701" s="6" t="str">
        <f>IF($D1701="","",IF($F1701&lt;&gt;"",$F1701,IF(ISNA(MATCH($D1701,'Paramètres'!$M:$M,0)),"⚠ Type inconnu",IFERROR(INDEX('Paramètres'!$P:$P,MATCH($D1701,'Paramètres'!$M:$M,0))&amp;"",""))))</f>
        <v/>
      </c>
      <c r="M1701" s="6" t="str">
        <f>IF($D1701="","",IF(ISNA(MATCH($D1701,'Paramètres'!$M:$M,0)),"⚠ Type inconnu",IF($L1701="Crédit","",IFERROR(INDEX('Paramètres'!$O:$O,MATCH($D1701,'Paramètres'!$M:$M,0))&amp;"",""))))</f>
        <v/>
      </c>
      <c r="N1701" s="6" t="str">
        <f>IF($D1701="","",IFERROR(INDEX('Paramètres'!$Q:$Q,MATCH($D1701,'Paramètres'!$M:$M,0))&amp;"",""))</f>
        <v/>
      </c>
      <c r="O1701" s="6" t="str">
        <f>IF($A1701="","",IF(OR($J1701&lt;&gt;"x",$A1701&lt;=FinReleve),1,0))</f>
        <v/>
      </c>
      <c r="P1701" s="6" t="str">
        <f>IF($D1701="","",IF(AND($L1701="Crédit",OR(IFERROR(INDEX('Paramètres'!$O:$O,MATCH($D1701,'Paramètres'!$M:$M,0))&amp;"","")&lt;&gt;"",ISNUMBER(SEARCH("remboursement",IFERROR(INDEX('Paramètres'!$N:$N,MATCH($D1701,'Paramètres'!$M:$M,0))&amp;"",""))))),1,0))</f>
        <v/>
      </c>
      <c r="Q1701" s="6" t="str">
        <f>IF($K1701="","",IF(ISNUMBER(SEARCH("transfert-interne",IFERROR(INDEX('Paramètres'!$N:$N,MATCH($D1701,'Paramètres'!$M:$M,0))&amp;"",""))),0,IF($L1701="Débit",$K1701,IF($P1701=1,-$K1701,0))))</f>
        <v/>
      </c>
      <c r="R1701" s="6" t="str">
        <f>IF($K1701="","",IF($L1701="Crédit",$K1701,-$K1701))</f>
        <v/>
      </c>
      <c r="S1701" s="6" t="str">
        <f>IF($C1701="","",IFERROR(INDEX('Paramètres'!$H:$H,MATCH($C1701,'Paramètres'!$D:$D,0))&amp;"",""))</f>
        <v/>
      </c>
      <c r="T1701" s="6" t="str">
        <f>IF($K1701="","",IF($S1701="",0,IF(ISNUMBER(SEARCH("apport-exterieur",IFERROR(INDEX('Paramètres'!$N:$N,MATCH($D1701,'Paramètres'!$M:$M,0))&amp;"",""))),0,IF(OR(IFERROR(INDEX('Paramètres'!$I:$I,MATCH($C1701,'Paramètres'!$D:$D,0))&amp;"","")="Les deux",IFERROR(INDEX('Paramètres'!$I:$I,MATCH($C1701,'Paramètres'!$D:$D,0))&amp;"","")=IF($P1701=1,"Débit",$L1701)),-IF($P1701=1,-$K1701,$K1701),0))))</f>
        <v/>
      </c>
      <c r="U1701" s="6" t="str">
        <f>IF($K1701="","",IF(ISNUMBER(SEARCH("sortie-epargne",IFERROR(INDEX('Paramètres'!$N:$N,MATCH($D1701,'Paramètres'!$M:$M,0))&amp;"",""))),$K1701,0))</f>
        <v/>
      </c>
      <c r="V1701" s="6" t="str">
        <f>IF(AND($A1701&lt;&gt;"",$O1701=1,$L1701="Débit",N($Q1701)&gt;0,$A1701&gt;=Visualisation!$B$1,$A1701&lt;Visualisation!$D$1),MAX($V$1:V1700)+1,"")</f>
        <v/>
      </c>
    </row>
    <row r="1702" spans="1:22" x14ac:dyDescent="0.25">
      <c r="A1702" s="9"/>
      <c r="E1702" s="10"/>
      <c r="K1702" s="11" t="str">
        <f>IF($E1702="","",ROUND($E1702*IF(ISNA(MATCH($C1702,'Paramètres'!$D:$D,0)),1,IF(INDEX('Paramètres'!$J:$J,MATCH($C1702,'Paramètres'!$D:$D,0))="",1,INDEX('Paramètres'!$J:$J,MATCH($C1702,'Paramètres'!$D:$D,0)))),2))</f>
        <v/>
      </c>
      <c r="L1702" s="6" t="str">
        <f>IF($D1702="","",IF($F1702&lt;&gt;"",$F1702,IF(ISNA(MATCH($D1702,'Paramètres'!$M:$M,0)),"⚠ Type inconnu",IFERROR(INDEX('Paramètres'!$P:$P,MATCH($D1702,'Paramètres'!$M:$M,0))&amp;"",""))))</f>
        <v/>
      </c>
      <c r="M1702" s="6" t="str">
        <f>IF($D1702="","",IF(ISNA(MATCH($D1702,'Paramètres'!$M:$M,0)),"⚠ Type inconnu",IF($L1702="Crédit","",IFERROR(INDEX('Paramètres'!$O:$O,MATCH($D1702,'Paramètres'!$M:$M,0))&amp;"",""))))</f>
        <v/>
      </c>
      <c r="N1702" s="6" t="str">
        <f>IF($D1702="","",IFERROR(INDEX('Paramètres'!$Q:$Q,MATCH($D1702,'Paramètres'!$M:$M,0))&amp;"",""))</f>
        <v/>
      </c>
      <c r="O1702" s="6" t="str">
        <f>IF($A1702="","",IF(OR($J1702&lt;&gt;"x",$A1702&lt;=FinReleve),1,0))</f>
        <v/>
      </c>
      <c r="P1702" s="6" t="str">
        <f>IF($D1702="","",IF(AND($L1702="Crédit",OR(IFERROR(INDEX('Paramètres'!$O:$O,MATCH($D1702,'Paramètres'!$M:$M,0))&amp;"","")&lt;&gt;"",ISNUMBER(SEARCH("remboursement",IFERROR(INDEX('Paramètres'!$N:$N,MATCH($D1702,'Paramètres'!$M:$M,0))&amp;"",""))))),1,0))</f>
        <v/>
      </c>
      <c r="Q1702" s="6" t="str">
        <f>IF($K1702="","",IF(ISNUMBER(SEARCH("transfert-interne",IFERROR(INDEX('Paramètres'!$N:$N,MATCH($D1702,'Paramètres'!$M:$M,0))&amp;"",""))),0,IF($L1702="Débit",$K1702,IF($P1702=1,-$K1702,0))))</f>
        <v/>
      </c>
      <c r="R1702" s="6" t="str">
        <f>IF($K1702="","",IF($L1702="Crédit",$K1702,-$K1702))</f>
        <v/>
      </c>
      <c r="S1702" s="6" t="str">
        <f>IF($C1702="","",IFERROR(INDEX('Paramètres'!$H:$H,MATCH($C1702,'Paramètres'!$D:$D,0))&amp;"",""))</f>
        <v/>
      </c>
      <c r="T1702" s="6" t="str">
        <f>IF($K1702="","",IF($S1702="",0,IF(ISNUMBER(SEARCH("apport-exterieur",IFERROR(INDEX('Paramètres'!$N:$N,MATCH($D1702,'Paramètres'!$M:$M,0))&amp;"",""))),0,IF(OR(IFERROR(INDEX('Paramètres'!$I:$I,MATCH($C1702,'Paramètres'!$D:$D,0))&amp;"","")="Les deux",IFERROR(INDEX('Paramètres'!$I:$I,MATCH($C1702,'Paramètres'!$D:$D,0))&amp;"","")=IF($P1702=1,"Débit",$L1702)),-IF($P1702=1,-$K1702,$K1702),0))))</f>
        <v/>
      </c>
      <c r="U1702" s="6" t="str">
        <f>IF($K1702="","",IF(ISNUMBER(SEARCH("sortie-epargne",IFERROR(INDEX('Paramètres'!$N:$N,MATCH($D1702,'Paramètres'!$M:$M,0))&amp;"",""))),$K1702,0))</f>
        <v/>
      </c>
      <c r="V1702" s="6" t="str">
        <f>IF(AND($A1702&lt;&gt;"",$O1702=1,$L1702="Débit",N($Q1702)&gt;0,$A1702&gt;=Visualisation!$B$1,$A1702&lt;Visualisation!$D$1),MAX($V$1:V1701)+1,"")</f>
        <v/>
      </c>
    </row>
    <row r="1703" spans="1:22" x14ac:dyDescent="0.25">
      <c r="A1703" s="9"/>
      <c r="E1703" s="10"/>
      <c r="K1703" s="11" t="str">
        <f>IF($E1703="","",ROUND($E1703*IF(ISNA(MATCH($C1703,'Paramètres'!$D:$D,0)),1,IF(INDEX('Paramètres'!$J:$J,MATCH($C1703,'Paramètres'!$D:$D,0))="",1,INDEX('Paramètres'!$J:$J,MATCH($C1703,'Paramètres'!$D:$D,0)))),2))</f>
        <v/>
      </c>
      <c r="L1703" s="6" t="str">
        <f>IF($D1703="","",IF($F1703&lt;&gt;"",$F1703,IF(ISNA(MATCH($D1703,'Paramètres'!$M:$M,0)),"⚠ Type inconnu",IFERROR(INDEX('Paramètres'!$P:$P,MATCH($D1703,'Paramètres'!$M:$M,0))&amp;"",""))))</f>
        <v/>
      </c>
      <c r="M1703" s="6" t="str">
        <f>IF($D1703="","",IF(ISNA(MATCH($D1703,'Paramètres'!$M:$M,0)),"⚠ Type inconnu",IF($L1703="Crédit","",IFERROR(INDEX('Paramètres'!$O:$O,MATCH($D1703,'Paramètres'!$M:$M,0))&amp;"",""))))</f>
        <v/>
      </c>
      <c r="N1703" s="6" t="str">
        <f>IF($D1703="","",IFERROR(INDEX('Paramètres'!$Q:$Q,MATCH($D1703,'Paramètres'!$M:$M,0))&amp;"",""))</f>
        <v/>
      </c>
      <c r="O1703" s="6" t="str">
        <f>IF($A1703="","",IF(OR($J1703&lt;&gt;"x",$A1703&lt;=FinReleve),1,0))</f>
        <v/>
      </c>
      <c r="P1703" s="6" t="str">
        <f>IF($D1703="","",IF(AND($L1703="Crédit",OR(IFERROR(INDEX('Paramètres'!$O:$O,MATCH($D1703,'Paramètres'!$M:$M,0))&amp;"","")&lt;&gt;"",ISNUMBER(SEARCH("remboursement",IFERROR(INDEX('Paramètres'!$N:$N,MATCH($D1703,'Paramètres'!$M:$M,0))&amp;"",""))))),1,0))</f>
        <v/>
      </c>
      <c r="Q1703" s="6" t="str">
        <f>IF($K1703="","",IF(ISNUMBER(SEARCH("transfert-interne",IFERROR(INDEX('Paramètres'!$N:$N,MATCH($D1703,'Paramètres'!$M:$M,0))&amp;"",""))),0,IF($L1703="Débit",$K1703,IF($P1703=1,-$K1703,0))))</f>
        <v/>
      </c>
      <c r="R1703" s="6" t="str">
        <f>IF($K1703="","",IF($L1703="Crédit",$K1703,-$K1703))</f>
        <v/>
      </c>
      <c r="S1703" s="6" t="str">
        <f>IF($C1703="","",IFERROR(INDEX('Paramètres'!$H:$H,MATCH($C1703,'Paramètres'!$D:$D,0))&amp;"",""))</f>
        <v/>
      </c>
      <c r="T1703" s="6" t="str">
        <f>IF($K1703="","",IF($S1703="",0,IF(ISNUMBER(SEARCH("apport-exterieur",IFERROR(INDEX('Paramètres'!$N:$N,MATCH($D1703,'Paramètres'!$M:$M,0))&amp;"",""))),0,IF(OR(IFERROR(INDEX('Paramètres'!$I:$I,MATCH($C1703,'Paramètres'!$D:$D,0))&amp;"","")="Les deux",IFERROR(INDEX('Paramètres'!$I:$I,MATCH($C1703,'Paramètres'!$D:$D,0))&amp;"","")=IF($P1703=1,"Débit",$L1703)),-IF($P1703=1,-$K1703,$K1703),0))))</f>
        <v/>
      </c>
      <c r="U1703" s="6" t="str">
        <f>IF($K1703="","",IF(ISNUMBER(SEARCH("sortie-epargne",IFERROR(INDEX('Paramètres'!$N:$N,MATCH($D1703,'Paramètres'!$M:$M,0))&amp;"",""))),$K1703,0))</f>
        <v/>
      </c>
      <c r="V1703" s="6" t="str">
        <f>IF(AND($A1703&lt;&gt;"",$O1703=1,$L1703="Débit",N($Q1703)&gt;0,$A1703&gt;=Visualisation!$B$1,$A1703&lt;Visualisation!$D$1),MAX($V$1:V1702)+1,"")</f>
        <v/>
      </c>
    </row>
    <row r="1704" spans="1:22" x14ac:dyDescent="0.25">
      <c r="A1704" s="9"/>
      <c r="E1704" s="10"/>
      <c r="K1704" s="11" t="str">
        <f>IF($E1704="","",ROUND($E1704*IF(ISNA(MATCH($C1704,'Paramètres'!$D:$D,0)),1,IF(INDEX('Paramètres'!$J:$J,MATCH($C1704,'Paramètres'!$D:$D,0))="",1,INDEX('Paramètres'!$J:$J,MATCH($C1704,'Paramètres'!$D:$D,0)))),2))</f>
        <v/>
      </c>
      <c r="L1704" s="6" t="str">
        <f>IF($D1704="","",IF($F1704&lt;&gt;"",$F1704,IF(ISNA(MATCH($D1704,'Paramètres'!$M:$M,0)),"⚠ Type inconnu",IFERROR(INDEX('Paramètres'!$P:$P,MATCH($D1704,'Paramètres'!$M:$M,0))&amp;"",""))))</f>
        <v/>
      </c>
      <c r="M1704" s="6" t="str">
        <f>IF($D1704="","",IF(ISNA(MATCH($D1704,'Paramètres'!$M:$M,0)),"⚠ Type inconnu",IF($L1704="Crédit","",IFERROR(INDEX('Paramètres'!$O:$O,MATCH($D1704,'Paramètres'!$M:$M,0))&amp;"",""))))</f>
        <v/>
      </c>
      <c r="N1704" s="6" t="str">
        <f>IF($D1704="","",IFERROR(INDEX('Paramètres'!$Q:$Q,MATCH($D1704,'Paramètres'!$M:$M,0))&amp;"",""))</f>
        <v/>
      </c>
      <c r="O1704" s="6" t="str">
        <f>IF($A1704="","",IF(OR($J1704&lt;&gt;"x",$A1704&lt;=FinReleve),1,0))</f>
        <v/>
      </c>
      <c r="P1704" s="6" t="str">
        <f>IF($D1704="","",IF(AND($L1704="Crédit",OR(IFERROR(INDEX('Paramètres'!$O:$O,MATCH($D1704,'Paramètres'!$M:$M,0))&amp;"","")&lt;&gt;"",ISNUMBER(SEARCH("remboursement",IFERROR(INDEX('Paramètres'!$N:$N,MATCH($D1704,'Paramètres'!$M:$M,0))&amp;"",""))))),1,0))</f>
        <v/>
      </c>
      <c r="Q1704" s="6" t="str">
        <f>IF($K1704="","",IF(ISNUMBER(SEARCH("transfert-interne",IFERROR(INDEX('Paramètres'!$N:$N,MATCH($D1704,'Paramètres'!$M:$M,0))&amp;"",""))),0,IF($L1704="Débit",$K1704,IF($P1704=1,-$K1704,0))))</f>
        <v/>
      </c>
      <c r="R1704" s="6" t="str">
        <f>IF($K1704="","",IF($L1704="Crédit",$K1704,-$K1704))</f>
        <v/>
      </c>
      <c r="S1704" s="6" t="str">
        <f>IF($C1704="","",IFERROR(INDEX('Paramètres'!$H:$H,MATCH($C1704,'Paramètres'!$D:$D,0))&amp;"",""))</f>
        <v/>
      </c>
      <c r="T1704" s="6" t="str">
        <f>IF($K1704="","",IF($S1704="",0,IF(ISNUMBER(SEARCH("apport-exterieur",IFERROR(INDEX('Paramètres'!$N:$N,MATCH($D1704,'Paramètres'!$M:$M,0))&amp;"",""))),0,IF(OR(IFERROR(INDEX('Paramètres'!$I:$I,MATCH($C1704,'Paramètres'!$D:$D,0))&amp;"","")="Les deux",IFERROR(INDEX('Paramètres'!$I:$I,MATCH($C1704,'Paramètres'!$D:$D,0))&amp;"","")=IF($P1704=1,"Débit",$L1704)),-IF($P1704=1,-$K1704,$K1704),0))))</f>
        <v/>
      </c>
      <c r="U1704" s="6" t="str">
        <f>IF($K1704="","",IF(ISNUMBER(SEARCH("sortie-epargne",IFERROR(INDEX('Paramètres'!$N:$N,MATCH($D1704,'Paramètres'!$M:$M,0))&amp;"",""))),$K1704,0))</f>
        <v/>
      </c>
      <c r="V1704" s="6" t="str">
        <f>IF(AND($A1704&lt;&gt;"",$O1704=1,$L1704="Débit",N($Q1704)&gt;0,$A1704&gt;=Visualisation!$B$1,$A1704&lt;Visualisation!$D$1),MAX($V$1:V1703)+1,"")</f>
        <v/>
      </c>
    </row>
    <row r="1705" spans="1:22" x14ac:dyDescent="0.25">
      <c r="A1705" s="9"/>
      <c r="E1705" s="10"/>
      <c r="K1705" s="11" t="str">
        <f>IF($E1705="","",ROUND($E1705*IF(ISNA(MATCH($C1705,'Paramètres'!$D:$D,0)),1,IF(INDEX('Paramètres'!$J:$J,MATCH($C1705,'Paramètres'!$D:$D,0))="",1,INDEX('Paramètres'!$J:$J,MATCH($C1705,'Paramètres'!$D:$D,0)))),2))</f>
        <v/>
      </c>
      <c r="L1705" s="6" t="str">
        <f>IF($D1705="","",IF($F1705&lt;&gt;"",$F1705,IF(ISNA(MATCH($D1705,'Paramètres'!$M:$M,0)),"⚠ Type inconnu",IFERROR(INDEX('Paramètres'!$P:$P,MATCH($D1705,'Paramètres'!$M:$M,0))&amp;"",""))))</f>
        <v/>
      </c>
      <c r="M1705" s="6" t="str">
        <f>IF($D1705="","",IF(ISNA(MATCH($D1705,'Paramètres'!$M:$M,0)),"⚠ Type inconnu",IF($L1705="Crédit","",IFERROR(INDEX('Paramètres'!$O:$O,MATCH($D1705,'Paramètres'!$M:$M,0))&amp;"",""))))</f>
        <v/>
      </c>
      <c r="N1705" s="6" t="str">
        <f>IF($D1705="","",IFERROR(INDEX('Paramètres'!$Q:$Q,MATCH($D1705,'Paramètres'!$M:$M,0))&amp;"",""))</f>
        <v/>
      </c>
      <c r="O1705" s="6" t="str">
        <f>IF($A1705="","",IF(OR($J1705&lt;&gt;"x",$A1705&lt;=FinReleve),1,0))</f>
        <v/>
      </c>
      <c r="P1705" s="6" t="str">
        <f>IF($D1705="","",IF(AND($L1705="Crédit",OR(IFERROR(INDEX('Paramètres'!$O:$O,MATCH($D1705,'Paramètres'!$M:$M,0))&amp;"","")&lt;&gt;"",ISNUMBER(SEARCH("remboursement",IFERROR(INDEX('Paramètres'!$N:$N,MATCH($D1705,'Paramètres'!$M:$M,0))&amp;"",""))))),1,0))</f>
        <v/>
      </c>
      <c r="Q1705" s="6" t="str">
        <f>IF($K1705="","",IF(ISNUMBER(SEARCH("transfert-interne",IFERROR(INDEX('Paramètres'!$N:$N,MATCH($D1705,'Paramètres'!$M:$M,0))&amp;"",""))),0,IF($L1705="Débit",$K1705,IF($P1705=1,-$K1705,0))))</f>
        <v/>
      </c>
      <c r="R1705" s="6" t="str">
        <f>IF($K1705="","",IF($L1705="Crédit",$K1705,-$K1705))</f>
        <v/>
      </c>
      <c r="S1705" s="6" t="str">
        <f>IF($C1705="","",IFERROR(INDEX('Paramètres'!$H:$H,MATCH($C1705,'Paramètres'!$D:$D,0))&amp;"",""))</f>
        <v/>
      </c>
      <c r="T1705" s="6" t="str">
        <f>IF($K1705="","",IF($S1705="",0,IF(ISNUMBER(SEARCH("apport-exterieur",IFERROR(INDEX('Paramètres'!$N:$N,MATCH($D1705,'Paramètres'!$M:$M,0))&amp;"",""))),0,IF(OR(IFERROR(INDEX('Paramètres'!$I:$I,MATCH($C1705,'Paramètres'!$D:$D,0))&amp;"","")="Les deux",IFERROR(INDEX('Paramètres'!$I:$I,MATCH($C1705,'Paramètres'!$D:$D,0))&amp;"","")=IF($P1705=1,"Débit",$L1705)),-IF($P1705=1,-$K1705,$K1705),0))))</f>
        <v/>
      </c>
      <c r="U1705" s="6" t="str">
        <f>IF($K1705="","",IF(ISNUMBER(SEARCH("sortie-epargne",IFERROR(INDEX('Paramètres'!$N:$N,MATCH($D1705,'Paramètres'!$M:$M,0))&amp;"",""))),$K1705,0))</f>
        <v/>
      </c>
      <c r="V1705" s="6" t="str">
        <f>IF(AND($A1705&lt;&gt;"",$O1705=1,$L1705="Débit",N($Q1705)&gt;0,$A1705&gt;=Visualisation!$B$1,$A1705&lt;Visualisation!$D$1),MAX($V$1:V1704)+1,"")</f>
        <v/>
      </c>
    </row>
    <row r="1706" spans="1:22" x14ac:dyDescent="0.25">
      <c r="A1706" s="9"/>
      <c r="E1706" s="10"/>
      <c r="K1706" s="11" t="str">
        <f>IF($E1706="","",ROUND($E1706*IF(ISNA(MATCH($C1706,'Paramètres'!$D:$D,0)),1,IF(INDEX('Paramètres'!$J:$J,MATCH($C1706,'Paramètres'!$D:$D,0))="",1,INDEX('Paramètres'!$J:$J,MATCH($C1706,'Paramètres'!$D:$D,0)))),2))</f>
        <v/>
      </c>
      <c r="L1706" s="6" t="str">
        <f>IF($D1706="","",IF($F1706&lt;&gt;"",$F1706,IF(ISNA(MATCH($D1706,'Paramètres'!$M:$M,0)),"⚠ Type inconnu",IFERROR(INDEX('Paramètres'!$P:$P,MATCH($D1706,'Paramètres'!$M:$M,0))&amp;"",""))))</f>
        <v/>
      </c>
      <c r="M1706" s="6" t="str">
        <f>IF($D1706="","",IF(ISNA(MATCH($D1706,'Paramètres'!$M:$M,0)),"⚠ Type inconnu",IF($L1706="Crédit","",IFERROR(INDEX('Paramètres'!$O:$O,MATCH($D1706,'Paramètres'!$M:$M,0))&amp;"",""))))</f>
        <v/>
      </c>
      <c r="N1706" s="6" t="str">
        <f>IF($D1706="","",IFERROR(INDEX('Paramètres'!$Q:$Q,MATCH($D1706,'Paramètres'!$M:$M,0))&amp;"",""))</f>
        <v/>
      </c>
      <c r="O1706" s="6" t="str">
        <f>IF($A1706="","",IF(OR($J1706&lt;&gt;"x",$A1706&lt;=FinReleve),1,0))</f>
        <v/>
      </c>
      <c r="P1706" s="6" t="str">
        <f>IF($D1706="","",IF(AND($L1706="Crédit",OR(IFERROR(INDEX('Paramètres'!$O:$O,MATCH($D1706,'Paramètres'!$M:$M,0))&amp;"","")&lt;&gt;"",ISNUMBER(SEARCH("remboursement",IFERROR(INDEX('Paramètres'!$N:$N,MATCH($D1706,'Paramètres'!$M:$M,0))&amp;"",""))))),1,0))</f>
        <v/>
      </c>
      <c r="Q1706" s="6" t="str">
        <f>IF($K1706="","",IF(ISNUMBER(SEARCH("transfert-interne",IFERROR(INDEX('Paramètres'!$N:$N,MATCH($D1706,'Paramètres'!$M:$M,0))&amp;"",""))),0,IF($L1706="Débit",$K1706,IF($P1706=1,-$K1706,0))))</f>
        <v/>
      </c>
      <c r="R1706" s="6" t="str">
        <f>IF($K1706="","",IF($L1706="Crédit",$K1706,-$K1706))</f>
        <v/>
      </c>
      <c r="S1706" s="6" t="str">
        <f>IF($C1706="","",IFERROR(INDEX('Paramètres'!$H:$H,MATCH($C1706,'Paramètres'!$D:$D,0))&amp;"",""))</f>
        <v/>
      </c>
      <c r="T1706" s="6" t="str">
        <f>IF($K1706="","",IF($S1706="",0,IF(ISNUMBER(SEARCH("apport-exterieur",IFERROR(INDEX('Paramètres'!$N:$N,MATCH($D1706,'Paramètres'!$M:$M,0))&amp;"",""))),0,IF(OR(IFERROR(INDEX('Paramètres'!$I:$I,MATCH($C1706,'Paramètres'!$D:$D,0))&amp;"","")="Les deux",IFERROR(INDEX('Paramètres'!$I:$I,MATCH($C1706,'Paramètres'!$D:$D,0))&amp;"","")=IF($P1706=1,"Débit",$L1706)),-IF($P1706=1,-$K1706,$K1706),0))))</f>
        <v/>
      </c>
      <c r="U1706" s="6" t="str">
        <f>IF($K1706="","",IF(ISNUMBER(SEARCH("sortie-epargne",IFERROR(INDEX('Paramètres'!$N:$N,MATCH($D1706,'Paramètres'!$M:$M,0))&amp;"",""))),$K1706,0))</f>
        <v/>
      </c>
      <c r="V1706" s="6" t="str">
        <f>IF(AND($A1706&lt;&gt;"",$O1706=1,$L1706="Débit",N($Q1706)&gt;0,$A1706&gt;=Visualisation!$B$1,$A1706&lt;Visualisation!$D$1),MAX($V$1:V1705)+1,"")</f>
        <v/>
      </c>
    </row>
    <row r="1707" spans="1:22" x14ac:dyDescent="0.25">
      <c r="A1707" s="9"/>
      <c r="E1707" s="10"/>
      <c r="K1707" s="11" t="str">
        <f>IF($E1707="","",ROUND($E1707*IF(ISNA(MATCH($C1707,'Paramètres'!$D:$D,0)),1,IF(INDEX('Paramètres'!$J:$J,MATCH($C1707,'Paramètres'!$D:$D,0))="",1,INDEX('Paramètres'!$J:$J,MATCH($C1707,'Paramètres'!$D:$D,0)))),2))</f>
        <v/>
      </c>
      <c r="L1707" s="6" t="str">
        <f>IF($D1707="","",IF($F1707&lt;&gt;"",$F1707,IF(ISNA(MATCH($D1707,'Paramètres'!$M:$M,0)),"⚠ Type inconnu",IFERROR(INDEX('Paramètres'!$P:$P,MATCH($D1707,'Paramètres'!$M:$M,0))&amp;"",""))))</f>
        <v/>
      </c>
      <c r="M1707" s="6" t="str">
        <f>IF($D1707="","",IF(ISNA(MATCH($D1707,'Paramètres'!$M:$M,0)),"⚠ Type inconnu",IF($L1707="Crédit","",IFERROR(INDEX('Paramètres'!$O:$O,MATCH($D1707,'Paramètres'!$M:$M,0))&amp;"",""))))</f>
        <v/>
      </c>
      <c r="N1707" s="6" t="str">
        <f>IF($D1707="","",IFERROR(INDEX('Paramètres'!$Q:$Q,MATCH($D1707,'Paramètres'!$M:$M,0))&amp;"",""))</f>
        <v/>
      </c>
      <c r="O1707" s="6" t="str">
        <f>IF($A1707="","",IF(OR($J1707&lt;&gt;"x",$A1707&lt;=FinReleve),1,0))</f>
        <v/>
      </c>
      <c r="P1707" s="6" t="str">
        <f>IF($D1707="","",IF(AND($L1707="Crédit",OR(IFERROR(INDEX('Paramètres'!$O:$O,MATCH($D1707,'Paramètres'!$M:$M,0))&amp;"","")&lt;&gt;"",ISNUMBER(SEARCH("remboursement",IFERROR(INDEX('Paramètres'!$N:$N,MATCH($D1707,'Paramètres'!$M:$M,0))&amp;"",""))))),1,0))</f>
        <v/>
      </c>
      <c r="Q1707" s="6" t="str">
        <f>IF($K1707="","",IF(ISNUMBER(SEARCH("transfert-interne",IFERROR(INDEX('Paramètres'!$N:$N,MATCH($D1707,'Paramètres'!$M:$M,0))&amp;"",""))),0,IF($L1707="Débit",$K1707,IF($P1707=1,-$K1707,0))))</f>
        <v/>
      </c>
      <c r="R1707" s="6" t="str">
        <f>IF($K1707="","",IF($L1707="Crédit",$K1707,-$K1707))</f>
        <v/>
      </c>
      <c r="S1707" s="6" t="str">
        <f>IF($C1707="","",IFERROR(INDEX('Paramètres'!$H:$H,MATCH($C1707,'Paramètres'!$D:$D,0))&amp;"",""))</f>
        <v/>
      </c>
      <c r="T1707" s="6" t="str">
        <f>IF($K1707="","",IF($S1707="",0,IF(ISNUMBER(SEARCH("apport-exterieur",IFERROR(INDEX('Paramètres'!$N:$N,MATCH($D1707,'Paramètres'!$M:$M,0))&amp;"",""))),0,IF(OR(IFERROR(INDEX('Paramètres'!$I:$I,MATCH($C1707,'Paramètres'!$D:$D,0))&amp;"","")="Les deux",IFERROR(INDEX('Paramètres'!$I:$I,MATCH($C1707,'Paramètres'!$D:$D,0))&amp;"","")=IF($P1707=1,"Débit",$L1707)),-IF($P1707=1,-$K1707,$K1707),0))))</f>
        <v/>
      </c>
      <c r="U1707" s="6" t="str">
        <f>IF($K1707="","",IF(ISNUMBER(SEARCH("sortie-epargne",IFERROR(INDEX('Paramètres'!$N:$N,MATCH($D1707,'Paramètres'!$M:$M,0))&amp;"",""))),$K1707,0))</f>
        <v/>
      </c>
      <c r="V1707" s="6" t="str">
        <f>IF(AND($A1707&lt;&gt;"",$O1707=1,$L1707="Débit",N($Q1707)&gt;0,$A1707&gt;=Visualisation!$B$1,$A1707&lt;Visualisation!$D$1),MAX($V$1:V1706)+1,"")</f>
        <v/>
      </c>
    </row>
    <row r="1708" spans="1:22" x14ac:dyDescent="0.25">
      <c r="A1708" s="9"/>
      <c r="E1708" s="10"/>
      <c r="K1708" s="11" t="str">
        <f>IF($E1708="","",ROUND($E1708*IF(ISNA(MATCH($C1708,'Paramètres'!$D:$D,0)),1,IF(INDEX('Paramètres'!$J:$J,MATCH($C1708,'Paramètres'!$D:$D,0))="",1,INDEX('Paramètres'!$J:$J,MATCH($C1708,'Paramètres'!$D:$D,0)))),2))</f>
        <v/>
      </c>
      <c r="L1708" s="6" t="str">
        <f>IF($D1708="","",IF($F1708&lt;&gt;"",$F1708,IF(ISNA(MATCH($D1708,'Paramètres'!$M:$M,0)),"⚠ Type inconnu",IFERROR(INDEX('Paramètres'!$P:$P,MATCH($D1708,'Paramètres'!$M:$M,0))&amp;"",""))))</f>
        <v/>
      </c>
      <c r="M1708" s="6" t="str">
        <f>IF($D1708="","",IF(ISNA(MATCH($D1708,'Paramètres'!$M:$M,0)),"⚠ Type inconnu",IF($L1708="Crédit","",IFERROR(INDEX('Paramètres'!$O:$O,MATCH($D1708,'Paramètres'!$M:$M,0))&amp;"",""))))</f>
        <v/>
      </c>
      <c r="N1708" s="6" t="str">
        <f>IF($D1708="","",IFERROR(INDEX('Paramètres'!$Q:$Q,MATCH($D1708,'Paramètres'!$M:$M,0))&amp;"",""))</f>
        <v/>
      </c>
      <c r="O1708" s="6" t="str">
        <f>IF($A1708="","",IF(OR($J1708&lt;&gt;"x",$A1708&lt;=FinReleve),1,0))</f>
        <v/>
      </c>
      <c r="P1708" s="6" t="str">
        <f>IF($D1708="","",IF(AND($L1708="Crédit",OR(IFERROR(INDEX('Paramètres'!$O:$O,MATCH($D1708,'Paramètres'!$M:$M,0))&amp;"","")&lt;&gt;"",ISNUMBER(SEARCH("remboursement",IFERROR(INDEX('Paramètres'!$N:$N,MATCH($D1708,'Paramètres'!$M:$M,0))&amp;"",""))))),1,0))</f>
        <v/>
      </c>
      <c r="Q1708" s="6" t="str">
        <f>IF($K1708="","",IF(ISNUMBER(SEARCH("transfert-interne",IFERROR(INDEX('Paramètres'!$N:$N,MATCH($D1708,'Paramètres'!$M:$M,0))&amp;"",""))),0,IF($L1708="Débit",$K1708,IF($P1708=1,-$K1708,0))))</f>
        <v/>
      </c>
      <c r="R1708" s="6" t="str">
        <f>IF($K1708="","",IF($L1708="Crédit",$K1708,-$K1708))</f>
        <v/>
      </c>
      <c r="S1708" s="6" t="str">
        <f>IF($C1708="","",IFERROR(INDEX('Paramètres'!$H:$H,MATCH($C1708,'Paramètres'!$D:$D,0))&amp;"",""))</f>
        <v/>
      </c>
      <c r="T1708" s="6" t="str">
        <f>IF($K1708="","",IF($S1708="",0,IF(ISNUMBER(SEARCH("apport-exterieur",IFERROR(INDEX('Paramètres'!$N:$N,MATCH($D1708,'Paramètres'!$M:$M,0))&amp;"",""))),0,IF(OR(IFERROR(INDEX('Paramètres'!$I:$I,MATCH($C1708,'Paramètres'!$D:$D,0))&amp;"","")="Les deux",IFERROR(INDEX('Paramètres'!$I:$I,MATCH($C1708,'Paramètres'!$D:$D,0))&amp;"","")=IF($P1708=1,"Débit",$L1708)),-IF($P1708=1,-$K1708,$K1708),0))))</f>
        <v/>
      </c>
      <c r="U1708" s="6" t="str">
        <f>IF($K1708="","",IF(ISNUMBER(SEARCH("sortie-epargne",IFERROR(INDEX('Paramètres'!$N:$N,MATCH($D1708,'Paramètres'!$M:$M,0))&amp;"",""))),$K1708,0))</f>
        <v/>
      </c>
      <c r="V1708" s="6" t="str">
        <f>IF(AND($A1708&lt;&gt;"",$O1708=1,$L1708="Débit",N($Q1708)&gt;0,$A1708&gt;=Visualisation!$B$1,$A1708&lt;Visualisation!$D$1),MAX($V$1:V1707)+1,"")</f>
        <v/>
      </c>
    </row>
    <row r="1709" spans="1:22" x14ac:dyDescent="0.25">
      <c r="A1709" s="9"/>
      <c r="E1709" s="10"/>
      <c r="K1709" s="11" t="str">
        <f>IF($E1709="","",ROUND($E1709*IF(ISNA(MATCH($C1709,'Paramètres'!$D:$D,0)),1,IF(INDEX('Paramètres'!$J:$J,MATCH($C1709,'Paramètres'!$D:$D,0))="",1,INDEX('Paramètres'!$J:$J,MATCH($C1709,'Paramètres'!$D:$D,0)))),2))</f>
        <v/>
      </c>
      <c r="L1709" s="6" t="str">
        <f>IF($D1709="","",IF($F1709&lt;&gt;"",$F1709,IF(ISNA(MATCH($D1709,'Paramètres'!$M:$M,0)),"⚠ Type inconnu",IFERROR(INDEX('Paramètres'!$P:$P,MATCH($D1709,'Paramètres'!$M:$M,0))&amp;"",""))))</f>
        <v/>
      </c>
      <c r="M1709" s="6" t="str">
        <f>IF($D1709="","",IF(ISNA(MATCH($D1709,'Paramètres'!$M:$M,0)),"⚠ Type inconnu",IF($L1709="Crédit","",IFERROR(INDEX('Paramètres'!$O:$O,MATCH($D1709,'Paramètres'!$M:$M,0))&amp;"",""))))</f>
        <v/>
      </c>
      <c r="N1709" s="6" t="str">
        <f>IF($D1709="","",IFERROR(INDEX('Paramètres'!$Q:$Q,MATCH($D1709,'Paramètres'!$M:$M,0))&amp;"",""))</f>
        <v/>
      </c>
      <c r="O1709" s="6" t="str">
        <f>IF($A1709="","",IF(OR($J1709&lt;&gt;"x",$A1709&lt;=FinReleve),1,0))</f>
        <v/>
      </c>
      <c r="P1709" s="6" t="str">
        <f>IF($D1709="","",IF(AND($L1709="Crédit",OR(IFERROR(INDEX('Paramètres'!$O:$O,MATCH($D1709,'Paramètres'!$M:$M,0))&amp;"","")&lt;&gt;"",ISNUMBER(SEARCH("remboursement",IFERROR(INDEX('Paramètres'!$N:$N,MATCH($D1709,'Paramètres'!$M:$M,0))&amp;"",""))))),1,0))</f>
        <v/>
      </c>
      <c r="Q1709" s="6" t="str">
        <f>IF($K1709="","",IF(ISNUMBER(SEARCH("transfert-interne",IFERROR(INDEX('Paramètres'!$N:$N,MATCH($D1709,'Paramètres'!$M:$M,0))&amp;"",""))),0,IF($L1709="Débit",$K1709,IF($P1709=1,-$K1709,0))))</f>
        <v/>
      </c>
      <c r="R1709" s="6" t="str">
        <f>IF($K1709="","",IF($L1709="Crédit",$K1709,-$K1709))</f>
        <v/>
      </c>
      <c r="S1709" s="6" t="str">
        <f>IF($C1709="","",IFERROR(INDEX('Paramètres'!$H:$H,MATCH($C1709,'Paramètres'!$D:$D,0))&amp;"",""))</f>
        <v/>
      </c>
      <c r="T1709" s="6" t="str">
        <f>IF($K1709="","",IF($S1709="",0,IF(ISNUMBER(SEARCH("apport-exterieur",IFERROR(INDEX('Paramètres'!$N:$N,MATCH($D1709,'Paramètres'!$M:$M,0))&amp;"",""))),0,IF(OR(IFERROR(INDEX('Paramètres'!$I:$I,MATCH($C1709,'Paramètres'!$D:$D,0))&amp;"","")="Les deux",IFERROR(INDEX('Paramètres'!$I:$I,MATCH($C1709,'Paramètres'!$D:$D,0))&amp;"","")=IF($P1709=1,"Débit",$L1709)),-IF($P1709=1,-$K1709,$K1709),0))))</f>
        <v/>
      </c>
      <c r="U1709" s="6" t="str">
        <f>IF($K1709="","",IF(ISNUMBER(SEARCH("sortie-epargne",IFERROR(INDEX('Paramètres'!$N:$N,MATCH($D1709,'Paramètres'!$M:$M,0))&amp;"",""))),$K1709,0))</f>
        <v/>
      </c>
      <c r="V1709" s="6" t="str">
        <f>IF(AND($A1709&lt;&gt;"",$O1709=1,$L1709="Débit",N($Q1709)&gt;0,$A1709&gt;=Visualisation!$B$1,$A1709&lt;Visualisation!$D$1),MAX($V$1:V1708)+1,"")</f>
        <v/>
      </c>
    </row>
    <row r="1710" spans="1:22" x14ac:dyDescent="0.25">
      <c r="A1710" s="9"/>
      <c r="E1710" s="10"/>
      <c r="K1710" s="11" t="str">
        <f>IF($E1710="","",ROUND($E1710*IF(ISNA(MATCH($C1710,'Paramètres'!$D:$D,0)),1,IF(INDEX('Paramètres'!$J:$J,MATCH($C1710,'Paramètres'!$D:$D,0))="",1,INDEX('Paramètres'!$J:$J,MATCH($C1710,'Paramètres'!$D:$D,0)))),2))</f>
        <v/>
      </c>
      <c r="L1710" s="6" t="str">
        <f>IF($D1710="","",IF($F1710&lt;&gt;"",$F1710,IF(ISNA(MATCH($D1710,'Paramètres'!$M:$M,0)),"⚠ Type inconnu",IFERROR(INDEX('Paramètres'!$P:$P,MATCH($D1710,'Paramètres'!$M:$M,0))&amp;"",""))))</f>
        <v/>
      </c>
      <c r="M1710" s="6" t="str">
        <f>IF($D1710="","",IF(ISNA(MATCH($D1710,'Paramètres'!$M:$M,0)),"⚠ Type inconnu",IF($L1710="Crédit","",IFERROR(INDEX('Paramètres'!$O:$O,MATCH($D1710,'Paramètres'!$M:$M,0))&amp;"",""))))</f>
        <v/>
      </c>
      <c r="N1710" s="6" t="str">
        <f>IF($D1710="","",IFERROR(INDEX('Paramètres'!$Q:$Q,MATCH($D1710,'Paramètres'!$M:$M,0))&amp;"",""))</f>
        <v/>
      </c>
      <c r="O1710" s="6" t="str">
        <f>IF($A1710="","",IF(OR($J1710&lt;&gt;"x",$A1710&lt;=FinReleve),1,0))</f>
        <v/>
      </c>
      <c r="P1710" s="6" t="str">
        <f>IF($D1710="","",IF(AND($L1710="Crédit",OR(IFERROR(INDEX('Paramètres'!$O:$O,MATCH($D1710,'Paramètres'!$M:$M,0))&amp;"","")&lt;&gt;"",ISNUMBER(SEARCH("remboursement",IFERROR(INDEX('Paramètres'!$N:$N,MATCH($D1710,'Paramètres'!$M:$M,0))&amp;"",""))))),1,0))</f>
        <v/>
      </c>
      <c r="Q1710" s="6" t="str">
        <f>IF($K1710="","",IF(ISNUMBER(SEARCH("transfert-interne",IFERROR(INDEX('Paramètres'!$N:$N,MATCH($D1710,'Paramètres'!$M:$M,0))&amp;"",""))),0,IF($L1710="Débit",$K1710,IF($P1710=1,-$K1710,0))))</f>
        <v/>
      </c>
      <c r="R1710" s="6" t="str">
        <f>IF($K1710="","",IF($L1710="Crédit",$K1710,-$K1710))</f>
        <v/>
      </c>
      <c r="S1710" s="6" t="str">
        <f>IF($C1710="","",IFERROR(INDEX('Paramètres'!$H:$H,MATCH($C1710,'Paramètres'!$D:$D,0))&amp;"",""))</f>
        <v/>
      </c>
      <c r="T1710" s="6" t="str">
        <f>IF($K1710="","",IF($S1710="",0,IF(ISNUMBER(SEARCH("apport-exterieur",IFERROR(INDEX('Paramètres'!$N:$N,MATCH($D1710,'Paramètres'!$M:$M,0))&amp;"",""))),0,IF(OR(IFERROR(INDEX('Paramètres'!$I:$I,MATCH($C1710,'Paramètres'!$D:$D,0))&amp;"","")="Les deux",IFERROR(INDEX('Paramètres'!$I:$I,MATCH($C1710,'Paramètres'!$D:$D,0))&amp;"","")=IF($P1710=1,"Débit",$L1710)),-IF($P1710=1,-$K1710,$K1710),0))))</f>
        <v/>
      </c>
      <c r="U1710" s="6" t="str">
        <f>IF($K1710="","",IF(ISNUMBER(SEARCH("sortie-epargne",IFERROR(INDEX('Paramètres'!$N:$N,MATCH($D1710,'Paramètres'!$M:$M,0))&amp;"",""))),$K1710,0))</f>
        <v/>
      </c>
      <c r="V1710" s="6" t="str">
        <f>IF(AND($A1710&lt;&gt;"",$O1710=1,$L1710="Débit",N($Q1710)&gt;0,$A1710&gt;=Visualisation!$B$1,$A1710&lt;Visualisation!$D$1),MAX($V$1:V1709)+1,"")</f>
        <v/>
      </c>
    </row>
    <row r="1711" spans="1:22" x14ac:dyDescent="0.25">
      <c r="A1711" s="9"/>
      <c r="E1711" s="10"/>
      <c r="K1711" s="11" t="str">
        <f>IF($E1711="","",ROUND($E1711*IF(ISNA(MATCH($C1711,'Paramètres'!$D:$D,0)),1,IF(INDEX('Paramètres'!$J:$J,MATCH($C1711,'Paramètres'!$D:$D,0))="",1,INDEX('Paramètres'!$J:$J,MATCH($C1711,'Paramètres'!$D:$D,0)))),2))</f>
        <v/>
      </c>
      <c r="L1711" s="6" t="str">
        <f>IF($D1711="","",IF($F1711&lt;&gt;"",$F1711,IF(ISNA(MATCH($D1711,'Paramètres'!$M:$M,0)),"⚠ Type inconnu",IFERROR(INDEX('Paramètres'!$P:$P,MATCH($D1711,'Paramètres'!$M:$M,0))&amp;"",""))))</f>
        <v/>
      </c>
      <c r="M1711" s="6" t="str">
        <f>IF($D1711="","",IF(ISNA(MATCH($D1711,'Paramètres'!$M:$M,0)),"⚠ Type inconnu",IF($L1711="Crédit","",IFERROR(INDEX('Paramètres'!$O:$O,MATCH($D1711,'Paramètres'!$M:$M,0))&amp;"",""))))</f>
        <v/>
      </c>
      <c r="N1711" s="6" t="str">
        <f>IF($D1711="","",IFERROR(INDEX('Paramètres'!$Q:$Q,MATCH($D1711,'Paramètres'!$M:$M,0))&amp;"",""))</f>
        <v/>
      </c>
      <c r="O1711" s="6" t="str">
        <f>IF($A1711="","",IF(OR($J1711&lt;&gt;"x",$A1711&lt;=FinReleve),1,0))</f>
        <v/>
      </c>
      <c r="P1711" s="6" t="str">
        <f>IF($D1711="","",IF(AND($L1711="Crédit",OR(IFERROR(INDEX('Paramètres'!$O:$O,MATCH($D1711,'Paramètres'!$M:$M,0))&amp;"","")&lt;&gt;"",ISNUMBER(SEARCH("remboursement",IFERROR(INDEX('Paramètres'!$N:$N,MATCH($D1711,'Paramètres'!$M:$M,0))&amp;"",""))))),1,0))</f>
        <v/>
      </c>
      <c r="Q1711" s="6" t="str">
        <f>IF($K1711="","",IF(ISNUMBER(SEARCH("transfert-interne",IFERROR(INDEX('Paramètres'!$N:$N,MATCH($D1711,'Paramètres'!$M:$M,0))&amp;"",""))),0,IF($L1711="Débit",$K1711,IF($P1711=1,-$K1711,0))))</f>
        <v/>
      </c>
      <c r="R1711" s="6" t="str">
        <f>IF($K1711="","",IF($L1711="Crédit",$K1711,-$K1711))</f>
        <v/>
      </c>
      <c r="S1711" s="6" t="str">
        <f>IF($C1711="","",IFERROR(INDEX('Paramètres'!$H:$H,MATCH($C1711,'Paramètres'!$D:$D,0))&amp;"",""))</f>
        <v/>
      </c>
      <c r="T1711" s="6" t="str">
        <f>IF($K1711="","",IF($S1711="",0,IF(ISNUMBER(SEARCH("apport-exterieur",IFERROR(INDEX('Paramètres'!$N:$N,MATCH($D1711,'Paramètres'!$M:$M,0))&amp;"",""))),0,IF(OR(IFERROR(INDEX('Paramètres'!$I:$I,MATCH($C1711,'Paramètres'!$D:$D,0))&amp;"","")="Les deux",IFERROR(INDEX('Paramètres'!$I:$I,MATCH($C1711,'Paramètres'!$D:$D,0))&amp;"","")=IF($P1711=1,"Débit",$L1711)),-IF($P1711=1,-$K1711,$K1711),0))))</f>
        <v/>
      </c>
      <c r="U1711" s="6" t="str">
        <f>IF($K1711="","",IF(ISNUMBER(SEARCH("sortie-epargne",IFERROR(INDEX('Paramètres'!$N:$N,MATCH($D1711,'Paramètres'!$M:$M,0))&amp;"",""))),$K1711,0))</f>
        <v/>
      </c>
      <c r="V1711" s="6" t="str">
        <f>IF(AND($A1711&lt;&gt;"",$O1711=1,$L1711="Débit",N($Q1711)&gt;0,$A1711&gt;=Visualisation!$B$1,$A1711&lt;Visualisation!$D$1),MAX($V$1:V1710)+1,"")</f>
        <v/>
      </c>
    </row>
    <row r="1712" spans="1:22" x14ac:dyDescent="0.25">
      <c r="A1712" s="9"/>
      <c r="E1712" s="10"/>
      <c r="K1712" s="11" t="str">
        <f>IF($E1712="","",ROUND($E1712*IF(ISNA(MATCH($C1712,'Paramètres'!$D:$D,0)),1,IF(INDEX('Paramètres'!$J:$J,MATCH($C1712,'Paramètres'!$D:$D,0))="",1,INDEX('Paramètres'!$J:$J,MATCH($C1712,'Paramètres'!$D:$D,0)))),2))</f>
        <v/>
      </c>
      <c r="L1712" s="6" t="str">
        <f>IF($D1712="","",IF($F1712&lt;&gt;"",$F1712,IF(ISNA(MATCH($D1712,'Paramètres'!$M:$M,0)),"⚠ Type inconnu",IFERROR(INDEX('Paramètres'!$P:$P,MATCH($D1712,'Paramètres'!$M:$M,0))&amp;"",""))))</f>
        <v/>
      </c>
      <c r="M1712" s="6" t="str">
        <f>IF($D1712="","",IF(ISNA(MATCH($D1712,'Paramètres'!$M:$M,0)),"⚠ Type inconnu",IF($L1712="Crédit","",IFERROR(INDEX('Paramètres'!$O:$O,MATCH($D1712,'Paramètres'!$M:$M,0))&amp;"",""))))</f>
        <v/>
      </c>
      <c r="N1712" s="6" t="str">
        <f>IF($D1712="","",IFERROR(INDEX('Paramètres'!$Q:$Q,MATCH($D1712,'Paramètres'!$M:$M,0))&amp;"",""))</f>
        <v/>
      </c>
      <c r="O1712" s="6" t="str">
        <f>IF($A1712="","",IF(OR($J1712&lt;&gt;"x",$A1712&lt;=FinReleve),1,0))</f>
        <v/>
      </c>
      <c r="P1712" s="6" t="str">
        <f>IF($D1712="","",IF(AND($L1712="Crédit",OR(IFERROR(INDEX('Paramètres'!$O:$O,MATCH($D1712,'Paramètres'!$M:$M,0))&amp;"","")&lt;&gt;"",ISNUMBER(SEARCH("remboursement",IFERROR(INDEX('Paramètres'!$N:$N,MATCH($D1712,'Paramètres'!$M:$M,0))&amp;"",""))))),1,0))</f>
        <v/>
      </c>
      <c r="Q1712" s="6" t="str">
        <f>IF($K1712="","",IF(ISNUMBER(SEARCH("transfert-interne",IFERROR(INDEX('Paramètres'!$N:$N,MATCH($D1712,'Paramètres'!$M:$M,0))&amp;"",""))),0,IF($L1712="Débit",$K1712,IF($P1712=1,-$K1712,0))))</f>
        <v/>
      </c>
      <c r="R1712" s="6" t="str">
        <f>IF($K1712="","",IF($L1712="Crédit",$K1712,-$K1712))</f>
        <v/>
      </c>
      <c r="S1712" s="6" t="str">
        <f>IF($C1712="","",IFERROR(INDEX('Paramètres'!$H:$H,MATCH($C1712,'Paramètres'!$D:$D,0))&amp;"",""))</f>
        <v/>
      </c>
      <c r="T1712" s="6" t="str">
        <f>IF($K1712="","",IF($S1712="",0,IF(ISNUMBER(SEARCH("apport-exterieur",IFERROR(INDEX('Paramètres'!$N:$N,MATCH($D1712,'Paramètres'!$M:$M,0))&amp;"",""))),0,IF(OR(IFERROR(INDEX('Paramètres'!$I:$I,MATCH($C1712,'Paramètres'!$D:$D,0))&amp;"","")="Les deux",IFERROR(INDEX('Paramètres'!$I:$I,MATCH($C1712,'Paramètres'!$D:$D,0))&amp;"","")=IF($P1712=1,"Débit",$L1712)),-IF($P1712=1,-$K1712,$K1712),0))))</f>
        <v/>
      </c>
      <c r="U1712" s="6" t="str">
        <f>IF($K1712="","",IF(ISNUMBER(SEARCH("sortie-epargne",IFERROR(INDEX('Paramètres'!$N:$N,MATCH($D1712,'Paramètres'!$M:$M,0))&amp;"",""))),$K1712,0))</f>
        <v/>
      </c>
      <c r="V1712" s="6" t="str">
        <f>IF(AND($A1712&lt;&gt;"",$O1712=1,$L1712="Débit",N($Q1712)&gt;0,$A1712&gt;=Visualisation!$B$1,$A1712&lt;Visualisation!$D$1),MAX($V$1:V1711)+1,"")</f>
        <v/>
      </c>
    </row>
    <row r="1713" spans="1:22" x14ac:dyDescent="0.25">
      <c r="A1713" s="9"/>
      <c r="E1713" s="10"/>
      <c r="K1713" s="11" t="str">
        <f>IF($E1713="","",ROUND($E1713*IF(ISNA(MATCH($C1713,'Paramètres'!$D:$D,0)),1,IF(INDEX('Paramètres'!$J:$J,MATCH($C1713,'Paramètres'!$D:$D,0))="",1,INDEX('Paramètres'!$J:$J,MATCH($C1713,'Paramètres'!$D:$D,0)))),2))</f>
        <v/>
      </c>
      <c r="L1713" s="6" t="str">
        <f>IF($D1713="","",IF($F1713&lt;&gt;"",$F1713,IF(ISNA(MATCH($D1713,'Paramètres'!$M:$M,0)),"⚠ Type inconnu",IFERROR(INDEX('Paramètres'!$P:$P,MATCH($D1713,'Paramètres'!$M:$M,0))&amp;"",""))))</f>
        <v/>
      </c>
      <c r="M1713" s="6" t="str">
        <f>IF($D1713="","",IF(ISNA(MATCH($D1713,'Paramètres'!$M:$M,0)),"⚠ Type inconnu",IF($L1713="Crédit","",IFERROR(INDEX('Paramètres'!$O:$O,MATCH($D1713,'Paramètres'!$M:$M,0))&amp;"",""))))</f>
        <v/>
      </c>
      <c r="N1713" s="6" t="str">
        <f>IF($D1713="","",IFERROR(INDEX('Paramètres'!$Q:$Q,MATCH($D1713,'Paramètres'!$M:$M,0))&amp;"",""))</f>
        <v/>
      </c>
      <c r="O1713" s="6" t="str">
        <f>IF($A1713="","",IF(OR($J1713&lt;&gt;"x",$A1713&lt;=FinReleve),1,0))</f>
        <v/>
      </c>
      <c r="P1713" s="6" t="str">
        <f>IF($D1713="","",IF(AND($L1713="Crédit",OR(IFERROR(INDEX('Paramètres'!$O:$O,MATCH($D1713,'Paramètres'!$M:$M,0))&amp;"","")&lt;&gt;"",ISNUMBER(SEARCH("remboursement",IFERROR(INDEX('Paramètres'!$N:$N,MATCH($D1713,'Paramètres'!$M:$M,0))&amp;"",""))))),1,0))</f>
        <v/>
      </c>
      <c r="Q1713" s="6" t="str">
        <f>IF($K1713="","",IF(ISNUMBER(SEARCH("transfert-interne",IFERROR(INDEX('Paramètres'!$N:$N,MATCH($D1713,'Paramètres'!$M:$M,0))&amp;"",""))),0,IF($L1713="Débit",$K1713,IF($P1713=1,-$K1713,0))))</f>
        <v/>
      </c>
      <c r="R1713" s="6" t="str">
        <f>IF($K1713="","",IF($L1713="Crédit",$K1713,-$K1713))</f>
        <v/>
      </c>
      <c r="S1713" s="6" t="str">
        <f>IF($C1713="","",IFERROR(INDEX('Paramètres'!$H:$H,MATCH($C1713,'Paramètres'!$D:$D,0))&amp;"",""))</f>
        <v/>
      </c>
      <c r="T1713" s="6" t="str">
        <f>IF($K1713="","",IF($S1713="",0,IF(ISNUMBER(SEARCH("apport-exterieur",IFERROR(INDEX('Paramètres'!$N:$N,MATCH($D1713,'Paramètres'!$M:$M,0))&amp;"",""))),0,IF(OR(IFERROR(INDEX('Paramètres'!$I:$I,MATCH($C1713,'Paramètres'!$D:$D,0))&amp;"","")="Les deux",IFERROR(INDEX('Paramètres'!$I:$I,MATCH($C1713,'Paramètres'!$D:$D,0))&amp;"","")=IF($P1713=1,"Débit",$L1713)),-IF($P1713=1,-$K1713,$K1713),0))))</f>
        <v/>
      </c>
      <c r="U1713" s="6" t="str">
        <f>IF($K1713="","",IF(ISNUMBER(SEARCH("sortie-epargne",IFERROR(INDEX('Paramètres'!$N:$N,MATCH($D1713,'Paramètres'!$M:$M,0))&amp;"",""))),$K1713,0))</f>
        <v/>
      </c>
      <c r="V1713" s="6" t="str">
        <f>IF(AND($A1713&lt;&gt;"",$O1713=1,$L1713="Débit",N($Q1713)&gt;0,$A1713&gt;=Visualisation!$B$1,$A1713&lt;Visualisation!$D$1),MAX($V$1:V1712)+1,"")</f>
        <v/>
      </c>
    </row>
    <row r="1714" spans="1:22" x14ac:dyDescent="0.25">
      <c r="A1714" s="9"/>
      <c r="E1714" s="10"/>
      <c r="K1714" s="11" t="str">
        <f>IF($E1714="","",ROUND($E1714*IF(ISNA(MATCH($C1714,'Paramètres'!$D:$D,0)),1,IF(INDEX('Paramètres'!$J:$J,MATCH($C1714,'Paramètres'!$D:$D,0))="",1,INDEX('Paramètres'!$J:$J,MATCH($C1714,'Paramètres'!$D:$D,0)))),2))</f>
        <v/>
      </c>
      <c r="L1714" s="6" t="str">
        <f>IF($D1714="","",IF($F1714&lt;&gt;"",$F1714,IF(ISNA(MATCH($D1714,'Paramètres'!$M:$M,0)),"⚠ Type inconnu",IFERROR(INDEX('Paramètres'!$P:$P,MATCH($D1714,'Paramètres'!$M:$M,0))&amp;"",""))))</f>
        <v/>
      </c>
      <c r="M1714" s="6" t="str">
        <f>IF($D1714="","",IF(ISNA(MATCH($D1714,'Paramètres'!$M:$M,0)),"⚠ Type inconnu",IF($L1714="Crédit","",IFERROR(INDEX('Paramètres'!$O:$O,MATCH($D1714,'Paramètres'!$M:$M,0))&amp;"",""))))</f>
        <v/>
      </c>
      <c r="N1714" s="6" t="str">
        <f>IF($D1714="","",IFERROR(INDEX('Paramètres'!$Q:$Q,MATCH($D1714,'Paramètres'!$M:$M,0))&amp;"",""))</f>
        <v/>
      </c>
      <c r="O1714" s="6" t="str">
        <f>IF($A1714="","",IF(OR($J1714&lt;&gt;"x",$A1714&lt;=FinReleve),1,0))</f>
        <v/>
      </c>
      <c r="P1714" s="6" t="str">
        <f>IF($D1714="","",IF(AND($L1714="Crédit",OR(IFERROR(INDEX('Paramètres'!$O:$O,MATCH($D1714,'Paramètres'!$M:$M,0))&amp;"","")&lt;&gt;"",ISNUMBER(SEARCH("remboursement",IFERROR(INDEX('Paramètres'!$N:$N,MATCH($D1714,'Paramètres'!$M:$M,0))&amp;"",""))))),1,0))</f>
        <v/>
      </c>
      <c r="Q1714" s="6" t="str">
        <f>IF($K1714="","",IF(ISNUMBER(SEARCH("transfert-interne",IFERROR(INDEX('Paramètres'!$N:$N,MATCH($D1714,'Paramètres'!$M:$M,0))&amp;"",""))),0,IF($L1714="Débit",$K1714,IF($P1714=1,-$K1714,0))))</f>
        <v/>
      </c>
      <c r="R1714" s="6" t="str">
        <f>IF($K1714="","",IF($L1714="Crédit",$K1714,-$K1714))</f>
        <v/>
      </c>
      <c r="S1714" s="6" t="str">
        <f>IF($C1714="","",IFERROR(INDEX('Paramètres'!$H:$H,MATCH($C1714,'Paramètres'!$D:$D,0))&amp;"",""))</f>
        <v/>
      </c>
      <c r="T1714" s="6" t="str">
        <f>IF($K1714="","",IF($S1714="",0,IF(ISNUMBER(SEARCH("apport-exterieur",IFERROR(INDEX('Paramètres'!$N:$N,MATCH($D1714,'Paramètres'!$M:$M,0))&amp;"",""))),0,IF(OR(IFERROR(INDEX('Paramètres'!$I:$I,MATCH($C1714,'Paramètres'!$D:$D,0))&amp;"","")="Les deux",IFERROR(INDEX('Paramètres'!$I:$I,MATCH($C1714,'Paramètres'!$D:$D,0))&amp;"","")=IF($P1714=1,"Débit",$L1714)),-IF($P1714=1,-$K1714,$K1714),0))))</f>
        <v/>
      </c>
      <c r="U1714" s="6" t="str">
        <f>IF($K1714="","",IF(ISNUMBER(SEARCH("sortie-epargne",IFERROR(INDEX('Paramètres'!$N:$N,MATCH($D1714,'Paramètres'!$M:$M,0))&amp;"",""))),$K1714,0))</f>
        <v/>
      </c>
      <c r="V1714" s="6" t="str">
        <f>IF(AND($A1714&lt;&gt;"",$O1714=1,$L1714="Débit",N($Q1714)&gt;0,$A1714&gt;=Visualisation!$B$1,$A1714&lt;Visualisation!$D$1),MAX($V$1:V1713)+1,"")</f>
        <v/>
      </c>
    </row>
    <row r="1715" spans="1:22" x14ac:dyDescent="0.25">
      <c r="A1715" s="9"/>
      <c r="E1715" s="10"/>
      <c r="K1715" s="11" t="str">
        <f>IF($E1715="","",ROUND($E1715*IF(ISNA(MATCH($C1715,'Paramètres'!$D:$D,0)),1,IF(INDEX('Paramètres'!$J:$J,MATCH($C1715,'Paramètres'!$D:$D,0))="",1,INDEX('Paramètres'!$J:$J,MATCH($C1715,'Paramètres'!$D:$D,0)))),2))</f>
        <v/>
      </c>
      <c r="L1715" s="6" t="str">
        <f>IF($D1715="","",IF($F1715&lt;&gt;"",$F1715,IF(ISNA(MATCH($D1715,'Paramètres'!$M:$M,0)),"⚠ Type inconnu",IFERROR(INDEX('Paramètres'!$P:$P,MATCH($D1715,'Paramètres'!$M:$M,0))&amp;"",""))))</f>
        <v/>
      </c>
      <c r="M1715" s="6" t="str">
        <f>IF($D1715="","",IF(ISNA(MATCH($D1715,'Paramètres'!$M:$M,0)),"⚠ Type inconnu",IF($L1715="Crédit","",IFERROR(INDEX('Paramètres'!$O:$O,MATCH($D1715,'Paramètres'!$M:$M,0))&amp;"",""))))</f>
        <v/>
      </c>
      <c r="N1715" s="6" t="str">
        <f>IF($D1715="","",IFERROR(INDEX('Paramètres'!$Q:$Q,MATCH($D1715,'Paramètres'!$M:$M,0))&amp;"",""))</f>
        <v/>
      </c>
      <c r="O1715" s="6" t="str">
        <f>IF($A1715="","",IF(OR($J1715&lt;&gt;"x",$A1715&lt;=FinReleve),1,0))</f>
        <v/>
      </c>
      <c r="P1715" s="6" t="str">
        <f>IF($D1715="","",IF(AND($L1715="Crédit",OR(IFERROR(INDEX('Paramètres'!$O:$O,MATCH($D1715,'Paramètres'!$M:$M,0))&amp;"","")&lt;&gt;"",ISNUMBER(SEARCH("remboursement",IFERROR(INDEX('Paramètres'!$N:$N,MATCH($D1715,'Paramètres'!$M:$M,0))&amp;"",""))))),1,0))</f>
        <v/>
      </c>
      <c r="Q1715" s="6" t="str">
        <f>IF($K1715="","",IF(ISNUMBER(SEARCH("transfert-interne",IFERROR(INDEX('Paramètres'!$N:$N,MATCH($D1715,'Paramètres'!$M:$M,0))&amp;"",""))),0,IF($L1715="Débit",$K1715,IF($P1715=1,-$K1715,0))))</f>
        <v/>
      </c>
      <c r="R1715" s="6" t="str">
        <f>IF($K1715="","",IF($L1715="Crédit",$K1715,-$K1715))</f>
        <v/>
      </c>
      <c r="S1715" s="6" t="str">
        <f>IF($C1715="","",IFERROR(INDEX('Paramètres'!$H:$H,MATCH($C1715,'Paramètres'!$D:$D,0))&amp;"",""))</f>
        <v/>
      </c>
      <c r="T1715" s="6" t="str">
        <f>IF($K1715="","",IF($S1715="",0,IF(ISNUMBER(SEARCH("apport-exterieur",IFERROR(INDEX('Paramètres'!$N:$N,MATCH($D1715,'Paramètres'!$M:$M,0))&amp;"",""))),0,IF(OR(IFERROR(INDEX('Paramètres'!$I:$I,MATCH($C1715,'Paramètres'!$D:$D,0))&amp;"","")="Les deux",IFERROR(INDEX('Paramètres'!$I:$I,MATCH($C1715,'Paramètres'!$D:$D,0))&amp;"","")=IF($P1715=1,"Débit",$L1715)),-IF($P1715=1,-$K1715,$K1715),0))))</f>
        <v/>
      </c>
      <c r="U1715" s="6" t="str">
        <f>IF($K1715="","",IF(ISNUMBER(SEARCH("sortie-epargne",IFERROR(INDEX('Paramètres'!$N:$N,MATCH($D1715,'Paramètres'!$M:$M,0))&amp;"",""))),$K1715,0))</f>
        <v/>
      </c>
      <c r="V1715" s="6" t="str">
        <f>IF(AND($A1715&lt;&gt;"",$O1715=1,$L1715="Débit",N($Q1715)&gt;0,$A1715&gt;=Visualisation!$B$1,$A1715&lt;Visualisation!$D$1),MAX($V$1:V1714)+1,"")</f>
        <v/>
      </c>
    </row>
    <row r="1716" spans="1:22" x14ac:dyDescent="0.25">
      <c r="A1716" s="9"/>
      <c r="E1716" s="10"/>
      <c r="K1716" s="11" t="str">
        <f>IF($E1716="","",ROUND($E1716*IF(ISNA(MATCH($C1716,'Paramètres'!$D:$D,0)),1,IF(INDEX('Paramètres'!$J:$J,MATCH($C1716,'Paramètres'!$D:$D,0))="",1,INDEX('Paramètres'!$J:$J,MATCH($C1716,'Paramètres'!$D:$D,0)))),2))</f>
        <v/>
      </c>
      <c r="L1716" s="6" t="str">
        <f>IF($D1716="","",IF($F1716&lt;&gt;"",$F1716,IF(ISNA(MATCH($D1716,'Paramètres'!$M:$M,0)),"⚠ Type inconnu",IFERROR(INDEX('Paramètres'!$P:$P,MATCH($D1716,'Paramètres'!$M:$M,0))&amp;"",""))))</f>
        <v/>
      </c>
      <c r="M1716" s="6" t="str">
        <f>IF($D1716="","",IF(ISNA(MATCH($D1716,'Paramètres'!$M:$M,0)),"⚠ Type inconnu",IF($L1716="Crédit","",IFERROR(INDEX('Paramètres'!$O:$O,MATCH($D1716,'Paramètres'!$M:$M,0))&amp;"",""))))</f>
        <v/>
      </c>
      <c r="N1716" s="6" t="str">
        <f>IF($D1716="","",IFERROR(INDEX('Paramètres'!$Q:$Q,MATCH($D1716,'Paramètres'!$M:$M,0))&amp;"",""))</f>
        <v/>
      </c>
      <c r="O1716" s="6" t="str">
        <f>IF($A1716="","",IF(OR($J1716&lt;&gt;"x",$A1716&lt;=FinReleve),1,0))</f>
        <v/>
      </c>
      <c r="P1716" s="6" t="str">
        <f>IF($D1716="","",IF(AND($L1716="Crédit",OR(IFERROR(INDEX('Paramètres'!$O:$O,MATCH($D1716,'Paramètres'!$M:$M,0))&amp;"","")&lt;&gt;"",ISNUMBER(SEARCH("remboursement",IFERROR(INDEX('Paramètres'!$N:$N,MATCH($D1716,'Paramètres'!$M:$M,0))&amp;"",""))))),1,0))</f>
        <v/>
      </c>
      <c r="Q1716" s="6" t="str">
        <f>IF($K1716="","",IF(ISNUMBER(SEARCH("transfert-interne",IFERROR(INDEX('Paramètres'!$N:$N,MATCH($D1716,'Paramètres'!$M:$M,0))&amp;"",""))),0,IF($L1716="Débit",$K1716,IF($P1716=1,-$K1716,0))))</f>
        <v/>
      </c>
      <c r="R1716" s="6" t="str">
        <f>IF($K1716="","",IF($L1716="Crédit",$K1716,-$K1716))</f>
        <v/>
      </c>
      <c r="S1716" s="6" t="str">
        <f>IF($C1716="","",IFERROR(INDEX('Paramètres'!$H:$H,MATCH($C1716,'Paramètres'!$D:$D,0))&amp;"",""))</f>
        <v/>
      </c>
      <c r="T1716" s="6" t="str">
        <f>IF($K1716="","",IF($S1716="",0,IF(ISNUMBER(SEARCH("apport-exterieur",IFERROR(INDEX('Paramètres'!$N:$N,MATCH($D1716,'Paramètres'!$M:$M,0))&amp;"",""))),0,IF(OR(IFERROR(INDEX('Paramètres'!$I:$I,MATCH($C1716,'Paramètres'!$D:$D,0))&amp;"","")="Les deux",IFERROR(INDEX('Paramètres'!$I:$I,MATCH($C1716,'Paramètres'!$D:$D,0))&amp;"","")=IF($P1716=1,"Débit",$L1716)),-IF($P1716=1,-$K1716,$K1716),0))))</f>
        <v/>
      </c>
      <c r="U1716" s="6" t="str">
        <f>IF($K1716="","",IF(ISNUMBER(SEARCH("sortie-epargne",IFERROR(INDEX('Paramètres'!$N:$N,MATCH($D1716,'Paramètres'!$M:$M,0))&amp;"",""))),$K1716,0))</f>
        <v/>
      </c>
      <c r="V1716" s="6" t="str">
        <f>IF(AND($A1716&lt;&gt;"",$O1716=1,$L1716="Débit",N($Q1716)&gt;0,$A1716&gt;=Visualisation!$B$1,$A1716&lt;Visualisation!$D$1),MAX($V$1:V1715)+1,"")</f>
        <v/>
      </c>
    </row>
    <row r="1717" spans="1:22" x14ac:dyDescent="0.25">
      <c r="A1717" s="9"/>
      <c r="E1717" s="10"/>
      <c r="K1717" s="11" t="str">
        <f>IF($E1717="","",ROUND($E1717*IF(ISNA(MATCH($C1717,'Paramètres'!$D:$D,0)),1,IF(INDEX('Paramètres'!$J:$J,MATCH($C1717,'Paramètres'!$D:$D,0))="",1,INDEX('Paramètres'!$J:$J,MATCH($C1717,'Paramètres'!$D:$D,0)))),2))</f>
        <v/>
      </c>
      <c r="L1717" s="6" t="str">
        <f>IF($D1717="","",IF($F1717&lt;&gt;"",$F1717,IF(ISNA(MATCH($D1717,'Paramètres'!$M:$M,0)),"⚠ Type inconnu",IFERROR(INDEX('Paramètres'!$P:$P,MATCH($D1717,'Paramètres'!$M:$M,0))&amp;"",""))))</f>
        <v/>
      </c>
      <c r="M1717" s="6" t="str">
        <f>IF($D1717="","",IF(ISNA(MATCH($D1717,'Paramètres'!$M:$M,0)),"⚠ Type inconnu",IF($L1717="Crédit","",IFERROR(INDEX('Paramètres'!$O:$O,MATCH($D1717,'Paramètres'!$M:$M,0))&amp;"",""))))</f>
        <v/>
      </c>
      <c r="N1717" s="6" t="str">
        <f>IF($D1717="","",IFERROR(INDEX('Paramètres'!$Q:$Q,MATCH($D1717,'Paramètres'!$M:$M,0))&amp;"",""))</f>
        <v/>
      </c>
      <c r="O1717" s="6" t="str">
        <f>IF($A1717="","",IF(OR($J1717&lt;&gt;"x",$A1717&lt;=FinReleve),1,0))</f>
        <v/>
      </c>
      <c r="P1717" s="6" t="str">
        <f>IF($D1717="","",IF(AND($L1717="Crédit",OR(IFERROR(INDEX('Paramètres'!$O:$O,MATCH($D1717,'Paramètres'!$M:$M,0))&amp;"","")&lt;&gt;"",ISNUMBER(SEARCH("remboursement",IFERROR(INDEX('Paramètres'!$N:$N,MATCH($D1717,'Paramètres'!$M:$M,0))&amp;"",""))))),1,0))</f>
        <v/>
      </c>
      <c r="Q1717" s="6" t="str">
        <f>IF($K1717="","",IF(ISNUMBER(SEARCH("transfert-interne",IFERROR(INDEX('Paramètres'!$N:$N,MATCH($D1717,'Paramètres'!$M:$M,0))&amp;"",""))),0,IF($L1717="Débit",$K1717,IF($P1717=1,-$K1717,0))))</f>
        <v/>
      </c>
      <c r="R1717" s="6" t="str">
        <f>IF($K1717="","",IF($L1717="Crédit",$K1717,-$K1717))</f>
        <v/>
      </c>
      <c r="S1717" s="6" t="str">
        <f>IF($C1717="","",IFERROR(INDEX('Paramètres'!$H:$H,MATCH($C1717,'Paramètres'!$D:$D,0))&amp;"",""))</f>
        <v/>
      </c>
      <c r="T1717" s="6" t="str">
        <f>IF($K1717="","",IF($S1717="",0,IF(ISNUMBER(SEARCH("apport-exterieur",IFERROR(INDEX('Paramètres'!$N:$N,MATCH($D1717,'Paramètres'!$M:$M,0))&amp;"",""))),0,IF(OR(IFERROR(INDEX('Paramètres'!$I:$I,MATCH($C1717,'Paramètres'!$D:$D,0))&amp;"","")="Les deux",IFERROR(INDEX('Paramètres'!$I:$I,MATCH($C1717,'Paramètres'!$D:$D,0))&amp;"","")=IF($P1717=1,"Débit",$L1717)),-IF($P1717=1,-$K1717,$K1717),0))))</f>
        <v/>
      </c>
      <c r="U1717" s="6" t="str">
        <f>IF($K1717="","",IF(ISNUMBER(SEARCH("sortie-epargne",IFERROR(INDEX('Paramètres'!$N:$N,MATCH($D1717,'Paramètres'!$M:$M,0))&amp;"",""))),$K1717,0))</f>
        <v/>
      </c>
      <c r="V1717" s="6" t="str">
        <f>IF(AND($A1717&lt;&gt;"",$O1717=1,$L1717="Débit",N($Q1717)&gt;0,$A1717&gt;=Visualisation!$B$1,$A1717&lt;Visualisation!$D$1),MAX($V$1:V1716)+1,"")</f>
        <v/>
      </c>
    </row>
    <row r="1718" spans="1:22" x14ac:dyDescent="0.25">
      <c r="A1718" s="9"/>
      <c r="E1718" s="10"/>
      <c r="K1718" s="11" t="str">
        <f>IF($E1718="","",ROUND($E1718*IF(ISNA(MATCH($C1718,'Paramètres'!$D:$D,0)),1,IF(INDEX('Paramètres'!$J:$J,MATCH($C1718,'Paramètres'!$D:$D,0))="",1,INDEX('Paramètres'!$J:$J,MATCH($C1718,'Paramètres'!$D:$D,0)))),2))</f>
        <v/>
      </c>
      <c r="L1718" s="6" t="str">
        <f>IF($D1718="","",IF($F1718&lt;&gt;"",$F1718,IF(ISNA(MATCH($D1718,'Paramètres'!$M:$M,0)),"⚠ Type inconnu",IFERROR(INDEX('Paramètres'!$P:$P,MATCH($D1718,'Paramètres'!$M:$M,0))&amp;"",""))))</f>
        <v/>
      </c>
      <c r="M1718" s="6" t="str">
        <f>IF($D1718="","",IF(ISNA(MATCH($D1718,'Paramètres'!$M:$M,0)),"⚠ Type inconnu",IF($L1718="Crédit","",IFERROR(INDEX('Paramètres'!$O:$O,MATCH($D1718,'Paramètres'!$M:$M,0))&amp;"",""))))</f>
        <v/>
      </c>
      <c r="N1718" s="6" t="str">
        <f>IF($D1718="","",IFERROR(INDEX('Paramètres'!$Q:$Q,MATCH($D1718,'Paramètres'!$M:$M,0))&amp;"",""))</f>
        <v/>
      </c>
      <c r="O1718" s="6" t="str">
        <f>IF($A1718="","",IF(OR($J1718&lt;&gt;"x",$A1718&lt;=FinReleve),1,0))</f>
        <v/>
      </c>
      <c r="P1718" s="6" t="str">
        <f>IF($D1718="","",IF(AND($L1718="Crédit",OR(IFERROR(INDEX('Paramètres'!$O:$O,MATCH($D1718,'Paramètres'!$M:$M,0))&amp;"","")&lt;&gt;"",ISNUMBER(SEARCH("remboursement",IFERROR(INDEX('Paramètres'!$N:$N,MATCH($D1718,'Paramètres'!$M:$M,0))&amp;"",""))))),1,0))</f>
        <v/>
      </c>
      <c r="Q1718" s="6" t="str">
        <f>IF($K1718="","",IF(ISNUMBER(SEARCH("transfert-interne",IFERROR(INDEX('Paramètres'!$N:$N,MATCH($D1718,'Paramètres'!$M:$M,0))&amp;"",""))),0,IF($L1718="Débit",$K1718,IF($P1718=1,-$K1718,0))))</f>
        <v/>
      </c>
      <c r="R1718" s="6" t="str">
        <f>IF($K1718="","",IF($L1718="Crédit",$K1718,-$K1718))</f>
        <v/>
      </c>
      <c r="S1718" s="6" t="str">
        <f>IF($C1718="","",IFERROR(INDEX('Paramètres'!$H:$H,MATCH($C1718,'Paramètres'!$D:$D,0))&amp;"",""))</f>
        <v/>
      </c>
      <c r="T1718" s="6" t="str">
        <f>IF($K1718="","",IF($S1718="",0,IF(ISNUMBER(SEARCH("apport-exterieur",IFERROR(INDEX('Paramètres'!$N:$N,MATCH($D1718,'Paramètres'!$M:$M,0))&amp;"",""))),0,IF(OR(IFERROR(INDEX('Paramètres'!$I:$I,MATCH($C1718,'Paramètres'!$D:$D,0))&amp;"","")="Les deux",IFERROR(INDEX('Paramètres'!$I:$I,MATCH($C1718,'Paramètres'!$D:$D,0))&amp;"","")=IF($P1718=1,"Débit",$L1718)),-IF($P1718=1,-$K1718,$K1718),0))))</f>
        <v/>
      </c>
      <c r="U1718" s="6" t="str">
        <f>IF($K1718="","",IF(ISNUMBER(SEARCH("sortie-epargne",IFERROR(INDEX('Paramètres'!$N:$N,MATCH($D1718,'Paramètres'!$M:$M,0))&amp;"",""))),$K1718,0))</f>
        <v/>
      </c>
      <c r="V1718" s="6" t="str">
        <f>IF(AND($A1718&lt;&gt;"",$O1718=1,$L1718="Débit",N($Q1718)&gt;0,$A1718&gt;=Visualisation!$B$1,$A1718&lt;Visualisation!$D$1),MAX($V$1:V1717)+1,"")</f>
        <v/>
      </c>
    </row>
    <row r="1719" spans="1:22" x14ac:dyDescent="0.25">
      <c r="A1719" s="9"/>
      <c r="E1719" s="10"/>
      <c r="K1719" s="11" t="str">
        <f>IF($E1719="","",ROUND($E1719*IF(ISNA(MATCH($C1719,'Paramètres'!$D:$D,0)),1,IF(INDEX('Paramètres'!$J:$J,MATCH($C1719,'Paramètres'!$D:$D,0))="",1,INDEX('Paramètres'!$J:$J,MATCH($C1719,'Paramètres'!$D:$D,0)))),2))</f>
        <v/>
      </c>
      <c r="L1719" s="6" t="str">
        <f>IF($D1719="","",IF($F1719&lt;&gt;"",$F1719,IF(ISNA(MATCH($D1719,'Paramètres'!$M:$M,0)),"⚠ Type inconnu",IFERROR(INDEX('Paramètres'!$P:$P,MATCH($D1719,'Paramètres'!$M:$M,0))&amp;"",""))))</f>
        <v/>
      </c>
      <c r="M1719" s="6" t="str">
        <f>IF($D1719="","",IF(ISNA(MATCH($D1719,'Paramètres'!$M:$M,0)),"⚠ Type inconnu",IF($L1719="Crédit","",IFERROR(INDEX('Paramètres'!$O:$O,MATCH($D1719,'Paramètres'!$M:$M,0))&amp;"",""))))</f>
        <v/>
      </c>
      <c r="N1719" s="6" t="str">
        <f>IF($D1719="","",IFERROR(INDEX('Paramètres'!$Q:$Q,MATCH($D1719,'Paramètres'!$M:$M,0))&amp;"",""))</f>
        <v/>
      </c>
      <c r="O1719" s="6" t="str">
        <f>IF($A1719="","",IF(OR($J1719&lt;&gt;"x",$A1719&lt;=FinReleve),1,0))</f>
        <v/>
      </c>
      <c r="P1719" s="6" t="str">
        <f>IF($D1719="","",IF(AND($L1719="Crédit",OR(IFERROR(INDEX('Paramètres'!$O:$O,MATCH($D1719,'Paramètres'!$M:$M,0))&amp;"","")&lt;&gt;"",ISNUMBER(SEARCH("remboursement",IFERROR(INDEX('Paramètres'!$N:$N,MATCH($D1719,'Paramètres'!$M:$M,0))&amp;"",""))))),1,0))</f>
        <v/>
      </c>
      <c r="Q1719" s="6" t="str">
        <f>IF($K1719="","",IF(ISNUMBER(SEARCH("transfert-interne",IFERROR(INDEX('Paramètres'!$N:$N,MATCH($D1719,'Paramètres'!$M:$M,0))&amp;"",""))),0,IF($L1719="Débit",$K1719,IF($P1719=1,-$K1719,0))))</f>
        <v/>
      </c>
      <c r="R1719" s="6" t="str">
        <f>IF($K1719="","",IF($L1719="Crédit",$K1719,-$K1719))</f>
        <v/>
      </c>
      <c r="S1719" s="6" t="str">
        <f>IF($C1719="","",IFERROR(INDEX('Paramètres'!$H:$H,MATCH($C1719,'Paramètres'!$D:$D,0))&amp;"",""))</f>
        <v/>
      </c>
      <c r="T1719" s="6" t="str">
        <f>IF($K1719="","",IF($S1719="",0,IF(ISNUMBER(SEARCH("apport-exterieur",IFERROR(INDEX('Paramètres'!$N:$N,MATCH($D1719,'Paramètres'!$M:$M,0))&amp;"",""))),0,IF(OR(IFERROR(INDEX('Paramètres'!$I:$I,MATCH($C1719,'Paramètres'!$D:$D,0))&amp;"","")="Les deux",IFERROR(INDEX('Paramètres'!$I:$I,MATCH($C1719,'Paramètres'!$D:$D,0))&amp;"","")=IF($P1719=1,"Débit",$L1719)),-IF($P1719=1,-$K1719,$K1719),0))))</f>
        <v/>
      </c>
      <c r="U1719" s="6" t="str">
        <f>IF($K1719="","",IF(ISNUMBER(SEARCH("sortie-epargne",IFERROR(INDEX('Paramètres'!$N:$N,MATCH($D1719,'Paramètres'!$M:$M,0))&amp;"",""))),$K1719,0))</f>
        <v/>
      </c>
      <c r="V1719" s="6" t="str">
        <f>IF(AND($A1719&lt;&gt;"",$O1719=1,$L1719="Débit",N($Q1719)&gt;0,$A1719&gt;=Visualisation!$B$1,$A1719&lt;Visualisation!$D$1),MAX($V$1:V1718)+1,"")</f>
        <v/>
      </c>
    </row>
    <row r="1720" spans="1:22" x14ac:dyDescent="0.25">
      <c r="A1720" s="9"/>
      <c r="E1720" s="10"/>
      <c r="K1720" s="11" t="str">
        <f>IF($E1720="","",ROUND($E1720*IF(ISNA(MATCH($C1720,'Paramètres'!$D:$D,0)),1,IF(INDEX('Paramètres'!$J:$J,MATCH($C1720,'Paramètres'!$D:$D,0))="",1,INDEX('Paramètres'!$J:$J,MATCH($C1720,'Paramètres'!$D:$D,0)))),2))</f>
        <v/>
      </c>
      <c r="L1720" s="6" t="str">
        <f>IF($D1720="","",IF($F1720&lt;&gt;"",$F1720,IF(ISNA(MATCH($D1720,'Paramètres'!$M:$M,0)),"⚠ Type inconnu",IFERROR(INDEX('Paramètres'!$P:$P,MATCH($D1720,'Paramètres'!$M:$M,0))&amp;"",""))))</f>
        <v/>
      </c>
      <c r="M1720" s="6" t="str">
        <f>IF($D1720="","",IF(ISNA(MATCH($D1720,'Paramètres'!$M:$M,0)),"⚠ Type inconnu",IF($L1720="Crédit","",IFERROR(INDEX('Paramètres'!$O:$O,MATCH($D1720,'Paramètres'!$M:$M,0))&amp;"",""))))</f>
        <v/>
      </c>
      <c r="N1720" s="6" t="str">
        <f>IF($D1720="","",IFERROR(INDEX('Paramètres'!$Q:$Q,MATCH($D1720,'Paramètres'!$M:$M,0))&amp;"",""))</f>
        <v/>
      </c>
      <c r="O1720" s="6" t="str">
        <f>IF($A1720="","",IF(OR($J1720&lt;&gt;"x",$A1720&lt;=FinReleve),1,0))</f>
        <v/>
      </c>
      <c r="P1720" s="6" t="str">
        <f>IF($D1720="","",IF(AND($L1720="Crédit",OR(IFERROR(INDEX('Paramètres'!$O:$O,MATCH($D1720,'Paramètres'!$M:$M,0))&amp;"","")&lt;&gt;"",ISNUMBER(SEARCH("remboursement",IFERROR(INDEX('Paramètres'!$N:$N,MATCH($D1720,'Paramètres'!$M:$M,0))&amp;"",""))))),1,0))</f>
        <v/>
      </c>
      <c r="Q1720" s="6" t="str">
        <f>IF($K1720="","",IF(ISNUMBER(SEARCH("transfert-interne",IFERROR(INDEX('Paramètres'!$N:$N,MATCH($D1720,'Paramètres'!$M:$M,0))&amp;"",""))),0,IF($L1720="Débit",$K1720,IF($P1720=1,-$K1720,0))))</f>
        <v/>
      </c>
      <c r="R1720" s="6" t="str">
        <f>IF($K1720="","",IF($L1720="Crédit",$K1720,-$K1720))</f>
        <v/>
      </c>
      <c r="S1720" s="6" t="str">
        <f>IF($C1720="","",IFERROR(INDEX('Paramètres'!$H:$H,MATCH($C1720,'Paramètres'!$D:$D,0))&amp;"",""))</f>
        <v/>
      </c>
      <c r="T1720" s="6" t="str">
        <f>IF($K1720="","",IF($S1720="",0,IF(ISNUMBER(SEARCH("apport-exterieur",IFERROR(INDEX('Paramètres'!$N:$N,MATCH($D1720,'Paramètres'!$M:$M,0))&amp;"",""))),0,IF(OR(IFERROR(INDEX('Paramètres'!$I:$I,MATCH($C1720,'Paramètres'!$D:$D,0))&amp;"","")="Les deux",IFERROR(INDEX('Paramètres'!$I:$I,MATCH($C1720,'Paramètres'!$D:$D,0))&amp;"","")=IF($P1720=1,"Débit",$L1720)),-IF($P1720=1,-$K1720,$K1720),0))))</f>
        <v/>
      </c>
      <c r="U1720" s="6" t="str">
        <f>IF($K1720="","",IF(ISNUMBER(SEARCH("sortie-epargne",IFERROR(INDEX('Paramètres'!$N:$N,MATCH($D1720,'Paramètres'!$M:$M,0))&amp;"",""))),$K1720,0))</f>
        <v/>
      </c>
      <c r="V1720" s="6" t="str">
        <f>IF(AND($A1720&lt;&gt;"",$O1720=1,$L1720="Débit",N($Q1720)&gt;0,$A1720&gt;=Visualisation!$B$1,$A1720&lt;Visualisation!$D$1),MAX($V$1:V1719)+1,"")</f>
        <v/>
      </c>
    </row>
    <row r="1721" spans="1:22" x14ac:dyDescent="0.25">
      <c r="A1721" s="9"/>
      <c r="E1721" s="10"/>
      <c r="K1721" s="11" t="str">
        <f>IF($E1721="","",ROUND($E1721*IF(ISNA(MATCH($C1721,'Paramètres'!$D:$D,0)),1,IF(INDEX('Paramètres'!$J:$J,MATCH($C1721,'Paramètres'!$D:$D,0))="",1,INDEX('Paramètres'!$J:$J,MATCH($C1721,'Paramètres'!$D:$D,0)))),2))</f>
        <v/>
      </c>
      <c r="L1721" s="6" t="str">
        <f>IF($D1721="","",IF($F1721&lt;&gt;"",$F1721,IF(ISNA(MATCH($D1721,'Paramètres'!$M:$M,0)),"⚠ Type inconnu",IFERROR(INDEX('Paramètres'!$P:$P,MATCH($D1721,'Paramètres'!$M:$M,0))&amp;"",""))))</f>
        <v/>
      </c>
      <c r="M1721" s="6" t="str">
        <f>IF($D1721="","",IF(ISNA(MATCH($D1721,'Paramètres'!$M:$M,0)),"⚠ Type inconnu",IF($L1721="Crédit","",IFERROR(INDEX('Paramètres'!$O:$O,MATCH($D1721,'Paramètres'!$M:$M,0))&amp;"",""))))</f>
        <v/>
      </c>
      <c r="N1721" s="6" t="str">
        <f>IF($D1721="","",IFERROR(INDEX('Paramètres'!$Q:$Q,MATCH($D1721,'Paramètres'!$M:$M,0))&amp;"",""))</f>
        <v/>
      </c>
      <c r="O1721" s="6" t="str">
        <f>IF($A1721="","",IF(OR($J1721&lt;&gt;"x",$A1721&lt;=FinReleve),1,0))</f>
        <v/>
      </c>
      <c r="P1721" s="6" t="str">
        <f>IF($D1721="","",IF(AND($L1721="Crédit",OR(IFERROR(INDEX('Paramètres'!$O:$O,MATCH($D1721,'Paramètres'!$M:$M,0))&amp;"","")&lt;&gt;"",ISNUMBER(SEARCH("remboursement",IFERROR(INDEX('Paramètres'!$N:$N,MATCH($D1721,'Paramètres'!$M:$M,0))&amp;"",""))))),1,0))</f>
        <v/>
      </c>
      <c r="Q1721" s="6" t="str">
        <f>IF($K1721="","",IF(ISNUMBER(SEARCH("transfert-interne",IFERROR(INDEX('Paramètres'!$N:$N,MATCH($D1721,'Paramètres'!$M:$M,0))&amp;"",""))),0,IF($L1721="Débit",$K1721,IF($P1721=1,-$K1721,0))))</f>
        <v/>
      </c>
      <c r="R1721" s="6" t="str">
        <f>IF($K1721="","",IF($L1721="Crédit",$K1721,-$K1721))</f>
        <v/>
      </c>
      <c r="S1721" s="6" t="str">
        <f>IF($C1721="","",IFERROR(INDEX('Paramètres'!$H:$H,MATCH($C1721,'Paramètres'!$D:$D,0))&amp;"",""))</f>
        <v/>
      </c>
      <c r="T1721" s="6" t="str">
        <f>IF($K1721="","",IF($S1721="",0,IF(ISNUMBER(SEARCH("apport-exterieur",IFERROR(INDEX('Paramètres'!$N:$N,MATCH($D1721,'Paramètres'!$M:$M,0))&amp;"",""))),0,IF(OR(IFERROR(INDEX('Paramètres'!$I:$I,MATCH($C1721,'Paramètres'!$D:$D,0))&amp;"","")="Les deux",IFERROR(INDEX('Paramètres'!$I:$I,MATCH($C1721,'Paramètres'!$D:$D,0))&amp;"","")=IF($P1721=1,"Débit",$L1721)),-IF($P1721=1,-$K1721,$K1721),0))))</f>
        <v/>
      </c>
      <c r="U1721" s="6" t="str">
        <f>IF($K1721="","",IF(ISNUMBER(SEARCH("sortie-epargne",IFERROR(INDEX('Paramètres'!$N:$N,MATCH($D1721,'Paramètres'!$M:$M,0))&amp;"",""))),$K1721,0))</f>
        <v/>
      </c>
      <c r="V1721" s="6" t="str">
        <f>IF(AND($A1721&lt;&gt;"",$O1721=1,$L1721="Débit",N($Q1721)&gt;0,$A1721&gt;=Visualisation!$B$1,$A1721&lt;Visualisation!$D$1),MAX($V$1:V1720)+1,"")</f>
        <v/>
      </c>
    </row>
    <row r="1722" spans="1:22" x14ac:dyDescent="0.25">
      <c r="A1722" s="9"/>
      <c r="E1722" s="10"/>
      <c r="K1722" s="11" t="str">
        <f>IF($E1722="","",ROUND($E1722*IF(ISNA(MATCH($C1722,'Paramètres'!$D:$D,0)),1,IF(INDEX('Paramètres'!$J:$J,MATCH($C1722,'Paramètres'!$D:$D,0))="",1,INDEX('Paramètres'!$J:$J,MATCH($C1722,'Paramètres'!$D:$D,0)))),2))</f>
        <v/>
      </c>
      <c r="L1722" s="6" t="str">
        <f>IF($D1722="","",IF($F1722&lt;&gt;"",$F1722,IF(ISNA(MATCH($D1722,'Paramètres'!$M:$M,0)),"⚠ Type inconnu",IFERROR(INDEX('Paramètres'!$P:$P,MATCH($D1722,'Paramètres'!$M:$M,0))&amp;"",""))))</f>
        <v/>
      </c>
      <c r="M1722" s="6" t="str">
        <f>IF($D1722="","",IF(ISNA(MATCH($D1722,'Paramètres'!$M:$M,0)),"⚠ Type inconnu",IF($L1722="Crédit","",IFERROR(INDEX('Paramètres'!$O:$O,MATCH($D1722,'Paramètres'!$M:$M,0))&amp;"",""))))</f>
        <v/>
      </c>
      <c r="N1722" s="6" t="str">
        <f>IF($D1722="","",IFERROR(INDEX('Paramètres'!$Q:$Q,MATCH($D1722,'Paramètres'!$M:$M,0))&amp;"",""))</f>
        <v/>
      </c>
      <c r="O1722" s="6" t="str">
        <f>IF($A1722="","",IF(OR($J1722&lt;&gt;"x",$A1722&lt;=FinReleve),1,0))</f>
        <v/>
      </c>
      <c r="P1722" s="6" t="str">
        <f>IF($D1722="","",IF(AND($L1722="Crédit",OR(IFERROR(INDEX('Paramètres'!$O:$O,MATCH($D1722,'Paramètres'!$M:$M,0))&amp;"","")&lt;&gt;"",ISNUMBER(SEARCH("remboursement",IFERROR(INDEX('Paramètres'!$N:$N,MATCH($D1722,'Paramètres'!$M:$M,0))&amp;"",""))))),1,0))</f>
        <v/>
      </c>
      <c r="Q1722" s="6" t="str">
        <f>IF($K1722="","",IF(ISNUMBER(SEARCH("transfert-interne",IFERROR(INDEX('Paramètres'!$N:$N,MATCH($D1722,'Paramètres'!$M:$M,0))&amp;"",""))),0,IF($L1722="Débit",$K1722,IF($P1722=1,-$K1722,0))))</f>
        <v/>
      </c>
      <c r="R1722" s="6" t="str">
        <f>IF($K1722="","",IF($L1722="Crédit",$K1722,-$K1722))</f>
        <v/>
      </c>
      <c r="S1722" s="6" t="str">
        <f>IF($C1722="","",IFERROR(INDEX('Paramètres'!$H:$H,MATCH($C1722,'Paramètres'!$D:$D,0))&amp;"",""))</f>
        <v/>
      </c>
      <c r="T1722" s="6" t="str">
        <f>IF($K1722="","",IF($S1722="",0,IF(ISNUMBER(SEARCH("apport-exterieur",IFERROR(INDEX('Paramètres'!$N:$N,MATCH($D1722,'Paramètres'!$M:$M,0))&amp;"",""))),0,IF(OR(IFERROR(INDEX('Paramètres'!$I:$I,MATCH($C1722,'Paramètres'!$D:$D,0))&amp;"","")="Les deux",IFERROR(INDEX('Paramètres'!$I:$I,MATCH($C1722,'Paramètres'!$D:$D,0))&amp;"","")=IF($P1722=1,"Débit",$L1722)),-IF($P1722=1,-$K1722,$K1722),0))))</f>
        <v/>
      </c>
      <c r="U1722" s="6" t="str">
        <f>IF($K1722="","",IF(ISNUMBER(SEARCH("sortie-epargne",IFERROR(INDEX('Paramètres'!$N:$N,MATCH($D1722,'Paramètres'!$M:$M,0))&amp;"",""))),$K1722,0))</f>
        <v/>
      </c>
      <c r="V1722" s="6" t="str">
        <f>IF(AND($A1722&lt;&gt;"",$O1722=1,$L1722="Débit",N($Q1722)&gt;0,$A1722&gt;=Visualisation!$B$1,$A1722&lt;Visualisation!$D$1),MAX($V$1:V1721)+1,"")</f>
        <v/>
      </c>
    </row>
    <row r="1723" spans="1:22" x14ac:dyDescent="0.25">
      <c r="A1723" s="9"/>
      <c r="E1723" s="10"/>
      <c r="K1723" s="11" t="str">
        <f>IF($E1723="","",ROUND($E1723*IF(ISNA(MATCH($C1723,'Paramètres'!$D:$D,0)),1,IF(INDEX('Paramètres'!$J:$J,MATCH($C1723,'Paramètres'!$D:$D,0))="",1,INDEX('Paramètres'!$J:$J,MATCH($C1723,'Paramètres'!$D:$D,0)))),2))</f>
        <v/>
      </c>
      <c r="L1723" s="6" t="str">
        <f>IF($D1723="","",IF($F1723&lt;&gt;"",$F1723,IF(ISNA(MATCH($D1723,'Paramètres'!$M:$M,0)),"⚠ Type inconnu",IFERROR(INDEX('Paramètres'!$P:$P,MATCH($D1723,'Paramètres'!$M:$M,0))&amp;"",""))))</f>
        <v/>
      </c>
      <c r="M1723" s="6" t="str">
        <f>IF($D1723="","",IF(ISNA(MATCH($D1723,'Paramètres'!$M:$M,0)),"⚠ Type inconnu",IF($L1723="Crédit","",IFERROR(INDEX('Paramètres'!$O:$O,MATCH($D1723,'Paramètres'!$M:$M,0))&amp;"",""))))</f>
        <v/>
      </c>
      <c r="N1723" s="6" t="str">
        <f>IF($D1723="","",IFERROR(INDEX('Paramètres'!$Q:$Q,MATCH($D1723,'Paramètres'!$M:$M,0))&amp;"",""))</f>
        <v/>
      </c>
      <c r="O1723" s="6" t="str">
        <f>IF($A1723="","",IF(OR($J1723&lt;&gt;"x",$A1723&lt;=FinReleve),1,0))</f>
        <v/>
      </c>
      <c r="P1723" s="6" t="str">
        <f>IF($D1723="","",IF(AND($L1723="Crédit",OR(IFERROR(INDEX('Paramètres'!$O:$O,MATCH($D1723,'Paramètres'!$M:$M,0))&amp;"","")&lt;&gt;"",ISNUMBER(SEARCH("remboursement",IFERROR(INDEX('Paramètres'!$N:$N,MATCH($D1723,'Paramètres'!$M:$M,0))&amp;"",""))))),1,0))</f>
        <v/>
      </c>
      <c r="Q1723" s="6" t="str">
        <f>IF($K1723="","",IF(ISNUMBER(SEARCH("transfert-interne",IFERROR(INDEX('Paramètres'!$N:$N,MATCH($D1723,'Paramètres'!$M:$M,0))&amp;"",""))),0,IF($L1723="Débit",$K1723,IF($P1723=1,-$K1723,0))))</f>
        <v/>
      </c>
      <c r="R1723" s="6" t="str">
        <f>IF($K1723="","",IF($L1723="Crédit",$K1723,-$K1723))</f>
        <v/>
      </c>
      <c r="S1723" s="6" t="str">
        <f>IF($C1723="","",IFERROR(INDEX('Paramètres'!$H:$H,MATCH($C1723,'Paramètres'!$D:$D,0))&amp;"",""))</f>
        <v/>
      </c>
      <c r="T1723" s="6" t="str">
        <f>IF($K1723="","",IF($S1723="",0,IF(ISNUMBER(SEARCH("apport-exterieur",IFERROR(INDEX('Paramètres'!$N:$N,MATCH($D1723,'Paramètres'!$M:$M,0))&amp;"",""))),0,IF(OR(IFERROR(INDEX('Paramètres'!$I:$I,MATCH($C1723,'Paramètres'!$D:$D,0))&amp;"","")="Les deux",IFERROR(INDEX('Paramètres'!$I:$I,MATCH($C1723,'Paramètres'!$D:$D,0))&amp;"","")=IF($P1723=1,"Débit",$L1723)),-IF($P1723=1,-$K1723,$K1723),0))))</f>
        <v/>
      </c>
      <c r="U1723" s="6" t="str">
        <f>IF($K1723="","",IF(ISNUMBER(SEARCH("sortie-epargne",IFERROR(INDEX('Paramètres'!$N:$N,MATCH($D1723,'Paramètres'!$M:$M,0))&amp;"",""))),$K1723,0))</f>
        <v/>
      </c>
      <c r="V1723" s="6" t="str">
        <f>IF(AND($A1723&lt;&gt;"",$O1723=1,$L1723="Débit",N($Q1723)&gt;0,$A1723&gt;=Visualisation!$B$1,$A1723&lt;Visualisation!$D$1),MAX($V$1:V1722)+1,"")</f>
        <v/>
      </c>
    </row>
    <row r="1724" spans="1:22" x14ac:dyDescent="0.25">
      <c r="A1724" s="9"/>
      <c r="E1724" s="10"/>
      <c r="K1724" s="11" t="str">
        <f>IF($E1724="","",ROUND($E1724*IF(ISNA(MATCH($C1724,'Paramètres'!$D:$D,0)),1,IF(INDEX('Paramètres'!$J:$J,MATCH($C1724,'Paramètres'!$D:$D,0))="",1,INDEX('Paramètres'!$J:$J,MATCH($C1724,'Paramètres'!$D:$D,0)))),2))</f>
        <v/>
      </c>
      <c r="L1724" s="6" t="str">
        <f>IF($D1724="","",IF($F1724&lt;&gt;"",$F1724,IF(ISNA(MATCH($D1724,'Paramètres'!$M:$M,0)),"⚠ Type inconnu",IFERROR(INDEX('Paramètres'!$P:$P,MATCH($D1724,'Paramètres'!$M:$M,0))&amp;"",""))))</f>
        <v/>
      </c>
      <c r="M1724" s="6" t="str">
        <f>IF($D1724="","",IF(ISNA(MATCH($D1724,'Paramètres'!$M:$M,0)),"⚠ Type inconnu",IF($L1724="Crédit","",IFERROR(INDEX('Paramètres'!$O:$O,MATCH($D1724,'Paramètres'!$M:$M,0))&amp;"",""))))</f>
        <v/>
      </c>
      <c r="N1724" s="6" t="str">
        <f>IF($D1724="","",IFERROR(INDEX('Paramètres'!$Q:$Q,MATCH($D1724,'Paramètres'!$M:$M,0))&amp;"",""))</f>
        <v/>
      </c>
      <c r="O1724" s="6" t="str">
        <f>IF($A1724="","",IF(OR($J1724&lt;&gt;"x",$A1724&lt;=FinReleve),1,0))</f>
        <v/>
      </c>
      <c r="P1724" s="6" t="str">
        <f>IF($D1724="","",IF(AND($L1724="Crédit",OR(IFERROR(INDEX('Paramètres'!$O:$O,MATCH($D1724,'Paramètres'!$M:$M,0))&amp;"","")&lt;&gt;"",ISNUMBER(SEARCH("remboursement",IFERROR(INDEX('Paramètres'!$N:$N,MATCH($D1724,'Paramètres'!$M:$M,0))&amp;"",""))))),1,0))</f>
        <v/>
      </c>
      <c r="Q1724" s="6" t="str">
        <f>IF($K1724="","",IF(ISNUMBER(SEARCH("transfert-interne",IFERROR(INDEX('Paramètres'!$N:$N,MATCH($D1724,'Paramètres'!$M:$M,0))&amp;"",""))),0,IF($L1724="Débit",$K1724,IF($P1724=1,-$K1724,0))))</f>
        <v/>
      </c>
      <c r="R1724" s="6" t="str">
        <f>IF($K1724="","",IF($L1724="Crédit",$K1724,-$K1724))</f>
        <v/>
      </c>
      <c r="S1724" s="6" t="str">
        <f>IF($C1724="","",IFERROR(INDEX('Paramètres'!$H:$H,MATCH($C1724,'Paramètres'!$D:$D,0))&amp;"",""))</f>
        <v/>
      </c>
      <c r="T1724" s="6" t="str">
        <f>IF($K1724="","",IF($S1724="",0,IF(ISNUMBER(SEARCH("apport-exterieur",IFERROR(INDEX('Paramètres'!$N:$N,MATCH($D1724,'Paramètres'!$M:$M,0))&amp;"",""))),0,IF(OR(IFERROR(INDEX('Paramètres'!$I:$I,MATCH($C1724,'Paramètres'!$D:$D,0))&amp;"","")="Les deux",IFERROR(INDEX('Paramètres'!$I:$I,MATCH($C1724,'Paramètres'!$D:$D,0))&amp;"","")=IF($P1724=1,"Débit",$L1724)),-IF($P1724=1,-$K1724,$K1724),0))))</f>
        <v/>
      </c>
      <c r="U1724" s="6" t="str">
        <f>IF($K1724="","",IF(ISNUMBER(SEARCH("sortie-epargne",IFERROR(INDEX('Paramètres'!$N:$N,MATCH($D1724,'Paramètres'!$M:$M,0))&amp;"",""))),$K1724,0))</f>
        <v/>
      </c>
      <c r="V1724" s="6" t="str">
        <f>IF(AND($A1724&lt;&gt;"",$O1724=1,$L1724="Débit",N($Q1724)&gt;0,$A1724&gt;=Visualisation!$B$1,$A1724&lt;Visualisation!$D$1),MAX($V$1:V1723)+1,"")</f>
        <v/>
      </c>
    </row>
    <row r="1725" spans="1:22" x14ac:dyDescent="0.25">
      <c r="A1725" s="9"/>
      <c r="E1725" s="10"/>
      <c r="K1725" s="11" t="str">
        <f>IF($E1725="","",ROUND($E1725*IF(ISNA(MATCH($C1725,'Paramètres'!$D:$D,0)),1,IF(INDEX('Paramètres'!$J:$J,MATCH($C1725,'Paramètres'!$D:$D,0))="",1,INDEX('Paramètres'!$J:$J,MATCH($C1725,'Paramètres'!$D:$D,0)))),2))</f>
        <v/>
      </c>
      <c r="L1725" s="6" t="str">
        <f>IF($D1725="","",IF($F1725&lt;&gt;"",$F1725,IF(ISNA(MATCH($D1725,'Paramètres'!$M:$M,0)),"⚠ Type inconnu",IFERROR(INDEX('Paramètres'!$P:$P,MATCH($D1725,'Paramètres'!$M:$M,0))&amp;"",""))))</f>
        <v/>
      </c>
      <c r="M1725" s="6" t="str">
        <f>IF($D1725="","",IF(ISNA(MATCH($D1725,'Paramètres'!$M:$M,0)),"⚠ Type inconnu",IF($L1725="Crédit","",IFERROR(INDEX('Paramètres'!$O:$O,MATCH($D1725,'Paramètres'!$M:$M,0))&amp;"",""))))</f>
        <v/>
      </c>
      <c r="N1725" s="6" t="str">
        <f>IF($D1725="","",IFERROR(INDEX('Paramètres'!$Q:$Q,MATCH($D1725,'Paramètres'!$M:$M,0))&amp;"",""))</f>
        <v/>
      </c>
      <c r="O1725" s="6" t="str">
        <f>IF($A1725="","",IF(OR($J1725&lt;&gt;"x",$A1725&lt;=FinReleve),1,0))</f>
        <v/>
      </c>
      <c r="P1725" s="6" t="str">
        <f>IF($D1725="","",IF(AND($L1725="Crédit",OR(IFERROR(INDEX('Paramètres'!$O:$O,MATCH($D1725,'Paramètres'!$M:$M,0))&amp;"","")&lt;&gt;"",ISNUMBER(SEARCH("remboursement",IFERROR(INDEX('Paramètres'!$N:$N,MATCH($D1725,'Paramètres'!$M:$M,0))&amp;"",""))))),1,0))</f>
        <v/>
      </c>
      <c r="Q1725" s="6" t="str">
        <f>IF($K1725="","",IF(ISNUMBER(SEARCH("transfert-interne",IFERROR(INDEX('Paramètres'!$N:$N,MATCH($D1725,'Paramètres'!$M:$M,0))&amp;"",""))),0,IF($L1725="Débit",$K1725,IF($P1725=1,-$K1725,0))))</f>
        <v/>
      </c>
      <c r="R1725" s="6" t="str">
        <f>IF($K1725="","",IF($L1725="Crédit",$K1725,-$K1725))</f>
        <v/>
      </c>
      <c r="S1725" s="6" t="str">
        <f>IF($C1725="","",IFERROR(INDEX('Paramètres'!$H:$H,MATCH($C1725,'Paramètres'!$D:$D,0))&amp;"",""))</f>
        <v/>
      </c>
      <c r="T1725" s="6" t="str">
        <f>IF($K1725="","",IF($S1725="",0,IF(ISNUMBER(SEARCH("apport-exterieur",IFERROR(INDEX('Paramètres'!$N:$N,MATCH($D1725,'Paramètres'!$M:$M,0))&amp;"",""))),0,IF(OR(IFERROR(INDEX('Paramètres'!$I:$I,MATCH($C1725,'Paramètres'!$D:$D,0))&amp;"","")="Les deux",IFERROR(INDEX('Paramètres'!$I:$I,MATCH($C1725,'Paramètres'!$D:$D,0))&amp;"","")=IF($P1725=1,"Débit",$L1725)),-IF($P1725=1,-$K1725,$K1725),0))))</f>
        <v/>
      </c>
      <c r="U1725" s="6" t="str">
        <f>IF($K1725="","",IF(ISNUMBER(SEARCH("sortie-epargne",IFERROR(INDEX('Paramètres'!$N:$N,MATCH($D1725,'Paramètres'!$M:$M,0))&amp;"",""))),$K1725,0))</f>
        <v/>
      </c>
      <c r="V1725" s="6" t="str">
        <f>IF(AND($A1725&lt;&gt;"",$O1725=1,$L1725="Débit",N($Q1725)&gt;0,$A1725&gt;=Visualisation!$B$1,$A1725&lt;Visualisation!$D$1),MAX($V$1:V1724)+1,"")</f>
        <v/>
      </c>
    </row>
    <row r="1726" spans="1:22" x14ac:dyDescent="0.25">
      <c r="A1726" s="9"/>
      <c r="E1726" s="10"/>
      <c r="K1726" s="11" t="str">
        <f>IF($E1726="","",ROUND($E1726*IF(ISNA(MATCH($C1726,'Paramètres'!$D:$D,0)),1,IF(INDEX('Paramètres'!$J:$J,MATCH($C1726,'Paramètres'!$D:$D,0))="",1,INDEX('Paramètres'!$J:$J,MATCH($C1726,'Paramètres'!$D:$D,0)))),2))</f>
        <v/>
      </c>
      <c r="L1726" s="6" t="str">
        <f>IF($D1726="","",IF($F1726&lt;&gt;"",$F1726,IF(ISNA(MATCH($D1726,'Paramètres'!$M:$M,0)),"⚠ Type inconnu",IFERROR(INDEX('Paramètres'!$P:$P,MATCH($D1726,'Paramètres'!$M:$M,0))&amp;"",""))))</f>
        <v/>
      </c>
      <c r="M1726" s="6" t="str">
        <f>IF($D1726="","",IF(ISNA(MATCH($D1726,'Paramètres'!$M:$M,0)),"⚠ Type inconnu",IF($L1726="Crédit","",IFERROR(INDEX('Paramètres'!$O:$O,MATCH($D1726,'Paramètres'!$M:$M,0))&amp;"",""))))</f>
        <v/>
      </c>
      <c r="N1726" s="6" t="str">
        <f>IF($D1726="","",IFERROR(INDEX('Paramètres'!$Q:$Q,MATCH($D1726,'Paramètres'!$M:$M,0))&amp;"",""))</f>
        <v/>
      </c>
      <c r="O1726" s="6" t="str">
        <f>IF($A1726="","",IF(OR($J1726&lt;&gt;"x",$A1726&lt;=FinReleve),1,0))</f>
        <v/>
      </c>
      <c r="P1726" s="6" t="str">
        <f>IF($D1726="","",IF(AND($L1726="Crédit",OR(IFERROR(INDEX('Paramètres'!$O:$O,MATCH($D1726,'Paramètres'!$M:$M,0))&amp;"","")&lt;&gt;"",ISNUMBER(SEARCH("remboursement",IFERROR(INDEX('Paramètres'!$N:$N,MATCH($D1726,'Paramètres'!$M:$M,0))&amp;"",""))))),1,0))</f>
        <v/>
      </c>
      <c r="Q1726" s="6" t="str">
        <f>IF($K1726="","",IF(ISNUMBER(SEARCH("transfert-interne",IFERROR(INDEX('Paramètres'!$N:$N,MATCH($D1726,'Paramètres'!$M:$M,0))&amp;"",""))),0,IF($L1726="Débit",$K1726,IF($P1726=1,-$K1726,0))))</f>
        <v/>
      </c>
      <c r="R1726" s="6" t="str">
        <f>IF($K1726="","",IF($L1726="Crédit",$K1726,-$K1726))</f>
        <v/>
      </c>
      <c r="S1726" s="6" t="str">
        <f>IF($C1726="","",IFERROR(INDEX('Paramètres'!$H:$H,MATCH($C1726,'Paramètres'!$D:$D,0))&amp;"",""))</f>
        <v/>
      </c>
      <c r="T1726" s="6" t="str">
        <f>IF($K1726="","",IF($S1726="",0,IF(ISNUMBER(SEARCH("apport-exterieur",IFERROR(INDEX('Paramètres'!$N:$N,MATCH($D1726,'Paramètres'!$M:$M,0))&amp;"",""))),0,IF(OR(IFERROR(INDEX('Paramètres'!$I:$I,MATCH($C1726,'Paramètres'!$D:$D,0))&amp;"","")="Les deux",IFERROR(INDEX('Paramètres'!$I:$I,MATCH($C1726,'Paramètres'!$D:$D,0))&amp;"","")=IF($P1726=1,"Débit",$L1726)),-IF($P1726=1,-$K1726,$K1726),0))))</f>
        <v/>
      </c>
      <c r="U1726" s="6" t="str">
        <f>IF($K1726="","",IF(ISNUMBER(SEARCH("sortie-epargne",IFERROR(INDEX('Paramètres'!$N:$N,MATCH($D1726,'Paramètres'!$M:$M,0))&amp;"",""))),$K1726,0))</f>
        <v/>
      </c>
      <c r="V1726" s="6" t="str">
        <f>IF(AND($A1726&lt;&gt;"",$O1726=1,$L1726="Débit",N($Q1726)&gt;0,$A1726&gt;=Visualisation!$B$1,$A1726&lt;Visualisation!$D$1),MAX($V$1:V1725)+1,"")</f>
        <v/>
      </c>
    </row>
    <row r="1727" spans="1:22" x14ac:dyDescent="0.25">
      <c r="A1727" s="9"/>
      <c r="E1727" s="10"/>
      <c r="K1727" s="11" t="str">
        <f>IF($E1727="","",ROUND($E1727*IF(ISNA(MATCH($C1727,'Paramètres'!$D:$D,0)),1,IF(INDEX('Paramètres'!$J:$J,MATCH($C1727,'Paramètres'!$D:$D,0))="",1,INDEX('Paramètres'!$J:$J,MATCH($C1727,'Paramètres'!$D:$D,0)))),2))</f>
        <v/>
      </c>
      <c r="L1727" s="6" t="str">
        <f>IF($D1727="","",IF($F1727&lt;&gt;"",$F1727,IF(ISNA(MATCH($D1727,'Paramètres'!$M:$M,0)),"⚠ Type inconnu",IFERROR(INDEX('Paramètres'!$P:$P,MATCH($D1727,'Paramètres'!$M:$M,0))&amp;"",""))))</f>
        <v/>
      </c>
      <c r="M1727" s="6" t="str">
        <f>IF($D1727="","",IF(ISNA(MATCH($D1727,'Paramètres'!$M:$M,0)),"⚠ Type inconnu",IF($L1727="Crédit","",IFERROR(INDEX('Paramètres'!$O:$O,MATCH($D1727,'Paramètres'!$M:$M,0))&amp;"",""))))</f>
        <v/>
      </c>
      <c r="N1727" s="6" t="str">
        <f>IF($D1727="","",IFERROR(INDEX('Paramètres'!$Q:$Q,MATCH($D1727,'Paramètres'!$M:$M,0))&amp;"",""))</f>
        <v/>
      </c>
      <c r="O1727" s="6" t="str">
        <f>IF($A1727="","",IF(OR($J1727&lt;&gt;"x",$A1727&lt;=FinReleve),1,0))</f>
        <v/>
      </c>
      <c r="P1727" s="6" t="str">
        <f>IF($D1727="","",IF(AND($L1727="Crédit",OR(IFERROR(INDEX('Paramètres'!$O:$O,MATCH($D1727,'Paramètres'!$M:$M,0))&amp;"","")&lt;&gt;"",ISNUMBER(SEARCH("remboursement",IFERROR(INDEX('Paramètres'!$N:$N,MATCH($D1727,'Paramètres'!$M:$M,0))&amp;"",""))))),1,0))</f>
        <v/>
      </c>
      <c r="Q1727" s="6" t="str">
        <f>IF($K1727="","",IF(ISNUMBER(SEARCH("transfert-interne",IFERROR(INDEX('Paramètres'!$N:$N,MATCH($D1727,'Paramètres'!$M:$M,0))&amp;"",""))),0,IF($L1727="Débit",$K1727,IF($P1727=1,-$K1727,0))))</f>
        <v/>
      </c>
      <c r="R1727" s="6" t="str">
        <f>IF($K1727="","",IF($L1727="Crédit",$K1727,-$K1727))</f>
        <v/>
      </c>
      <c r="S1727" s="6" t="str">
        <f>IF($C1727="","",IFERROR(INDEX('Paramètres'!$H:$H,MATCH($C1727,'Paramètres'!$D:$D,0))&amp;"",""))</f>
        <v/>
      </c>
      <c r="T1727" s="6" t="str">
        <f>IF($K1727="","",IF($S1727="",0,IF(ISNUMBER(SEARCH("apport-exterieur",IFERROR(INDEX('Paramètres'!$N:$N,MATCH($D1727,'Paramètres'!$M:$M,0))&amp;"",""))),0,IF(OR(IFERROR(INDEX('Paramètres'!$I:$I,MATCH($C1727,'Paramètres'!$D:$D,0))&amp;"","")="Les deux",IFERROR(INDEX('Paramètres'!$I:$I,MATCH($C1727,'Paramètres'!$D:$D,0))&amp;"","")=IF($P1727=1,"Débit",$L1727)),-IF($P1727=1,-$K1727,$K1727),0))))</f>
        <v/>
      </c>
      <c r="U1727" s="6" t="str">
        <f>IF($K1727="","",IF(ISNUMBER(SEARCH("sortie-epargne",IFERROR(INDEX('Paramètres'!$N:$N,MATCH($D1727,'Paramètres'!$M:$M,0))&amp;"",""))),$K1727,0))</f>
        <v/>
      </c>
      <c r="V1727" s="6" t="str">
        <f>IF(AND($A1727&lt;&gt;"",$O1727=1,$L1727="Débit",N($Q1727)&gt;0,$A1727&gt;=Visualisation!$B$1,$A1727&lt;Visualisation!$D$1),MAX($V$1:V1726)+1,"")</f>
        <v/>
      </c>
    </row>
    <row r="1728" spans="1:22" x14ac:dyDescent="0.25">
      <c r="A1728" s="9"/>
      <c r="E1728" s="10"/>
      <c r="K1728" s="11" t="str">
        <f>IF($E1728="","",ROUND($E1728*IF(ISNA(MATCH($C1728,'Paramètres'!$D:$D,0)),1,IF(INDEX('Paramètres'!$J:$J,MATCH($C1728,'Paramètres'!$D:$D,0))="",1,INDEX('Paramètres'!$J:$J,MATCH($C1728,'Paramètres'!$D:$D,0)))),2))</f>
        <v/>
      </c>
      <c r="L1728" s="6" t="str">
        <f>IF($D1728="","",IF($F1728&lt;&gt;"",$F1728,IF(ISNA(MATCH($D1728,'Paramètres'!$M:$M,0)),"⚠ Type inconnu",IFERROR(INDEX('Paramètres'!$P:$P,MATCH($D1728,'Paramètres'!$M:$M,0))&amp;"",""))))</f>
        <v/>
      </c>
      <c r="M1728" s="6" t="str">
        <f>IF($D1728="","",IF(ISNA(MATCH($D1728,'Paramètres'!$M:$M,0)),"⚠ Type inconnu",IF($L1728="Crédit","",IFERROR(INDEX('Paramètres'!$O:$O,MATCH($D1728,'Paramètres'!$M:$M,0))&amp;"",""))))</f>
        <v/>
      </c>
      <c r="N1728" s="6" t="str">
        <f>IF($D1728="","",IFERROR(INDEX('Paramètres'!$Q:$Q,MATCH($D1728,'Paramètres'!$M:$M,0))&amp;"",""))</f>
        <v/>
      </c>
      <c r="O1728" s="6" t="str">
        <f>IF($A1728="","",IF(OR($J1728&lt;&gt;"x",$A1728&lt;=FinReleve),1,0))</f>
        <v/>
      </c>
      <c r="P1728" s="6" t="str">
        <f>IF($D1728="","",IF(AND($L1728="Crédit",OR(IFERROR(INDEX('Paramètres'!$O:$O,MATCH($D1728,'Paramètres'!$M:$M,0))&amp;"","")&lt;&gt;"",ISNUMBER(SEARCH("remboursement",IFERROR(INDEX('Paramètres'!$N:$N,MATCH($D1728,'Paramètres'!$M:$M,0))&amp;"",""))))),1,0))</f>
        <v/>
      </c>
      <c r="Q1728" s="6" t="str">
        <f>IF($K1728="","",IF(ISNUMBER(SEARCH("transfert-interne",IFERROR(INDEX('Paramètres'!$N:$N,MATCH($D1728,'Paramètres'!$M:$M,0))&amp;"",""))),0,IF($L1728="Débit",$K1728,IF($P1728=1,-$K1728,0))))</f>
        <v/>
      </c>
      <c r="R1728" s="6" t="str">
        <f>IF($K1728="","",IF($L1728="Crédit",$K1728,-$K1728))</f>
        <v/>
      </c>
      <c r="S1728" s="6" t="str">
        <f>IF($C1728="","",IFERROR(INDEX('Paramètres'!$H:$H,MATCH($C1728,'Paramètres'!$D:$D,0))&amp;"",""))</f>
        <v/>
      </c>
      <c r="T1728" s="6" t="str">
        <f>IF($K1728="","",IF($S1728="",0,IF(ISNUMBER(SEARCH("apport-exterieur",IFERROR(INDEX('Paramètres'!$N:$N,MATCH($D1728,'Paramètres'!$M:$M,0))&amp;"",""))),0,IF(OR(IFERROR(INDEX('Paramètres'!$I:$I,MATCH($C1728,'Paramètres'!$D:$D,0))&amp;"","")="Les deux",IFERROR(INDEX('Paramètres'!$I:$I,MATCH($C1728,'Paramètres'!$D:$D,0))&amp;"","")=IF($P1728=1,"Débit",$L1728)),-IF($P1728=1,-$K1728,$K1728),0))))</f>
        <v/>
      </c>
      <c r="U1728" s="6" t="str">
        <f>IF($K1728="","",IF(ISNUMBER(SEARCH("sortie-epargne",IFERROR(INDEX('Paramètres'!$N:$N,MATCH($D1728,'Paramètres'!$M:$M,0))&amp;"",""))),$K1728,0))</f>
        <v/>
      </c>
      <c r="V1728" s="6" t="str">
        <f>IF(AND($A1728&lt;&gt;"",$O1728=1,$L1728="Débit",N($Q1728)&gt;0,$A1728&gt;=Visualisation!$B$1,$A1728&lt;Visualisation!$D$1),MAX($V$1:V1727)+1,"")</f>
        <v/>
      </c>
    </row>
    <row r="1729" spans="1:22" x14ac:dyDescent="0.25">
      <c r="A1729" s="9"/>
      <c r="E1729" s="10"/>
      <c r="K1729" s="11" t="str">
        <f>IF($E1729="","",ROUND($E1729*IF(ISNA(MATCH($C1729,'Paramètres'!$D:$D,0)),1,IF(INDEX('Paramètres'!$J:$J,MATCH($C1729,'Paramètres'!$D:$D,0))="",1,INDEX('Paramètres'!$J:$J,MATCH($C1729,'Paramètres'!$D:$D,0)))),2))</f>
        <v/>
      </c>
      <c r="L1729" s="6" t="str">
        <f>IF($D1729="","",IF($F1729&lt;&gt;"",$F1729,IF(ISNA(MATCH($D1729,'Paramètres'!$M:$M,0)),"⚠ Type inconnu",IFERROR(INDEX('Paramètres'!$P:$P,MATCH($D1729,'Paramètres'!$M:$M,0))&amp;"",""))))</f>
        <v/>
      </c>
      <c r="M1729" s="6" t="str">
        <f>IF($D1729="","",IF(ISNA(MATCH($D1729,'Paramètres'!$M:$M,0)),"⚠ Type inconnu",IF($L1729="Crédit","",IFERROR(INDEX('Paramètres'!$O:$O,MATCH($D1729,'Paramètres'!$M:$M,0))&amp;"",""))))</f>
        <v/>
      </c>
      <c r="N1729" s="6" t="str">
        <f>IF($D1729="","",IFERROR(INDEX('Paramètres'!$Q:$Q,MATCH($D1729,'Paramètres'!$M:$M,0))&amp;"",""))</f>
        <v/>
      </c>
      <c r="O1729" s="6" t="str">
        <f>IF($A1729="","",IF(OR($J1729&lt;&gt;"x",$A1729&lt;=FinReleve),1,0))</f>
        <v/>
      </c>
      <c r="P1729" s="6" t="str">
        <f>IF($D1729="","",IF(AND($L1729="Crédit",OR(IFERROR(INDEX('Paramètres'!$O:$O,MATCH($D1729,'Paramètres'!$M:$M,0))&amp;"","")&lt;&gt;"",ISNUMBER(SEARCH("remboursement",IFERROR(INDEX('Paramètres'!$N:$N,MATCH($D1729,'Paramètres'!$M:$M,0))&amp;"",""))))),1,0))</f>
        <v/>
      </c>
      <c r="Q1729" s="6" t="str">
        <f>IF($K1729="","",IF(ISNUMBER(SEARCH("transfert-interne",IFERROR(INDEX('Paramètres'!$N:$N,MATCH($D1729,'Paramètres'!$M:$M,0))&amp;"",""))),0,IF($L1729="Débit",$K1729,IF($P1729=1,-$K1729,0))))</f>
        <v/>
      </c>
      <c r="R1729" s="6" t="str">
        <f>IF($K1729="","",IF($L1729="Crédit",$K1729,-$K1729))</f>
        <v/>
      </c>
      <c r="S1729" s="6" t="str">
        <f>IF($C1729="","",IFERROR(INDEX('Paramètres'!$H:$H,MATCH($C1729,'Paramètres'!$D:$D,0))&amp;"",""))</f>
        <v/>
      </c>
      <c r="T1729" s="6" t="str">
        <f>IF($K1729="","",IF($S1729="",0,IF(ISNUMBER(SEARCH("apport-exterieur",IFERROR(INDEX('Paramètres'!$N:$N,MATCH($D1729,'Paramètres'!$M:$M,0))&amp;"",""))),0,IF(OR(IFERROR(INDEX('Paramètres'!$I:$I,MATCH($C1729,'Paramètres'!$D:$D,0))&amp;"","")="Les deux",IFERROR(INDEX('Paramètres'!$I:$I,MATCH($C1729,'Paramètres'!$D:$D,0))&amp;"","")=IF($P1729=1,"Débit",$L1729)),-IF($P1729=1,-$K1729,$K1729),0))))</f>
        <v/>
      </c>
      <c r="U1729" s="6" t="str">
        <f>IF($K1729="","",IF(ISNUMBER(SEARCH("sortie-epargne",IFERROR(INDEX('Paramètres'!$N:$N,MATCH($D1729,'Paramètres'!$M:$M,0))&amp;"",""))),$K1729,0))</f>
        <v/>
      </c>
      <c r="V1729" s="6" t="str">
        <f>IF(AND($A1729&lt;&gt;"",$O1729=1,$L1729="Débit",N($Q1729)&gt;0,$A1729&gt;=Visualisation!$B$1,$A1729&lt;Visualisation!$D$1),MAX($V$1:V1728)+1,"")</f>
        <v/>
      </c>
    </row>
    <row r="1730" spans="1:22" x14ac:dyDescent="0.25">
      <c r="A1730" s="9"/>
      <c r="E1730" s="10"/>
      <c r="K1730" s="11" t="str">
        <f>IF($E1730="","",ROUND($E1730*IF(ISNA(MATCH($C1730,'Paramètres'!$D:$D,0)),1,IF(INDEX('Paramètres'!$J:$J,MATCH($C1730,'Paramètres'!$D:$D,0))="",1,INDEX('Paramètres'!$J:$J,MATCH($C1730,'Paramètres'!$D:$D,0)))),2))</f>
        <v/>
      </c>
      <c r="L1730" s="6" t="str">
        <f>IF($D1730="","",IF($F1730&lt;&gt;"",$F1730,IF(ISNA(MATCH($D1730,'Paramètres'!$M:$M,0)),"⚠ Type inconnu",IFERROR(INDEX('Paramètres'!$P:$P,MATCH($D1730,'Paramètres'!$M:$M,0))&amp;"",""))))</f>
        <v/>
      </c>
      <c r="M1730" s="6" t="str">
        <f>IF($D1730="","",IF(ISNA(MATCH($D1730,'Paramètres'!$M:$M,0)),"⚠ Type inconnu",IF($L1730="Crédit","",IFERROR(INDEX('Paramètres'!$O:$O,MATCH($D1730,'Paramètres'!$M:$M,0))&amp;"",""))))</f>
        <v/>
      </c>
      <c r="N1730" s="6" t="str">
        <f>IF($D1730="","",IFERROR(INDEX('Paramètres'!$Q:$Q,MATCH($D1730,'Paramètres'!$M:$M,0))&amp;"",""))</f>
        <v/>
      </c>
      <c r="O1730" s="6" t="str">
        <f>IF($A1730="","",IF(OR($J1730&lt;&gt;"x",$A1730&lt;=FinReleve),1,0))</f>
        <v/>
      </c>
      <c r="P1730" s="6" t="str">
        <f>IF($D1730="","",IF(AND($L1730="Crédit",OR(IFERROR(INDEX('Paramètres'!$O:$O,MATCH($D1730,'Paramètres'!$M:$M,0))&amp;"","")&lt;&gt;"",ISNUMBER(SEARCH("remboursement",IFERROR(INDEX('Paramètres'!$N:$N,MATCH($D1730,'Paramètres'!$M:$M,0))&amp;"",""))))),1,0))</f>
        <v/>
      </c>
      <c r="Q1730" s="6" t="str">
        <f>IF($K1730="","",IF(ISNUMBER(SEARCH("transfert-interne",IFERROR(INDEX('Paramètres'!$N:$N,MATCH($D1730,'Paramètres'!$M:$M,0))&amp;"",""))),0,IF($L1730="Débit",$K1730,IF($P1730=1,-$K1730,0))))</f>
        <v/>
      </c>
      <c r="R1730" s="6" t="str">
        <f>IF($K1730="","",IF($L1730="Crédit",$K1730,-$K1730))</f>
        <v/>
      </c>
      <c r="S1730" s="6" t="str">
        <f>IF($C1730="","",IFERROR(INDEX('Paramètres'!$H:$H,MATCH($C1730,'Paramètres'!$D:$D,0))&amp;"",""))</f>
        <v/>
      </c>
      <c r="T1730" s="6" t="str">
        <f>IF($K1730="","",IF($S1730="",0,IF(ISNUMBER(SEARCH("apport-exterieur",IFERROR(INDEX('Paramètres'!$N:$N,MATCH($D1730,'Paramètres'!$M:$M,0))&amp;"",""))),0,IF(OR(IFERROR(INDEX('Paramètres'!$I:$I,MATCH($C1730,'Paramètres'!$D:$D,0))&amp;"","")="Les deux",IFERROR(INDEX('Paramètres'!$I:$I,MATCH($C1730,'Paramètres'!$D:$D,0))&amp;"","")=IF($P1730=1,"Débit",$L1730)),-IF($P1730=1,-$K1730,$K1730),0))))</f>
        <v/>
      </c>
      <c r="U1730" s="6" t="str">
        <f>IF($K1730="","",IF(ISNUMBER(SEARCH("sortie-epargne",IFERROR(INDEX('Paramètres'!$N:$N,MATCH($D1730,'Paramètres'!$M:$M,0))&amp;"",""))),$K1730,0))</f>
        <v/>
      </c>
      <c r="V1730" s="6" t="str">
        <f>IF(AND($A1730&lt;&gt;"",$O1730=1,$L1730="Débit",N($Q1730)&gt;0,$A1730&gt;=Visualisation!$B$1,$A1730&lt;Visualisation!$D$1),MAX($V$1:V1729)+1,"")</f>
        <v/>
      </c>
    </row>
    <row r="1731" spans="1:22" x14ac:dyDescent="0.25">
      <c r="A1731" s="9"/>
      <c r="E1731" s="10"/>
      <c r="K1731" s="11" t="str">
        <f>IF($E1731="","",ROUND($E1731*IF(ISNA(MATCH($C1731,'Paramètres'!$D:$D,0)),1,IF(INDEX('Paramètres'!$J:$J,MATCH($C1731,'Paramètres'!$D:$D,0))="",1,INDEX('Paramètres'!$J:$J,MATCH($C1731,'Paramètres'!$D:$D,0)))),2))</f>
        <v/>
      </c>
      <c r="L1731" s="6" t="str">
        <f>IF($D1731="","",IF($F1731&lt;&gt;"",$F1731,IF(ISNA(MATCH($D1731,'Paramètres'!$M:$M,0)),"⚠ Type inconnu",IFERROR(INDEX('Paramètres'!$P:$P,MATCH($D1731,'Paramètres'!$M:$M,0))&amp;"",""))))</f>
        <v/>
      </c>
      <c r="M1731" s="6" t="str">
        <f>IF($D1731="","",IF(ISNA(MATCH($D1731,'Paramètres'!$M:$M,0)),"⚠ Type inconnu",IF($L1731="Crédit","",IFERROR(INDEX('Paramètres'!$O:$O,MATCH($D1731,'Paramètres'!$M:$M,0))&amp;"",""))))</f>
        <v/>
      </c>
      <c r="N1731" s="6" t="str">
        <f>IF($D1731="","",IFERROR(INDEX('Paramètres'!$Q:$Q,MATCH($D1731,'Paramètres'!$M:$M,0))&amp;"",""))</f>
        <v/>
      </c>
      <c r="O1731" s="6" t="str">
        <f>IF($A1731="","",IF(OR($J1731&lt;&gt;"x",$A1731&lt;=FinReleve),1,0))</f>
        <v/>
      </c>
      <c r="P1731" s="6" t="str">
        <f>IF($D1731="","",IF(AND($L1731="Crédit",OR(IFERROR(INDEX('Paramètres'!$O:$O,MATCH($D1731,'Paramètres'!$M:$M,0))&amp;"","")&lt;&gt;"",ISNUMBER(SEARCH("remboursement",IFERROR(INDEX('Paramètres'!$N:$N,MATCH($D1731,'Paramètres'!$M:$M,0))&amp;"",""))))),1,0))</f>
        <v/>
      </c>
      <c r="Q1731" s="6" t="str">
        <f>IF($K1731="","",IF(ISNUMBER(SEARCH("transfert-interne",IFERROR(INDEX('Paramètres'!$N:$N,MATCH($D1731,'Paramètres'!$M:$M,0))&amp;"",""))),0,IF($L1731="Débit",$K1731,IF($P1731=1,-$K1731,0))))</f>
        <v/>
      </c>
      <c r="R1731" s="6" t="str">
        <f>IF($K1731="","",IF($L1731="Crédit",$K1731,-$K1731))</f>
        <v/>
      </c>
      <c r="S1731" s="6" t="str">
        <f>IF($C1731="","",IFERROR(INDEX('Paramètres'!$H:$H,MATCH($C1731,'Paramètres'!$D:$D,0))&amp;"",""))</f>
        <v/>
      </c>
      <c r="T1731" s="6" t="str">
        <f>IF($K1731="","",IF($S1731="",0,IF(ISNUMBER(SEARCH("apport-exterieur",IFERROR(INDEX('Paramètres'!$N:$N,MATCH($D1731,'Paramètres'!$M:$M,0))&amp;"",""))),0,IF(OR(IFERROR(INDEX('Paramètres'!$I:$I,MATCH($C1731,'Paramètres'!$D:$D,0))&amp;"","")="Les deux",IFERROR(INDEX('Paramètres'!$I:$I,MATCH($C1731,'Paramètres'!$D:$D,0))&amp;"","")=IF($P1731=1,"Débit",$L1731)),-IF($P1731=1,-$K1731,$K1731),0))))</f>
        <v/>
      </c>
      <c r="U1731" s="6" t="str">
        <f>IF($K1731="","",IF(ISNUMBER(SEARCH("sortie-epargne",IFERROR(INDEX('Paramètres'!$N:$N,MATCH($D1731,'Paramètres'!$M:$M,0))&amp;"",""))),$K1731,0))</f>
        <v/>
      </c>
      <c r="V1731" s="6" t="str">
        <f>IF(AND($A1731&lt;&gt;"",$O1731=1,$L1731="Débit",N($Q1731)&gt;0,$A1731&gt;=Visualisation!$B$1,$A1731&lt;Visualisation!$D$1),MAX($V$1:V1730)+1,"")</f>
        <v/>
      </c>
    </row>
    <row r="1732" spans="1:22" x14ac:dyDescent="0.25">
      <c r="A1732" s="9"/>
      <c r="E1732" s="10"/>
      <c r="K1732" s="11" t="str">
        <f>IF($E1732="","",ROUND($E1732*IF(ISNA(MATCH($C1732,'Paramètres'!$D:$D,0)),1,IF(INDEX('Paramètres'!$J:$J,MATCH($C1732,'Paramètres'!$D:$D,0))="",1,INDEX('Paramètres'!$J:$J,MATCH($C1732,'Paramètres'!$D:$D,0)))),2))</f>
        <v/>
      </c>
      <c r="L1732" s="6" t="str">
        <f>IF($D1732="","",IF($F1732&lt;&gt;"",$F1732,IF(ISNA(MATCH($D1732,'Paramètres'!$M:$M,0)),"⚠ Type inconnu",IFERROR(INDEX('Paramètres'!$P:$P,MATCH($D1732,'Paramètres'!$M:$M,0))&amp;"",""))))</f>
        <v/>
      </c>
      <c r="M1732" s="6" t="str">
        <f>IF($D1732="","",IF(ISNA(MATCH($D1732,'Paramètres'!$M:$M,0)),"⚠ Type inconnu",IF($L1732="Crédit","",IFERROR(INDEX('Paramètres'!$O:$O,MATCH($D1732,'Paramètres'!$M:$M,0))&amp;"",""))))</f>
        <v/>
      </c>
      <c r="N1732" s="6" t="str">
        <f>IF($D1732="","",IFERROR(INDEX('Paramètres'!$Q:$Q,MATCH($D1732,'Paramètres'!$M:$M,0))&amp;"",""))</f>
        <v/>
      </c>
      <c r="O1732" s="6" t="str">
        <f>IF($A1732="","",IF(OR($J1732&lt;&gt;"x",$A1732&lt;=FinReleve),1,0))</f>
        <v/>
      </c>
      <c r="P1732" s="6" t="str">
        <f>IF($D1732="","",IF(AND($L1732="Crédit",OR(IFERROR(INDEX('Paramètres'!$O:$O,MATCH($D1732,'Paramètres'!$M:$M,0))&amp;"","")&lt;&gt;"",ISNUMBER(SEARCH("remboursement",IFERROR(INDEX('Paramètres'!$N:$N,MATCH($D1732,'Paramètres'!$M:$M,0))&amp;"",""))))),1,0))</f>
        <v/>
      </c>
      <c r="Q1732" s="6" t="str">
        <f>IF($K1732="","",IF(ISNUMBER(SEARCH("transfert-interne",IFERROR(INDEX('Paramètres'!$N:$N,MATCH($D1732,'Paramètres'!$M:$M,0))&amp;"",""))),0,IF($L1732="Débit",$K1732,IF($P1732=1,-$K1732,0))))</f>
        <v/>
      </c>
      <c r="R1732" s="6" t="str">
        <f>IF($K1732="","",IF($L1732="Crédit",$K1732,-$K1732))</f>
        <v/>
      </c>
      <c r="S1732" s="6" t="str">
        <f>IF($C1732="","",IFERROR(INDEX('Paramètres'!$H:$H,MATCH($C1732,'Paramètres'!$D:$D,0))&amp;"",""))</f>
        <v/>
      </c>
      <c r="T1732" s="6" t="str">
        <f>IF($K1732="","",IF($S1732="",0,IF(ISNUMBER(SEARCH("apport-exterieur",IFERROR(INDEX('Paramètres'!$N:$N,MATCH($D1732,'Paramètres'!$M:$M,0))&amp;"",""))),0,IF(OR(IFERROR(INDEX('Paramètres'!$I:$I,MATCH($C1732,'Paramètres'!$D:$D,0))&amp;"","")="Les deux",IFERROR(INDEX('Paramètres'!$I:$I,MATCH($C1732,'Paramètres'!$D:$D,0))&amp;"","")=IF($P1732=1,"Débit",$L1732)),-IF($P1732=1,-$K1732,$K1732),0))))</f>
        <v/>
      </c>
      <c r="U1732" s="6" t="str">
        <f>IF($K1732="","",IF(ISNUMBER(SEARCH("sortie-epargne",IFERROR(INDEX('Paramètres'!$N:$N,MATCH($D1732,'Paramètres'!$M:$M,0))&amp;"",""))),$K1732,0))</f>
        <v/>
      </c>
      <c r="V1732" s="6" t="str">
        <f>IF(AND($A1732&lt;&gt;"",$O1732=1,$L1732="Débit",N($Q1732)&gt;0,$A1732&gt;=Visualisation!$B$1,$A1732&lt;Visualisation!$D$1),MAX($V$1:V1731)+1,"")</f>
        <v/>
      </c>
    </row>
    <row r="1733" spans="1:22" x14ac:dyDescent="0.25">
      <c r="A1733" s="9"/>
      <c r="E1733" s="10"/>
      <c r="K1733" s="11" t="str">
        <f>IF($E1733="","",ROUND($E1733*IF(ISNA(MATCH($C1733,'Paramètres'!$D:$D,0)),1,IF(INDEX('Paramètres'!$J:$J,MATCH($C1733,'Paramètres'!$D:$D,0))="",1,INDEX('Paramètres'!$J:$J,MATCH($C1733,'Paramètres'!$D:$D,0)))),2))</f>
        <v/>
      </c>
      <c r="L1733" s="6" t="str">
        <f>IF($D1733="","",IF($F1733&lt;&gt;"",$F1733,IF(ISNA(MATCH($D1733,'Paramètres'!$M:$M,0)),"⚠ Type inconnu",IFERROR(INDEX('Paramètres'!$P:$P,MATCH($D1733,'Paramètres'!$M:$M,0))&amp;"",""))))</f>
        <v/>
      </c>
      <c r="M1733" s="6" t="str">
        <f>IF($D1733="","",IF(ISNA(MATCH($D1733,'Paramètres'!$M:$M,0)),"⚠ Type inconnu",IF($L1733="Crédit","",IFERROR(INDEX('Paramètres'!$O:$O,MATCH($D1733,'Paramètres'!$M:$M,0))&amp;"",""))))</f>
        <v/>
      </c>
      <c r="N1733" s="6" t="str">
        <f>IF($D1733="","",IFERROR(INDEX('Paramètres'!$Q:$Q,MATCH($D1733,'Paramètres'!$M:$M,0))&amp;"",""))</f>
        <v/>
      </c>
      <c r="O1733" s="6" t="str">
        <f>IF($A1733="","",IF(OR($J1733&lt;&gt;"x",$A1733&lt;=FinReleve),1,0))</f>
        <v/>
      </c>
      <c r="P1733" s="6" t="str">
        <f>IF($D1733="","",IF(AND($L1733="Crédit",OR(IFERROR(INDEX('Paramètres'!$O:$O,MATCH($D1733,'Paramètres'!$M:$M,0))&amp;"","")&lt;&gt;"",ISNUMBER(SEARCH("remboursement",IFERROR(INDEX('Paramètres'!$N:$N,MATCH($D1733,'Paramètres'!$M:$M,0))&amp;"",""))))),1,0))</f>
        <v/>
      </c>
      <c r="Q1733" s="6" t="str">
        <f>IF($K1733="","",IF(ISNUMBER(SEARCH("transfert-interne",IFERROR(INDEX('Paramètres'!$N:$N,MATCH($D1733,'Paramètres'!$M:$M,0))&amp;"",""))),0,IF($L1733="Débit",$K1733,IF($P1733=1,-$K1733,0))))</f>
        <v/>
      </c>
      <c r="R1733" s="6" t="str">
        <f>IF($K1733="","",IF($L1733="Crédit",$K1733,-$K1733))</f>
        <v/>
      </c>
      <c r="S1733" s="6" t="str">
        <f>IF($C1733="","",IFERROR(INDEX('Paramètres'!$H:$H,MATCH($C1733,'Paramètres'!$D:$D,0))&amp;"",""))</f>
        <v/>
      </c>
      <c r="T1733" s="6" t="str">
        <f>IF($K1733="","",IF($S1733="",0,IF(ISNUMBER(SEARCH("apport-exterieur",IFERROR(INDEX('Paramètres'!$N:$N,MATCH($D1733,'Paramètres'!$M:$M,0))&amp;"",""))),0,IF(OR(IFERROR(INDEX('Paramètres'!$I:$I,MATCH($C1733,'Paramètres'!$D:$D,0))&amp;"","")="Les deux",IFERROR(INDEX('Paramètres'!$I:$I,MATCH($C1733,'Paramètres'!$D:$D,0))&amp;"","")=IF($P1733=1,"Débit",$L1733)),-IF($P1733=1,-$K1733,$K1733),0))))</f>
        <v/>
      </c>
      <c r="U1733" s="6" t="str">
        <f>IF($K1733="","",IF(ISNUMBER(SEARCH("sortie-epargne",IFERROR(INDEX('Paramètres'!$N:$N,MATCH($D1733,'Paramètres'!$M:$M,0))&amp;"",""))),$K1733,0))</f>
        <v/>
      </c>
      <c r="V1733" s="6" t="str">
        <f>IF(AND($A1733&lt;&gt;"",$O1733=1,$L1733="Débit",N($Q1733)&gt;0,$A1733&gt;=Visualisation!$B$1,$A1733&lt;Visualisation!$D$1),MAX($V$1:V1732)+1,"")</f>
        <v/>
      </c>
    </row>
    <row r="1734" spans="1:22" x14ac:dyDescent="0.25">
      <c r="A1734" s="9"/>
      <c r="E1734" s="10"/>
      <c r="K1734" s="11" t="str">
        <f>IF($E1734="","",ROUND($E1734*IF(ISNA(MATCH($C1734,'Paramètres'!$D:$D,0)),1,IF(INDEX('Paramètres'!$J:$J,MATCH($C1734,'Paramètres'!$D:$D,0))="",1,INDEX('Paramètres'!$J:$J,MATCH($C1734,'Paramètres'!$D:$D,0)))),2))</f>
        <v/>
      </c>
      <c r="L1734" s="6" t="str">
        <f>IF($D1734="","",IF($F1734&lt;&gt;"",$F1734,IF(ISNA(MATCH($D1734,'Paramètres'!$M:$M,0)),"⚠ Type inconnu",IFERROR(INDEX('Paramètres'!$P:$P,MATCH($D1734,'Paramètres'!$M:$M,0))&amp;"",""))))</f>
        <v/>
      </c>
      <c r="M1734" s="6" t="str">
        <f>IF($D1734="","",IF(ISNA(MATCH($D1734,'Paramètres'!$M:$M,0)),"⚠ Type inconnu",IF($L1734="Crédit","",IFERROR(INDEX('Paramètres'!$O:$O,MATCH($D1734,'Paramètres'!$M:$M,0))&amp;"",""))))</f>
        <v/>
      </c>
      <c r="N1734" s="6" t="str">
        <f>IF($D1734="","",IFERROR(INDEX('Paramètres'!$Q:$Q,MATCH($D1734,'Paramètres'!$M:$M,0))&amp;"",""))</f>
        <v/>
      </c>
      <c r="O1734" s="6" t="str">
        <f>IF($A1734="","",IF(OR($J1734&lt;&gt;"x",$A1734&lt;=FinReleve),1,0))</f>
        <v/>
      </c>
      <c r="P1734" s="6" t="str">
        <f>IF($D1734="","",IF(AND($L1734="Crédit",OR(IFERROR(INDEX('Paramètres'!$O:$O,MATCH($D1734,'Paramètres'!$M:$M,0))&amp;"","")&lt;&gt;"",ISNUMBER(SEARCH("remboursement",IFERROR(INDEX('Paramètres'!$N:$N,MATCH($D1734,'Paramètres'!$M:$M,0))&amp;"",""))))),1,0))</f>
        <v/>
      </c>
      <c r="Q1734" s="6" t="str">
        <f>IF($K1734="","",IF(ISNUMBER(SEARCH("transfert-interne",IFERROR(INDEX('Paramètres'!$N:$N,MATCH($D1734,'Paramètres'!$M:$M,0))&amp;"",""))),0,IF($L1734="Débit",$K1734,IF($P1734=1,-$K1734,0))))</f>
        <v/>
      </c>
      <c r="R1734" s="6" t="str">
        <f>IF($K1734="","",IF($L1734="Crédit",$K1734,-$K1734))</f>
        <v/>
      </c>
      <c r="S1734" s="6" t="str">
        <f>IF($C1734="","",IFERROR(INDEX('Paramètres'!$H:$H,MATCH($C1734,'Paramètres'!$D:$D,0))&amp;"",""))</f>
        <v/>
      </c>
      <c r="T1734" s="6" t="str">
        <f>IF($K1734="","",IF($S1734="",0,IF(ISNUMBER(SEARCH("apport-exterieur",IFERROR(INDEX('Paramètres'!$N:$N,MATCH($D1734,'Paramètres'!$M:$M,0))&amp;"",""))),0,IF(OR(IFERROR(INDEX('Paramètres'!$I:$I,MATCH($C1734,'Paramètres'!$D:$D,0))&amp;"","")="Les deux",IFERROR(INDEX('Paramètres'!$I:$I,MATCH($C1734,'Paramètres'!$D:$D,0))&amp;"","")=IF($P1734=1,"Débit",$L1734)),-IF($P1734=1,-$K1734,$K1734),0))))</f>
        <v/>
      </c>
      <c r="U1734" s="6" t="str">
        <f>IF($K1734="","",IF(ISNUMBER(SEARCH("sortie-epargne",IFERROR(INDEX('Paramètres'!$N:$N,MATCH($D1734,'Paramètres'!$M:$M,0))&amp;"",""))),$K1734,0))</f>
        <v/>
      </c>
      <c r="V1734" s="6" t="str">
        <f>IF(AND($A1734&lt;&gt;"",$O1734=1,$L1734="Débit",N($Q1734)&gt;0,$A1734&gt;=Visualisation!$B$1,$A1734&lt;Visualisation!$D$1),MAX($V$1:V1733)+1,"")</f>
        <v/>
      </c>
    </row>
    <row r="1735" spans="1:22" x14ac:dyDescent="0.25">
      <c r="A1735" s="9"/>
      <c r="E1735" s="10"/>
      <c r="K1735" s="11" t="str">
        <f>IF($E1735="","",ROUND($E1735*IF(ISNA(MATCH($C1735,'Paramètres'!$D:$D,0)),1,IF(INDEX('Paramètres'!$J:$J,MATCH($C1735,'Paramètres'!$D:$D,0))="",1,INDEX('Paramètres'!$J:$J,MATCH($C1735,'Paramètres'!$D:$D,0)))),2))</f>
        <v/>
      </c>
      <c r="L1735" s="6" t="str">
        <f>IF($D1735="","",IF($F1735&lt;&gt;"",$F1735,IF(ISNA(MATCH($D1735,'Paramètres'!$M:$M,0)),"⚠ Type inconnu",IFERROR(INDEX('Paramètres'!$P:$P,MATCH($D1735,'Paramètres'!$M:$M,0))&amp;"",""))))</f>
        <v/>
      </c>
      <c r="M1735" s="6" t="str">
        <f>IF($D1735="","",IF(ISNA(MATCH($D1735,'Paramètres'!$M:$M,0)),"⚠ Type inconnu",IF($L1735="Crédit","",IFERROR(INDEX('Paramètres'!$O:$O,MATCH($D1735,'Paramètres'!$M:$M,0))&amp;"",""))))</f>
        <v/>
      </c>
      <c r="N1735" s="6" t="str">
        <f>IF($D1735="","",IFERROR(INDEX('Paramètres'!$Q:$Q,MATCH($D1735,'Paramètres'!$M:$M,0))&amp;"",""))</f>
        <v/>
      </c>
      <c r="O1735" s="6" t="str">
        <f>IF($A1735="","",IF(OR($J1735&lt;&gt;"x",$A1735&lt;=FinReleve),1,0))</f>
        <v/>
      </c>
      <c r="P1735" s="6" t="str">
        <f>IF($D1735="","",IF(AND($L1735="Crédit",OR(IFERROR(INDEX('Paramètres'!$O:$O,MATCH($D1735,'Paramètres'!$M:$M,0))&amp;"","")&lt;&gt;"",ISNUMBER(SEARCH("remboursement",IFERROR(INDEX('Paramètres'!$N:$N,MATCH($D1735,'Paramètres'!$M:$M,0))&amp;"",""))))),1,0))</f>
        <v/>
      </c>
      <c r="Q1735" s="6" t="str">
        <f>IF($K1735="","",IF(ISNUMBER(SEARCH("transfert-interne",IFERROR(INDEX('Paramètres'!$N:$N,MATCH($D1735,'Paramètres'!$M:$M,0))&amp;"",""))),0,IF($L1735="Débit",$K1735,IF($P1735=1,-$K1735,0))))</f>
        <v/>
      </c>
      <c r="R1735" s="6" t="str">
        <f>IF($K1735="","",IF($L1735="Crédit",$K1735,-$K1735))</f>
        <v/>
      </c>
      <c r="S1735" s="6" t="str">
        <f>IF($C1735="","",IFERROR(INDEX('Paramètres'!$H:$H,MATCH($C1735,'Paramètres'!$D:$D,0))&amp;"",""))</f>
        <v/>
      </c>
      <c r="T1735" s="6" t="str">
        <f>IF($K1735="","",IF($S1735="",0,IF(ISNUMBER(SEARCH("apport-exterieur",IFERROR(INDEX('Paramètres'!$N:$N,MATCH($D1735,'Paramètres'!$M:$M,0))&amp;"",""))),0,IF(OR(IFERROR(INDEX('Paramètres'!$I:$I,MATCH($C1735,'Paramètres'!$D:$D,0))&amp;"","")="Les deux",IFERROR(INDEX('Paramètres'!$I:$I,MATCH($C1735,'Paramètres'!$D:$D,0))&amp;"","")=IF($P1735=1,"Débit",$L1735)),-IF($P1735=1,-$K1735,$K1735),0))))</f>
        <v/>
      </c>
      <c r="U1735" s="6" t="str">
        <f>IF($K1735="","",IF(ISNUMBER(SEARCH("sortie-epargne",IFERROR(INDEX('Paramètres'!$N:$N,MATCH($D1735,'Paramètres'!$M:$M,0))&amp;"",""))),$K1735,0))</f>
        <v/>
      </c>
      <c r="V1735" s="6" t="str">
        <f>IF(AND($A1735&lt;&gt;"",$O1735=1,$L1735="Débit",N($Q1735)&gt;0,$A1735&gt;=Visualisation!$B$1,$A1735&lt;Visualisation!$D$1),MAX($V$1:V1734)+1,"")</f>
        <v/>
      </c>
    </row>
    <row r="1736" spans="1:22" x14ac:dyDescent="0.25">
      <c r="A1736" s="9"/>
      <c r="E1736" s="10"/>
      <c r="K1736" s="11" t="str">
        <f>IF($E1736="","",ROUND($E1736*IF(ISNA(MATCH($C1736,'Paramètres'!$D:$D,0)),1,IF(INDEX('Paramètres'!$J:$J,MATCH($C1736,'Paramètres'!$D:$D,0))="",1,INDEX('Paramètres'!$J:$J,MATCH($C1736,'Paramètres'!$D:$D,0)))),2))</f>
        <v/>
      </c>
      <c r="L1736" s="6" t="str">
        <f>IF($D1736="","",IF($F1736&lt;&gt;"",$F1736,IF(ISNA(MATCH($D1736,'Paramètres'!$M:$M,0)),"⚠ Type inconnu",IFERROR(INDEX('Paramètres'!$P:$P,MATCH($D1736,'Paramètres'!$M:$M,0))&amp;"",""))))</f>
        <v/>
      </c>
      <c r="M1736" s="6" t="str">
        <f>IF($D1736="","",IF(ISNA(MATCH($D1736,'Paramètres'!$M:$M,0)),"⚠ Type inconnu",IF($L1736="Crédit","",IFERROR(INDEX('Paramètres'!$O:$O,MATCH($D1736,'Paramètres'!$M:$M,0))&amp;"",""))))</f>
        <v/>
      </c>
      <c r="N1736" s="6" t="str">
        <f>IF($D1736="","",IFERROR(INDEX('Paramètres'!$Q:$Q,MATCH($D1736,'Paramètres'!$M:$M,0))&amp;"",""))</f>
        <v/>
      </c>
      <c r="O1736" s="6" t="str">
        <f>IF($A1736="","",IF(OR($J1736&lt;&gt;"x",$A1736&lt;=FinReleve),1,0))</f>
        <v/>
      </c>
      <c r="P1736" s="6" t="str">
        <f>IF($D1736="","",IF(AND($L1736="Crédit",OR(IFERROR(INDEX('Paramètres'!$O:$O,MATCH($D1736,'Paramètres'!$M:$M,0))&amp;"","")&lt;&gt;"",ISNUMBER(SEARCH("remboursement",IFERROR(INDEX('Paramètres'!$N:$N,MATCH($D1736,'Paramètres'!$M:$M,0))&amp;"",""))))),1,0))</f>
        <v/>
      </c>
      <c r="Q1736" s="6" t="str">
        <f>IF($K1736="","",IF(ISNUMBER(SEARCH("transfert-interne",IFERROR(INDEX('Paramètres'!$N:$N,MATCH($D1736,'Paramètres'!$M:$M,0))&amp;"",""))),0,IF($L1736="Débit",$K1736,IF($P1736=1,-$K1736,0))))</f>
        <v/>
      </c>
      <c r="R1736" s="6" t="str">
        <f>IF($K1736="","",IF($L1736="Crédit",$K1736,-$K1736))</f>
        <v/>
      </c>
      <c r="S1736" s="6" t="str">
        <f>IF($C1736="","",IFERROR(INDEX('Paramètres'!$H:$H,MATCH($C1736,'Paramètres'!$D:$D,0))&amp;"",""))</f>
        <v/>
      </c>
      <c r="T1736" s="6" t="str">
        <f>IF($K1736="","",IF($S1736="",0,IF(ISNUMBER(SEARCH("apport-exterieur",IFERROR(INDEX('Paramètres'!$N:$N,MATCH($D1736,'Paramètres'!$M:$M,0))&amp;"",""))),0,IF(OR(IFERROR(INDEX('Paramètres'!$I:$I,MATCH($C1736,'Paramètres'!$D:$D,0))&amp;"","")="Les deux",IFERROR(INDEX('Paramètres'!$I:$I,MATCH($C1736,'Paramètres'!$D:$D,0))&amp;"","")=IF($P1736=1,"Débit",$L1736)),-IF($P1736=1,-$K1736,$K1736),0))))</f>
        <v/>
      </c>
      <c r="U1736" s="6" t="str">
        <f>IF($K1736="","",IF(ISNUMBER(SEARCH("sortie-epargne",IFERROR(INDEX('Paramètres'!$N:$N,MATCH($D1736,'Paramètres'!$M:$M,0))&amp;"",""))),$K1736,0))</f>
        <v/>
      </c>
      <c r="V1736" s="6" t="str">
        <f>IF(AND($A1736&lt;&gt;"",$O1736=1,$L1736="Débit",N($Q1736)&gt;0,$A1736&gt;=Visualisation!$B$1,$A1736&lt;Visualisation!$D$1),MAX($V$1:V1735)+1,"")</f>
        <v/>
      </c>
    </row>
    <row r="1737" spans="1:22" x14ac:dyDescent="0.25">
      <c r="A1737" s="9"/>
      <c r="E1737" s="10"/>
      <c r="K1737" s="11" t="str">
        <f>IF($E1737="","",ROUND($E1737*IF(ISNA(MATCH($C1737,'Paramètres'!$D:$D,0)),1,IF(INDEX('Paramètres'!$J:$J,MATCH($C1737,'Paramètres'!$D:$D,0))="",1,INDEX('Paramètres'!$J:$J,MATCH($C1737,'Paramètres'!$D:$D,0)))),2))</f>
        <v/>
      </c>
      <c r="L1737" s="6" t="str">
        <f>IF($D1737="","",IF($F1737&lt;&gt;"",$F1737,IF(ISNA(MATCH($D1737,'Paramètres'!$M:$M,0)),"⚠ Type inconnu",IFERROR(INDEX('Paramètres'!$P:$P,MATCH($D1737,'Paramètres'!$M:$M,0))&amp;"",""))))</f>
        <v/>
      </c>
      <c r="M1737" s="6" t="str">
        <f>IF($D1737="","",IF(ISNA(MATCH($D1737,'Paramètres'!$M:$M,0)),"⚠ Type inconnu",IF($L1737="Crédit","",IFERROR(INDEX('Paramètres'!$O:$O,MATCH($D1737,'Paramètres'!$M:$M,0))&amp;"",""))))</f>
        <v/>
      </c>
      <c r="N1737" s="6" t="str">
        <f>IF($D1737="","",IFERROR(INDEX('Paramètres'!$Q:$Q,MATCH($D1737,'Paramètres'!$M:$M,0))&amp;"",""))</f>
        <v/>
      </c>
      <c r="O1737" s="6" t="str">
        <f>IF($A1737="","",IF(OR($J1737&lt;&gt;"x",$A1737&lt;=FinReleve),1,0))</f>
        <v/>
      </c>
      <c r="P1737" s="6" t="str">
        <f>IF($D1737="","",IF(AND($L1737="Crédit",OR(IFERROR(INDEX('Paramètres'!$O:$O,MATCH($D1737,'Paramètres'!$M:$M,0))&amp;"","")&lt;&gt;"",ISNUMBER(SEARCH("remboursement",IFERROR(INDEX('Paramètres'!$N:$N,MATCH($D1737,'Paramètres'!$M:$M,0))&amp;"",""))))),1,0))</f>
        <v/>
      </c>
      <c r="Q1737" s="6" t="str">
        <f>IF($K1737="","",IF(ISNUMBER(SEARCH("transfert-interne",IFERROR(INDEX('Paramètres'!$N:$N,MATCH($D1737,'Paramètres'!$M:$M,0))&amp;"",""))),0,IF($L1737="Débit",$K1737,IF($P1737=1,-$K1737,0))))</f>
        <v/>
      </c>
      <c r="R1737" s="6" t="str">
        <f>IF($K1737="","",IF($L1737="Crédit",$K1737,-$K1737))</f>
        <v/>
      </c>
      <c r="S1737" s="6" t="str">
        <f>IF($C1737="","",IFERROR(INDEX('Paramètres'!$H:$H,MATCH($C1737,'Paramètres'!$D:$D,0))&amp;"",""))</f>
        <v/>
      </c>
      <c r="T1737" s="6" t="str">
        <f>IF($K1737="","",IF($S1737="",0,IF(ISNUMBER(SEARCH("apport-exterieur",IFERROR(INDEX('Paramètres'!$N:$N,MATCH($D1737,'Paramètres'!$M:$M,0))&amp;"",""))),0,IF(OR(IFERROR(INDEX('Paramètres'!$I:$I,MATCH($C1737,'Paramètres'!$D:$D,0))&amp;"","")="Les deux",IFERROR(INDEX('Paramètres'!$I:$I,MATCH($C1737,'Paramètres'!$D:$D,0))&amp;"","")=IF($P1737=1,"Débit",$L1737)),-IF($P1737=1,-$K1737,$K1737),0))))</f>
        <v/>
      </c>
      <c r="U1737" s="6" t="str">
        <f>IF($K1737="","",IF(ISNUMBER(SEARCH("sortie-epargne",IFERROR(INDEX('Paramètres'!$N:$N,MATCH($D1737,'Paramètres'!$M:$M,0))&amp;"",""))),$K1737,0))</f>
        <v/>
      </c>
      <c r="V1737" s="6" t="str">
        <f>IF(AND($A1737&lt;&gt;"",$O1737=1,$L1737="Débit",N($Q1737)&gt;0,$A1737&gt;=Visualisation!$B$1,$A1737&lt;Visualisation!$D$1),MAX($V$1:V1736)+1,"")</f>
        <v/>
      </c>
    </row>
    <row r="1738" spans="1:22" x14ac:dyDescent="0.25">
      <c r="A1738" s="9"/>
      <c r="E1738" s="10"/>
      <c r="K1738" s="11" t="str">
        <f>IF($E1738="","",ROUND($E1738*IF(ISNA(MATCH($C1738,'Paramètres'!$D:$D,0)),1,IF(INDEX('Paramètres'!$J:$J,MATCH($C1738,'Paramètres'!$D:$D,0))="",1,INDEX('Paramètres'!$J:$J,MATCH($C1738,'Paramètres'!$D:$D,0)))),2))</f>
        <v/>
      </c>
      <c r="L1738" s="6" t="str">
        <f>IF($D1738="","",IF($F1738&lt;&gt;"",$F1738,IF(ISNA(MATCH($D1738,'Paramètres'!$M:$M,0)),"⚠ Type inconnu",IFERROR(INDEX('Paramètres'!$P:$P,MATCH($D1738,'Paramètres'!$M:$M,0))&amp;"",""))))</f>
        <v/>
      </c>
      <c r="M1738" s="6" t="str">
        <f>IF($D1738="","",IF(ISNA(MATCH($D1738,'Paramètres'!$M:$M,0)),"⚠ Type inconnu",IF($L1738="Crédit","",IFERROR(INDEX('Paramètres'!$O:$O,MATCH($D1738,'Paramètres'!$M:$M,0))&amp;"",""))))</f>
        <v/>
      </c>
      <c r="N1738" s="6" t="str">
        <f>IF($D1738="","",IFERROR(INDEX('Paramètres'!$Q:$Q,MATCH($D1738,'Paramètres'!$M:$M,0))&amp;"",""))</f>
        <v/>
      </c>
      <c r="O1738" s="6" t="str">
        <f>IF($A1738="","",IF(OR($J1738&lt;&gt;"x",$A1738&lt;=FinReleve),1,0))</f>
        <v/>
      </c>
      <c r="P1738" s="6" t="str">
        <f>IF($D1738="","",IF(AND($L1738="Crédit",OR(IFERROR(INDEX('Paramètres'!$O:$O,MATCH($D1738,'Paramètres'!$M:$M,0))&amp;"","")&lt;&gt;"",ISNUMBER(SEARCH("remboursement",IFERROR(INDEX('Paramètres'!$N:$N,MATCH($D1738,'Paramètres'!$M:$M,0))&amp;"",""))))),1,0))</f>
        <v/>
      </c>
      <c r="Q1738" s="6" t="str">
        <f>IF($K1738="","",IF(ISNUMBER(SEARCH("transfert-interne",IFERROR(INDEX('Paramètres'!$N:$N,MATCH($D1738,'Paramètres'!$M:$M,0))&amp;"",""))),0,IF($L1738="Débit",$K1738,IF($P1738=1,-$K1738,0))))</f>
        <v/>
      </c>
      <c r="R1738" s="6" t="str">
        <f>IF($K1738="","",IF($L1738="Crédit",$K1738,-$K1738))</f>
        <v/>
      </c>
      <c r="S1738" s="6" t="str">
        <f>IF($C1738="","",IFERROR(INDEX('Paramètres'!$H:$H,MATCH($C1738,'Paramètres'!$D:$D,0))&amp;"",""))</f>
        <v/>
      </c>
      <c r="T1738" s="6" t="str">
        <f>IF($K1738="","",IF($S1738="",0,IF(ISNUMBER(SEARCH("apport-exterieur",IFERROR(INDEX('Paramètres'!$N:$N,MATCH($D1738,'Paramètres'!$M:$M,0))&amp;"",""))),0,IF(OR(IFERROR(INDEX('Paramètres'!$I:$I,MATCH($C1738,'Paramètres'!$D:$D,0))&amp;"","")="Les deux",IFERROR(INDEX('Paramètres'!$I:$I,MATCH($C1738,'Paramètres'!$D:$D,0))&amp;"","")=IF($P1738=1,"Débit",$L1738)),-IF($P1738=1,-$K1738,$K1738),0))))</f>
        <v/>
      </c>
      <c r="U1738" s="6" t="str">
        <f>IF($K1738="","",IF(ISNUMBER(SEARCH("sortie-epargne",IFERROR(INDEX('Paramètres'!$N:$N,MATCH($D1738,'Paramètres'!$M:$M,0))&amp;"",""))),$K1738,0))</f>
        <v/>
      </c>
      <c r="V1738" s="6" t="str">
        <f>IF(AND($A1738&lt;&gt;"",$O1738=1,$L1738="Débit",N($Q1738)&gt;0,$A1738&gt;=Visualisation!$B$1,$A1738&lt;Visualisation!$D$1),MAX($V$1:V1737)+1,"")</f>
        <v/>
      </c>
    </row>
    <row r="1739" spans="1:22" x14ac:dyDescent="0.25">
      <c r="A1739" s="9"/>
      <c r="E1739" s="10"/>
      <c r="K1739" s="11" t="str">
        <f>IF($E1739="","",ROUND($E1739*IF(ISNA(MATCH($C1739,'Paramètres'!$D:$D,0)),1,IF(INDEX('Paramètres'!$J:$J,MATCH($C1739,'Paramètres'!$D:$D,0))="",1,INDEX('Paramètres'!$J:$J,MATCH($C1739,'Paramètres'!$D:$D,0)))),2))</f>
        <v/>
      </c>
      <c r="L1739" s="6" t="str">
        <f>IF($D1739="","",IF($F1739&lt;&gt;"",$F1739,IF(ISNA(MATCH($D1739,'Paramètres'!$M:$M,0)),"⚠ Type inconnu",IFERROR(INDEX('Paramètres'!$P:$P,MATCH($D1739,'Paramètres'!$M:$M,0))&amp;"",""))))</f>
        <v/>
      </c>
      <c r="M1739" s="6" t="str">
        <f>IF($D1739="","",IF(ISNA(MATCH($D1739,'Paramètres'!$M:$M,0)),"⚠ Type inconnu",IF($L1739="Crédit","",IFERROR(INDEX('Paramètres'!$O:$O,MATCH($D1739,'Paramètres'!$M:$M,0))&amp;"",""))))</f>
        <v/>
      </c>
      <c r="N1739" s="6" t="str">
        <f>IF($D1739="","",IFERROR(INDEX('Paramètres'!$Q:$Q,MATCH($D1739,'Paramètres'!$M:$M,0))&amp;"",""))</f>
        <v/>
      </c>
      <c r="O1739" s="6" t="str">
        <f>IF($A1739="","",IF(OR($J1739&lt;&gt;"x",$A1739&lt;=FinReleve),1,0))</f>
        <v/>
      </c>
      <c r="P1739" s="6" t="str">
        <f>IF($D1739="","",IF(AND($L1739="Crédit",OR(IFERROR(INDEX('Paramètres'!$O:$O,MATCH($D1739,'Paramètres'!$M:$M,0))&amp;"","")&lt;&gt;"",ISNUMBER(SEARCH("remboursement",IFERROR(INDEX('Paramètres'!$N:$N,MATCH($D1739,'Paramètres'!$M:$M,0))&amp;"",""))))),1,0))</f>
        <v/>
      </c>
      <c r="Q1739" s="6" t="str">
        <f>IF($K1739="","",IF(ISNUMBER(SEARCH("transfert-interne",IFERROR(INDEX('Paramètres'!$N:$N,MATCH($D1739,'Paramètres'!$M:$M,0))&amp;"",""))),0,IF($L1739="Débit",$K1739,IF($P1739=1,-$K1739,0))))</f>
        <v/>
      </c>
      <c r="R1739" s="6" t="str">
        <f>IF($K1739="","",IF($L1739="Crédit",$K1739,-$K1739))</f>
        <v/>
      </c>
      <c r="S1739" s="6" t="str">
        <f>IF($C1739="","",IFERROR(INDEX('Paramètres'!$H:$H,MATCH($C1739,'Paramètres'!$D:$D,0))&amp;"",""))</f>
        <v/>
      </c>
      <c r="T1739" s="6" t="str">
        <f>IF($K1739="","",IF($S1739="",0,IF(ISNUMBER(SEARCH("apport-exterieur",IFERROR(INDEX('Paramètres'!$N:$N,MATCH($D1739,'Paramètres'!$M:$M,0))&amp;"",""))),0,IF(OR(IFERROR(INDEX('Paramètres'!$I:$I,MATCH($C1739,'Paramètres'!$D:$D,0))&amp;"","")="Les deux",IFERROR(INDEX('Paramètres'!$I:$I,MATCH($C1739,'Paramètres'!$D:$D,0))&amp;"","")=IF($P1739=1,"Débit",$L1739)),-IF($P1739=1,-$K1739,$K1739),0))))</f>
        <v/>
      </c>
      <c r="U1739" s="6" t="str">
        <f>IF($K1739="","",IF(ISNUMBER(SEARCH("sortie-epargne",IFERROR(INDEX('Paramètres'!$N:$N,MATCH($D1739,'Paramètres'!$M:$M,0))&amp;"",""))),$K1739,0))</f>
        <v/>
      </c>
      <c r="V1739" s="6" t="str">
        <f>IF(AND($A1739&lt;&gt;"",$O1739=1,$L1739="Débit",N($Q1739)&gt;0,$A1739&gt;=Visualisation!$B$1,$A1739&lt;Visualisation!$D$1),MAX($V$1:V1738)+1,"")</f>
        <v/>
      </c>
    </row>
    <row r="1740" spans="1:22" x14ac:dyDescent="0.25">
      <c r="A1740" s="9"/>
      <c r="E1740" s="10"/>
      <c r="K1740" s="11" t="str">
        <f>IF($E1740="","",ROUND($E1740*IF(ISNA(MATCH($C1740,'Paramètres'!$D:$D,0)),1,IF(INDEX('Paramètres'!$J:$J,MATCH($C1740,'Paramètres'!$D:$D,0))="",1,INDEX('Paramètres'!$J:$J,MATCH($C1740,'Paramètres'!$D:$D,0)))),2))</f>
        <v/>
      </c>
      <c r="L1740" s="6" t="str">
        <f>IF($D1740="","",IF($F1740&lt;&gt;"",$F1740,IF(ISNA(MATCH($D1740,'Paramètres'!$M:$M,0)),"⚠ Type inconnu",IFERROR(INDEX('Paramètres'!$P:$P,MATCH($D1740,'Paramètres'!$M:$M,0))&amp;"",""))))</f>
        <v/>
      </c>
      <c r="M1740" s="6" t="str">
        <f>IF($D1740="","",IF(ISNA(MATCH($D1740,'Paramètres'!$M:$M,0)),"⚠ Type inconnu",IF($L1740="Crédit","",IFERROR(INDEX('Paramètres'!$O:$O,MATCH($D1740,'Paramètres'!$M:$M,0))&amp;"",""))))</f>
        <v/>
      </c>
      <c r="N1740" s="6" t="str">
        <f>IF($D1740="","",IFERROR(INDEX('Paramètres'!$Q:$Q,MATCH($D1740,'Paramètres'!$M:$M,0))&amp;"",""))</f>
        <v/>
      </c>
      <c r="O1740" s="6" t="str">
        <f>IF($A1740="","",IF(OR($J1740&lt;&gt;"x",$A1740&lt;=FinReleve),1,0))</f>
        <v/>
      </c>
      <c r="P1740" s="6" t="str">
        <f>IF($D1740="","",IF(AND($L1740="Crédit",OR(IFERROR(INDEX('Paramètres'!$O:$O,MATCH($D1740,'Paramètres'!$M:$M,0))&amp;"","")&lt;&gt;"",ISNUMBER(SEARCH("remboursement",IFERROR(INDEX('Paramètres'!$N:$N,MATCH($D1740,'Paramètres'!$M:$M,0))&amp;"",""))))),1,0))</f>
        <v/>
      </c>
      <c r="Q1740" s="6" t="str">
        <f>IF($K1740="","",IF(ISNUMBER(SEARCH("transfert-interne",IFERROR(INDEX('Paramètres'!$N:$N,MATCH($D1740,'Paramètres'!$M:$M,0))&amp;"",""))),0,IF($L1740="Débit",$K1740,IF($P1740=1,-$K1740,0))))</f>
        <v/>
      </c>
      <c r="R1740" s="6" t="str">
        <f>IF($K1740="","",IF($L1740="Crédit",$K1740,-$K1740))</f>
        <v/>
      </c>
      <c r="S1740" s="6" t="str">
        <f>IF($C1740="","",IFERROR(INDEX('Paramètres'!$H:$H,MATCH($C1740,'Paramètres'!$D:$D,0))&amp;"",""))</f>
        <v/>
      </c>
      <c r="T1740" s="6" t="str">
        <f>IF($K1740="","",IF($S1740="",0,IF(ISNUMBER(SEARCH("apport-exterieur",IFERROR(INDEX('Paramètres'!$N:$N,MATCH($D1740,'Paramètres'!$M:$M,0))&amp;"",""))),0,IF(OR(IFERROR(INDEX('Paramètres'!$I:$I,MATCH($C1740,'Paramètres'!$D:$D,0))&amp;"","")="Les deux",IFERROR(INDEX('Paramètres'!$I:$I,MATCH($C1740,'Paramètres'!$D:$D,0))&amp;"","")=IF($P1740=1,"Débit",$L1740)),-IF($P1740=1,-$K1740,$K1740),0))))</f>
        <v/>
      </c>
      <c r="U1740" s="6" t="str">
        <f>IF($K1740="","",IF(ISNUMBER(SEARCH("sortie-epargne",IFERROR(INDEX('Paramètres'!$N:$N,MATCH($D1740,'Paramètres'!$M:$M,0))&amp;"",""))),$K1740,0))</f>
        <v/>
      </c>
      <c r="V1740" s="6" t="str">
        <f>IF(AND($A1740&lt;&gt;"",$O1740=1,$L1740="Débit",N($Q1740)&gt;0,$A1740&gt;=Visualisation!$B$1,$A1740&lt;Visualisation!$D$1),MAX($V$1:V1739)+1,"")</f>
        <v/>
      </c>
    </row>
    <row r="1741" spans="1:22" x14ac:dyDescent="0.25">
      <c r="A1741" s="9"/>
      <c r="E1741" s="10"/>
      <c r="K1741" s="11" t="str">
        <f>IF($E1741="","",ROUND($E1741*IF(ISNA(MATCH($C1741,'Paramètres'!$D:$D,0)),1,IF(INDEX('Paramètres'!$J:$J,MATCH($C1741,'Paramètres'!$D:$D,0))="",1,INDEX('Paramètres'!$J:$J,MATCH($C1741,'Paramètres'!$D:$D,0)))),2))</f>
        <v/>
      </c>
      <c r="L1741" s="6" t="str">
        <f>IF($D1741="","",IF($F1741&lt;&gt;"",$F1741,IF(ISNA(MATCH($D1741,'Paramètres'!$M:$M,0)),"⚠ Type inconnu",IFERROR(INDEX('Paramètres'!$P:$P,MATCH($D1741,'Paramètres'!$M:$M,0))&amp;"",""))))</f>
        <v/>
      </c>
      <c r="M1741" s="6" t="str">
        <f>IF($D1741="","",IF(ISNA(MATCH($D1741,'Paramètres'!$M:$M,0)),"⚠ Type inconnu",IF($L1741="Crédit","",IFERROR(INDEX('Paramètres'!$O:$O,MATCH($D1741,'Paramètres'!$M:$M,0))&amp;"",""))))</f>
        <v/>
      </c>
      <c r="N1741" s="6" t="str">
        <f>IF($D1741="","",IFERROR(INDEX('Paramètres'!$Q:$Q,MATCH($D1741,'Paramètres'!$M:$M,0))&amp;"",""))</f>
        <v/>
      </c>
      <c r="O1741" s="6" t="str">
        <f>IF($A1741="","",IF(OR($J1741&lt;&gt;"x",$A1741&lt;=FinReleve),1,0))</f>
        <v/>
      </c>
      <c r="P1741" s="6" t="str">
        <f>IF($D1741="","",IF(AND($L1741="Crédit",OR(IFERROR(INDEX('Paramètres'!$O:$O,MATCH($D1741,'Paramètres'!$M:$M,0))&amp;"","")&lt;&gt;"",ISNUMBER(SEARCH("remboursement",IFERROR(INDEX('Paramètres'!$N:$N,MATCH($D1741,'Paramètres'!$M:$M,0))&amp;"",""))))),1,0))</f>
        <v/>
      </c>
      <c r="Q1741" s="6" t="str">
        <f>IF($K1741="","",IF(ISNUMBER(SEARCH("transfert-interne",IFERROR(INDEX('Paramètres'!$N:$N,MATCH($D1741,'Paramètres'!$M:$M,0))&amp;"",""))),0,IF($L1741="Débit",$K1741,IF($P1741=1,-$K1741,0))))</f>
        <v/>
      </c>
      <c r="R1741" s="6" t="str">
        <f>IF($K1741="","",IF($L1741="Crédit",$K1741,-$K1741))</f>
        <v/>
      </c>
      <c r="S1741" s="6" t="str">
        <f>IF($C1741="","",IFERROR(INDEX('Paramètres'!$H:$H,MATCH($C1741,'Paramètres'!$D:$D,0))&amp;"",""))</f>
        <v/>
      </c>
      <c r="T1741" s="6" t="str">
        <f>IF($K1741="","",IF($S1741="",0,IF(ISNUMBER(SEARCH("apport-exterieur",IFERROR(INDEX('Paramètres'!$N:$N,MATCH($D1741,'Paramètres'!$M:$M,0))&amp;"",""))),0,IF(OR(IFERROR(INDEX('Paramètres'!$I:$I,MATCH($C1741,'Paramètres'!$D:$D,0))&amp;"","")="Les deux",IFERROR(INDEX('Paramètres'!$I:$I,MATCH($C1741,'Paramètres'!$D:$D,0))&amp;"","")=IF($P1741=1,"Débit",$L1741)),-IF($P1741=1,-$K1741,$K1741),0))))</f>
        <v/>
      </c>
      <c r="U1741" s="6" t="str">
        <f>IF($K1741="","",IF(ISNUMBER(SEARCH("sortie-epargne",IFERROR(INDEX('Paramètres'!$N:$N,MATCH($D1741,'Paramètres'!$M:$M,0))&amp;"",""))),$K1741,0))</f>
        <v/>
      </c>
      <c r="V1741" s="6" t="str">
        <f>IF(AND($A1741&lt;&gt;"",$O1741=1,$L1741="Débit",N($Q1741)&gt;0,$A1741&gt;=Visualisation!$B$1,$A1741&lt;Visualisation!$D$1),MAX($V$1:V1740)+1,"")</f>
        <v/>
      </c>
    </row>
    <row r="1742" spans="1:22" x14ac:dyDescent="0.25">
      <c r="A1742" s="9"/>
      <c r="E1742" s="10"/>
      <c r="K1742" s="11" t="str">
        <f>IF($E1742="","",ROUND($E1742*IF(ISNA(MATCH($C1742,'Paramètres'!$D:$D,0)),1,IF(INDEX('Paramètres'!$J:$J,MATCH($C1742,'Paramètres'!$D:$D,0))="",1,INDEX('Paramètres'!$J:$J,MATCH($C1742,'Paramètres'!$D:$D,0)))),2))</f>
        <v/>
      </c>
      <c r="L1742" s="6" t="str">
        <f>IF($D1742="","",IF($F1742&lt;&gt;"",$F1742,IF(ISNA(MATCH($D1742,'Paramètres'!$M:$M,0)),"⚠ Type inconnu",IFERROR(INDEX('Paramètres'!$P:$P,MATCH($D1742,'Paramètres'!$M:$M,0))&amp;"",""))))</f>
        <v/>
      </c>
      <c r="M1742" s="6" t="str">
        <f>IF($D1742="","",IF(ISNA(MATCH($D1742,'Paramètres'!$M:$M,0)),"⚠ Type inconnu",IF($L1742="Crédit","",IFERROR(INDEX('Paramètres'!$O:$O,MATCH($D1742,'Paramètres'!$M:$M,0))&amp;"",""))))</f>
        <v/>
      </c>
      <c r="N1742" s="6" t="str">
        <f>IF($D1742="","",IFERROR(INDEX('Paramètres'!$Q:$Q,MATCH($D1742,'Paramètres'!$M:$M,0))&amp;"",""))</f>
        <v/>
      </c>
      <c r="O1742" s="6" t="str">
        <f>IF($A1742="","",IF(OR($J1742&lt;&gt;"x",$A1742&lt;=FinReleve),1,0))</f>
        <v/>
      </c>
      <c r="P1742" s="6" t="str">
        <f>IF($D1742="","",IF(AND($L1742="Crédit",OR(IFERROR(INDEX('Paramètres'!$O:$O,MATCH($D1742,'Paramètres'!$M:$M,0))&amp;"","")&lt;&gt;"",ISNUMBER(SEARCH("remboursement",IFERROR(INDEX('Paramètres'!$N:$N,MATCH($D1742,'Paramètres'!$M:$M,0))&amp;"",""))))),1,0))</f>
        <v/>
      </c>
      <c r="Q1742" s="6" t="str">
        <f>IF($K1742="","",IF(ISNUMBER(SEARCH("transfert-interne",IFERROR(INDEX('Paramètres'!$N:$N,MATCH($D1742,'Paramètres'!$M:$M,0))&amp;"",""))),0,IF($L1742="Débit",$K1742,IF($P1742=1,-$K1742,0))))</f>
        <v/>
      </c>
      <c r="R1742" s="6" t="str">
        <f>IF($K1742="","",IF($L1742="Crédit",$K1742,-$K1742))</f>
        <v/>
      </c>
      <c r="S1742" s="6" t="str">
        <f>IF($C1742="","",IFERROR(INDEX('Paramètres'!$H:$H,MATCH($C1742,'Paramètres'!$D:$D,0))&amp;"",""))</f>
        <v/>
      </c>
      <c r="T1742" s="6" t="str">
        <f>IF($K1742="","",IF($S1742="",0,IF(ISNUMBER(SEARCH("apport-exterieur",IFERROR(INDEX('Paramètres'!$N:$N,MATCH($D1742,'Paramètres'!$M:$M,0))&amp;"",""))),0,IF(OR(IFERROR(INDEX('Paramètres'!$I:$I,MATCH($C1742,'Paramètres'!$D:$D,0))&amp;"","")="Les deux",IFERROR(INDEX('Paramètres'!$I:$I,MATCH($C1742,'Paramètres'!$D:$D,0))&amp;"","")=IF($P1742=1,"Débit",$L1742)),-IF($P1742=1,-$K1742,$K1742),0))))</f>
        <v/>
      </c>
      <c r="U1742" s="6" t="str">
        <f>IF($K1742="","",IF(ISNUMBER(SEARCH("sortie-epargne",IFERROR(INDEX('Paramètres'!$N:$N,MATCH($D1742,'Paramètres'!$M:$M,0))&amp;"",""))),$K1742,0))</f>
        <v/>
      </c>
      <c r="V1742" s="6" t="str">
        <f>IF(AND($A1742&lt;&gt;"",$O1742=1,$L1742="Débit",N($Q1742)&gt;0,$A1742&gt;=Visualisation!$B$1,$A1742&lt;Visualisation!$D$1),MAX($V$1:V1741)+1,"")</f>
        <v/>
      </c>
    </row>
    <row r="1743" spans="1:22" x14ac:dyDescent="0.25">
      <c r="A1743" s="9"/>
      <c r="E1743" s="10"/>
      <c r="K1743" s="11" t="str">
        <f>IF($E1743="","",ROUND($E1743*IF(ISNA(MATCH($C1743,'Paramètres'!$D:$D,0)),1,IF(INDEX('Paramètres'!$J:$J,MATCH($C1743,'Paramètres'!$D:$D,0))="",1,INDEX('Paramètres'!$J:$J,MATCH($C1743,'Paramètres'!$D:$D,0)))),2))</f>
        <v/>
      </c>
      <c r="L1743" s="6" t="str">
        <f>IF($D1743="","",IF($F1743&lt;&gt;"",$F1743,IF(ISNA(MATCH($D1743,'Paramètres'!$M:$M,0)),"⚠ Type inconnu",IFERROR(INDEX('Paramètres'!$P:$P,MATCH($D1743,'Paramètres'!$M:$M,0))&amp;"",""))))</f>
        <v/>
      </c>
      <c r="M1743" s="6" t="str">
        <f>IF($D1743="","",IF(ISNA(MATCH($D1743,'Paramètres'!$M:$M,0)),"⚠ Type inconnu",IF($L1743="Crédit","",IFERROR(INDEX('Paramètres'!$O:$O,MATCH($D1743,'Paramètres'!$M:$M,0))&amp;"",""))))</f>
        <v/>
      </c>
      <c r="N1743" s="6" t="str">
        <f>IF($D1743="","",IFERROR(INDEX('Paramètres'!$Q:$Q,MATCH($D1743,'Paramètres'!$M:$M,0))&amp;"",""))</f>
        <v/>
      </c>
      <c r="O1743" s="6" t="str">
        <f>IF($A1743="","",IF(OR($J1743&lt;&gt;"x",$A1743&lt;=FinReleve),1,0))</f>
        <v/>
      </c>
      <c r="P1743" s="6" t="str">
        <f>IF($D1743="","",IF(AND($L1743="Crédit",OR(IFERROR(INDEX('Paramètres'!$O:$O,MATCH($D1743,'Paramètres'!$M:$M,0))&amp;"","")&lt;&gt;"",ISNUMBER(SEARCH("remboursement",IFERROR(INDEX('Paramètres'!$N:$N,MATCH($D1743,'Paramètres'!$M:$M,0))&amp;"",""))))),1,0))</f>
        <v/>
      </c>
      <c r="Q1743" s="6" t="str">
        <f>IF($K1743="","",IF(ISNUMBER(SEARCH("transfert-interne",IFERROR(INDEX('Paramètres'!$N:$N,MATCH($D1743,'Paramètres'!$M:$M,0))&amp;"",""))),0,IF($L1743="Débit",$K1743,IF($P1743=1,-$K1743,0))))</f>
        <v/>
      </c>
      <c r="R1743" s="6" t="str">
        <f>IF($K1743="","",IF($L1743="Crédit",$K1743,-$K1743))</f>
        <v/>
      </c>
      <c r="S1743" s="6" t="str">
        <f>IF($C1743="","",IFERROR(INDEX('Paramètres'!$H:$H,MATCH($C1743,'Paramètres'!$D:$D,0))&amp;"",""))</f>
        <v/>
      </c>
      <c r="T1743" s="6" t="str">
        <f>IF($K1743="","",IF($S1743="",0,IF(ISNUMBER(SEARCH("apport-exterieur",IFERROR(INDEX('Paramètres'!$N:$N,MATCH($D1743,'Paramètres'!$M:$M,0))&amp;"",""))),0,IF(OR(IFERROR(INDEX('Paramètres'!$I:$I,MATCH($C1743,'Paramètres'!$D:$D,0))&amp;"","")="Les deux",IFERROR(INDEX('Paramètres'!$I:$I,MATCH($C1743,'Paramètres'!$D:$D,0))&amp;"","")=IF($P1743=1,"Débit",$L1743)),-IF($P1743=1,-$K1743,$K1743),0))))</f>
        <v/>
      </c>
      <c r="U1743" s="6" t="str">
        <f>IF($K1743="","",IF(ISNUMBER(SEARCH("sortie-epargne",IFERROR(INDEX('Paramètres'!$N:$N,MATCH($D1743,'Paramètres'!$M:$M,0))&amp;"",""))),$K1743,0))</f>
        <v/>
      </c>
      <c r="V1743" s="6" t="str">
        <f>IF(AND($A1743&lt;&gt;"",$O1743=1,$L1743="Débit",N($Q1743)&gt;0,$A1743&gt;=Visualisation!$B$1,$A1743&lt;Visualisation!$D$1),MAX($V$1:V1742)+1,"")</f>
        <v/>
      </c>
    </row>
    <row r="1744" spans="1:22" x14ac:dyDescent="0.25">
      <c r="A1744" s="9"/>
      <c r="E1744" s="10"/>
      <c r="K1744" s="11" t="str">
        <f>IF($E1744="","",ROUND($E1744*IF(ISNA(MATCH($C1744,'Paramètres'!$D:$D,0)),1,IF(INDEX('Paramètres'!$J:$J,MATCH($C1744,'Paramètres'!$D:$D,0))="",1,INDEX('Paramètres'!$J:$J,MATCH($C1744,'Paramètres'!$D:$D,0)))),2))</f>
        <v/>
      </c>
      <c r="L1744" s="6" t="str">
        <f>IF($D1744="","",IF($F1744&lt;&gt;"",$F1744,IF(ISNA(MATCH($D1744,'Paramètres'!$M:$M,0)),"⚠ Type inconnu",IFERROR(INDEX('Paramètres'!$P:$P,MATCH($D1744,'Paramètres'!$M:$M,0))&amp;"",""))))</f>
        <v/>
      </c>
      <c r="M1744" s="6" t="str">
        <f>IF($D1744="","",IF(ISNA(MATCH($D1744,'Paramètres'!$M:$M,0)),"⚠ Type inconnu",IF($L1744="Crédit","",IFERROR(INDEX('Paramètres'!$O:$O,MATCH($D1744,'Paramètres'!$M:$M,0))&amp;"",""))))</f>
        <v/>
      </c>
      <c r="N1744" s="6" t="str">
        <f>IF($D1744="","",IFERROR(INDEX('Paramètres'!$Q:$Q,MATCH($D1744,'Paramètres'!$M:$M,0))&amp;"",""))</f>
        <v/>
      </c>
      <c r="O1744" s="6" t="str">
        <f>IF($A1744="","",IF(OR($J1744&lt;&gt;"x",$A1744&lt;=FinReleve),1,0))</f>
        <v/>
      </c>
      <c r="P1744" s="6" t="str">
        <f>IF($D1744="","",IF(AND($L1744="Crédit",OR(IFERROR(INDEX('Paramètres'!$O:$O,MATCH($D1744,'Paramètres'!$M:$M,0))&amp;"","")&lt;&gt;"",ISNUMBER(SEARCH("remboursement",IFERROR(INDEX('Paramètres'!$N:$N,MATCH($D1744,'Paramètres'!$M:$M,0))&amp;"",""))))),1,0))</f>
        <v/>
      </c>
      <c r="Q1744" s="6" t="str">
        <f>IF($K1744="","",IF(ISNUMBER(SEARCH("transfert-interne",IFERROR(INDEX('Paramètres'!$N:$N,MATCH($D1744,'Paramètres'!$M:$M,0))&amp;"",""))),0,IF($L1744="Débit",$K1744,IF($P1744=1,-$K1744,0))))</f>
        <v/>
      </c>
      <c r="R1744" s="6" t="str">
        <f>IF($K1744="","",IF($L1744="Crédit",$K1744,-$K1744))</f>
        <v/>
      </c>
      <c r="S1744" s="6" t="str">
        <f>IF($C1744="","",IFERROR(INDEX('Paramètres'!$H:$H,MATCH($C1744,'Paramètres'!$D:$D,0))&amp;"",""))</f>
        <v/>
      </c>
      <c r="T1744" s="6" t="str">
        <f>IF($K1744="","",IF($S1744="",0,IF(ISNUMBER(SEARCH("apport-exterieur",IFERROR(INDEX('Paramètres'!$N:$N,MATCH($D1744,'Paramètres'!$M:$M,0))&amp;"",""))),0,IF(OR(IFERROR(INDEX('Paramètres'!$I:$I,MATCH($C1744,'Paramètres'!$D:$D,0))&amp;"","")="Les deux",IFERROR(INDEX('Paramètres'!$I:$I,MATCH($C1744,'Paramètres'!$D:$D,0))&amp;"","")=IF($P1744=1,"Débit",$L1744)),-IF($P1744=1,-$K1744,$K1744),0))))</f>
        <v/>
      </c>
      <c r="U1744" s="6" t="str">
        <f>IF($K1744="","",IF(ISNUMBER(SEARCH("sortie-epargne",IFERROR(INDEX('Paramètres'!$N:$N,MATCH($D1744,'Paramètres'!$M:$M,0))&amp;"",""))),$K1744,0))</f>
        <v/>
      </c>
      <c r="V1744" s="6" t="str">
        <f>IF(AND($A1744&lt;&gt;"",$O1744=1,$L1744="Débit",N($Q1744)&gt;0,$A1744&gt;=Visualisation!$B$1,$A1744&lt;Visualisation!$D$1),MAX($V$1:V1743)+1,"")</f>
        <v/>
      </c>
    </row>
    <row r="1745" spans="1:22" x14ac:dyDescent="0.25">
      <c r="A1745" s="9"/>
      <c r="E1745" s="10"/>
      <c r="K1745" s="11" t="str">
        <f>IF($E1745="","",ROUND($E1745*IF(ISNA(MATCH($C1745,'Paramètres'!$D:$D,0)),1,IF(INDEX('Paramètres'!$J:$J,MATCH($C1745,'Paramètres'!$D:$D,0))="",1,INDEX('Paramètres'!$J:$J,MATCH($C1745,'Paramètres'!$D:$D,0)))),2))</f>
        <v/>
      </c>
      <c r="L1745" s="6" t="str">
        <f>IF($D1745="","",IF($F1745&lt;&gt;"",$F1745,IF(ISNA(MATCH($D1745,'Paramètres'!$M:$M,0)),"⚠ Type inconnu",IFERROR(INDEX('Paramètres'!$P:$P,MATCH($D1745,'Paramètres'!$M:$M,0))&amp;"",""))))</f>
        <v/>
      </c>
      <c r="M1745" s="6" t="str">
        <f>IF($D1745="","",IF(ISNA(MATCH($D1745,'Paramètres'!$M:$M,0)),"⚠ Type inconnu",IF($L1745="Crédit","",IFERROR(INDEX('Paramètres'!$O:$O,MATCH($D1745,'Paramètres'!$M:$M,0))&amp;"",""))))</f>
        <v/>
      </c>
      <c r="N1745" s="6" t="str">
        <f>IF($D1745="","",IFERROR(INDEX('Paramètres'!$Q:$Q,MATCH($D1745,'Paramètres'!$M:$M,0))&amp;"",""))</f>
        <v/>
      </c>
      <c r="O1745" s="6" t="str">
        <f>IF($A1745="","",IF(OR($J1745&lt;&gt;"x",$A1745&lt;=FinReleve),1,0))</f>
        <v/>
      </c>
      <c r="P1745" s="6" t="str">
        <f>IF($D1745="","",IF(AND($L1745="Crédit",OR(IFERROR(INDEX('Paramètres'!$O:$O,MATCH($D1745,'Paramètres'!$M:$M,0))&amp;"","")&lt;&gt;"",ISNUMBER(SEARCH("remboursement",IFERROR(INDEX('Paramètres'!$N:$N,MATCH($D1745,'Paramètres'!$M:$M,0))&amp;"",""))))),1,0))</f>
        <v/>
      </c>
      <c r="Q1745" s="6" t="str">
        <f>IF($K1745="","",IF(ISNUMBER(SEARCH("transfert-interne",IFERROR(INDEX('Paramètres'!$N:$N,MATCH($D1745,'Paramètres'!$M:$M,0))&amp;"",""))),0,IF($L1745="Débit",$K1745,IF($P1745=1,-$K1745,0))))</f>
        <v/>
      </c>
      <c r="R1745" s="6" t="str">
        <f>IF($K1745="","",IF($L1745="Crédit",$K1745,-$K1745))</f>
        <v/>
      </c>
      <c r="S1745" s="6" t="str">
        <f>IF($C1745="","",IFERROR(INDEX('Paramètres'!$H:$H,MATCH($C1745,'Paramètres'!$D:$D,0))&amp;"",""))</f>
        <v/>
      </c>
      <c r="T1745" s="6" t="str">
        <f>IF($K1745="","",IF($S1745="",0,IF(ISNUMBER(SEARCH("apport-exterieur",IFERROR(INDEX('Paramètres'!$N:$N,MATCH($D1745,'Paramètres'!$M:$M,0))&amp;"",""))),0,IF(OR(IFERROR(INDEX('Paramètres'!$I:$I,MATCH($C1745,'Paramètres'!$D:$D,0))&amp;"","")="Les deux",IFERROR(INDEX('Paramètres'!$I:$I,MATCH($C1745,'Paramètres'!$D:$D,0))&amp;"","")=IF($P1745=1,"Débit",$L1745)),-IF($P1745=1,-$K1745,$K1745),0))))</f>
        <v/>
      </c>
      <c r="U1745" s="6" t="str">
        <f>IF($K1745="","",IF(ISNUMBER(SEARCH("sortie-epargne",IFERROR(INDEX('Paramètres'!$N:$N,MATCH($D1745,'Paramètres'!$M:$M,0))&amp;"",""))),$K1745,0))</f>
        <v/>
      </c>
      <c r="V1745" s="6" t="str">
        <f>IF(AND($A1745&lt;&gt;"",$O1745=1,$L1745="Débit",N($Q1745)&gt;0,$A1745&gt;=Visualisation!$B$1,$A1745&lt;Visualisation!$D$1),MAX($V$1:V1744)+1,"")</f>
        <v/>
      </c>
    </row>
    <row r="1746" spans="1:22" x14ac:dyDescent="0.25">
      <c r="A1746" s="9"/>
      <c r="E1746" s="10"/>
      <c r="K1746" s="11" t="str">
        <f>IF($E1746="","",ROUND($E1746*IF(ISNA(MATCH($C1746,'Paramètres'!$D:$D,0)),1,IF(INDEX('Paramètres'!$J:$J,MATCH($C1746,'Paramètres'!$D:$D,0))="",1,INDEX('Paramètres'!$J:$J,MATCH($C1746,'Paramètres'!$D:$D,0)))),2))</f>
        <v/>
      </c>
      <c r="L1746" s="6" t="str">
        <f>IF($D1746="","",IF($F1746&lt;&gt;"",$F1746,IF(ISNA(MATCH($D1746,'Paramètres'!$M:$M,0)),"⚠ Type inconnu",IFERROR(INDEX('Paramètres'!$P:$P,MATCH($D1746,'Paramètres'!$M:$M,0))&amp;"",""))))</f>
        <v/>
      </c>
      <c r="M1746" s="6" t="str">
        <f>IF($D1746="","",IF(ISNA(MATCH($D1746,'Paramètres'!$M:$M,0)),"⚠ Type inconnu",IF($L1746="Crédit","",IFERROR(INDEX('Paramètres'!$O:$O,MATCH($D1746,'Paramètres'!$M:$M,0))&amp;"",""))))</f>
        <v/>
      </c>
      <c r="N1746" s="6" t="str">
        <f>IF($D1746="","",IFERROR(INDEX('Paramètres'!$Q:$Q,MATCH($D1746,'Paramètres'!$M:$M,0))&amp;"",""))</f>
        <v/>
      </c>
      <c r="O1746" s="6" t="str">
        <f>IF($A1746="","",IF(OR($J1746&lt;&gt;"x",$A1746&lt;=FinReleve),1,0))</f>
        <v/>
      </c>
      <c r="P1746" s="6" t="str">
        <f>IF($D1746="","",IF(AND($L1746="Crédit",OR(IFERROR(INDEX('Paramètres'!$O:$O,MATCH($D1746,'Paramètres'!$M:$M,0))&amp;"","")&lt;&gt;"",ISNUMBER(SEARCH("remboursement",IFERROR(INDEX('Paramètres'!$N:$N,MATCH($D1746,'Paramètres'!$M:$M,0))&amp;"",""))))),1,0))</f>
        <v/>
      </c>
      <c r="Q1746" s="6" t="str">
        <f>IF($K1746="","",IF(ISNUMBER(SEARCH("transfert-interne",IFERROR(INDEX('Paramètres'!$N:$N,MATCH($D1746,'Paramètres'!$M:$M,0))&amp;"",""))),0,IF($L1746="Débit",$K1746,IF($P1746=1,-$K1746,0))))</f>
        <v/>
      </c>
      <c r="R1746" s="6" t="str">
        <f>IF($K1746="","",IF($L1746="Crédit",$K1746,-$K1746))</f>
        <v/>
      </c>
      <c r="S1746" s="6" t="str">
        <f>IF($C1746="","",IFERROR(INDEX('Paramètres'!$H:$H,MATCH($C1746,'Paramètres'!$D:$D,0))&amp;"",""))</f>
        <v/>
      </c>
      <c r="T1746" s="6" t="str">
        <f>IF($K1746="","",IF($S1746="",0,IF(ISNUMBER(SEARCH("apport-exterieur",IFERROR(INDEX('Paramètres'!$N:$N,MATCH($D1746,'Paramètres'!$M:$M,0))&amp;"",""))),0,IF(OR(IFERROR(INDEX('Paramètres'!$I:$I,MATCH($C1746,'Paramètres'!$D:$D,0))&amp;"","")="Les deux",IFERROR(INDEX('Paramètres'!$I:$I,MATCH($C1746,'Paramètres'!$D:$D,0))&amp;"","")=IF($P1746=1,"Débit",$L1746)),-IF($P1746=1,-$K1746,$K1746),0))))</f>
        <v/>
      </c>
      <c r="U1746" s="6" t="str">
        <f>IF($K1746="","",IF(ISNUMBER(SEARCH("sortie-epargne",IFERROR(INDEX('Paramètres'!$N:$N,MATCH($D1746,'Paramètres'!$M:$M,0))&amp;"",""))),$K1746,0))</f>
        <v/>
      </c>
      <c r="V1746" s="6" t="str">
        <f>IF(AND($A1746&lt;&gt;"",$O1746=1,$L1746="Débit",N($Q1746)&gt;0,$A1746&gt;=Visualisation!$B$1,$A1746&lt;Visualisation!$D$1),MAX($V$1:V1745)+1,"")</f>
        <v/>
      </c>
    </row>
    <row r="1747" spans="1:22" x14ac:dyDescent="0.25">
      <c r="A1747" s="9"/>
      <c r="E1747" s="10"/>
      <c r="K1747" s="11" t="str">
        <f>IF($E1747="","",ROUND($E1747*IF(ISNA(MATCH($C1747,'Paramètres'!$D:$D,0)),1,IF(INDEX('Paramètres'!$J:$J,MATCH($C1747,'Paramètres'!$D:$D,0))="",1,INDEX('Paramètres'!$J:$J,MATCH($C1747,'Paramètres'!$D:$D,0)))),2))</f>
        <v/>
      </c>
      <c r="L1747" s="6" t="str">
        <f>IF($D1747="","",IF($F1747&lt;&gt;"",$F1747,IF(ISNA(MATCH($D1747,'Paramètres'!$M:$M,0)),"⚠ Type inconnu",IFERROR(INDEX('Paramètres'!$P:$P,MATCH($D1747,'Paramètres'!$M:$M,0))&amp;"",""))))</f>
        <v/>
      </c>
      <c r="M1747" s="6" t="str">
        <f>IF($D1747="","",IF(ISNA(MATCH($D1747,'Paramètres'!$M:$M,0)),"⚠ Type inconnu",IF($L1747="Crédit","",IFERROR(INDEX('Paramètres'!$O:$O,MATCH($D1747,'Paramètres'!$M:$M,0))&amp;"",""))))</f>
        <v/>
      </c>
      <c r="N1747" s="6" t="str">
        <f>IF($D1747="","",IFERROR(INDEX('Paramètres'!$Q:$Q,MATCH($D1747,'Paramètres'!$M:$M,0))&amp;"",""))</f>
        <v/>
      </c>
      <c r="O1747" s="6" t="str">
        <f>IF($A1747="","",IF(OR($J1747&lt;&gt;"x",$A1747&lt;=FinReleve),1,0))</f>
        <v/>
      </c>
      <c r="P1747" s="6" t="str">
        <f>IF($D1747="","",IF(AND($L1747="Crédit",OR(IFERROR(INDEX('Paramètres'!$O:$O,MATCH($D1747,'Paramètres'!$M:$M,0))&amp;"","")&lt;&gt;"",ISNUMBER(SEARCH("remboursement",IFERROR(INDEX('Paramètres'!$N:$N,MATCH($D1747,'Paramètres'!$M:$M,0))&amp;"",""))))),1,0))</f>
        <v/>
      </c>
      <c r="Q1747" s="6" t="str">
        <f>IF($K1747="","",IF(ISNUMBER(SEARCH("transfert-interne",IFERROR(INDEX('Paramètres'!$N:$N,MATCH($D1747,'Paramètres'!$M:$M,0))&amp;"",""))),0,IF($L1747="Débit",$K1747,IF($P1747=1,-$K1747,0))))</f>
        <v/>
      </c>
      <c r="R1747" s="6" t="str">
        <f>IF($K1747="","",IF($L1747="Crédit",$K1747,-$K1747))</f>
        <v/>
      </c>
      <c r="S1747" s="6" t="str">
        <f>IF($C1747="","",IFERROR(INDEX('Paramètres'!$H:$H,MATCH($C1747,'Paramètres'!$D:$D,0))&amp;"",""))</f>
        <v/>
      </c>
      <c r="T1747" s="6" t="str">
        <f>IF($K1747="","",IF($S1747="",0,IF(ISNUMBER(SEARCH("apport-exterieur",IFERROR(INDEX('Paramètres'!$N:$N,MATCH($D1747,'Paramètres'!$M:$M,0))&amp;"",""))),0,IF(OR(IFERROR(INDEX('Paramètres'!$I:$I,MATCH($C1747,'Paramètres'!$D:$D,0))&amp;"","")="Les deux",IFERROR(INDEX('Paramètres'!$I:$I,MATCH($C1747,'Paramètres'!$D:$D,0))&amp;"","")=IF($P1747=1,"Débit",$L1747)),-IF($P1747=1,-$K1747,$K1747),0))))</f>
        <v/>
      </c>
      <c r="U1747" s="6" t="str">
        <f>IF($K1747="","",IF(ISNUMBER(SEARCH("sortie-epargne",IFERROR(INDEX('Paramètres'!$N:$N,MATCH($D1747,'Paramètres'!$M:$M,0))&amp;"",""))),$K1747,0))</f>
        <v/>
      </c>
      <c r="V1747" s="6" t="str">
        <f>IF(AND($A1747&lt;&gt;"",$O1747=1,$L1747="Débit",N($Q1747)&gt;0,$A1747&gt;=Visualisation!$B$1,$A1747&lt;Visualisation!$D$1),MAX($V$1:V1746)+1,"")</f>
        <v/>
      </c>
    </row>
    <row r="1748" spans="1:22" x14ac:dyDescent="0.25">
      <c r="A1748" s="9"/>
      <c r="E1748" s="10"/>
      <c r="K1748" s="11" t="str">
        <f>IF($E1748="","",ROUND($E1748*IF(ISNA(MATCH($C1748,'Paramètres'!$D:$D,0)),1,IF(INDEX('Paramètres'!$J:$J,MATCH($C1748,'Paramètres'!$D:$D,0))="",1,INDEX('Paramètres'!$J:$J,MATCH($C1748,'Paramètres'!$D:$D,0)))),2))</f>
        <v/>
      </c>
      <c r="L1748" s="6" t="str">
        <f>IF($D1748="","",IF($F1748&lt;&gt;"",$F1748,IF(ISNA(MATCH($D1748,'Paramètres'!$M:$M,0)),"⚠ Type inconnu",IFERROR(INDEX('Paramètres'!$P:$P,MATCH($D1748,'Paramètres'!$M:$M,0))&amp;"",""))))</f>
        <v/>
      </c>
      <c r="M1748" s="6" t="str">
        <f>IF($D1748="","",IF(ISNA(MATCH($D1748,'Paramètres'!$M:$M,0)),"⚠ Type inconnu",IF($L1748="Crédit","",IFERROR(INDEX('Paramètres'!$O:$O,MATCH($D1748,'Paramètres'!$M:$M,0))&amp;"",""))))</f>
        <v/>
      </c>
      <c r="N1748" s="6" t="str">
        <f>IF($D1748="","",IFERROR(INDEX('Paramètres'!$Q:$Q,MATCH($D1748,'Paramètres'!$M:$M,0))&amp;"",""))</f>
        <v/>
      </c>
      <c r="O1748" s="6" t="str">
        <f>IF($A1748="","",IF(OR($J1748&lt;&gt;"x",$A1748&lt;=FinReleve),1,0))</f>
        <v/>
      </c>
      <c r="P1748" s="6" t="str">
        <f>IF($D1748="","",IF(AND($L1748="Crédit",OR(IFERROR(INDEX('Paramètres'!$O:$O,MATCH($D1748,'Paramètres'!$M:$M,0))&amp;"","")&lt;&gt;"",ISNUMBER(SEARCH("remboursement",IFERROR(INDEX('Paramètres'!$N:$N,MATCH($D1748,'Paramètres'!$M:$M,0))&amp;"",""))))),1,0))</f>
        <v/>
      </c>
      <c r="Q1748" s="6" t="str">
        <f>IF($K1748="","",IF(ISNUMBER(SEARCH("transfert-interne",IFERROR(INDEX('Paramètres'!$N:$N,MATCH($D1748,'Paramètres'!$M:$M,0))&amp;"",""))),0,IF($L1748="Débit",$K1748,IF($P1748=1,-$K1748,0))))</f>
        <v/>
      </c>
      <c r="R1748" s="6" t="str">
        <f>IF($K1748="","",IF($L1748="Crédit",$K1748,-$K1748))</f>
        <v/>
      </c>
      <c r="S1748" s="6" t="str">
        <f>IF($C1748="","",IFERROR(INDEX('Paramètres'!$H:$H,MATCH($C1748,'Paramètres'!$D:$D,0))&amp;"",""))</f>
        <v/>
      </c>
      <c r="T1748" s="6" t="str">
        <f>IF($K1748="","",IF($S1748="",0,IF(ISNUMBER(SEARCH("apport-exterieur",IFERROR(INDEX('Paramètres'!$N:$N,MATCH($D1748,'Paramètres'!$M:$M,0))&amp;"",""))),0,IF(OR(IFERROR(INDEX('Paramètres'!$I:$I,MATCH($C1748,'Paramètres'!$D:$D,0))&amp;"","")="Les deux",IFERROR(INDEX('Paramètres'!$I:$I,MATCH($C1748,'Paramètres'!$D:$D,0))&amp;"","")=IF($P1748=1,"Débit",$L1748)),-IF($P1748=1,-$K1748,$K1748),0))))</f>
        <v/>
      </c>
      <c r="U1748" s="6" t="str">
        <f>IF($K1748="","",IF(ISNUMBER(SEARCH("sortie-epargne",IFERROR(INDEX('Paramètres'!$N:$N,MATCH($D1748,'Paramètres'!$M:$M,0))&amp;"",""))),$K1748,0))</f>
        <v/>
      </c>
      <c r="V1748" s="6" t="str">
        <f>IF(AND($A1748&lt;&gt;"",$O1748=1,$L1748="Débit",N($Q1748)&gt;0,$A1748&gt;=Visualisation!$B$1,$A1748&lt;Visualisation!$D$1),MAX($V$1:V1747)+1,"")</f>
        <v/>
      </c>
    </row>
    <row r="1749" spans="1:22" x14ac:dyDescent="0.25">
      <c r="A1749" s="9"/>
      <c r="E1749" s="10"/>
      <c r="K1749" s="11" t="str">
        <f>IF($E1749="","",ROUND($E1749*IF(ISNA(MATCH($C1749,'Paramètres'!$D:$D,0)),1,IF(INDEX('Paramètres'!$J:$J,MATCH($C1749,'Paramètres'!$D:$D,0))="",1,INDEX('Paramètres'!$J:$J,MATCH($C1749,'Paramètres'!$D:$D,0)))),2))</f>
        <v/>
      </c>
      <c r="L1749" s="6" t="str">
        <f>IF($D1749="","",IF($F1749&lt;&gt;"",$F1749,IF(ISNA(MATCH($D1749,'Paramètres'!$M:$M,0)),"⚠ Type inconnu",IFERROR(INDEX('Paramètres'!$P:$P,MATCH($D1749,'Paramètres'!$M:$M,0))&amp;"",""))))</f>
        <v/>
      </c>
      <c r="M1749" s="6" t="str">
        <f>IF($D1749="","",IF(ISNA(MATCH($D1749,'Paramètres'!$M:$M,0)),"⚠ Type inconnu",IF($L1749="Crédit","",IFERROR(INDEX('Paramètres'!$O:$O,MATCH($D1749,'Paramètres'!$M:$M,0))&amp;"",""))))</f>
        <v/>
      </c>
      <c r="N1749" s="6" t="str">
        <f>IF($D1749="","",IFERROR(INDEX('Paramètres'!$Q:$Q,MATCH($D1749,'Paramètres'!$M:$M,0))&amp;"",""))</f>
        <v/>
      </c>
      <c r="O1749" s="6" t="str">
        <f>IF($A1749="","",IF(OR($J1749&lt;&gt;"x",$A1749&lt;=FinReleve),1,0))</f>
        <v/>
      </c>
      <c r="P1749" s="6" t="str">
        <f>IF($D1749="","",IF(AND($L1749="Crédit",OR(IFERROR(INDEX('Paramètres'!$O:$O,MATCH($D1749,'Paramètres'!$M:$M,0))&amp;"","")&lt;&gt;"",ISNUMBER(SEARCH("remboursement",IFERROR(INDEX('Paramètres'!$N:$N,MATCH($D1749,'Paramètres'!$M:$M,0))&amp;"",""))))),1,0))</f>
        <v/>
      </c>
      <c r="Q1749" s="6" t="str">
        <f>IF($K1749="","",IF(ISNUMBER(SEARCH("transfert-interne",IFERROR(INDEX('Paramètres'!$N:$N,MATCH($D1749,'Paramètres'!$M:$M,0))&amp;"",""))),0,IF($L1749="Débit",$K1749,IF($P1749=1,-$K1749,0))))</f>
        <v/>
      </c>
      <c r="R1749" s="6" t="str">
        <f>IF($K1749="","",IF($L1749="Crédit",$K1749,-$K1749))</f>
        <v/>
      </c>
      <c r="S1749" s="6" t="str">
        <f>IF($C1749="","",IFERROR(INDEX('Paramètres'!$H:$H,MATCH($C1749,'Paramètres'!$D:$D,0))&amp;"",""))</f>
        <v/>
      </c>
      <c r="T1749" s="6" t="str">
        <f>IF($K1749="","",IF($S1749="",0,IF(ISNUMBER(SEARCH("apport-exterieur",IFERROR(INDEX('Paramètres'!$N:$N,MATCH($D1749,'Paramètres'!$M:$M,0))&amp;"",""))),0,IF(OR(IFERROR(INDEX('Paramètres'!$I:$I,MATCH($C1749,'Paramètres'!$D:$D,0))&amp;"","")="Les deux",IFERROR(INDEX('Paramètres'!$I:$I,MATCH($C1749,'Paramètres'!$D:$D,0))&amp;"","")=IF($P1749=1,"Débit",$L1749)),-IF($P1749=1,-$K1749,$K1749),0))))</f>
        <v/>
      </c>
      <c r="U1749" s="6" t="str">
        <f>IF($K1749="","",IF(ISNUMBER(SEARCH("sortie-epargne",IFERROR(INDEX('Paramètres'!$N:$N,MATCH($D1749,'Paramètres'!$M:$M,0))&amp;"",""))),$K1749,0))</f>
        <v/>
      </c>
      <c r="V1749" s="6" t="str">
        <f>IF(AND($A1749&lt;&gt;"",$O1749=1,$L1749="Débit",N($Q1749)&gt;0,$A1749&gt;=Visualisation!$B$1,$A1749&lt;Visualisation!$D$1),MAX($V$1:V1748)+1,"")</f>
        <v/>
      </c>
    </row>
    <row r="1750" spans="1:22" x14ac:dyDescent="0.25">
      <c r="A1750" s="9"/>
      <c r="E1750" s="10"/>
      <c r="K1750" s="11" t="str">
        <f>IF($E1750="","",ROUND($E1750*IF(ISNA(MATCH($C1750,'Paramètres'!$D:$D,0)),1,IF(INDEX('Paramètres'!$J:$J,MATCH($C1750,'Paramètres'!$D:$D,0))="",1,INDEX('Paramètres'!$J:$J,MATCH($C1750,'Paramètres'!$D:$D,0)))),2))</f>
        <v/>
      </c>
      <c r="L1750" s="6" t="str">
        <f>IF($D1750="","",IF($F1750&lt;&gt;"",$F1750,IF(ISNA(MATCH($D1750,'Paramètres'!$M:$M,0)),"⚠ Type inconnu",IFERROR(INDEX('Paramètres'!$P:$P,MATCH($D1750,'Paramètres'!$M:$M,0))&amp;"",""))))</f>
        <v/>
      </c>
      <c r="M1750" s="6" t="str">
        <f>IF($D1750="","",IF(ISNA(MATCH($D1750,'Paramètres'!$M:$M,0)),"⚠ Type inconnu",IF($L1750="Crédit","",IFERROR(INDEX('Paramètres'!$O:$O,MATCH($D1750,'Paramètres'!$M:$M,0))&amp;"",""))))</f>
        <v/>
      </c>
      <c r="N1750" s="6" t="str">
        <f>IF($D1750="","",IFERROR(INDEX('Paramètres'!$Q:$Q,MATCH($D1750,'Paramètres'!$M:$M,0))&amp;"",""))</f>
        <v/>
      </c>
      <c r="O1750" s="6" t="str">
        <f>IF($A1750="","",IF(OR($J1750&lt;&gt;"x",$A1750&lt;=FinReleve),1,0))</f>
        <v/>
      </c>
      <c r="P1750" s="6" t="str">
        <f>IF($D1750="","",IF(AND($L1750="Crédit",OR(IFERROR(INDEX('Paramètres'!$O:$O,MATCH($D1750,'Paramètres'!$M:$M,0))&amp;"","")&lt;&gt;"",ISNUMBER(SEARCH("remboursement",IFERROR(INDEX('Paramètres'!$N:$N,MATCH($D1750,'Paramètres'!$M:$M,0))&amp;"",""))))),1,0))</f>
        <v/>
      </c>
      <c r="Q1750" s="6" t="str">
        <f>IF($K1750="","",IF(ISNUMBER(SEARCH("transfert-interne",IFERROR(INDEX('Paramètres'!$N:$N,MATCH($D1750,'Paramètres'!$M:$M,0))&amp;"",""))),0,IF($L1750="Débit",$K1750,IF($P1750=1,-$K1750,0))))</f>
        <v/>
      </c>
      <c r="R1750" s="6" t="str">
        <f>IF($K1750="","",IF($L1750="Crédit",$K1750,-$K1750))</f>
        <v/>
      </c>
      <c r="S1750" s="6" t="str">
        <f>IF($C1750="","",IFERROR(INDEX('Paramètres'!$H:$H,MATCH($C1750,'Paramètres'!$D:$D,0))&amp;"",""))</f>
        <v/>
      </c>
      <c r="T1750" s="6" t="str">
        <f>IF($K1750="","",IF($S1750="",0,IF(ISNUMBER(SEARCH("apport-exterieur",IFERROR(INDEX('Paramètres'!$N:$N,MATCH($D1750,'Paramètres'!$M:$M,0))&amp;"",""))),0,IF(OR(IFERROR(INDEX('Paramètres'!$I:$I,MATCH($C1750,'Paramètres'!$D:$D,0))&amp;"","")="Les deux",IFERROR(INDEX('Paramètres'!$I:$I,MATCH($C1750,'Paramètres'!$D:$D,0))&amp;"","")=IF($P1750=1,"Débit",$L1750)),-IF($P1750=1,-$K1750,$K1750),0))))</f>
        <v/>
      </c>
      <c r="U1750" s="6" t="str">
        <f>IF($K1750="","",IF(ISNUMBER(SEARCH("sortie-epargne",IFERROR(INDEX('Paramètres'!$N:$N,MATCH($D1750,'Paramètres'!$M:$M,0))&amp;"",""))),$K1750,0))</f>
        <v/>
      </c>
      <c r="V1750" s="6" t="str">
        <f>IF(AND($A1750&lt;&gt;"",$O1750=1,$L1750="Débit",N($Q1750)&gt;0,$A1750&gt;=Visualisation!$B$1,$A1750&lt;Visualisation!$D$1),MAX($V$1:V1749)+1,"")</f>
        <v/>
      </c>
    </row>
    <row r="1751" spans="1:22" x14ac:dyDescent="0.25">
      <c r="A1751" s="9"/>
      <c r="E1751" s="10"/>
      <c r="K1751" s="11" t="str">
        <f>IF($E1751="","",ROUND($E1751*IF(ISNA(MATCH($C1751,'Paramètres'!$D:$D,0)),1,IF(INDEX('Paramètres'!$J:$J,MATCH($C1751,'Paramètres'!$D:$D,0))="",1,INDEX('Paramètres'!$J:$J,MATCH($C1751,'Paramètres'!$D:$D,0)))),2))</f>
        <v/>
      </c>
      <c r="L1751" s="6" t="str">
        <f>IF($D1751="","",IF($F1751&lt;&gt;"",$F1751,IF(ISNA(MATCH($D1751,'Paramètres'!$M:$M,0)),"⚠ Type inconnu",IFERROR(INDEX('Paramètres'!$P:$P,MATCH($D1751,'Paramètres'!$M:$M,0))&amp;"",""))))</f>
        <v/>
      </c>
      <c r="M1751" s="6" t="str">
        <f>IF($D1751="","",IF(ISNA(MATCH($D1751,'Paramètres'!$M:$M,0)),"⚠ Type inconnu",IF($L1751="Crédit","",IFERROR(INDEX('Paramètres'!$O:$O,MATCH($D1751,'Paramètres'!$M:$M,0))&amp;"",""))))</f>
        <v/>
      </c>
      <c r="N1751" s="6" t="str">
        <f>IF($D1751="","",IFERROR(INDEX('Paramètres'!$Q:$Q,MATCH($D1751,'Paramètres'!$M:$M,0))&amp;"",""))</f>
        <v/>
      </c>
      <c r="O1751" s="6" t="str">
        <f>IF($A1751="","",IF(OR($J1751&lt;&gt;"x",$A1751&lt;=FinReleve),1,0))</f>
        <v/>
      </c>
      <c r="P1751" s="6" t="str">
        <f>IF($D1751="","",IF(AND($L1751="Crédit",OR(IFERROR(INDEX('Paramètres'!$O:$O,MATCH($D1751,'Paramètres'!$M:$M,0))&amp;"","")&lt;&gt;"",ISNUMBER(SEARCH("remboursement",IFERROR(INDEX('Paramètres'!$N:$N,MATCH($D1751,'Paramètres'!$M:$M,0))&amp;"",""))))),1,0))</f>
        <v/>
      </c>
      <c r="Q1751" s="6" t="str">
        <f>IF($K1751="","",IF(ISNUMBER(SEARCH("transfert-interne",IFERROR(INDEX('Paramètres'!$N:$N,MATCH($D1751,'Paramètres'!$M:$M,0))&amp;"",""))),0,IF($L1751="Débit",$K1751,IF($P1751=1,-$K1751,0))))</f>
        <v/>
      </c>
      <c r="R1751" s="6" t="str">
        <f>IF($K1751="","",IF($L1751="Crédit",$K1751,-$K1751))</f>
        <v/>
      </c>
      <c r="S1751" s="6" t="str">
        <f>IF($C1751="","",IFERROR(INDEX('Paramètres'!$H:$H,MATCH($C1751,'Paramètres'!$D:$D,0))&amp;"",""))</f>
        <v/>
      </c>
      <c r="T1751" s="6" t="str">
        <f>IF($K1751="","",IF($S1751="",0,IF(ISNUMBER(SEARCH("apport-exterieur",IFERROR(INDEX('Paramètres'!$N:$N,MATCH($D1751,'Paramètres'!$M:$M,0))&amp;"",""))),0,IF(OR(IFERROR(INDEX('Paramètres'!$I:$I,MATCH($C1751,'Paramètres'!$D:$D,0))&amp;"","")="Les deux",IFERROR(INDEX('Paramètres'!$I:$I,MATCH($C1751,'Paramètres'!$D:$D,0))&amp;"","")=IF($P1751=1,"Débit",$L1751)),-IF($P1751=1,-$K1751,$K1751),0))))</f>
        <v/>
      </c>
      <c r="U1751" s="6" t="str">
        <f>IF($K1751="","",IF(ISNUMBER(SEARCH("sortie-epargne",IFERROR(INDEX('Paramètres'!$N:$N,MATCH($D1751,'Paramètres'!$M:$M,0))&amp;"",""))),$K1751,0))</f>
        <v/>
      </c>
      <c r="V1751" s="6" t="str">
        <f>IF(AND($A1751&lt;&gt;"",$O1751=1,$L1751="Débit",N($Q1751)&gt;0,$A1751&gt;=Visualisation!$B$1,$A1751&lt;Visualisation!$D$1),MAX($V$1:V1750)+1,"")</f>
        <v/>
      </c>
    </row>
    <row r="1752" spans="1:22" x14ac:dyDescent="0.25">
      <c r="A1752" s="9"/>
      <c r="E1752" s="10"/>
      <c r="K1752" s="11" t="str">
        <f>IF($E1752="","",ROUND($E1752*IF(ISNA(MATCH($C1752,'Paramètres'!$D:$D,0)),1,IF(INDEX('Paramètres'!$J:$J,MATCH($C1752,'Paramètres'!$D:$D,0))="",1,INDEX('Paramètres'!$J:$J,MATCH($C1752,'Paramètres'!$D:$D,0)))),2))</f>
        <v/>
      </c>
      <c r="L1752" s="6" t="str">
        <f>IF($D1752="","",IF($F1752&lt;&gt;"",$F1752,IF(ISNA(MATCH($D1752,'Paramètres'!$M:$M,0)),"⚠ Type inconnu",IFERROR(INDEX('Paramètres'!$P:$P,MATCH($D1752,'Paramètres'!$M:$M,0))&amp;"",""))))</f>
        <v/>
      </c>
      <c r="M1752" s="6" t="str">
        <f>IF($D1752="","",IF(ISNA(MATCH($D1752,'Paramètres'!$M:$M,0)),"⚠ Type inconnu",IF($L1752="Crédit","",IFERROR(INDEX('Paramètres'!$O:$O,MATCH($D1752,'Paramètres'!$M:$M,0))&amp;"",""))))</f>
        <v/>
      </c>
      <c r="N1752" s="6" t="str">
        <f>IF($D1752="","",IFERROR(INDEX('Paramètres'!$Q:$Q,MATCH($D1752,'Paramètres'!$M:$M,0))&amp;"",""))</f>
        <v/>
      </c>
      <c r="O1752" s="6" t="str">
        <f>IF($A1752="","",IF(OR($J1752&lt;&gt;"x",$A1752&lt;=FinReleve),1,0))</f>
        <v/>
      </c>
      <c r="P1752" s="6" t="str">
        <f>IF($D1752="","",IF(AND($L1752="Crédit",OR(IFERROR(INDEX('Paramètres'!$O:$O,MATCH($D1752,'Paramètres'!$M:$M,0))&amp;"","")&lt;&gt;"",ISNUMBER(SEARCH("remboursement",IFERROR(INDEX('Paramètres'!$N:$N,MATCH($D1752,'Paramètres'!$M:$M,0))&amp;"",""))))),1,0))</f>
        <v/>
      </c>
      <c r="Q1752" s="6" t="str">
        <f>IF($K1752="","",IF(ISNUMBER(SEARCH("transfert-interne",IFERROR(INDEX('Paramètres'!$N:$N,MATCH($D1752,'Paramètres'!$M:$M,0))&amp;"",""))),0,IF($L1752="Débit",$K1752,IF($P1752=1,-$K1752,0))))</f>
        <v/>
      </c>
      <c r="R1752" s="6" t="str">
        <f>IF($K1752="","",IF($L1752="Crédit",$K1752,-$K1752))</f>
        <v/>
      </c>
      <c r="S1752" s="6" t="str">
        <f>IF($C1752="","",IFERROR(INDEX('Paramètres'!$H:$H,MATCH($C1752,'Paramètres'!$D:$D,0))&amp;"",""))</f>
        <v/>
      </c>
      <c r="T1752" s="6" t="str">
        <f>IF($K1752="","",IF($S1752="",0,IF(ISNUMBER(SEARCH("apport-exterieur",IFERROR(INDEX('Paramètres'!$N:$N,MATCH($D1752,'Paramètres'!$M:$M,0))&amp;"",""))),0,IF(OR(IFERROR(INDEX('Paramètres'!$I:$I,MATCH($C1752,'Paramètres'!$D:$D,0))&amp;"","")="Les deux",IFERROR(INDEX('Paramètres'!$I:$I,MATCH($C1752,'Paramètres'!$D:$D,0))&amp;"","")=IF($P1752=1,"Débit",$L1752)),-IF($P1752=1,-$K1752,$K1752),0))))</f>
        <v/>
      </c>
      <c r="U1752" s="6" t="str">
        <f>IF($K1752="","",IF(ISNUMBER(SEARCH("sortie-epargne",IFERROR(INDEX('Paramètres'!$N:$N,MATCH($D1752,'Paramètres'!$M:$M,0))&amp;"",""))),$K1752,0))</f>
        <v/>
      </c>
      <c r="V1752" s="6" t="str">
        <f>IF(AND($A1752&lt;&gt;"",$O1752=1,$L1752="Débit",N($Q1752)&gt;0,$A1752&gt;=Visualisation!$B$1,$A1752&lt;Visualisation!$D$1),MAX($V$1:V1751)+1,"")</f>
        <v/>
      </c>
    </row>
    <row r="1753" spans="1:22" x14ac:dyDescent="0.25">
      <c r="A1753" s="9"/>
      <c r="E1753" s="10"/>
      <c r="K1753" s="11" t="str">
        <f>IF($E1753="","",ROUND($E1753*IF(ISNA(MATCH($C1753,'Paramètres'!$D:$D,0)),1,IF(INDEX('Paramètres'!$J:$J,MATCH($C1753,'Paramètres'!$D:$D,0))="",1,INDEX('Paramètres'!$J:$J,MATCH($C1753,'Paramètres'!$D:$D,0)))),2))</f>
        <v/>
      </c>
      <c r="L1753" s="6" t="str">
        <f>IF($D1753="","",IF($F1753&lt;&gt;"",$F1753,IF(ISNA(MATCH($D1753,'Paramètres'!$M:$M,0)),"⚠ Type inconnu",IFERROR(INDEX('Paramètres'!$P:$P,MATCH($D1753,'Paramètres'!$M:$M,0))&amp;"",""))))</f>
        <v/>
      </c>
      <c r="M1753" s="6" t="str">
        <f>IF($D1753="","",IF(ISNA(MATCH($D1753,'Paramètres'!$M:$M,0)),"⚠ Type inconnu",IF($L1753="Crédit","",IFERROR(INDEX('Paramètres'!$O:$O,MATCH($D1753,'Paramètres'!$M:$M,0))&amp;"",""))))</f>
        <v/>
      </c>
      <c r="N1753" s="6" t="str">
        <f>IF($D1753="","",IFERROR(INDEX('Paramètres'!$Q:$Q,MATCH($D1753,'Paramètres'!$M:$M,0))&amp;"",""))</f>
        <v/>
      </c>
      <c r="O1753" s="6" t="str">
        <f>IF($A1753="","",IF(OR($J1753&lt;&gt;"x",$A1753&lt;=FinReleve),1,0))</f>
        <v/>
      </c>
      <c r="P1753" s="6" t="str">
        <f>IF($D1753="","",IF(AND($L1753="Crédit",OR(IFERROR(INDEX('Paramètres'!$O:$O,MATCH($D1753,'Paramètres'!$M:$M,0))&amp;"","")&lt;&gt;"",ISNUMBER(SEARCH("remboursement",IFERROR(INDEX('Paramètres'!$N:$N,MATCH($D1753,'Paramètres'!$M:$M,0))&amp;"",""))))),1,0))</f>
        <v/>
      </c>
      <c r="Q1753" s="6" t="str">
        <f>IF($K1753="","",IF(ISNUMBER(SEARCH("transfert-interne",IFERROR(INDEX('Paramètres'!$N:$N,MATCH($D1753,'Paramètres'!$M:$M,0))&amp;"",""))),0,IF($L1753="Débit",$K1753,IF($P1753=1,-$K1753,0))))</f>
        <v/>
      </c>
      <c r="R1753" s="6" t="str">
        <f>IF($K1753="","",IF($L1753="Crédit",$K1753,-$K1753))</f>
        <v/>
      </c>
      <c r="S1753" s="6" t="str">
        <f>IF($C1753="","",IFERROR(INDEX('Paramètres'!$H:$H,MATCH($C1753,'Paramètres'!$D:$D,0))&amp;"",""))</f>
        <v/>
      </c>
      <c r="T1753" s="6" t="str">
        <f>IF($K1753="","",IF($S1753="",0,IF(ISNUMBER(SEARCH("apport-exterieur",IFERROR(INDEX('Paramètres'!$N:$N,MATCH($D1753,'Paramètres'!$M:$M,0))&amp;"",""))),0,IF(OR(IFERROR(INDEX('Paramètres'!$I:$I,MATCH($C1753,'Paramètres'!$D:$D,0))&amp;"","")="Les deux",IFERROR(INDEX('Paramètres'!$I:$I,MATCH($C1753,'Paramètres'!$D:$D,0))&amp;"","")=IF($P1753=1,"Débit",$L1753)),-IF($P1753=1,-$K1753,$K1753),0))))</f>
        <v/>
      </c>
      <c r="U1753" s="6" t="str">
        <f>IF($K1753="","",IF(ISNUMBER(SEARCH("sortie-epargne",IFERROR(INDEX('Paramètres'!$N:$N,MATCH($D1753,'Paramètres'!$M:$M,0))&amp;"",""))),$K1753,0))</f>
        <v/>
      </c>
      <c r="V1753" s="6" t="str">
        <f>IF(AND($A1753&lt;&gt;"",$O1753=1,$L1753="Débit",N($Q1753)&gt;0,$A1753&gt;=Visualisation!$B$1,$A1753&lt;Visualisation!$D$1),MAX($V$1:V1752)+1,"")</f>
        <v/>
      </c>
    </row>
    <row r="1754" spans="1:22" x14ac:dyDescent="0.25">
      <c r="A1754" s="9"/>
      <c r="E1754" s="10"/>
      <c r="K1754" s="11" t="str">
        <f>IF($E1754="","",ROUND($E1754*IF(ISNA(MATCH($C1754,'Paramètres'!$D:$D,0)),1,IF(INDEX('Paramètres'!$J:$J,MATCH($C1754,'Paramètres'!$D:$D,0))="",1,INDEX('Paramètres'!$J:$J,MATCH($C1754,'Paramètres'!$D:$D,0)))),2))</f>
        <v/>
      </c>
      <c r="L1754" s="6" t="str">
        <f>IF($D1754="","",IF($F1754&lt;&gt;"",$F1754,IF(ISNA(MATCH($D1754,'Paramètres'!$M:$M,0)),"⚠ Type inconnu",IFERROR(INDEX('Paramètres'!$P:$P,MATCH($D1754,'Paramètres'!$M:$M,0))&amp;"",""))))</f>
        <v/>
      </c>
      <c r="M1754" s="6" t="str">
        <f>IF($D1754="","",IF(ISNA(MATCH($D1754,'Paramètres'!$M:$M,0)),"⚠ Type inconnu",IF($L1754="Crédit","",IFERROR(INDEX('Paramètres'!$O:$O,MATCH($D1754,'Paramètres'!$M:$M,0))&amp;"",""))))</f>
        <v/>
      </c>
      <c r="N1754" s="6" t="str">
        <f>IF($D1754="","",IFERROR(INDEX('Paramètres'!$Q:$Q,MATCH($D1754,'Paramètres'!$M:$M,0))&amp;"",""))</f>
        <v/>
      </c>
      <c r="O1754" s="6" t="str">
        <f>IF($A1754="","",IF(OR($J1754&lt;&gt;"x",$A1754&lt;=FinReleve),1,0))</f>
        <v/>
      </c>
      <c r="P1754" s="6" t="str">
        <f>IF($D1754="","",IF(AND($L1754="Crédit",OR(IFERROR(INDEX('Paramètres'!$O:$O,MATCH($D1754,'Paramètres'!$M:$M,0))&amp;"","")&lt;&gt;"",ISNUMBER(SEARCH("remboursement",IFERROR(INDEX('Paramètres'!$N:$N,MATCH($D1754,'Paramètres'!$M:$M,0))&amp;"",""))))),1,0))</f>
        <v/>
      </c>
      <c r="Q1754" s="6" t="str">
        <f>IF($K1754="","",IF(ISNUMBER(SEARCH("transfert-interne",IFERROR(INDEX('Paramètres'!$N:$N,MATCH($D1754,'Paramètres'!$M:$M,0))&amp;"",""))),0,IF($L1754="Débit",$K1754,IF($P1754=1,-$K1754,0))))</f>
        <v/>
      </c>
      <c r="R1754" s="6" t="str">
        <f>IF($K1754="","",IF($L1754="Crédit",$K1754,-$K1754))</f>
        <v/>
      </c>
      <c r="S1754" s="6" t="str">
        <f>IF($C1754="","",IFERROR(INDEX('Paramètres'!$H:$H,MATCH($C1754,'Paramètres'!$D:$D,0))&amp;"",""))</f>
        <v/>
      </c>
      <c r="T1754" s="6" t="str">
        <f>IF($K1754="","",IF($S1754="",0,IF(ISNUMBER(SEARCH("apport-exterieur",IFERROR(INDEX('Paramètres'!$N:$N,MATCH($D1754,'Paramètres'!$M:$M,0))&amp;"",""))),0,IF(OR(IFERROR(INDEX('Paramètres'!$I:$I,MATCH($C1754,'Paramètres'!$D:$D,0))&amp;"","")="Les deux",IFERROR(INDEX('Paramètres'!$I:$I,MATCH($C1754,'Paramètres'!$D:$D,0))&amp;"","")=IF($P1754=1,"Débit",$L1754)),-IF($P1754=1,-$K1754,$K1754),0))))</f>
        <v/>
      </c>
      <c r="U1754" s="6" t="str">
        <f>IF($K1754="","",IF(ISNUMBER(SEARCH("sortie-epargne",IFERROR(INDEX('Paramètres'!$N:$N,MATCH($D1754,'Paramètres'!$M:$M,0))&amp;"",""))),$K1754,0))</f>
        <v/>
      </c>
      <c r="V1754" s="6" t="str">
        <f>IF(AND($A1754&lt;&gt;"",$O1754=1,$L1754="Débit",N($Q1754)&gt;0,$A1754&gt;=Visualisation!$B$1,$A1754&lt;Visualisation!$D$1),MAX($V$1:V1753)+1,"")</f>
        <v/>
      </c>
    </row>
    <row r="1755" spans="1:22" x14ac:dyDescent="0.25">
      <c r="A1755" s="9"/>
      <c r="E1755" s="10"/>
      <c r="K1755" s="11" t="str">
        <f>IF($E1755="","",ROUND($E1755*IF(ISNA(MATCH($C1755,'Paramètres'!$D:$D,0)),1,IF(INDEX('Paramètres'!$J:$J,MATCH($C1755,'Paramètres'!$D:$D,0))="",1,INDEX('Paramètres'!$J:$J,MATCH($C1755,'Paramètres'!$D:$D,0)))),2))</f>
        <v/>
      </c>
      <c r="L1755" s="6" t="str">
        <f>IF($D1755="","",IF($F1755&lt;&gt;"",$F1755,IF(ISNA(MATCH($D1755,'Paramètres'!$M:$M,0)),"⚠ Type inconnu",IFERROR(INDEX('Paramètres'!$P:$P,MATCH($D1755,'Paramètres'!$M:$M,0))&amp;"",""))))</f>
        <v/>
      </c>
      <c r="M1755" s="6" t="str">
        <f>IF($D1755="","",IF(ISNA(MATCH($D1755,'Paramètres'!$M:$M,0)),"⚠ Type inconnu",IF($L1755="Crédit","",IFERROR(INDEX('Paramètres'!$O:$O,MATCH($D1755,'Paramètres'!$M:$M,0))&amp;"",""))))</f>
        <v/>
      </c>
      <c r="N1755" s="6" t="str">
        <f>IF($D1755="","",IFERROR(INDEX('Paramètres'!$Q:$Q,MATCH($D1755,'Paramètres'!$M:$M,0))&amp;"",""))</f>
        <v/>
      </c>
      <c r="O1755" s="6" t="str">
        <f>IF($A1755="","",IF(OR($J1755&lt;&gt;"x",$A1755&lt;=FinReleve),1,0))</f>
        <v/>
      </c>
      <c r="P1755" s="6" t="str">
        <f>IF($D1755="","",IF(AND($L1755="Crédit",OR(IFERROR(INDEX('Paramètres'!$O:$O,MATCH($D1755,'Paramètres'!$M:$M,0))&amp;"","")&lt;&gt;"",ISNUMBER(SEARCH("remboursement",IFERROR(INDEX('Paramètres'!$N:$N,MATCH($D1755,'Paramètres'!$M:$M,0))&amp;"",""))))),1,0))</f>
        <v/>
      </c>
      <c r="Q1755" s="6" t="str">
        <f>IF($K1755="","",IF(ISNUMBER(SEARCH("transfert-interne",IFERROR(INDEX('Paramètres'!$N:$N,MATCH($D1755,'Paramètres'!$M:$M,0))&amp;"",""))),0,IF($L1755="Débit",$K1755,IF($P1755=1,-$K1755,0))))</f>
        <v/>
      </c>
      <c r="R1755" s="6" t="str">
        <f>IF($K1755="","",IF($L1755="Crédit",$K1755,-$K1755))</f>
        <v/>
      </c>
      <c r="S1755" s="6" t="str">
        <f>IF($C1755="","",IFERROR(INDEX('Paramètres'!$H:$H,MATCH($C1755,'Paramètres'!$D:$D,0))&amp;"",""))</f>
        <v/>
      </c>
      <c r="T1755" s="6" t="str">
        <f>IF($K1755="","",IF($S1755="",0,IF(ISNUMBER(SEARCH("apport-exterieur",IFERROR(INDEX('Paramètres'!$N:$N,MATCH($D1755,'Paramètres'!$M:$M,0))&amp;"",""))),0,IF(OR(IFERROR(INDEX('Paramètres'!$I:$I,MATCH($C1755,'Paramètres'!$D:$D,0))&amp;"","")="Les deux",IFERROR(INDEX('Paramètres'!$I:$I,MATCH($C1755,'Paramètres'!$D:$D,0))&amp;"","")=IF($P1755=1,"Débit",$L1755)),-IF($P1755=1,-$K1755,$K1755),0))))</f>
        <v/>
      </c>
      <c r="U1755" s="6" t="str">
        <f>IF($K1755="","",IF(ISNUMBER(SEARCH("sortie-epargne",IFERROR(INDEX('Paramètres'!$N:$N,MATCH($D1755,'Paramètres'!$M:$M,0))&amp;"",""))),$K1755,0))</f>
        <v/>
      </c>
      <c r="V1755" s="6" t="str">
        <f>IF(AND($A1755&lt;&gt;"",$O1755=1,$L1755="Débit",N($Q1755)&gt;0,$A1755&gt;=Visualisation!$B$1,$A1755&lt;Visualisation!$D$1),MAX($V$1:V1754)+1,"")</f>
        <v/>
      </c>
    </row>
    <row r="1756" spans="1:22" x14ac:dyDescent="0.25">
      <c r="A1756" s="9"/>
      <c r="E1756" s="10"/>
      <c r="K1756" s="11" t="str">
        <f>IF($E1756="","",ROUND($E1756*IF(ISNA(MATCH($C1756,'Paramètres'!$D:$D,0)),1,IF(INDEX('Paramètres'!$J:$J,MATCH($C1756,'Paramètres'!$D:$D,0))="",1,INDEX('Paramètres'!$J:$J,MATCH($C1756,'Paramètres'!$D:$D,0)))),2))</f>
        <v/>
      </c>
      <c r="L1756" s="6" t="str">
        <f>IF($D1756="","",IF($F1756&lt;&gt;"",$F1756,IF(ISNA(MATCH($D1756,'Paramètres'!$M:$M,0)),"⚠ Type inconnu",IFERROR(INDEX('Paramètres'!$P:$P,MATCH($D1756,'Paramètres'!$M:$M,0))&amp;"",""))))</f>
        <v/>
      </c>
      <c r="M1756" s="6" t="str">
        <f>IF($D1756="","",IF(ISNA(MATCH($D1756,'Paramètres'!$M:$M,0)),"⚠ Type inconnu",IF($L1756="Crédit","",IFERROR(INDEX('Paramètres'!$O:$O,MATCH($D1756,'Paramètres'!$M:$M,0))&amp;"",""))))</f>
        <v/>
      </c>
      <c r="N1756" s="6" t="str">
        <f>IF($D1756="","",IFERROR(INDEX('Paramètres'!$Q:$Q,MATCH($D1756,'Paramètres'!$M:$M,0))&amp;"",""))</f>
        <v/>
      </c>
      <c r="O1756" s="6" t="str">
        <f>IF($A1756="","",IF(OR($J1756&lt;&gt;"x",$A1756&lt;=FinReleve),1,0))</f>
        <v/>
      </c>
      <c r="P1756" s="6" t="str">
        <f>IF($D1756="","",IF(AND($L1756="Crédit",OR(IFERROR(INDEX('Paramètres'!$O:$O,MATCH($D1756,'Paramètres'!$M:$M,0))&amp;"","")&lt;&gt;"",ISNUMBER(SEARCH("remboursement",IFERROR(INDEX('Paramètres'!$N:$N,MATCH($D1756,'Paramètres'!$M:$M,0))&amp;"",""))))),1,0))</f>
        <v/>
      </c>
      <c r="Q1756" s="6" t="str">
        <f>IF($K1756="","",IF(ISNUMBER(SEARCH("transfert-interne",IFERROR(INDEX('Paramètres'!$N:$N,MATCH($D1756,'Paramètres'!$M:$M,0))&amp;"",""))),0,IF($L1756="Débit",$K1756,IF($P1756=1,-$K1756,0))))</f>
        <v/>
      </c>
      <c r="R1756" s="6" t="str">
        <f>IF($K1756="","",IF($L1756="Crédit",$K1756,-$K1756))</f>
        <v/>
      </c>
      <c r="S1756" s="6" t="str">
        <f>IF($C1756="","",IFERROR(INDEX('Paramètres'!$H:$H,MATCH($C1756,'Paramètres'!$D:$D,0))&amp;"",""))</f>
        <v/>
      </c>
      <c r="T1756" s="6" t="str">
        <f>IF($K1756="","",IF($S1756="",0,IF(ISNUMBER(SEARCH("apport-exterieur",IFERROR(INDEX('Paramètres'!$N:$N,MATCH($D1756,'Paramètres'!$M:$M,0))&amp;"",""))),0,IF(OR(IFERROR(INDEX('Paramètres'!$I:$I,MATCH($C1756,'Paramètres'!$D:$D,0))&amp;"","")="Les deux",IFERROR(INDEX('Paramètres'!$I:$I,MATCH($C1756,'Paramètres'!$D:$D,0))&amp;"","")=IF($P1756=1,"Débit",$L1756)),-IF($P1756=1,-$K1756,$K1756),0))))</f>
        <v/>
      </c>
      <c r="U1756" s="6" t="str">
        <f>IF($K1756="","",IF(ISNUMBER(SEARCH("sortie-epargne",IFERROR(INDEX('Paramètres'!$N:$N,MATCH($D1756,'Paramètres'!$M:$M,0))&amp;"",""))),$K1756,0))</f>
        <v/>
      </c>
      <c r="V1756" s="6" t="str">
        <f>IF(AND($A1756&lt;&gt;"",$O1756=1,$L1756="Débit",N($Q1756)&gt;0,$A1756&gt;=Visualisation!$B$1,$A1756&lt;Visualisation!$D$1),MAX($V$1:V1755)+1,"")</f>
        <v/>
      </c>
    </row>
    <row r="1757" spans="1:22" x14ac:dyDescent="0.25">
      <c r="A1757" s="9"/>
      <c r="E1757" s="10"/>
      <c r="K1757" s="11" t="str">
        <f>IF($E1757="","",ROUND($E1757*IF(ISNA(MATCH($C1757,'Paramètres'!$D:$D,0)),1,IF(INDEX('Paramètres'!$J:$J,MATCH($C1757,'Paramètres'!$D:$D,0))="",1,INDEX('Paramètres'!$J:$J,MATCH($C1757,'Paramètres'!$D:$D,0)))),2))</f>
        <v/>
      </c>
      <c r="L1757" s="6" t="str">
        <f>IF($D1757="","",IF($F1757&lt;&gt;"",$F1757,IF(ISNA(MATCH($D1757,'Paramètres'!$M:$M,0)),"⚠ Type inconnu",IFERROR(INDEX('Paramètres'!$P:$P,MATCH($D1757,'Paramètres'!$M:$M,0))&amp;"",""))))</f>
        <v/>
      </c>
      <c r="M1757" s="6" t="str">
        <f>IF($D1757="","",IF(ISNA(MATCH($D1757,'Paramètres'!$M:$M,0)),"⚠ Type inconnu",IF($L1757="Crédit","",IFERROR(INDEX('Paramètres'!$O:$O,MATCH($D1757,'Paramètres'!$M:$M,0))&amp;"",""))))</f>
        <v/>
      </c>
      <c r="N1757" s="6" t="str">
        <f>IF($D1757="","",IFERROR(INDEX('Paramètres'!$Q:$Q,MATCH($D1757,'Paramètres'!$M:$M,0))&amp;"",""))</f>
        <v/>
      </c>
      <c r="O1757" s="6" t="str">
        <f>IF($A1757="","",IF(OR($J1757&lt;&gt;"x",$A1757&lt;=FinReleve),1,0))</f>
        <v/>
      </c>
      <c r="P1757" s="6" t="str">
        <f>IF($D1757="","",IF(AND($L1757="Crédit",OR(IFERROR(INDEX('Paramètres'!$O:$O,MATCH($D1757,'Paramètres'!$M:$M,0))&amp;"","")&lt;&gt;"",ISNUMBER(SEARCH("remboursement",IFERROR(INDEX('Paramètres'!$N:$N,MATCH($D1757,'Paramètres'!$M:$M,0))&amp;"",""))))),1,0))</f>
        <v/>
      </c>
      <c r="Q1757" s="6" t="str">
        <f>IF($K1757="","",IF(ISNUMBER(SEARCH("transfert-interne",IFERROR(INDEX('Paramètres'!$N:$N,MATCH($D1757,'Paramètres'!$M:$M,0))&amp;"",""))),0,IF($L1757="Débit",$K1757,IF($P1757=1,-$K1757,0))))</f>
        <v/>
      </c>
      <c r="R1757" s="6" t="str">
        <f>IF($K1757="","",IF($L1757="Crédit",$K1757,-$K1757))</f>
        <v/>
      </c>
      <c r="S1757" s="6" t="str">
        <f>IF($C1757="","",IFERROR(INDEX('Paramètres'!$H:$H,MATCH($C1757,'Paramètres'!$D:$D,0))&amp;"",""))</f>
        <v/>
      </c>
      <c r="T1757" s="6" t="str">
        <f>IF($K1757="","",IF($S1757="",0,IF(ISNUMBER(SEARCH("apport-exterieur",IFERROR(INDEX('Paramètres'!$N:$N,MATCH($D1757,'Paramètres'!$M:$M,0))&amp;"",""))),0,IF(OR(IFERROR(INDEX('Paramètres'!$I:$I,MATCH($C1757,'Paramètres'!$D:$D,0))&amp;"","")="Les deux",IFERROR(INDEX('Paramètres'!$I:$I,MATCH($C1757,'Paramètres'!$D:$D,0))&amp;"","")=IF($P1757=1,"Débit",$L1757)),-IF($P1757=1,-$K1757,$K1757),0))))</f>
        <v/>
      </c>
      <c r="U1757" s="6" t="str">
        <f>IF($K1757="","",IF(ISNUMBER(SEARCH("sortie-epargne",IFERROR(INDEX('Paramètres'!$N:$N,MATCH($D1757,'Paramètres'!$M:$M,0))&amp;"",""))),$K1757,0))</f>
        <v/>
      </c>
      <c r="V1757" s="6" t="str">
        <f>IF(AND($A1757&lt;&gt;"",$O1757=1,$L1757="Débit",N($Q1757)&gt;0,$A1757&gt;=Visualisation!$B$1,$A1757&lt;Visualisation!$D$1),MAX($V$1:V1756)+1,"")</f>
        <v/>
      </c>
    </row>
    <row r="1758" spans="1:22" x14ac:dyDescent="0.25">
      <c r="A1758" s="9"/>
      <c r="E1758" s="10"/>
      <c r="K1758" s="11" t="str">
        <f>IF($E1758="","",ROUND($E1758*IF(ISNA(MATCH($C1758,'Paramètres'!$D:$D,0)),1,IF(INDEX('Paramètres'!$J:$J,MATCH($C1758,'Paramètres'!$D:$D,0))="",1,INDEX('Paramètres'!$J:$J,MATCH($C1758,'Paramètres'!$D:$D,0)))),2))</f>
        <v/>
      </c>
      <c r="L1758" s="6" t="str">
        <f>IF($D1758="","",IF($F1758&lt;&gt;"",$F1758,IF(ISNA(MATCH($D1758,'Paramètres'!$M:$M,0)),"⚠ Type inconnu",IFERROR(INDEX('Paramètres'!$P:$P,MATCH($D1758,'Paramètres'!$M:$M,0))&amp;"",""))))</f>
        <v/>
      </c>
      <c r="M1758" s="6" t="str">
        <f>IF($D1758="","",IF(ISNA(MATCH($D1758,'Paramètres'!$M:$M,0)),"⚠ Type inconnu",IF($L1758="Crédit","",IFERROR(INDEX('Paramètres'!$O:$O,MATCH($D1758,'Paramètres'!$M:$M,0))&amp;"",""))))</f>
        <v/>
      </c>
      <c r="N1758" s="6" t="str">
        <f>IF($D1758="","",IFERROR(INDEX('Paramètres'!$Q:$Q,MATCH($D1758,'Paramètres'!$M:$M,0))&amp;"",""))</f>
        <v/>
      </c>
      <c r="O1758" s="6" t="str">
        <f>IF($A1758="","",IF(OR($J1758&lt;&gt;"x",$A1758&lt;=FinReleve),1,0))</f>
        <v/>
      </c>
      <c r="P1758" s="6" t="str">
        <f>IF($D1758="","",IF(AND($L1758="Crédit",OR(IFERROR(INDEX('Paramètres'!$O:$O,MATCH($D1758,'Paramètres'!$M:$M,0))&amp;"","")&lt;&gt;"",ISNUMBER(SEARCH("remboursement",IFERROR(INDEX('Paramètres'!$N:$N,MATCH($D1758,'Paramètres'!$M:$M,0))&amp;"",""))))),1,0))</f>
        <v/>
      </c>
      <c r="Q1758" s="6" t="str">
        <f>IF($K1758="","",IF(ISNUMBER(SEARCH("transfert-interne",IFERROR(INDEX('Paramètres'!$N:$N,MATCH($D1758,'Paramètres'!$M:$M,0))&amp;"",""))),0,IF($L1758="Débit",$K1758,IF($P1758=1,-$K1758,0))))</f>
        <v/>
      </c>
      <c r="R1758" s="6" t="str">
        <f>IF($K1758="","",IF($L1758="Crédit",$K1758,-$K1758))</f>
        <v/>
      </c>
      <c r="S1758" s="6" t="str">
        <f>IF($C1758="","",IFERROR(INDEX('Paramètres'!$H:$H,MATCH($C1758,'Paramètres'!$D:$D,0))&amp;"",""))</f>
        <v/>
      </c>
      <c r="T1758" s="6" t="str">
        <f>IF($K1758="","",IF($S1758="",0,IF(ISNUMBER(SEARCH("apport-exterieur",IFERROR(INDEX('Paramètres'!$N:$N,MATCH($D1758,'Paramètres'!$M:$M,0))&amp;"",""))),0,IF(OR(IFERROR(INDEX('Paramètres'!$I:$I,MATCH($C1758,'Paramètres'!$D:$D,0))&amp;"","")="Les deux",IFERROR(INDEX('Paramètres'!$I:$I,MATCH($C1758,'Paramètres'!$D:$D,0))&amp;"","")=IF($P1758=1,"Débit",$L1758)),-IF($P1758=1,-$K1758,$K1758),0))))</f>
        <v/>
      </c>
      <c r="U1758" s="6" t="str">
        <f>IF($K1758="","",IF(ISNUMBER(SEARCH("sortie-epargne",IFERROR(INDEX('Paramètres'!$N:$N,MATCH($D1758,'Paramètres'!$M:$M,0))&amp;"",""))),$K1758,0))</f>
        <v/>
      </c>
      <c r="V1758" s="6" t="str">
        <f>IF(AND($A1758&lt;&gt;"",$O1758=1,$L1758="Débit",N($Q1758)&gt;0,$A1758&gt;=Visualisation!$B$1,$A1758&lt;Visualisation!$D$1),MAX($V$1:V1757)+1,"")</f>
        <v/>
      </c>
    </row>
    <row r="1759" spans="1:22" x14ac:dyDescent="0.25">
      <c r="A1759" s="9"/>
      <c r="E1759" s="10"/>
      <c r="K1759" s="11" t="str">
        <f>IF($E1759="","",ROUND($E1759*IF(ISNA(MATCH($C1759,'Paramètres'!$D:$D,0)),1,IF(INDEX('Paramètres'!$J:$J,MATCH($C1759,'Paramètres'!$D:$D,0))="",1,INDEX('Paramètres'!$J:$J,MATCH($C1759,'Paramètres'!$D:$D,0)))),2))</f>
        <v/>
      </c>
      <c r="L1759" s="6" t="str">
        <f>IF($D1759="","",IF($F1759&lt;&gt;"",$F1759,IF(ISNA(MATCH($D1759,'Paramètres'!$M:$M,0)),"⚠ Type inconnu",IFERROR(INDEX('Paramètres'!$P:$P,MATCH($D1759,'Paramètres'!$M:$M,0))&amp;"",""))))</f>
        <v/>
      </c>
      <c r="M1759" s="6" t="str">
        <f>IF($D1759="","",IF(ISNA(MATCH($D1759,'Paramètres'!$M:$M,0)),"⚠ Type inconnu",IF($L1759="Crédit","",IFERROR(INDEX('Paramètres'!$O:$O,MATCH($D1759,'Paramètres'!$M:$M,0))&amp;"",""))))</f>
        <v/>
      </c>
      <c r="N1759" s="6" t="str">
        <f>IF($D1759="","",IFERROR(INDEX('Paramètres'!$Q:$Q,MATCH($D1759,'Paramètres'!$M:$M,0))&amp;"",""))</f>
        <v/>
      </c>
      <c r="O1759" s="6" t="str">
        <f>IF($A1759="","",IF(OR($J1759&lt;&gt;"x",$A1759&lt;=FinReleve),1,0))</f>
        <v/>
      </c>
      <c r="P1759" s="6" t="str">
        <f>IF($D1759="","",IF(AND($L1759="Crédit",OR(IFERROR(INDEX('Paramètres'!$O:$O,MATCH($D1759,'Paramètres'!$M:$M,0))&amp;"","")&lt;&gt;"",ISNUMBER(SEARCH("remboursement",IFERROR(INDEX('Paramètres'!$N:$N,MATCH($D1759,'Paramètres'!$M:$M,0))&amp;"",""))))),1,0))</f>
        <v/>
      </c>
      <c r="Q1759" s="6" t="str">
        <f>IF($K1759="","",IF(ISNUMBER(SEARCH("transfert-interne",IFERROR(INDEX('Paramètres'!$N:$N,MATCH($D1759,'Paramètres'!$M:$M,0))&amp;"",""))),0,IF($L1759="Débit",$K1759,IF($P1759=1,-$K1759,0))))</f>
        <v/>
      </c>
      <c r="R1759" s="6" t="str">
        <f>IF($K1759="","",IF($L1759="Crédit",$K1759,-$K1759))</f>
        <v/>
      </c>
      <c r="S1759" s="6" t="str">
        <f>IF($C1759="","",IFERROR(INDEX('Paramètres'!$H:$H,MATCH($C1759,'Paramètres'!$D:$D,0))&amp;"",""))</f>
        <v/>
      </c>
      <c r="T1759" s="6" t="str">
        <f>IF($K1759="","",IF($S1759="",0,IF(ISNUMBER(SEARCH("apport-exterieur",IFERROR(INDEX('Paramètres'!$N:$N,MATCH($D1759,'Paramètres'!$M:$M,0))&amp;"",""))),0,IF(OR(IFERROR(INDEX('Paramètres'!$I:$I,MATCH($C1759,'Paramètres'!$D:$D,0))&amp;"","")="Les deux",IFERROR(INDEX('Paramètres'!$I:$I,MATCH($C1759,'Paramètres'!$D:$D,0))&amp;"","")=IF($P1759=1,"Débit",$L1759)),-IF($P1759=1,-$K1759,$K1759),0))))</f>
        <v/>
      </c>
      <c r="U1759" s="6" t="str">
        <f>IF($K1759="","",IF(ISNUMBER(SEARCH("sortie-epargne",IFERROR(INDEX('Paramètres'!$N:$N,MATCH($D1759,'Paramètres'!$M:$M,0))&amp;"",""))),$K1759,0))</f>
        <v/>
      </c>
      <c r="V1759" s="6" t="str">
        <f>IF(AND($A1759&lt;&gt;"",$O1759=1,$L1759="Débit",N($Q1759)&gt;0,$A1759&gt;=Visualisation!$B$1,$A1759&lt;Visualisation!$D$1),MAX($V$1:V1758)+1,"")</f>
        <v/>
      </c>
    </row>
    <row r="1760" spans="1:22" x14ac:dyDescent="0.25">
      <c r="A1760" s="9"/>
      <c r="E1760" s="10"/>
      <c r="K1760" s="11" t="str">
        <f>IF($E1760="","",ROUND($E1760*IF(ISNA(MATCH($C1760,'Paramètres'!$D:$D,0)),1,IF(INDEX('Paramètres'!$J:$J,MATCH($C1760,'Paramètres'!$D:$D,0))="",1,INDEX('Paramètres'!$J:$J,MATCH($C1760,'Paramètres'!$D:$D,0)))),2))</f>
        <v/>
      </c>
      <c r="L1760" s="6" t="str">
        <f>IF($D1760="","",IF($F1760&lt;&gt;"",$F1760,IF(ISNA(MATCH($D1760,'Paramètres'!$M:$M,0)),"⚠ Type inconnu",IFERROR(INDEX('Paramètres'!$P:$P,MATCH($D1760,'Paramètres'!$M:$M,0))&amp;"",""))))</f>
        <v/>
      </c>
      <c r="M1760" s="6" t="str">
        <f>IF($D1760="","",IF(ISNA(MATCH($D1760,'Paramètres'!$M:$M,0)),"⚠ Type inconnu",IF($L1760="Crédit","",IFERROR(INDEX('Paramètres'!$O:$O,MATCH($D1760,'Paramètres'!$M:$M,0))&amp;"",""))))</f>
        <v/>
      </c>
      <c r="N1760" s="6" t="str">
        <f>IF($D1760="","",IFERROR(INDEX('Paramètres'!$Q:$Q,MATCH($D1760,'Paramètres'!$M:$M,0))&amp;"",""))</f>
        <v/>
      </c>
      <c r="O1760" s="6" t="str">
        <f>IF($A1760="","",IF(OR($J1760&lt;&gt;"x",$A1760&lt;=FinReleve),1,0))</f>
        <v/>
      </c>
      <c r="P1760" s="6" t="str">
        <f>IF($D1760="","",IF(AND($L1760="Crédit",OR(IFERROR(INDEX('Paramètres'!$O:$O,MATCH($D1760,'Paramètres'!$M:$M,0))&amp;"","")&lt;&gt;"",ISNUMBER(SEARCH("remboursement",IFERROR(INDEX('Paramètres'!$N:$N,MATCH($D1760,'Paramètres'!$M:$M,0))&amp;"",""))))),1,0))</f>
        <v/>
      </c>
      <c r="Q1760" s="6" t="str">
        <f>IF($K1760="","",IF(ISNUMBER(SEARCH("transfert-interne",IFERROR(INDEX('Paramètres'!$N:$N,MATCH($D1760,'Paramètres'!$M:$M,0))&amp;"",""))),0,IF($L1760="Débit",$K1760,IF($P1760=1,-$K1760,0))))</f>
        <v/>
      </c>
      <c r="R1760" s="6" t="str">
        <f>IF($K1760="","",IF($L1760="Crédit",$K1760,-$K1760))</f>
        <v/>
      </c>
      <c r="S1760" s="6" t="str">
        <f>IF($C1760="","",IFERROR(INDEX('Paramètres'!$H:$H,MATCH($C1760,'Paramètres'!$D:$D,0))&amp;"",""))</f>
        <v/>
      </c>
      <c r="T1760" s="6" t="str">
        <f>IF($K1760="","",IF($S1760="",0,IF(ISNUMBER(SEARCH("apport-exterieur",IFERROR(INDEX('Paramètres'!$N:$N,MATCH($D1760,'Paramètres'!$M:$M,0))&amp;"",""))),0,IF(OR(IFERROR(INDEX('Paramètres'!$I:$I,MATCH($C1760,'Paramètres'!$D:$D,0))&amp;"","")="Les deux",IFERROR(INDEX('Paramètres'!$I:$I,MATCH($C1760,'Paramètres'!$D:$D,0))&amp;"","")=IF($P1760=1,"Débit",$L1760)),-IF($P1760=1,-$K1760,$K1760),0))))</f>
        <v/>
      </c>
      <c r="U1760" s="6" t="str">
        <f>IF($K1760="","",IF(ISNUMBER(SEARCH("sortie-epargne",IFERROR(INDEX('Paramètres'!$N:$N,MATCH($D1760,'Paramètres'!$M:$M,0))&amp;"",""))),$K1760,0))</f>
        <v/>
      </c>
      <c r="V1760" s="6" t="str">
        <f>IF(AND($A1760&lt;&gt;"",$O1760=1,$L1760="Débit",N($Q1760)&gt;0,$A1760&gt;=Visualisation!$B$1,$A1760&lt;Visualisation!$D$1),MAX($V$1:V1759)+1,"")</f>
        <v/>
      </c>
    </row>
    <row r="1761" spans="1:22" x14ac:dyDescent="0.25">
      <c r="A1761" s="9"/>
      <c r="E1761" s="10"/>
      <c r="K1761" s="11" t="str">
        <f>IF($E1761="","",ROUND($E1761*IF(ISNA(MATCH($C1761,'Paramètres'!$D:$D,0)),1,IF(INDEX('Paramètres'!$J:$J,MATCH($C1761,'Paramètres'!$D:$D,0))="",1,INDEX('Paramètres'!$J:$J,MATCH($C1761,'Paramètres'!$D:$D,0)))),2))</f>
        <v/>
      </c>
      <c r="L1761" s="6" t="str">
        <f>IF($D1761="","",IF($F1761&lt;&gt;"",$F1761,IF(ISNA(MATCH($D1761,'Paramètres'!$M:$M,0)),"⚠ Type inconnu",IFERROR(INDEX('Paramètres'!$P:$P,MATCH($D1761,'Paramètres'!$M:$M,0))&amp;"",""))))</f>
        <v/>
      </c>
      <c r="M1761" s="6" t="str">
        <f>IF($D1761="","",IF(ISNA(MATCH($D1761,'Paramètres'!$M:$M,0)),"⚠ Type inconnu",IF($L1761="Crédit","",IFERROR(INDEX('Paramètres'!$O:$O,MATCH($D1761,'Paramètres'!$M:$M,0))&amp;"",""))))</f>
        <v/>
      </c>
      <c r="N1761" s="6" t="str">
        <f>IF($D1761="","",IFERROR(INDEX('Paramètres'!$Q:$Q,MATCH($D1761,'Paramètres'!$M:$M,0))&amp;"",""))</f>
        <v/>
      </c>
      <c r="O1761" s="6" t="str">
        <f>IF($A1761="","",IF(OR($J1761&lt;&gt;"x",$A1761&lt;=FinReleve),1,0))</f>
        <v/>
      </c>
      <c r="P1761" s="6" t="str">
        <f>IF($D1761="","",IF(AND($L1761="Crédit",OR(IFERROR(INDEX('Paramètres'!$O:$O,MATCH($D1761,'Paramètres'!$M:$M,0))&amp;"","")&lt;&gt;"",ISNUMBER(SEARCH("remboursement",IFERROR(INDEX('Paramètres'!$N:$N,MATCH($D1761,'Paramètres'!$M:$M,0))&amp;"",""))))),1,0))</f>
        <v/>
      </c>
      <c r="Q1761" s="6" t="str">
        <f>IF($K1761="","",IF(ISNUMBER(SEARCH("transfert-interne",IFERROR(INDEX('Paramètres'!$N:$N,MATCH($D1761,'Paramètres'!$M:$M,0))&amp;"",""))),0,IF($L1761="Débit",$K1761,IF($P1761=1,-$K1761,0))))</f>
        <v/>
      </c>
      <c r="R1761" s="6" t="str">
        <f>IF($K1761="","",IF($L1761="Crédit",$K1761,-$K1761))</f>
        <v/>
      </c>
      <c r="S1761" s="6" t="str">
        <f>IF($C1761="","",IFERROR(INDEX('Paramètres'!$H:$H,MATCH($C1761,'Paramètres'!$D:$D,0))&amp;"",""))</f>
        <v/>
      </c>
      <c r="T1761" s="6" t="str">
        <f>IF($K1761="","",IF($S1761="",0,IF(ISNUMBER(SEARCH("apport-exterieur",IFERROR(INDEX('Paramètres'!$N:$N,MATCH($D1761,'Paramètres'!$M:$M,0))&amp;"",""))),0,IF(OR(IFERROR(INDEX('Paramètres'!$I:$I,MATCH($C1761,'Paramètres'!$D:$D,0))&amp;"","")="Les deux",IFERROR(INDEX('Paramètres'!$I:$I,MATCH($C1761,'Paramètres'!$D:$D,0))&amp;"","")=IF($P1761=1,"Débit",$L1761)),-IF($P1761=1,-$K1761,$K1761),0))))</f>
        <v/>
      </c>
      <c r="U1761" s="6" t="str">
        <f>IF($K1761="","",IF(ISNUMBER(SEARCH("sortie-epargne",IFERROR(INDEX('Paramètres'!$N:$N,MATCH($D1761,'Paramètres'!$M:$M,0))&amp;"",""))),$K1761,0))</f>
        <v/>
      </c>
      <c r="V1761" s="6" t="str">
        <f>IF(AND($A1761&lt;&gt;"",$O1761=1,$L1761="Débit",N($Q1761)&gt;0,$A1761&gt;=Visualisation!$B$1,$A1761&lt;Visualisation!$D$1),MAX($V$1:V1760)+1,"")</f>
        <v/>
      </c>
    </row>
    <row r="1762" spans="1:22" x14ac:dyDescent="0.25">
      <c r="A1762" s="9"/>
      <c r="E1762" s="10"/>
      <c r="K1762" s="11" t="str">
        <f>IF($E1762="","",ROUND($E1762*IF(ISNA(MATCH($C1762,'Paramètres'!$D:$D,0)),1,IF(INDEX('Paramètres'!$J:$J,MATCH($C1762,'Paramètres'!$D:$D,0))="",1,INDEX('Paramètres'!$J:$J,MATCH($C1762,'Paramètres'!$D:$D,0)))),2))</f>
        <v/>
      </c>
      <c r="L1762" s="6" t="str">
        <f>IF($D1762="","",IF($F1762&lt;&gt;"",$F1762,IF(ISNA(MATCH($D1762,'Paramètres'!$M:$M,0)),"⚠ Type inconnu",IFERROR(INDEX('Paramètres'!$P:$P,MATCH($D1762,'Paramètres'!$M:$M,0))&amp;"",""))))</f>
        <v/>
      </c>
      <c r="M1762" s="6" t="str">
        <f>IF($D1762="","",IF(ISNA(MATCH($D1762,'Paramètres'!$M:$M,0)),"⚠ Type inconnu",IF($L1762="Crédit","",IFERROR(INDEX('Paramètres'!$O:$O,MATCH($D1762,'Paramètres'!$M:$M,0))&amp;"",""))))</f>
        <v/>
      </c>
      <c r="N1762" s="6" t="str">
        <f>IF($D1762="","",IFERROR(INDEX('Paramètres'!$Q:$Q,MATCH($D1762,'Paramètres'!$M:$M,0))&amp;"",""))</f>
        <v/>
      </c>
      <c r="O1762" s="6" t="str">
        <f>IF($A1762="","",IF(OR($J1762&lt;&gt;"x",$A1762&lt;=FinReleve),1,0))</f>
        <v/>
      </c>
      <c r="P1762" s="6" t="str">
        <f>IF($D1762="","",IF(AND($L1762="Crédit",OR(IFERROR(INDEX('Paramètres'!$O:$O,MATCH($D1762,'Paramètres'!$M:$M,0))&amp;"","")&lt;&gt;"",ISNUMBER(SEARCH("remboursement",IFERROR(INDEX('Paramètres'!$N:$N,MATCH($D1762,'Paramètres'!$M:$M,0))&amp;"",""))))),1,0))</f>
        <v/>
      </c>
      <c r="Q1762" s="6" t="str">
        <f>IF($K1762="","",IF(ISNUMBER(SEARCH("transfert-interne",IFERROR(INDEX('Paramètres'!$N:$N,MATCH($D1762,'Paramètres'!$M:$M,0))&amp;"",""))),0,IF($L1762="Débit",$K1762,IF($P1762=1,-$K1762,0))))</f>
        <v/>
      </c>
      <c r="R1762" s="6" t="str">
        <f>IF($K1762="","",IF($L1762="Crédit",$K1762,-$K1762))</f>
        <v/>
      </c>
      <c r="S1762" s="6" t="str">
        <f>IF($C1762="","",IFERROR(INDEX('Paramètres'!$H:$H,MATCH($C1762,'Paramètres'!$D:$D,0))&amp;"",""))</f>
        <v/>
      </c>
      <c r="T1762" s="6" t="str">
        <f>IF($K1762="","",IF($S1762="",0,IF(ISNUMBER(SEARCH("apport-exterieur",IFERROR(INDEX('Paramètres'!$N:$N,MATCH($D1762,'Paramètres'!$M:$M,0))&amp;"",""))),0,IF(OR(IFERROR(INDEX('Paramètres'!$I:$I,MATCH($C1762,'Paramètres'!$D:$D,0))&amp;"","")="Les deux",IFERROR(INDEX('Paramètres'!$I:$I,MATCH($C1762,'Paramètres'!$D:$D,0))&amp;"","")=IF($P1762=1,"Débit",$L1762)),-IF($P1762=1,-$K1762,$K1762),0))))</f>
        <v/>
      </c>
      <c r="U1762" s="6" t="str">
        <f>IF($K1762="","",IF(ISNUMBER(SEARCH("sortie-epargne",IFERROR(INDEX('Paramètres'!$N:$N,MATCH($D1762,'Paramètres'!$M:$M,0))&amp;"",""))),$K1762,0))</f>
        <v/>
      </c>
      <c r="V1762" s="6" t="str">
        <f>IF(AND($A1762&lt;&gt;"",$O1762=1,$L1762="Débit",N($Q1762)&gt;0,$A1762&gt;=Visualisation!$B$1,$A1762&lt;Visualisation!$D$1),MAX($V$1:V1761)+1,"")</f>
        <v/>
      </c>
    </row>
    <row r="1763" spans="1:22" x14ac:dyDescent="0.25">
      <c r="A1763" s="9"/>
      <c r="E1763" s="10"/>
      <c r="K1763" s="11" t="str">
        <f>IF($E1763="","",ROUND($E1763*IF(ISNA(MATCH($C1763,'Paramètres'!$D:$D,0)),1,IF(INDEX('Paramètres'!$J:$J,MATCH($C1763,'Paramètres'!$D:$D,0))="",1,INDEX('Paramètres'!$J:$J,MATCH($C1763,'Paramètres'!$D:$D,0)))),2))</f>
        <v/>
      </c>
      <c r="L1763" s="6" t="str">
        <f>IF($D1763="","",IF($F1763&lt;&gt;"",$F1763,IF(ISNA(MATCH($D1763,'Paramètres'!$M:$M,0)),"⚠ Type inconnu",IFERROR(INDEX('Paramètres'!$P:$P,MATCH($D1763,'Paramètres'!$M:$M,0))&amp;"",""))))</f>
        <v/>
      </c>
      <c r="M1763" s="6" t="str">
        <f>IF($D1763="","",IF(ISNA(MATCH($D1763,'Paramètres'!$M:$M,0)),"⚠ Type inconnu",IF($L1763="Crédit","",IFERROR(INDEX('Paramètres'!$O:$O,MATCH($D1763,'Paramètres'!$M:$M,0))&amp;"",""))))</f>
        <v/>
      </c>
      <c r="N1763" s="6" t="str">
        <f>IF($D1763="","",IFERROR(INDEX('Paramètres'!$Q:$Q,MATCH($D1763,'Paramètres'!$M:$M,0))&amp;"",""))</f>
        <v/>
      </c>
      <c r="O1763" s="6" t="str">
        <f>IF($A1763="","",IF(OR($J1763&lt;&gt;"x",$A1763&lt;=FinReleve),1,0))</f>
        <v/>
      </c>
      <c r="P1763" s="6" t="str">
        <f>IF($D1763="","",IF(AND($L1763="Crédit",OR(IFERROR(INDEX('Paramètres'!$O:$O,MATCH($D1763,'Paramètres'!$M:$M,0))&amp;"","")&lt;&gt;"",ISNUMBER(SEARCH("remboursement",IFERROR(INDEX('Paramètres'!$N:$N,MATCH($D1763,'Paramètres'!$M:$M,0))&amp;"",""))))),1,0))</f>
        <v/>
      </c>
      <c r="Q1763" s="6" t="str">
        <f>IF($K1763="","",IF(ISNUMBER(SEARCH("transfert-interne",IFERROR(INDEX('Paramètres'!$N:$N,MATCH($D1763,'Paramètres'!$M:$M,0))&amp;"",""))),0,IF($L1763="Débit",$K1763,IF($P1763=1,-$K1763,0))))</f>
        <v/>
      </c>
      <c r="R1763" s="6" t="str">
        <f>IF($K1763="","",IF($L1763="Crédit",$K1763,-$K1763))</f>
        <v/>
      </c>
      <c r="S1763" s="6" t="str">
        <f>IF($C1763="","",IFERROR(INDEX('Paramètres'!$H:$H,MATCH($C1763,'Paramètres'!$D:$D,0))&amp;"",""))</f>
        <v/>
      </c>
      <c r="T1763" s="6" t="str">
        <f>IF($K1763="","",IF($S1763="",0,IF(ISNUMBER(SEARCH("apport-exterieur",IFERROR(INDEX('Paramètres'!$N:$N,MATCH($D1763,'Paramètres'!$M:$M,0))&amp;"",""))),0,IF(OR(IFERROR(INDEX('Paramètres'!$I:$I,MATCH($C1763,'Paramètres'!$D:$D,0))&amp;"","")="Les deux",IFERROR(INDEX('Paramètres'!$I:$I,MATCH($C1763,'Paramètres'!$D:$D,0))&amp;"","")=IF($P1763=1,"Débit",$L1763)),-IF($P1763=1,-$K1763,$K1763),0))))</f>
        <v/>
      </c>
      <c r="U1763" s="6" t="str">
        <f>IF($K1763="","",IF(ISNUMBER(SEARCH("sortie-epargne",IFERROR(INDEX('Paramètres'!$N:$N,MATCH($D1763,'Paramètres'!$M:$M,0))&amp;"",""))),$K1763,0))</f>
        <v/>
      </c>
      <c r="V1763" s="6" t="str">
        <f>IF(AND($A1763&lt;&gt;"",$O1763=1,$L1763="Débit",N($Q1763)&gt;0,$A1763&gt;=Visualisation!$B$1,$A1763&lt;Visualisation!$D$1),MAX($V$1:V1762)+1,"")</f>
        <v/>
      </c>
    </row>
    <row r="1764" spans="1:22" x14ac:dyDescent="0.25">
      <c r="A1764" s="9"/>
      <c r="E1764" s="10"/>
      <c r="K1764" s="11" t="str">
        <f>IF($E1764="","",ROUND($E1764*IF(ISNA(MATCH($C1764,'Paramètres'!$D:$D,0)),1,IF(INDEX('Paramètres'!$J:$J,MATCH($C1764,'Paramètres'!$D:$D,0))="",1,INDEX('Paramètres'!$J:$J,MATCH($C1764,'Paramètres'!$D:$D,0)))),2))</f>
        <v/>
      </c>
      <c r="L1764" s="6" t="str">
        <f>IF($D1764="","",IF($F1764&lt;&gt;"",$F1764,IF(ISNA(MATCH($D1764,'Paramètres'!$M:$M,0)),"⚠ Type inconnu",IFERROR(INDEX('Paramètres'!$P:$P,MATCH($D1764,'Paramètres'!$M:$M,0))&amp;"",""))))</f>
        <v/>
      </c>
      <c r="M1764" s="6" t="str">
        <f>IF($D1764="","",IF(ISNA(MATCH($D1764,'Paramètres'!$M:$M,0)),"⚠ Type inconnu",IF($L1764="Crédit","",IFERROR(INDEX('Paramètres'!$O:$O,MATCH($D1764,'Paramètres'!$M:$M,0))&amp;"",""))))</f>
        <v/>
      </c>
      <c r="N1764" s="6" t="str">
        <f>IF($D1764="","",IFERROR(INDEX('Paramètres'!$Q:$Q,MATCH($D1764,'Paramètres'!$M:$M,0))&amp;"",""))</f>
        <v/>
      </c>
      <c r="O1764" s="6" t="str">
        <f>IF($A1764="","",IF(OR($J1764&lt;&gt;"x",$A1764&lt;=FinReleve),1,0))</f>
        <v/>
      </c>
      <c r="P1764" s="6" t="str">
        <f>IF($D1764="","",IF(AND($L1764="Crédit",OR(IFERROR(INDEX('Paramètres'!$O:$O,MATCH($D1764,'Paramètres'!$M:$M,0))&amp;"","")&lt;&gt;"",ISNUMBER(SEARCH("remboursement",IFERROR(INDEX('Paramètres'!$N:$N,MATCH($D1764,'Paramètres'!$M:$M,0))&amp;"",""))))),1,0))</f>
        <v/>
      </c>
      <c r="Q1764" s="6" t="str">
        <f>IF($K1764="","",IF(ISNUMBER(SEARCH("transfert-interne",IFERROR(INDEX('Paramètres'!$N:$N,MATCH($D1764,'Paramètres'!$M:$M,0))&amp;"",""))),0,IF($L1764="Débit",$K1764,IF($P1764=1,-$K1764,0))))</f>
        <v/>
      </c>
      <c r="R1764" s="6" t="str">
        <f>IF($K1764="","",IF($L1764="Crédit",$K1764,-$K1764))</f>
        <v/>
      </c>
      <c r="S1764" s="6" t="str">
        <f>IF($C1764="","",IFERROR(INDEX('Paramètres'!$H:$H,MATCH($C1764,'Paramètres'!$D:$D,0))&amp;"",""))</f>
        <v/>
      </c>
      <c r="T1764" s="6" t="str">
        <f>IF($K1764="","",IF($S1764="",0,IF(ISNUMBER(SEARCH("apport-exterieur",IFERROR(INDEX('Paramètres'!$N:$N,MATCH($D1764,'Paramètres'!$M:$M,0))&amp;"",""))),0,IF(OR(IFERROR(INDEX('Paramètres'!$I:$I,MATCH($C1764,'Paramètres'!$D:$D,0))&amp;"","")="Les deux",IFERROR(INDEX('Paramètres'!$I:$I,MATCH($C1764,'Paramètres'!$D:$D,0))&amp;"","")=IF($P1764=1,"Débit",$L1764)),-IF($P1764=1,-$K1764,$K1764),0))))</f>
        <v/>
      </c>
      <c r="U1764" s="6" t="str">
        <f>IF($K1764="","",IF(ISNUMBER(SEARCH("sortie-epargne",IFERROR(INDEX('Paramètres'!$N:$N,MATCH($D1764,'Paramètres'!$M:$M,0))&amp;"",""))),$K1764,0))</f>
        <v/>
      </c>
      <c r="V1764" s="6" t="str">
        <f>IF(AND($A1764&lt;&gt;"",$O1764=1,$L1764="Débit",N($Q1764)&gt;0,$A1764&gt;=Visualisation!$B$1,$A1764&lt;Visualisation!$D$1),MAX($V$1:V1763)+1,"")</f>
        <v/>
      </c>
    </row>
    <row r="1765" spans="1:22" x14ac:dyDescent="0.25">
      <c r="A1765" s="9"/>
      <c r="E1765" s="10"/>
      <c r="K1765" s="11" t="str">
        <f>IF($E1765="","",ROUND($E1765*IF(ISNA(MATCH($C1765,'Paramètres'!$D:$D,0)),1,IF(INDEX('Paramètres'!$J:$J,MATCH($C1765,'Paramètres'!$D:$D,0))="",1,INDEX('Paramètres'!$J:$J,MATCH($C1765,'Paramètres'!$D:$D,0)))),2))</f>
        <v/>
      </c>
      <c r="L1765" s="6" t="str">
        <f>IF($D1765="","",IF($F1765&lt;&gt;"",$F1765,IF(ISNA(MATCH($D1765,'Paramètres'!$M:$M,0)),"⚠ Type inconnu",IFERROR(INDEX('Paramètres'!$P:$P,MATCH($D1765,'Paramètres'!$M:$M,0))&amp;"",""))))</f>
        <v/>
      </c>
      <c r="M1765" s="6" t="str">
        <f>IF($D1765="","",IF(ISNA(MATCH($D1765,'Paramètres'!$M:$M,0)),"⚠ Type inconnu",IF($L1765="Crédit","",IFERROR(INDEX('Paramètres'!$O:$O,MATCH($D1765,'Paramètres'!$M:$M,0))&amp;"",""))))</f>
        <v/>
      </c>
      <c r="N1765" s="6" t="str">
        <f>IF($D1765="","",IFERROR(INDEX('Paramètres'!$Q:$Q,MATCH($D1765,'Paramètres'!$M:$M,0))&amp;"",""))</f>
        <v/>
      </c>
      <c r="O1765" s="6" t="str">
        <f>IF($A1765="","",IF(OR($J1765&lt;&gt;"x",$A1765&lt;=FinReleve),1,0))</f>
        <v/>
      </c>
      <c r="P1765" s="6" t="str">
        <f>IF($D1765="","",IF(AND($L1765="Crédit",OR(IFERROR(INDEX('Paramètres'!$O:$O,MATCH($D1765,'Paramètres'!$M:$M,0))&amp;"","")&lt;&gt;"",ISNUMBER(SEARCH("remboursement",IFERROR(INDEX('Paramètres'!$N:$N,MATCH($D1765,'Paramètres'!$M:$M,0))&amp;"",""))))),1,0))</f>
        <v/>
      </c>
      <c r="Q1765" s="6" t="str">
        <f>IF($K1765="","",IF(ISNUMBER(SEARCH("transfert-interne",IFERROR(INDEX('Paramètres'!$N:$N,MATCH($D1765,'Paramètres'!$M:$M,0))&amp;"",""))),0,IF($L1765="Débit",$K1765,IF($P1765=1,-$K1765,0))))</f>
        <v/>
      </c>
      <c r="R1765" s="6" t="str">
        <f>IF($K1765="","",IF($L1765="Crédit",$K1765,-$K1765))</f>
        <v/>
      </c>
      <c r="S1765" s="6" t="str">
        <f>IF($C1765="","",IFERROR(INDEX('Paramètres'!$H:$H,MATCH($C1765,'Paramètres'!$D:$D,0))&amp;"",""))</f>
        <v/>
      </c>
      <c r="T1765" s="6" t="str">
        <f>IF($K1765="","",IF($S1765="",0,IF(ISNUMBER(SEARCH("apport-exterieur",IFERROR(INDEX('Paramètres'!$N:$N,MATCH($D1765,'Paramètres'!$M:$M,0))&amp;"",""))),0,IF(OR(IFERROR(INDEX('Paramètres'!$I:$I,MATCH($C1765,'Paramètres'!$D:$D,0))&amp;"","")="Les deux",IFERROR(INDEX('Paramètres'!$I:$I,MATCH($C1765,'Paramètres'!$D:$D,0))&amp;"","")=IF($P1765=1,"Débit",$L1765)),-IF($P1765=1,-$K1765,$K1765),0))))</f>
        <v/>
      </c>
      <c r="U1765" s="6" t="str">
        <f>IF($K1765="","",IF(ISNUMBER(SEARCH("sortie-epargne",IFERROR(INDEX('Paramètres'!$N:$N,MATCH($D1765,'Paramètres'!$M:$M,0))&amp;"",""))),$K1765,0))</f>
        <v/>
      </c>
      <c r="V1765" s="6" t="str">
        <f>IF(AND($A1765&lt;&gt;"",$O1765=1,$L1765="Débit",N($Q1765)&gt;0,$A1765&gt;=Visualisation!$B$1,$A1765&lt;Visualisation!$D$1),MAX($V$1:V1764)+1,"")</f>
        <v/>
      </c>
    </row>
    <row r="1766" spans="1:22" x14ac:dyDescent="0.25">
      <c r="A1766" s="9"/>
      <c r="E1766" s="10"/>
      <c r="K1766" s="11" t="str">
        <f>IF($E1766="","",ROUND($E1766*IF(ISNA(MATCH($C1766,'Paramètres'!$D:$D,0)),1,IF(INDEX('Paramètres'!$J:$J,MATCH($C1766,'Paramètres'!$D:$D,0))="",1,INDEX('Paramètres'!$J:$J,MATCH($C1766,'Paramètres'!$D:$D,0)))),2))</f>
        <v/>
      </c>
      <c r="L1766" s="6" t="str">
        <f>IF($D1766="","",IF($F1766&lt;&gt;"",$F1766,IF(ISNA(MATCH($D1766,'Paramètres'!$M:$M,0)),"⚠ Type inconnu",IFERROR(INDEX('Paramètres'!$P:$P,MATCH($D1766,'Paramètres'!$M:$M,0))&amp;"",""))))</f>
        <v/>
      </c>
      <c r="M1766" s="6" t="str">
        <f>IF($D1766="","",IF(ISNA(MATCH($D1766,'Paramètres'!$M:$M,0)),"⚠ Type inconnu",IF($L1766="Crédit","",IFERROR(INDEX('Paramètres'!$O:$O,MATCH($D1766,'Paramètres'!$M:$M,0))&amp;"",""))))</f>
        <v/>
      </c>
      <c r="N1766" s="6" t="str">
        <f>IF($D1766="","",IFERROR(INDEX('Paramètres'!$Q:$Q,MATCH($D1766,'Paramètres'!$M:$M,0))&amp;"",""))</f>
        <v/>
      </c>
      <c r="O1766" s="6" t="str">
        <f>IF($A1766="","",IF(OR($J1766&lt;&gt;"x",$A1766&lt;=FinReleve),1,0))</f>
        <v/>
      </c>
      <c r="P1766" s="6" t="str">
        <f>IF($D1766="","",IF(AND($L1766="Crédit",OR(IFERROR(INDEX('Paramètres'!$O:$O,MATCH($D1766,'Paramètres'!$M:$M,0))&amp;"","")&lt;&gt;"",ISNUMBER(SEARCH("remboursement",IFERROR(INDEX('Paramètres'!$N:$N,MATCH($D1766,'Paramètres'!$M:$M,0))&amp;"",""))))),1,0))</f>
        <v/>
      </c>
      <c r="Q1766" s="6" t="str">
        <f>IF($K1766="","",IF(ISNUMBER(SEARCH("transfert-interne",IFERROR(INDEX('Paramètres'!$N:$N,MATCH($D1766,'Paramètres'!$M:$M,0))&amp;"",""))),0,IF($L1766="Débit",$K1766,IF($P1766=1,-$K1766,0))))</f>
        <v/>
      </c>
      <c r="R1766" s="6" t="str">
        <f>IF($K1766="","",IF($L1766="Crédit",$K1766,-$K1766))</f>
        <v/>
      </c>
      <c r="S1766" s="6" t="str">
        <f>IF($C1766="","",IFERROR(INDEX('Paramètres'!$H:$H,MATCH($C1766,'Paramètres'!$D:$D,0))&amp;"",""))</f>
        <v/>
      </c>
      <c r="T1766" s="6" t="str">
        <f>IF($K1766="","",IF($S1766="",0,IF(ISNUMBER(SEARCH("apport-exterieur",IFERROR(INDEX('Paramètres'!$N:$N,MATCH($D1766,'Paramètres'!$M:$M,0))&amp;"",""))),0,IF(OR(IFERROR(INDEX('Paramètres'!$I:$I,MATCH($C1766,'Paramètres'!$D:$D,0))&amp;"","")="Les deux",IFERROR(INDEX('Paramètres'!$I:$I,MATCH($C1766,'Paramètres'!$D:$D,0))&amp;"","")=IF($P1766=1,"Débit",$L1766)),-IF($P1766=1,-$K1766,$K1766),0))))</f>
        <v/>
      </c>
      <c r="U1766" s="6" t="str">
        <f>IF($K1766="","",IF(ISNUMBER(SEARCH("sortie-epargne",IFERROR(INDEX('Paramètres'!$N:$N,MATCH($D1766,'Paramètres'!$M:$M,0))&amp;"",""))),$K1766,0))</f>
        <v/>
      </c>
      <c r="V1766" s="6" t="str">
        <f>IF(AND($A1766&lt;&gt;"",$O1766=1,$L1766="Débit",N($Q1766)&gt;0,$A1766&gt;=Visualisation!$B$1,$A1766&lt;Visualisation!$D$1),MAX($V$1:V1765)+1,"")</f>
        <v/>
      </c>
    </row>
    <row r="1767" spans="1:22" x14ac:dyDescent="0.25">
      <c r="A1767" s="9"/>
      <c r="E1767" s="10"/>
      <c r="K1767" s="11" t="str">
        <f>IF($E1767="","",ROUND($E1767*IF(ISNA(MATCH($C1767,'Paramètres'!$D:$D,0)),1,IF(INDEX('Paramètres'!$J:$J,MATCH($C1767,'Paramètres'!$D:$D,0))="",1,INDEX('Paramètres'!$J:$J,MATCH($C1767,'Paramètres'!$D:$D,0)))),2))</f>
        <v/>
      </c>
      <c r="L1767" s="6" t="str">
        <f>IF($D1767="","",IF($F1767&lt;&gt;"",$F1767,IF(ISNA(MATCH($D1767,'Paramètres'!$M:$M,0)),"⚠ Type inconnu",IFERROR(INDEX('Paramètres'!$P:$P,MATCH($D1767,'Paramètres'!$M:$M,0))&amp;"",""))))</f>
        <v/>
      </c>
      <c r="M1767" s="6" t="str">
        <f>IF($D1767="","",IF(ISNA(MATCH($D1767,'Paramètres'!$M:$M,0)),"⚠ Type inconnu",IF($L1767="Crédit","",IFERROR(INDEX('Paramètres'!$O:$O,MATCH($D1767,'Paramètres'!$M:$M,0))&amp;"",""))))</f>
        <v/>
      </c>
      <c r="N1767" s="6" t="str">
        <f>IF($D1767="","",IFERROR(INDEX('Paramètres'!$Q:$Q,MATCH($D1767,'Paramètres'!$M:$M,0))&amp;"",""))</f>
        <v/>
      </c>
      <c r="O1767" s="6" t="str">
        <f>IF($A1767="","",IF(OR($J1767&lt;&gt;"x",$A1767&lt;=FinReleve),1,0))</f>
        <v/>
      </c>
      <c r="P1767" s="6" t="str">
        <f>IF($D1767="","",IF(AND($L1767="Crédit",OR(IFERROR(INDEX('Paramètres'!$O:$O,MATCH($D1767,'Paramètres'!$M:$M,0))&amp;"","")&lt;&gt;"",ISNUMBER(SEARCH("remboursement",IFERROR(INDEX('Paramètres'!$N:$N,MATCH($D1767,'Paramètres'!$M:$M,0))&amp;"",""))))),1,0))</f>
        <v/>
      </c>
      <c r="Q1767" s="6" t="str">
        <f>IF($K1767="","",IF(ISNUMBER(SEARCH("transfert-interne",IFERROR(INDEX('Paramètres'!$N:$N,MATCH($D1767,'Paramètres'!$M:$M,0))&amp;"",""))),0,IF($L1767="Débit",$K1767,IF($P1767=1,-$K1767,0))))</f>
        <v/>
      </c>
      <c r="R1767" s="6" t="str">
        <f>IF($K1767="","",IF($L1767="Crédit",$K1767,-$K1767))</f>
        <v/>
      </c>
      <c r="S1767" s="6" t="str">
        <f>IF($C1767="","",IFERROR(INDEX('Paramètres'!$H:$H,MATCH($C1767,'Paramètres'!$D:$D,0))&amp;"",""))</f>
        <v/>
      </c>
      <c r="T1767" s="6" t="str">
        <f>IF($K1767="","",IF($S1767="",0,IF(ISNUMBER(SEARCH("apport-exterieur",IFERROR(INDEX('Paramètres'!$N:$N,MATCH($D1767,'Paramètres'!$M:$M,0))&amp;"",""))),0,IF(OR(IFERROR(INDEX('Paramètres'!$I:$I,MATCH($C1767,'Paramètres'!$D:$D,0))&amp;"","")="Les deux",IFERROR(INDEX('Paramètres'!$I:$I,MATCH($C1767,'Paramètres'!$D:$D,0))&amp;"","")=IF($P1767=1,"Débit",$L1767)),-IF($P1767=1,-$K1767,$K1767),0))))</f>
        <v/>
      </c>
      <c r="U1767" s="6" t="str">
        <f>IF($K1767="","",IF(ISNUMBER(SEARCH("sortie-epargne",IFERROR(INDEX('Paramètres'!$N:$N,MATCH($D1767,'Paramètres'!$M:$M,0))&amp;"",""))),$K1767,0))</f>
        <v/>
      </c>
      <c r="V1767" s="6" t="str">
        <f>IF(AND($A1767&lt;&gt;"",$O1767=1,$L1767="Débit",N($Q1767)&gt;0,$A1767&gt;=Visualisation!$B$1,$A1767&lt;Visualisation!$D$1),MAX($V$1:V1766)+1,"")</f>
        <v/>
      </c>
    </row>
    <row r="1768" spans="1:22" x14ac:dyDescent="0.25">
      <c r="A1768" s="9"/>
      <c r="E1768" s="10"/>
      <c r="K1768" s="11" t="str">
        <f>IF($E1768="","",ROUND($E1768*IF(ISNA(MATCH($C1768,'Paramètres'!$D:$D,0)),1,IF(INDEX('Paramètres'!$J:$J,MATCH($C1768,'Paramètres'!$D:$D,0))="",1,INDEX('Paramètres'!$J:$J,MATCH($C1768,'Paramètres'!$D:$D,0)))),2))</f>
        <v/>
      </c>
      <c r="L1768" s="6" t="str">
        <f>IF($D1768="","",IF($F1768&lt;&gt;"",$F1768,IF(ISNA(MATCH($D1768,'Paramètres'!$M:$M,0)),"⚠ Type inconnu",IFERROR(INDEX('Paramètres'!$P:$P,MATCH($D1768,'Paramètres'!$M:$M,0))&amp;"",""))))</f>
        <v/>
      </c>
      <c r="M1768" s="6" t="str">
        <f>IF($D1768="","",IF(ISNA(MATCH($D1768,'Paramètres'!$M:$M,0)),"⚠ Type inconnu",IF($L1768="Crédit","",IFERROR(INDEX('Paramètres'!$O:$O,MATCH($D1768,'Paramètres'!$M:$M,0))&amp;"",""))))</f>
        <v/>
      </c>
      <c r="N1768" s="6" t="str">
        <f>IF($D1768="","",IFERROR(INDEX('Paramètres'!$Q:$Q,MATCH($D1768,'Paramètres'!$M:$M,0))&amp;"",""))</f>
        <v/>
      </c>
      <c r="O1768" s="6" t="str">
        <f>IF($A1768="","",IF(OR($J1768&lt;&gt;"x",$A1768&lt;=FinReleve),1,0))</f>
        <v/>
      </c>
      <c r="P1768" s="6" t="str">
        <f>IF($D1768="","",IF(AND($L1768="Crédit",OR(IFERROR(INDEX('Paramètres'!$O:$O,MATCH($D1768,'Paramètres'!$M:$M,0))&amp;"","")&lt;&gt;"",ISNUMBER(SEARCH("remboursement",IFERROR(INDEX('Paramètres'!$N:$N,MATCH($D1768,'Paramètres'!$M:$M,0))&amp;"",""))))),1,0))</f>
        <v/>
      </c>
      <c r="Q1768" s="6" t="str">
        <f>IF($K1768="","",IF(ISNUMBER(SEARCH("transfert-interne",IFERROR(INDEX('Paramètres'!$N:$N,MATCH($D1768,'Paramètres'!$M:$M,0))&amp;"",""))),0,IF($L1768="Débit",$K1768,IF($P1768=1,-$K1768,0))))</f>
        <v/>
      </c>
      <c r="R1768" s="6" t="str">
        <f>IF($K1768="","",IF($L1768="Crédit",$K1768,-$K1768))</f>
        <v/>
      </c>
      <c r="S1768" s="6" t="str">
        <f>IF($C1768="","",IFERROR(INDEX('Paramètres'!$H:$H,MATCH($C1768,'Paramètres'!$D:$D,0))&amp;"",""))</f>
        <v/>
      </c>
      <c r="T1768" s="6" t="str">
        <f>IF($K1768="","",IF($S1768="",0,IF(ISNUMBER(SEARCH("apport-exterieur",IFERROR(INDEX('Paramètres'!$N:$N,MATCH($D1768,'Paramètres'!$M:$M,0))&amp;"",""))),0,IF(OR(IFERROR(INDEX('Paramètres'!$I:$I,MATCH($C1768,'Paramètres'!$D:$D,0))&amp;"","")="Les deux",IFERROR(INDEX('Paramètres'!$I:$I,MATCH($C1768,'Paramètres'!$D:$D,0))&amp;"","")=IF($P1768=1,"Débit",$L1768)),-IF($P1768=1,-$K1768,$K1768),0))))</f>
        <v/>
      </c>
      <c r="U1768" s="6" t="str">
        <f>IF($K1768="","",IF(ISNUMBER(SEARCH("sortie-epargne",IFERROR(INDEX('Paramètres'!$N:$N,MATCH($D1768,'Paramètres'!$M:$M,0))&amp;"",""))),$K1768,0))</f>
        <v/>
      </c>
      <c r="V1768" s="6" t="str">
        <f>IF(AND($A1768&lt;&gt;"",$O1768=1,$L1768="Débit",N($Q1768)&gt;0,$A1768&gt;=Visualisation!$B$1,$A1768&lt;Visualisation!$D$1),MAX($V$1:V1767)+1,"")</f>
        <v/>
      </c>
    </row>
    <row r="1769" spans="1:22" x14ac:dyDescent="0.25">
      <c r="A1769" s="9"/>
      <c r="E1769" s="10"/>
      <c r="K1769" s="11" t="str">
        <f>IF($E1769="","",ROUND($E1769*IF(ISNA(MATCH($C1769,'Paramètres'!$D:$D,0)),1,IF(INDEX('Paramètres'!$J:$J,MATCH($C1769,'Paramètres'!$D:$D,0))="",1,INDEX('Paramètres'!$J:$J,MATCH($C1769,'Paramètres'!$D:$D,0)))),2))</f>
        <v/>
      </c>
      <c r="L1769" s="6" t="str">
        <f>IF($D1769="","",IF($F1769&lt;&gt;"",$F1769,IF(ISNA(MATCH($D1769,'Paramètres'!$M:$M,0)),"⚠ Type inconnu",IFERROR(INDEX('Paramètres'!$P:$P,MATCH($D1769,'Paramètres'!$M:$M,0))&amp;"",""))))</f>
        <v/>
      </c>
      <c r="M1769" s="6" t="str">
        <f>IF($D1769="","",IF(ISNA(MATCH($D1769,'Paramètres'!$M:$M,0)),"⚠ Type inconnu",IF($L1769="Crédit","",IFERROR(INDEX('Paramètres'!$O:$O,MATCH($D1769,'Paramètres'!$M:$M,0))&amp;"",""))))</f>
        <v/>
      </c>
      <c r="N1769" s="6" t="str">
        <f>IF($D1769="","",IFERROR(INDEX('Paramètres'!$Q:$Q,MATCH($D1769,'Paramètres'!$M:$M,0))&amp;"",""))</f>
        <v/>
      </c>
      <c r="O1769" s="6" t="str">
        <f>IF($A1769="","",IF(OR($J1769&lt;&gt;"x",$A1769&lt;=FinReleve),1,0))</f>
        <v/>
      </c>
      <c r="P1769" s="6" t="str">
        <f>IF($D1769="","",IF(AND($L1769="Crédit",OR(IFERROR(INDEX('Paramètres'!$O:$O,MATCH($D1769,'Paramètres'!$M:$M,0))&amp;"","")&lt;&gt;"",ISNUMBER(SEARCH("remboursement",IFERROR(INDEX('Paramètres'!$N:$N,MATCH($D1769,'Paramètres'!$M:$M,0))&amp;"",""))))),1,0))</f>
        <v/>
      </c>
      <c r="Q1769" s="6" t="str">
        <f>IF($K1769="","",IF(ISNUMBER(SEARCH("transfert-interne",IFERROR(INDEX('Paramètres'!$N:$N,MATCH($D1769,'Paramètres'!$M:$M,0))&amp;"",""))),0,IF($L1769="Débit",$K1769,IF($P1769=1,-$K1769,0))))</f>
        <v/>
      </c>
      <c r="R1769" s="6" t="str">
        <f>IF($K1769="","",IF($L1769="Crédit",$K1769,-$K1769))</f>
        <v/>
      </c>
      <c r="S1769" s="6" t="str">
        <f>IF($C1769="","",IFERROR(INDEX('Paramètres'!$H:$H,MATCH($C1769,'Paramètres'!$D:$D,0))&amp;"",""))</f>
        <v/>
      </c>
      <c r="T1769" s="6" t="str">
        <f>IF($K1769="","",IF($S1769="",0,IF(ISNUMBER(SEARCH("apport-exterieur",IFERROR(INDEX('Paramètres'!$N:$N,MATCH($D1769,'Paramètres'!$M:$M,0))&amp;"",""))),0,IF(OR(IFERROR(INDEX('Paramètres'!$I:$I,MATCH($C1769,'Paramètres'!$D:$D,0))&amp;"","")="Les deux",IFERROR(INDEX('Paramètres'!$I:$I,MATCH($C1769,'Paramètres'!$D:$D,0))&amp;"","")=IF($P1769=1,"Débit",$L1769)),-IF($P1769=1,-$K1769,$K1769),0))))</f>
        <v/>
      </c>
      <c r="U1769" s="6" t="str">
        <f>IF($K1769="","",IF(ISNUMBER(SEARCH("sortie-epargne",IFERROR(INDEX('Paramètres'!$N:$N,MATCH($D1769,'Paramètres'!$M:$M,0))&amp;"",""))),$K1769,0))</f>
        <v/>
      </c>
      <c r="V1769" s="6" t="str">
        <f>IF(AND($A1769&lt;&gt;"",$O1769=1,$L1769="Débit",N($Q1769)&gt;0,$A1769&gt;=Visualisation!$B$1,$A1769&lt;Visualisation!$D$1),MAX($V$1:V1768)+1,"")</f>
        <v/>
      </c>
    </row>
    <row r="1770" spans="1:22" x14ac:dyDescent="0.25">
      <c r="A1770" s="9"/>
      <c r="E1770" s="10"/>
      <c r="K1770" s="11" t="str">
        <f>IF($E1770="","",ROUND($E1770*IF(ISNA(MATCH($C1770,'Paramètres'!$D:$D,0)),1,IF(INDEX('Paramètres'!$J:$J,MATCH($C1770,'Paramètres'!$D:$D,0))="",1,INDEX('Paramètres'!$J:$J,MATCH($C1770,'Paramètres'!$D:$D,0)))),2))</f>
        <v/>
      </c>
      <c r="L1770" s="6" t="str">
        <f>IF($D1770="","",IF($F1770&lt;&gt;"",$F1770,IF(ISNA(MATCH($D1770,'Paramètres'!$M:$M,0)),"⚠ Type inconnu",IFERROR(INDEX('Paramètres'!$P:$P,MATCH($D1770,'Paramètres'!$M:$M,0))&amp;"",""))))</f>
        <v/>
      </c>
      <c r="M1770" s="6" t="str">
        <f>IF($D1770="","",IF(ISNA(MATCH($D1770,'Paramètres'!$M:$M,0)),"⚠ Type inconnu",IF($L1770="Crédit","",IFERROR(INDEX('Paramètres'!$O:$O,MATCH($D1770,'Paramètres'!$M:$M,0))&amp;"",""))))</f>
        <v/>
      </c>
      <c r="N1770" s="6" t="str">
        <f>IF($D1770="","",IFERROR(INDEX('Paramètres'!$Q:$Q,MATCH($D1770,'Paramètres'!$M:$M,0))&amp;"",""))</f>
        <v/>
      </c>
      <c r="O1770" s="6" t="str">
        <f>IF($A1770="","",IF(OR($J1770&lt;&gt;"x",$A1770&lt;=FinReleve),1,0))</f>
        <v/>
      </c>
      <c r="P1770" s="6" t="str">
        <f>IF($D1770="","",IF(AND($L1770="Crédit",OR(IFERROR(INDEX('Paramètres'!$O:$O,MATCH($D1770,'Paramètres'!$M:$M,0))&amp;"","")&lt;&gt;"",ISNUMBER(SEARCH("remboursement",IFERROR(INDEX('Paramètres'!$N:$N,MATCH($D1770,'Paramètres'!$M:$M,0))&amp;"",""))))),1,0))</f>
        <v/>
      </c>
      <c r="Q1770" s="6" t="str">
        <f>IF($K1770="","",IF(ISNUMBER(SEARCH("transfert-interne",IFERROR(INDEX('Paramètres'!$N:$N,MATCH($D1770,'Paramètres'!$M:$M,0))&amp;"",""))),0,IF($L1770="Débit",$K1770,IF($P1770=1,-$K1770,0))))</f>
        <v/>
      </c>
      <c r="R1770" s="6" t="str">
        <f>IF($K1770="","",IF($L1770="Crédit",$K1770,-$K1770))</f>
        <v/>
      </c>
      <c r="S1770" s="6" t="str">
        <f>IF($C1770="","",IFERROR(INDEX('Paramètres'!$H:$H,MATCH($C1770,'Paramètres'!$D:$D,0))&amp;"",""))</f>
        <v/>
      </c>
      <c r="T1770" s="6" t="str">
        <f>IF($K1770="","",IF($S1770="",0,IF(ISNUMBER(SEARCH("apport-exterieur",IFERROR(INDEX('Paramètres'!$N:$N,MATCH($D1770,'Paramètres'!$M:$M,0))&amp;"",""))),0,IF(OR(IFERROR(INDEX('Paramètres'!$I:$I,MATCH($C1770,'Paramètres'!$D:$D,0))&amp;"","")="Les deux",IFERROR(INDEX('Paramètres'!$I:$I,MATCH($C1770,'Paramètres'!$D:$D,0))&amp;"","")=IF($P1770=1,"Débit",$L1770)),-IF($P1770=1,-$K1770,$K1770),0))))</f>
        <v/>
      </c>
      <c r="U1770" s="6" t="str">
        <f>IF($K1770="","",IF(ISNUMBER(SEARCH("sortie-epargne",IFERROR(INDEX('Paramètres'!$N:$N,MATCH($D1770,'Paramètres'!$M:$M,0))&amp;"",""))),$K1770,0))</f>
        <v/>
      </c>
      <c r="V1770" s="6" t="str">
        <f>IF(AND($A1770&lt;&gt;"",$O1770=1,$L1770="Débit",N($Q1770)&gt;0,$A1770&gt;=Visualisation!$B$1,$A1770&lt;Visualisation!$D$1),MAX($V$1:V1769)+1,"")</f>
        <v/>
      </c>
    </row>
    <row r="1771" spans="1:22" x14ac:dyDescent="0.25">
      <c r="A1771" s="9"/>
      <c r="E1771" s="10"/>
      <c r="K1771" s="11" t="str">
        <f>IF($E1771="","",ROUND($E1771*IF(ISNA(MATCH($C1771,'Paramètres'!$D:$D,0)),1,IF(INDEX('Paramètres'!$J:$J,MATCH($C1771,'Paramètres'!$D:$D,0))="",1,INDEX('Paramètres'!$J:$J,MATCH($C1771,'Paramètres'!$D:$D,0)))),2))</f>
        <v/>
      </c>
      <c r="L1771" s="6" t="str">
        <f>IF($D1771="","",IF($F1771&lt;&gt;"",$F1771,IF(ISNA(MATCH($D1771,'Paramètres'!$M:$M,0)),"⚠ Type inconnu",IFERROR(INDEX('Paramètres'!$P:$P,MATCH($D1771,'Paramètres'!$M:$M,0))&amp;"",""))))</f>
        <v/>
      </c>
      <c r="M1771" s="6" t="str">
        <f>IF($D1771="","",IF(ISNA(MATCH($D1771,'Paramètres'!$M:$M,0)),"⚠ Type inconnu",IF($L1771="Crédit","",IFERROR(INDEX('Paramètres'!$O:$O,MATCH($D1771,'Paramètres'!$M:$M,0))&amp;"",""))))</f>
        <v/>
      </c>
      <c r="N1771" s="6" t="str">
        <f>IF($D1771="","",IFERROR(INDEX('Paramètres'!$Q:$Q,MATCH($D1771,'Paramètres'!$M:$M,0))&amp;"",""))</f>
        <v/>
      </c>
      <c r="O1771" s="6" t="str">
        <f>IF($A1771="","",IF(OR($J1771&lt;&gt;"x",$A1771&lt;=FinReleve),1,0))</f>
        <v/>
      </c>
      <c r="P1771" s="6" t="str">
        <f>IF($D1771="","",IF(AND($L1771="Crédit",OR(IFERROR(INDEX('Paramètres'!$O:$O,MATCH($D1771,'Paramètres'!$M:$M,0))&amp;"","")&lt;&gt;"",ISNUMBER(SEARCH("remboursement",IFERROR(INDEX('Paramètres'!$N:$N,MATCH($D1771,'Paramètres'!$M:$M,0))&amp;"",""))))),1,0))</f>
        <v/>
      </c>
      <c r="Q1771" s="6" t="str">
        <f>IF($K1771="","",IF(ISNUMBER(SEARCH("transfert-interne",IFERROR(INDEX('Paramètres'!$N:$N,MATCH($D1771,'Paramètres'!$M:$M,0))&amp;"",""))),0,IF($L1771="Débit",$K1771,IF($P1771=1,-$K1771,0))))</f>
        <v/>
      </c>
      <c r="R1771" s="6" t="str">
        <f>IF($K1771="","",IF($L1771="Crédit",$K1771,-$K1771))</f>
        <v/>
      </c>
      <c r="S1771" s="6" t="str">
        <f>IF($C1771="","",IFERROR(INDEX('Paramètres'!$H:$H,MATCH($C1771,'Paramètres'!$D:$D,0))&amp;"",""))</f>
        <v/>
      </c>
      <c r="T1771" s="6" t="str">
        <f>IF($K1771="","",IF($S1771="",0,IF(ISNUMBER(SEARCH("apport-exterieur",IFERROR(INDEX('Paramètres'!$N:$N,MATCH($D1771,'Paramètres'!$M:$M,0))&amp;"",""))),0,IF(OR(IFERROR(INDEX('Paramètres'!$I:$I,MATCH($C1771,'Paramètres'!$D:$D,0))&amp;"","")="Les deux",IFERROR(INDEX('Paramètres'!$I:$I,MATCH($C1771,'Paramètres'!$D:$D,0))&amp;"","")=IF($P1771=1,"Débit",$L1771)),-IF($P1771=1,-$K1771,$K1771),0))))</f>
        <v/>
      </c>
      <c r="U1771" s="6" t="str">
        <f>IF($K1771="","",IF(ISNUMBER(SEARCH("sortie-epargne",IFERROR(INDEX('Paramètres'!$N:$N,MATCH($D1771,'Paramètres'!$M:$M,0))&amp;"",""))),$K1771,0))</f>
        <v/>
      </c>
      <c r="V1771" s="6" t="str">
        <f>IF(AND($A1771&lt;&gt;"",$O1771=1,$L1771="Débit",N($Q1771)&gt;0,$A1771&gt;=Visualisation!$B$1,$A1771&lt;Visualisation!$D$1),MAX($V$1:V1770)+1,"")</f>
        <v/>
      </c>
    </row>
    <row r="1772" spans="1:22" x14ac:dyDescent="0.25">
      <c r="A1772" s="9"/>
      <c r="E1772" s="10"/>
      <c r="K1772" s="11" t="str">
        <f>IF($E1772="","",ROUND($E1772*IF(ISNA(MATCH($C1772,'Paramètres'!$D:$D,0)),1,IF(INDEX('Paramètres'!$J:$J,MATCH($C1772,'Paramètres'!$D:$D,0))="",1,INDEX('Paramètres'!$J:$J,MATCH($C1772,'Paramètres'!$D:$D,0)))),2))</f>
        <v/>
      </c>
      <c r="L1772" s="6" t="str">
        <f>IF($D1772="","",IF($F1772&lt;&gt;"",$F1772,IF(ISNA(MATCH($D1772,'Paramètres'!$M:$M,0)),"⚠ Type inconnu",IFERROR(INDEX('Paramètres'!$P:$P,MATCH($D1772,'Paramètres'!$M:$M,0))&amp;"",""))))</f>
        <v/>
      </c>
      <c r="M1772" s="6" t="str">
        <f>IF($D1772="","",IF(ISNA(MATCH($D1772,'Paramètres'!$M:$M,0)),"⚠ Type inconnu",IF($L1772="Crédit","",IFERROR(INDEX('Paramètres'!$O:$O,MATCH($D1772,'Paramètres'!$M:$M,0))&amp;"",""))))</f>
        <v/>
      </c>
      <c r="N1772" s="6" t="str">
        <f>IF($D1772="","",IFERROR(INDEX('Paramètres'!$Q:$Q,MATCH($D1772,'Paramètres'!$M:$M,0))&amp;"",""))</f>
        <v/>
      </c>
      <c r="O1772" s="6" t="str">
        <f>IF($A1772="","",IF(OR($J1772&lt;&gt;"x",$A1772&lt;=FinReleve),1,0))</f>
        <v/>
      </c>
      <c r="P1772" s="6" t="str">
        <f>IF($D1772="","",IF(AND($L1772="Crédit",OR(IFERROR(INDEX('Paramètres'!$O:$O,MATCH($D1772,'Paramètres'!$M:$M,0))&amp;"","")&lt;&gt;"",ISNUMBER(SEARCH("remboursement",IFERROR(INDEX('Paramètres'!$N:$N,MATCH($D1772,'Paramètres'!$M:$M,0))&amp;"",""))))),1,0))</f>
        <v/>
      </c>
      <c r="Q1772" s="6" t="str">
        <f>IF($K1772="","",IF(ISNUMBER(SEARCH("transfert-interne",IFERROR(INDEX('Paramètres'!$N:$N,MATCH($D1772,'Paramètres'!$M:$M,0))&amp;"",""))),0,IF($L1772="Débit",$K1772,IF($P1772=1,-$K1772,0))))</f>
        <v/>
      </c>
      <c r="R1772" s="6" t="str">
        <f>IF($K1772="","",IF($L1772="Crédit",$K1772,-$K1772))</f>
        <v/>
      </c>
      <c r="S1772" s="6" t="str">
        <f>IF($C1772="","",IFERROR(INDEX('Paramètres'!$H:$H,MATCH($C1772,'Paramètres'!$D:$D,0))&amp;"",""))</f>
        <v/>
      </c>
      <c r="T1772" s="6" t="str">
        <f>IF($K1772="","",IF($S1772="",0,IF(ISNUMBER(SEARCH("apport-exterieur",IFERROR(INDEX('Paramètres'!$N:$N,MATCH($D1772,'Paramètres'!$M:$M,0))&amp;"",""))),0,IF(OR(IFERROR(INDEX('Paramètres'!$I:$I,MATCH($C1772,'Paramètres'!$D:$D,0))&amp;"","")="Les deux",IFERROR(INDEX('Paramètres'!$I:$I,MATCH($C1772,'Paramètres'!$D:$D,0))&amp;"","")=IF($P1772=1,"Débit",$L1772)),-IF($P1772=1,-$K1772,$K1772),0))))</f>
        <v/>
      </c>
      <c r="U1772" s="6" t="str">
        <f>IF($K1772="","",IF(ISNUMBER(SEARCH("sortie-epargne",IFERROR(INDEX('Paramètres'!$N:$N,MATCH($D1772,'Paramètres'!$M:$M,0))&amp;"",""))),$K1772,0))</f>
        <v/>
      </c>
      <c r="V1772" s="6" t="str">
        <f>IF(AND($A1772&lt;&gt;"",$O1772=1,$L1772="Débit",N($Q1772)&gt;0,$A1772&gt;=Visualisation!$B$1,$A1772&lt;Visualisation!$D$1),MAX($V$1:V1771)+1,"")</f>
        <v/>
      </c>
    </row>
    <row r="1773" spans="1:22" x14ac:dyDescent="0.25">
      <c r="A1773" s="9"/>
      <c r="E1773" s="10"/>
      <c r="K1773" s="11" t="str">
        <f>IF($E1773="","",ROUND($E1773*IF(ISNA(MATCH($C1773,'Paramètres'!$D:$D,0)),1,IF(INDEX('Paramètres'!$J:$J,MATCH($C1773,'Paramètres'!$D:$D,0))="",1,INDEX('Paramètres'!$J:$J,MATCH($C1773,'Paramètres'!$D:$D,0)))),2))</f>
        <v/>
      </c>
      <c r="L1773" s="6" t="str">
        <f>IF($D1773="","",IF($F1773&lt;&gt;"",$F1773,IF(ISNA(MATCH($D1773,'Paramètres'!$M:$M,0)),"⚠ Type inconnu",IFERROR(INDEX('Paramètres'!$P:$P,MATCH($D1773,'Paramètres'!$M:$M,0))&amp;"",""))))</f>
        <v/>
      </c>
      <c r="M1773" s="6" t="str">
        <f>IF($D1773="","",IF(ISNA(MATCH($D1773,'Paramètres'!$M:$M,0)),"⚠ Type inconnu",IF($L1773="Crédit","",IFERROR(INDEX('Paramètres'!$O:$O,MATCH($D1773,'Paramètres'!$M:$M,0))&amp;"",""))))</f>
        <v/>
      </c>
      <c r="N1773" s="6" t="str">
        <f>IF($D1773="","",IFERROR(INDEX('Paramètres'!$Q:$Q,MATCH($D1773,'Paramètres'!$M:$M,0))&amp;"",""))</f>
        <v/>
      </c>
      <c r="O1773" s="6" t="str">
        <f>IF($A1773="","",IF(OR($J1773&lt;&gt;"x",$A1773&lt;=FinReleve),1,0))</f>
        <v/>
      </c>
      <c r="P1773" s="6" t="str">
        <f>IF($D1773="","",IF(AND($L1773="Crédit",OR(IFERROR(INDEX('Paramètres'!$O:$O,MATCH($D1773,'Paramètres'!$M:$M,0))&amp;"","")&lt;&gt;"",ISNUMBER(SEARCH("remboursement",IFERROR(INDEX('Paramètres'!$N:$N,MATCH($D1773,'Paramètres'!$M:$M,0))&amp;"",""))))),1,0))</f>
        <v/>
      </c>
      <c r="Q1773" s="6" t="str">
        <f>IF($K1773="","",IF(ISNUMBER(SEARCH("transfert-interne",IFERROR(INDEX('Paramètres'!$N:$N,MATCH($D1773,'Paramètres'!$M:$M,0))&amp;"",""))),0,IF($L1773="Débit",$K1773,IF($P1773=1,-$K1773,0))))</f>
        <v/>
      </c>
      <c r="R1773" s="6" t="str">
        <f>IF($K1773="","",IF($L1773="Crédit",$K1773,-$K1773))</f>
        <v/>
      </c>
      <c r="S1773" s="6" t="str">
        <f>IF($C1773="","",IFERROR(INDEX('Paramètres'!$H:$H,MATCH($C1773,'Paramètres'!$D:$D,0))&amp;"",""))</f>
        <v/>
      </c>
      <c r="T1773" s="6" t="str">
        <f>IF($K1773="","",IF($S1773="",0,IF(ISNUMBER(SEARCH("apport-exterieur",IFERROR(INDEX('Paramètres'!$N:$N,MATCH($D1773,'Paramètres'!$M:$M,0))&amp;"",""))),0,IF(OR(IFERROR(INDEX('Paramètres'!$I:$I,MATCH($C1773,'Paramètres'!$D:$D,0))&amp;"","")="Les deux",IFERROR(INDEX('Paramètres'!$I:$I,MATCH($C1773,'Paramètres'!$D:$D,0))&amp;"","")=IF($P1773=1,"Débit",$L1773)),-IF($P1773=1,-$K1773,$K1773),0))))</f>
        <v/>
      </c>
      <c r="U1773" s="6" t="str">
        <f>IF($K1773="","",IF(ISNUMBER(SEARCH("sortie-epargne",IFERROR(INDEX('Paramètres'!$N:$N,MATCH($D1773,'Paramètres'!$M:$M,0))&amp;"",""))),$K1773,0))</f>
        <v/>
      </c>
      <c r="V1773" s="6" t="str">
        <f>IF(AND($A1773&lt;&gt;"",$O1773=1,$L1773="Débit",N($Q1773)&gt;0,$A1773&gt;=Visualisation!$B$1,$A1773&lt;Visualisation!$D$1),MAX($V$1:V1772)+1,"")</f>
        <v/>
      </c>
    </row>
    <row r="1774" spans="1:22" x14ac:dyDescent="0.25">
      <c r="A1774" s="9"/>
      <c r="E1774" s="10"/>
      <c r="K1774" s="11" t="str">
        <f>IF($E1774="","",ROUND($E1774*IF(ISNA(MATCH($C1774,'Paramètres'!$D:$D,0)),1,IF(INDEX('Paramètres'!$J:$J,MATCH($C1774,'Paramètres'!$D:$D,0))="",1,INDEX('Paramètres'!$J:$J,MATCH($C1774,'Paramètres'!$D:$D,0)))),2))</f>
        <v/>
      </c>
      <c r="L1774" s="6" t="str">
        <f>IF($D1774="","",IF($F1774&lt;&gt;"",$F1774,IF(ISNA(MATCH($D1774,'Paramètres'!$M:$M,0)),"⚠ Type inconnu",IFERROR(INDEX('Paramètres'!$P:$P,MATCH($D1774,'Paramètres'!$M:$M,0))&amp;"",""))))</f>
        <v/>
      </c>
      <c r="M1774" s="6" t="str">
        <f>IF($D1774="","",IF(ISNA(MATCH($D1774,'Paramètres'!$M:$M,0)),"⚠ Type inconnu",IF($L1774="Crédit","",IFERROR(INDEX('Paramètres'!$O:$O,MATCH($D1774,'Paramètres'!$M:$M,0))&amp;"",""))))</f>
        <v/>
      </c>
      <c r="N1774" s="6" t="str">
        <f>IF($D1774="","",IFERROR(INDEX('Paramètres'!$Q:$Q,MATCH($D1774,'Paramètres'!$M:$M,0))&amp;"",""))</f>
        <v/>
      </c>
      <c r="O1774" s="6" t="str">
        <f>IF($A1774="","",IF(OR($J1774&lt;&gt;"x",$A1774&lt;=FinReleve),1,0))</f>
        <v/>
      </c>
      <c r="P1774" s="6" t="str">
        <f>IF($D1774="","",IF(AND($L1774="Crédit",OR(IFERROR(INDEX('Paramètres'!$O:$O,MATCH($D1774,'Paramètres'!$M:$M,0))&amp;"","")&lt;&gt;"",ISNUMBER(SEARCH("remboursement",IFERROR(INDEX('Paramètres'!$N:$N,MATCH($D1774,'Paramètres'!$M:$M,0))&amp;"",""))))),1,0))</f>
        <v/>
      </c>
      <c r="Q1774" s="6" t="str">
        <f>IF($K1774="","",IF(ISNUMBER(SEARCH("transfert-interne",IFERROR(INDEX('Paramètres'!$N:$N,MATCH($D1774,'Paramètres'!$M:$M,0))&amp;"",""))),0,IF($L1774="Débit",$K1774,IF($P1774=1,-$K1774,0))))</f>
        <v/>
      </c>
      <c r="R1774" s="6" t="str">
        <f>IF($K1774="","",IF($L1774="Crédit",$K1774,-$K1774))</f>
        <v/>
      </c>
      <c r="S1774" s="6" t="str">
        <f>IF($C1774="","",IFERROR(INDEX('Paramètres'!$H:$H,MATCH($C1774,'Paramètres'!$D:$D,0))&amp;"",""))</f>
        <v/>
      </c>
      <c r="T1774" s="6" t="str">
        <f>IF($K1774="","",IF($S1774="",0,IF(ISNUMBER(SEARCH("apport-exterieur",IFERROR(INDEX('Paramètres'!$N:$N,MATCH($D1774,'Paramètres'!$M:$M,0))&amp;"",""))),0,IF(OR(IFERROR(INDEX('Paramètres'!$I:$I,MATCH($C1774,'Paramètres'!$D:$D,0))&amp;"","")="Les deux",IFERROR(INDEX('Paramètres'!$I:$I,MATCH($C1774,'Paramètres'!$D:$D,0))&amp;"","")=IF($P1774=1,"Débit",$L1774)),-IF($P1774=1,-$K1774,$K1774),0))))</f>
        <v/>
      </c>
      <c r="U1774" s="6" t="str">
        <f>IF($K1774="","",IF(ISNUMBER(SEARCH("sortie-epargne",IFERROR(INDEX('Paramètres'!$N:$N,MATCH($D1774,'Paramètres'!$M:$M,0))&amp;"",""))),$K1774,0))</f>
        <v/>
      </c>
      <c r="V1774" s="6" t="str">
        <f>IF(AND($A1774&lt;&gt;"",$O1774=1,$L1774="Débit",N($Q1774)&gt;0,$A1774&gt;=Visualisation!$B$1,$A1774&lt;Visualisation!$D$1),MAX($V$1:V1773)+1,"")</f>
        <v/>
      </c>
    </row>
    <row r="1775" spans="1:22" x14ac:dyDescent="0.25">
      <c r="A1775" s="9"/>
      <c r="E1775" s="10"/>
      <c r="K1775" s="11" t="str">
        <f>IF($E1775="","",ROUND($E1775*IF(ISNA(MATCH($C1775,'Paramètres'!$D:$D,0)),1,IF(INDEX('Paramètres'!$J:$J,MATCH($C1775,'Paramètres'!$D:$D,0))="",1,INDEX('Paramètres'!$J:$J,MATCH($C1775,'Paramètres'!$D:$D,0)))),2))</f>
        <v/>
      </c>
      <c r="L1775" s="6" t="str">
        <f>IF($D1775="","",IF($F1775&lt;&gt;"",$F1775,IF(ISNA(MATCH($D1775,'Paramètres'!$M:$M,0)),"⚠ Type inconnu",IFERROR(INDEX('Paramètres'!$P:$P,MATCH($D1775,'Paramètres'!$M:$M,0))&amp;"",""))))</f>
        <v/>
      </c>
      <c r="M1775" s="6" t="str">
        <f>IF($D1775="","",IF(ISNA(MATCH($D1775,'Paramètres'!$M:$M,0)),"⚠ Type inconnu",IF($L1775="Crédit","",IFERROR(INDEX('Paramètres'!$O:$O,MATCH($D1775,'Paramètres'!$M:$M,0))&amp;"",""))))</f>
        <v/>
      </c>
      <c r="N1775" s="6" t="str">
        <f>IF($D1775="","",IFERROR(INDEX('Paramètres'!$Q:$Q,MATCH($D1775,'Paramètres'!$M:$M,0))&amp;"",""))</f>
        <v/>
      </c>
      <c r="O1775" s="6" t="str">
        <f>IF($A1775="","",IF(OR($J1775&lt;&gt;"x",$A1775&lt;=FinReleve),1,0))</f>
        <v/>
      </c>
      <c r="P1775" s="6" t="str">
        <f>IF($D1775="","",IF(AND($L1775="Crédit",OR(IFERROR(INDEX('Paramètres'!$O:$O,MATCH($D1775,'Paramètres'!$M:$M,0))&amp;"","")&lt;&gt;"",ISNUMBER(SEARCH("remboursement",IFERROR(INDEX('Paramètres'!$N:$N,MATCH($D1775,'Paramètres'!$M:$M,0))&amp;"",""))))),1,0))</f>
        <v/>
      </c>
      <c r="Q1775" s="6" t="str">
        <f>IF($K1775="","",IF(ISNUMBER(SEARCH("transfert-interne",IFERROR(INDEX('Paramètres'!$N:$N,MATCH($D1775,'Paramètres'!$M:$M,0))&amp;"",""))),0,IF($L1775="Débit",$K1775,IF($P1775=1,-$K1775,0))))</f>
        <v/>
      </c>
      <c r="R1775" s="6" t="str">
        <f>IF($K1775="","",IF($L1775="Crédit",$K1775,-$K1775))</f>
        <v/>
      </c>
      <c r="S1775" s="6" t="str">
        <f>IF($C1775="","",IFERROR(INDEX('Paramètres'!$H:$H,MATCH($C1775,'Paramètres'!$D:$D,0))&amp;"",""))</f>
        <v/>
      </c>
      <c r="T1775" s="6" t="str">
        <f>IF($K1775="","",IF($S1775="",0,IF(ISNUMBER(SEARCH("apport-exterieur",IFERROR(INDEX('Paramètres'!$N:$N,MATCH($D1775,'Paramètres'!$M:$M,0))&amp;"",""))),0,IF(OR(IFERROR(INDEX('Paramètres'!$I:$I,MATCH($C1775,'Paramètres'!$D:$D,0))&amp;"","")="Les deux",IFERROR(INDEX('Paramètres'!$I:$I,MATCH($C1775,'Paramètres'!$D:$D,0))&amp;"","")=IF($P1775=1,"Débit",$L1775)),-IF($P1775=1,-$K1775,$K1775),0))))</f>
        <v/>
      </c>
      <c r="U1775" s="6" t="str">
        <f>IF($K1775="","",IF(ISNUMBER(SEARCH("sortie-epargne",IFERROR(INDEX('Paramètres'!$N:$N,MATCH($D1775,'Paramètres'!$M:$M,0))&amp;"",""))),$K1775,0))</f>
        <v/>
      </c>
      <c r="V1775" s="6" t="str">
        <f>IF(AND($A1775&lt;&gt;"",$O1775=1,$L1775="Débit",N($Q1775)&gt;0,$A1775&gt;=Visualisation!$B$1,$A1775&lt;Visualisation!$D$1),MAX($V$1:V1774)+1,"")</f>
        <v/>
      </c>
    </row>
    <row r="1776" spans="1:22" x14ac:dyDescent="0.25">
      <c r="A1776" s="9"/>
      <c r="E1776" s="10"/>
      <c r="K1776" s="11" t="str">
        <f>IF($E1776="","",ROUND($E1776*IF(ISNA(MATCH($C1776,'Paramètres'!$D:$D,0)),1,IF(INDEX('Paramètres'!$J:$J,MATCH($C1776,'Paramètres'!$D:$D,0))="",1,INDEX('Paramètres'!$J:$J,MATCH($C1776,'Paramètres'!$D:$D,0)))),2))</f>
        <v/>
      </c>
      <c r="L1776" s="6" t="str">
        <f>IF($D1776="","",IF($F1776&lt;&gt;"",$F1776,IF(ISNA(MATCH($D1776,'Paramètres'!$M:$M,0)),"⚠ Type inconnu",IFERROR(INDEX('Paramètres'!$P:$P,MATCH($D1776,'Paramètres'!$M:$M,0))&amp;"",""))))</f>
        <v/>
      </c>
      <c r="M1776" s="6" t="str">
        <f>IF($D1776="","",IF(ISNA(MATCH($D1776,'Paramètres'!$M:$M,0)),"⚠ Type inconnu",IF($L1776="Crédit","",IFERROR(INDEX('Paramètres'!$O:$O,MATCH($D1776,'Paramètres'!$M:$M,0))&amp;"",""))))</f>
        <v/>
      </c>
      <c r="N1776" s="6" t="str">
        <f>IF($D1776="","",IFERROR(INDEX('Paramètres'!$Q:$Q,MATCH($D1776,'Paramètres'!$M:$M,0))&amp;"",""))</f>
        <v/>
      </c>
      <c r="O1776" s="6" t="str">
        <f>IF($A1776="","",IF(OR($J1776&lt;&gt;"x",$A1776&lt;=FinReleve),1,0))</f>
        <v/>
      </c>
      <c r="P1776" s="6" t="str">
        <f>IF($D1776="","",IF(AND($L1776="Crédit",OR(IFERROR(INDEX('Paramètres'!$O:$O,MATCH($D1776,'Paramètres'!$M:$M,0))&amp;"","")&lt;&gt;"",ISNUMBER(SEARCH("remboursement",IFERROR(INDEX('Paramètres'!$N:$N,MATCH($D1776,'Paramètres'!$M:$M,0))&amp;"",""))))),1,0))</f>
        <v/>
      </c>
      <c r="Q1776" s="6" t="str">
        <f>IF($K1776="","",IF(ISNUMBER(SEARCH("transfert-interne",IFERROR(INDEX('Paramètres'!$N:$N,MATCH($D1776,'Paramètres'!$M:$M,0))&amp;"",""))),0,IF($L1776="Débit",$K1776,IF($P1776=1,-$K1776,0))))</f>
        <v/>
      </c>
      <c r="R1776" s="6" t="str">
        <f>IF($K1776="","",IF($L1776="Crédit",$K1776,-$K1776))</f>
        <v/>
      </c>
      <c r="S1776" s="6" t="str">
        <f>IF($C1776="","",IFERROR(INDEX('Paramètres'!$H:$H,MATCH($C1776,'Paramètres'!$D:$D,0))&amp;"",""))</f>
        <v/>
      </c>
      <c r="T1776" s="6" t="str">
        <f>IF($K1776="","",IF($S1776="",0,IF(ISNUMBER(SEARCH("apport-exterieur",IFERROR(INDEX('Paramètres'!$N:$N,MATCH($D1776,'Paramètres'!$M:$M,0))&amp;"",""))),0,IF(OR(IFERROR(INDEX('Paramètres'!$I:$I,MATCH($C1776,'Paramètres'!$D:$D,0))&amp;"","")="Les deux",IFERROR(INDEX('Paramètres'!$I:$I,MATCH($C1776,'Paramètres'!$D:$D,0))&amp;"","")=IF($P1776=1,"Débit",$L1776)),-IF($P1776=1,-$K1776,$K1776),0))))</f>
        <v/>
      </c>
      <c r="U1776" s="6" t="str">
        <f>IF($K1776="","",IF(ISNUMBER(SEARCH("sortie-epargne",IFERROR(INDEX('Paramètres'!$N:$N,MATCH($D1776,'Paramètres'!$M:$M,0))&amp;"",""))),$K1776,0))</f>
        <v/>
      </c>
      <c r="V1776" s="6" t="str">
        <f>IF(AND($A1776&lt;&gt;"",$O1776=1,$L1776="Débit",N($Q1776)&gt;0,$A1776&gt;=Visualisation!$B$1,$A1776&lt;Visualisation!$D$1),MAX($V$1:V1775)+1,"")</f>
        <v/>
      </c>
    </row>
    <row r="1777" spans="1:22" x14ac:dyDescent="0.25">
      <c r="A1777" s="9"/>
      <c r="E1777" s="10"/>
      <c r="K1777" s="11" t="str">
        <f>IF($E1777="","",ROUND($E1777*IF(ISNA(MATCH($C1777,'Paramètres'!$D:$D,0)),1,IF(INDEX('Paramètres'!$J:$J,MATCH($C1777,'Paramètres'!$D:$D,0))="",1,INDEX('Paramètres'!$J:$J,MATCH($C1777,'Paramètres'!$D:$D,0)))),2))</f>
        <v/>
      </c>
      <c r="L1777" s="6" t="str">
        <f>IF($D1777="","",IF($F1777&lt;&gt;"",$F1777,IF(ISNA(MATCH($D1777,'Paramètres'!$M:$M,0)),"⚠ Type inconnu",IFERROR(INDEX('Paramètres'!$P:$P,MATCH($D1777,'Paramètres'!$M:$M,0))&amp;"",""))))</f>
        <v/>
      </c>
      <c r="M1777" s="6" t="str">
        <f>IF($D1777="","",IF(ISNA(MATCH($D1777,'Paramètres'!$M:$M,0)),"⚠ Type inconnu",IF($L1777="Crédit","",IFERROR(INDEX('Paramètres'!$O:$O,MATCH($D1777,'Paramètres'!$M:$M,0))&amp;"",""))))</f>
        <v/>
      </c>
      <c r="N1777" s="6" t="str">
        <f>IF($D1777="","",IFERROR(INDEX('Paramètres'!$Q:$Q,MATCH($D1777,'Paramètres'!$M:$M,0))&amp;"",""))</f>
        <v/>
      </c>
      <c r="O1777" s="6" t="str">
        <f>IF($A1777="","",IF(OR($J1777&lt;&gt;"x",$A1777&lt;=FinReleve),1,0))</f>
        <v/>
      </c>
      <c r="P1777" s="6" t="str">
        <f>IF($D1777="","",IF(AND($L1777="Crédit",OR(IFERROR(INDEX('Paramètres'!$O:$O,MATCH($D1777,'Paramètres'!$M:$M,0))&amp;"","")&lt;&gt;"",ISNUMBER(SEARCH("remboursement",IFERROR(INDEX('Paramètres'!$N:$N,MATCH($D1777,'Paramètres'!$M:$M,0))&amp;"",""))))),1,0))</f>
        <v/>
      </c>
      <c r="Q1777" s="6" t="str">
        <f>IF($K1777="","",IF(ISNUMBER(SEARCH("transfert-interne",IFERROR(INDEX('Paramètres'!$N:$N,MATCH($D1777,'Paramètres'!$M:$M,0))&amp;"",""))),0,IF($L1777="Débit",$K1777,IF($P1777=1,-$K1777,0))))</f>
        <v/>
      </c>
      <c r="R1777" s="6" t="str">
        <f>IF($K1777="","",IF($L1777="Crédit",$K1777,-$K1777))</f>
        <v/>
      </c>
      <c r="S1777" s="6" t="str">
        <f>IF($C1777="","",IFERROR(INDEX('Paramètres'!$H:$H,MATCH($C1777,'Paramètres'!$D:$D,0))&amp;"",""))</f>
        <v/>
      </c>
      <c r="T1777" s="6" t="str">
        <f>IF($K1777="","",IF($S1777="",0,IF(ISNUMBER(SEARCH("apport-exterieur",IFERROR(INDEX('Paramètres'!$N:$N,MATCH($D1777,'Paramètres'!$M:$M,0))&amp;"",""))),0,IF(OR(IFERROR(INDEX('Paramètres'!$I:$I,MATCH($C1777,'Paramètres'!$D:$D,0))&amp;"","")="Les deux",IFERROR(INDEX('Paramètres'!$I:$I,MATCH($C1777,'Paramètres'!$D:$D,0))&amp;"","")=IF($P1777=1,"Débit",$L1777)),-IF($P1777=1,-$K1777,$K1777),0))))</f>
        <v/>
      </c>
      <c r="U1777" s="6" t="str">
        <f>IF($K1777="","",IF(ISNUMBER(SEARCH("sortie-epargne",IFERROR(INDEX('Paramètres'!$N:$N,MATCH($D1777,'Paramètres'!$M:$M,0))&amp;"",""))),$K1777,0))</f>
        <v/>
      </c>
      <c r="V1777" s="6" t="str">
        <f>IF(AND($A1777&lt;&gt;"",$O1777=1,$L1777="Débit",N($Q1777)&gt;0,$A1777&gt;=Visualisation!$B$1,$A1777&lt;Visualisation!$D$1),MAX($V$1:V1776)+1,"")</f>
        <v/>
      </c>
    </row>
    <row r="1778" spans="1:22" x14ac:dyDescent="0.25">
      <c r="A1778" s="9"/>
      <c r="E1778" s="10"/>
      <c r="K1778" s="11" t="str">
        <f>IF($E1778="","",ROUND($E1778*IF(ISNA(MATCH($C1778,'Paramètres'!$D:$D,0)),1,IF(INDEX('Paramètres'!$J:$J,MATCH($C1778,'Paramètres'!$D:$D,0))="",1,INDEX('Paramètres'!$J:$J,MATCH($C1778,'Paramètres'!$D:$D,0)))),2))</f>
        <v/>
      </c>
      <c r="L1778" s="6" t="str">
        <f>IF($D1778="","",IF($F1778&lt;&gt;"",$F1778,IF(ISNA(MATCH($D1778,'Paramètres'!$M:$M,0)),"⚠ Type inconnu",IFERROR(INDEX('Paramètres'!$P:$P,MATCH($D1778,'Paramètres'!$M:$M,0))&amp;"",""))))</f>
        <v/>
      </c>
      <c r="M1778" s="6" t="str">
        <f>IF($D1778="","",IF(ISNA(MATCH($D1778,'Paramètres'!$M:$M,0)),"⚠ Type inconnu",IF($L1778="Crédit","",IFERROR(INDEX('Paramètres'!$O:$O,MATCH($D1778,'Paramètres'!$M:$M,0))&amp;"",""))))</f>
        <v/>
      </c>
      <c r="N1778" s="6" t="str">
        <f>IF($D1778="","",IFERROR(INDEX('Paramètres'!$Q:$Q,MATCH($D1778,'Paramètres'!$M:$M,0))&amp;"",""))</f>
        <v/>
      </c>
      <c r="O1778" s="6" t="str">
        <f>IF($A1778="","",IF(OR($J1778&lt;&gt;"x",$A1778&lt;=FinReleve),1,0))</f>
        <v/>
      </c>
      <c r="P1778" s="6" t="str">
        <f>IF($D1778="","",IF(AND($L1778="Crédit",OR(IFERROR(INDEX('Paramètres'!$O:$O,MATCH($D1778,'Paramètres'!$M:$M,0))&amp;"","")&lt;&gt;"",ISNUMBER(SEARCH("remboursement",IFERROR(INDEX('Paramètres'!$N:$N,MATCH($D1778,'Paramètres'!$M:$M,0))&amp;"",""))))),1,0))</f>
        <v/>
      </c>
      <c r="Q1778" s="6" t="str">
        <f>IF($K1778="","",IF(ISNUMBER(SEARCH("transfert-interne",IFERROR(INDEX('Paramètres'!$N:$N,MATCH($D1778,'Paramètres'!$M:$M,0))&amp;"",""))),0,IF($L1778="Débit",$K1778,IF($P1778=1,-$K1778,0))))</f>
        <v/>
      </c>
      <c r="R1778" s="6" t="str">
        <f>IF($K1778="","",IF($L1778="Crédit",$K1778,-$K1778))</f>
        <v/>
      </c>
      <c r="S1778" s="6" t="str">
        <f>IF($C1778="","",IFERROR(INDEX('Paramètres'!$H:$H,MATCH($C1778,'Paramètres'!$D:$D,0))&amp;"",""))</f>
        <v/>
      </c>
      <c r="T1778" s="6" t="str">
        <f>IF($K1778="","",IF($S1778="",0,IF(ISNUMBER(SEARCH("apport-exterieur",IFERROR(INDEX('Paramètres'!$N:$N,MATCH($D1778,'Paramètres'!$M:$M,0))&amp;"",""))),0,IF(OR(IFERROR(INDEX('Paramètres'!$I:$I,MATCH($C1778,'Paramètres'!$D:$D,0))&amp;"","")="Les deux",IFERROR(INDEX('Paramètres'!$I:$I,MATCH($C1778,'Paramètres'!$D:$D,0))&amp;"","")=IF($P1778=1,"Débit",$L1778)),-IF($P1778=1,-$K1778,$K1778),0))))</f>
        <v/>
      </c>
      <c r="U1778" s="6" t="str">
        <f>IF($K1778="","",IF(ISNUMBER(SEARCH("sortie-epargne",IFERROR(INDEX('Paramètres'!$N:$N,MATCH($D1778,'Paramètres'!$M:$M,0))&amp;"",""))),$K1778,0))</f>
        <v/>
      </c>
      <c r="V1778" s="6" t="str">
        <f>IF(AND($A1778&lt;&gt;"",$O1778=1,$L1778="Débit",N($Q1778)&gt;0,$A1778&gt;=Visualisation!$B$1,$A1778&lt;Visualisation!$D$1),MAX($V$1:V1777)+1,"")</f>
        <v/>
      </c>
    </row>
    <row r="1779" spans="1:22" x14ac:dyDescent="0.25">
      <c r="A1779" s="9"/>
      <c r="E1779" s="10"/>
      <c r="K1779" s="11" t="str">
        <f>IF($E1779="","",ROUND($E1779*IF(ISNA(MATCH($C1779,'Paramètres'!$D:$D,0)),1,IF(INDEX('Paramètres'!$J:$J,MATCH($C1779,'Paramètres'!$D:$D,0))="",1,INDEX('Paramètres'!$J:$J,MATCH($C1779,'Paramètres'!$D:$D,0)))),2))</f>
        <v/>
      </c>
      <c r="L1779" s="6" t="str">
        <f>IF($D1779="","",IF($F1779&lt;&gt;"",$F1779,IF(ISNA(MATCH($D1779,'Paramètres'!$M:$M,0)),"⚠ Type inconnu",IFERROR(INDEX('Paramètres'!$P:$P,MATCH($D1779,'Paramètres'!$M:$M,0))&amp;"",""))))</f>
        <v/>
      </c>
      <c r="M1779" s="6" t="str">
        <f>IF($D1779="","",IF(ISNA(MATCH($D1779,'Paramètres'!$M:$M,0)),"⚠ Type inconnu",IF($L1779="Crédit","",IFERROR(INDEX('Paramètres'!$O:$O,MATCH($D1779,'Paramètres'!$M:$M,0))&amp;"",""))))</f>
        <v/>
      </c>
      <c r="N1779" s="6" t="str">
        <f>IF($D1779="","",IFERROR(INDEX('Paramètres'!$Q:$Q,MATCH($D1779,'Paramètres'!$M:$M,0))&amp;"",""))</f>
        <v/>
      </c>
      <c r="O1779" s="6" t="str">
        <f>IF($A1779="","",IF(OR($J1779&lt;&gt;"x",$A1779&lt;=FinReleve),1,0))</f>
        <v/>
      </c>
      <c r="P1779" s="6" t="str">
        <f>IF($D1779="","",IF(AND($L1779="Crédit",OR(IFERROR(INDEX('Paramètres'!$O:$O,MATCH($D1779,'Paramètres'!$M:$M,0))&amp;"","")&lt;&gt;"",ISNUMBER(SEARCH("remboursement",IFERROR(INDEX('Paramètres'!$N:$N,MATCH($D1779,'Paramètres'!$M:$M,0))&amp;"",""))))),1,0))</f>
        <v/>
      </c>
      <c r="Q1779" s="6" t="str">
        <f>IF($K1779="","",IF(ISNUMBER(SEARCH("transfert-interne",IFERROR(INDEX('Paramètres'!$N:$N,MATCH($D1779,'Paramètres'!$M:$M,0))&amp;"",""))),0,IF($L1779="Débit",$K1779,IF($P1779=1,-$K1779,0))))</f>
        <v/>
      </c>
      <c r="R1779" s="6" t="str">
        <f>IF($K1779="","",IF($L1779="Crédit",$K1779,-$K1779))</f>
        <v/>
      </c>
      <c r="S1779" s="6" t="str">
        <f>IF($C1779="","",IFERROR(INDEX('Paramètres'!$H:$H,MATCH($C1779,'Paramètres'!$D:$D,0))&amp;"",""))</f>
        <v/>
      </c>
      <c r="T1779" s="6" t="str">
        <f>IF($K1779="","",IF($S1779="",0,IF(ISNUMBER(SEARCH("apport-exterieur",IFERROR(INDEX('Paramètres'!$N:$N,MATCH($D1779,'Paramètres'!$M:$M,0))&amp;"",""))),0,IF(OR(IFERROR(INDEX('Paramètres'!$I:$I,MATCH($C1779,'Paramètres'!$D:$D,0))&amp;"","")="Les deux",IFERROR(INDEX('Paramètres'!$I:$I,MATCH($C1779,'Paramètres'!$D:$D,0))&amp;"","")=IF($P1779=1,"Débit",$L1779)),-IF($P1779=1,-$K1779,$K1779),0))))</f>
        <v/>
      </c>
      <c r="U1779" s="6" t="str">
        <f>IF($K1779="","",IF(ISNUMBER(SEARCH("sortie-epargne",IFERROR(INDEX('Paramètres'!$N:$N,MATCH($D1779,'Paramètres'!$M:$M,0))&amp;"",""))),$K1779,0))</f>
        <v/>
      </c>
      <c r="V1779" s="6" t="str">
        <f>IF(AND($A1779&lt;&gt;"",$O1779=1,$L1779="Débit",N($Q1779)&gt;0,$A1779&gt;=Visualisation!$B$1,$A1779&lt;Visualisation!$D$1),MAX($V$1:V1778)+1,"")</f>
        <v/>
      </c>
    </row>
    <row r="1780" spans="1:22" x14ac:dyDescent="0.25">
      <c r="A1780" s="9"/>
      <c r="E1780" s="10"/>
      <c r="K1780" s="11" t="str">
        <f>IF($E1780="","",ROUND($E1780*IF(ISNA(MATCH($C1780,'Paramètres'!$D:$D,0)),1,IF(INDEX('Paramètres'!$J:$J,MATCH($C1780,'Paramètres'!$D:$D,0))="",1,INDEX('Paramètres'!$J:$J,MATCH($C1780,'Paramètres'!$D:$D,0)))),2))</f>
        <v/>
      </c>
      <c r="L1780" s="6" t="str">
        <f>IF($D1780="","",IF($F1780&lt;&gt;"",$F1780,IF(ISNA(MATCH($D1780,'Paramètres'!$M:$M,0)),"⚠ Type inconnu",IFERROR(INDEX('Paramètres'!$P:$P,MATCH($D1780,'Paramètres'!$M:$M,0))&amp;"",""))))</f>
        <v/>
      </c>
      <c r="M1780" s="6" t="str">
        <f>IF($D1780="","",IF(ISNA(MATCH($D1780,'Paramètres'!$M:$M,0)),"⚠ Type inconnu",IF($L1780="Crédit","",IFERROR(INDEX('Paramètres'!$O:$O,MATCH($D1780,'Paramètres'!$M:$M,0))&amp;"",""))))</f>
        <v/>
      </c>
      <c r="N1780" s="6" t="str">
        <f>IF($D1780="","",IFERROR(INDEX('Paramètres'!$Q:$Q,MATCH($D1780,'Paramètres'!$M:$M,0))&amp;"",""))</f>
        <v/>
      </c>
      <c r="O1780" s="6" t="str">
        <f>IF($A1780="","",IF(OR($J1780&lt;&gt;"x",$A1780&lt;=FinReleve),1,0))</f>
        <v/>
      </c>
      <c r="P1780" s="6" t="str">
        <f>IF($D1780="","",IF(AND($L1780="Crédit",OR(IFERROR(INDEX('Paramètres'!$O:$O,MATCH($D1780,'Paramètres'!$M:$M,0))&amp;"","")&lt;&gt;"",ISNUMBER(SEARCH("remboursement",IFERROR(INDEX('Paramètres'!$N:$N,MATCH($D1780,'Paramètres'!$M:$M,0))&amp;"",""))))),1,0))</f>
        <v/>
      </c>
      <c r="Q1780" s="6" t="str">
        <f>IF($K1780="","",IF(ISNUMBER(SEARCH("transfert-interne",IFERROR(INDEX('Paramètres'!$N:$N,MATCH($D1780,'Paramètres'!$M:$M,0))&amp;"",""))),0,IF($L1780="Débit",$K1780,IF($P1780=1,-$K1780,0))))</f>
        <v/>
      </c>
      <c r="R1780" s="6" t="str">
        <f>IF($K1780="","",IF($L1780="Crédit",$K1780,-$K1780))</f>
        <v/>
      </c>
      <c r="S1780" s="6" t="str">
        <f>IF($C1780="","",IFERROR(INDEX('Paramètres'!$H:$H,MATCH($C1780,'Paramètres'!$D:$D,0))&amp;"",""))</f>
        <v/>
      </c>
      <c r="T1780" s="6" t="str">
        <f>IF($K1780="","",IF($S1780="",0,IF(ISNUMBER(SEARCH("apport-exterieur",IFERROR(INDEX('Paramètres'!$N:$N,MATCH($D1780,'Paramètres'!$M:$M,0))&amp;"",""))),0,IF(OR(IFERROR(INDEX('Paramètres'!$I:$I,MATCH($C1780,'Paramètres'!$D:$D,0))&amp;"","")="Les deux",IFERROR(INDEX('Paramètres'!$I:$I,MATCH($C1780,'Paramètres'!$D:$D,0))&amp;"","")=IF($P1780=1,"Débit",$L1780)),-IF($P1780=1,-$K1780,$K1780),0))))</f>
        <v/>
      </c>
      <c r="U1780" s="6" t="str">
        <f>IF($K1780="","",IF(ISNUMBER(SEARCH("sortie-epargne",IFERROR(INDEX('Paramètres'!$N:$N,MATCH($D1780,'Paramètres'!$M:$M,0))&amp;"",""))),$K1780,0))</f>
        <v/>
      </c>
      <c r="V1780" s="6" t="str">
        <f>IF(AND($A1780&lt;&gt;"",$O1780=1,$L1780="Débit",N($Q1780)&gt;0,$A1780&gt;=Visualisation!$B$1,$A1780&lt;Visualisation!$D$1),MAX($V$1:V1779)+1,"")</f>
        <v/>
      </c>
    </row>
    <row r="1781" spans="1:22" x14ac:dyDescent="0.25">
      <c r="A1781" s="9"/>
      <c r="E1781" s="10"/>
      <c r="K1781" s="11" t="str">
        <f>IF($E1781="","",ROUND($E1781*IF(ISNA(MATCH($C1781,'Paramètres'!$D:$D,0)),1,IF(INDEX('Paramètres'!$J:$J,MATCH($C1781,'Paramètres'!$D:$D,0))="",1,INDEX('Paramètres'!$J:$J,MATCH($C1781,'Paramètres'!$D:$D,0)))),2))</f>
        <v/>
      </c>
      <c r="L1781" s="6" t="str">
        <f>IF($D1781="","",IF($F1781&lt;&gt;"",$F1781,IF(ISNA(MATCH($D1781,'Paramètres'!$M:$M,0)),"⚠ Type inconnu",IFERROR(INDEX('Paramètres'!$P:$P,MATCH($D1781,'Paramètres'!$M:$M,0))&amp;"",""))))</f>
        <v/>
      </c>
      <c r="M1781" s="6" t="str">
        <f>IF($D1781="","",IF(ISNA(MATCH($D1781,'Paramètres'!$M:$M,0)),"⚠ Type inconnu",IF($L1781="Crédit","",IFERROR(INDEX('Paramètres'!$O:$O,MATCH($D1781,'Paramètres'!$M:$M,0))&amp;"",""))))</f>
        <v/>
      </c>
      <c r="N1781" s="6" t="str">
        <f>IF($D1781="","",IFERROR(INDEX('Paramètres'!$Q:$Q,MATCH($D1781,'Paramètres'!$M:$M,0))&amp;"",""))</f>
        <v/>
      </c>
      <c r="O1781" s="6" t="str">
        <f>IF($A1781="","",IF(OR($J1781&lt;&gt;"x",$A1781&lt;=FinReleve),1,0))</f>
        <v/>
      </c>
      <c r="P1781" s="6" t="str">
        <f>IF($D1781="","",IF(AND($L1781="Crédit",OR(IFERROR(INDEX('Paramètres'!$O:$O,MATCH($D1781,'Paramètres'!$M:$M,0))&amp;"","")&lt;&gt;"",ISNUMBER(SEARCH("remboursement",IFERROR(INDEX('Paramètres'!$N:$N,MATCH($D1781,'Paramètres'!$M:$M,0))&amp;"",""))))),1,0))</f>
        <v/>
      </c>
      <c r="Q1781" s="6" t="str">
        <f>IF($K1781="","",IF(ISNUMBER(SEARCH("transfert-interne",IFERROR(INDEX('Paramètres'!$N:$N,MATCH($D1781,'Paramètres'!$M:$M,0))&amp;"",""))),0,IF($L1781="Débit",$K1781,IF($P1781=1,-$K1781,0))))</f>
        <v/>
      </c>
      <c r="R1781" s="6" t="str">
        <f>IF($K1781="","",IF($L1781="Crédit",$K1781,-$K1781))</f>
        <v/>
      </c>
      <c r="S1781" s="6" t="str">
        <f>IF($C1781="","",IFERROR(INDEX('Paramètres'!$H:$H,MATCH($C1781,'Paramètres'!$D:$D,0))&amp;"",""))</f>
        <v/>
      </c>
      <c r="T1781" s="6" t="str">
        <f>IF($K1781="","",IF($S1781="",0,IF(ISNUMBER(SEARCH("apport-exterieur",IFERROR(INDEX('Paramètres'!$N:$N,MATCH($D1781,'Paramètres'!$M:$M,0))&amp;"",""))),0,IF(OR(IFERROR(INDEX('Paramètres'!$I:$I,MATCH($C1781,'Paramètres'!$D:$D,0))&amp;"","")="Les deux",IFERROR(INDEX('Paramètres'!$I:$I,MATCH($C1781,'Paramètres'!$D:$D,0))&amp;"","")=IF($P1781=1,"Débit",$L1781)),-IF($P1781=1,-$K1781,$K1781),0))))</f>
        <v/>
      </c>
      <c r="U1781" s="6" t="str">
        <f>IF($K1781="","",IF(ISNUMBER(SEARCH("sortie-epargne",IFERROR(INDEX('Paramètres'!$N:$N,MATCH($D1781,'Paramètres'!$M:$M,0))&amp;"",""))),$K1781,0))</f>
        <v/>
      </c>
      <c r="V1781" s="6" t="str">
        <f>IF(AND($A1781&lt;&gt;"",$O1781=1,$L1781="Débit",N($Q1781)&gt;0,$A1781&gt;=Visualisation!$B$1,$A1781&lt;Visualisation!$D$1),MAX($V$1:V1780)+1,"")</f>
        <v/>
      </c>
    </row>
    <row r="1782" spans="1:22" x14ac:dyDescent="0.25">
      <c r="A1782" s="9"/>
      <c r="E1782" s="10"/>
      <c r="K1782" s="11" t="str">
        <f>IF($E1782="","",ROUND($E1782*IF(ISNA(MATCH($C1782,'Paramètres'!$D:$D,0)),1,IF(INDEX('Paramètres'!$J:$J,MATCH($C1782,'Paramètres'!$D:$D,0))="",1,INDEX('Paramètres'!$J:$J,MATCH($C1782,'Paramètres'!$D:$D,0)))),2))</f>
        <v/>
      </c>
      <c r="L1782" s="6" t="str">
        <f>IF($D1782="","",IF($F1782&lt;&gt;"",$F1782,IF(ISNA(MATCH($D1782,'Paramètres'!$M:$M,0)),"⚠ Type inconnu",IFERROR(INDEX('Paramètres'!$P:$P,MATCH($D1782,'Paramètres'!$M:$M,0))&amp;"",""))))</f>
        <v/>
      </c>
      <c r="M1782" s="6" t="str">
        <f>IF($D1782="","",IF(ISNA(MATCH($D1782,'Paramètres'!$M:$M,0)),"⚠ Type inconnu",IF($L1782="Crédit","",IFERROR(INDEX('Paramètres'!$O:$O,MATCH($D1782,'Paramètres'!$M:$M,0))&amp;"",""))))</f>
        <v/>
      </c>
      <c r="N1782" s="6" t="str">
        <f>IF($D1782="","",IFERROR(INDEX('Paramètres'!$Q:$Q,MATCH($D1782,'Paramètres'!$M:$M,0))&amp;"",""))</f>
        <v/>
      </c>
      <c r="O1782" s="6" t="str">
        <f>IF($A1782="","",IF(OR($J1782&lt;&gt;"x",$A1782&lt;=FinReleve),1,0))</f>
        <v/>
      </c>
      <c r="P1782" s="6" t="str">
        <f>IF($D1782="","",IF(AND($L1782="Crédit",OR(IFERROR(INDEX('Paramètres'!$O:$O,MATCH($D1782,'Paramètres'!$M:$M,0))&amp;"","")&lt;&gt;"",ISNUMBER(SEARCH("remboursement",IFERROR(INDEX('Paramètres'!$N:$N,MATCH($D1782,'Paramètres'!$M:$M,0))&amp;"",""))))),1,0))</f>
        <v/>
      </c>
      <c r="Q1782" s="6" t="str">
        <f>IF($K1782="","",IF(ISNUMBER(SEARCH("transfert-interne",IFERROR(INDEX('Paramètres'!$N:$N,MATCH($D1782,'Paramètres'!$M:$M,0))&amp;"",""))),0,IF($L1782="Débit",$K1782,IF($P1782=1,-$K1782,0))))</f>
        <v/>
      </c>
      <c r="R1782" s="6" t="str">
        <f>IF($K1782="","",IF($L1782="Crédit",$K1782,-$K1782))</f>
        <v/>
      </c>
      <c r="S1782" s="6" t="str">
        <f>IF($C1782="","",IFERROR(INDEX('Paramètres'!$H:$H,MATCH($C1782,'Paramètres'!$D:$D,0))&amp;"",""))</f>
        <v/>
      </c>
      <c r="T1782" s="6" t="str">
        <f>IF($K1782="","",IF($S1782="",0,IF(ISNUMBER(SEARCH("apport-exterieur",IFERROR(INDEX('Paramètres'!$N:$N,MATCH($D1782,'Paramètres'!$M:$M,0))&amp;"",""))),0,IF(OR(IFERROR(INDEX('Paramètres'!$I:$I,MATCH($C1782,'Paramètres'!$D:$D,0))&amp;"","")="Les deux",IFERROR(INDEX('Paramètres'!$I:$I,MATCH($C1782,'Paramètres'!$D:$D,0))&amp;"","")=IF($P1782=1,"Débit",$L1782)),-IF($P1782=1,-$K1782,$K1782),0))))</f>
        <v/>
      </c>
      <c r="U1782" s="6" t="str">
        <f>IF($K1782="","",IF(ISNUMBER(SEARCH("sortie-epargne",IFERROR(INDEX('Paramètres'!$N:$N,MATCH($D1782,'Paramètres'!$M:$M,0))&amp;"",""))),$K1782,0))</f>
        <v/>
      </c>
      <c r="V1782" s="6" t="str">
        <f>IF(AND($A1782&lt;&gt;"",$O1782=1,$L1782="Débit",N($Q1782)&gt;0,$A1782&gt;=Visualisation!$B$1,$A1782&lt;Visualisation!$D$1),MAX($V$1:V1781)+1,"")</f>
        <v/>
      </c>
    </row>
    <row r="1783" spans="1:22" x14ac:dyDescent="0.25">
      <c r="A1783" s="9"/>
      <c r="E1783" s="10"/>
      <c r="K1783" s="11" t="str">
        <f>IF($E1783="","",ROUND($E1783*IF(ISNA(MATCH($C1783,'Paramètres'!$D:$D,0)),1,IF(INDEX('Paramètres'!$J:$J,MATCH($C1783,'Paramètres'!$D:$D,0))="",1,INDEX('Paramètres'!$J:$J,MATCH($C1783,'Paramètres'!$D:$D,0)))),2))</f>
        <v/>
      </c>
      <c r="L1783" s="6" t="str">
        <f>IF($D1783="","",IF($F1783&lt;&gt;"",$F1783,IF(ISNA(MATCH($D1783,'Paramètres'!$M:$M,0)),"⚠ Type inconnu",IFERROR(INDEX('Paramètres'!$P:$P,MATCH($D1783,'Paramètres'!$M:$M,0))&amp;"",""))))</f>
        <v/>
      </c>
      <c r="M1783" s="6" t="str">
        <f>IF($D1783="","",IF(ISNA(MATCH($D1783,'Paramètres'!$M:$M,0)),"⚠ Type inconnu",IF($L1783="Crédit","",IFERROR(INDEX('Paramètres'!$O:$O,MATCH($D1783,'Paramètres'!$M:$M,0))&amp;"",""))))</f>
        <v/>
      </c>
      <c r="N1783" s="6" t="str">
        <f>IF($D1783="","",IFERROR(INDEX('Paramètres'!$Q:$Q,MATCH($D1783,'Paramètres'!$M:$M,0))&amp;"",""))</f>
        <v/>
      </c>
      <c r="O1783" s="6" t="str">
        <f>IF($A1783="","",IF(OR($J1783&lt;&gt;"x",$A1783&lt;=FinReleve),1,0))</f>
        <v/>
      </c>
      <c r="P1783" s="6" t="str">
        <f>IF($D1783="","",IF(AND($L1783="Crédit",OR(IFERROR(INDEX('Paramètres'!$O:$O,MATCH($D1783,'Paramètres'!$M:$M,0))&amp;"","")&lt;&gt;"",ISNUMBER(SEARCH("remboursement",IFERROR(INDEX('Paramètres'!$N:$N,MATCH($D1783,'Paramètres'!$M:$M,0))&amp;"",""))))),1,0))</f>
        <v/>
      </c>
      <c r="Q1783" s="6" t="str">
        <f>IF($K1783="","",IF(ISNUMBER(SEARCH("transfert-interne",IFERROR(INDEX('Paramètres'!$N:$N,MATCH($D1783,'Paramètres'!$M:$M,0))&amp;"",""))),0,IF($L1783="Débit",$K1783,IF($P1783=1,-$K1783,0))))</f>
        <v/>
      </c>
      <c r="R1783" s="6" t="str">
        <f>IF($K1783="","",IF($L1783="Crédit",$K1783,-$K1783))</f>
        <v/>
      </c>
      <c r="S1783" s="6" t="str">
        <f>IF($C1783="","",IFERROR(INDEX('Paramètres'!$H:$H,MATCH($C1783,'Paramètres'!$D:$D,0))&amp;"",""))</f>
        <v/>
      </c>
      <c r="T1783" s="6" t="str">
        <f>IF($K1783="","",IF($S1783="",0,IF(ISNUMBER(SEARCH("apport-exterieur",IFERROR(INDEX('Paramètres'!$N:$N,MATCH($D1783,'Paramètres'!$M:$M,0))&amp;"",""))),0,IF(OR(IFERROR(INDEX('Paramètres'!$I:$I,MATCH($C1783,'Paramètres'!$D:$D,0))&amp;"","")="Les deux",IFERROR(INDEX('Paramètres'!$I:$I,MATCH($C1783,'Paramètres'!$D:$D,0))&amp;"","")=IF($P1783=1,"Débit",$L1783)),-IF($P1783=1,-$K1783,$K1783),0))))</f>
        <v/>
      </c>
      <c r="U1783" s="6" t="str">
        <f>IF($K1783="","",IF(ISNUMBER(SEARCH("sortie-epargne",IFERROR(INDEX('Paramètres'!$N:$N,MATCH($D1783,'Paramètres'!$M:$M,0))&amp;"",""))),$K1783,0))</f>
        <v/>
      </c>
      <c r="V1783" s="6" t="str">
        <f>IF(AND($A1783&lt;&gt;"",$O1783=1,$L1783="Débit",N($Q1783)&gt;0,$A1783&gt;=Visualisation!$B$1,$A1783&lt;Visualisation!$D$1),MAX($V$1:V1782)+1,"")</f>
        <v/>
      </c>
    </row>
    <row r="1784" spans="1:22" x14ac:dyDescent="0.25">
      <c r="A1784" s="9"/>
      <c r="E1784" s="10"/>
      <c r="K1784" s="11" t="str">
        <f>IF($E1784="","",ROUND($E1784*IF(ISNA(MATCH($C1784,'Paramètres'!$D:$D,0)),1,IF(INDEX('Paramètres'!$J:$J,MATCH($C1784,'Paramètres'!$D:$D,0))="",1,INDEX('Paramètres'!$J:$J,MATCH($C1784,'Paramètres'!$D:$D,0)))),2))</f>
        <v/>
      </c>
      <c r="L1784" s="6" t="str">
        <f>IF($D1784="","",IF($F1784&lt;&gt;"",$F1784,IF(ISNA(MATCH($D1784,'Paramètres'!$M:$M,0)),"⚠ Type inconnu",IFERROR(INDEX('Paramètres'!$P:$P,MATCH($D1784,'Paramètres'!$M:$M,0))&amp;"",""))))</f>
        <v/>
      </c>
      <c r="M1784" s="6" t="str">
        <f>IF($D1784="","",IF(ISNA(MATCH($D1784,'Paramètres'!$M:$M,0)),"⚠ Type inconnu",IF($L1784="Crédit","",IFERROR(INDEX('Paramètres'!$O:$O,MATCH($D1784,'Paramètres'!$M:$M,0))&amp;"",""))))</f>
        <v/>
      </c>
      <c r="N1784" s="6" t="str">
        <f>IF($D1784="","",IFERROR(INDEX('Paramètres'!$Q:$Q,MATCH($D1784,'Paramètres'!$M:$M,0))&amp;"",""))</f>
        <v/>
      </c>
      <c r="O1784" s="6" t="str">
        <f>IF($A1784="","",IF(OR($J1784&lt;&gt;"x",$A1784&lt;=FinReleve),1,0))</f>
        <v/>
      </c>
      <c r="P1784" s="6" t="str">
        <f>IF($D1784="","",IF(AND($L1784="Crédit",OR(IFERROR(INDEX('Paramètres'!$O:$O,MATCH($D1784,'Paramètres'!$M:$M,0))&amp;"","")&lt;&gt;"",ISNUMBER(SEARCH("remboursement",IFERROR(INDEX('Paramètres'!$N:$N,MATCH($D1784,'Paramètres'!$M:$M,0))&amp;"",""))))),1,0))</f>
        <v/>
      </c>
      <c r="Q1784" s="6" t="str">
        <f>IF($K1784="","",IF(ISNUMBER(SEARCH("transfert-interne",IFERROR(INDEX('Paramètres'!$N:$N,MATCH($D1784,'Paramètres'!$M:$M,0))&amp;"",""))),0,IF($L1784="Débit",$K1784,IF($P1784=1,-$K1784,0))))</f>
        <v/>
      </c>
      <c r="R1784" s="6" t="str">
        <f>IF($K1784="","",IF($L1784="Crédit",$K1784,-$K1784))</f>
        <v/>
      </c>
      <c r="S1784" s="6" t="str">
        <f>IF($C1784="","",IFERROR(INDEX('Paramètres'!$H:$H,MATCH($C1784,'Paramètres'!$D:$D,0))&amp;"",""))</f>
        <v/>
      </c>
      <c r="T1784" s="6" t="str">
        <f>IF($K1784="","",IF($S1784="",0,IF(ISNUMBER(SEARCH("apport-exterieur",IFERROR(INDEX('Paramètres'!$N:$N,MATCH($D1784,'Paramètres'!$M:$M,0))&amp;"",""))),0,IF(OR(IFERROR(INDEX('Paramètres'!$I:$I,MATCH($C1784,'Paramètres'!$D:$D,0))&amp;"","")="Les deux",IFERROR(INDEX('Paramètres'!$I:$I,MATCH($C1784,'Paramètres'!$D:$D,0))&amp;"","")=IF($P1784=1,"Débit",$L1784)),-IF($P1784=1,-$K1784,$K1784),0))))</f>
        <v/>
      </c>
      <c r="U1784" s="6" t="str">
        <f>IF($K1784="","",IF(ISNUMBER(SEARCH("sortie-epargne",IFERROR(INDEX('Paramètres'!$N:$N,MATCH($D1784,'Paramètres'!$M:$M,0))&amp;"",""))),$K1784,0))</f>
        <v/>
      </c>
      <c r="V1784" s="6" t="str">
        <f>IF(AND($A1784&lt;&gt;"",$O1784=1,$L1784="Débit",N($Q1784)&gt;0,$A1784&gt;=Visualisation!$B$1,$A1784&lt;Visualisation!$D$1),MAX($V$1:V1783)+1,"")</f>
        <v/>
      </c>
    </row>
    <row r="1785" spans="1:22" x14ac:dyDescent="0.25">
      <c r="A1785" s="9"/>
      <c r="E1785" s="10"/>
      <c r="K1785" s="11" t="str">
        <f>IF($E1785="","",ROUND($E1785*IF(ISNA(MATCH($C1785,'Paramètres'!$D:$D,0)),1,IF(INDEX('Paramètres'!$J:$J,MATCH($C1785,'Paramètres'!$D:$D,0))="",1,INDEX('Paramètres'!$J:$J,MATCH($C1785,'Paramètres'!$D:$D,0)))),2))</f>
        <v/>
      </c>
      <c r="L1785" s="6" t="str">
        <f>IF($D1785="","",IF($F1785&lt;&gt;"",$F1785,IF(ISNA(MATCH($D1785,'Paramètres'!$M:$M,0)),"⚠ Type inconnu",IFERROR(INDEX('Paramètres'!$P:$P,MATCH($D1785,'Paramètres'!$M:$M,0))&amp;"",""))))</f>
        <v/>
      </c>
      <c r="M1785" s="6" t="str">
        <f>IF($D1785="","",IF(ISNA(MATCH($D1785,'Paramètres'!$M:$M,0)),"⚠ Type inconnu",IF($L1785="Crédit","",IFERROR(INDEX('Paramètres'!$O:$O,MATCH($D1785,'Paramètres'!$M:$M,0))&amp;"",""))))</f>
        <v/>
      </c>
      <c r="N1785" s="6" t="str">
        <f>IF($D1785="","",IFERROR(INDEX('Paramètres'!$Q:$Q,MATCH($D1785,'Paramètres'!$M:$M,0))&amp;"",""))</f>
        <v/>
      </c>
      <c r="O1785" s="6" t="str">
        <f>IF($A1785="","",IF(OR($J1785&lt;&gt;"x",$A1785&lt;=FinReleve),1,0))</f>
        <v/>
      </c>
      <c r="P1785" s="6" t="str">
        <f>IF($D1785="","",IF(AND($L1785="Crédit",OR(IFERROR(INDEX('Paramètres'!$O:$O,MATCH($D1785,'Paramètres'!$M:$M,0))&amp;"","")&lt;&gt;"",ISNUMBER(SEARCH("remboursement",IFERROR(INDEX('Paramètres'!$N:$N,MATCH($D1785,'Paramètres'!$M:$M,0))&amp;"",""))))),1,0))</f>
        <v/>
      </c>
      <c r="Q1785" s="6" t="str">
        <f>IF($K1785="","",IF(ISNUMBER(SEARCH("transfert-interne",IFERROR(INDEX('Paramètres'!$N:$N,MATCH($D1785,'Paramètres'!$M:$M,0))&amp;"",""))),0,IF($L1785="Débit",$K1785,IF($P1785=1,-$K1785,0))))</f>
        <v/>
      </c>
      <c r="R1785" s="6" t="str">
        <f>IF($K1785="","",IF($L1785="Crédit",$K1785,-$K1785))</f>
        <v/>
      </c>
      <c r="S1785" s="6" t="str">
        <f>IF($C1785="","",IFERROR(INDEX('Paramètres'!$H:$H,MATCH($C1785,'Paramètres'!$D:$D,0))&amp;"",""))</f>
        <v/>
      </c>
      <c r="T1785" s="6" t="str">
        <f>IF($K1785="","",IF($S1785="",0,IF(ISNUMBER(SEARCH("apport-exterieur",IFERROR(INDEX('Paramètres'!$N:$N,MATCH($D1785,'Paramètres'!$M:$M,0))&amp;"",""))),0,IF(OR(IFERROR(INDEX('Paramètres'!$I:$I,MATCH($C1785,'Paramètres'!$D:$D,0))&amp;"","")="Les deux",IFERROR(INDEX('Paramètres'!$I:$I,MATCH($C1785,'Paramètres'!$D:$D,0))&amp;"","")=IF($P1785=1,"Débit",$L1785)),-IF($P1785=1,-$K1785,$K1785),0))))</f>
        <v/>
      </c>
      <c r="U1785" s="6" t="str">
        <f>IF($K1785="","",IF(ISNUMBER(SEARCH("sortie-epargne",IFERROR(INDEX('Paramètres'!$N:$N,MATCH($D1785,'Paramètres'!$M:$M,0))&amp;"",""))),$K1785,0))</f>
        <v/>
      </c>
      <c r="V1785" s="6" t="str">
        <f>IF(AND($A1785&lt;&gt;"",$O1785=1,$L1785="Débit",N($Q1785)&gt;0,$A1785&gt;=Visualisation!$B$1,$A1785&lt;Visualisation!$D$1),MAX($V$1:V1784)+1,"")</f>
        <v/>
      </c>
    </row>
    <row r="1786" spans="1:22" x14ac:dyDescent="0.25">
      <c r="A1786" s="9"/>
      <c r="E1786" s="10"/>
      <c r="K1786" s="11" t="str">
        <f>IF($E1786="","",ROUND($E1786*IF(ISNA(MATCH($C1786,'Paramètres'!$D:$D,0)),1,IF(INDEX('Paramètres'!$J:$J,MATCH($C1786,'Paramètres'!$D:$D,0))="",1,INDEX('Paramètres'!$J:$J,MATCH($C1786,'Paramètres'!$D:$D,0)))),2))</f>
        <v/>
      </c>
      <c r="L1786" s="6" t="str">
        <f>IF($D1786="","",IF($F1786&lt;&gt;"",$F1786,IF(ISNA(MATCH($D1786,'Paramètres'!$M:$M,0)),"⚠ Type inconnu",IFERROR(INDEX('Paramètres'!$P:$P,MATCH($D1786,'Paramètres'!$M:$M,0))&amp;"",""))))</f>
        <v/>
      </c>
      <c r="M1786" s="6" t="str">
        <f>IF($D1786="","",IF(ISNA(MATCH($D1786,'Paramètres'!$M:$M,0)),"⚠ Type inconnu",IF($L1786="Crédit","",IFERROR(INDEX('Paramètres'!$O:$O,MATCH($D1786,'Paramètres'!$M:$M,0))&amp;"",""))))</f>
        <v/>
      </c>
      <c r="N1786" s="6" t="str">
        <f>IF($D1786="","",IFERROR(INDEX('Paramètres'!$Q:$Q,MATCH($D1786,'Paramètres'!$M:$M,0))&amp;"",""))</f>
        <v/>
      </c>
      <c r="O1786" s="6" t="str">
        <f>IF($A1786="","",IF(OR($J1786&lt;&gt;"x",$A1786&lt;=FinReleve),1,0))</f>
        <v/>
      </c>
      <c r="P1786" s="6" t="str">
        <f>IF($D1786="","",IF(AND($L1786="Crédit",OR(IFERROR(INDEX('Paramètres'!$O:$O,MATCH($D1786,'Paramètres'!$M:$M,0))&amp;"","")&lt;&gt;"",ISNUMBER(SEARCH("remboursement",IFERROR(INDEX('Paramètres'!$N:$N,MATCH($D1786,'Paramètres'!$M:$M,0))&amp;"",""))))),1,0))</f>
        <v/>
      </c>
      <c r="Q1786" s="6" t="str">
        <f>IF($K1786="","",IF(ISNUMBER(SEARCH("transfert-interne",IFERROR(INDEX('Paramètres'!$N:$N,MATCH($D1786,'Paramètres'!$M:$M,0))&amp;"",""))),0,IF($L1786="Débit",$K1786,IF($P1786=1,-$K1786,0))))</f>
        <v/>
      </c>
      <c r="R1786" s="6" t="str">
        <f>IF($K1786="","",IF($L1786="Crédit",$K1786,-$K1786))</f>
        <v/>
      </c>
      <c r="S1786" s="6" t="str">
        <f>IF($C1786="","",IFERROR(INDEX('Paramètres'!$H:$H,MATCH($C1786,'Paramètres'!$D:$D,0))&amp;"",""))</f>
        <v/>
      </c>
      <c r="T1786" s="6" t="str">
        <f>IF($K1786="","",IF($S1786="",0,IF(ISNUMBER(SEARCH("apport-exterieur",IFERROR(INDEX('Paramètres'!$N:$N,MATCH($D1786,'Paramètres'!$M:$M,0))&amp;"",""))),0,IF(OR(IFERROR(INDEX('Paramètres'!$I:$I,MATCH($C1786,'Paramètres'!$D:$D,0))&amp;"","")="Les deux",IFERROR(INDEX('Paramètres'!$I:$I,MATCH($C1786,'Paramètres'!$D:$D,0))&amp;"","")=IF($P1786=1,"Débit",$L1786)),-IF($P1786=1,-$K1786,$K1786),0))))</f>
        <v/>
      </c>
      <c r="U1786" s="6" t="str">
        <f>IF($K1786="","",IF(ISNUMBER(SEARCH("sortie-epargne",IFERROR(INDEX('Paramètres'!$N:$N,MATCH($D1786,'Paramètres'!$M:$M,0))&amp;"",""))),$K1786,0))</f>
        <v/>
      </c>
      <c r="V1786" s="6" t="str">
        <f>IF(AND($A1786&lt;&gt;"",$O1786=1,$L1786="Débit",N($Q1786)&gt;0,$A1786&gt;=Visualisation!$B$1,$A1786&lt;Visualisation!$D$1),MAX($V$1:V1785)+1,"")</f>
        <v/>
      </c>
    </row>
    <row r="1787" spans="1:22" x14ac:dyDescent="0.25">
      <c r="A1787" s="9"/>
      <c r="E1787" s="10"/>
      <c r="K1787" s="11" t="str">
        <f>IF($E1787="","",ROUND($E1787*IF(ISNA(MATCH($C1787,'Paramètres'!$D:$D,0)),1,IF(INDEX('Paramètres'!$J:$J,MATCH($C1787,'Paramètres'!$D:$D,0))="",1,INDEX('Paramètres'!$J:$J,MATCH($C1787,'Paramètres'!$D:$D,0)))),2))</f>
        <v/>
      </c>
      <c r="L1787" s="6" t="str">
        <f>IF($D1787="","",IF($F1787&lt;&gt;"",$F1787,IF(ISNA(MATCH($D1787,'Paramètres'!$M:$M,0)),"⚠ Type inconnu",IFERROR(INDEX('Paramètres'!$P:$P,MATCH($D1787,'Paramètres'!$M:$M,0))&amp;"",""))))</f>
        <v/>
      </c>
      <c r="M1787" s="6" t="str">
        <f>IF($D1787="","",IF(ISNA(MATCH($D1787,'Paramètres'!$M:$M,0)),"⚠ Type inconnu",IF($L1787="Crédit","",IFERROR(INDEX('Paramètres'!$O:$O,MATCH($D1787,'Paramètres'!$M:$M,0))&amp;"",""))))</f>
        <v/>
      </c>
      <c r="N1787" s="6" t="str">
        <f>IF($D1787="","",IFERROR(INDEX('Paramètres'!$Q:$Q,MATCH($D1787,'Paramètres'!$M:$M,0))&amp;"",""))</f>
        <v/>
      </c>
      <c r="O1787" s="6" t="str">
        <f>IF($A1787="","",IF(OR($J1787&lt;&gt;"x",$A1787&lt;=FinReleve),1,0))</f>
        <v/>
      </c>
      <c r="P1787" s="6" t="str">
        <f>IF($D1787="","",IF(AND($L1787="Crédit",OR(IFERROR(INDEX('Paramètres'!$O:$O,MATCH($D1787,'Paramètres'!$M:$M,0))&amp;"","")&lt;&gt;"",ISNUMBER(SEARCH("remboursement",IFERROR(INDEX('Paramètres'!$N:$N,MATCH($D1787,'Paramètres'!$M:$M,0))&amp;"",""))))),1,0))</f>
        <v/>
      </c>
      <c r="Q1787" s="6" t="str">
        <f>IF($K1787="","",IF(ISNUMBER(SEARCH("transfert-interne",IFERROR(INDEX('Paramètres'!$N:$N,MATCH($D1787,'Paramètres'!$M:$M,0))&amp;"",""))),0,IF($L1787="Débit",$K1787,IF($P1787=1,-$K1787,0))))</f>
        <v/>
      </c>
      <c r="R1787" s="6" t="str">
        <f>IF($K1787="","",IF($L1787="Crédit",$K1787,-$K1787))</f>
        <v/>
      </c>
      <c r="S1787" s="6" t="str">
        <f>IF($C1787="","",IFERROR(INDEX('Paramètres'!$H:$H,MATCH($C1787,'Paramètres'!$D:$D,0))&amp;"",""))</f>
        <v/>
      </c>
      <c r="T1787" s="6" t="str">
        <f>IF($K1787="","",IF($S1787="",0,IF(ISNUMBER(SEARCH("apport-exterieur",IFERROR(INDEX('Paramètres'!$N:$N,MATCH($D1787,'Paramètres'!$M:$M,0))&amp;"",""))),0,IF(OR(IFERROR(INDEX('Paramètres'!$I:$I,MATCH($C1787,'Paramètres'!$D:$D,0))&amp;"","")="Les deux",IFERROR(INDEX('Paramètres'!$I:$I,MATCH($C1787,'Paramètres'!$D:$D,0))&amp;"","")=IF($P1787=1,"Débit",$L1787)),-IF($P1787=1,-$K1787,$K1787),0))))</f>
        <v/>
      </c>
      <c r="U1787" s="6" t="str">
        <f>IF($K1787="","",IF(ISNUMBER(SEARCH("sortie-epargne",IFERROR(INDEX('Paramètres'!$N:$N,MATCH($D1787,'Paramètres'!$M:$M,0))&amp;"",""))),$K1787,0))</f>
        <v/>
      </c>
      <c r="V1787" s="6" t="str">
        <f>IF(AND($A1787&lt;&gt;"",$O1787=1,$L1787="Débit",N($Q1787)&gt;0,$A1787&gt;=Visualisation!$B$1,$A1787&lt;Visualisation!$D$1),MAX($V$1:V1786)+1,"")</f>
        <v/>
      </c>
    </row>
    <row r="1788" spans="1:22" x14ac:dyDescent="0.25">
      <c r="A1788" s="9"/>
      <c r="E1788" s="10"/>
      <c r="K1788" s="11" t="str">
        <f>IF($E1788="","",ROUND($E1788*IF(ISNA(MATCH($C1788,'Paramètres'!$D:$D,0)),1,IF(INDEX('Paramètres'!$J:$J,MATCH($C1788,'Paramètres'!$D:$D,0))="",1,INDEX('Paramètres'!$J:$J,MATCH($C1788,'Paramètres'!$D:$D,0)))),2))</f>
        <v/>
      </c>
      <c r="L1788" s="6" t="str">
        <f>IF($D1788="","",IF($F1788&lt;&gt;"",$F1788,IF(ISNA(MATCH($D1788,'Paramètres'!$M:$M,0)),"⚠ Type inconnu",IFERROR(INDEX('Paramètres'!$P:$P,MATCH($D1788,'Paramètres'!$M:$M,0))&amp;"",""))))</f>
        <v/>
      </c>
      <c r="M1788" s="6" t="str">
        <f>IF($D1788="","",IF(ISNA(MATCH($D1788,'Paramètres'!$M:$M,0)),"⚠ Type inconnu",IF($L1788="Crédit","",IFERROR(INDEX('Paramètres'!$O:$O,MATCH($D1788,'Paramètres'!$M:$M,0))&amp;"",""))))</f>
        <v/>
      </c>
      <c r="N1788" s="6" t="str">
        <f>IF($D1788="","",IFERROR(INDEX('Paramètres'!$Q:$Q,MATCH($D1788,'Paramètres'!$M:$M,0))&amp;"",""))</f>
        <v/>
      </c>
      <c r="O1788" s="6" t="str">
        <f>IF($A1788="","",IF(OR($J1788&lt;&gt;"x",$A1788&lt;=FinReleve),1,0))</f>
        <v/>
      </c>
      <c r="P1788" s="6" t="str">
        <f>IF($D1788="","",IF(AND($L1788="Crédit",OR(IFERROR(INDEX('Paramètres'!$O:$O,MATCH($D1788,'Paramètres'!$M:$M,0))&amp;"","")&lt;&gt;"",ISNUMBER(SEARCH("remboursement",IFERROR(INDEX('Paramètres'!$N:$N,MATCH($D1788,'Paramètres'!$M:$M,0))&amp;"",""))))),1,0))</f>
        <v/>
      </c>
      <c r="Q1788" s="6" t="str">
        <f>IF($K1788="","",IF(ISNUMBER(SEARCH("transfert-interne",IFERROR(INDEX('Paramètres'!$N:$N,MATCH($D1788,'Paramètres'!$M:$M,0))&amp;"",""))),0,IF($L1788="Débit",$K1788,IF($P1788=1,-$K1788,0))))</f>
        <v/>
      </c>
      <c r="R1788" s="6" t="str">
        <f>IF($K1788="","",IF($L1788="Crédit",$K1788,-$K1788))</f>
        <v/>
      </c>
      <c r="S1788" s="6" t="str">
        <f>IF($C1788="","",IFERROR(INDEX('Paramètres'!$H:$H,MATCH($C1788,'Paramètres'!$D:$D,0))&amp;"",""))</f>
        <v/>
      </c>
      <c r="T1788" s="6" t="str">
        <f>IF($K1788="","",IF($S1788="",0,IF(ISNUMBER(SEARCH("apport-exterieur",IFERROR(INDEX('Paramètres'!$N:$N,MATCH($D1788,'Paramètres'!$M:$M,0))&amp;"",""))),0,IF(OR(IFERROR(INDEX('Paramètres'!$I:$I,MATCH($C1788,'Paramètres'!$D:$D,0))&amp;"","")="Les deux",IFERROR(INDEX('Paramètres'!$I:$I,MATCH($C1788,'Paramètres'!$D:$D,0))&amp;"","")=IF($P1788=1,"Débit",$L1788)),-IF($P1788=1,-$K1788,$K1788),0))))</f>
        <v/>
      </c>
      <c r="U1788" s="6" t="str">
        <f>IF($K1788="","",IF(ISNUMBER(SEARCH("sortie-epargne",IFERROR(INDEX('Paramètres'!$N:$N,MATCH($D1788,'Paramètres'!$M:$M,0))&amp;"",""))),$K1788,0))</f>
        <v/>
      </c>
      <c r="V1788" s="6" t="str">
        <f>IF(AND($A1788&lt;&gt;"",$O1788=1,$L1788="Débit",N($Q1788)&gt;0,$A1788&gt;=Visualisation!$B$1,$A1788&lt;Visualisation!$D$1),MAX($V$1:V1787)+1,"")</f>
        <v/>
      </c>
    </row>
    <row r="1789" spans="1:22" x14ac:dyDescent="0.25">
      <c r="A1789" s="9"/>
      <c r="E1789" s="10"/>
      <c r="K1789" s="11" t="str">
        <f>IF($E1789="","",ROUND($E1789*IF(ISNA(MATCH($C1789,'Paramètres'!$D:$D,0)),1,IF(INDEX('Paramètres'!$J:$J,MATCH($C1789,'Paramètres'!$D:$D,0))="",1,INDEX('Paramètres'!$J:$J,MATCH($C1789,'Paramètres'!$D:$D,0)))),2))</f>
        <v/>
      </c>
      <c r="L1789" s="6" t="str">
        <f>IF($D1789="","",IF($F1789&lt;&gt;"",$F1789,IF(ISNA(MATCH($D1789,'Paramètres'!$M:$M,0)),"⚠ Type inconnu",IFERROR(INDEX('Paramètres'!$P:$P,MATCH($D1789,'Paramètres'!$M:$M,0))&amp;"",""))))</f>
        <v/>
      </c>
      <c r="M1789" s="6" t="str">
        <f>IF($D1789="","",IF(ISNA(MATCH($D1789,'Paramètres'!$M:$M,0)),"⚠ Type inconnu",IF($L1789="Crédit","",IFERROR(INDEX('Paramètres'!$O:$O,MATCH($D1789,'Paramètres'!$M:$M,0))&amp;"",""))))</f>
        <v/>
      </c>
      <c r="N1789" s="6" t="str">
        <f>IF($D1789="","",IFERROR(INDEX('Paramètres'!$Q:$Q,MATCH($D1789,'Paramètres'!$M:$M,0))&amp;"",""))</f>
        <v/>
      </c>
      <c r="O1789" s="6" t="str">
        <f>IF($A1789="","",IF(OR($J1789&lt;&gt;"x",$A1789&lt;=FinReleve),1,0))</f>
        <v/>
      </c>
      <c r="P1789" s="6" t="str">
        <f>IF($D1789="","",IF(AND($L1789="Crédit",OR(IFERROR(INDEX('Paramètres'!$O:$O,MATCH($D1789,'Paramètres'!$M:$M,0))&amp;"","")&lt;&gt;"",ISNUMBER(SEARCH("remboursement",IFERROR(INDEX('Paramètres'!$N:$N,MATCH($D1789,'Paramètres'!$M:$M,0))&amp;"",""))))),1,0))</f>
        <v/>
      </c>
      <c r="Q1789" s="6" t="str">
        <f>IF($K1789="","",IF(ISNUMBER(SEARCH("transfert-interne",IFERROR(INDEX('Paramètres'!$N:$N,MATCH($D1789,'Paramètres'!$M:$M,0))&amp;"",""))),0,IF($L1789="Débit",$K1789,IF($P1789=1,-$K1789,0))))</f>
        <v/>
      </c>
      <c r="R1789" s="6" t="str">
        <f>IF($K1789="","",IF($L1789="Crédit",$K1789,-$K1789))</f>
        <v/>
      </c>
      <c r="S1789" s="6" t="str">
        <f>IF($C1789="","",IFERROR(INDEX('Paramètres'!$H:$H,MATCH($C1789,'Paramètres'!$D:$D,0))&amp;"",""))</f>
        <v/>
      </c>
      <c r="T1789" s="6" t="str">
        <f>IF($K1789="","",IF($S1789="",0,IF(ISNUMBER(SEARCH("apport-exterieur",IFERROR(INDEX('Paramètres'!$N:$N,MATCH($D1789,'Paramètres'!$M:$M,0))&amp;"",""))),0,IF(OR(IFERROR(INDEX('Paramètres'!$I:$I,MATCH($C1789,'Paramètres'!$D:$D,0))&amp;"","")="Les deux",IFERROR(INDEX('Paramètres'!$I:$I,MATCH($C1789,'Paramètres'!$D:$D,0))&amp;"","")=IF($P1789=1,"Débit",$L1789)),-IF($P1789=1,-$K1789,$K1789),0))))</f>
        <v/>
      </c>
      <c r="U1789" s="6" t="str">
        <f>IF($K1789="","",IF(ISNUMBER(SEARCH("sortie-epargne",IFERROR(INDEX('Paramètres'!$N:$N,MATCH($D1789,'Paramètres'!$M:$M,0))&amp;"",""))),$K1789,0))</f>
        <v/>
      </c>
      <c r="V1789" s="6" t="str">
        <f>IF(AND($A1789&lt;&gt;"",$O1789=1,$L1789="Débit",N($Q1789)&gt;0,$A1789&gt;=Visualisation!$B$1,$A1789&lt;Visualisation!$D$1),MAX($V$1:V1788)+1,"")</f>
        <v/>
      </c>
    </row>
    <row r="1790" spans="1:22" x14ac:dyDescent="0.25">
      <c r="A1790" s="9"/>
      <c r="E1790" s="10"/>
      <c r="K1790" s="11" t="str">
        <f>IF($E1790="","",ROUND($E1790*IF(ISNA(MATCH($C1790,'Paramètres'!$D:$D,0)),1,IF(INDEX('Paramètres'!$J:$J,MATCH($C1790,'Paramètres'!$D:$D,0))="",1,INDEX('Paramètres'!$J:$J,MATCH($C1790,'Paramètres'!$D:$D,0)))),2))</f>
        <v/>
      </c>
      <c r="L1790" s="6" t="str">
        <f>IF($D1790="","",IF($F1790&lt;&gt;"",$F1790,IF(ISNA(MATCH($D1790,'Paramètres'!$M:$M,0)),"⚠ Type inconnu",IFERROR(INDEX('Paramètres'!$P:$P,MATCH($D1790,'Paramètres'!$M:$M,0))&amp;"",""))))</f>
        <v/>
      </c>
      <c r="M1790" s="6" t="str">
        <f>IF($D1790="","",IF(ISNA(MATCH($D1790,'Paramètres'!$M:$M,0)),"⚠ Type inconnu",IF($L1790="Crédit","",IFERROR(INDEX('Paramètres'!$O:$O,MATCH($D1790,'Paramètres'!$M:$M,0))&amp;"",""))))</f>
        <v/>
      </c>
      <c r="N1790" s="6" t="str">
        <f>IF($D1790="","",IFERROR(INDEX('Paramètres'!$Q:$Q,MATCH($D1790,'Paramètres'!$M:$M,0))&amp;"",""))</f>
        <v/>
      </c>
      <c r="O1790" s="6" t="str">
        <f>IF($A1790="","",IF(OR($J1790&lt;&gt;"x",$A1790&lt;=FinReleve),1,0))</f>
        <v/>
      </c>
      <c r="P1790" s="6" t="str">
        <f>IF($D1790="","",IF(AND($L1790="Crédit",OR(IFERROR(INDEX('Paramètres'!$O:$O,MATCH($D1790,'Paramètres'!$M:$M,0))&amp;"","")&lt;&gt;"",ISNUMBER(SEARCH("remboursement",IFERROR(INDEX('Paramètres'!$N:$N,MATCH($D1790,'Paramètres'!$M:$M,0))&amp;"",""))))),1,0))</f>
        <v/>
      </c>
      <c r="Q1790" s="6" t="str">
        <f>IF($K1790="","",IF(ISNUMBER(SEARCH("transfert-interne",IFERROR(INDEX('Paramètres'!$N:$N,MATCH($D1790,'Paramètres'!$M:$M,0))&amp;"",""))),0,IF($L1790="Débit",$K1790,IF($P1790=1,-$K1790,0))))</f>
        <v/>
      </c>
      <c r="R1790" s="6" t="str">
        <f>IF($K1790="","",IF($L1790="Crédit",$K1790,-$K1790))</f>
        <v/>
      </c>
      <c r="S1790" s="6" t="str">
        <f>IF($C1790="","",IFERROR(INDEX('Paramètres'!$H:$H,MATCH($C1790,'Paramètres'!$D:$D,0))&amp;"",""))</f>
        <v/>
      </c>
      <c r="T1790" s="6" t="str">
        <f>IF($K1790="","",IF($S1790="",0,IF(ISNUMBER(SEARCH("apport-exterieur",IFERROR(INDEX('Paramètres'!$N:$N,MATCH($D1790,'Paramètres'!$M:$M,0))&amp;"",""))),0,IF(OR(IFERROR(INDEX('Paramètres'!$I:$I,MATCH($C1790,'Paramètres'!$D:$D,0))&amp;"","")="Les deux",IFERROR(INDEX('Paramètres'!$I:$I,MATCH($C1790,'Paramètres'!$D:$D,0))&amp;"","")=IF($P1790=1,"Débit",$L1790)),-IF($P1790=1,-$K1790,$K1790),0))))</f>
        <v/>
      </c>
      <c r="U1790" s="6" t="str">
        <f>IF($K1790="","",IF(ISNUMBER(SEARCH("sortie-epargne",IFERROR(INDEX('Paramètres'!$N:$N,MATCH($D1790,'Paramètres'!$M:$M,0))&amp;"",""))),$K1790,0))</f>
        <v/>
      </c>
      <c r="V1790" s="6" t="str">
        <f>IF(AND($A1790&lt;&gt;"",$O1790=1,$L1790="Débit",N($Q1790)&gt;0,$A1790&gt;=Visualisation!$B$1,$A1790&lt;Visualisation!$D$1),MAX($V$1:V1789)+1,"")</f>
        <v/>
      </c>
    </row>
    <row r="1791" spans="1:22" x14ac:dyDescent="0.25">
      <c r="A1791" s="9"/>
      <c r="E1791" s="10"/>
      <c r="K1791" s="11" t="str">
        <f>IF($E1791="","",ROUND($E1791*IF(ISNA(MATCH($C1791,'Paramètres'!$D:$D,0)),1,IF(INDEX('Paramètres'!$J:$J,MATCH($C1791,'Paramètres'!$D:$D,0))="",1,INDEX('Paramètres'!$J:$J,MATCH($C1791,'Paramètres'!$D:$D,0)))),2))</f>
        <v/>
      </c>
      <c r="L1791" s="6" t="str">
        <f>IF($D1791="","",IF($F1791&lt;&gt;"",$F1791,IF(ISNA(MATCH($D1791,'Paramètres'!$M:$M,0)),"⚠ Type inconnu",IFERROR(INDEX('Paramètres'!$P:$P,MATCH($D1791,'Paramètres'!$M:$M,0))&amp;"",""))))</f>
        <v/>
      </c>
      <c r="M1791" s="6" t="str">
        <f>IF($D1791="","",IF(ISNA(MATCH($D1791,'Paramètres'!$M:$M,0)),"⚠ Type inconnu",IF($L1791="Crédit","",IFERROR(INDEX('Paramètres'!$O:$O,MATCH($D1791,'Paramètres'!$M:$M,0))&amp;"",""))))</f>
        <v/>
      </c>
      <c r="N1791" s="6" t="str">
        <f>IF($D1791="","",IFERROR(INDEX('Paramètres'!$Q:$Q,MATCH($D1791,'Paramètres'!$M:$M,0))&amp;"",""))</f>
        <v/>
      </c>
      <c r="O1791" s="6" t="str">
        <f>IF($A1791="","",IF(OR($J1791&lt;&gt;"x",$A1791&lt;=FinReleve),1,0))</f>
        <v/>
      </c>
      <c r="P1791" s="6" t="str">
        <f>IF($D1791="","",IF(AND($L1791="Crédit",OR(IFERROR(INDEX('Paramètres'!$O:$O,MATCH($D1791,'Paramètres'!$M:$M,0))&amp;"","")&lt;&gt;"",ISNUMBER(SEARCH("remboursement",IFERROR(INDEX('Paramètres'!$N:$N,MATCH($D1791,'Paramètres'!$M:$M,0))&amp;"",""))))),1,0))</f>
        <v/>
      </c>
      <c r="Q1791" s="6" t="str">
        <f>IF($K1791="","",IF(ISNUMBER(SEARCH("transfert-interne",IFERROR(INDEX('Paramètres'!$N:$N,MATCH($D1791,'Paramètres'!$M:$M,0))&amp;"",""))),0,IF($L1791="Débit",$K1791,IF($P1791=1,-$K1791,0))))</f>
        <v/>
      </c>
      <c r="R1791" s="6" t="str">
        <f>IF($K1791="","",IF($L1791="Crédit",$K1791,-$K1791))</f>
        <v/>
      </c>
      <c r="S1791" s="6" t="str">
        <f>IF($C1791="","",IFERROR(INDEX('Paramètres'!$H:$H,MATCH($C1791,'Paramètres'!$D:$D,0))&amp;"",""))</f>
        <v/>
      </c>
      <c r="T1791" s="6" t="str">
        <f>IF($K1791="","",IF($S1791="",0,IF(ISNUMBER(SEARCH("apport-exterieur",IFERROR(INDEX('Paramètres'!$N:$N,MATCH($D1791,'Paramètres'!$M:$M,0))&amp;"",""))),0,IF(OR(IFERROR(INDEX('Paramètres'!$I:$I,MATCH($C1791,'Paramètres'!$D:$D,0))&amp;"","")="Les deux",IFERROR(INDEX('Paramètres'!$I:$I,MATCH($C1791,'Paramètres'!$D:$D,0))&amp;"","")=IF($P1791=1,"Débit",$L1791)),-IF($P1791=1,-$K1791,$K1791),0))))</f>
        <v/>
      </c>
      <c r="U1791" s="6" t="str">
        <f>IF($K1791="","",IF(ISNUMBER(SEARCH("sortie-epargne",IFERROR(INDEX('Paramètres'!$N:$N,MATCH($D1791,'Paramètres'!$M:$M,0))&amp;"",""))),$K1791,0))</f>
        <v/>
      </c>
      <c r="V1791" s="6" t="str">
        <f>IF(AND($A1791&lt;&gt;"",$O1791=1,$L1791="Débit",N($Q1791)&gt;0,$A1791&gt;=Visualisation!$B$1,$A1791&lt;Visualisation!$D$1),MAX($V$1:V1790)+1,"")</f>
        <v/>
      </c>
    </row>
    <row r="1792" spans="1:22" x14ac:dyDescent="0.25">
      <c r="A1792" s="9"/>
      <c r="E1792" s="10"/>
      <c r="K1792" s="11" t="str">
        <f>IF($E1792="","",ROUND($E1792*IF(ISNA(MATCH($C1792,'Paramètres'!$D:$D,0)),1,IF(INDEX('Paramètres'!$J:$J,MATCH($C1792,'Paramètres'!$D:$D,0))="",1,INDEX('Paramètres'!$J:$J,MATCH($C1792,'Paramètres'!$D:$D,0)))),2))</f>
        <v/>
      </c>
      <c r="L1792" s="6" t="str">
        <f>IF($D1792="","",IF($F1792&lt;&gt;"",$F1792,IF(ISNA(MATCH($D1792,'Paramètres'!$M:$M,0)),"⚠ Type inconnu",IFERROR(INDEX('Paramètres'!$P:$P,MATCH($D1792,'Paramètres'!$M:$M,0))&amp;"",""))))</f>
        <v/>
      </c>
      <c r="M1792" s="6" t="str">
        <f>IF($D1792="","",IF(ISNA(MATCH($D1792,'Paramètres'!$M:$M,0)),"⚠ Type inconnu",IF($L1792="Crédit","",IFERROR(INDEX('Paramètres'!$O:$O,MATCH($D1792,'Paramètres'!$M:$M,0))&amp;"",""))))</f>
        <v/>
      </c>
      <c r="N1792" s="6" t="str">
        <f>IF($D1792="","",IFERROR(INDEX('Paramètres'!$Q:$Q,MATCH($D1792,'Paramètres'!$M:$M,0))&amp;"",""))</f>
        <v/>
      </c>
      <c r="O1792" s="6" t="str">
        <f>IF($A1792="","",IF(OR($J1792&lt;&gt;"x",$A1792&lt;=FinReleve),1,0))</f>
        <v/>
      </c>
      <c r="P1792" s="6" t="str">
        <f>IF($D1792="","",IF(AND($L1792="Crédit",OR(IFERROR(INDEX('Paramètres'!$O:$O,MATCH($D1792,'Paramètres'!$M:$M,0))&amp;"","")&lt;&gt;"",ISNUMBER(SEARCH("remboursement",IFERROR(INDEX('Paramètres'!$N:$N,MATCH($D1792,'Paramètres'!$M:$M,0))&amp;"",""))))),1,0))</f>
        <v/>
      </c>
      <c r="Q1792" s="6" t="str">
        <f>IF($K1792="","",IF(ISNUMBER(SEARCH("transfert-interne",IFERROR(INDEX('Paramètres'!$N:$N,MATCH($D1792,'Paramètres'!$M:$M,0))&amp;"",""))),0,IF($L1792="Débit",$K1792,IF($P1792=1,-$K1792,0))))</f>
        <v/>
      </c>
      <c r="R1792" s="6" t="str">
        <f>IF($K1792="","",IF($L1792="Crédit",$K1792,-$K1792))</f>
        <v/>
      </c>
      <c r="S1792" s="6" t="str">
        <f>IF($C1792="","",IFERROR(INDEX('Paramètres'!$H:$H,MATCH($C1792,'Paramètres'!$D:$D,0))&amp;"",""))</f>
        <v/>
      </c>
      <c r="T1792" s="6" t="str">
        <f>IF($K1792="","",IF($S1792="",0,IF(ISNUMBER(SEARCH("apport-exterieur",IFERROR(INDEX('Paramètres'!$N:$N,MATCH($D1792,'Paramètres'!$M:$M,0))&amp;"",""))),0,IF(OR(IFERROR(INDEX('Paramètres'!$I:$I,MATCH($C1792,'Paramètres'!$D:$D,0))&amp;"","")="Les deux",IFERROR(INDEX('Paramètres'!$I:$I,MATCH($C1792,'Paramètres'!$D:$D,0))&amp;"","")=IF($P1792=1,"Débit",$L1792)),-IF($P1792=1,-$K1792,$K1792),0))))</f>
        <v/>
      </c>
      <c r="U1792" s="6" t="str">
        <f>IF($K1792="","",IF(ISNUMBER(SEARCH("sortie-epargne",IFERROR(INDEX('Paramètres'!$N:$N,MATCH($D1792,'Paramètres'!$M:$M,0))&amp;"",""))),$K1792,0))</f>
        <v/>
      </c>
      <c r="V1792" s="6" t="str">
        <f>IF(AND($A1792&lt;&gt;"",$O1792=1,$L1792="Débit",N($Q1792)&gt;0,$A1792&gt;=Visualisation!$B$1,$A1792&lt;Visualisation!$D$1),MAX($V$1:V1791)+1,"")</f>
        <v/>
      </c>
    </row>
    <row r="1793" spans="1:22" x14ac:dyDescent="0.25">
      <c r="A1793" s="9"/>
      <c r="E1793" s="10"/>
      <c r="K1793" s="11" t="str">
        <f>IF($E1793="","",ROUND($E1793*IF(ISNA(MATCH($C1793,'Paramètres'!$D:$D,0)),1,IF(INDEX('Paramètres'!$J:$J,MATCH($C1793,'Paramètres'!$D:$D,0))="",1,INDEX('Paramètres'!$J:$J,MATCH($C1793,'Paramètres'!$D:$D,0)))),2))</f>
        <v/>
      </c>
      <c r="L1793" s="6" t="str">
        <f>IF($D1793="","",IF($F1793&lt;&gt;"",$F1793,IF(ISNA(MATCH($D1793,'Paramètres'!$M:$M,0)),"⚠ Type inconnu",IFERROR(INDEX('Paramètres'!$P:$P,MATCH($D1793,'Paramètres'!$M:$M,0))&amp;"",""))))</f>
        <v/>
      </c>
      <c r="M1793" s="6" t="str">
        <f>IF($D1793="","",IF(ISNA(MATCH($D1793,'Paramètres'!$M:$M,0)),"⚠ Type inconnu",IF($L1793="Crédit","",IFERROR(INDEX('Paramètres'!$O:$O,MATCH($D1793,'Paramètres'!$M:$M,0))&amp;"",""))))</f>
        <v/>
      </c>
      <c r="N1793" s="6" t="str">
        <f>IF($D1793="","",IFERROR(INDEX('Paramètres'!$Q:$Q,MATCH($D1793,'Paramètres'!$M:$M,0))&amp;"",""))</f>
        <v/>
      </c>
      <c r="O1793" s="6" t="str">
        <f>IF($A1793="","",IF(OR($J1793&lt;&gt;"x",$A1793&lt;=FinReleve),1,0))</f>
        <v/>
      </c>
      <c r="P1793" s="6" t="str">
        <f>IF($D1793="","",IF(AND($L1793="Crédit",OR(IFERROR(INDEX('Paramètres'!$O:$O,MATCH($D1793,'Paramètres'!$M:$M,0))&amp;"","")&lt;&gt;"",ISNUMBER(SEARCH("remboursement",IFERROR(INDEX('Paramètres'!$N:$N,MATCH($D1793,'Paramètres'!$M:$M,0))&amp;"",""))))),1,0))</f>
        <v/>
      </c>
      <c r="Q1793" s="6" t="str">
        <f>IF($K1793="","",IF(ISNUMBER(SEARCH("transfert-interne",IFERROR(INDEX('Paramètres'!$N:$N,MATCH($D1793,'Paramètres'!$M:$M,0))&amp;"",""))),0,IF($L1793="Débit",$K1793,IF($P1793=1,-$K1793,0))))</f>
        <v/>
      </c>
      <c r="R1793" s="6" t="str">
        <f>IF($K1793="","",IF($L1793="Crédit",$K1793,-$K1793))</f>
        <v/>
      </c>
      <c r="S1793" s="6" t="str">
        <f>IF($C1793="","",IFERROR(INDEX('Paramètres'!$H:$H,MATCH($C1793,'Paramètres'!$D:$D,0))&amp;"",""))</f>
        <v/>
      </c>
      <c r="T1793" s="6" t="str">
        <f>IF($K1793="","",IF($S1793="",0,IF(ISNUMBER(SEARCH("apport-exterieur",IFERROR(INDEX('Paramètres'!$N:$N,MATCH($D1793,'Paramètres'!$M:$M,0))&amp;"",""))),0,IF(OR(IFERROR(INDEX('Paramètres'!$I:$I,MATCH($C1793,'Paramètres'!$D:$D,0))&amp;"","")="Les deux",IFERROR(INDEX('Paramètres'!$I:$I,MATCH($C1793,'Paramètres'!$D:$D,0))&amp;"","")=IF($P1793=1,"Débit",$L1793)),-IF($P1793=1,-$K1793,$K1793),0))))</f>
        <v/>
      </c>
      <c r="U1793" s="6" t="str">
        <f>IF($K1793="","",IF(ISNUMBER(SEARCH("sortie-epargne",IFERROR(INDEX('Paramètres'!$N:$N,MATCH($D1793,'Paramètres'!$M:$M,0))&amp;"",""))),$K1793,0))</f>
        <v/>
      </c>
      <c r="V1793" s="6" t="str">
        <f>IF(AND($A1793&lt;&gt;"",$O1793=1,$L1793="Débit",N($Q1793)&gt;0,$A1793&gt;=Visualisation!$B$1,$A1793&lt;Visualisation!$D$1),MAX($V$1:V1792)+1,"")</f>
        <v/>
      </c>
    </row>
    <row r="1794" spans="1:22" x14ac:dyDescent="0.25">
      <c r="A1794" s="9"/>
      <c r="E1794" s="10"/>
      <c r="K1794" s="11" t="str">
        <f>IF($E1794="","",ROUND($E1794*IF(ISNA(MATCH($C1794,'Paramètres'!$D:$D,0)),1,IF(INDEX('Paramètres'!$J:$J,MATCH($C1794,'Paramètres'!$D:$D,0))="",1,INDEX('Paramètres'!$J:$J,MATCH($C1794,'Paramètres'!$D:$D,0)))),2))</f>
        <v/>
      </c>
      <c r="L1794" s="6" t="str">
        <f>IF($D1794="","",IF($F1794&lt;&gt;"",$F1794,IF(ISNA(MATCH($D1794,'Paramètres'!$M:$M,0)),"⚠ Type inconnu",IFERROR(INDEX('Paramètres'!$P:$P,MATCH($D1794,'Paramètres'!$M:$M,0))&amp;"",""))))</f>
        <v/>
      </c>
      <c r="M1794" s="6" t="str">
        <f>IF($D1794="","",IF(ISNA(MATCH($D1794,'Paramètres'!$M:$M,0)),"⚠ Type inconnu",IF($L1794="Crédit","",IFERROR(INDEX('Paramètres'!$O:$O,MATCH($D1794,'Paramètres'!$M:$M,0))&amp;"",""))))</f>
        <v/>
      </c>
      <c r="N1794" s="6" t="str">
        <f>IF($D1794="","",IFERROR(INDEX('Paramètres'!$Q:$Q,MATCH($D1794,'Paramètres'!$M:$M,0))&amp;"",""))</f>
        <v/>
      </c>
      <c r="O1794" s="6" t="str">
        <f>IF($A1794="","",IF(OR($J1794&lt;&gt;"x",$A1794&lt;=FinReleve),1,0))</f>
        <v/>
      </c>
      <c r="P1794" s="6" t="str">
        <f>IF($D1794="","",IF(AND($L1794="Crédit",OR(IFERROR(INDEX('Paramètres'!$O:$O,MATCH($D1794,'Paramètres'!$M:$M,0))&amp;"","")&lt;&gt;"",ISNUMBER(SEARCH("remboursement",IFERROR(INDEX('Paramètres'!$N:$N,MATCH($D1794,'Paramètres'!$M:$M,0))&amp;"",""))))),1,0))</f>
        <v/>
      </c>
      <c r="Q1794" s="6" t="str">
        <f>IF($K1794="","",IF(ISNUMBER(SEARCH("transfert-interne",IFERROR(INDEX('Paramètres'!$N:$N,MATCH($D1794,'Paramètres'!$M:$M,0))&amp;"",""))),0,IF($L1794="Débit",$K1794,IF($P1794=1,-$K1794,0))))</f>
        <v/>
      </c>
      <c r="R1794" s="6" t="str">
        <f>IF($K1794="","",IF($L1794="Crédit",$K1794,-$K1794))</f>
        <v/>
      </c>
      <c r="S1794" s="6" t="str">
        <f>IF($C1794="","",IFERROR(INDEX('Paramètres'!$H:$H,MATCH($C1794,'Paramètres'!$D:$D,0))&amp;"",""))</f>
        <v/>
      </c>
      <c r="T1794" s="6" t="str">
        <f>IF($K1794="","",IF($S1794="",0,IF(ISNUMBER(SEARCH("apport-exterieur",IFERROR(INDEX('Paramètres'!$N:$N,MATCH($D1794,'Paramètres'!$M:$M,0))&amp;"",""))),0,IF(OR(IFERROR(INDEX('Paramètres'!$I:$I,MATCH($C1794,'Paramètres'!$D:$D,0))&amp;"","")="Les deux",IFERROR(INDEX('Paramètres'!$I:$I,MATCH($C1794,'Paramètres'!$D:$D,0))&amp;"","")=IF($P1794=1,"Débit",$L1794)),-IF($P1794=1,-$K1794,$K1794),0))))</f>
        <v/>
      </c>
      <c r="U1794" s="6" t="str">
        <f>IF($K1794="","",IF(ISNUMBER(SEARCH("sortie-epargne",IFERROR(INDEX('Paramètres'!$N:$N,MATCH($D1794,'Paramètres'!$M:$M,0))&amp;"",""))),$K1794,0))</f>
        <v/>
      </c>
      <c r="V1794" s="6" t="str">
        <f>IF(AND($A1794&lt;&gt;"",$O1794=1,$L1794="Débit",N($Q1794)&gt;0,$A1794&gt;=Visualisation!$B$1,$A1794&lt;Visualisation!$D$1),MAX($V$1:V1793)+1,"")</f>
        <v/>
      </c>
    </row>
    <row r="1795" spans="1:22" x14ac:dyDescent="0.25">
      <c r="A1795" s="9"/>
      <c r="E1795" s="10"/>
      <c r="K1795" s="11" t="str">
        <f>IF($E1795="","",ROUND($E1795*IF(ISNA(MATCH($C1795,'Paramètres'!$D:$D,0)),1,IF(INDEX('Paramètres'!$J:$J,MATCH($C1795,'Paramètres'!$D:$D,0))="",1,INDEX('Paramètres'!$J:$J,MATCH($C1795,'Paramètres'!$D:$D,0)))),2))</f>
        <v/>
      </c>
      <c r="L1795" s="6" t="str">
        <f>IF($D1795="","",IF($F1795&lt;&gt;"",$F1795,IF(ISNA(MATCH($D1795,'Paramètres'!$M:$M,0)),"⚠ Type inconnu",IFERROR(INDEX('Paramètres'!$P:$P,MATCH($D1795,'Paramètres'!$M:$M,0))&amp;"",""))))</f>
        <v/>
      </c>
      <c r="M1795" s="6" t="str">
        <f>IF($D1795="","",IF(ISNA(MATCH($D1795,'Paramètres'!$M:$M,0)),"⚠ Type inconnu",IF($L1795="Crédit","",IFERROR(INDEX('Paramètres'!$O:$O,MATCH($D1795,'Paramètres'!$M:$M,0))&amp;"",""))))</f>
        <v/>
      </c>
      <c r="N1795" s="6" t="str">
        <f>IF($D1795="","",IFERROR(INDEX('Paramètres'!$Q:$Q,MATCH($D1795,'Paramètres'!$M:$M,0))&amp;"",""))</f>
        <v/>
      </c>
      <c r="O1795" s="6" t="str">
        <f>IF($A1795="","",IF(OR($J1795&lt;&gt;"x",$A1795&lt;=FinReleve),1,0))</f>
        <v/>
      </c>
      <c r="P1795" s="6" t="str">
        <f>IF($D1795="","",IF(AND($L1795="Crédit",OR(IFERROR(INDEX('Paramètres'!$O:$O,MATCH($D1795,'Paramètres'!$M:$M,0))&amp;"","")&lt;&gt;"",ISNUMBER(SEARCH("remboursement",IFERROR(INDEX('Paramètres'!$N:$N,MATCH($D1795,'Paramètres'!$M:$M,0))&amp;"",""))))),1,0))</f>
        <v/>
      </c>
      <c r="Q1795" s="6" t="str">
        <f>IF($K1795="","",IF(ISNUMBER(SEARCH("transfert-interne",IFERROR(INDEX('Paramètres'!$N:$N,MATCH($D1795,'Paramètres'!$M:$M,0))&amp;"",""))),0,IF($L1795="Débit",$K1795,IF($P1795=1,-$K1795,0))))</f>
        <v/>
      </c>
      <c r="R1795" s="6" t="str">
        <f>IF($K1795="","",IF($L1795="Crédit",$K1795,-$K1795))</f>
        <v/>
      </c>
      <c r="S1795" s="6" t="str">
        <f>IF($C1795="","",IFERROR(INDEX('Paramètres'!$H:$H,MATCH($C1795,'Paramètres'!$D:$D,0))&amp;"",""))</f>
        <v/>
      </c>
      <c r="T1795" s="6" t="str">
        <f>IF($K1795="","",IF($S1795="",0,IF(ISNUMBER(SEARCH("apport-exterieur",IFERROR(INDEX('Paramètres'!$N:$N,MATCH($D1795,'Paramètres'!$M:$M,0))&amp;"",""))),0,IF(OR(IFERROR(INDEX('Paramètres'!$I:$I,MATCH($C1795,'Paramètres'!$D:$D,0))&amp;"","")="Les deux",IFERROR(INDEX('Paramètres'!$I:$I,MATCH($C1795,'Paramètres'!$D:$D,0))&amp;"","")=IF($P1795=1,"Débit",$L1795)),-IF($P1795=1,-$K1795,$K1795),0))))</f>
        <v/>
      </c>
      <c r="U1795" s="6" t="str">
        <f>IF($K1795="","",IF(ISNUMBER(SEARCH("sortie-epargne",IFERROR(INDEX('Paramètres'!$N:$N,MATCH($D1795,'Paramètres'!$M:$M,0))&amp;"",""))),$K1795,0))</f>
        <v/>
      </c>
      <c r="V1795" s="6" t="str">
        <f>IF(AND($A1795&lt;&gt;"",$O1795=1,$L1795="Débit",N($Q1795)&gt;0,$A1795&gt;=Visualisation!$B$1,$A1795&lt;Visualisation!$D$1),MAX($V$1:V1794)+1,"")</f>
        <v/>
      </c>
    </row>
    <row r="1796" spans="1:22" x14ac:dyDescent="0.25">
      <c r="A1796" s="9"/>
      <c r="E1796" s="10"/>
      <c r="K1796" s="11" t="str">
        <f>IF($E1796="","",ROUND($E1796*IF(ISNA(MATCH($C1796,'Paramètres'!$D:$D,0)),1,IF(INDEX('Paramètres'!$J:$J,MATCH($C1796,'Paramètres'!$D:$D,0))="",1,INDEX('Paramètres'!$J:$J,MATCH($C1796,'Paramètres'!$D:$D,0)))),2))</f>
        <v/>
      </c>
      <c r="L1796" s="6" t="str">
        <f>IF($D1796="","",IF($F1796&lt;&gt;"",$F1796,IF(ISNA(MATCH($D1796,'Paramètres'!$M:$M,0)),"⚠ Type inconnu",IFERROR(INDEX('Paramètres'!$P:$P,MATCH($D1796,'Paramètres'!$M:$M,0))&amp;"",""))))</f>
        <v/>
      </c>
      <c r="M1796" s="6" t="str">
        <f>IF($D1796="","",IF(ISNA(MATCH($D1796,'Paramètres'!$M:$M,0)),"⚠ Type inconnu",IF($L1796="Crédit","",IFERROR(INDEX('Paramètres'!$O:$O,MATCH($D1796,'Paramètres'!$M:$M,0))&amp;"",""))))</f>
        <v/>
      </c>
      <c r="N1796" s="6" t="str">
        <f>IF($D1796="","",IFERROR(INDEX('Paramètres'!$Q:$Q,MATCH($D1796,'Paramètres'!$M:$M,0))&amp;"",""))</f>
        <v/>
      </c>
      <c r="O1796" s="6" t="str">
        <f>IF($A1796="","",IF(OR($J1796&lt;&gt;"x",$A1796&lt;=FinReleve),1,0))</f>
        <v/>
      </c>
      <c r="P1796" s="6" t="str">
        <f>IF($D1796="","",IF(AND($L1796="Crédit",OR(IFERROR(INDEX('Paramètres'!$O:$O,MATCH($D1796,'Paramètres'!$M:$M,0))&amp;"","")&lt;&gt;"",ISNUMBER(SEARCH("remboursement",IFERROR(INDEX('Paramètres'!$N:$N,MATCH($D1796,'Paramètres'!$M:$M,0))&amp;"",""))))),1,0))</f>
        <v/>
      </c>
      <c r="Q1796" s="6" t="str">
        <f>IF($K1796="","",IF(ISNUMBER(SEARCH("transfert-interne",IFERROR(INDEX('Paramètres'!$N:$N,MATCH($D1796,'Paramètres'!$M:$M,0))&amp;"",""))),0,IF($L1796="Débit",$K1796,IF($P1796=1,-$K1796,0))))</f>
        <v/>
      </c>
      <c r="R1796" s="6" t="str">
        <f>IF($K1796="","",IF($L1796="Crédit",$K1796,-$K1796))</f>
        <v/>
      </c>
      <c r="S1796" s="6" t="str">
        <f>IF($C1796="","",IFERROR(INDEX('Paramètres'!$H:$H,MATCH($C1796,'Paramètres'!$D:$D,0))&amp;"",""))</f>
        <v/>
      </c>
      <c r="T1796" s="6" t="str">
        <f>IF($K1796="","",IF($S1796="",0,IF(ISNUMBER(SEARCH("apport-exterieur",IFERROR(INDEX('Paramètres'!$N:$N,MATCH($D1796,'Paramètres'!$M:$M,0))&amp;"",""))),0,IF(OR(IFERROR(INDEX('Paramètres'!$I:$I,MATCH($C1796,'Paramètres'!$D:$D,0))&amp;"","")="Les deux",IFERROR(INDEX('Paramètres'!$I:$I,MATCH($C1796,'Paramètres'!$D:$D,0))&amp;"","")=IF($P1796=1,"Débit",$L1796)),-IF($P1796=1,-$K1796,$K1796),0))))</f>
        <v/>
      </c>
      <c r="U1796" s="6" t="str">
        <f>IF($K1796="","",IF(ISNUMBER(SEARCH("sortie-epargne",IFERROR(INDEX('Paramètres'!$N:$N,MATCH($D1796,'Paramètres'!$M:$M,0))&amp;"",""))),$K1796,0))</f>
        <v/>
      </c>
      <c r="V1796" s="6" t="str">
        <f>IF(AND($A1796&lt;&gt;"",$O1796=1,$L1796="Débit",N($Q1796)&gt;0,$A1796&gt;=Visualisation!$B$1,$A1796&lt;Visualisation!$D$1),MAX($V$1:V1795)+1,"")</f>
        <v/>
      </c>
    </row>
    <row r="1797" spans="1:22" x14ac:dyDescent="0.25">
      <c r="A1797" s="9"/>
      <c r="E1797" s="10"/>
      <c r="K1797" s="11" t="str">
        <f>IF($E1797="","",ROUND($E1797*IF(ISNA(MATCH($C1797,'Paramètres'!$D:$D,0)),1,IF(INDEX('Paramètres'!$J:$J,MATCH($C1797,'Paramètres'!$D:$D,0))="",1,INDEX('Paramètres'!$J:$J,MATCH($C1797,'Paramètres'!$D:$D,0)))),2))</f>
        <v/>
      </c>
      <c r="L1797" s="6" t="str">
        <f>IF($D1797="","",IF($F1797&lt;&gt;"",$F1797,IF(ISNA(MATCH($D1797,'Paramètres'!$M:$M,0)),"⚠ Type inconnu",IFERROR(INDEX('Paramètres'!$P:$P,MATCH($D1797,'Paramètres'!$M:$M,0))&amp;"",""))))</f>
        <v/>
      </c>
      <c r="M1797" s="6" t="str">
        <f>IF($D1797="","",IF(ISNA(MATCH($D1797,'Paramètres'!$M:$M,0)),"⚠ Type inconnu",IF($L1797="Crédit","",IFERROR(INDEX('Paramètres'!$O:$O,MATCH($D1797,'Paramètres'!$M:$M,0))&amp;"",""))))</f>
        <v/>
      </c>
      <c r="N1797" s="6" t="str">
        <f>IF($D1797="","",IFERROR(INDEX('Paramètres'!$Q:$Q,MATCH($D1797,'Paramètres'!$M:$M,0))&amp;"",""))</f>
        <v/>
      </c>
      <c r="O1797" s="6" t="str">
        <f>IF($A1797="","",IF(OR($J1797&lt;&gt;"x",$A1797&lt;=FinReleve),1,0))</f>
        <v/>
      </c>
      <c r="P1797" s="6" t="str">
        <f>IF($D1797="","",IF(AND($L1797="Crédit",OR(IFERROR(INDEX('Paramètres'!$O:$O,MATCH($D1797,'Paramètres'!$M:$M,0))&amp;"","")&lt;&gt;"",ISNUMBER(SEARCH("remboursement",IFERROR(INDEX('Paramètres'!$N:$N,MATCH($D1797,'Paramètres'!$M:$M,0))&amp;"",""))))),1,0))</f>
        <v/>
      </c>
      <c r="Q1797" s="6" t="str">
        <f>IF($K1797="","",IF(ISNUMBER(SEARCH("transfert-interne",IFERROR(INDEX('Paramètres'!$N:$N,MATCH($D1797,'Paramètres'!$M:$M,0))&amp;"",""))),0,IF($L1797="Débit",$K1797,IF($P1797=1,-$K1797,0))))</f>
        <v/>
      </c>
      <c r="R1797" s="6" t="str">
        <f>IF($K1797="","",IF($L1797="Crédit",$K1797,-$K1797))</f>
        <v/>
      </c>
      <c r="S1797" s="6" t="str">
        <f>IF($C1797="","",IFERROR(INDEX('Paramètres'!$H:$H,MATCH($C1797,'Paramètres'!$D:$D,0))&amp;"",""))</f>
        <v/>
      </c>
      <c r="T1797" s="6" t="str">
        <f>IF($K1797="","",IF($S1797="",0,IF(ISNUMBER(SEARCH("apport-exterieur",IFERROR(INDEX('Paramètres'!$N:$N,MATCH($D1797,'Paramètres'!$M:$M,0))&amp;"",""))),0,IF(OR(IFERROR(INDEX('Paramètres'!$I:$I,MATCH($C1797,'Paramètres'!$D:$D,0))&amp;"","")="Les deux",IFERROR(INDEX('Paramètres'!$I:$I,MATCH($C1797,'Paramètres'!$D:$D,0))&amp;"","")=IF($P1797=1,"Débit",$L1797)),-IF($P1797=1,-$K1797,$K1797),0))))</f>
        <v/>
      </c>
      <c r="U1797" s="6" t="str">
        <f>IF($K1797="","",IF(ISNUMBER(SEARCH("sortie-epargne",IFERROR(INDEX('Paramètres'!$N:$N,MATCH($D1797,'Paramètres'!$M:$M,0))&amp;"",""))),$K1797,0))</f>
        <v/>
      </c>
      <c r="V1797" s="6" t="str">
        <f>IF(AND($A1797&lt;&gt;"",$O1797=1,$L1797="Débit",N($Q1797)&gt;0,$A1797&gt;=Visualisation!$B$1,$A1797&lt;Visualisation!$D$1),MAX($V$1:V1796)+1,"")</f>
        <v/>
      </c>
    </row>
    <row r="1798" spans="1:22" x14ac:dyDescent="0.25">
      <c r="A1798" s="9"/>
      <c r="E1798" s="10"/>
      <c r="K1798" s="11" t="str">
        <f>IF($E1798="","",ROUND($E1798*IF(ISNA(MATCH($C1798,'Paramètres'!$D:$D,0)),1,IF(INDEX('Paramètres'!$J:$J,MATCH($C1798,'Paramètres'!$D:$D,0))="",1,INDEX('Paramètres'!$J:$J,MATCH($C1798,'Paramètres'!$D:$D,0)))),2))</f>
        <v/>
      </c>
      <c r="L1798" s="6" t="str">
        <f>IF($D1798="","",IF($F1798&lt;&gt;"",$F1798,IF(ISNA(MATCH($D1798,'Paramètres'!$M:$M,0)),"⚠ Type inconnu",IFERROR(INDEX('Paramètres'!$P:$P,MATCH($D1798,'Paramètres'!$M:$M,0))&amp;"",""))))</f>
        <v/>
      </c>
      <c r="M1798" s="6" t="str">
        <f>IF($D1798="","",IF(ISNA(MATCH($D1798,'Paramètres'!$M:$M,0)),"⚠ Type inconnu",IF($L1798="Crédit","",IFERROR(INDEX('Paramètres'!$O:$O,MATCH($D1798,'Paramètres'!$M:$M,0))&amp;"",""))))</f>
        <v/>
      </c>
      <c r="N1798" s="6" t="str">
        <f>IF($D1798="","",IFERROR(INDEX('Paramètres'!$Q:$Q,MATCH($D1798,'Paramètres'!$M:$M,0))&amp;"",""))</f>
        <v/>
      </c>
      <c r="O1798" s="6" t="str">
        <f>IF($A1798="","",IF(OR($J1798&lt;&gt;"x",$A1798&lt;=FinReleve),1,0))</f>
        <v/>
      </c>
      <c r="P1798" s="6" t="str">
        <f>IF($D1798="","",IF(AND($L1798="Crédit",OR(IFERROR(INDEX('Paramètres'!$O:$O,MATCH($D1798,'Paramètres'!$M:$M,0))&amp;"","")&lt;&gt;"",ISNUMBER(SEARCH("remboursement",IFERROR(INDEX('Paramètres'!$N:$N,MATCH($D1798,'Paramètres'!$M:$M,0))&amp;"",""))))),1,0))</f>
        <v/>
      </c>
      <c r="Q1798" s="6" t="str">
        <f>IF($K1798="","",IF(ISNUMBER(SEARCH("transfert-interne",IFERROR(INDEX('Paramètres'!$N:$N,MATCH($D1798,'Paramètres'!$M:$M,0))&amp;"",""))),0,IF($L1798="Débit",$K1798,IF($P1798=1,-$K1798,0))))</f>
        <v/>
      </c>
      <c r="R1798" s="6" t="str">
        <f>IF($K1798="","",IF($L1798="Crédit",$K1798,-$K1798))</f>
        <v/>
      </c>
      <c r="S1798" s="6" t="str">
        <f>IF($C1798="","",IFERROR(INDEX('Paramètres'!$H:$H,MATCH($C1798,'Paramètres'!$D:$D,0))&amp;"",""))</f>
        <v/>
      </c>
      <c r="T1798" s="6" t="str">
        <f>IF($K1798="","",IF($S1798="",0,IF(ISNUMBER(SEARCH("apport-exterieur",IFERROR(INDEX('Paramètres'!$N:$N,MATCH($D1798,'Paramètres'!$M:$M,0))&amp;"",""))),0,IF(OR(IFERROR(INDEX('Paramètres'!$I:$I,MATCH($C1798,'Paramètres'!$D:$D,0))&amp;"","")="Les deux",IFERROR(INDEX('Paramètres'!$I:$I,MATCH($C1798,'Paramètres'!$D:$D,0))&amp;"","")=IF($P1798=1,"Débit",$L1798)),-IF($P1798=1,-$K1798,$K1798),0))))</f>
        <v/>
      </c>
      <c r="U1798" s="6" t="str">
        <f>IF($K1798="","",IF(ISNUMBER(SEARCH("sortie-epargne",IFERROR(INDEX('Paramètres'!$N:$N,MATCH($D1798,'Paramètres'!$M:$M,0))&amp;"",""))),$K1798,0))</f>
        <v/>
      </c>
      <c r="V1798" s="6" t="str">
        <f>IF(AND($A1798&lt;&gt;"",$O1798=1,$L1798="Débit",N($Q1798)&gt;0,$A1798&gt;=Visualisation!$B$1,$A1798&lt;Visualisation!$D$1),MAX($V$1:V1797)+1,"")</f>
        <v/>
      </c>
    </row>
    <row r="1799" spans="1:22" x14ac:dyDescent="0.25">
      <c r="A1799" s="9"/>
      <c r="E1799" s="10"/>
      <c r="K1799" s="11" t="str">
        <f>IF($E1799="","",ROUND($E1799*IF(ISNA(MATCH($C1799,'Paramètres'!$D:$D,0)),1,IF(INDEX('Paramètres'!$J:$J,MATCH($C1799,'Paramètres'!$D:$D,0))="",1,INDEX('Paramètres'!$J:$J,MATCH($C1799,'Paramètres'!$D:$D,0)))),2))</f>
        <v/>
      </c>
      <c r="L1799" s="6" t="str">
        <f>IF($D1799="","",IF($F1799&lt;&gt;"",$F1799,IF(ISNA(MATCH($D1799,'Paramètres'!$M:$M,0)),"⚠ Type inconnu",IFERROR(INDEX('Paramètres'!$P:$P,MATCH($D1799,'Paramètres'!$M:$M,0))&amp;"",""))))</f>
        <v/>
      </c>
      <c r="M1799" s="6" t="str">
        <f>IF($D1799="","",IF(ISNA(MATCH($D1799,'Paramètres'!$M:$M,0)),"⚠ Type inconnu",IF($L1799="Crédit","",IFERROR(INDEX('Paramètres'!$O:$O,MATCH($D1799,'Paramètres'!$M:$M,0))&amp;"",""))))</f>
        <v/>
      </c>
      <c r="N1799" s="6" t="str">
        <f>IF($D1799="","",IFERROR(INDEX('Paramètres'!$Q:$Q,MATCH($D1799,'Paramètres'!$M:$M,0))&amp;"",""))</f>
        <v/>
      </c>
      <c r="O1799" s="6" t="str">
        <f>IF($A1799="","",IF(OR($J1799&lt;&gt;"x",$A1799&lt;=FinReleve),1,0))</f>
        <v/>
      </c>
      <c r="P1799" s="6" t="str">
        <f>IF($D1799="","",IF(AND($L1799="Crédit",OR(IFERROR(INDEX('Paramètres'!$O:$O,MATCH($D1799,'Paramètres'!$M:$M,0))&amp;"","")&lt;&gt;"",ISNUMBER(SEARCH("remboursement",IFERROR(INDEX('Paramètres'!$N:$N,MATCH($D1799,'Paramètres'!$M:$M,0))&amp;"",""))))),1,0))</f>
        <v/>
      </c>
      <c r="Q1799" s="6" t="str">
        <f>IF($K1799="","",IF(ISNUMBER(SEARCH("transfert-interne",IFERROR(INDEX('Paramètres'!$N:$N,MATCH($D1799,'Paramètres'!$M:$M,0))&amp;"",""))),0,IF($L1799="Débit",$K1799,IF($P1799=1,-$K1799,0))))</f>
        <v/>
      </c>
      <c r="R1799" s="6" t="str">
        <f>IF($K1799="","",IF($L1799="Crédit",$K1799,-$K1799))</f>
        <v/>
      </c>
      <c r="S1799" s="6" t="str">
        <f>IF($C1799="","",IFERROR(INDEX('Paramètres'!$H:$H,MATCH($C1799,'Paramètres'!$D:$D,0))&amp;"",""))</f>
        <v/>
      </c>
      <c r="T1799" s="6" t="str">
        <f>IF($K1799="","",IF($S1799="",0,IF(ISNUMBER(SEARCH("apport-exterieur",IFERROR(INDEX('Paramètres'!$N:$N,MATCH($D1799,'Paramètres'!$M:$M,0))&amp;"",""))),0,IF(OR(IFERROR(INDEX('Paramètres'!$I:$I,MATCH($C1799,'Paramètres'!$D:$D,0))&amp;"","")="Les deux",IFERROR(INDEX('Paramètres'!$I:$I,MATCH($C1799,'Paramètres'!$D:$D,0))&amp;"","")=IF($P1799=1,"Débit",$L1799)),-IF($P1799=1,-$K1799,$K1799),0))))</f>
        <v/>
      </c>
      <c r="U1799" s="6" t="str">
        <f>IF($K1799="","",IF(ISNUMBER(SEARCH("sortie-epargne",IFERROR(INDEX('Paramètres'!$N:$N,MATCH($D1799,'Paramètres'!$M:$M,0))&amp;"",""))),$K1799,0))</f>
        <v/>
      </c>
      <c r="V1799" s="6" t="str">
        <f>IF(AND($A1799&lt;&gt;"",$O1799=1,$L1799="Débit",N($Q1799)&gt;0,$A1799&gt;=Visualisation!$B$1,$A1799&lt;Visualisation!$D$1),MAX($V$1:V1798)+1,"")</f>
        <v/>
      </c>
    </row>
    <row r="1800" spans="1:22" x14ac:dyDescent="0.25">
      <c r="A1800" s="9"/>
      <c r="E1800" s="10"/>
      <c r="K1800" s="11" t="str">
        <f>IF($E1800="","",ROUND($E1800*IF(ISNA(MATCH($C1800,'Paramètres'!$D:$D,0)),1,IF(INDEX('Paramètres'!$J:$J,MATCH($C1800,'Paramètres'!$D:$D,0))="",1,INDEX('Paramètres'!$J:$J,MATCH($C1800,'Paramètres'!$D:$D,0)))),2))</f>
        <v/>
      </c>
      <c r="L1800" s="6" t="str">
        <f>IF($D1800="","",IF($F1800&lt;&gt;"",$F1800,IF(ISNA(MATCH($D1800,'Paramètres'!$M:$M,0)),"⚠ Type inconnu",IFERROR(INDEX('Paramètres'!$P:$P,MATCH($D1800,'Paramètres'!$M:$M,0))&amp;"",""))))</f>
        <v/>
      </c>
      <c r="M1800" s="6" t="str">
        <f>IF($D1800="","",IF(ISNA(MATCH($D1800,'Paramètres'!$M:$M,0)),"⚠ Type inconnu",IF($L1800="Crédit","",IFERROR(INDEX('Paramètres'!$O:$O,MATCH($D1800,'Paramètres'!$M:$M,0))&amp;"",""))))</f>
        <v/>
      </c>
      <c r="N1800" s="6" t="str">
        <f>IF($D1800="","",IFERROR(INDEX('Paramètres'!$Q:$Q,MATCH($D1800,'Paramètres'!$M:$M,0))&amp;"",""))</f>
        <v/>
      </c>
      <c r="O1800" s="6" t="str">
        <f>IF($A1800="","",IF(OR($J1800&lt;&gt;"x",$A1800&lt;=FinReleve),1,0))</f>
        <v/>
      </c>
      <c r="P1800" s="6" t="str">
        <f>IF($D1800="","",IF(AND($L1800="Crédit",OR(IFERROR(INDEX('Paramètres'!$O:$O,MATCH($D1800,'Paramètres'!$M:$M,0))&amp;"","")&lt;&gt;"",ISNUMBER(SEARCH("remboursement",IFERROR(INDEX('Paramètres'!$N:$N,MATCH($D1800,'Paramètres'!$M:$M,0))&amp;"",""))))),1,0))</f>
        <v/>
      </c>
      <c r="Q1800" s="6" t="str">
        <f>IF($K1800="","",IF(ISNUMBER(SEARCH("transfert-interne",IFERROR(INDEX('Paramètres'!$N:$N,MATCH($D1800,'Paramètres'!$M:$M,0))&amp;"",""))),0,IF($L1800="Débit",$K1800,IF($P1800=1,-$K1800,0))))</f>
        <v/>
      </c>
      <c r="R1800" s="6" t="str">
        <f>IF($K1800="","",IF($L1800="Crédit",$K1800,-$K1800))</f>
        <v/>
      </c>
      <c r="S1800" s="6" t="str">
        <f>IF($C1800="","",IFERROR(INDEX('Paramètres'!$H:$H,MATCH($C1800,'Paramètres'!$D:$D,0))&amp;"",""))</f>
        <v/>
      </c>
      <c r="T1800" s="6" t="str">
        <f>IF($K1800="","",IF($S1800="",0,IF(ISNUMBER(SEARCH("apport-exterieur",IFERROR(INDEX('Paramètres'!$N:$N,MATCH($D1800,'Paramètres'!$M:$M,0))&amp;"",""))),0,IF(OR(IFERROR(INDEX('Paramètres'!$I:$I,MATCH($C1800,'Paramètres'!$D:$D,0))&amp;"","")="Les deux",IFERROR(INDEX('Paramètres'!$I:$I,MATCH($C1800,'Paramètres'!$D:$D,0))&amp;"","")=IF($P1800=1,"Débit",$L1800)),-IF($P1800=1,-$K1800,$K1800),0))))</f>
        <v/>
      </c>
      <c r="U1800" s="6" t="str">
        <f>IF($K1800="","",IF(ISNUMBER(SEARCH("sortie-epargne",IFERROR(INDEX('Paramètres'!$N:$N,MATCH($D1800,'Paramètres'!$M:$M,0))&amp;"",""))),$K1800,0))</f>
        <v/>
      </c>
      <c r="V1800" s="6" t="str">
        <f>IF(AND($A1800&lt;&gt;"",$O1800=1,$L1800="Débit",N($Q1800)&gt;0,$A1800&gt;=Visualisation!$B$1,$A1800&lt;Visualisation!$D$1),MAX($V$1:V1799)+1,"")</f>
        <v/>
      </c>
    </row>
    <row r="1801" spans="1:22" x14ac:dyDescent="0.25">
      <c r="A1801" s="9"/>
      <c r="E1801" s="10"/>
      <c r="K1801" s="11" t="str">
        <f>IF($E1801="","",ROUND($E1801*IF(ISNA(MATCH($C1801,'Paramètres'!$D:$D,0)),1,IF(INDEX('Paramètres'!$J:$J,MATCH($C1801,'Paramètres'!$D:$D,0))="",1,INDEX('Paramètres'!$J:$J,MATCH($C1801,'Paramètres'!$D:$D,0)))),2))</f>
        <v/>
      </c>
      <c r="L1801" s="6" t="str">
        <f>IF($D1801="","",IF($F1801&lt;&gt;"",$F1801,IF(ISNA(MATCH($D1801,'Paramètres'!$M:$M,0)),"⚠ Type inconnu",IFERROR(INDEX('Paramètres'!$P:$P,MATCH($D1801,'Paramètres'!$M:$M,0))&amp;"",""))))</f>
        <v/>
      </c>
      <c r="M1801" s="6" t="str">
        <f>IF($D1801="","",IF(ISNA(MATCH($D1801,'Paramètres'!$M:$M,0)),"⚠ Type inconnu",IF($L1801="Crédit","",IFERROR(INDEX('Paramètres'!$O:$O,MATCH($D1801,'Paramètres'!$M:$M,0))&amp;"",""))))</f>
        <v/>
      </c>
      <c r="N1801" s="6" t="str">
        <f>IF($D1801="","",IFERROR(INDEX('Paramètres'!$Q:$Q,MATCH($D1801,'Paramètres'!$M:$M,0))&amp;"",""))</f>
        <v/>
      </c>
      <c r="O1801" s="6" t="str">
        <f>IF($A1801="","",IF(OR($J1801&lt;&gt;"x",$A1801&lt;=FinReleve),1,0))</f>
        <v/>
      </c>
      <c r="P1801" s="6" t="str">
        <f>IF($D1801="","",IF(AND($L1801="Crédit",OR(IFERROR(INDEX('Paramètres'!$O:$O,MATCH($D1801,'Paramètres'!$M:$M,0))&amp;"","")&lt;&gt;"",ISNUMBER(SEARCH("remboursement",IFERROR(INDEX('Paramètres'!$N:$N,MATCH($D1801,'Paramètres'!$M:$M,0))&amp;"",""))))),1,0))</f>
        <v/>
      </c>
      <c r="Q1801" s="6" t="str">
        <f>IF($K1801="","",IF(ISNUMBER(SEARCH("transfert-interne",IFERROR(INDEX('Paramètres'!$N:$N,MATCH($D1801,'Paramètres'!$M:$M,0))&amp;"",""))),0,IF($L1801="Débit",$K1801,IF($P1801=1,-$K1801,0))))</f>
        <v/>
      </c>
      <c r="R1801" s="6" t="str">
        <f>IF($K1801="","",IF($L1801="Crédit",$K1801,-$K1801))</f>
        <v/>
      </c>
      <c r="S1801" s="6" t="str">
        <f>IF($C1801="","",IFERROR(INDEX('Paramètres'!$H:$H,MATCH($C1801,'Paramètres'!$D:$D,0))&amp;"",""))</f>
        <v/>
      </c>
      <c r="T1801" s="6" t="str">
        <f>IF($K1801="","",IF($S1801="",0,IF(ISNUMBER(SEARCH("apport-exterieur",IFERROR(INDEX('Paramètres'!$N:$N,MATCH($D1801,'Paramètres'!$M:$M,0))&amp;"",""))),0,IF(OR(IFERROR(INDEX('Paramètres'!$I:$I,MATCH($C1801,'Paramètres'!$D:$D,0))&amp;"","")="Les deux",IFERROR(INDEX('Paramètres'!$I:$I,MATCH($C1801,'Paramètres'!$D:$D,0))&amp;"","")=IF($P1801=1,"Débit",$L1801)),-IF($P1801=1,-$K1801,$K1801),0))))</f>
        <v/>
      </c>
      <c r="U1801" s="6" t="str">
        <f>IF($K1801="","",IF(ISNUMBER(SEARCH("sortie-epargne",IFERROR(INDEX('Paramètres'!$N:$N,MATCH($D1801,'Paramètres'!$M:$M,0))&amp;"",""))),$K1801,0))</f>
        <v/>
      </c>
      <c r="V1801" s="6" t="str">
        <f>IF(AND($A1801&lt;&gt;"",$O1801=1,$L1801="Débit",N($Q1801)&gt;0,$A1801&gt;=Visualisation!$B$1,$A1801&lt;Visualisation!$D$1),MAX($V$1:V1800)+1,"")</f>
        <v/>
      </c>
    </row>
    <row r="1802" spans="1:22" x14ac:dyDescent="0.25">
      <c r="A1802" s="9"/>
      <c r="E1802" s="10"/>
      <c r="K1802" s="11" t="str">
        <f>IF($E1802="","",ROUND($E1802*IF(ISNA(MATCH($C1802,'Paramètres'!$D:$D,0)),1,IF(INDEX('Paramètres'!$J:$J,MATCH($C1802,'Paramètres'!$D:$D,0))="",1,INDEX('Paramètres'!$J:$J,MATCH($C1802,'Paramètres'!$D:$D,0)))),2))</f>
        <v/>
      </c>
      <c r="L1802" s="6" t="str">
        <f>IF($D1802="","",IF($F1802&lt;&gt;"",$F1802,IF(ISNA(MATCH($D1802,'Paramètres'!$M:$M,0)),"⚠ Type inconnu",IFERROR(INDEX('Paramètres'!$P:$P,MATCH($D1802,'Paramètres'!$M:$M,0))&amp;"",""))))</f>
        <v/>
      </c>
      <c r="M1802" s="6" t="str">
        <f>IF($D1802="","",IF(ISNA(MATCH($D1802,'Paramètres'!$M:$M,0)),"⚠ Type inconnu",IF($L1802="Crédit","",IFERROR(INDEX('Paramètres'!$O:$O,MATCH($D1802,'Paramètres'!$M:$M,0))&amp;"",""))))</f>
        <v/>
      </c>
      <c r="N1802" s="6" t="str">
        <f>IF($D1802="","",IFERROR(INDEX('Paramètres'!$Q:$Q,MATCH($D1802,'Paramètres'!$M:$M,0))&amp;"",""))</f>
        <v/>
      </c>
      <c r="O1802" s="6" t="str">
        <f>IF($A1802="","",IF(OR($J1802&lt;&gt;"x",$A1802&lt;=FinReleve),1,0))</f>
        <v/>
      </c>
      <c r="P1802" s="6" t="str">
        <f>IF($D1802="","",IF(AND($L1802="Crédit",OR(IFERROR(INDEX('Paramètres'!$O:$O,MATCH($D1802,'Paramètres'!$M:$M,0))&amp;"","")&lt;&gt;"",ISNUMBER(SEARCH("remboursement",IFERROR(INDEX('Paramètres'!$N:$N,MATCH($D1802,'Paramètres'!$M:$M,0))&amp;"",""))))),1,0))</f>
        <v/>
      </c>
      <c r="Q1802" s="6" t="str">
        <f>IF($K1802="","",IF(ISNUMBER(SEARCH("transfert-interne",IFERROR(INDEX('Paramètres'!$N:$N,MATCH($D1802,'Paramètres'!$M:$M,0))&amp;"",""))),0,IF($L1802="Débit",$K1802,IF($P1802=1,-$K1802,0))))</f>
        <v/>
      </c>
      <c r="R1802" s="6" t="str">
        <f>IF($K1802="","",IF($L1802="Crédit",$K1802,-$K1802))</f>
        <v/>
      </c>
      <c r="S1802" s="6" t="str">
        <f>IF($C1802="","",IFERROR(INDEX('Paramètres'!$H:$H,MATCH($C1802,'Paramètres'!$D:$D,0))&amp;"",""))</f>
        <v/>
      </c>
      <c r="T1802" s="6" t="str">
        <f>IF($K1802="","",IF($S1802="",0,IF(ISNUMBER(SEARCH("apport-exterieur",IFERROR(INDEX('Paramètres'!$N:$N,MATCH($D1802,'Paramètres'!$M:$M,0))&amp;"",""))),0,IF(OR(IFERROR(INDEX('Paramètres'!$I:$I,MATCH($C1802,'Paramètres'!$D:$D,0))&amp;"","")="Les deux",IFERROR(INDEX('Paramètres'!$I:$I,MATCH($C1802,'Paramètres'!$D:$D,0))&amp;"","")=IF($P1802=1,"Débit",$L1802)),-IF($P1802=1,-$K1802,$K1802),0))))</f>
        <v/>
      </c>
      <c r="U1802" s="6" t="str">
        <f>IF($K1802="","",IF(ISNUMBER(SEARCH("sortie-epargne",IFERROR(INDEX('Paramètres'!$N:$N,MATCH($D1802,'Paramètres'!$M:$M,0))&amp;"",""))),$K1802,0))</f>
        <v/>
      </c>
      <c r="V1802" s="6" t="str">
        <f>IF(AND($A1802&lt;&gt;"",$O1802=1,$L1802="Débit",N($Q1802)&gt;0,$A1802&gt;=Visualisation!$B$1,$A1802&lt;Visualisation!$D$1),MAX($V$1:V1801)+1,"")</f>
        <v/>
      </c>
    </row>
    <row r="1803" spans="1:22" x14ac:dyDescent="0.25">
      <c r="A1803" s="9"/>
      <c r="E1803" s="10"/>
      <c r="K1803" s="11" t="str">
        <f>IF($E1803="","",ROUND($E1803*IF(ISNA(MATCH($C1803,'Paramètres'!$D:$D,0)),1,IF(INDEX('Paramètres'!$J:$J,MATCH($C1803,'Paramètres'!$D:$D,0))="",1,INDEX('Paramètres'!$J:$J,MATCH($C1803,'Paramètres'!$D:$D,0)))),2))</f>
        <v/>
      </c>
      <c r="L1803" s="6" t="str">
        <f>IF($D1803="","",IF($F1803&lt;&gt;"",$F1803,IF(ISNA(MATCH($D1803,'Paramètres'!$M:$M,0)),"⚠ Type inconnu",IFERROR(INDEX('Paramètres'!$P:$P,MATCH($D1803,'Paramètres'!$M:$M,0))&amp;"",""))))</f>
        <v/>
      </c>
      <c r="M1803" s="6" t="str">
        <f>IF($D1803="","",IF(ISNA(MATCH($D1803,'Paramètres'!$M:$M,0)),"⚠ Type inconnu",IF($L1803="Crédit","",IFERROR(INDEX('Paramètres'!$O:$O,MATCH($D1803,'Paramètres'!$M:$M,0))&amp;"",""))))</f>
        <v/>
      </c>
      <c r="N1803" s="6" t="str">
        <f>IF($D1803="","",IFERROR(INDEX('Paramètres'!$Q:$Q,MATCH($D1803,'Paramètres'!$M:$M,0))&amp;"",""))</f>
        <v/>
      </c>
      <c r="O1803" s="6" t="str">
        <f>IF($A1803="","",IF(OR($J1803&lt;&gt;"x",$A1803&lt;=FinReleve),1,0))</f>
        <v/>
      </c>
      <c r="P1803" s="6" t="str">
        <f>IF($D1803="","",IF(AND($L1803="Crédit",OR(IFERROR(INDEX('Paramètres'!$O:$O,MATCH($D1803,'Paramètres'!$M:$M,0))&amp;"","")&lt;&gt;"",ISNUMBER(SEARCH("remboursement",IFERROR(INDEX('Paramètres'!$N:$N,MATCH($D1803,'Paramètres'!$M:$M,0))&amp;"",""))))),1,0))</f>
        <v/>
      </c>
      <c r="Q1803" s="6" t="str">
        <f>IF($K1803="","",IF(ISNUMBER(SEARCH("transfert-interne",IFERROR(INDEX('Paramètres'!$N:$N,MATCH($D1803,'Paramètres'!$M:$M,0))&amp;"",""))),0,IF($L1803="Débit",$K1803,IF($P1803=1,-$K1803,0))))</f>
        <v/>
      </c>
      <c r="R1803" s="6" t="str">
        <f>IF($K1803="","",IF($L1803="Crédit",$K1803,-$K1803))</f>
        <v/>
      </c>
      <c r="S1803" s="6" t="str">
        <f>IF($C1803="","",IFERROR(INDEX('Paramètres'!$H:$H,MATCH($C1803,'Paramètres'!$D:$D,0))&amp;"",""))</f>
        <v/>
      </c>
      <c r="T1803" s="6" t="str">
        <f>IF($K1803="","",IF($S1803="",0,IF(ISNUMBER(SEARCH("apport-exterieur",IFERROR(INDEX('Paramètres'!$N:$N,MATCH($D1803,'Paramètres'!$M:$M,0))&amp;"",""))),0,IF(OR(IFERROR(INDEX('Paramètres'!$I:$I,MATCH($C1803,'Paramètres'!$D:$D,0))&amp;"","")="Les deux",IFERROR(INDEX('Paramètres'!$I:$I,MATCH($C1803,'Paramètres'!$D:$D,0))&amp;"","")=IF($P1803=1,"Débit",$L1803)),-IF($P1803=1,-$K1803,$K1803),0))))</f>
        <v/>
      </c>
      <c r="U1803" s="6" t="str">
        <f>IF($K1803="","",IF(ISNUMBER(SEARCH("sortie-epargne",IFERROR(INDEX('Paramètres'!$N:$N,MATCH($D1803,'Paramètres'!$M:$M,0))&amp;"",""))),$K1803,0))</f>
        <v/>
      </c>
      <c r="V1803" s="6" t="str">
        <f>IF(AND($A1803&lt;&gt;"",$O1803=1,$L1803="Débit",N($Q1803)&gt;0,$A1803&gt;=Visualisation!$B$1,$A1803&lt;Visualisation!$D$1),MAX($V$1:V1802)+1,"")</f>
        <v/>
      </c>
    </row>
    <row r="1804" spans="1:22" x14ac:dyDescent="0.25">
      <c r="A1804" s="9"/>
      <c r="E1804" s="10"/>
      <c r="K1804" s="11" t="str">
        <f>IF($E1804="","",ROUND($E1804*IF(ISNA(MATCH($C1804,'Paramètres'!$D:$D,0)),1,IF(INDEX('Paramètres'!$J:$J,MATCH($C1804,'Paramètres'!$D:$D,0))="",1,INDEX('Paramètres'!$J:$J,MATCH($C1804,'Paramètres'!$D:$D,0)))),2))</f>
        <v/>
      </c>
      <c r="L1804" s="6" t="str">
        <f>IF($D1804="","",IF($F1804&lt;&gt;"",$F1804,IF(ISNA(MATCH($D1804,'Paramètres'!$M:$M,0)),"⚠ Type inconnu",IFERROR(INDEX('Paramètres'!$P:$P,MATCH($D1804,'Paramètres'!$M:$M,0))&amp;"",""))))</f>
        <v/>
      </c>
      <c r="M1804" s="6" t="str">
        <f>IF($D1804="","",IF(ISNA(MATCH($D1804,'Paramètres'!$M:$M,0)),"⚠ Type inconnu",IF($L1804="Crédit","",IFERROR(INDEX('Paramètres'!$O:$O,MATCH($D1804,'Paramètres'!$M:$M,0))&amp;"",""))))</f>
        <v/>
      </c>
      <c r="N1804" s="6" t="str">
        <f>IF($D1804="","",IFERROR(INDEX('Paramètres'!$Q:$Q,MATCH($D1804,'Paramètres'!$M:$M,0))&amp;"",""))</f>
        <v/>
      </c>
      <c r="O1804" s="6" t="str">
        <f>IF($A1804="","",IF(OR($J1804&lt;&gt;"x",$A1804&lt;=FinReleve),1,0))</f>
        <v/>
      </c>
      <c r="P1804" s="6" t="str">
        <f>IF($D1804="","",IF(AND($L1804="Crédit",OR(IFERROR(INDEX('Paramètres'!$O:$O,MATCH($D1804,'Paramètres'!$M:$M,0))&amp;"","")&lt;&gt;"",ISNUMBER(SEARCH("remboursement",IFERROR(INDEX('Paramètres'!$N:$N,MATCH($D1804,'Paramètres'!$M:$M,0))&amp;"",""))))),1,0))</f>
        <v/>
      </c>
      <c r="Q1804" s="6" t="str">
        <f>IF($K1804="","",IF(ISNUMBER(SEARCH("transfert-interne",IFERROR(INDEX('Paramètres'!$N:$N,MATCH($D1804,'Paramètres'!$M:$M,0))&amp;"",""))),0,IF($L1804="Débit",$K1804,IF($P1804=1,-$K1804,0))))</f>
        <v/>
      </c>
      <c r="R1804" s="6" t="str">
        <f>IF($K1804="","",IF($L1804="Crédit",$K1804,-$K1804))</f>
        <v/>
      </c>
      <c r="S1804" s="6" t="str">
        <f>IF($C1804="","",IFERROR(INDEX('Paramètres'!$H:$H,MATCH($C1804,'Paramètres'!$D:$D,0))&amp;"",""))</f>
        <v/>
      </c>
      <c r="T1804" s="6" t="str">
        <f>IF($K1804="","",IF($S1804="",0,IF(ISNUMBER(SEARCH("apport-exterieur",IFERROR(INDEX('Paramètres'!$N:$N,MATCH($D1804,'Paramètres'!$M:$M,0))&amp;"",""))),0,IF(OR(IFERROR(INDEX('Paramètres'!$I:$I,MATCH($C1804,'Paramètres'!$D:$D,0))&amp;"","")="Les deux",IFERROR(INDEX('Paramètres'!$I:$I,MATCH($C1804,'Paramètres'!$D:$D,0))&amp;"","")=IF($P1804=1,"Débit",$L1804)),-IF($P1804=1,-$K1804,$K1804),0))))</f>
        <v/>
      </c>
      <c r="U1804" s="6" t="str">
        <f>IF($K1804="","",IF(ISNUMBER(SEARCH("sortie-epargne",IFERROR(INDEX('Paramètres'!$N:$N,MATCH($D1804,'Paramètres'!$M:$M,0))&amp;"",""))),$K1804,0))</f>
        <v/>
      </c>
      <c r="V1804" s="6" t="str">
        <f>IF(AND($A1804&lt;&gt;"",$O1804=1,$L1804="Débit",N($Q1804)&gt;0,$A1804&gt;=Visualisation!$B$1,$A1804&lt;Visualisation!$D$1),MAX($V$1:V1803)+1,"")</f>
        <v/>
      </c>
    </row>
    <row r="1805" spans="1:22" x14ac:dyDescent="0.25">
      <c r="A1805" s="9"/>
      <c r="E1805" s="10"/>
      <c r="K1805" s="11" t="str">
        <f>IF($E1805="","",ROUND($E1805*IF(ISNA(MATCH($C1805,'Paramètres'!$D:$D,0)),1,IF(INDEX('Paramètres'!$J:$J,MATCH($C1805,'Paramètres'!$D:$D,0))="",1,INDEX('Paramètres'!$J:$J,MATCH($C1805,'Paramètres'!$D:$D,0)))),2))</f>
        <v/>
      </c>
      <c r="L1805" s="6" t="str">
        <f>IF($D1805="","",IF($F1805&lt;&gt;"",$F1805,IF(ISNA(MATCH($D1805,'Paramètres'!$M:$M,0)),"⚠ Type inconnu",IFERROR(INDEX('Paramètres'!$P:$P,MATCH($D1805,'Paramètres'!$M:$M,0))&amp;"",""))))</f>
        <v/>
      </c>
      <c r="M1805" s="6" t="str">
        <f>IF($D1805="","",IF(ISNA(MATCH($D1805,'Paramètres'!$M:$M,0)),"⚠ Type inconnu",IF($L1805="Crédit","",IFERROR(INDEX('Paramètres'!$O:$O,MATCH($D1805,'Paramètres'!$M:$M,0))&amp;"",""))))</f>
        <v/>
      </c>
      <c r="N1805" s="6" t="str">
        <f>IF($D1805="","",IFERROR(INDEX('Paramètres'!$Q:$Q,MATCH($D1805,'Paramètres'!$M:$M,0))&amp;"",""))</f>
        <v/>
      </c>
      <c r="O1805" s="6" t="str">
        <f>IF($A1805="","",IF(OR($J1805&lt;&gt;"x",$A1805&lt;=FinReleve),1,0))</f>
        <v/>
      </c>
      <c r="P1805" s="6" t="str">
        <f>IF($D1805="","",IF(AND($L1805="Crédit",OR(IFERROR(INDEX('Paramètres'!$O:$O,MATCH($D1805,'Paramètres'!$M:$M,0))&amp;"","")&lt;&gt;"",ISNUMBER(SEARCH("remboursement",IFERROR(INDEX('Paramètres'!$N:$N,MATCH($D1805,'Paramètres'!$M:$M,0))&amp;"",""))))),1,0))</f>
        <v/>
      </c>
      <c r="Q1805" s="6" t="str">
        <f>IF($K1805="","",IF(ISNUMBER(SEARCH("transfert-interne",IFERROR(INDEX('Paramètres'!$N:$N,MATCH($D1805,'Paramètres'!$M:$M,0))&amp;"",""))),0,IF($L1805="Débit",$K1805,IF($P1805=1,-$K1805,0))))</f>
        <v/>
      </c>
      <c r="R1805" s="6" t="str">
        <f>IF($K1805="","",IF($L1805="Crédit",$K1805,-$K1805))</f>
        <v/>
      </c>
      <c r="S1805" s="6" t="str">
        <f>IF($C1805="","",IFERROR(INDEX('Paramètres'!$H:$H,MATCH($C1805,'Paramètres'!$D:$D,0))&amp;"",""))</f>
        <v/>
      </c>
      <c r="T1805" s="6" t="str">
        <f>IF($K1805="","",IF($S1805="",0,IF(ISNUMBER(SEARCH("apport-exterieur",IFERROR(INDEX('Paramètres'!$N:$N,MATCH($D1805,'Paramètres'!$M:$M,0))&amp;"",""))),0,IF(OR(IFERROR(INDEX('Paramètres'!$I:$I,MATCH($C1805,'Paramètres'!$D:$D,0))&amp;"","")="Les deux",IFERROR(INDEX('Paramètres'!$I:$I,MATCH($C1805,'Paramètres'!$D:$D,0))&amp;"","")=IF($P1805=1,"Débit",$L1805)),-IF($P1805=1,-$K1805,$K1805),0))))</f>
        <v/>
      </c>
      <c r="U1805" s="6" t="str">
        <f>IF($K1805="","",IF(ISNUMBER(SEARCH("sortie-epargne",IFERROR(INDEX('Paramètres'!$N:$N,MATCH($D1805,'Paramètres'!$M:$M,0))&amp;"",""))),$K1805,0))</f>
        <v/>
      </c>
      <c r="V1805" s="6" t="str">
        <f>IF(AND($A1805&lt;&gt;"",$O1805=1,$L1805="Débit",N($Q1805)&gt;0,$A1805&gt;=Visualisation!$B$1,$A1805&lt;Visualisation!$D$1),MAX($V$1:V1804)+1,"")</f>
        <v/>
      </c>
    </row>
    <row r="1806" spans="1:22" x14ac:dyDescent="0.25">
      <c r="A1806" s="9"/>
      <c r="E1806" s="10"/>
      <c r="K1806" s="11" t="str">
        <f>IF($E1806="","",ROUND($E1806*IF(ISNA(MATCH($C1806,'Paramètres'!$D:$D,0)),1,IF(INDEX('Paramètres'!$J:$J,MATCH($C1806,'Paramètres'!$D:$D,0))="",1,INDEX('Paramètres'!$J:$J,MATCH($C1806,'Paramètres'!$D:$D,0)))),2))</f>
        <v/>
      </c>
      <c r="L1806" s="6" t="str">
        <f>IF($D1806="","",IF($F1806&lt;&gt;"",$F1806,IF(ISNA(MATCH($D1806,'Paramètres'!$M:$M,0)),"⚠ Type inconnu",IFERROR(INDEX('Paramètres'!$P:$P,MATCH($D1806,'Paramètres'!$M:$M,0))&amp;"",""))))</f>
        <v/>
      </c>
      <c r="M1806" s="6" t="str">
        <f>IF($D1806="","",IF(ISNA(MATCH($D1806,'Paramètres'!$M:$M,0)),"⚠ Type inconnu",IF($L1806="Crédit","",IFERROR(INDEX('Paramètres'!$O:$O,MATCH($D1806,'Paramètres'!$M:$M,0))&amp;"",""))))</f>
        <v/>
      </c>
      <c r="N1806" s="6" t="str">
        <f>IF($D1806="","",IFERROR(INDEX('Paramètres'!$Q:$Q,MATCH($D1806,'Paramètres'!$M:$M,0))&amp;"",""))</f>
        <v/>
      </c>
      <c r="O1806" s="6" t="str">
        <f>IF($A1806="","",IF(OR($J1806&lt;&gt;"x",$A1806&lt;=FinReleve),1,0))</f>
        <v/>
      </c>
      <c r="P1806" s="6" t="str">
        <f>IF($D1806="","",IF(AND($L1806="Crédit",OR(IFERROR(INDEX('Paramètres'!$O:$O,MATCH($D1806,'Paramètres'!$M:$M,0))&amp;"","")&lt;&gt;"",ISNUMBER(SEARCH("remboursement",IFERROR(INDEX('Paramètres'!$N:$N,MATCH($D1806,'Paramètres'!$M:$M,0))&amp;"",""))))),1,0))</f>
        <v/>
      </c>
      <c r="Q1806" s="6" t="str">
        <f>IF($K1806="","",IF(ISNUMBER(SEARCH("transfert-interne",IFERROR(INDEX('Paramètres'!$N:$N,MATCH($D1806,'Paramètres'!$M:$M,0))&amp;"",""))),0,IF($L1806="Débit",$K1806,IF($P1806=1,-$K1806,0))))</f>
        <v/>
      </c>
      <c r="R1806" s="6" t="str">
        <f>IF($K1806="","",IF($L1806="Crédit",$K1806,-$K1806))</f>
        <v/>
      </c>
      <c r="S1806" s="6" t="str">
        <f>IF($C1806="","",IFERROR(INDEX('Paramètres'!$H:$H,MATCH($C1806,'Paramètres'!$D:$D,0))&amp;"",""))</f>
        <v/>
      </c>
      <c r="T1806" s="6" t="str">
        <f>IF($K1806="","",IF($S1806="",0,IF(ISNUMBER(SEARCH("apport-exterieur",IFERROR(INDEX('Paramètres'!$N:$N,MATCH($D1806,'Paramètres'!$M:$M,0))&amp;"",""))),0,IF(OR(IFERROR(INDEX('Paramètres'!$I:$I,MATCH($C1806,'Paramètres'!$D:$D,0))&amp;"","")="Les deux",IFERROR(INDEX('Paramètres'!$I:$I,MATCH($C1806,'Paramètres'!$D:$D,0))&amp;"","")=IF($P1806=1,"Débit",$L1806)),-IF($P1806=1,-$K1806,$K1806),0))))</f>
        <v/>
      </c>
      <c r="U1806" s="6" t="str">
        <f>IF($K1806="","",IF(ISNUMBER(SEARCH("sortie-epargne",IFERROR(INDEX('Paramètres'!$N:$N,MATCH($D1806,'Paramètres'!$M:$M,0))&amp;"",""))),$K1806,0))</f>
        <v/>
      </c>
      <c r="V1806" s="6" t="str">
        <f>IF(AND($A1806&lt;&gt;"",$O1806=1,$L1806="Débit",N($Q1806)&gt;0,$A1806&gt;=Visualisation!$B$1,$A1806&lt;Visualisation!$D$1),MAX($V$1:V1805)+1,"")</f>
        <v/>
      </c>
    </row>
    <row r="1807" spans="1:22" x14ac:dyDescent="0.25">
      <c r="A1807" s="9"/>
      <c r="E1807" s="10"/>
      <c r="K1807" s="11" t="str">
        <f>IF($E1807="","",ROUND($E1807*IF(ISNA(MATCH($C1807,'Paramètres'!$D:$D,0)),1,IF(INDEX('Paramètres'!$J:$J,MATCH($C1807,'Paramètres'!$D:$D,0))="",1,INDEX('Paramètres'!$J:$J,MATCH($C1807,'Paramètres'!$D:$D,0)))),2))</f>
        <v/>
      </c>
      <c r="L1807" s="6" t="str">
        <f>IF($D1807="","",IF($F1807&lt;&gt;"",$F1807,IF(ISNA(MATCH($D1807,'Paramètres'!$M:$M,0)),"⚠ Type inconnu",IFERROR(INDEX('Paramètres'!$P:$P,MATCH($D1807,'Paramètres'!$M:$M,0))&amp;"",""))))</f>
        <v/>
      </c>
      <c r="M1807" s="6" t="str">
        <f>IF($D1807="","",IF(ISNA(MATCH($D1807,'Paramètres'!$M:$M,0)),"⚠ Type inconnu",IF($L1807="Crédit","",IFERROR(INDEX('Paramètres'!$O:$O,MATCH($D1807,'Paramètres'!$M:$M,0))&amp;"",""))))</f>
        <v/>
      </c>
      <c r="N1807" s="6" t="str">
        <f>IF($D1807="","",IFERROR(INDEX('Paramètres'!$Q:$Q,MATCH($D1807,'Paramètres'!$M:$M,0))&amp;"",""))</f>
        <v/>
      </c>
      <c r="O1807" s="6" t="str">
        <f>IF($A1807="","",IF(OR($J1807&lt;&gt;"x",$A1807&lt;=FinReleve),1,0))</f>
        <v/>
      </c>
      <c r="P1807" s="6" t="str">
        <f>IF($D1807="","",IF(AND($L1807="Crédit",OR(IFERROR(INDEX('Paramètres'!$O:$O,MATCH($D1807,'Paramètres'!$M:$M,0))&amp;"","")&lt;&gt;"",ISNUMBER(SEARCH("remboursement",IFERROR(INDEX('Paramètres'!$N:$N,MATCH($D1807,'Paramètres'!$M:$M,0))&amp;"",""))))),1,0))</f>
        <v/>
      </c>
      <c r="Q1807" s="6" t="str">
        <f>IF($K1807="","",IF(ISNUMBER(SEARCH("transfert-interne",IFERROR(INDEX('Paramètres'!$N:$N,MATCH($D1807,'Paramètres'!$M:$M,0))&amp;"",""))),0,IF($L1807="Débit",$K1807,IF($P1807=1,-$K1807,0))))</f>
        <v/>
      </c>
      <c r="R1807" s="6" t="str">
        <f>IF($K1807="","",IF($L1807="Crédit",$K1807,-$K1807))</f>
        <v/>
      </c>
      <c r="S1807" s="6" t="str">
        <f>IF($C1807="","",IFERROR(INDEX('Paramètres'!$H:$H,MATCH($C1807,'Paramètres'!$D:$D,0))&amp;"",""))</f>
        <v/>
      </c>
      <c r="T1807" s="6" t="str">
        <f>IF($K1807="","",IF($S1807="",0,IF(ISNUMBER(SEARCH("apport-exterieur",IFERROR(INDEX('Paramètres'!$N:$N,MATCH($D1807,'Paramètres'!$M:$M,0))&amp;"",""))),0,IF(OR(IFERROR(INDEX('Paramètres'!$I:$I,MATCH($C1807,'Paramètres'!$D:$D,0))&amp;"","")="Les deux",IFERROR(INDEX('Paramètres'!$I:$I,MATCH($C1807,'Paramètres'!$D:$D,0))&amp;"","")=IF($P1807=1,"Débit",$L1807)),-IF($P1807=1,-$K1807,$K1807),0))))</f>
        <v/>
      </c>
      <c r="U1807" s="6" t="str">
        <f>IF($K1807="","",IF(ISNUMBER(SEARCH("sortie-epargne",IFERROR(INDEX('Paramètres'!$N:$N,MATCH($D1807,'Paramètres'!$M:$M,0))&amp;"",""))),$K1807,0))</f>
        <v/>
      </c>
      <c r="V1807" s="6" t="str">
        <f>IF(AND($A1807&lt;&gt;"",$O1807=1,$L1807="Débit",N($Q1807)&gt;0,$A1807&gt;=Visualisation!$B$1,$A1807&lt;Visualisation!$D$1),MAX($V$1:V1806)+1,"")</f>
        <v/>
      </c>
    </row>
    <row r="1808" spans="1:22" x14ac:dyDescent="0.25">
      <c r="A1808" s="9"/>
      <c r="E1808" s="10"/>
      <c r="K1808" s="11" t="str">
        <f>IF($E1808="","",ROUND($E1808*IF(ISNA(MATCH($C1808,'Paramètres'!$D:$D,0)),1,IF(INDEX('Paramètres'!$J:$J,MATCH($C1808,'Paramètres'!$D:$D,0))="",1,INDEX('Paramètres'!$J:$J,MATCH($C1808,'Paramètres'!$D:$D,0)))),2))</f>
        <v/>
      </c>
      <c r="L1808" s="6" t="str">
        <f>IF($D1808="","",IF($F1808&lt;&gt;"",$F1808,IF(ISNA(MATCH($D1808,'Paramètres'!$M:$M,0)),"⚠ Type inconnu",IFERROR(INDEX('Paramètres'!$P:$P,MATCH($D1808,'Paramètres'!$M:$M,0))&amp;"",""))))</f>
        <v/>
      </c>
      <c r="M1808" s="6" t="str">
        <f>IF($D1808="","",IF(ISNA(MATCH($D1808,'Paramètres'!$M:$M,0)),"⚠ Type inconnu",IF($L1808="Crédit","",IFERROR(INDEX('Paramètres'!$O:$O,MATCH($D1808,'Paramètres'!$M:$M,0))&amp;"",""))))</f>
        <v/>
      </c>
      <c r="N1808" s="6" t="str">
        <f>IF($D1808="","",IFERROR(INDEX('Paramètres'!$Q:$Q,MATCH($D1808,'Paramètres'!$M:$M,0))&amp;"",""))</f>
        <v/>
      </c>
      <c r="O1808" s="6" t="str">
        <f>IF($A1808="","",IF(OR($J1808&lt;&gt;"x",$A1808&lt;=FinReleve),1,0))</f>
        <v/>
      </c>
      <c r="P1808" s="6" t="str">
        <f>IF($D1808="","",IF(AND($L1808="Crédit",OR(IFERROR(INDEX('Paramètres'!$O:$O,MATCH($D1808,'Paramètres'!$M:$M,0))&amp;"","")&lt;&gt;"",ISNUMBER(SEARCH("remboursement",IFERROR(INDEX('Paramètres'!$N:$N,MATCH($D1808,'Paramètres'!$M:$M,0))&amp;"",""))))),1,0))</f>
        <v/>
      </c>
      <c r="Q1808" s="6" t="str">
        <f>IF($K1808="","",IF(ISNUMBER(SEARCH("transfert-interne",IFERROR(INDEX('Paramètres'!$N:$N,MATCH($D1808,'Paramètres'!$M:$M,0))&amp;"",""))),0,IF($L1808="Débit",$K1808,IF($P1808=1,-$K1808,0))))</f>
        <v/>
      </c>
      <c r="R1808" s="6" t="str">
        <f>IF($K1808="","",IF($L1808="Crédit",$K1808,-$K1808))</f>
        <v/>
      </c>
      <c r="S1808" s="6" t="str">
        <f>IF($C1808="","",IFERROR(INDEX('Paramètres'!$H:$H,MATCH($C1808,'Paramètres'!$D:$D,0))&amp;"",""))</f>
        <v/>
      </c>
      <c r="T1808" s="6" t="str">
        <f>IF($K1808="","",IF($S1808="",0,IF(ISNUMBER(SEARCH("apport-exterieur",IFERROR(INDEX('Paramètres'!$N:$N,MATCH($D1808,'Paramètres'!$M:$M,0))&amp;"",""))),0,IF(OR(IFERROR(INDEX('Paramètres'!$I:$I,MATCH($C1808,'Paramètres'!$D:$D,0))&amp;"","")="Les deux",IFERROR(INDEX('Paramètres'!$I:$I,MATCH($C1808,'Paramètres'!$D:$D,0))&amp;"","")=IF($P1808=1,"Débit",$L1808)),-IF($P1808=1,-$K1808,$K1808),0))))</f>
        <v/>
      </c>
      <c r="U1808" s="6" t="str">
        <f>IF($K1808="","",IF(ISNUMBER(SEARCH("sortie-epargne",IFERROR(INDEX('Paramètres'!$N:$N,MATCH($D1808,'Paramètres'!$M:$M,0))&amp;"",""))),$K1808,0))</f>
        <v/>
      </c>
      <c r="V1808" s="6" t="str">
        <f>IF(AND($A1808&lt;&gt;"",$O1808=1,$L1808="Débit",N($Q1808)&gt;0,$A1808&gt;=Visualisation!$B$1,$A1808&lt;Visualisation!$D$1),MAX($V$1:V1807)+1,"")</f>
        <v/>
      </c>
    </row>
    <row r="1809" spans="1:22" x14ac:dyDescent="0.25">
      <c r="A1809" s="9"/>
      <c r="E1809" s="10"/>
      <c r="K1809" s="11" t="str">
        <f>IF($E1809="","",ROUND($E1809*IF(ISNA(MATCH($C1809,'Paramètres'!$D:$D,0)),1,IF(INDEX('Paramètres'!$J:$J,MATCH($C1809,'Paramètres'!$D:$D,0))="",1,INDEX('Paramètres'!$J:$J,MATCH($C1809,'Paramètres'!$D:$D,0)))),2))</f>
        <v/>
      </c>
      <c r="L1809" s="6" t="str">
        <f>IF($D1809="","",IF($F1809&lt;&gt;"",$F1809,IF(ISNA(MATCH($D1809,'Paramètres'!$M:$M,0)),"⚠ Type inconnu",IFERROR(INDEX('Paramètres'!$P:$P,MATCH($D1809,'Paramètres'!$M:$M,0))&amp;"",""))))</f>
        <v/>
      </c>
      <c r="M1809" s="6" t="str">
        <f>IF($D1809="","",IF(ISNA(MATCH($D1809,'Paramètres'!$M:$M,0)),"⚠ Type inconnu",IF($L1809="Crédit","",IFERROR(INDEX('Paramètres'!$O:$O,MATCH($D1809,'Paramètres'!$M:$M,0))&amp;"",""))))</f>
        <v/>
      </c>
      <c r="N1809" s="6" t="str">
        <f>IF($D1809="","",IFERROR(INDEX('Paramètres'!$Q:$Q,MATCH($D1809,'Paramètres'!$M:$M,0))&amp;"",""))</f>
        <v/>
      </c>
      <c r="O1809" s="6" t="str">
        <f>IF($A1809="","",IF(OR($J1809&lt;&gt;"x",$A1809&lt;=FinReleve),1,0))</f>
        <v/>
      </c>
      <c r="P1809" s="6" t="str">
        <f>IF($D1809="","",IF(AND($L1809="Crédit",OR(IFERROR(INDEX('Paramètres'!$O:$O,MATCH($D1809,'Paramètres'!$M:$M,0))&amp;"","")&lt;&gt;"",ISNUMBER(SEARCH("remboursement",IFERROR(INDEX('Paramètres'!$N:$N,MATCH($D1809,'Paramètres'!$M:$M,0))&amp;"",""))))),1,0))</f>
        <v/>
      </c>
      <c r="Q1809" s="6" t="str">
        <f>IF($K1809="","",IF(ISNUMBER(SEARCH("transfert-interne",IFERROR(INDEX('Paramètres'!$N:$N,MATCH($D1809,'Paramètres'!$M:$M,0))&amp;"",""))),0,IF($L1809="Débit",$K1809,IF($P1809=1,-$K1809,0))))</f>
        <v/>
      </c>
      <c r="R1809" s="6" t="str">
        <f>IF($K1809="","",IF($L1809="Crédit",$K1809,-$K1809))</f>
        <v/>
      </c>
      <c r="S1809" s="6" t="str">
        <f>IF($C1809="","",IFERROR(INDEX('Paramètres'!$H:$H,MATCH($C1809,'Paramètres'!$D:$D,0))&amp;"",""))</f>
        <v/>
      </c>
      <c r="T1809" s="6" t="str">
        <f>IF($K1809="","",IF($S1809="",0,IF(ISNUMBER(SEARCH("apport-exterieur",IFERROR(INDEX('Paramètres'!$N:$N,MATCH($D1809,'Paramètres'!$M:$M,0))&amp;"",""))),0,IF(OR(IFERROR(INDEX('Paramètres'!$I:$I,MATCH($C1809,'Paramètres'!$D:$D,0))&amp;"","")="Les deux",IFERROR(INDEX('Paramètres'!$I:$I,MATCH($C1809,'Paramètres'!$D:$D,0))&amp;"","")=IF($P1809=1,"Débit",$L1809)),-IF($P1809=1,-$K1809,$K1809),0))))</f>
        <v/>
      </c>
      <c r="U1809" s="6" t="str">
        <f>IF($K1809="","",IF(ISNUMBER(SEARCH("sortie-epargne",IFERROR(INDEX('Paramètres'!$N:$N,MATCH($D1809,'Paramètres'!$M:$M,0))&amp;"",""))),$K1809,0))</f>
        <v/>
      </c>
      <c r="V1809" s="6" t="str">
        <f>IF(AND($A1809&lt;&gt;"",$O1809=1,$L1809="Débit",N($Q1809)&gt;0,$A1809&gt;=Visualisation!$B$1,$A1809&lt;Visualisation!$D$1),MAX($V$1:V1808)+1,"")</f>
        <v/>
      </c>
    </row>
    <row r="1810" spans="1:22" x14ac:dyDescent="0.25">
      <c r="A1810" s="9"/>
      <c r="E1810" s="10"/>
      <c r="K1810" s="11" t="str">
        <f>IF($E1810="","",ROUND($E1810*IF(ISNA(MATCH($C1810,'Paramètres'!$D:$D,0)),1,IF(INDEX('Paramètres'!$J:$J,MATCH($C1810,'Paramètres'!$D:$D,0))="",1,INDEX('Paramètres'!$J:$J,MATCH($C1810,'Paramètres'!$D:$D,0)))),2))</f>
        <v/>
      </c>
      <c r="L1810" s="6" t="str">
        <f>IF($D1810="","",IF($F1810&lt;&gt;"",$F1810,IF(ISNA(MATCH($D1810,'Paramètres'!$M:$M,0)),"⚠ Type inconnu",IFERROR(INDEX('Paramètres'!$P:$P,MATCH($D1810,'Paramètres'!$M:$M,0))&amp;"",""))))</f>
        <v/>
      </c>
      <c r="M1810" s="6" t="str">
        <f>IF($D1810="","",IF(ISNA(MATCH($D1810,'Paramètres'!$M:$M,0)),"⚠ Type inconnu",IF($L1810="Crédit","",IFERROR(INDEX('Paramètres'!$O:$O,MATCH($D1810,'Paramètres'!$M:$M,0))&amp;"",""))))</f>
        <v/>
      </c>
      <c r="N1810" s="6" t="str">
        <f>IF($D1810="","",IFERROR(INDEX('Paramètres'!$Q:$Q,MATCH($D1810,'Paramètres'!$M:$M,0))&amp;"",""))</f>
        <v/>
      </c>
      <c r="O1810" s="6" t="str">
        <f>IF($A1810="","",IF(OR($J1810&lt;&gt;"x",$A1810&lt;=FinReleve),1,0))</f>
        <v/>
      </c>
      <c r="P1810" s="6" t="str">
        <f>IF($D1810="","",IF(AND($L1810="Crédit",OR(IFERROR(INDEX('Paramètres'!$O:$O,MATCH($D1810,'Paramètres'!$M:$M,0))&amp;"","")&lt;&gt;"",ISNUMBER(SEARCH("remboursement",IFERROR(INDEX('Paramètres'!$N:$N,MATCH($D1810,'Paramètres'!$M:$M,0))&amp;"",""))))),1,0))</f>
        <v/>
      </c>
      <c r="Q1810" s="6" t="str">
        <f>IF($K1810="","",IF(ISNUMBER(SEARCH("transfert-interne",IFERROR(INDEX('Paramètres'!$N:$N,MATCH($D1810,'Paramètres'!$M:$M,0))&amp;"",""))),0,IF($L1810="Débit",$K1810,IF($P1810=1,-$K1810,0))))</f>
        <v/>
      </c>
      <c r="R1810" s="6" t="str">
        <f>IF($K1810="","",IF($L1810="Crédit",$K1810,-$K1810))</f>
        <v/>
      </c>
      <c r="S1810" s="6" t="str">
        <f>IF($C1810="","",IFERROR(INDEX('Paramètres'!$H:$H,MATCH($C1810,'Paramètres'!$D:$D,0))&amp;"",""))</f>
        <v/>
      </c>
      <c r="T1810" s="6" t="str">
        <f>IF($K1810="","",IF($S1810="",0,IF(ISNUMBER(SEARCH("apport-exterieur",IFERROR(INDEX('Paramètres'!$N:$N,MATCH($D1810,'Paramètres'!$M:$M,0))&amp;"",""))),0,IF(OR(IFERROR(INDEX('Paramètres'!$I:$I,MATCH($C1810,'Paramètres'!$D:$D,0))&amp;"","")="Les deux",IFERROR(INDEX('Paramètres'!$I:$I,MATCH($C1810,'Paramètres'!$D:$D,0))&amp;"","")=IF($P1810=1,"Débit",$L1810)),-IF($P1810=1,-$K1810,$K1810),0))))</f>
        <v/>
      </c>
      <c r="U1810" s="6" t="str">
        <f>IF($K1810="","",IF(ISNUMBER(SEARCH("sortie-epargne",IFERROR(INDEX('Paramètres'!$N:$N,MATCH($D1810,'Paramètres'!$M:$M,0))&amp;"",""))),$K1810,0))</f>
        <v/>
      </c>
      <c r="V1810" s="6" t="str">
        <f>IF(AND($A1810&lt;&gt;"",$O1810=1,$L1810="Débit",N($Q1810)&gt;0,$A1810&gt;=Visualisation!$B$1,$A1810&lt;Visualisation!$D$1),MAX($V$1:V1809)+1,"")</f>
        <v/>
      </c>
    </row>
    <row r="1811" spans="1:22" x14ac:dyDescent="0.25">
      <c r="A1811" s="9"/>
      <c r="E1811" s="10"/>
      <c r="K1811" s="11" t="str">
        <f>IF($E1811="","",ROUND($E1811*IF(ISNA(MATCH($C1811,'Paramètres'!$D:$D,0)),1,IF(INDEX('Paramètres'!$J:$J,MATCH($C1811,'Paramètres'!$D:$D,0))="",1,INDEX('Paramètres'!$J:$J,MATCH($C1811,'Paramètres'!$D:$D,0)))),2))</f>
        <v/>
      </c>
      <c r="L1811" s="6" t="str">
        <f>IF($D1811="","",IF($F1811&lt;&gt;"",$F1811,IF(ISNA(MATCH($D1811,'Paramètres'!$M:$M,0)),"⚠ Type inconnu",IFERROR(INDEX('Paramètres'!$P:$P,MATCH($D1811,'Paramètres'!$M:$M,0))&amp;"",""))))</f>
        <v/>
      </c>
      <c r="M1811" s="6" t="str">
        <f>IF($D1811="","",IF(ISNA(MATCH($D1811,'Paramètres'!$M:$M,0)),"⚠ Type inconnu",IF($L1811="Crédit","",IFERROR(INDEX('Paramètres'!$O:$O,MATCH($D1811,'Paramètres'!$M:$M,0))&amp;"",""))))</f>
        <v/>
      </c>
      <c r="N1811" s="6" t="str">
        <f>IF($D1811="","",IFERROR(INDEX('Paramètres'!$Q:$Q,MATCH($D1811,'Paramètres'!$M:$M,0))&amp;"",""))</f>
        <v/>
      </c>
      <c r="O1811" s="6" t="str">
        <f>IF($A1811="","",IF(OR($J1811&lt;&gt;"x",$A1811&lt;=FinReleve),1,0))</f>
        <v/>
      </c>
      <c r="P1811" s="6" t="str">
        <f>IF($D1811="","",IF(AND($L1811="Crédit",OR(IFERROR(INDEX('Paramètres'!$O:$O,MATCH($D1811,'Paramètres'!$M:$M,0))&amp;"","")&lt;&gt;"",ISNUMBER(SEARCH("remboursement",IFERROR(INDEX('Paramètres'!$N:$N,MATCH($D1811,'Paramètres'!$M:$M,0))&amp;"",""))))),1,0))</f>
        <v/>
      </c>
      <c r="Q1811" s="6" t="str">
        <f>IF($K1811="","",IF(ISNUMBER(SEARCH("transfert-interne",IFERROR(INDEX('Paramètres'!$N:$N,MATCH($D1811,'Paramètres'!$M:$M,0))&amp;"",""))),0,IF($L1811="Débit",$K1811,IF($P1811=1,-$K1811,0))))</f>
        <v/>
      </c>
      <c r="R1811" s="6" t="str">
        <f>IF($K1811="","",IF($L1811="Crédit",$K1811,-$K1811))</f>
        <v/>
      </c>
      <c r="S1811" s="6" t="str">
        <f>IF($C1811="","",IFERROR(INDEX('Paramètres'!$H:$H,MATCH($C1811,'Paramètres'!$D:$D,0))&amp;"",""))</f>
        <v/>
      </c>
      <c r="T1811" s="6" t="str">
        <f>IF($K1811="","",IF($S1811="",0,IF(ISNUMBER(SEARCH("apport-exterieur",IFERROR(INDEX('Paramètres'!$N:$N,MATCH($D1811,'Paramètres'!$M:$M,0))&amp;"",""))),0,IF(OR(IFERROR(INDEX('Paramètres'!$I:$I,MATCH($C1811,'Paramètres'!$D:$D,0))&amp;"","")="Les deux",IFERROR(INDEX('Paramètres'!$I:$I,MATCH($C1811,'Paramètres'!$D:$D,0))&amp;"","")=IF($P1811=1,"Débit",$L1811)),-IF($P1811=1,-$K1811,$K1811),0))))</f>
        <v/>
      </c>
      <c r="U1811" s="6" t="str">
        <f>IF($K1811="","",IF(ISNUMBER(SEARCH("sortie-epargne",IFERROR(INDEX('Paramètres'!$N:$N,MATCH($D1811,'Paramètres'!$M:$M,0))&amp;"",""))),$K1811,0))</f>
        <v/>
      </c>
      <c r="V1811" s="6" t="str">
        <f>IF(AND($A1811&lt;&gt;"",$O1811=1,$L1811="Débit",N($Q1811)&gt;0,$A1811&gt;=Visualisation!$B$1,$A1811&lt;Visualisation!$D$1),MAX($V$1:V1810)+1,"")</f>
        <v/>
      </c>
    </row>
    <row r="1812" spans="1:22" x14ac:dyDescent="0.25">
      <c r="A1812" s="9"/>
      <c r="E1812" s="10"/>
      <c r="K1812" s="11" t="str">
        <f>IF($E1812="","",ROUND($E1812*IF(ISNA(MATCH($C1812,'Paramètres'!$D:$D,0)),1,IF(INDEX('Paramètres'!$J:$J,MATCH($C1812,'Paramètres'!$D:$D,0))="",1,INDEX('Paramètres'!$J:$J,MATCH($C1812,'Paramètres'!$D:$D,0)))),2))</f>
        <v/>
      </c>
      <c r="L1812" s="6" t="str">
        <f>IF($D1812="","",IF($F1812&lt;&gt;"",$F1812,IF(ISNA(MATCH($D1812,'Paramètres'!$M:$M,0)),"⚠ Type inconnu",IFERROR(INDEX('Paramètres'!$P:$P,MATCH($D1812,'Paramètres'!$M:$M,0))&amp;"",""))))</f>
        <v/>
      </c>
      <c r="M1812" s="6" t="str">
        <f>IF($D1812="","",IF(ISNA(MATCH($D1812,'Paramètres'!$M:$M,0)),"⚠ Type inconnu",IF($L1812="Crédit","",IFERROR(INDEX('Paramètres'!$O:$O,MATCH($D1812,'Paramètres'!$M:$M,0))&amp;"",""))))</f>
        <v/>
      </c>
      <c r="N1812" s="6" t="str">
        <f>IF($D1812="","",IFERROR(INDEX('Paramètres'!$Q:$Q,MATCH($D1812,'Paramètres'!$M:$M,0))&amp;"",""))</f>
        <v/>
      </c>
      <c r="O1812" s="6" t="str">
        <f>IF($A1812="","",IF(OR($J1812&lt;&gt;"x",$A1812&lt;=FinReleve),1,0))</f>
        <v/>
      </c>
      <c r="P1812" s="6" t="str">
        <f>IF($D1812="","",IF(AND($L1812="Crédit",OR(IFERROR(INDEX('Paramètres'!$O:$O,MATCH($D1812,'Paramètres'!$M:$M,0))&amp;"","")&lt;&gt;"",ISNUMBER(SEARCH("remboursement",IFERROR(INDEX('Paramètres'!$N:$N,MATCH($D1812,'Paramètres'!$M:$M,0))&amp;"",""))))),1,0))</f>
        <v/>
      </c>
      <c r="Q1812" s="6" t="str">
        <f>IF($K1812="","",IF(ISNUMBER(SEARCH("transfert-interne",IFERROR(INDEX('Paramètres'!$N:$N,MATCH($D1812,'Paramètres'!$M:$M,0))&amp;"",""))),0,IF($L1812="Débit",$K1812,IF($P1812=1,-$K1812,0))))</f>
        <v/>
      </c>
      <c r="R1812" s="6" t="str">
        <f>IF($K1812="","",IF($L1812="Crédit",$K1812,-$K1812))</f>
        <v/>
      </c>
      <c r="S1812" s="6" t="str">
        <f>IF($C1812="","",IFERROR(INDEX('Paramètres'!$H:$H,MATCH($C1812,'Paramètres'!$D:$D,0))&amp;"",""))</f>
        <v/>
      </c>
      <c r="T1812" s="6" t="str">
        <f>IF($K1812="","",IF($S1812="",0,IF(ISNUMBER(SEARCH("apport-exterieur",IFERROR(INDEX('Paramètres'!$N:$N,MATCH($D1812,'Paramètres'!$M:$M,0))&amp;"",""))),0,IF(OR(IFERROR(INDEX('Paramètres'!$I:$I,MATCH($C1812,'Paramètres'!$D:$D,0))&amp;"","")="Les deux",IFERROR(INDEX('Paramètres'!$I:$I,MATCH($C1812,'Paramètres'!$D:$D,0))&amp;"","")=IF($P1812=1,"Débit",$L1812)),-IF($P1812=1,-$K1812,$K1812),0))))</f>
        <v/>
      </c>
      <c r="U1812" s="6" t="str">
        <f>IF($K1812="","",IF(ISNUMBER(SEARCH("sortie-epargne",IFERROR(INDEX('Paramètres'!$N:$N,MATCH($D1812,'Paramètres'!$M:$M,0))&amp;"",""))),$K1812,0))</f>
        <v/>
      </c>
      <c r="V1812" s="6" t="str">
        <f>IF(AND($A1812&lt;&gt;"",$O1812=1,$L1812="Débit",N($Q1812)&gt;0,$A1812&gt;=Visualisation!$B$1,$A1812&lt;Visualisation!$D$1),MAX($V$1:V1811)+1,"")</f>
        <v/>
      </c>
    </row>
    <row r="1813" spans="1:22" x14ac:dyDescent="0.25">
      <c r="A1813" s="9"/>
      <c r="E1813" s="10"/>
      <c r="K1813" s="11" t="str">
        <f>IF($E1813="","",ROUND($E1813*IF(ISNA(MATCH($C1813,'Paramètres'!$D:$D,0)),1,IF(INDEX('Paramètres'!$J:$J,MATCH($C1813,'Paramètres'!$D:$D,0))="",1,INDEX('Paramètres'!$J:$J,MATCH($C1813,'Paramètres'!$D:$D,0)))),2))</f>
        <v/>
      </c>
      <c r="L1813" s="6" t="str">
        <f>IF($D1813="","",IF($F1813&lt;&gt;"",$F1813,IF(ISNA(MATCH($D1813,'Paramètres'!$M:$M,0)),"⚠ Type inconnu",IFERROR(INDEX('Paramètres'!$P:$P,MATCH($D1813,'Paramètres'!$M:$M,0))&amp;"",""))))</f>
        <v/>
      </c>
      <c r="M1813" s="6" t="str">
        <f>IF($D1813="","",IF(ISNA(MATCH($D1813,'Paramètres'!$M:$M,0)),"⚠ Type inconnu",IF($L1813="Crédit","",IFERROR(INDEX('Paramètres'!$O:$O,MATCH($D1813,'Paramètres'!$M:$M,0))&amp;"",""))))</f>
        <v/>
      </c>
      <c r="N1813" s="6" t="str">
        <f>IF($D1813="","",IFERROR(INDEX('Paramètres'!$Q:$Q,MATCH($D1813,'Paramètres'!$M:$M,0))&amp;"",""))</f>
        <v/>
      </c>
      <c r="O1813" s="6" t="str">
        <f>IF($A1813="","",IF(OR($J1813&lt;&gt;"x",$A1813&lt;=FinReleve),1,0))</f>
        <v/>
      </c>
      <c r="P1813" s="6" t="str">
        <f>IF($D1813="","",IF(AND($L1813="Crédit",OR(IFERROR(INDEX('Paramètres'!$O:$O,MATCH($D1813,'Paramètres'!$M:$M,0))&amp;"","")&lt;&gt;"",ISNUMBER(SEARCH("remboursement",IFERROR(INDEX('Paramètres'!$N:$N,MATCH($D1813,'Paramètres'!$M:$M,0))&amp;"",""))))),1,0))</f>
        <v/>
      </c>
      <c r="Q1813" s="6" t="str">
        <f>IF($K1813="","",IF(ISNUMBER(SEARCH("transfert-interne",IFERROR(INDEX('Paramètres'!$N:$N,MATCH($D1813,'Paramètres'!$M:$M,0))&amp;"",""))),0,IF($L1813="Débit",$K1813,IF($P1813=1,-$K1813,0))))</f>
        <v/>
      </c>
      <c r="R1813" s="6" t="str">
        <f>IF($K1813="","",IF($L1813="Crédit",$K1813,-$K1813))</f>
        <v/>
      </c>
      <c r="S1813" s="6" t="str">
        <f>IF($C1813="","",IFERROR(INDEX('Paramètres'!$H:$H,MATCH($C1813,'Paramètres'!$D:$D,0))&amp;"",""))</f>
        <v/>
      </c>
      <c r="T1813" s="6" t="str">
        <f>IF($K1813="","",IF($S1813="",0,IF(ISNUMBER(SEARCH("apport-exterieur",IFERROR(INDEX('Paramètres'!$N:$N,MATCH($D1813,'Paramètres'!$M:$M,0))&amp;"",""))),0,IF(OR(IFERROR(INDEX('Paramètres'!$I:$I,MATCH($C1813,'Paramètres'!$D:$D,0))&amp;"","")="Les deux",IFERROR(INDEX('Paramètres'!$I:$I,MATCH($C1813,'Paramètres'!$D:$D,0))&amp;"","")=IF($P1813=1,"Débit",$L1813)),-IF($P1813=1,-$K1813,$K1813),0))))</f>
        <v/>
      </c>
      <c r="U1813" s="6" t="str">
        <f>IF($K1813="","",IF(ISNUMBER(SEARCH("sortie-epargne",IFERROR(INDEX('Paramètres'!$N:$N,MATCH($D1813,'Paramètres'!$M:$M,0))&amp;"",""))),$K1813,0))</f>
        <v/>
      </c>
      <c r="V1813" s="6" t="str">
        <f>IF(AND($A1813&lt;&gt;"",$O1813=1,$L1813="Débit",N($Q1813)&gt;0,$A1813&gt;=Visualisation!$B$1,$A1813&lt;Visualisation!$D$1),MAX($V$1:V1812)+1,"")</f>
        <v/>
      </c>
    </row>
    <row r="1814" spans="1:22" x14ac:dyDescent="0.25">
      <c r="A1814" s="9"/>
      <c r="E1814" s="10"/>
      <c r="K1814" s="11" t="str">
        <f>IF($E1814="","",ROUND($E1814*IF(ISNA(MATCH($C1814,'Paramètres'!$D:$D,0)),1,IF(INDEX('Paramètres'!$J:$J,MATCH($C1814,'Paramètres'!$D:$D,0))="",1,INDEX('Paramètres'!$J:$J,MATCH($C1814,'Paramètres'!$D:$D,0)))),2))</f>
        <v/>
      </c>
      <c r="L1814" s="6" t="str">
        <f>IF($D1814="","",IF($F1814&lt;&gt;"",$F1814,IF(ISNA(MATCH($D1814,'Paramètres'!$M:$M,0)),"⚠ Type inconnu",IFERROR(INDEX('Paramètres'!$P:$P,MATCH($D1814,'Paramètres'!$M:$M,0))&amp;"",""))))</f>
        <v/>
      </c>
      <c r="M1814" s="6" t="str">
        <f>IF($D1814="","",IF(ISNA(MATCH($D1814,'Paramètres'!$M:$M,0)),"⚠ Type inconnu",IF($L1814="Crédit","",IFERROR(INDEX('Paramètres'!$O:$O,MATCH($D1814,'Paramètres'!$M:$M,0))&amp;"",""))))</f>
        <v/>
      </c>
      <c r="N1814" s="6" t="str">
        <f>IF($D1814="","",IFERROR(INDEX('Paramètres'!$Q:$Q,MATCH($D1814,'Paramètres'!$M:$M,0))&amp;"",""))</f>
        <v/>
      </c>
      <c r="O1814" s="6" t="str">
        <f>IF($A1814="","",IF(OR($J1814&lt;&gt;"x",$A1814&lt;=FinReleve),1,0))</f>
        <v/>
      </c>
      <c r="P1814" s="6" t="str">
        <f>IF($D1814="","",IF(AND($L1814="Crédit",OR(IFERROR(INDEX('Paramètres'!$O:$O,MATCH($D1814,'Paramètres'!$M:$M,0))&amp;"","")&lt;&gt;"",ISNUMBER(SEARCH("remboursement",IFERROR(INDEX('Paramètres'!$N:$N,MATCH($D1814,'Paramètres'!$M:$M,0))&amp;"",""))))),1,0))</f>
        <v/>
      </c>
      <c r="Q1814" s="6" t="str">
        <f>IF($K1814="","",IF(ISNUMBER(SEARCH("transfert-interne",IFERROR(INDEX('Paramètres'!$N:$N,MATCH($D1814,'Paramètres'!$M:$M,0))&amp;"",""))),0,IF($L1814="Débit",$K1814,IF($P1814=1,-$K1814,0))))</f>
        <v/>
      </c>
      <c r="R1814" s="6" t="str">
        <f>IF($K1814="","",IF($L1814="Crédit",$K1814,-$K1814))</f>
        <v/>
      </c>
      <c r="S1814" s="6" t="str">
        <f>IF($C1814="","",IFERROR(INDEX('Paramètres'!$H:$H,MATCH($C1814,'Paramètres'!$D:$D,0))&amp;"",""))</f>
        <v/>
      </c>
      <c r="T1814" s="6" t="str">
        <f>IF($K1814="","",IF($S1814="",0,IF(ISNUMBER(SEARCH("apport-exterieur",IFERROR(INDEX('Paramètres'!$N:$N,MATCH($D1814,'Paramètres'!$M:$M,0))&amp;"",""))),0,IF(OR(IFERROR(INDEX('Paramètres'!$I:$I,MATCH($C1814,'Paramètres'!$D:$D,0))&amp;"","")="Les deux",IFERROR(INDEX('Paramètres'!$I:$I,MATCH($C1814,'Paramètres'!$D:$D,0))&amp;"","")=IF($P1814=1,"Débit",$L1814)),-IF($P1814=1,-$K1814,$K1814),0))))</f>
        <v/>
      </c>
      <c r="U1814" s="6" t="str">
        <f>IF($K1814="","",IF(ISNUMBER(SEARCH("sortie-epargne",IFERROR(INDEX('Paramètres'!$N:$N,MATCH($D1814,'Paramètres'!$M:$M,0))&amp;"",""))),$K1814,0))</f>
        <v/>
      </c>
      <c r="V1814" s="6" t="str">
        <f>IF(AND($A1814&lt;&gt;"",$O1814=1,$L1814="Débit",N($Q1814)&gt;0,$A1814&gt;=Visualisation!$B$1,$A1814&lt;Visualisation!$D$1),MAX($V$1:V1813)+1,"")</f>
        <v/>
      </c>
    </row>
    <row r="1815" spans="1:22" x14ac:dyDescent="0.25">
      <c r="A1815" s="9"/>
      <c r="E1815" s="10"/>
      <c r="K1815" s="11" t="str">
        <f>IF($E1815="","",ROUND($E1815*IF(ISNA(MATCH($C1815,'Paramètres'!$D:$D,0)),1,IF(INDEX('Paramètres'!$J:$J,MATCH($C1815,'Paramètres'!$D:$D,0))="",1,INDEX('Paramètres'!$J:$J,MATCH($C1815,'Paramètres'!$D:$D,0)))),2))</f>
        <v/>
      </c>
      <c r="L1815" s="6" t="str">
        <f>IF($D1815="","",IF($F1815&lt;&gt;"",$F1815,IF(ISNA(MATCH($D1815,'Paramètres'!$M:$M,0)),"⚠ Type inconnu",IFERROR(INDEX('Paramètres'!$P:$P,MATCH($D1815,'Paramètres'!$M:$M,0))&amp;"",""))))</f>
        <v/>
      </c>
      <c r="M1815" s="6" t="str">
        <f>IF($D1815="","",IF(ISNA(MATCH($D1815,'Paramètres'!$M:$M,0)),"⚠ Type inconnu",IF($L1815="Crédit","",IFERROR(INDEX('Paramètres'!$O:$O,MATCH($D1815,'Paramètres'!$M:$M,0))&amp;"",""))))</f>
        <v/>
      </c>
      <c r="N1815" s="6" t="str">
        <f>IF($D1815="","",IFERROR(INDEX('Paramètres'!$Q:$Q,MATCH($D1815,'Paramètres'!$M:$M,0))&amp;"",""))</f>
        <v/>
      </c>
      <c r="O1815" s="6" t="str">
        <f>IF($A1815="","",IF(OR($J1815&lt;&gt;"x",$A1815&lt;=FinReleve),1,0))</f>
        <v/>
      </c>
      <c r="P1815" s="6" t="str">
        <f>IF($D1815="","",IF(AND($L1815="Crédit",OR(IFERROR(INDEX('Paramètres'!$O:$O,MATCH($D1815,'Paramètres'!$M:$M,0))&amp;"","")&lt;&gt;"",ISNUMBER(SEARCH("remboursement",IFERROR(INDEX('Paramètres'!$N:$N,MATCH($D1815,'Paramètres'!$M:$M,0))&amp;"",""))))),1,0))</f>
        <v/>
      </c>
      <c r="Q1815" s="6" t="str">
        <f>IF($K1815="","",IF(ISNUMBER(SEARCH("transfert-interne",IFERROR(INDEX('Paramètres'!$N:$N,MATCH($D1815,'Paramètres'!$M:$M,0))&amp;"",""))),0,IF($L1815="Débit",$K1815,IF($P1815=1,-$K1815,0))))</f>
        <v/>
      </c>
      <c r="R1815" s="6" t="str">
        <f>IF($K1815="","",IF($L1815="Crédit",$K1815,-$K1815))</f>
        <v/>
      </c>
      <c r="S1815" s="6" t="str">
        <f>IF($C1815="","",IFERROR(INDEX('Paramètres'!$H:$H,MATCH($C1815,'Paramètres'!$D:$D,0))&amp;"",""))</f>
        <v/>
      </c>
      <c r="T1815" s="6" t="str">
        <f>IF($K1815="","",IF($S1815="",0,IF(ISNUMBER(SEARCH("apport-exterieur",IFERROR(INDEX('Paramètres'!$N:$N,MATCH($D1815,'Paramètres'!$M:$M,0))&amp;"",""))),0,IF(OR(IFERROR(INDEX('Paramètres'!$I:$I,MATCH($C1815,'Paramètres'!$D:$D,0))&amp;"","")="Les deux",IFERROR(INDEX('Paramètres'!$I:$I,MATCH($C1815,'Paramètres'!$D:$D,0))&amp;"","")=IF($P1815=1,"Débit",$L1815)),-IF($P1815=1,-$K1815,$K1815),0))))</f>
        <v/>
      </c>
      <c r="U1815" s="6" t="str">
        <f>IF($K1815="","",IF(ISNUMBER(SEARCH("sortie-epargne",IFERROR(INDEX('Paramètres'!$N:$N,MATCH($D1815,'Paramètres'!$M:$M,0))&amp;"",""))),$K1815,0))</f>
        <v/>
      </c>
      <c r="V1815" s="6" t="str">
        <f>IF(AND($A1815&lt;&gt;"",$O1815=1,$L1815="Débit",N($Q1815)&gt;0,$A1815&gt;=Visualisation!$B$1,$A1815&lt;Visualisation!$D$1),MAX($V$1:V1814)+1,"")</f>
        <v/>
      </c>
    </row>
    <row r="1816" spans="1:22" x14ac:dyDescent="0.25">
      <c r="A1816" s="9"/>
      <c r="E1816" s="10"/>
      <c r="K1816" s="11" t="str">
        <f>IF($E1816="","",ROUND($E1816*IF(ISNA(MATCH($C1816,'Paramètres'!$D:$D,0)),1,IF(INDEX('Paramètres'!$J:$J,MATCH($C1816,'Paramètres'!$D:$D,0))="",1,INDEX('Paramètres'!$J:$J,MATCH($C1816,'Paramètres'!$D:$D,0)))),2))</f>
        <v/>
      </c>
      <c r="L1816" s="6" t="str">
        <f>IF($D1816="","",IF($F1816&lt;&gt;"",$F1816,IF(ISNA(MATCH($D1816,'Paramètres'!$M:$M,0)),"⚠ Type inconnu",IFERROR(INDEX('Paramètres'!$P:$P,MATCH($D1816,'Paramètres'!$M:$M,0))&amp;"",""))))</f>
        <v/>
      </c>
      <c r="M1816" s="6" t="str">
        <f>IF($D1816="","",IF(ISNA(MATCH($D1816,'Paramètres'!$M:$M,0)),"⚠ Type inconnu",IF($L1816="Crédit","",IFERROR(INDEX('Paramètres'!$O:$O,MATCH($D1816,'Paramètres'!$M:$M,0))&amp;"",""))))</f>
        <v/>
      </c>
      <c r="N1816" s="6" t="str">
        <f>IF($D1816="","",IFERROR(INDEX('Paramètres'!$Q:$Q,MATCH($D1816,'Paramètres'!$M:$M,0))&amp;"",""))</f>
        <v/>
      </c>
      <c r="O1816" s="6" t="str">
        <f>IF($A1816="","",IF(OR($J1816&lt;&gt;"x",$A1816&lt;=FinReleve),1,0))</f>
        <v/>
      </c>
      <c r="P1816" s="6" t="str">
        <f>IF($D1816="","",IF(AND($L1816="Crédit",OR(IFERROR(INDEX('Paramètres'!$O:$O,MATCH($D1816,'Paramètres'!$M:$M,0))&amp;"","")&lt;&gt;"",ISNUMBER(SEARCH("remboursement",IFERROR(INDEX('Paramètres'!$N:$N,MATCH($D1816,'Paramètres'!$M:$M,0))&amp;"",""))))),1,0))</f>
        <v/>
      </c>
      <c r="Q1816" s="6" t="str">
        <f>IF($K1816="","",IF(ISNUMBER(SEARCH("transfert-interne",IFERROR(INDEX('Paramètres'!$N:$N,MATCH($D1816,'Paramètres'!$M:$M,0))&amp;"",""))),0,IF($L1816="Débit",$K1816,IF($P1816=1,-$K1816,0))))</f>
        <v/>
      </c>
      <c r="R1816" s="6" t="str">
        <f>IF($K1816="","",IF($L1816="Crédit",$K1816,-$K1816))</f>
        <v/>
      </c>
      <c r="S1816" s="6" t="str">
        <f>IF($C1816="","",IFERROR(INDEX('Paramètres'!$H:$H,MATCH($C1816,'Paramètres'!$D:$D,0))&amp;"",""))</f>
        <v/>
      </c>
      <c r="T1816" s="6" t="str">
        <f>IF($K1816="","",IF($S1816="",0,IF(ISNUMBER(SEARCH("apport-exterieur",IFERROR(INDEX('Paramètres'!$N:$N,MATCH($D1816,'Paramètres'!$M:$M,0))&amp;"",""))),0,IF(OR(IFERROR(INDEX('Paramètres'!$I:$I,MATCH($C1816,'Paramètres'!$D:$D,0))&amp;"","")="Les deux",IFERROR(INDEX('Paramètres'!$I:$I,MATCH($C1816,'Paramètres'!$D:$D,0))&amp;"","")=IF($P1816=1,"Débit",$L1816)),-IF($P1816=1,-$K1816,$K1816),0))))</f>
        <v/>
      </c>
      <c r="U1816" s="6" t="str">
        <f>IF($K1816="","",IF(ISNUMBER(SEARCH("sortie-epargne",IFERROR(INDEX('Paramètres'!$N:$N,MATCH($D1816,'Paramètres'!$M:$M,0))&amp;"",""))),$K1816,0))</f>
        <v/>
      </c>
      <c r="V1816" s="6" t="str">
        <f>IF(AND($A1816&lt;&gt;"",$O1816=1,$L1816="Débit",N($Q1816)&gt;0,$A1816&gt;=Visualisation!$B$1,$A1816&lt;Visualisation!$D$1),MAX($V$1:V1815)+1,"")</f>
        <v/>
      </c>
    </row>
    <row r="1817" spans="1:22" x14ac:dyDescent="0.25">
      <c r="A1817" s="9"/>
      <c r="E1817" s="10"/>
      <c r="K1817" s="11" t="str">
        <f>IF($E1817="","",ROUND($E1817*IF(ISNA(MATCH($C1817,'Paramètres'!$D:$D,0)),1,IF(INDEX('Paramètres'!$J:$J,MATCH($C1817,'Paramètres'!$D:$D,0))="",1,INDEX('Paramètres'!$J:$J,MATCH($C1817,'Paramètres'!$D:$D,0)))),2))</f>
        <v/>
      </c>
      <c r="L1817" s="6" t="str">
        <f>IF($D1817="","",IF($F1817&lt;&gt;"",$F1817,IF(ISNA(MATCH($D1817,'Paramètres'!$M:$M,0)),"⚠ Type inconnu",IFERROR(INDEX('Paramètres'!$P:$P,MATCH($D1817,'Paramètres'!$M:$M,0))&amp;"",""))))</f>
        <v/>
      </c>
      <c r="M1817" s="6" t="str">
        <f>IF($D1817="","",IF(ISNA(MATCH($D1817,'Paramètres'!$M:$M,0)),"⚠ Type inconnu",IF($L1817="Crédit","",IFERROR(INDEX('Paramètres'!$O:$O,MATCH($D1817,'Paramètres'!$M:$M,0))&amp;"",""))))</f>
        <v/>
      </c>
      <c r="N1817" s="6" t="str">
        <f>IF($D1817="","",IFERROR(INDEX('Paramètres'!$Q:$Q,MATCH($D1817,'Paramètres'!$M:$M,0))&amp;"",""))</f>
        <v/>
      </c>
      <c r="O1817" s="6" t="str">
        <f>IF($A1817="","",IF(OR($J1817&lt;&gt;"x",$A1817&lt;=FinReleve),1,0))</f>
        <v/>
      </c>
      <c r="P1817" s="6" t="str">
        <f>IF($D1817="","",IF(AND($L1817="Crédit",OR(IFERROR(INDEX('Paramètres'!$O:$O,MATCH($D1817,'Paramètres'!$M:$M,0))&amp;"","")&lt;&gt;"",ISNUMBER(SEARCH("remboursement",IFERROR(INDEX('Paramètres'!$N:$N,MATCH($D1817,'Paramètres'!$M:$M,0))&amp;"",""))))),1,0))</f>
        <v/>
      </c>
      <c r="Q1817" s="6" t="str">
        <f>IF($K1817="","",IF(ISNUMBER(SEARCH("transfert-interne",IFERROR(INDEX('Paramètres'!$N:$N,MATCH($D1817,'Paramètres'!$M:$M,0))&amp;"",""))),0,IF($L1817="Débit",$K1817,IF($P1817=1,-$K1817,0))))</f>
        <v/>
      </c>
      <c r="R1817" s="6" t="str">
        <f>IF($K1817="","",IF($L1817="Crédit",$K1817,-$K1817))</f>
        <v/>
      </c>
      <c r="S1817" s="6" t="str">
        <f>IF($C1817="","",IFERROR(INDEX('Paramètres'!$H:$H,MATCH($C1817,'Paramètres'!$D:$D,0))&amp;"",""))</f>
        <v/>
      </c>
      <c r="T1817" s="6" t="str">
        <f>IF($K1817="","",IF($S1817="",0,IF(ISNUMBER(SEARCH("apport-exterieur",IFERROR(INDEX('Paramètres'!$N:$N,MATCH($D1817,'Paramètres'!$M:$M,0))&amp;"",""))),0,IF(OR(IFERROR(INDEX('Paramètres'!$I:$I,MATCH($C1817,'Paramètres'!$D:$D,0))&amp;"","")="Les deux",IFERROR(INDEX('Paramètres'!$I:$I,MATCH($C1817,'Paramètres'!$D:$D,0))&amp;"","")=IF($P1817=1,"Débit",$L1817)),-IF($P1817=1,-$K1817,$K1817),0))))</f>
        <v/>
      </c>
      <c r="U1817" s="6" t="str">
        <f>IF($K1817="","",IF(ISNUMBER(SEARCH("sortie-epargne",IFERROR(INDEX('Paramètres'!$N:$N,MATCH($D1817,'Paramètres'!$M:$M,0))&amp;"",""))),$K1817,0))</f>
        <v/>
      </c>
      <c r="V1817" s="6" t="str">
        <f>IF(AND($A1817&lt;&gt;"",$O1817=1,$L1817="Débit",N($Q1817)&gt;0,$A1817&gt;=Visualisation!$B$1,$A1817&lt;Visualisation!$D$1),MAX($V$1:V1816)+1,"")</f>
        <v/>
      </c>
    </row>
    <row r="1818" spans="1:22" x14ac:dyDescent="0.25">
      <c r="A1818" s="9"/>
      <c r="E1818" s="10"/>
      <c r="K1818" s="11" t="str">
        <f>IF($E1818="","",ROUND($E1818*IF(ISNA(MATCH($C1818,'Paramètres'!$D:$D,0)),1,IF(INDEX('Paramètres'!$J:$J,MATCH($C1818,'Paramètres'!$D:$D,0))="",1,INDEX('Paramètres'!$J:$J,MATCH($C1818,'Paramètres'!$D:$D,0)))),2))</f>
        <v/>
      </c>
      <c r="L1818" s="6" t="str">
        <f>IF($D1818="","",IF($F1818&lt;&gt;"",$F1818,IF(ISNA(MATCH($D1818,'Paramètres'!$M:$M,0)),"⚠ Type inconnu",IFERROR(INDEX('Paramètres'!$P:$P,MATCH($D1818,'Paramètres'!$M:$M,0))&amp;"",""))))</f>
        <v/>
      </c>
      <c r="M1818" s="6" t="str">
        <f>IF($D1818="","",IF(ISNA(MATCH($D1818,'Paramètres'!$M:$M,0)),"⚠ Type inconnu",IF($L1818="Crédit","",IFERROR(INDEX('Paramètres'!$O:$O,MATCH($D1818,'Paramètres'!$M:$M,0))&amp;"",""))))</f>
        <v/>
      </c>
      <c r="N1818" s="6" t="str">
        <f>IF($D1818="","",IFERROR(INDEX('Paramètres'!$Q:$Q,MATCH($D1818,'Paramètres'!$M:$M,0))&amp;"",""))</f>
        <v/>
      </c>
      <c r="O1818" s="6" t="str">
        <f>IF($A1818="","",IF(OR($J1818&lt;&gt;"x",$A1818&lt;=FinReleve),1,0))</f>
        <v/>
      </c>
      <c r="P1818" s="6" t="str">
        <f>IF($D1818="","",IF(AND($L1818="Crédit",OR(IFERROR(INDEX('Paramètres'!$O:$O,MATCH($D1818,'Paramètres'!$M:$M,0))&amp;"","")&lt;&gt;"",ISNUMBER(SEARCH("remboursement",IFERROR(INDEX('Paramètres'!$N:$N,MATCH($D1818,'Paramètres'!$M:$M,0))&amp;"",""))))),1,0))</f>
        <v/>
      </c>
      <c r="Q1818" s="6" t="str">
        <f>IF($K1818="","",IF(ISNUMBER(SEARCH("transfert-interne",IFERROR(INDEX('Paramètres'!$N:$N,MATCH($D1818,'Paramètres'!$M:$M,0))&amp;"",""))),0,IF($L1818="Débit",$K1818,IF($P1818=1,-$K1818,0))))</f>
        <v/>
      </c>
      <c r="R1818" s="6" t="str">
        <f>IF($K1818="","",IF($L1818="Crédit",$K1818,-$K1818))</f>
        <v/>
      </c>
      <c r="S1818" s="6" t="str">
        <f>IF($C1818="","",IFERROR(INDEX('Paramètres'!$H:$H,MATCH($C1818,'Paramètres'!$D:$D,0))&amp;"",""))</f>
        <v/>
      </c>
      <c r="T1818" s="6" t="str">
        <f>IF($K1818="","",IF($S1818="",0,IF(ISNUMBER(SEARCH("apport-exterieur",IFERROR(INDEX('Paramètres'!$N:$N,MATCH($D1818,'Paramètres'!$M:$M,0))&amp;"",""))),0,IF(OR(IFERROR(INDEX('Paramètres'!$I:$I,MATCH($C1818,'Paramètres'!$D:$D,0))&amp;"","")="Les deux",IFERROR(INDEX('Paramètres'!$I:$I,MATCH($C1818,'Paramètres'!$D:$D,0))&amp;"","")=IF($P1818=1,"Débit",$L1818)),-IF($P1818=1,-$K1818,$K1818),0))))</f>
        <v/>
      </c>
      <c r="U1818" s="6" t="str">
        <f>IF($K1818="","",IF(ISNUMBER(SEARCH("sortie-epargne",IFERROR(INDEX('Paramètres'!$N:$N,MATCH($D1818,'Paramètres'!$M:$M,0))&amp;"",""))),$K1818,0))</f>
        <v/>
      </c>
      <c r="V1818" s="6" t="str">
        <f>IF(AND($A1818&lt;&gt;"",$O1818=1,$L1818="Débit",N($Q1818)&gt;0,$A1818&gt;=Visualisation!$B$1,$A1818&lt;Visualisation!$D$1),MAX($V$1:V1817)+1,"")</f>
        <v/>
      </c>
    </row>
    <row r="1819" spans="1:22" x14ac:dyDescent="0.25">
      <c r="A1819" s="9"/>
      <c r="E1819" s="10"/>
      <c r="K1819" s="11" t="str">
        <f>IF($E1819="","",ROUND($E1819*IF(ISNA(MATCH($C1819,'Paramètres'!$D:$D,0)),1,IF(INDEX('Paramètres'!$J:$J,MATCH($C1819,'Paramètres'!$D:$D,0))="",1,INDEX('Paramètres'!$J:$J,MATCH($C1819,'Paramètres'!$D:$D,0)))),2))</f>
        <v/>
      </c>
      <c r="L1819" s="6" t="str">
        <f>IF($D1819="","",IF($F1819&lt;&gt;"",$F1819,IF(ISNA(MATCH($D1819,'Paramètres'!$M:$M,0)),"⚠ Type inconnu",IFERROR(INDEX('Paramètres'!$P:$P,MATCH($D1819,'Paramètres'!$M:$M,0))&amp;"",""))))</f>
        <v/>
      </c>
      <c r="M1819" s="6" t="str">
        <f>IF($D1819="","",IF(ISNA(MATCH($D1819,'Paramètres'!$M:$M,0)),"⚠ Type inconnu",IF($L1819="Crédit","",IFERROR(INDEX('Paramètres'!$O:$O,MATCH($D1819,'Paramètres'!$M:$M,0))&amp;"",""))))</f>
        <v/>
      </c>
      <c r="N1819" s="6" t="str">
        <f>IF($D1819="","",IFERROR(INDEX('Paramètres'!$Q:$Q,MATCH($D1819,'Paramètres'!$M:$M,0))&amp;"",""))</f>
        <v/>
      </c>
      <c r="O1819" s="6" t="str">
        <f>IF($A1819="","",IF(OR($J1819&lt;&gt;"x",$A1819&lt;=FinReleve),1,0))</f>
        <v/>
      </c>
      <c r="P1819" s="6" t="str">
        <f>IF($D1819="","",IF(AND($L1819="Crédit",OR(IFERROR(INDEX('Paramètres'!$O:$O,MATCH($D1819,'Paramètres'!$M:$M,0))&amp;"","")&lt;&gt;"",ISNUMBER(SEARCH("remboursement",IFERROR(INDEX('Paramètres'!$N:$N,MATCH($D1819,'Paramètres'!$M:$M,0))&amp;"",""))))),1,0))</f>
        <v/>
      </c>
      <c r="Q1819" s="6" t="str">
        <f>IF($K1819="","",IF(ISNUMBER(SEARCH("transfert-interne",IFERROR(INDEX('Paramètres'!$N:$N,MATCH($D1819,'Paramètres'!$M:$M,0))&amp;"",""))),0,IF($L1819="Débit",$K1819,IF($P1819=1,-$K1819,0))))</f>
        <v/>
      </c>
      <c r="R1819" s="6" t="str">
        <f>IF($K1819="","",IF($L1819="Crédit",$K1819,-$K1819))</f>
        <v/>
      </c>
      <c r="S1819" s="6" t="str">
        <f>IF($C1819="","",IFERROR(INDEX('Paramètres'!$H:$H,MATCH($C1819,'Paramètres'!$D:$D,0))&amp;"",""))</f>
        <v/>
      </c>
      <c r="T1819" s="6" t="str">
        <f>IF($K1819="","",IF($S1819="",0,IF(ISNUMBER(SEARCH("apport-exterieur",IFERROR(INDEX('Paramètres'!$N:$N,MATCH($D1819,'Paramètres'!$M:$M,0))&amp;"",""))),0,IF(OR(IFERROR(INDEX('Paramètres'!$I:$I,MATCH($C1819,'Paramètres'!$D:$D,0))&amp;"","")="Les deux",IFERROR(INDEX('Paramètres'!$I:$I,MATCH($C1819,'Paramètres'!$D:$D,0))&amp;"","")=IF($P1819=1,"Débit",$L1819)),-IF($P1819=1,-$K1819,$K1819),0))))</f>
        <v/>
      </c>
      <c r="U1819" s="6" t="str">
        <f>IF($K1819="","",IF(ISNUMBER(SEARCH("sortie-epargne",IFERROR(INDEX('Paramètres'!$N:$N,MATCH($D1819,'Paramètres'!$M:$M,0))&amp;"",""))),$K1819,0))</f>
        <v/>
      </c>
      <c r="V1819" s="6" t="str">
        <f>IF(AND($A1819&lt;&gt;"",$O1819=1,$L1819="Débit",N($Q1819)&gt;0,$A1819&gt;=Visualisation!$B$1,$A1819&lt;Visualisation!$D$1),MAX($V$1:V1818)+1,"")</f>
        <v/>
      </c>
    </row>
    <row r="1820" spans="1:22" x14ac:dyDescent="0.25">
      <c r="A1820" s="9"/>
      <c r="E1820" s="10"/>
      <c r="K1820" s="11" t="str">
        <f>IF($E1820="","",ROUND($E1820*IF(ISNA(MATCH($C1820,'Paramètres'!$D:$D,0)),1,IF(INDEX('Paramètres'!$J:$J,MATCH($C1820,'Paramètres'!$D:$D,0))="",1,INDEX('Paramètres'!$J:$J,MATCH($C1820,'Paramètres'!$D:$D,0)))),2))</f>
        <v/>
      </c>
      <c r="L1820" s="6" t="str">
        <f>IF($D1820="","",IF($F1820&lt;&gt;"",$F1820,IF(ISNA(MATCH($D1820,'Paramètres'!$M:$M,0)),"⚠ Type inconnu",IFERROR(INDEX('Paramètres'!$P:$P,MATCH($D1820,'Paramètres'!$M:$M,0))&amp;"",""))))</f>
        <v/>
      </c>
      <c r="M1820" s="6" t="str">
        <f>IF($D1820="","",IF(ISNA(MATCH($D1820,'Paramètres'!$M:$M,0)),"⚠ Type inconnu",IF($L1820="Crédit","",IFERROR(INDEX('Paramètres'!$O:$O,MATCH($D1820,'Paramètres'!$M:$M,0))&amp;"",""))))</f>
        <v/>
      </c>
      <c r="N1820" s="6" t="str">
        <f>IF($D1820="","",IFERROR(INDEX('Paramètres'!$Q:$Q,MATCH($D1820,'Paramètres'!$M:$M,0))&amp;"",""))</f>
        <v/>
      </c>
      <c r="O1820" s="6" t="str">
        <f>IF($A1820="","",IF(OR($J1820&lt;&gt;"x",$A1820&lt;=FinReleve),1,0))</f>
        <v/>
      </c>
      <c r="P1820" s="6" t="str">
        <f>IF($D1820="","",IF(AND($L1820="Crédit",OR(IFERROR(INDEX('Paramètres'!$O:$O,MATCH($D1820,'Paramètres'!$M:$M,0))&amp;"","")&lt;&gt;"",ISNUMBER(SEARCH("remboursement",IFERROR(INDEX('Paramètres'!$N:$N,MATCH($D1820,'Paramètres'!$M:$M,0))&amp;"",""))))),1,0))</f>
        <v/>
      </c>
      <c r="Q1820" s="6" t="str">
        <f>IF($K1820="","",IF(ISNUMBER(SEARCH("transfert-interne",IFERROR(INDEX('Paramètres'!$N:$N,MATCH($D1820,'Paramètres'!$M:$M,0))&amp;"",""))),0,IF($L1820="Débit",$K1820,IF($P1820=1,-$K1820,0))))</f>
        <v/>
      </c>
      <c r="R1820" s="6" t="str">
        <f>IF($K1820="","",IF($L1820="Crédit",$K1820,-$K1820))</f>
        <v/>
      </c>
      <c r="S1820" s="6" t="str">
        <f>IF($C1820="","",IFERROR(INDEX('Paramètres'!$H:$H,MATCH($C1820,'Paramètres'!$D:$D,0))&amp;"",""))</f>
        <v/>
      </c>
      <c r="T1820" s="6" t="str">
        <f>IF($K1820="","",IF($S1820="",0,IF(ISNUMBER(SEARCH("apport-exterieur",IFERROR(INDEX('Paramètres'!$N:$N,MATCH($D1820,'Paramètres'!$M:$M,0))&amp;"",""))),0,IF(OR(IFERROR(INDEX('Paramètres'!$I:$I,MATCH($C1820,'Paramètres'!$D:$D,0))&amp;"","")="Les deux",IFERROR(INDEX('Paramètres'!$I:$I,MATCH($C1820,'Paramètres'!$D:$D,0))&amp;"","")=IF($P1820=1,"Débit",$L1820)),-IF($P1820=1,-$K1820,$K1820),0))))</f>
        <v/>
      </c>
      <c r="U1820" s="6" t="str">
        <f>IF($K1820="","",IF(ISNUMBER(SEARCH("sortie-epargne",IFERROR(INDEX('Paramètres'!$N:$N,MATCH($D1820,'Paramètres'!$M:$M,0))&amp;"",""))),$K1820,0))</f>
        <v/>
      </c>
      <c r="V1820" s="6" t="str">
        <f>IF(AND($A1820&lt;&gt;"",$O1820=1,$L1820="Débit",N($Q1820)&gt;0,$A1820&gt;=Visualisation!$B$1,$A1820&lt;Visualisation!$D$1),MAX($V$1:V1819)+1,"")</f>
        <v/>
      </c>
    </row>
    <row r="1821" spans="1:22" x14ac:dyDescent="0.25">
      <c r="A1821" s="9"/>
      <c r="E1821" s="10"/>
      <c r="K1821" s="11" t="str">
        <f>IF($E1821="","",ROUND($E1821*IF(ISNA(MATCH($C1821,'Paramètres'!$D:$D,0)),1,IF(INDEX('Paramètres'!$J:$J,MATCH($C1821,'Paramètres'!$D:$D,0))="",1,INDEX('Paramètres'!$J:$J,MATCH($C1821,'Paramètres'!$D:$D,0)))),2))</f>
        <v/>
      </c>
      <c r="L1821" s="6" t="str">
        <f>IF($D1821="","",IF($F1821&lt;&gt;"",$F1821,IF(ISNA(MATCH($D1821,'Paramètres'!$M:$M,0)),"⚠ Type inconnu",IFERROR(INDEX('Paramètres'!$P:$P,MATCH($D1821,'Paramètres'!$M:$M,0))&amp;"",""))))</f>
        <v/>
      </c>
      <c r="M1821" s="6" t="str">
        <f>IF($D1821="","",IF(ISNA(MATCH($D1821,'Paramètres'!$M:$M,0)),"⚠ Type inconnu",IF($L1821="Crédit","",IFERROR(INDEX('Paramètres'!$O:$O,MATCH($D1821,'Paramètres'!$M:$M,0))&amp;"",""))))</f>
        <v/>
      </c>
      <c r="N1821" s="6" t="str">
        <f>IF($D1821="","",IFERROR(INDEX('Paramètres'!$Q:$Q,MATCH($D1821,'Paramètres'!$M:$M,0))&amp;"",""))</f>
        <v/>
      </c>
      <c r="O1821" s="6" t="str">
        <f>IF($A1821="","",IF(OR($J1821&lt;&gt;"x",$A1821&lt;=FinReleve),1,0))</f>
        <v/>
      </c>
      <c r="P1821" s="6" t="str">
        <f>IF($D1821="","",IF(AND($L1821="Crédit",OR(IFERROR(INDEX('Paramètres'!$O:$O,MATCH($D1821,'Paramètres'!$M:$M,0))&amp;"","")&lt;&gt;"",ISNUMBER(SEARCH("remboursement",IFERROR(INDEX('Paramètres'!$N:$N,MATCH($D1821,'Paramètres'!$M:$M,0))&amp;"",""))))),1,0))</f>
        <v/>
      </c>
      <c r="Q1821" s="6" t="str">
        <f>IF($K1821="","",IF(ISNUMBER(SEARCH("transfert-interne",IFERROR(INDEX('Paramètres'!$N:$N,MATCH($D1821,'Paramètres'!$M:$M,0))&amp;"",""))),0,IF($L1821="Débit",$K1821,IF($P1821=1,-$K1821,0))))</f>
        <v/>
      </c>
      <c r="R1821" s="6" t="str">
        <f>IF($K1821="","",IF($L1821="Crédit",$K1821,-$K1821))</f>
        <v/>
      </c>
      <c r="S1821" s="6" t="str">
        <f>IF($C1821="","",IFERROR(INDEX('Paramètres'!$H:$H,MATCH($C1821,'Paramètres'!$D:$D,0))&amp;"",""))</f>
        <v/>
      </c>
      <c r="T1821" s="6" t="str">
        <f>IF($K1821="","",IF($S1821="",0,IF(ISNUMBER(SEARCH("apport-exterieur",IFERROR(INDEX('Paramètres'!$N:$N,MATCH($D1821,'Paramètres'!$M:$M,0))&amp;"",""))),0,IF(OR(IFERROR(INDEX('Paramètres'!$I:$I,MATCH($C1821,'Paramètres'!$D:$D,0))&amp;"","")="Les deux",IFERROR(INDEX('Paramètres'!$I:$I,MATCH($C1821,'Paramètres'!$D:$D,0))&amp;"","")=IF($P1821=1,"Débit",$L1821)),-IF($P1821=1,-$K1821,$K1821),0))))</f>
        <v/>
      </c>
      <c r="U1821" s="6" t="str">
        <f>IF($K1821="","",IF(ISNUMBER(SEARCH("sortie-epargne",IFERROR(INDEX('Paramètres'!$N:$N,MATCH($D1821,'Paramètres'!$M:$M,0))&amp;"",""))),$K1821,0))</f>
        <v/>
      </c>
      <c r="V1821" s="6" t="str">
        <f>IF(AND($A1821&lt;&gt;"",$O1821=1,$L1821="Débit",N($Q1821)&gt;0,$A1821&gt;=Visualisation!$B$1,$A1821&lt;Visualisation!$D$1),MAX($V$1:V1820)+1,"")</f>
        <v/>
      </c>
    </row>
    <row r="1822" spans="1:22" x14ac:dyDescent="0.25">
      <c r="A1822" s="9"/>
      <c r="E1822" s="10"/>
      <c r="K1822" s="11" t="str">
        <f>IF($E1822="","",ROUND($E1822*IF(ISNA(MATCH($C1822,'Paramètres'!$D:$D,0)),1,IF(INDEX('Paramètres'!$J:$J,MATCH($C1822,'Paramètres'!$D:$D,0))="",1,INDEX('Paramètres'!$J:$J,MATCH($C1822,'Paramètres'!$D:$D,0)))),2))</f>
        <v/>
      </c>
      <c r="L1822" s="6" t="str">
        <f>IF($D1822="","",IF($F1822&lt;&gt;"",$F1822,IF(ISNA(MATCH($D1822,'Paramètres'!$M:$M,0)),"⚠ Type inconnu",IFERROR(INDEX('Paramètres'!$P:$P,MATCH($D1822,'Paramètres'!$M:$M,0))&amp;"",""))))</f>
        <v/>
      </c>
      <c r="M1822" s="6" t="str">
        <f>IF($D1822="","",IF(ISNA(MATCH($D1822,'Paramètres'!$M:$M,0)),"⚠ Type inconnu",IF($L1822="Crédit","",IFERROR(INDEX('Paramètres'!$O:$O,MATCH($D1822,'Paramètres'!$M:$M,0))&amp;"",""))))</f>
        <v/>
      </c>
      <c r="N1822" s="6" t="str">
        <f>IF($D1822="","",IFERROR(INDEX('Paramètres'!$Q:$Q,MATCH($D1822,'Paramètres'!$M:$M,0))&amp;"",""))</f>
        <v/>
      </c>
      <c r="O1822" s="6" t="str">
        <f>IF($A1822="","",IF(OR($J1822&lt;&gt;"x",$A1822&lt;=FinReleve),1,0))</f>
        <v/>
      </c>
      <c r="P1822" s="6" t="str">
        <f>IF($D1822="","",IF(AND($L1822="Crédit",OR(IFERROR(INDEX('Paramètres'!$O:$O,MATCH($D1822,'Paramètres'!$M:$M,0))&amp;"","")&lt;&gt;"",ISNUMBER(SEARCH("remboursement",IFERROR(INDEX('Paramètres'!$N:$N,MATCH($D1822,'Paramètres'!$M:$M,0))&amp;"",""))))),1,0))</f>
        <v/>
      </c>
      <c r="Q1822" s="6" t="str">
        <f>IF($K1822="","",IF(ISNUMBER(SEARCH("transfert-interne",IFERROR(INDEX('Paramètres'!$N:$N,MATCH($D1822,'Paramètres'!$M:$M,0))&amp;"",""))),0,IF($L1822="Débit",$K1822,IF($P1822=1,-$K1822,0))))</f>
        <v/>
      </c>
      <c r="R1822" s="6" t="str">
        <f>IF($K1822="","",IF($L1822="Crédit",$K1822,-$K1822))</f>
        <v/>
      </c>
      <c r="S1822" s="6" t="str">
        <f>IF($C1822="","",IFERROR(INDEX('Paramètres'!$H:$H,MATCH($C1822,'Paramètres'!$D:$D,0))&amp;"",""))</f>
        <v/>
      </c>
      <c r="T1822" s="6" t="str">
        <f>IF($K1822="","",IF($S1822="",0,IF(ISNUMBER(SEARCH("apport-exterieur",IFERROR(INDEX('Paramètres'!$N:$N,MATCH($D1822,'Paramètres'!$M:$M,0))&amp;"",""))),0,IF(OR(IFERROR(INDEX('Paramètres'!$I:$I,MATCH($C1822,'Paramètres'!$D:$D,0))&amp;"","")="Les deux",IFERROR(INDEX('Paramètres'!$I:$I,MATCH($C1822,'Paramètres'!$D:$D,0))&amp;"","")=IF($P1822=1,"Débit",$L1822)),-IF($P1822=1,-$K1822,$K1822),0))))</f>
        <v/>
      </c>
      <c r="U1822" s="6" t="str">
        <f>IF($K1822="","",IF(ISNUMBER(SEARCH("sortie-epargne",IFERROR(INDEX('Paramètres'!$N:$N,MATCH($D1822,'Paramètres'!$M:$M,0))&amp;"",""))),$K1822,0))</f>
        <v/>
      </c>
      <c r="V1822" s="6" t="str">
        <f>IF(AND($A1822&lt;&gt;"",$O1822=1,$L1822="Débit",N($Q1822)&gt;0,$A1822&gt;=Visualisation!$B$1,$A1822&lt;Visualisation!$D$1),MAX($V$1:V1821)+1,"")</f>
        <v/>
      </c>
    </row>
    <row r="1823" spans="1:22" x14ac:dyDescent="0.25">
      <c r="A1823" s="9"/>
      <c r="E1823" s="10"/>
      <c r="K1823" s="11" t="str">
        <f>IF($E1823="","",ROUND($E1823*IF(ISNA(MATCH($C1823,'Paramètres'!$D:$D,0)),1,IF(INDEX('Paramètres'!$J:$J,MATCH($C1823,'Paramètres'!$D:$D,0))="",1,INDEX('Paramètres'!$J:$J,MATCH($C1823,'Paramètres'!$D:$D,0)))),2))</f>
        <v/>
      </c>
      <c r="L1823" s="6" t="str">
        <f>IF($D1823="","",IF($F1823&lt;&gt;"",$F1823,IF(ISNA(MATCH($D1823,'Paramètres'!$M:$M,0)),"⚠ Type inconnu",IFERROR(INDEX('Paramètres'!$P:$P,MATCH($D1823,'Paramètres'!$M:$M,0))&amp;"",""))))</f>
        <v/>
      </c>
      <c r="M1823" s="6" t="str">
        <f>IF($D1823="","",IF(ISNA(MATCH($D1823,'Paramètres'!$M:$M,0)),"⚠ Type inconnu",IF($L1823="Crédit","",IFERROR(INDEX('Paramètres'!$O:$O,MATCH($D1823,'Paramètres'!$M:$M,0))&amp;"",""))))</f>
        <v/>
      </c>
      <c r="N1823" s="6" t="str">
        <f>IF($D1823="","",IFERROR(INDEX('Paramètres'!$Q:$Q,MATCH($D1823,'Paramètres'!$M:$M,0))&amp;"",""))</f>
        <v/>
      </c>
      <c r="O1823" s="6" t="str">
        <f>IF($A1823="","",IF(OR($J1823&lt;&gt;"x",$A1823&lt;=FinReleve),1,0))</f>
        <v/>
      </c>
      <c r="P1823" s="6" t="str">
        <f>IF($D1823="","",IF(AND($L1823="Crédit",OR(IFERROR(INDEX('Paramètres'!$O:$O,MATCH($D1823,'Paramètres'!$M:$M,0))&amp;"","")&lt;&gt;"",ISNUMBER(SEARCH("remboursement",IFERROR(INDEX('Paramètres'!$N:$N,MATCH($D1823,'Paramètres'!$M:$M,0))&amp;"",""))))),1,0))</f>
        <v/>
      </c>
      <c r="Q1823" s="6" t="str">
        <f>IF($K1823="","",IF(ISNUMBER(SEARCH("transfert-interne",IFERROR(INDEX('Paramètres'!$N:$N,MATCH($D1823,'Paramètres'!$M:$M,0))&amp;"",""))),0,IF($L1823="Débit",$K1823,IF($P1823=1,-$K1823,0))))</f>
        <v/>
      </c>
      <c r="R1823" s="6" t="str">
        <f>IF($K1823="","",IF($L1823="Crédit",$K1823,-$K1823))</f>
        <v/>
      </c>
      <c r="S1823" s="6" t="str">
        <f>IF($C1823="","",IFERROR(INDEX('Paramètres'!$H:$H,MATCH($C1823,'Paramètres'!$D:$D,0))&amp;"",""))</f>
        <v/>
      </c>
      <c r="T1823" s="6" t="str">
        <f>IF($K1823="","",IF($S1823="",0,IF(ISNUMBER(SEARCH("apport-exterieur",IFERROR(INDEX('Paramètres'!$N:$N,MATCH($D1823,'Paramètres'!$M:$M,0))&amp;"",""))),0,IF(OR(IFERROR(INDEX('Paramètres'!$I:$I,MATCH($C1823,'Paramètres'!$D:$D,0))&amp;"","")="Les deux",IFERROR(INDEX('Paramètres'!$I:$I,MATCH($C1823,'Paramètres'!$D:$D,0))&amp;"","")=IF($P1823=1,"Débit",$L1823)),-IF($P1823=1,-$K1823,$K1823),0))))</f>
        <v/>
      </c>
      <c r="U1823" s="6" t="str">
        <f>IF($K1823="","",IF(ISNUMBER(SEARCH("sortie-epargne",IFERROR(INDEX('Paramètres'!$N:$N,MATCH($D1823,'Paramètres'!$M:$M,0))&amp;"",""))),$K1823,0))</f>
        <v/>
      </c>
      <c r="V1823" s="6" t="str">
        <f>IF(AND($A1823&lt;&gt;"",$O1823=1,$L1823="Débit",N($Q1823)&gt;0,$A1823&gt;=Visualisation!$B$1,$A1823&lt;Visualisation!$D$1),MAX($V$1:V1822)+1,"")</f>
        <v/>
      </c>
    </row>
    <row r="1824" spans="1:22" x14ac:dyDescent="0.25">
      <c r="A1824" s="9"/>
      <c r="E1824" s="10"/>
      <c r="K1824" s="11" t="str">
        <f>IF($E1824="","",ROUND($E1824*IF(ISNA(MATCH($C1824,'Paramètres'!$D:$D,0)),1,IF(INDEX('Paramètres'!$J:$J,MATCH($C1824,'Paramètres'!$D:$D,0))="",1,INDEX('Paramètres'!$J:$J,MATCH($C1824,'Paramètres'!$D:$D,0)))),2))</f>
        <v/>
      </c>
      <c r="L1824" s="6" t="str">
        <f>IF($D1824="","",IF($F1824&lt;&gt;"",$F1824,IF(ISNA(MATCH($D1824,'Paramètres'!$M:$M,0)),"⚠ Type inconnu",IFERROR(INDEX('Paramètres'!$P:$P,MATCH($D1824,'Paramètres'!$M:$M,0))&amp;"",""))))</f>
        <v/>
      </c>
      <c r="M1824" s="6" t="str">
        <f>IF($D1824="","",IF(ISNA(MATCH($D1824,'Paramètres'!$M:$M,0)),"⚠ Type inconnu",IF($L1824="Crédit","",IFERROR(INDEX('Paramètres'!$O:$O,MATCH($D1824,'Paramètres'!$M:$M,0))&amp;"",""))))</f>
        <v/>
      </c>
      <c r="N1824" s="6" t="str">
        <f>IF($D1824="","",IFERROR(INDEX('Paramètres'!$Q:$Q,MATCH($D1824,'Paramètres'!$M:$M,0))&amp;"",""))</f>
        <v/>
      </c>
      <c r="O1824" s="6" t="str">
        <f>IF($A1824="","",IF(OR($J1824&lt;&gt;"x",$A1824&lt;=FinReleve),1,0))</f>
        <v/>
      </c>
      <c r="P1824" s="6" t="str">
        <f>IF($D1824="","",IF(AND($L1824="Crédit",OR(IFERROR(INDEX('Paramètres'!$O:$O,MATCH($D1824,'Paramètres'!$M:$M,0))&amp;"","")&lt;&gt;"",ISNUMBER(SEARCH("remboursement",IFERROR(INDEX('Paramètres'!$N:$N,MATCH($D1824,'Paramètres'!$M:$M,0))&amp;"",""))))),1,0))</f>
        <v/>
      </c>
      <c r="Q1824" s="6" t="str">
        <f>IF($K1824="","",IF(ISNUMBER(SEARCH("transfert-interne",IFERROR(INDEX('Paramètres'!$N:$N,MATCH($D1824,'Paramètres'!$M:$M,0))&amp;"",""))),0,IF($L1824="Débit",$K1824,IF($P1824=1,-$K1824,0))))</f>
        <v/>
      </c>
      <c r="R1824" s="6" t="str">
        <f>IF($K1824="","",IF($L1824="Crédit",$K1824,-$K1824))</f>
        <v/>
      </c>
      <c r="S1824" s="6" t="str">
        <f>IF($C1824="","",IFERROR(INDEX('Paramètres'!$H:$H,MATCH($C1824,'Paramètres'!$D:$D,0))&amp;"",""))</f>
        <v/>
      </c>
      <c r="T1824" s="6" t="str">
        <f>IF($K1824="","",IF($S1824="",0,IF(ISNUMBER(SEARCH("apport-exterieur",IFERROR(INDEX('Paramètres'!$N:$N,MATCH($D1824,'Paramètres'!$M:$M,0))&amp;"",""))),0,IF(OR(IFERROR(INDEX('Paramètres'!$I:$I,MATCH($C1824,'Paramètres'!$D:$D,0))&amp;"","")="Les deux",IFERROR(INDEX('Paramètres'!$I:$I,MATCH($C1824,'Paramètres'!$D:$D,0))&amp;"","")=IF($P1824=1,"Débit",$L1824)),-IF($P1824=1,-$K1824,$K1824),0))))</f>
        <v/>
      </c>
      <c r="U1824" s="6" t="str">
        <f>IF($K1824="","",IF(ISNUMBER(SEARCH("sortie-epargne",IFERROR(INDEX('Paramètres'!$N:$N,MATCH($D1824,'Paramètres'!$M:$M,0))&amp;"",""))),$K1824,0))</f>
        <v/>
      </c>
      <c r="V1824" s="6" t="str">
        <f>IF(AND($A1824&lt;&gt;"",$O1824=1,$L1824="Débit",N($Q1824)&gt;0,$A1824&gt;=Visualisation!$B$1,$A1824&lt;Visualisation!$D$1),MAX($V$1:V1823)+1,"")</f>
        <v/>
      </c>
    </row>
    <row r="1825" spans="1:22" x14ac:dyDescent="0.25">
      <c r="A1825" s="9"/>
      <c r="E1825" s="10"/>
      <c r="K1825" s="11" t="str">
        <f>IF($E1825="","",ROUND($E1825*IF(ISNA(MATCH($C1825,'Paramètres'!$D:$D,0)),1,IF(INDEX('Paramètres'!$J:$J,MATCH($C1825,'Paramètres'!$D:$D,0))="",1,INDEX('Paramètres'!$J:$J,MATCH($C1825,'Paramètres'!$D:$D,0)))),2))</f>
        <v/>
      </c>
      <c r="L1825" s="6" t="str">
        <f>IF($D1825="","",IF($F1825&lt;&gt;"",$F1825,IF(ISNA(MATCH($D1825,'Paramètres'!$M:$M,0)),"⚠ Type inconnu",IFERROR(INDEX('Paramètres'!$P:$P,MATCH($D1825,'Paramètres'!$M:$M,0))&amp;"",""))))</f>
        <v/>
      </c>
      <c r="M1825" s="6" t="str">
        <f>IF($D1825="","",IF(ISNA(MATCH($D1825,'Paramètres'!$M:$M,0)),"⚠ Type inconnu",IF($L1825="Crédit","",IFERROR(INDEX('Paramètres'!$O:$O,MATCH($D1825,'Paramètres'!$M:$M,0))&amp;"",""))))</f>
        <v/>
      </c>
      <c r="N1825" s="6" t="str">
        <f>IF($D1825="","",IFERROR(INDEX('Paramètres'!$Q:$Q,MATCH($D1825,'Paramètres'!$M:$M,0))&amp;"",""))</f>
        <v/>
      </c>
      <c r="O1825" s="6" t="str">
        <f>IF($A1825="","",IF(OR($J1825&lt;&gt;"x",$A1825&lt;=FinReleve),1,0))</f>
        <v/>
      </c>
      <c r="P1825" s="6" t="str">
        <f>IF($D1825="","",IF(AND($L1825="Crédit",OR(IFERROR(INDEX('Paramètres'!$O:$O,MATCH($D1825,'Paramètres'!$M:$M,0))&amp;"","")&lt;&gt;"",ISNUMBER(SEARCH("remboursement",IFERROR(INDEX('Paramètres'!$N:$N,MATCH($D1825,'Paramètres'!$M:$M,0))&amp;"",""))))),1,0))</f>
        <v/>
      </c>
      <c r="Q1825" s="6" t="str">
        <f>IF($K1825="","",IF(ISNUMBER(SEARCH("transfert-interne",IFERROR(INDEX('Paramètres'!$N:$N,MATCH($D1825,'Paramètres'!$M:$M,0))&amp;"",""))),0,IF($L1825="Débit",$K1825,IF($P1825=1,-$K1825,0))))</f>
        <v/>
      </c>
      <c r="R1825" s="6" t="str">
        <f>IF($K1825="","",IF($L1825="Crédit",$K1825,-$K1825))</f>
        <v/>
      </c>
      <c r="S1825" s="6" t="str">
        <f>IF($C1825="","",IFERROR(INDEX('Paramètres'!$H:$H,MATCH($C1825,'Paramètres'!$D:$D,0))&amp;"",""))</f>
        <v/>
      </c>
      <c r="T1825" s="6" t="str">
        <f>IF($K1825="","",IF($S1825="",0,IF(ISNUMBER(SEARCH("apport-exterieur",IFERROR(INDEX('Paramètres'!$N:$N,MATCH($D1825,'Paramètres'!$M:$M,0))&amp;"",""))),0,IF(OR(IFERROR(INDEX('Paramètres'!$I:$I,MATCH($C1825,'Paramètres'!$D:$D,0))&amp;"","")="Les deux",IFERROR(INDEX('Paramètres'!$I:$I,MATCH($C1825,'Paramètres'!$D:$D,0))&amp;"","")=IF($P1825=1,"Débit",$L1825)),-IF($P1825=1,-$K1825,$K1825),0))))</f>
        <v/>
      </c>
      <c r="U1825" s="6" t="str">
        <f>IF($K1825="","",IF(ISNUMBER(SEARCH("sortie-epargne",IFERROR(INDEX('Paramètres'!$N:$N,MATCH($D1825,'Paramètres'!$M:$M,0))&amp;"",""))),$K1825,0))</f>
        <v/>
      </c>
      <c r="V1825" s="6" t="str">
        <f>IF(AND($A1825&lt;&gt;"",$O1825=1,$L1825="Débit",N($Q1825)&gt;0,$A1825&gt;=Visualisation!$B$1,$A1825&lt;Visualisation!$D$1),MAX($V$1:V1824)+1,"")</f>
        <v/>
      </c>
    </row>
    <row r="1826" spans="1:22" x14ac:dyDescent="0.25">
      <c r="A1826" s="9"/>
      <c r="E1826" s="10"/>
      <c r="K1826" s="11" t="str">
        <f>IF($E1826="","",ROUND($E1826*IF(ISNA(MATCH($C1826,'Paramètres'!$D:$D,0)),1,IF(INDEX('Paramètres'!$J:$J,MATCH($C1826,'Paramètres'!$D:$D,0))="",1,INDEX('Paramètres'!$J:$J,MATCH($C1826,'Paramètres'!$D:$D,0)))),2))</f>
        <v/>
      </c>
      <c r="L1826" s="6" t="str">
        <f>IF($D1826="","",IF($F1826&lt;&gt;"",$F1826,IF(ISNA(MATCH($D1826,'Paramètres'!$M:$M,0)),"⚠ Type inconnu",IFERROR(INDEX('Paramètres'!$P:$P,MATCH($D1826,'Paramètres'!$M:$M,0))&amp;"",""))))</f>
        <v/>
      </c>
      <c r="M1826" s="6" t="str">
        <f>IF($D1826="","",IF(ISNA(MATCH($D1826,'Paramètres'!$M:$M,0)),"⚠ Type inconnu",IF($L1826="Crédit","",IFERROR(INDEX('Paramètres'!$O:$O,MATCH($D1826,'Paramètres'!$M:$M,0))&amp;"",""))))</f>
        <v/>
      </c>
      <c r="N1826" s="6" t="str">
        <f>IF($D1826="","",IFERROR(INDEX('Paramètres'!$Q:$Q,MATCH($D1826,'Paramètres'!$M:$M,0))&amp;"",""))</f>
        <v/>
      </c>
      <c r="O1826" s="6" t="str">
        <f>IF($A1826="","",IF(OR($J1826&lt;&gt;"x",$A1826&lt;=FinReleve),1,0))</f>
        <v/>
      </c>
      <c r="P1826" s="6" t="str">
        <f>IF($D1826="","",IF(AND($L1826="Crédit",OR(IFERROR(INDEX('Paramètres'!$O:$O,MATCH($D1826,'Paramètres'!$M:$M,0))&amp;"","")&lt;&gt;"",ISNUMBER(SEARCH("remboursement",IFERROR(INDEX('Paramètres'!$N:$N,MATCH($D1826,'Paramètres'!$M:$M,0))&amp;"",""))))),1,0))</f>
        <v/>
      </c>
      <c r="Q1826" s="6" t="str">
        <f>IF($K1826="","",IF(ISNUMBER(SEARCH("transfert-interne",IFERROR(INDEX('Paramètres'!$N:$N,MATCH($D1826,'Paramètres'!$M:$M,0))&amp;"",""))),0,IF($L1826="Débit",$K1826,IF($P1826=1,-$K1826,0))))</f>
        <v/>
      </c>
      <c r="R1826" s="6" t="str">
        <f>IF($K1826="","",IF($L1826="Crédit",$K1826,-$K1826))</f>
        <v/>
      </c>
      <c r="S1826" s="6" t="str">
        <f>IF($C1826="","",IFERROR(INDEX('Paramètres'!$H:$H,MATCH($C1826,'Paramètres'!$D:$D,0))&amp;"",""))</f>
        <v/>
      </c>
      <c r="T1826" s="6" t="str">
        <f>IF($K1826="","",IF($S1826="",0,IF(ISNUMBER(SEARCH("apport-exterieur",IFERROR(INDEX('Paramètres'!$N:$N,MATCH($D1826,'Paramètres'!$M:$M,0))&amp;"",""))),0,IF(OR(IFERROR(INDEX('Paramètres'!$I:$I,MATCH($C1826,'Paramètres'!$D:$D,0))&amp;"","")="Les deux",IFERROR(INDEX('Paramètres'!$I:$I,MATCH($C1826,'Paramètres'!$D:$D,0))&amp;"","")=IF($P1826=1,"Débit",$L1826)),-IF($P1826=1,-$K1826,$K1826),0))))</f>
        <v/>
      </c>
      <c r="U1826" s="6" t="str">
        <f>IF($K1826="","",IF(ISNUMBER(SEARCH("sortie-epargne",IFERROR(INDEX('Paramètres'!$N:$N,MATCH($D1826,'Paramètres'!$M:$M,0))&amp;"",""))),$K1826,0))</f>
        <v/>
      </c>
      <c r="V1826" s="6" t="str">
        <f>IF(AND($A1826&lt;&gt;"",$O1826=1,$L1826="Débit",N($Q1826)&gt;0,$A1826&gt;=Visualisation!$B$1,$A1826&lt;Visualisation!$D$1),MAX($V$1:V1825)+1,"")</f>
        <v/>
      </c>
    </row>
    <row r="1827" spans="1:22" x14ac:dyDescent="0.25">
      <c r="A1827" s="9"/>
      <c r="E1827" s="10"/>
      <c r="K1827" s="11" t="str">
        <f>IF($E1827="","",ROUND($E1827*IF(ISNA(MATCH($C1827,'Paramètres'!$D:$D,0)),1,IF(INDEX('Paramètres'!$J:$J,MATCH($C1827,'Paramètres'!$D:$D,0))="",1,INDEX('Paramètres'!$J:$J,MATCH($C1827,'Paramètres'!$D:$D,0)))),2))</f>
        <v/>
      </c>
      <c r="L1827" s="6" t="str">
        <f>IF($D1827="","",IF($F1827&lt;&gt;"",$F1827,IF(ISNA(MATCH($D1827,'Paramètres'!$M:$M,0)),"⚠ Type inconnu",IFERROR(INDEX('Paramètres'!$P:$P,MATCH($D1827,'Paramètres'!$M:$M,0))&amp;"",""))))</f>
        <v/>
      </c>
      <c r="M1827" s="6" t="str">
        <f>IF($D1827="","",IF(ISNA(MATCH($D1827,'Paramètres'!$M:$M,0)),"⚠ Type inconnu",IF($L1827="Crédit","",IFERROR(INDEX('Paramètres'!$O:$O,MATCH($D1827,'Paramètres'!$M:$M,0))&amp;"",""))))</f>
        <v/>
      </c>
      <c r="N1827" s="6" t="str">
        <f>IF($D1827="","",IFERROR(INDEX('Paramètres'!$Q:$Q,MATCH($D1827,'Paramètres'!$M:$M,0))&amp;"",""))</f>
        <v/>
      </c>
      <c r="O1827" s="6" t="str">
        <f>IF($A1827="","",IF(OR($J1827&lt;&gt;"x",$A1827&lt;=FinReleve),1,0))</f>
        <v/>
      </c>
      <c r="P1827" s="6" t="str">
        <f>IF($D1827="","",IF(AND($L1827="Crédit",OR(IFERROR(INDEX('Paramètres'!$O:$O,MATCH($D1827,'Paramètres'!$M:$M,0))&amp;"","")&lt;&gt;"",ISNUMBER(SEARCH("remboursement",IFERROR(INDEX('Paramètres'!$N:$N,MATCH($D1827,'Paramètres'!$M:$M,0))&amp;"",""))))),1,0))</f>
        <v/>
      </c>
      <c r="Q1827" s="6" t="str">
        <f>IF($K1827="","",IF(ISNUMBER(SEARCH("transfert-interne",IFERROR(INDEX('Paramètres'!$N:$N,MATCH($D1827,'Paramètres'!$M:$M,0))&amp;"",""))),0,IF($L1827="Débit",$K1827,IF($P1827=1,-$K1827,0))))</f>
        <v/>
      </c>
      <c r="R1827" s="6" t="str">
        <f>IF($K1827="","",IF($L1827="Crédit",$K1827,-$K1827))</f>
        <v/>
      </c>
      <c r="S1827" s="6" t="str">
        <f>IF($C1827="","",IFERROR(INDEX('Paramètres'!$H:$H,MATCH($C1827,'Paramètres'!$D:$D,0))&amp;"",""))</f>
        <v/>
      </c>
      <c r="T1827" s="6" t="str">
        <f>IF($K1827="","",IF($S1827="",0,IF(ISNUMBER(SEARCH("apport-exterieur",IFERROR(INDEX('Paramètres'!$N:$N,MATCH($D1827,'Paramètres'!$M:$M,0))&amp;"",""))),0,IF(OR(IFERROR(INDEX('Paramètres'!$I:$I,MATCH($C1827,'Paramètres'!$D:$D,0))&amp;"","")="Les deux",IFERROR(INDEX('Paramètres'!$I:$I,MATCH($C1827,'Paramètres'!$D:$D,0))&amp;"","")=IF($P1827=1,"Débit",$L1827)),-IF($P1827=1,-$K1827,$K1827),0))))</f>
        <v/>
      </c>
      <c r="U1827" s="6" t="str">
        <f>IF($K1827="","",IF(ISNUMBER(SEARCH("sortie-epargne",IFERROR(INDEX('Paramètres'!$N:$N,MATCH($D1827,'Paramètres'!$M:$M,0))&amp;"",""))),$K1827,0))</f>
        <v/>
      </c>
      <c r="V1827" s="6" t="str">
        <f>IF(AND($A1827&lt;&gt;"",$O1827=1,$L1827="Débit",N($Q1827)&gt;0,$A1827&gt;=Visualisation!$B$1,$A1827&lt;Visualisation!$D$1),MAX($V$1:V1826)+1,"")</f>
        <v/>
      </c>
    </row>
    <row r="1828" spans="1:22" x14ac:dyDescent="0.25">
      <c r="A1828" s="9"/>
      <c r="E1828" s="10"/>
      <c r="K1828" s="11" t="str">
        <f>IF($E1828="","",ROUND($E1828*IF(ISNA(MATCH($C1828,'Paramètres'!$D:$D,0)),1,IF(INDEX('Paramètres'!$J:$J,MATCH($C1828,'Paramètres'!$D:$D,0))="",1,INDEX('Paramètres'!$J:$J,MATCH($C1828,'Paramètres'!$D:$D,0)))),2))</f>
        <v/>
      </c>
      <c r="L1828" s="6" t="str">
        <f>IF($D1828="","",IF($F1828&lt;&gt;"",$F1828,IF(ISNA(MATCH($D1828,'Paramètres'!$M:$M,0)),"⚠ Type inconnu",IFERROR(INDEX('Paramètres'!$P:$P,MATCH($D1828,'Paramètres'!$M:$M,0))&amp;"",""))))</f>
        <v/>
      </c>
      <c r="M1828" s="6" t="str">
        <f>IF($D1828="","",IF(ISNA(MATCH($D1828,'Paramètres'!$M:$M,0)),"⚠ Type inconnu",IF($L1828="Crédit","",IFERROR(INDEX('Paramètres'!$O:$O,MATCH($D1828,'Paramètres'!$M:$M,0))&amp;"",""))))</f>
        <v/>
      </c>
      <c r="N1828" s="6" t="str">
        <f>IF($D1828="","",IFERROR(INDEX('Paramètres'!$Q:$Q,MATCH($D1828,'Paramètres'!$M:$M,0))&amp;"",""))</f>
        <v/>
      </c>
      <c r="O1828" s="6" t="str">
        <f>IF($A1828="","",IF(OR($J1828&lt;&gt;"x",$A1828&lt;=FinReleve),1,0))</f>
        <v/>
      </c>
      <c r="P1828" s="6" t="str">
        <f>IF($D1828="","",IF(AND($L1828="Crédit",OR(IFERROR(INDEX('Paramètres'!$O:$O,MATCH($D1828,'Paramètres'!$M:$M,0))&amp;"","")&lt;&gt;"",ISNUMBER(SEARCH("remboursement",IFERROR(INDEX('Paramètres'!$N:$N,MATCH($D1828,'Paramètres'!$M:$M,0))&amp;"",""))))),1,0))</f>
        <v/>
      </c>
      <c r="Q1828" s="6" t="str">
        <f>IF($K1828="","",IF(ISNUMBER(SEARCH("transfert-interne",IFERROR(INDEX('Paramètres'!$N:$N,MATCH($D1828,'Paramètres'!$M:$M,0))&amp;"",""))),0,IF($L1828="Débit",$K1828,IF($P1828=1,-$K1828,0))))</f>
        <v/>
      </c>
      <c r="R1828" s="6" t="str">
        <f>IF($K1828="","",IF($L1828="Crédit",$K1828,-$K1828))</f>
        <v/>
      </c>
      <c r="S1828" s="6" t="str">
        <f>IF($C1828="","",IFERROR(INDEX('Paramètres'!$H:$H,MATCH($C1828,'Paramètres'!$D:$D,0))&amp;"",""))</f>
        <v/>
      </c>
      <c r="T1828" s="6" t="str">
        <f>IF($K1828="","",IF($S1828="",0,IF(ISNUMBER(SEARCH("apport-exterieur",IFERROR(INDEX('Paramètres'!$N:$N,MATCH($D1828,'Paramètres'!$M:$M,0))&amp;"",""))),0,IF(OR(IFERROR(INDEX('Paramètres'!$I:$I,MATCH($C1828,'Paramètres'!$D:$D,0))&amp;"","")="Les deux",IFERROR(INDEX('Paramètres'!$I:$I,MATCH($C1828,'Paramètres'!$D:$D,0))&amp;"","")=IF($P1828=1,"Débit",$L1828)),-IF($P1828=1,-$K1828,$K1828),0))))</f>
        <v/>
      </c>
      <c r="U1828" s="6" t="str">
        <f>IF($K1828="","",IF(ISNUMBER(SEARCH("sortie-epargne",IFERROR(INDEX('Paramètres'!$N:$N,MATCH($D1828,'Paramètres'!$M:$M,0))&amp;"",""))),$K1828,0))</f>
        <v/>
      </c>
      <c r="V1828" s="6" t="str">
        <f>IF(AND($A1828&lt;&gt;"",$O1828=1,$L1828="Débit",N($Q1828)&gt;0,$A1828&gt;=Visualisation!$B$1,$A1828&lt;Visualisation!$D$1),MAX($V$1:V1827)+1,"")</f>
        <v/>
      </c>
    </row>
    <row r="1829" spans="1:22" x14ac:dyDescent="0.25">
      <c r="A1829" s="9"/>
      <c r="E1829" s="10"/>
      <c r="K1829" s="11" t="str">
        <f>IF($E1829="","",ROUND($E1829*IF(ISNA(MATCH($C1829,'Paramètres'!$D:$D,0)),1,IF(INDEX('Paramètres'!$J:$J,MATCH($C1829,'Paramètres'!$D:$D,0))="",1,INDEX('Paramètres'!$J:$J,MATCH($C1829,'Paramètres'!$D:$D,0)))),2))</f>
        <v/>
      </c>
      <c r="L1829" s="6" t="str">
        <f>IF($D1829="","",IF($F1829&lt;&gt;"",$F1829,IF(ISNA(MATCH($D1829,'Paramètres'!$M:$M,0)),"⚠ Type inconnu",IFERROR(INDEX('Paramètres'!$P:$P,MATCH($D1829,'Paramètres'!$M:$M,0))&amp;"",""))))</f>
        <v/>
      </c>
      <c r="M1829" s="6" t="str">
        <f>IF($D1829="","",IF(ISNA(MATCH($D1829,'Paramètres'!$M:$M,0)),"⚠ Type inconnu",IF($L1829="Crédit","",IFERROR(INDEX('Paramètres'!$O:$O,MATCH($D1829,'Paramètres'!$M:$M,0))&amp;"",""))))</f>
        <v/>
      </c>
      <c r="N1829" s="6" t="str">
        <f>IF($D1829="","",IFERROR(INDEX('Paramètres'!$Q:$Q,MATCH($D1829,'Paramètres'!$M:$M,0))&amp;"",""))</f>
        <v/>
      </c>
      <c r="O1829" s="6" t="str">
        <f>IF($A1829="","",IF(OR($J1829&lt;&gt;"x",$A1829&lt;=FinReleve),1,0))</f>
        <v/>
      </c>
      <c r="P1829" s="6" t="str">
        <f>IF($D1829="","",IF(AND($L1829="Crédit",OR(IFERROR(INDEX('Paramètres'!$O:$O,MATCH($D1829,'Paramètres'!$M:$M,0))&amp;"","")&lt;&gt;"",ISNUMBER(SEARCH("remboursement",IFERROR(INDEX('Paramètres'!$N:$N,MATCH($D1829,'Paramètres'!$M:$M,0))&amp;"",""))))),1,0))</f>
        <v/>
      </c>
      <c r="Q1829" s="6" t="str">
        <f>IF($K1829="","",IF(ISNUMBER(SEARCH("transfert-interne",IFERROR(INDEX('Paramètres'!$N:$N,MATCH($D1829,'Paramètres'!$M:$M,0))&amp;"",""))),0,IF($L1829="Débit",$K1829,IF($P1829=1,-$K1829,0))))</f>
        <v/>
      </c>
      <c r="R1829" s="6" t="str">
        <f>IF($K1829="","",IF($L1829="Crédit",$K1829,-$K1829))</f>
        <v/>
      </c>
      <c r="S1829" s="6" t="str">
        <f>IF($C1829="","",IFERROR(INDEX('Paramètres'!$H:$H,MATCH($C1829,'Paramètres'!$D:$D,0))&amp;"",""))</f>
        <v/>
      </c>
      <c r="T1829" s="6" t="str">
        <f>IF($K1829="","",IF($S1829="",0,IF(ISNUMBER(SEARCH("apport-exterieur",IFERROR(INDEX('Paramètres'!$N:$N,MATCH($D1829,'Paramètres'!$M:$M,0))&amp;"",""))),0,IF(OR(IFERROR(INDEX('Paramètres'!$I:$I,MATCH($C1829,'Paramètres'!$D:$D,0))&amp;"","")="Les deux",IFERROR(INDEX('Paramètres'!$I:$I,MATCH($C1829,'Paramètres'!$D:$D,0))&amp;"","")=IF($P1829=1,"Débit",$L1829)),-IF($P1829=1,-$K1829,$K1829),0))))</f>
        <v/>
      </c>
      <c r="U1829" s="6" t="str">
        <f>IF($K1829="","",IF(ISNUMBER(SEARCH("sortie-epargne",IFERROR(INDEX('Paramètres'!$N:$N,MATCH($D1829,'Paramètres'!$M:$M,0))&amp;"",""))),$K1829,0))</f>
        <v/>
      </c>
      <c r="V1829" s="6" t="str">
        <f>IF(AND($A1829&lt;&gt;"",$O1829=1,$L1829="Débit",N($Q1829)&gt;0,$A1829&gt;=Visualisation!$B$1,$A1829&lt;Visualisation!$D$1),MAX($V$1:V1828)+1,"")</f>
        <v/>
      </c>
    </row>
    <row r="1830" spans="1:22" x14ac:dyDescent="0.25">
      <c r="A1830" s="9"/>
      <c r="E1830" s="10"/>
      <c r="K1830" s="11" t="str">
        <f>IF($E1830="","",ROUND($E1830*IF(ISNA(MATCH($C1830,'Paramètres'!$D:$D,0)),1,IF(INDEX('Paramètres'!$J:$J,MATCH($C1830,'Paramètres'!$D:$D,0))="",1,INDEX('Paramètres'!$J:$J,MATCH($C1830,'Paramètres'!$D:$D,0)))),2))</f>
        <v/>
      </c>
      <c r="L1830" s="6" t="str">
        <f>IF($D1830="","",IF($F1830&lt;&gt;"",$F1830,IF(ISNA(MATCH($D1830,'Paramètres'!$M:$M,0)),"⚠ Type inconnu",IFERROR(INDEX('Paramètres'!$P:$P,MATCH($D1830,'Paramètres'!$M:$M,0))&amp;"",""))))</f>
        <v/>
      </c>
      <c r="M1830" s="6" t="str">
        <f>IF($D1830="","",IF(ISNA(MATCH($D1830,'Paramètres'!$M:$M,0)),"⚠ Type inconnu",IF($L1830="Crédit","",IFERROR(INDEX('Paramètres'!$O:$O,MATCH($D1830,'Paramètres'!$M:$M,0))&amp;"",""))))</f>
        <v/>
      </c>
      <c r="N1830" s="6" t="str">
        <f>IF($D1830="","",IFERROR(INDEX('Paramètres'!$Q:$Q,MATCH($D1830,'Paramètres'!$M:$M,0))&amp;"",""))</f>
        <v/>
      </c>
      <c r="O1830" s="6" t="str">
        <f>IF($A1830="","",IF(OR($J1830&lt;&gt;"x",$A1830&lt;=FinReleve),1,0))</f>
        <v/>
      </c>
      <c r="P1830" s="6" t="str">
        <f>IF($D1830="","",IF(AND($L1830="Crédit",OR(IFERROR(INDEX('Paramètres'!$O:$O,MATCH($D1830,'Paramètres'!$M:$M,0))&amp;"","")&lt;&gt;"",ISNUMBER(SEARCH("remboursement",IFERROR(INDEX('Paramètres'!$N:$N,MATCH($D1830,'Paramètres'!$M:$M,0))&amp;"",""))))),1,0))</f>
        <v/>
      </c>
      <c r="Q1830" s="6" t="str">
        <f>IF($K1830="","",IF(ISNUMBER(SEARCH("transfert-interne",IFERROR(INDEX('Paramètres'!$N:$N,MATCH($D1830,'Paramètres'!$M:$M,0))&amp;"",""))),0,IF($L1830="Débit",$K1830,IF($P1830=1,-$K1830,0))))</f>
        <v/>
      </c>
      <c r="R1830" s="6" t="str">
        <f>IF($K1830="","",IF($L1830="Crédit",$K1830,-$K1830))</f>
        <v/>
      </c>
      <c r="S1830" s="6" t="str">
        <f>IF($C1830="","",IFERROR(INDEX('Paramètres'!$H:$H,MATCH($C1830,'Paramètres'!$D:$D,0))&amp;"",""))</f>
        <v/>
      </c>
      <c r="T1830" s="6" t="str">
        <f>IF($K1830="","",IF($S1830="",0,IF(ISNUMBER(SEARCH("apport-exterieur",IFERROR(INDEX('Paramètres'!$N:$N,MATCH($D1830,'Paramètres'!$M:$M,0))&amp;"",""))),0,IF(OR(IFERROR(INDEX('Paramètres'!$I:$I,MATCH($C1830,'Paramètres'!$D:$D,0))&amp;"","")="Les deux",IFERROR(INDEX('Paramètres'!$I:$I,MATCH($C1830,'Paramètres'!$D:$D,0))&amp;"","")=IF($P1830=1,"Débit",$L1830)),-IF($P1830=1,-$K1830,$K1830),0))))</f>
        <v/>
      </c>
      <c r="U1830" s="6" t="str">
        <f>IF($K1830="","",IF(ISNUMBER(SEARCH("sortie-epargne",IFERROR(INDEX('Paramètres'!$N:$N,MATCH($D1830,'Paramètres'!$M:$M,0))&amp;"",""))),$K1830,0))</f>
        <v/>
      </c>
      <c r="V1830" s="6" t="str">
        <f>IF(AND($A1830&lt;&gt;"",$O1830=1,$L1830="Débit",N($Q1830)&gt;0,$A1830&gt;=Visualisation!$B$1,$A1830&lt;Visualisation!$D$1),MAX($V$1:V1829)+1,"")</f>
        <v/>
      </c>
    </row>
    <row r="1831" spans="1:22" x14ac:dyDescent="0.25">
      <c r="A1831" s="9"/>
      <c r="E1831" s="10"/>
      <c r="K1831" s="11" t="str">
        <f>IF($E1831="","",ROUND($E1831*IF(ISNA(MATCH($C1831,'Paramètres'!$D:$D,0)),1,IF(INDEX('Paramètres'!$J:$J,MATCH($C1831,'Paramètres'!$D:$D,0))="",1,INDEX('Paramètres'!$J:$J,MATCH($C1831,'Paramètres'!$D:$D,0)))),2))</f>
        <v/>
      </c>
      <c r="L1831" s="6" t="str">
        <f>IF($D1831="","",IF($F1831&lt;&gt;"",$F1831,IF(ISNA(MATCH($D1831,'Paramètres'!$M:$M,0)),"⚠ Type inconnu",IFERROR(INDEX('Paramètres'!$P:$P,MATCH($D1831,'Paramètres'!$M:$M,0))&amp;"",""))))</f>
        <v/>
      </c>
      <c r="M1831" s="6" t="str">
        <f>IF($D1831="","",IF(ISNA(MATCH($D1831,'Paramètres'!$M:$M,0)),"⚠ Type inconnu",IF($L1831="Crédit","",IFERROR(INDEX('Paramètres'!$O:$O,MATCH($D1831,'Paramètres'!$M:$M,0))&amp;"",""))))</f>
        <v/>
      </c>
      <c r="N1831" s="6" t="str">
        <f>IF($D1831="","",IFERROR(INDEX('Paramètres'!$Q:$Q,MATCH($D1831,'Paramètres'!$M:$M,0))&amp;"",""))</f>
        <v/>
      </c>
      <c r="O1831" s="6" t="str">
        <f>IF($A1831="","",IF(OR($J1831&lt;&gt;"x",$A1831&lt;=FinReleve),1,0))</f>
        <v/>
      </c>
      <c r="P1831" s="6" t="str">
        <f>IF($D1831="","",IF(AND($L1831="Crédit",OR(IFERROR(INDEX('Paramètres'!$O:$O,MATCH($D1831,'Paramètres'!$M:$M,0))&amp;"","")&lt;&gt;"",ISNUMBER(SEARCH("remboursement",IFERROR(INDEX('Paramètres'!$N:$N,MATCH($D1831,'Paramètres'!$M:$M,0))&amp;"",""))))),1,0))</f>
        <v/>
      </c>
      <c r="Q1831" s="6" t="str">
        <f>IF($K1831="","",IF(ISNUMBER(SEARCH("transfert-interne",IFERROR(INDEX('Paramètres'!$N:$N,MATCH($D1831,'Paramètres'!$M:$M,0))&amp;"",""))),0,IF($L1831="Débit",$K1831,IF($P1831=1,-$K1831,0))))</f>
        <v/>
      </c>
      <c r="R1831" s="6" t="str">
        <f>IF($K1831="","",IF($L1831="Crédit",$K1831,-$K1831))</f>
        <v/>
      </c>
      <c r="S1831" s="6" t="str">
        <f>IF($C1831="","",IFERROR(INDEX('Paramètres'!$H:$H,MATCH($C1831,'Paramètres'!$D:$D,0))&amp;"",""))</f>
        <v/>
      </c>
      <c r="T1831" s="6" t="str">
        <f>IF($K1831="","",IF($S1831="",0,IF(ISNUMBER(SEARCH("apport-exterieur",IFERROR(INDEX('Paramètres'!$N:$N,MATCH($D1831,'Paramètres'!$M:$M,0))&amp;"",""))),0,IF(OR(IFERROR(INDEX('Paramètres'!$I:$I,MATCH($C1831,'Paramètres'!$D:$D,0))&amp;"","")="Les deux",IFERROR(INDEX('Paramètres'!$I:$I,MATCH($C1831,'Paramètres'!$D:$D,0))&amp;"","")=IF($P1831=1,"Débit",$L1831)),-IF($P1831=1,-$K1831,$K1831),0))))</f>
        <v/>
      </c>
      <c r="U1831" s="6" t="str">
        <f>IF($K1831="","",IF(ISNUMBER(SEARCH("sortie-epargne",IFERROR(INDEX('Paramètres'!$N:$N,MATCH($D1831,'Paramètres'!$M:$M,0))&amp;"",""))),$K1831,0))</f>
        <v/>
      </c>
      <c r="V1831" s="6" t="str">
        <f>IF(AND($A1831&lt;&gt;"",$O1831=1,$L1831="Débit",N($Q1831)&gt;0,$A1831&gt;=Visualisation!$B$1,$A1831&lt;Visualisation!$D$1),MAX($V$1:V1830)+1,"")</f>
        <v/>
      </c>
    </row>
    <row r="1832" spans="1:22" x14ac:dyDescent="0.25">
      <c r="A1832" s="9"/>
      <c r="E1832" s="10"/>
      <c r="K1832" s="11" t="str">
        <f>IF($E1832="","",ROUND($E1832*IF(ISNA(MATCH($C1832,'Paramètres'!$D:$D,0)),1,IF(INDEX('Paramètres'!$J:$J,MATCH($C1832,'Paramètres'!$D:$D,0))="",1,INDEX('Paramètres'!$J:$J,MATCH($C1832,'Paramètres'!$D:$D,0)))),2))</f>
        <v/>
      </c>
      <c r="L1832" s="6" t="str">
        <f>IF($D1832="","",IF($F1832&lt;&gt;"",$F1832,IF(ISNA(MATCH($D1832,'Paramètres'!$M:$M,0)),"⚠ Type inconnu",IFERROR(INDEX('Paramètres'!$P:$P,MATCH($D1832,'Paramètres'!$M:$M,0))&amp;"",""))))</f>
        <v/>
      </c>
      <c r="M1832" s="6" t="str">
        <f>IF($D1832="","",IF(ISNA(MATCH($D1832,'Paramètres'!$M:$M,0)),"⚠ Type inconnu",IF($L1832="Crédit","",IFERROR(INDEX('Paramètres'!$O:$O,MATCH($D1832,'Paramètres'!$M:$M,0))&amp;"",""))))</f>
        <v/>
      </c>
      <c r="N1832" s="6" t="str">
        <f>IF($D1832="","",IFERROR(INDEX('Paramètres'!$Q:$Q,MATCH($D1832,'Paramètres'!$M:$M,0))&amp;"",""))</f>
        <v/>
      </c>
      <c r="O1832" s="6" t="str">
        <f>IF($A1832="","",IF(OR($J1832&lt;&gt;"x",$A1832&lt;=FinReleve),1,0))</f>
        <v/>
      </c>
      <c r="P1832" s="6" t="str">
        <f>IF($D1832="","",IF(AND($L1832="Crédit",OR(IFERROR(INDEX('Paramètres'!$O:$O,MATCH($D1832,'Paramètres'!$M:$M,0))&amp;"","")&lt;&gt;"",ISNUMBER(SEARCH("remboursement",IFERROR(INDEX('Paramètres'!$N:$N,MATCH($D1832,'Paramètres'!$M:$M,0))&amp;"",""))))),1,0))</f>
        <v/>
      </c>
      <c r="Q1832" s="6" t="str">
        <f>IF($K1832="","",IF(ISNUMBER(SEARCH("transfert-interne",IFERROR(INDEX('Paramètres'!$N:$N,MATCH($D1832,'Paramètres'!$M:$M,0))&amp;"",""))),0,IF($L1832="Débit",$K1832,IF($P1832=1,-$K1832,0))))</f>
        <v/>
      </c>
      <c r="R1832" s="6" t="str">
        <f>IF($K1832="","",IF($L1832="Crédit",$K1832,-$K1832))</f>
        <v/>
      </c>
      <c r="S1832" s="6" t="str">
        <f>IF($C1832="","",IFERROR(INDEX('Paramètres'!$H:$H,MATCH($C1832,'Paramètres'!$D:$D,0))&amp;"",""))</f>
        <v/>
      </c>
      <c r="T1832" s="6" t="str">
        <f>IF($K1832="","",IF($S1832="",0,IF(ISNUMBER(SEARCH("apport-exterieur",IFERROR(INDEX('Paramètres'!$N:$N,MATCH($D1832,'Paramètres'!$M:$M,0))&amp;"",""))),0,IF(OR(IFERROR(INDEX('Paramètres'!$I:$I,MATCH($C1832,'Paramètres'!$D:$D,0))&amp;"","")="Les deux",IFERROR(INDEX('Paramètres'!$I:$I,MATCH($C1832,'Paramètres'!$D:$D,0))&amp;"","")=IF($P1832=1,"Débit",$L1832)),-IF($P1832=1,-$K1832,$K1832),0))))</f>
        <v/>
      </c>
      <c r="U1832" s="6" t="str">
        <f>IF($K1832="","",IF(ISNUMBER(SEARCH("sortie-epargne",IFERROR(INDEX('Paramètres'!$N:$N,MATCH($D1832,'Paramètres'!$M:$M,0))&amp;"",""))),$K1832,0))</f>
        <v/>
      </c>
      <c r="V1832" s="6" t="str">
        <f>IF(AND($A1832&lt;&gt;"",$O1832=1,$L1832="Débit",N($Q1832)&gt;0,$A1832&gt;=Visualisation!$B$1,$A1832&lt;Visualisation!$D$1),MAX($V$1:V1831)+1,"")</f>
        <v/>
      </c>
    </row>
    <row r="1833" spans="1:22" x14ac:dyDescent="0.25">
      <c r="A1833" s="9"/>
      <c r="E1833" s="10"/>
      <c r="K1833" s="11" t="str">
        <f>IF($E1833="","",ROUND($E1833*IF(ISNA(MATCH($C1833,'Paramètres'!$D:$D,0)),1,IF(INDEX('Paramètres'!$J:$J,MATCH($C1833,'Paramètres'!$D:$D,0))="",1,INDEX('Paramètres'!$J:$J,MATCH($C1833,'Paramètres'!$D:$D,0)))),2))</f>
        <v/>
      </c>
      <c r="L1833" s="6" t="str">
        <f>IF($D1833="","",IF($F1833&lt;&gt;"",$F1833,IF(ISNA(MATCH($D1833,'Paramètres'!$M:$M,0)),"⚠ Type inconnu",IFERROR(INDEX('Paramètres'!$P:$P,MATCH($D1833,'Paramètres'!$M:$M,0))&amp;"",""))))</f>
        <v/>
      </c>
      <c r="M1833" s="6" t="str">
        <f>IF($D1833="","",IF(ISNA(MATCH($D1833,'Paramètres'!$M:$M,0)),"⚠ Type inconnu",IF($L1833="Crédit","",IFERROR(INDEX('Paramètres'!$O:$O,MATCH($D1833,'Paramètres'!$M:$M,0))&amp;"",""))))</f>
        <v/>
      </c>
      <c r="N1833" s="6" t="str">
        <f>IF($D1833="","",IFERROR(INDEX('Paramètres'!$Q:$Q,MATCH($D1833,'Paramètres'!$M:$M,0))&amp;"",""))</f>
        <v/>
      </c>
      <c r="O1833" s="6" t="str">
        <f>IF($A1833="","",IF(OR($J1833&lt;&gt;"x",$A1833&lt;=FinReleve),1,0))</f>
        <v/>
      </c>
      <c r="P1833" s="6" t="str">
        <f>IF($D1833="","",IF(AND($L1833="Crédit",OR(IFERROR(INDEX('Paramètres'!$O:$O,MATCH($D1833,'Paramètres'!$M:$M,0))&amp;"","")&lt;&gt;"",ISNUMBER(SEARCH("remboursement",IFERROR(INDEX('Paramètres'!$N:$N,MATCH($D1833,'Paramètres'!$M:$M,0))&amp;"",""))))),1,0))</f>
        <v/>
      </c>
      <c r="Q1833" s="6" t="str">
        <f>IF($K1833="","",IF(ISNUMBER(SEARCH("transfert-interne",IFERROR(INDEX('Paramètres'!$N:$N,MATCH($D1833,'Paramètres'!$M:$M,0))&amp;"",""))),0,IF($L1833="Débit",$K1833,IF($P1833=1,-$K1833,0))))</f>
        <v/>
      </c>
      <c r="R1833" s="6" t="str">
        <f>IF($K1833="","",IF($L1833="Crédit",$K1833,-$K1833))</f>
        <v/>
      </c>
      <c r="S1833" s="6" t="str">
        <f>IF($C1833="","",IFERROR(INDEX('Paramètres'!$H:$H,MATCH($C1833,'Paramètres'!$D:$D,0))&amp;"",""))</f>
        <v/>
      </c>
      <c r="T1833" s="6" t="str">
        <f>IF($K1833="","",IF($S1833="",0,IF(ISNUMBER(SEARCH("apport-exterieur",IFERROR(INDEX('Paramètres'!$N:$N,MATCH($D1833,'Paramètres'!$M:$M,0))&amp;"",""))),0,IF(OR(IFERROR(INDEX('Paramètres'!$I:$I,MATCH($C1833,'Paramètres'!$D:$D,0))&amp;"","")="Les deux",IFERROR(INDEX('Paramètres'!$I:$I,MATCH($C1833,'Paramètres'!$D:$D,0))&amp;"","")=IF($P1833=1,"Débit",$L1833)),-IF($P1833=1,-$K1833,$K1833),0))))</f>
        <v/>
      </c>
      <c r="U1833" s="6" t="str">
        <f>IF($K1833="","",IF(ISNUMBER(SEARCH("sortie-epargne",IFERROR(INDEX('Paramètres'!$N:$N,MATCH($D1833,'Paramètres'!$M:$M,0))&amp;"",""))),$K1833,0))</f>
        <v/>
      </c>
      <c r="V1833" s="6" t="str">
        <f>IF(AND($A1833&lt;&gt;"",$O1833=1,$L1833="Débit",N($Q1833)&gt;0,$A1833&gt;=Visualisation!$B$1,$A1833&lt;Visualisation!$D$1),MAX($V$1:V1832)+1,"")</f>
        <v/>
      </c>
    </row>
    <row r="1834" spans="1:22" x14ac:dyDescent="0.25">
      <c r="A1834" s="9"/>
      <c r="E1834" s="10"/>
      <c r="K1834" s="11" t="str">
        <f>IF($E1834="","",ROUND($E1834*IF(ISNA(MATCH($C1834,'Paramètres'!$D:$D,0)),1,IF(INDEX('Paramètres'!$J:$J,MATCH($C1834,'Paramètres'!$D:$D,0))="",1,INDEX('Paramètres'!$J:$J,MATCH($C1834,'Paramètres'!$D:$D,0)))),2))</f>
        <v/>
      </c>
      <c r="L1834" s="6" t="str">
        <f>IF($D1834="","",IF($F1834&lt;&gt;"",$F1834,IF(ISNA(MATCH($D1834,'Paramètres'!$M:$M,0)),"⚠ Type inconnu",IFERROR(INDEX('Paramètres'!$P:$P,MATCH($D1834,'Paramètres'!$M:$M,0))&amp;"",""))))</f>
        <v/>
      </c>
      <c r="M1834" s="6" t="str">
        <f>IF($D1834="","",IF(ISNA(MATCH($D1834,'Paramètres'!$M:$M,0)),"⚠ Type inconnu",IF($L1834="Crédit","",IFERROR(INDEX('Paramètres'!$O:$O,MATCH($D1834,'Paramètres'!$M:$M,0))&amp;"",""))))</f>
        <v/>
      </c>
      <c r="N1834" s="6" t="str">
        <f>IF($D1834="","",IFERROR(INDEX('Paramètres'!$Q:$Q,MATCH($D1834,'Paramètres'!$M:$M,0))&amp;"",""))</f>
        <v/>
      </c>
      <c r="O1834" s="6" t="str">
        <f>IF($A1834="","",IF(OR($J1834&lt;&gt;"x",$A1834&lt;=FinReleve),1,0))</f>
        <v/>
      </c>
      <c r="P1834" s="6" t="str">
        <f>IF($D1834="","",IF(AND($L1834="Crédit",OR(IFERROR(INDEX('Paramètres'!$O:$O,MATCH($D1834,'Paramètres'!$M:$M,0))&amp;"","")&lt;&gt;"",ISNUMBER(SEARCH("remboursement",IFERROR(INDEX('Paramètres'!$N:$N,MATCH($D1834,'Paramètres'!$M:$M,0))&amp;"",""))))),1,0))</f>
        <v/>
      </c>
      <c r="Q1834" s="6" t="str">
        <f>IF($K1834="","",IF(ISNUMBER(SEARCH("transfert-interne",IFERROR(INDEX('Paramètres'!$N:$N,MATCH($D1834,'Paramètres'!$M:$M,0))&amp;"",""))),0,IF($L1834="Débit",$K1834,IF($P1834=1,-$K1834,0))))</f>
        <v/>
      </c>
      <c r="R1834" s="6" t="str">
        <f>IF($K1834="","",IF($L1834="Crédit",$K1834,-$K1834))</f>
        <v/>
      </c>
      <c r="S1834" s="6" t="str">
        <f>IF($C1834="","",IFERROR(INDEX('Paramètres'!$H:$H,MATCH($C1834,'Paramètres'!$D:$D,0))&amp;"",""))</f>
        <v/>
      </c>
      <c r="T1834" s="6" t="str">
        <f>IF($K1834="","",IF($S1834="",0,IF(ISNUMBER(SEARCH("apport-exterieur",IFERROR(INDEX('Paramètres'!$N:$N,MATCH($D1834,'Paramètres'!$M:$M,0))&amp;"",""))),0,IF(OR(IFERROR(INDEX('Paramètres'!$I:$I,MATCH($C1834,'Paramètres'!$D:$D,0))&amp;"","")="Les deux",IFERROR(INDEX('Paramètres'!$I:$I,MATCH($C1834,'Paramètres'!$D:$D,0))&amp;"","")=IF($P1834=1,"Débit",$L1834)),-IF($P1834=1,-$K1834,$K1834),0))))</f>
        <v/>
      </c>
      <c r="U1834" s="6" t="str">
        <f>IF($K1834="","",IF(ISNUMBER(SEARCH("sortie-epargne",IFERROR(INDEX('Paramètres'!$N:$N,MATCH($D1834,'Paramètres'!$M:$M,0))&amp;"",""))),$K1834,0))</f>
        <v/>
      </c>
      <c r="V1834" s="6" t="str">
        <f>IF(AND($A1834&lt;&gt;"",$O1834=1,$L1834="Débit",N($Q1834)&gt;0,$A1834&gt;=Visualisation!$B$1,$A1834&lt;Visualisation!$D$1),MAX($V$1:V1833)+1,"")</f>
        <v/>
      </c>
    </row>
    <row r="1835" spans="1:22" x14ac:dyDescent="0.25">
      <c r="A1835" s="9"/>
      <c r="E1835" s="10"/>
      <c r="K1835" s="11" t="str">
        <f>IF($E1835="","",ROUND($E1835*IF(ISNA(MATCH($C1835,'Paramètres'!$D:$D,0)),1,IF(INDEX('Paramètres'!$J:$J,MATCH($C1835,'Paramètres'!$D:$D,0))="",1,INDEX('Paramètres'!$J:$J,MATCH($C1835,'Paramètres'!$D:$D,0)))),2))</f>
        <v/>
      </c>
      <c r="L1835" s="6" t="str">
        <f>IF($D1835="","",IF($F1835&lt;&gt;"",$F1835,IF(ISNA(MATCH($D1835,'Paramètres'!$M:$M,0)),"⚠ Type inconnu",IFERROR(INDEX('Paramètres'!$P:$P,MATCH($D1835,'Paramètres'!$M:$M,0))&amp;"",""))))</f>
        <v/>
      </c>
      <c r="M1835" s="6" t="str">
        <f>IF($D1835="","",IF(ISNA(MATCH($D1835,'Paramètres'!$M:$M,0)),"⚠ Type inconnu",IF($L1835="Crédit","",IFERROR(INDEX('Paramètres'!$O:$O,MATCH($D1835,'Paramètres'!$M:$M,0))&amp;"",""))))</f>
        <v/>
      </c>
      <c r="N1835" s="6" t="str">
        <f>IF($D1835="","",IFERROR(INDEX('Paramètres'!$Q:$Q,MATCH($D1835,'Paramètres'!$M:$M,0))&amp;"",""))</f>
        <v/>
      </c>
      <c r="O1835" s="6" t="str">
        <f>IF($A1835="","",IF(OR($J1835&lt;&gt;"x",$A1835&lt;=FinReleve),1,0))</f>
        <v/>
      </c>
      <c r="P1835" s="6" t="str">
        <f>IF($D1835="","",IF(AND($L1835="Crédit",OR(IFERROR(INDEX('Paramètres'!$O:$O,MATCH($D1835,'Paramètres'!$M:$M,0))&amp;"","")&lt;&gt;"",ISNUMBER(SEARCH("remboursement",IFERROR(INDEX('Paramètres'!$N:$N,MATCH($D1835,'Paramètres'!$M:$M,0))&amp;"",""))))),1,0))</f>
        <v/>
      </c>
      <c r="Q1835" s="6" t="str">
        <f>IF($K1835="","",IF(ISNUMBER(SEARCH("transfert-interne",IFERROR(INDEX('Paramètres'!$N:$N,MATCH($D1835,'Paramètres'!$M:$M,0))&amp;"",""))),0,IF($L1835="Débit",$K1835,IF($P1835=1,-$K1835,0))))</f>
        <v/>
      </c>
      <c r="R1835" s="6" t="str">
        <f>IF($K1835="","",IF($L1835="Crédit",$K1835,-$K1835))</f>
        <v/>
      </c>
      <c r="S1835" s="6" t="str">
        <f>IF($C1835="","",IFERROR(INDEX('Paramètres'!$H:$H,MATCH($C1835,'Paramètres'!$D:$D,0))&amp;"",""))</f>
        <v/>
      </c>
      <c r="T1835" s="6" t="str">
        <f>IF($K1835="","",IF($S1835="",0,IF(ISNUMBER(SEARCH("apport-exterieur",IFERROR(INDEX('Paramètres'!$N:$N,MATCH($D1835,'Paramètres'!$M:$M,0))&amp;"",""))),0,IF(OR(IFERROR(INDEX('Paramètres'!$I:$I,MATCH($C1835,'Paramètres'!$D:$D,0))&amp;"","")="Les deux",IFERROR(INDEX('Paramètres'!$I:$I,MATCH($C1835,'Paramètres'!$D:$D,0))&amp;"","")=IF($P1835=1,"Débit",$L1835)),-IF($P1835=1,-$K1835,$K1835),0))))</f>
        <v/>
      </c>
      <c r="U1835" s="6" t="str">
        <f>IF($K1835="","",IF(ISNUMBER(SEARCH("sortie-epargne",IFERROR(INDEX('Paramètres'!$N:$N,MATCH($D1835,'Paramètres'!$M:$M,0))&amp;"",""))),$K1835,0))</f>
        <v/>
      </c>
      <c r="V1835" s="6" t="str">
        <f>IF(AND($A1835&lt;&gt;"",$O1835=1,$L1835="Débit",N($Q1835)&gt;0,$A1835&gt;=Visualisation!$B$1,$A1835&lt;Visualisation!$D$1),MAX($V$1:V1834)+1,"")</f>
        <v/>
      </c>
    </row>
    <row r="1836" spans="1:22" x14ac:dyDescent="0.25">
      <c r="A1836" s="9"/>
      <c r="E1836" s="10"/>
      <c r="K1836" s="11" t="str">
        <f>IF($E1836="","",ROUND($E1836*IF(ISNA(MATCH($C1836,'Paramètres'!$D:$D,0)),1,IF(INDEX('Paramètres'!$J:$J,MATCH($C1836,'Paramètres'!$D:$D,0))="",1,INDEX('Paramètres'!$J:$J,MATCH($C1836,'Paramètres'!$D:$D,0)))),2))</f>
        <v/>
      </c>
      <c r="L1836" s="6" t="str">
        <f>IF($D1836="","",IF($F1836&lt;&gt;"",$F1836,IF(ISNA(MATCH($D1836,'Paramètres'!$M:$M,0)),"⚠ Type inconnu",IFERROR(INDEX('Paramètres'!$P:$P,MATCH($D1836,'Paramètres'!$M:$M,0))&amp;"",""))))</f>
        <v/>
      </c>
      <c r="M1836" s="6" t="str">
        <f>IF($D1836="","",IF(ISNA(MATCH($D1836,'Paramètres'!$M:$M,0)),"⚠ Type inconnu",IF($L1836="Crédit","",IFERROR(INDEX('Paramètres'!$O:$O,MATCH($D1836,'Paramètres'!$M:$M,0))&amp;"",""))))</f>
        <v/>
      </c>
      <c r="N1836" s="6" t="str">
        <f>IF($D1836="","",IFERROR(INDEX('Paramètres'!$Q:$Q,MATCH($D1836,'Paramètres'!$M:$M,0))&amp;"",""))</f>
        <v/>
      </c>
      <c r="O1836" s="6" t="str">
        <f>IF($A1836="","",IF(OR($J1836&lt;&gt;"x",$A1836&lt;=FinReleve),1,0))</f>
        <v/>
      </c>
      <c r="P1836" s="6" t="str">
        <f>IF($D1836="","",IF(AND($L1836="Crédit",OR(IFERROR(INDEX('Paramètres'!$O:$O,MATCH($D1836,'Paramètres'!$M:$M,0))&amp;"","")&lt;&gt;"",ISNUMBER(SEARCH("remboursement",IFERROR(INDEX('Paramètres'!$N:$N,MATCH($D1836,'Paramètres'!$M:$M,0))&amp;"",""))))),1,0))</f>
        <v/>
      </c>
      <c r="Q1836" s="6" t="str">
        <f>IF($K1836="","",IF(ISNUMBER(SEARCH("transfert-interne",IFERROR(INDEX('Paramètres'!$N:$N,MATCH($D1836,'Paramètres'!$M:$M,0))&amp;"",""))),0,IF($L1836="Débit",$K1836,IF($P1836=1,-$K1836,0))))</f>
        <v/>
      </c>
      <c r="R1836" s="6" t="str">
        <f>IF($K1836="","",IF($L1836="Crédit",$K1836,-$K1836))</f>
        <v/>
      </c>
      <c r="S1836" s="6" t="str">
        <f>IF($C1836="","",IFERROR(INDEX('Paramètres'!$H:$H,MATCH($C1836,'Paramètres'!$D:$D,0))&amp;"",""))</f>
        <v/>
      </c>
      <c r="T1836" s="6" t="str">
        <f>IF($K1836="","",IF($S1836="",0,IF(ISNUMBER(SEARCH("apport-exterieur",IFERROR(INDEX('Paramètres'!$N:$N,MATCH($D1836,'Paramètres'!$M:$M,0))&amp;"",""))),0,IF(OR(IFERROR(INDEX('Paramètres'!$I:$I,MATCH($C1836,'Paramètres'!$D:$D,0))&amp;"","")="Les deux",IFERROR(INDEX('Paramètres'!$I:$I,MATCH($C1836,'Paramètres'!$D:$D,0))&amp;"","")=IF($P1836=1,"Débit",$L1836)),-IF($P1836=1,-$K1836,$K1836),0))))</f>
        <v/>
      </c>
      <c r="U1836" s="6" t="str">
        <f>IF($K1836="","",IF(ISNUMBER(SEARCH("sortie-epargne",IFERROR(INDEX('Paramètres'!$N:$N,MATCH($D1836,'Paramètres'!$M:$M,0))&amp;"",""))),$K1836,0))</f>
        <v/>
      </c>
      <c r="V1836" s="6" t="str">
        <f>IF(AND($A1836&lt;&gt;"",$O1836=1,$L1836="Débit",N($Q1836)&gt;0,$A1836&gt;=Visualisation!$B$1,$A1836&lt;Visualisation!$D$1),MAX($V$1:V1835)+1,"")</f>
        <v/>
      </c>
    </row>
    <row r="1837" spans="1:22" x14ac:dyDescent="0.25">
      <c r="A1837" s="9"/>
      <c r="E1837" s="10"/>
      <c r="K1837" s="11" t="str">
        <f>IF($E1837="","",ROUND($E1837*IF(ISNA(MATCH($C1837,'Paramètres'!$D:$D,0)),1,IF(INDEX('Paramètres'!$J:$J,MATCH($C1837,'Paramètres'!$D:$D,0))="",1,INDEX('Paramètres'!$J:$J,MATCH($C1837,'Paramètres'!$D:$D,0)))),2))</f>
        <v/>
      </c>
      <c r="L1837" s="6" t="str">
        <f>IF($D1837="","",IF($F1837&lt;&gt;"",$F1837,IF(ISNA(MATCH($D1837,'Paramètres'!$M:$M,0)),"⚠ Type inconnu",IFERROR(INDEX('Paramètres'!$P:$P,MATCH($D1837,'Paramètres'!$M:$M,0))&amp;"",""))))</f>
        <v/>
      </c>
      <c r="M1837" s="6" t="str">
        <f>IF($D1837="","",IF(ISNA(MATCH($D1837,'Paramètres'!$M:$M,0)),"⚠ Type inconnu",IF($L1837="Crédit","",IFERROR(INDEX('Paramètres'!$O:$O,MATCH($D1837,'Paramètres'!$M:$M,0))&amp;"",""))))</f>
        <v/>
      </c>
      <c r="N1837" s="6" t="str">
        <f>IF($D1837="","",IFERROR(INDEX('Paramètres'!$Q:$Q,MATCH($D1837,'Paramètres'!$M:$M,0))&amp;"",""))</f>
        <v/>
      </c>
      <c r="O1837" s="6" t="str">
        <f>IF($A1837="","",IF(OR($J1837&lt;&gt;"x",$A1837&lt;=FinReleve),1,0))</f>
        <v/>
      </c>
      <c r="P1837" s="6" t="str">
        <f>IF($D1837="","",IF(AND($L1837="Crédit",OR(IFERROR(INDEX('Paramètres'!$O:$O,MATCH($D1837,'Paramètres'!$M:$M,0))&amp;"","")&lt;&gt;"",ISNUMBER(SEARCH("remboursement",IFERROR(INDEX('Paramètres'!$N:$N,MATCH($D1837,'Paramètres'!$M:$M,0))&amp;"",""))))),1,0))</f>
        <v/>
      </c>
      <c r="Q1837" s="6" t="str">
        <f>IF($K1837="","",IF(ISNUMBER(SEARCH("transfert-interne",IFERROR(INDEX('Paramètres'!$N:$N,MATCH($D1837,'Paramètres'!$M:$M,0))&amp;"",""))),0,IF($L1837="Débit",$K1837,IF($P1837=1,-$K1837,0))))</f>
        <v/>
      </c>
      <c r="R1837" s="6" t="str">
        <f>IF($K1837="","",IF($L1837="Crédit",$K1837,-$K1837))</f>
        <v/>
      </c>
      <c r="S1837" s="6" t="str">
        <f>IF($C1837="","",IFERROR(INDEX('Paramètres'!$H:$H,MATCH($C1837,'Paramètres'!$D:$D,0))&amp;"",""))</f>
        <v/>
      </c>
      <c r="T1837" s="6" t="str">
        <f>IF($K1837="","",IF($S1837="",0,IF(ISNUMBER(SEARCH("apport-exterieur",IFERROR(INDEX('Paramètres'!$N:$N,MATCH($D1837,'Paramètres'!$M:$M,0))&amp;"",""))),0,IF(OR(IFERROR(INDEX('Paramètres'!$I:$I,MATCH($C1837,'Paramètres'!$D:$D,0))&amp;"","")="Les deux",IFERROR(INDEX('Paramètres'!$I:$I,MATCH($C1837,'Paramètres'!$D:$D,0))&amp;"","")=IF($P1837=1,"Débit",$L1837)),-IF($P1837=1,-$K1837,$K1837),0))))</f>
        <v/>
      </c>
      <c r="U1837" s="6" t="str">
        <f>IF($K1837="","",IF(ISNUMBER(SEARCH("sortie-epargne",IFERROR(INDEX('Paramètres'!$N:$N,MATCH($D1837,'Paramètres'!$M:$M,0))&amp;"",""))),$K1837,0))</f>
        <v/>
      </c>
      <c r="V1837" s="6" t="str">
        <f>IF(AND($A1837&lt;&gt;"",$O1837=1,$L1837="Débit",N($Q1837)&gt;0,$A1837&gt;=Visualisation!$B$1,$A1837&lt;Visualisation!$D$1),MAX($V$1:V1836)+1,"")</f>
        <v/>
      </c>
    </row>
    <row r="1838" spans="1:22" x14ac:dyDescent="0.25">
      <c r="A1838" s="9"/>
      <c r="E1838" s="10"/>
      <c r="K1838" s="11" t="str">
        <f>IF($E1838="","",ROUND($E1838*IF(ISNA(MATCH($C1838,'Paramètres'!$D:$D,0)),1,IF(INDEX('Paramètres'!$J:$J,MATCH($C1838,'Paramètres'!$D:$D,0))="",1,INDEX('Paramètres'!$J:$J,MATCH($C1838,'Paramètres'!$D:$D,0)))),2))</f>
        <v/>
      </c>
      <c r="L1838" s="6" t="str">
        <f>IF($D1838="","",IF($F1838&lt;&gt;"",$F1838,IF(ISNA(MATCH($D1838,'Paramètres'!$M:$M,0)),"⚠ Type inconnu",IFERROR(INDEX('Paramètres'!$P:$P,MATCH($D1838,'Paramètres'!$M:$M,0))&amp;"",""))))</f>
        <v/>
      </c>
      <c r="M1838" s="6" t="str">
        <f>IF($D1838="","",IF(ISNA(MATCH($D1838,'Paramètres'!$M:$M,0)),"⚠ Type inconnu",IF($L1838="Crédit","",IFERROR(INDEX('Paramètres'!$O:$O,MATCH($D1838,'Paramètres'!$M:$M,0))&amp;"",""))))</f>
        <v/>
      </c>
      <c r="N1838" s="6" t="str">
        <f>IF($D1838="","",IFERROR(INDEX('Paramètres'!$Q:$Q,MATCH($D1838,'Paramètres'!$M:$M,0))&amp;"",""))</f>
        <v/>
      </c>
      <c r="O1838" s="6" t="str">
        <f>IF($A1838="","",IF(OR($J1838&lt;&gt;"x",$A1838&lt;=FinReleve),1,0))</f>
        <v/>
      </c>
      <c r="P1838" s="6" t="str">
        <f>IF($D1838="","",IF(AND($L1838="Crédit",OR(IFERROR(INDEX('Paramètres'!$O:$O,MATCH($D1838,'Paramètres'!$M:$M,0))&amp;"","")&lt;&gt;"",ISNUMBER(SEARCH("remboursement",IFERROR(INDEX('Paramètres'!$N:$N,MATCH($D1838,'Paramètres'!$M:$M,0))&amp;"",""))))),1,0))</f>
        <v/>
      </c>
      <c r="Q1838" s="6" t="str">
        <f>IF($K1838="","",IF(ISNUMBER(SEARCH("transfert-interne",IFERROR(INDEX('Paramètres'!$N:$N,MATCH($D1838,'Paramètres'!$M:$M,0))&amp;"",""))),0,IF($L1838="Débit",$K1838,IF($P1838=1,-$K1838,0))))</f>
        <v/>
      </c>
      <c r="R1838" s="6" t="str">
        <f>IF($K1838="","",IF($L1838="Crédit",$K1838,-$K1838))</f>
        <v/>
      </c>
      <c r="S1838" s="6" t="str">
        <f>IF($C1838="","",IFERROR(INDEX('Paramètres'!$H:$H,MATCH($C1838,'Paramètres'!$D:$D,0))&amp;"",""))</f>
        <v/>
      </c>
      <c r="T1838" s="6" t="str">
        <f>IF($K1838="","",IF($S1838="",0,IF(ISNUMBER(SEARCH("apport-exterieur",IFERROR(INDEX('Paramètres'!$N:$N,MATCH($D1838,'Paramètres'!$M:$M,0))&amp;"",""))),0,IF(OR(IFERROR(INDEX('Paramètres'!$I:$I,MATCH($C1838,'Paramètres'!$D:$D,0))&amp;"","")="Les deux",IFERROR(INDEX('Paramètres'!$I:$I,MATCH($C1838,'Paramètres'!$D:$D,0))&amp;"","")=IF($P1838=1,"Débit",$L1838)),-IF($P1838=1,-$K1838,$K1838),0))))</f>
        <v/>
      </c>
      <c r="U1838" s="6" t="str">
        <f>IF($K1838="","",IF(ISNUMBER(SEARCH("sortie-epargne",IFERROR(INDEX('Paramètres'!$N:$N,MATCH($D1838,'Paramètres'!$M:$M,0))&amp;"",""))),$K1838,0))</f>
        <v/>
      </c>
      <c r="V1838" s="6" t="str">
        <f>IF(AND($A1838&lt;&gt;"",$O1838=1,$L1838="Débit",N($Q1838)&gt;0,$A1838&gt;=Visualisation!$B$1,$A1838&lt;Visualisation!$D$1),MAX($V$1:V1837)+1,"")</f>
        <v/>
      </c>
    </row>
    <row r="1839" spans="1:22" x14ac:dyDescent="0.25">
      <c r="A1839" s="9"/>
      <c r="E1839" s="10"/>
      <c r="K1839" s="11" t="str">
        <f>IF($E1839="","",ROUND($E1839*IF(ISNA(MATCH($C1839,'Paramètres'!$D:$D,0)),1,IF(INDEX('Paramètres'!$J:$J,MATCH($C1839,'Paramètres'!$D:$D,0))="",1,INDEX('Paramètres'!$J:$J,MATCH($C1839,'Paramètres'!$D:$D,0)))),2))</f>
        <v/>
      </c>
      <c r="L1839" s="6" t="str">
        <f>IF($D1839="","",IF($F1839&lt;&gt;"",$F1839,IF(ISNA(MATCH($D1839,'Paramètres'!$M:$M,0)),"⚠ Type inconnu",IFERROR(INDEX('Paramètres'!$P:$P,MATCH($D1839,'Paramètres'!$M:$M,0))&amp;"",""))))</f>
        <v/>
      </c>
      <c r="M1839" s="6" t="str">
        <f>IF($D1839="","",IF(ISNA(MATCH($D1839,'Paramètres'!$M:$M,0)),"⚠ Type inconnu",IF($L1839="Crédit","",IFERROR(INDEX('Paramètres'!$O:$O,MATCH($D1839,'Paramètres'!$M:$M,0))&amp;"",""))))</f>
        <v/>
      </c>
      <c r="N1839" s="6" t="str">
        <f>IF($D1839="","",IFERROR(INDEX('Paramètres'!$Q:$Q,MATCH($D1839,'Paramètres'!$M:$M,0))&amp;"",""))</f>
        <v/>
      </c>
      <c r="O1839" s="6" t="str">
        <f>IF($A1839="","",IF(OR($J1839&lt;&gt;"x",$A1839&lt;=FinReleve),1,0))</f>
        <v/>
      </c>
      <c r="P1839" s="6" t="str">
        <f>IF($D1839="","",IF(AND($L1839="Crédit",OR(IFERROR(INDEX('Paramètres'!$O:$O,MATCH($D1839,'Paramètres'!$M:$M,0))&amp;"","")&lt;&gt;"",ISNUMBER(SEARCH("remboursement",IFERROR(INDEX('Paramètres'!$N:$N,MATCH($D1839,'Paramètres'!$M:$M,0))&amp;"",""))))),1,0))</f>
        <v/>
      </c>
      <c r="Q1839" s="6" t="str">
        <f>IF($K1839="","",IF(ISNUMBER(SEARCH("transfert-interne",IFERROR(INDEX('Paramètres'!$N:$N,MATCH($D1839,'Paramètres'!$M:$M,0))&amp;"",""))),0,IF($L1839="Débit",$K1839,IF($P1839=1,-$K1839,0))))</f>
        <v/>
      </c>
      <c r="R1839" s="6" t="str">
        <f>IF($K1839="","",IF($L1839="Crédit",$K1839,-$K1839))</f>
        <v/>
      </c>
      <c r="S1839" s="6" t="str">
        <f>IF($C1839="","",IFERROR(INDEX('Paramètres'!$H:$H,MATCH($C1839,'Paramètres'!$D:$D,0))&amp;"",""))</f>
        <v/>
      </c>
      <c r="T1839" s="6" t="str">
        <f>IF($K1839="","",IF($S1839="",0,IF(ISNUMBER(SEARCH("apport-exterieur",IFERROR(INDEX('Paramètres'!$N:$N,MATCH($D1839,'Paramètres'!$M:$M,0))&amp;"",""))),0,IF(OR(IFERROR(INDEX('Paramètres'!$I:$I,MATCH($C1839,'Paramètres'!$D:$D,0))&amp;"","")="Les deux",IFERROR(INDEX('Paramètres'!$I:$I,MATCH($C1839,'Paramètres'!$D:$D,0))&amp;"","")=IF($P1839=1,"Débit",$L1839)),-IF($P1839=1,-$K1839,$K1839),0))))</f>
        <v/>
      </c>
      <c r="U1839" s="6" t="str">
        <f>IF($K1839="","",IF(ISNUMBER(SEARCH("sortie-epargne",IFERROR(INDEX('Paramètres'!$N:$N,MATCH($D1839,'Paramètres'!$M:$M,0))&amp;"",""))),$K1839,0))</f>
        <v/>
      </c>
      <c r="V1839" s="6" t="str">
        <f>IF(AND($A1839&lt;&gt;"",$O1839=1,$L1839="Débit",N($Q1839)&gt;0,$A1839&gt;=Visualisation!$B$1,$A1839&lt;Visualisation!$D$1),MAX($V$1:V1838)+1,"")</f>
        <v/>
      </c>
    </row>
    <row r="1840" spans="1:22" x14ac:dyDescent="0.25">
      <c r="A1840" s="9"/>
      <c r="E1840" s="10"/>
      <c r="K1840" s="11" t="str">
        <f>IF($E1840="","",ROUND($E1840*IF(ISNA(MATCH($C1840,'Paramètres'!$D:$D,0)),1,IF(INDEX('Paramètres'!$J:$J,MATCH($C1840,'Paramètres'!$D:$D,0))="",1,INDEX('Paramètres'!$J:$J,MATCH($C1840,'Paramètres'!$D:$D,0)))),2))</f>
        <v/>
      </c>
      <c r="L1840" s="6" t="str">
        <f>IF($D1840="","",IF($F1840&lt;&gt;"",$F1840,IF(ISNA(MATCH($D1840,'Paramètres'!$M:$M,0)),"⚠ Type inconnu",IFERROR(INDEX('Paramètres'!$P:$P,MATCH($D1840,'Paramètres'!$M:$M,0))&amp;"",""))))</f>
        <v/>
      </c>
      <c r="M1840" s="6" t="str">
        <f>IF($D1840="","",IF(ISNA(MATCH($D1840,'Paramètres'!$M:$M,0)),"⚠ Type inconnu",IF($L1840="Crédit","",IFERROR(INDEX('Paramètres'!$O:$O,MATCH($D1840,'Paramètres'!$M:$M,0))&amp;"",""))))</f>
        <v/>
      </c>
      <c r="N1840" s="6" t="str">
        <f>IF($D1840="","",IFERROR(INDEX('Paramètres'!$Q:$Q,MATCH($D1840,'Paramètres'!$M:$M,0))&amp;"",""))</f>
        <v/>
      </c>
      <c r="O1840" s="6" t="str">
        <f>IF($A1840="","",IF(OR($J1840&lt;&gt;"x",$A1840&lt;=FinReleve),1,0))</f>
        <v/>
      </c>
      <c r="P1840" s="6" t="str">
        <f>IF($D1840="","",IF(AND($L1840="Crédit",OR(IFERROR(INDEX('Paramètres'!$O:$O,MATCH($D1840,'Paramètres'!$M:$M,0))&amp;"","")&lt;&gt;"",ISNUMBER(SEARCH("remboursement",IFERROR(INDEX('Paramètres'!$N:$N,MATCH($D1840,'Paramètres'!$M:$M,0))&amp;"",""))))),1,0))</f>
        <v/>
      </c>
      <c r="Q1840" s="6" t="str">
        <f>IF($K1840="","",IF(ISNUMBER(SEARCH("transfert-interne",IFERROR(INDEX('Paramètres'!$N:$N,MATCH($D1840,'Paramètres'!$M:$M,0))&amp;"",""))),0,IF($L1840="Débit",$K1840,IF($P1840=1,-$K1840,0))))</f>
        <v/>
      </c>
      <c r="R1840" s="6" t="str">
        <f>IF($K1840="","",IF($L1840="Crédit",$K1840,-$K1840))</f>
        <v/>
      </c>
      <c r="S1840" s="6" t="str">
        <f>IF($C1840="","",IFERROR(INDEX('Paramètres'!$H:$H,MATCH($C1840,'Paramètres'!$D:$D,0))&amp;"",""))</f>
        <v/>
      </c>
      <c r="T1840" s="6" t="str">
        <f>IF($K1840="","",IF($S1840="",0,IF(ISNUMBER(SEARCH("apport-exterieur",IFERROR(INDEX('Paramètres'!$N:$N,MATCH($D1840,'Paramètres'!$M:$M,0))&amp;"",""))),0,IF(OR(IFERROR(INDEX('Paramètres'!$I:$I,MATCH($C1840,'Paramètres'!$D:$D,0))&amp;"","")="Les deux",IFERROR(INDEX('Paramètres'!$I:$I,MATCH($C1840,'Paramètres'!$D:$D,0))&amp;"","")=IF($P1840=1,"Débit",$L1840)),-IF($P1840=1,-$K1840,$K1840),0))))</f>
        <v/>
      </c>
      <c r="U1840" s="6" t="str">
        <f>IF($K1840="","",IF(ISNUMBER(SEARCH("sortie-epargne",IFERROR(INDEX('Paramètres'!$N:$N,MATCH($D1840,'Paramètres'!$M:$M,0))&amp;"",""))),$K1840,0))</f>
        <v/>
      </c>
      <c r="V1840" s="6" t="str">
        <f>IF(AND($A1840&lt;&gt;"",$O1840=1,$L1840="Débit",N($Q1840)&gt;0,$A1840&gt;=Visualisation!$B$1,$A1840&lt;Visualisation!$D$1),MAX($V$1:V1839)+1,"")</f>
        <v/>
      </c>
    </row>
    <row r="1841" spans="1:22" x14ac:dyDescent="0.25">
      <c r="A1841" s="9"/>
      <c r="E1841" s="10"/>
      <c r="K1841" s="11" t="str">
        <f>IF($E1841="","",ROUND($E1841*IF(ISNA(MATCH($C1841,'Paramètres'!$D:$D,0)),1,IF(INDEX('Paramètres'!$J:$J,MATCH($C1841,'Paramètres'!$D:$D,0))="",1,INDEX('Paramètres'!$J:$J,MATCH($C1841,'Paramètres'!$D:$D,0)))),2))</f>
        <v/>
      </c>
      <c r="L1841" s="6" t="str">
        <f>IF($D1841="","",IF($F1841&lt;&gt;"",$F1841,IF(ISNA(MATCH($D1841,'Paramètres'!$M:$M,0)),"⚠ Type inconnu",IFERROR(INDEX('Paramètres'!$P:$P,MATCH($D1841,'Paramètres'!$M:$M,0))&amp;"",""))))</f>
        <v/>
      </c>
      <c r="M1841" s="6" t="str">
        <f>IF($D1841="","",IF(ISNA(MATCH($D1841,'Paramètres'!$M:$M,0)),"⚠ Type inconnu",IF($L1841="Crédit","",IFERROR(INDEX('Paramètres'!$O:$O,MATCH($D1841,'Paramètres'!$M:$M,0))&amp;"",""))))</f>
        <v/>
      </c>
      <c r="N1841" s="6" t="str">
        <f>IF($D1841="","",IFERROR(INDEX('Paramètres'!$Q:$Q,MATCH($D1841,'Paramètres'!$M:$M,0))&amp;"",""))</f>
        <v/>
      </c>
      <c r="O1841" s="6" t="str">
        <f>IF($A1841="","",IF(OR($J1841&lt;&gt;"x",$A1841&lt;=FinReleve),1,0))</f>
        <v/>
      </c>
      <c r="P1841" s="6" t="str">
        <f>IF($D1841="","",IF(AND($L1841="Crédit",OR(IFERROR(INDEX('Paramètres'!$O:$O,MATCH($D1841,'Paramètres'!$M:$M,0))&amp;"","")&lt;&gt;"",ISNUMBER(SEARCH("remboursement",IFERROR(INDEX('Paramètres'!$N:$N,MATCH($D1841,'Paramètres'!$M:$M,0))&amp;"",""))))),1,0))</f>
        <v/>
      </c>
      <c r="Q1841" s="6" t="str">
        <f>IF($K1841="","",IF(ISNUMBER(SEARCH("transfert-interne",IFERROR(INDEX('Paramètres'!$N:$N,MATCH($D1841,'Paramètres'!$M:$M,0))&amp;"",""))),0,IF($L1841="Débit",$K1841,IF($P1841=1,-$K1841,0))))</f>
        <v/>
      </c>
      <c r="R1841" s="6" t="str">
        <f>IF($K1841="","",IF($L1841="Crédit",$K1841,-$K1841))</f>
        <v/>
      </c>
      <c r="S1841" s="6" t="str">
        <f>IF($C1841="","",IFERROR(INDEX('Paramètres'!$H:$H,MATCH($C1841,'Paramètres'!$D:$D,0))&amp;"",""))</f>
        <v/>
      </c>
      <c r="T1841" s="6" t="str">
        <f>IF($K1841="","",IF($S1841="",0,IF(ISNUMBER(SEARCH("apport-exterieur",IFERROR(INDEX('Paramètres'!$N:$N,MATCH($D1841,'Paramètres'!$M:$M,0))&amp;"",""))),0,IF(OR(IFERROR(INDEX('Paramètres'!$I:$I,MATCH($C1841,'Paramètres'!$D:$D,0))&amp;"","")="Les deux",IFERROR(INDEX('Paramètres'!$I:$I,MATCH($C1841,'Paramètres'!$D:$D,0))&amp;"","")=IF($P1841=1,"Débit",$L1841)),-IF($P1841=1,-$K1841,$K1841),0))))</f>
        <v/>
      </c>
      <c r="U1841" s="6" t="str">
        <f>IF($K1841="","",IF(ISNUMBER(SEARCH("sortie-epargne",IFERROR(INDEX('Paramètres'!$N:$N,MATCH($D1841,'Paramètres'!$M:$M,0))&amp;"",""))),$K1841,0))</f>
        <v/>
      </c>
      <c r="V1841" s="6" t="str">
        <f>IF(AND($A1841&lt;&gt;"",$O1841=1,$L1841="Débit",N($Q1841)&gt;0,$A1841&gt;=Visualisation!$B$1,$A1841&lt;Visualisation!$D$1),MAX($V$1:V1840)+1,"")</f>
        <v/>
      </c>
    </row>
    <row r="1842" spans="1:22" x14ac:dyDescent="0.25">
      <c r="A1842" s="9"/>
      <c r="E1842" s="10"/>
      <c r="K1842" s="11" t="str">
        <f>IF($E1842="","",ROUND($E1842*IF(ISNA(MATCH($C1842,'Paramètres'!$D:$D,0)),1,IF(INDEX('Paramètres'!$J:$J,MATCH($C1842,'Paramètres'!$D:$D,0))="",1,INDEX('Paramètres'!$J:$J,MATCH($C1842,'Paramètres'!$D:$D,0)))),2))</f>
        <v/>
      </c>
      <c r="L1842" s="6" t="str">
        <f>IF($D1842="","",IF($F1842&lt;&gt;"",$F1842,IF(ISNA(MATCH($D1842,'Paramètres'!$M:$M,0)),"⚠ Type inconnu",IFERROR(INDEX('Paramètres'!$P:$P,MATCH($D1842,'Paramètres'!$M:$M,0))&amp;"",""))))</f>
        <v/>
      </c>
      <c r="M1842" s="6" t="str">
        <f>IF($D1842="","",IF(ISNA(MATCH($D1842,'Paramètres'!$M:$M,0)),"⚠ Type inconnu",IF($L1842="Crédit","",IFERROR(INDEX('Paramètres'!$O:$O,MATCH($D1842,'Paramètres'!$M:$M,0))&amp;"",""))))</f>
        <v/>
      </c>
      <c r="N1842" s="6" t="str">
        <f>IF($D1842="","",IFERROR(INDEX('Paramètres'!$Q:$Q,MATCH($D1842,'Paramètres'!$M:$M,0))&amp;"",""))</f>
        <v/>
      </c>
      <c r="O1842" s="6" t="str">
        <f>IF($A1842="","",IF(OR($J1842&lt;&gt;"x",$A1842&lt;=FinReleve),1,0))</f>
        <v/>
      </c>
      <c r="P1842" s="6" t="str">
        <f>IF($D1842="","",IF(AND($L1842="Crédit",OR(IFERROR(INDEX('Paramètres'!$O:$O,MATCH($D1842,'Paramètres'!$M:$M,0))&amp;"","")&lt;&gt;"",ISNUMBER(SEARCH("remboursement",IFERROR(INDEX('Paramètres'!$N:$N,MATCH($D1842,'Paramètres'!$M:$M,0))&amp;"",""))))),1,0))</f>
        <v/>
      </c>
      <c r="Q1842" s="6" t="str">
        <f>IF($K1842="","",IF(ISNUMBER(SEARCH("transfert-interne",IFERROR(INDEX('Paramètres'!$N:$N,MATCH($D1842,'Paramètres'!$M:$M,0))&amp;"",""))),0,IF($L1842="Débit",$K1842,IF($P1842=1,-$K1842,0))))</f>
        <v/>
      </c>
      <c r="R1842" s="6" t="str">
        <f>IF($K1842="","",IF($L1842="Crédit",$K1842,-$K1842))</f>
        <v/>
      </c>
      <c r="S1842" s="6" t="str">
        <f>IF($C1842="","",IFERROR(INDEX('Paramètres'!$H:$H,MATCH($C1842,'Paramètres'!$D:$D,0))&amp;"",""))</f>
        <v/>
      </c>
      <c r="T1842" s="6" t="str">
        <f>IF($K1842="","",IF($S1842="",0,IF(ISNUMBER(SEARCH("apport-exterieur",IFERROR(INDEX('Paramètres'!$N:$N,MATCH($D1842,'Paramètres'!$M:$M,0))&amp;"",""))),0,IF(OR(IFERROR(INDEX('Paramètres'!$I:$I,MATCH($C1842,'Paramètres'!$D:$D,0))&amp;"","")="Les deux",IFERROR(INDEX('Paramètres'!$I:$I,MATCH($C1842,'Paramètres'!$D:$D,0))&amp;"","")=IF($P1842=1,"Débit",$L1842)),-IF($P1842=1,-$K1842,$K1842),0))))</f>
        <v/>
      </c>
      <c r="U1842" s="6" t="str">
        <f>IF($K1842="","",IF(ISNUMBER(SEARCH("sortie-epargne",IFERROR(INDEX('Paramètres'!$N:$N,MATCH($D1842,'Paramètres'!$M:$M,0))&amp;"",""))),$K1842,0))</f>
        <v/>
      </c>
      <c r="V1842" s="6" t="str">
        <f>IF(AND($A1842&lt;&gt;"",$O1842=1,$L1842="Débit",N($Q1842)&gt;0,$A1842&gt;=Visualisation!$B$1,$A1842&lt;Visualisation!$D$1),MAX($V$1:V1841)+1,"")</f>
        <v/>
      </c>
    </row>
    <row r="1843" spans="1:22" x14ac:dyDescent="0.25">
      <c r="A1843" s="9"/>
      <c r="E1843" s="10"/>
      <c r="K1843" s="11" t="str">
        <f>IF($E1843="","",ROUND($E1843*IF(ISNA(MATCH($C1843,'Paramètres'!$D:$D,0)),1,IF(INDEX('Paramètres'!$J:$J,MATCH($C1843,'Paramètres'!$D:$D,0))="",1,INDEX('Paramètres'!$J:$J,MATCH($C1843,'Paramètres'!$D:$D,0)))),2))</f>
        <v/>
      </c>
      <c r="L1843" s="6" t="str">
        <f>IF($D1843="","",IF($F1843&lt;&gt;"",$F1843,IF(ISNA(MATCH($D1843,'Paramètres'!$M:$M,0)),"⚠ Type inconnu",IFERROR(INDEX('Paramètres'!$P:$P,MATCH($D1843,'Paramètres'!$M:$M,0))&amp;"",""))))</f>
        <v/>
      </c>
      <c r="M1843" s="6" t="str">
        <f>IF($D1843="","",IF(ISNA(MATCH($D1843,'Paramètres'!$M:$M,0)),"⚠ Type inconnu",IF($L1843="Crédit","",IFERROR(INDEX('Paramètres'!$O:$O,MATCH($D1843,'Paramètres'!$M:$M,0))&amp;"",""))))</f>
        <v/>
      </c>
      <c r="N1843" s="6" t="str">
        <f>IF($D1843="","",IFERROR(INDEX('Paramètres'!$Q:$Q,MATCH($D1843,'Paramètres'!$M:$M,0))&amp;"",""))</f>
        <v/>
      </c>
      <c r="O1843" s="6" t="str">
        <f>IF($A1843="","",IF(OR($J1843&lt;&gt;"x",$A1843&lt;=FinReleve),1,0))</f>
        <v/>
      </c>
      <c r="P1843" s="6" t="str">
        <f>IF($D1843="","",IF(AND($L1843="Crédit",OR(IFERROR(INDEX('Paramètres'!$O:$O,MATCH($D1843,'Paramètres'!$M:$M,0))&amp;"","")&lt;&gt;"",ISNUMBER(SEARCH("remboursement",IFERROR(INDEX('Paramètres'!$N:$N,MATCH($D1843,'Paramètres'!$M:$M,0))&amp;"",""))))),1,0))</f>
        <v/>
      </c>
      <c r="Q1843" s="6" t="str">
        <f>IF($K1843="","",IF(ISNUMBER(SEARCH("transfert-interne",IFERROR(INDEX('Paramètres'!$N:$N,MATCH($D1843,'Paramètres'!$M:$M,0))&amp;"",""))),0,IF($L1843="Débit",$K1843,IF($P1843=1,-$K1843,0))))</f>
        <v/>
      </c>
      <c r="R1843" s="6" t="str">
        <f>IF($K1843="","",IF($L1843="Crédit",$K1843,-$K1843))</f>
        <v/>
      </c>
      <c r="S1843" s="6" t="str">
        <f>IF($C1843="","",IFERROR(INDEX('Paramètres'!$H:$H,MATCH($C1843,'Paramètres'!$D:$D,0))&amp;"",""))</f>
        <v/>
      </c>
      <c r="T1843" s="6" t="str">
        <f>IF($K1843="","",IF($S1843="",0,IF(ISNUMBER(SEARCH("apport-exterieur",IFERROR(INDEX('Paramètres'!$N:$N,MATCH($D1843,'Paramètres'!$M:$M,0))&amp;"",""))),0,IF(OR(IFERROR(INDEX('Paramètres'!$I:$I,MATCH($C1843,'Paramètres'!$D:$D,0))&amp;"","")="Les deux",IFERROR(INDEX('Paramètres'!$I:$I,MATCH($C1843,'Paramètres'!$D:$D,0))&amp;"","")=IF($P1843=1,"Débit",$L1843)),-IF($P1843=1,-$K1843,$K1843),0))))</f>
        <v/>
      </c>
      <c r="U1843" s="6" t="str">
        <f>IF($K1843="","",IF(ISNUMBER(SEARCH("sortie-epargne",IFERROR(INDEX('Paramètres'!$N:$N,MATCH($D1843,'Paramètres'!$M:$M,0))&amp;"",""))),$K1843,0))</f>
        <v/>
      </c>
      <c r="V1843" s="6" t="str">
        <f>IF(AND($A1843&lt;&gt;"",$O1843=1,$L1843="Débit",N($Q1843)&gt;0,$A1843&gt;=Visualisation!$B$1,$A1843&lt;Visualisation!$D$1),MAX($V$1:V1842)+1,"")</f>
        <v/>
      </c>
    </row>
    <row r="1844" spans="1:22" x14ac:dyDescent="0.25">
      <c r="A1844" s="9"/>
      <c r="E1844" s="10"/>
      <c r="K1844" s="11" t="str">
        <f>IF($E1844="","",ROUND($E1844*IF(ISNA(MATCH($C1844,'Paramètres'!$D:$D,0)),1,IF(INDEX('Paramètres'!$J:$J,MATCH($C1844,'Paramètres'!$D:$D,0))="",1,INDEX('Paramètres'!$J:$J,MATCH($C1844,'Paramètres'!$D:$D,0)))),2))</f>
        <v/>
      </c>
      <c r="L1844" s="6" t="str">
        <f>IF($D1844="","",IF($F1844&lt;&gt;"",$F1844,IF(ISNA(MATCH($D1844,'Paramètres'!$M:$M,0)),"⚠ Type inconnu",IFERROR(INDEX('Paramètres'!$P:$P,MATCH($D1844,'Paramètres'!$M:$M,0))&amp;"",""))))</f>
        <v/>
      </c>
      <c r="M1844" s="6" t="str">
        <f>IF($D1844="","",IF(ISNA(MATCH($D1844,'Paramètres'!$M:$M,0)),"⚠ Type inconnu",IF($L1844="Crédit","",IFERROR(INDEX('Paramètres'!$O:$O,MATCH($D1844,'Paramètres'!$M:$M,0))&amp;"",""))))</f>
        <v/>
      </c>
      <c r="N1844" s="6" t="str">
        <f>IF($D1844="","",IFERROR(INDEX('Paramètres'!$Q:$Q,MATCH($D1844,'Paramètres'!$M:$M,0))&amp;"",""))</f>
        <v/>
      </c>
      <c r="O1844" s="6" t="str">
        <f>IF($A1844="","",IF(OR($J1844&lt;&gt;"x",$A1844&lt;=FinReleve),1,0))</f>
        <v/>
      </c>
      <c r="P1844" s="6" t="str">
        <f>IF($D1844="","",IF(AND($L1844="Crédit",OR(IFERROR(INDEX('Paramètres'!$O:$O,MATCH($D1844,'Paramètres'!$M:$M,0))&amp;"","")&lt;&gt;"",ISNUMBER(SEARCH("remboursement",IFERROR(INDEX('Paramètres'!$N:$N,MATCH($D1844,'Paramètres'!$M:$M,0))&amp;"",""))))),1,0))</f>
        <v/>
      </c>
      <c r="Q1844" s="6" t="str">
        <f>IF($K1844="","",IF(ISNUMBER(SEARCH("transfert-interne",IFERROR(INDEX('Paramètres'!$N:$N,MATCH($D1844,'Paramètres'!$M:$M,0))&amp;"",""))),0,IF($L1844="Débit",$K1844,IF($P1844=1,-$K1844,0))))</f>
        <v/>
      </c>
      <c r="R1844" s="6" t="str">
        <f>IF($K1844="","",IF($L1844="Crédit",$K1844,-$K1844))</f>
        <v/>
      </c>
      <c r="S1844" s="6" t="str">
        <f>IF($C1844="","",IFERROR(INDEX('Paramètres'!$H:$H,MATCH($C1844,'Paramètres'!$D:$D,0))&amp;"",""))</f>
        <v/>
      </c>
      <c r="T1844" s="6" t="str">
        <f>IF($K1844="","",IF($S1844="",0,IF(ISNUMBER(SEARCH("apport-exterieur",IFERROR(INDEX('Paramètres'!$N:$N,MATCH($D1844,'Paramètres'!$M:$M,0))&amp;"",""))),0,IF(OR(IFERROR(INDEX('Paramètres'!$I:$I,MATCH($C1844,'Paramètres'!$D:$D,0))&amp;"","")="Les deux",IFERROR(INDEX('Paramètres'!$I:$I,MATCH($C1844,'Paramètres'!$D:$D,0))&amp;"","")=IF($P1844=1,"Débit",$L1844)),-IF($P1844=1,-$K1844,$K1844),0))))</f>
        <v/>
      </c>
      <c r="U1844" s="6" t="str">
        <f>IF($K1844="","",IF(ISNUMBER(SEARCH("sortie-epargne",IFERROR(INDEX('Paramètres'!$N:$N,MATCH($D1844,'Paramètres'!$M:$M,0))&amp;"",""))),$K1844,0))</f>
        <v/>
      </c>
      <c r="V1844" s="6" t="str">
        <f>IF(AND($A1844&lt;&gt;"",$O1844=1,$L1844="Débit",N($Q1844)&gt;0,$A1844&gt;=Visualisation!$B$1,$A1844&lt;Visualisation!$D$1),MAX($V$1:V1843)+1,"")</f>
        <v/>
      </c>
    </row>
    <row r="1845" spans="1:22" x14ac:dyDescent="0.25">
      <c r="A1845" s="9"/>
      <c r="E1845" s="10"/>
      <c r="K1845" s="11" t="str">
        <f>IF($E1845="","",ROUND($E1845*IF(ISNA(MATCH($C1845,'Paramètres'!$D:$D,0)),1,IF(INDEX('Paramètres'!$J:$J,MATCH($C1845,'Paramètres'!$D:$D,0))="",1,INDEX('Paramètres'!$J:$J,MATCH($C1845,'Paramètres'!$D:$D,0)))),2))</f>
        <v/>
      </c>
      <c r="L1845" s="6" t="str">
        <f>IF($D1845="","",IF($F1845&lt;&gt;"",$F1845,IF(ISNA(MATCH($D1845,'Paramètres'!$M:$M,0)),"⚠ Type inconnu",IFERROR(INDEX('Paramètres'!$P:$P,MATCH($D1845,'Paramètres'!$M:$M,0))&amp;"",""))))</f>
        <v/>
      </c>
      <c r="M1845" s="6" t="str">
        <f>IF($D1845="","",IF(ISNA(MATCH($D1845,'Paramètres'!$M:$M,0)),"⚠ Type inconnu",IF($L1845="Crédit","",IFERROR(INDEX('Paramètres'!$O:$O,MATCH($D1845,'Paramètres'!$M:$M,0))&amp;"",""))))</f>
        <v/>
      </c>
      <c r="N1845" s="6" t="str">
        <f>IF($D1845="","",IFERROR(INDEX('Paramètres'!$Q:$Q,MATCH($D1845,'Paramètres'!$M:$M,0))&amp;"",""))</f>
        <v/>
      </c>
      <c r="O1845" s="6" t="str">
        <f>IF($A1845="","",IF(OR($J1845&lt;&gt;"x",$A1845&lt;=FinReleve),1,0))</f>
        <v/>
      </c>
      <c r="P1845" s="6" t="str">
        <f>IF($D1845="","",IF(AND($L1845="Crédit",OR(IFERROR(INDEX('Paramètres'!$O:$O,MATCH($D1845,'Paramètres'!$M:$M,0))&amp;"","")&lt;&gt;"",ISNUMBER(SEARCH("remboursement",IFERROR(INDEX('Paramètres'!$N:$N,MATCH($D1845,'Paramètres'!$M:$M,0))&amp;"",""))))),1,0))</f>
        <v/>
      </c>
      <c r="Q1845" s="6" t="str">
        <f>IF($K1845="","",IF(ISNUMBER(SEARCH("transfert-interne",IFERROR(INDEX('Paramètres'!$N:$N,MATCH($D1845,'Paramètres'!$M:$M,0))&amp;"",""))),0,IF($L1845="Débit",$K1845,IF($P1845=1,-$K1845,0))))</f>
        <v/>
      </c>
      <c r="R1845" s="6" t="str">
        <f>IF($K1845="","",IF($L1845="Crédit",$K1845,-$K1845))</f>
        <v/>
      </c>
      <c r="S1845" s="6" t="str">
        <f>IF($C1845="","",IFERROR(INDEX('Paramètres'!$H:$H,MATCH($C1845,'Paramètres'!$D:$D,0))&amp;"",""))</f>
        <v/>
      </c>
      <c r="T1845" s="6" t="str">
        <f>IF($K1845="","",IF($S1845="",0,IF(ISNUMBER(SEARCH("apport-exterieur",IFERROR(INDEX('Paramètres'!$N:$N,MATCH($D1845,'Paramètres'!$M:$M,0))&amp;"",""))),0,IF(OR(IFERROR(INDEX('Paramètres'!$I:$I,MATCH($C1845,'Paramètres'!$D:$D,0))&amp;"","")="Les deux",IFERROR(INDEX('Paramètres'!$I:$I,MATCH($C1845,'Paramètres'!$D:$D,0))&amp;"","")=IF($P1845=1,"Débit",$L1845)),-IF($P1845=1,-$K1845,$K1845),0))))</f>
        <v/>
      </c>
      <c r="U1845" s="6" t="str">
        <f>IF($K1845="","",IF(ISNUMBER(SEARCH("sortie-epargne",IFERROR(INDEX('Paramètres'!$N:$N,MATCH($D1845,'Paramètres'!$M:$M,0))&amp;"",""))),$K1845,0))</f>
        <v/>
      </c>
      <c r="V1845" s="6" t="str">
        <f>IF(AND($A1845&lt;&gt;"",$O1845=1,$L1845="Débit",N($Q1845)&gt;0,$A1845&gt;=Visualisation!$B$1,$A1845&lt;Visualisation!$D$1),MAX($V$1:V1844)+1,"")</f>
        <v/>
      </c>
    </row>
    <row r="1846" spans="1:22" x14ac:dyDescent="0.25">
      <c r="A1846" s="9"/>
      <c r="E1846" s="10"/>
      <c r="K1846" s="11" t="str">
        <f>IF($E1846="","",ROUND($E1846*IF(ISNA(MATCH($C1846,'Paramètres'!$D:$D,0)),1,IF(INDEX('Paramètres'!$J:$J,MATCH($C1846,'Paramètres'!$D:$D,0))="",1,INDEX('Paramètres'!$J:$J,MATCH($C1846,'Paramètres'!$D:$D,0)))),2))</f>
        <v/>
      </c>
      <c r="L1846" s="6" t="str">
        <f>IF($D1846="","",IF($F1846&lt;&gt;"",$F1846,IF(ISNA(MATCH($D1846,'Paramètres'!$M:$M,0)),"⚠ Type inconnu",IFERROR(INDEX('Paramètres'!$P:$P,MATCH($D1846,'Paramètres'!$M:$M,0))&amp;"",""))))</f>
        <v/>
      </c>
      <c r="M1846" s="6" t="str">
        <f>IF($D1846="","",IF(ISNA(MATCH($D1846,'Paramètres'!$M:$M,0)),"⚠ Type inconnu",IF($L1846="Crédit","",IFERROR(INDEX('Paramètres'!$O:$O,MATCH($D1846,'Paramètres'!$M:$M,0))&amp;"",""))))</f>
        <v/>
      </c>
      <c r="N1846" s="6" t="str">
        <f>IF($D1846="","",IFERROR(INDEX('Paramètres'!$Q:$Q,MATCH($D1846,'Paramètres'!$M:$M,0))&amp;"",""))</f>
        <v/>
      </c>
      <c r="O1846" s="6" t="str">
        <f>IF($A1846="","",IF(OR($J1846&lt;&gt;"x",$A1846&lt;=FinReleve),1,0))</f>
        <v/>
      </c>
      <c r="P1846" s="6" t="str">
        <f>IF($D1846="","",IF(AND($L1846="Crédit",OR(IFERROR(INDEX('Paramètres'!$O:$O,MATCH($D1846,'Paramètres'!$M:$M,0))&amp;"","")&lt;&gt;"",ISNUMBER(SEARCH("remboursement",IFERROR(INDEX('Paramètres'!$N:$N,MATCH($D1846,'Paramètres'!$M:$M,0))&amp;"",""))))),1,0))</f>
        <v/>
      </c>
      <c r="Q1846" s="6" t="str">
        <f>IF($K1846="","",IF(ISNUMBER(SEARCH("transfert-interne",IFERROR(INDEX('Paramètres'!$N:$N,MATCH($D1846,'Paramètres'!$M:$M,0))&amp;"",""))),0,IF($L1846="Débit",$K1846,IF($P1846=1,-$K1846,0))))</f>
        <v/>
      </c>
      <c r="R1846" s="6" t="str">
        <f>IF($K1846="","",IF($L1846="Crédit",$K1846,-$K1846))</f>
        <v/>
      </c>
      <c r="S1846" s="6" t="str">
        <f>IF($C1846="","",IFERROR(INDEX('Paramètres'!$H:$H,MATCH($C1846,'Paramètres'!$D:$D,0))&amp;"",""))</f>
        <v/>
      </c>
      <c r="T1846" s="6" t="str">
        <f>IF($K1846="","",IF($S1846="",0,IF(ISNUMBER(SEARCH("apport-exterieur",IFERROR(INDEX('Paramètres'!$N:$N,MATCH($D1846,'Paramètres'!$M:$M,0))&amp;"",""))),0,IF(OR(IFERROR(INDEX('Paramètres'!$I:$I,MATCH($C1846,'Paramètres'!$D:$D,0))&amp;"","")="Les deux",IFERROR(INDEX('Paramètres'!$I:$I,MATCH($C1846,'Paramètres'!$D:$D,0))&amp;"","")=IF($P1846=1,"Débit",$L1846)),-IF($P1846=1,-$K1846,$K1846),0))))</f>
        <v/>
      </c>
      <c r="U1846" s="6" t="str">
        <f>IF($K1846="","",IF(ISNUMBER(SEARCH("sortie-epargne",IFERROR(INDEX('Paramètres'!$N:$N,MATCH($D1846,'Paramètres'!$M:$M,0))&amp;"",""))),$K1846,0))</f>
        <v/>
      </c>
      <c r="V1846" s="6" t="str">
        <f>IF(AND($A1846&lt;&gt;"",$O1846=1,$L1846="Débit",N($Q1846)&gt;0,$A1846&gt;=Visualisation!$B$1,$A1846&lt;Visualisation!$D$1),MAX($V$1:V1845)+1,"")</f>
        <v/>
      </c>
    </row>
    <row r="1847" spans="1:22" x14ac:dyDescent="0.25">
      <c r="A1847" s="9"/>
      <c r="E1847" s="10"/>
      <c r="K1847" s="11" t="str">
        <f>IF($E1847="","",ROUND($E1847*IF(ISNA(MATCH($C1847,'Paramètres'!$D:$D,0)),1,IF(INDEX('Paramètres'!$J:$J,MATCH($C1847,'Paramètres'!$D:$D,0))="",1,INDEX('Paramètres'!$J:$J,MATCH($C1847,'Paramètres'!$D:$D,0)))),2))</f>
        <v/>
      </c>
      <c r="L1847" s="6" t="str">
        <f>IF($D1847="","",IF($F1847&lt;&gt;"",$F1847,IF(ISNA(MATCH($D1847,'Paramètres'!$M:$M,0)),"⚠ Type inconnu",IFERROR(INDEX('Paramètres'!$P:$P,MATCH($D1847,'Paramètres'!$M:$M,0))&amp;"",""))))</f>
        <v/>
      </c>
      <c r="M1847" s="6" t="str">
        <f>IF($D1847="","",IF(ISNA(MATCH($D1847,'Paramètres'!$M:$M,0)),"⚠ Type inconnu",IF($L1847="Crédit","",IFERROR(INDEX('Paramètres'!$O:$O,MATCH($D1847,'Paramètres'!$M:$M,0))&amp;"",""))))</f>
        <v/>
      </c>
      <c r="N1847" s="6" t="str">
        <f>IF($D1847="","",IFERROR(INDEX('Paramètres'!$Q:$Q,MATCH($D1847,'Paramètres'!$M:$M,0))&amp;"",""))</f>
        <v/>
      </c>
      <c r="O1847" s="6" t="str">
        <f>IF($A1847="","",IF(OR($J1847&lt;&gt;"x",$A1847&lt;=FinReleve),1,0))</f>
        <v/>
      </c>
      <c r="P1847" s="6" t="str">
        <f>IF($D1847="","",IF(AND($L1847="Crédit",OR(IFERROR(INDEX('Paramètres'!$O:$O,MATCH($D1847,'Paramètres'!$M:$M,0))&amp;"","")&lt;&gt;"",ISNUMBER(SEARCH("remboursement",IFERROR(INDEX('Paramètres'!$N:$N,MATCH($D1847,'Paramètres'!$M:$M,0))&amp;"",""))))),1,0))</f>
        <v/>
      </c>
      <c r="Q1847" s="6" t="str">
        <f>IF($K1847="","",IF(ISNUMBER(SEARCH("transfert-interne",IFERROR(INDEX('Paramètres'!$N:$N,MATCH($D1847,'Paramètres'!$M:$M,0))&amp;"",""))),0,IF($L1847="Débit",$K1847,IF($P1847=1,-$K1847,0))))</f>
        <v/>
      </c>
      <c r="R1847" s="6" t="str">
        <f>IF($K1847="","",IF($L1847="Crédit",$K1847,-$K1847))</f>
        <v/>
      </c>
      <c r="S1847" s="6" t="str">
        <f>IF($C1847="","",IFERROR(INDEX('Paramètres'!$H:$H,MATCH($C1847,'Paramètres'!$D:$D,0))&amp;"",""))</f>
        <v/>
      </c>
      <c r="T1847" s="6" t="str">
        <f>IF($K1847="","",IF($S1847="",0,IF(ISNUMBER(SEARCH("apport-exterieur",IFERROR(INDEX('Paramètres'!$N:$N,MATCH($D1847,'Paramètres'!$M:$M,0))&amp;"",""))),0,IF(OR(IFERROR(INDEX('Paramètres'!$I:$I,MATCH($C1847,'Paramètres'!$D:$D,0))&amp;"","")="Les deux",IFERROR(INDEX('Paramètres'!$I:$I,MATCH($C1847,'Paramètres'!$D:$D,0))&amp;"","")=IF($P1847=1,"Débit",$L1847)),-IF($P1847=1,-$K1847,$K1847),0))))</f>
        <v/>
      </c>
      <c r="U1847" s="6" t="str">
        <f>IF($K1847="","",IF(ISNUMBER(SEARCH("sortie-epargne",IFERROR(INDEX('Paramètres'!$N:$N,MATCH($D1847,'Paramètres'!$M:$M,0))&amp;"",""))),$K1847,0))</f>
        <v/>
      </c>
      <c r="V1847" s="6" t="str">
        <f>IF(AND($A1847&lt;&gt;"",$O1847=1,$L1847="Débit",N($Q1847)&gt;0,$A1847&gt;=Visualisation!$B$1,$A1847&lt;Visualisation!$D$1),MAX($V$1:V1846)+1,"")</f>
        <v/>
      </c>
    </row>
    <row r="1848" spans="1:22" x14ac:dyDescent="0.25">
      <c r="A1848" s="9"/>
      <c r="E1848" s="10"/>
      <c r="K1848" s="11" t="str">
        <f>IF($E1848="","",ROUND($E1848*IF(ISNA(MATCH($C1848,'Paramètres'!$D:$D,0)),1,IF(INDEX('Paramètres'!$J:$J,MATCH($C1848,'Paramètres'!$D:$D,0))="",1,INDEX('Paramètres'!$J:$J,MATCH($C1848,'Paramètres'!$D:$D,0)))),2))</f>
        <v/>
      </c>
      <c r="L1848" s="6" t="str">
        <f>IF($D1848="","",IF($F1848&lt;&gt;"",$F1848,IF(ISNA(MATCH($D1848,'Paramètres'!$M:$M,0)),"⚠ Type inconnu",IFERROR(INDEX('Paramètres'!$P:$P,MATCH($D1848,'Paramètres'!$M:$M,0))&amp;"",""))))</f>
        <v/>
      </c>
      <c r="M1848" s="6" t="str">
        <f>IF($D1848="","",IF(ISNA(MATCH($D1848,'Paramètres'!$M:$M,0)),"⚠ Type inconnu",IF($L1848="Crédit","",IFERROR(INDEX('Paramètres'!$O:$O,MATCH($D1848,'Paramètres'!$M:$M,0))&amp;"",""))))</f>
        <v/>
      </c>
      <c r="N1848" s="6" t="str">
        <f>IF($D1848="","",IFERROR(INDEX('Paramètres'!$Q:$Q,MATCH($D1848,'Paramètres'!$M:$M,0))&amp;"",""))</f>
        <v/>
      </c>
      <c r="O1848" s="6" t="str">
        <f>IF($A1848="","",IF(OR($J1848&lt;&gt;"x",$A1848&lt;=FinReleve),1,0))</f>
        <v/>
      </c>
      <c r="P1848" s="6" t="str">
        <f>IF($D1848="","",IF(AND($L1848="Crédit",OR(IFERROR(INDEX('Paramètres'!$O:$O,MATCH($D1848,'Paramètres'!$M:$M,0))&amp;"","")&lt;&gt;"",ISNUMBER(SEARCH("remboursement",IFERROR(INDEX('Paramètres'!$N:$N,MATCH($D1848,'Paramètres'!$M:$M,0))&amp;"",""))))),1,0))</f>
        <v/>
      </c>
      <c r="Q1848" s="6" t="str">
        <f>IF($K1848="","",IF(ISNUMBER(SEARCH("transfert-interne",IFERROR(INDEX('Paramètres'!$N:$N,MATCH($D1848,'Paramètres'!$M:$M,0))&amp;"",""))),0,IF($L1848="Débit",$K1848,IF($P1848=1,-$K1848,0))))</f>
        <v/>
      </c>
      <c r="R1848" s="6" t="str">
        <f>IF($K1848="","",IF($L1848="Crédit",$K1848,-$K1848))</f>
        <v/>
      </c>
      <c r="S1848" s="6" t="str">
        <f>IF($C1848="","",IFERROR(INDEX('Paramètres'!$H:$H,MATCH($C1848,'Paramètres'!$D:$D,0))&amp;"",""))</f>
        <v/>
      </c>
      <c r="T1848" s="6" t="str">
        <f>IF($K1848="","",IF($S1848="",0,IF(ISNUMBER(SEARCH("apport-exterieur",IFERROR(INDEX('Paramètres'!$N:$N,MATCH($D1848,'Paramètres'!$M:$M,0))&amp;"",""))),0,IF(OR(IFERROR(INDEX('Paramètres'!$I:$I,MATCH($C1848,'Paramètres'!$D:$D,0))&amp;"","")="Les deux",IFERROR(INDEX('Paramètres'!$I:$I,MATCH($C1848,'Paramètres'!$D:$D,0))&amp;"","")=IF($P1848=1,"Débit",$L1848)),-IF($P1848=1,-$K1848,$K1848),0))))</f>
        <v/>
      </c>
      <c r="U1848" s="6" t="str">
        <f>IF($K1848="","",IF(ISNUMBER(SEARCH("sortie-epargne",IFERROR(INDEX('Paramètres'!$N:$N,MATCH($D1848,'Paramètres'!$M:$M,0))&amp;"",""))),$K1848,0))</f>
        <v/>
      </c>
      <c r="V1848" s="6" t="str">
        <f>IF(AND($A1848&lt;&gt;"",$O1848=1,$L1848="Débit",N($Q1848)&gt;0,$A1848&gt;=Visualisation!$B$1,$A1848&lt;Visualisation!$D$1),MAX($V$1:V1847)+1,"")</f>
        <v/>
      </c>
    </row>
    <row r="1849" spans="1:22" x14ac:dyDescent="0.25">
      <c r="A1849" s="9"/>
      <c r="E1849" s="10"/>
      <c r="K1849" s="11" t="str">
        <f>IF($E1849="","",ROUND($E1849*IF(ISNA(MATCH($C1849,'Paramètres'!$D:$D,0)),1,IF(INDEX('Paramètres'!$J:$J,MATCH($C1849,'Paramètres'!$D:$D,0))="",1,INDEX('Paramètres'!$J:$J,MATCH($C1849,'Paramètres'!$D:$D,0)))),2))</f>
        <v/>
      </c>
      <c r="L1849" s="6" t="str">
        <f>IF($D1849="","",IF($F1849&lt;&gt;"",$F1849,IF(ISNA(MATCH($D1849,'Paramètres'!$M:$M,0)),"⚠ Type inconnu",IFERROR(INDEX('Paramètres'!$P:$P,MATCH($D1849,'Paramètres'!$M:$M,0))&amp;"",""))))</f>
        <v/>
      </c>
      <c r="M1849" s="6" t="str">
        <f>IF($D1849="","",IF(ISNA(MATCH($D1849,'Paramètres'!$M:$M,0)),"⚠ Type inconnu",IF($L1849="Crédit","",IFERROR(INDEX('Paramètres'!$O:$O,MATCH($D1849,'Paramètres'!$M:$M,0))&amp;"",""))))</f>
        <v/>
      </c>
      <c r="N1849" s="6" t="str">
        <f>IF($D1849="","",IFERROR(INDEX('Paramètres'!$Q:$Q,MATCH($D1849,'Paramètres'!$M:$M,0))&amp;"",""))</f>
        <v/>
      </c>
      <c r="O1849" s="6" t="str">
        <f>IF($A1849="","",IF(OR($J1849&lt;&gt;"x",$A1849&lt;=FinReleve),1,0))</f>
        <v/>
      </c>
      <c r="P1849" s="6" t="str">
        <f>IF($D1849="","",IF(AND($L1849="Crédit",OR(IFERROR(INDEX('Paramètres'!$O:$O,MATCH($D1849,'Paramètres'!$M:$M,0))&amp;"","")&lt;&gt;"",ISNUMBER(SEARCH("remboursement",IFERROR(INDEX('Paramètres'!$N:$N,MATCH($D1849,'Paramètres'!$M:$M,0))&amp;"",""))))),1,0))</f>
        <v/>
      </c>
      <c r="Q1849" s="6" t="str">
        <f>IF($K1849="","",IF(ISNUMBER(SEARCH("transfert-interne",IFERROR(INDEX('Paramètres'!$N:$N,MATCH($D1849,'Paramètres'!$M:$M,0))&amp;"",""))),0,IF($L1849="Débit",$K1849,IF($P1849=1,-$K1849,0))))</f>
        <v/>
      </c>
      <c r="R1849" s="6" t="str">
        <f>IF($K1849="","",IF($L1849="Crédit",$K1849,-$K1849))</f>
        <v/>
      </c>
      <c r="S1849" s="6" t="str">
        <f>IF($C1849="","",IFERROR(INDEX('Paramètres'!$H:$H,MATCH($C1849,'Paramètres'!$D:$D,0))&amp;"",""))</f>
        <v/>
      </c>
      <c r="T1849" s="6" t="str">
        <f>IF($K1849="","",IF($S1849="",0,IF(ISNUMBER(SEARCH("apport-exterieur",IFERROR(INDEX('Paramètres'!$N:$N,MATCH($D1849,'Paramètres'!$M:$M,0))&amp;"",""))),0,IF(OR(IFERROR(INDEX('Paramètres'!$I:$I,MATCH($C1849,'Paramètres'!$D:$D,0))&amp;"","")="Les deux",IFERROR(INDEX('Paramètres'!$I:$I,MATCH($C1849,'Paramètres'!$D:$D,0))&amp;"","")=IF($P1849=1,"Débit",$L1849)),-IF($P1849=1,-$K1849,$K1849),0))))</f>
        <v/>
      </c>
      <c r="U1849" s="6" t="str">
        <f>IF($K1849="","",IF(ISNUMBER(SEARCH("sortie-epargne",IFERROR(INDEX('Paramètres'!$N:$N,MATCH($D1849,'Paramètres'!$M:$M,0))&amp;"",""))),$K1849,0))</f>
        <v/>
      </c>
      <c r="V1849" s="6" t="str">
        <f>IF(AND($A1849&lt;&gt;"",$O1849=1,$L1849="Débit",N($Q1849)&gt;0,$A1849&gt;=Visualisation!$B$1,$A1849&lt;Visualisation!$D$1),MAX($V$1:V1848)+1,"")</f>
        <v/>
      </c>
    </row>
    <row r="1850" spans="1:22" x14ac:dyDescent="0.25">
      <c r="A1850" s="9"/>
      <c r="E1850" s="10"/>
      <c r="K1850" s="11" t="str">
        <f>IF($E1850="","",ROUND($E1850*IF(ISNA(MATCH($C1850,'Paramètres'!$D:$D,0)),1,IF(INDEX('Paramètres'!$J:$J,MATCH($C1850,'Paramètres'!$D:$D,0))="",1,INDEX('Paramètres'!$J:$J,MATCH($C1850,'Paramètres'!$D:$D,0)))),2))</f>
        <v/>
      </c>
      <c r="L1850" s="6" t="str">
        <f>IF($D1850="","",IF($F1850&lt;&gt;"",$F1850,IF(ISNA(MATCH($D1850,'Paramètres'!$M:$M,0)),"⚠ Type inconnu",IFERROR(INDEX('Paramètres'!$P:$P,MATCH($D1850,'Paramètres'!$M:$M,0))&amp;"",""))))</f>
        <v/>
      </c>
      <c r="M1850" s="6" t="str">
        <f>IF($D1850="","",IF(ISNA(MATCH($D1850,'Paramètres'!$M:$M,0)),"⚠ Type inconnu",IF($L1850="Crédit","",IFERROR(INDEX('Paramètres'!$O:$O,MATCH($D1850,'Paramètres'!$M:$M,0))&amp;"",""))))</f>
        <v/>
      </c>
      <c r="N1850" s="6" t="str">
        <f>IF($D1850="","",IFERROR(INDEX('Paramètres'!$Q:$Q,MATCH($D1850,'Paramètres'!$M:$M,0))&amp;"",""))</f>
        <v/>
      </c>
      <c r="O1850" s="6" t="str">
        <f>IF($A1850="","",IF(OR($J1850&lt;&gt;"x",$A1850&lt;=FinReleve),1,0))</f>
        <v/>
      </c>
      <c r="P1850" s="6" t="str">
        <f>IF($D1850="","",IF(AND($L1850="Crédit",OR(IFERROR(INDEX('Paramètres'!$O:$O,MATCH($D1850,'Paramètres'!$M:$M,0))&amp;"","")&lt;&gt;"",ISNUMBER(SEARCH("remboursement",IFERROR(INDEX('Paramètres'!$N:$N,MATCH($D1850,'Paramètres'!$M:$M,0))&amp;"",""))))),1,0))</f>
        <v/>
      </c>
      <c r="Q1850" s="6" t="str">
        <f>IF($K1850="","",IF(ISNUMBER(SEARCH("transfert-interne",IFERROR(INDEX('Paramètres'!$N:$N,MATCH($D1850,'Paramètres'!$M:$M,0))&amp;"",""))),0,IF($L1850="Débit",$K1850,IF($P1850=1,-$K1850,0))))</f>
        <v/>
      </c>
      <c r="R1850" s="6" t="str">
        <f>IF($K1850="","",IF($L1850="Crédit",$K1850,-$K1850))</f>
        <v/>
      </c>
      <c r="S1850" s="6" t="str">
        <f>IF($C1850="","",IFERROR(INDEX('Paramètres'!$H:$H,MATCH($C1850,'Paramètres'!$D:$D,0))&amp;"",""))</f>
        <v/>
      </c>
      <c r="T1850" s="6" t="str">
        <f>IF($K1850="","",IF($S1850="",0,IF(ISNUMBER(SEARCH("apport-exterieur",IFERROR(INDEX('Paramètres'!$N:$N,MATCH($D1850,'Paramètres'!$M:$M,0))&amp;"",""))),0,IF(OR(IFERROR(INDEX('Paramètres'!$I:$I,MATCH($C1850,'Paramètres'!$D:$D,0))&amp;"","")="Les deux",IFERROR(INDEX('Paramètres'!$I:$I,MATCH($C1850,'Paramètres'!$D:$D,0))&amp;"","")=IF($P1850=1,"Débit",$L1850)),-IF($P1850=1,-$K1850,$K1850),0))))</f>
        <v/>
      </c>
      <c r="U1850" s="6" t="str">
        <f>IF($K1850="","",IF(ISNUMBER(SEARCH("sortie-epargne",IFERROR(INDEX('Paramètres'!$N:$N,MATCH($D1850,'Paramètres'!$M:$M,0))&amp;"",""))),$K1850,0))</f>
        <v/>
      </c>
      <c r="V1850" s="6" t="str">
        <f>IF(AND($A1850&lt;&gt;"",$O1850=1,$L1850="Débit",N($Q1850)&gt;0,$A1850&gt;=Visualisation!$B$1,$A1850&lt;Visualisation!$D$1),MAX($V$1:V1849)+1,"")</f>
        <v/>
      </c>
    </row>
    <row r="1851" spans="1:22" x14ac:dyDescent="0.25">
      <c r="A1851" s="9"/>
      <c r="E1851" s="10"/>
      <c r="K1851" s="11" t="str">
        <f>IF($E1851="","",ROUND($E1851*IF(ISNA(MATCH($C1851,'Paramètres'!$D:$D,0)),1,IF(INDEX('Paramètres'!$J:$J,MATCH($C1851,'Paramètres'!$D:$D,0))="",1,INDEX('Paramètres'!$J:$J,MATCH($C1851,'Paramètres'!$D:$D,0)))),2))</f>
        <v/>
      </c>
      <c r="L1851" s="6" t="str">
        <f>IF($D1851="","",IF($F1851&lt;&gt;"",$F1851,IF(ISNA(MATCH($D1851,'Paramètres'!$M:$M,0)),"⚠ Type inconnu",IFERROR(INDEX('Paramètres'!$P:$P,MATCH($D1851,'Paramètres'!$M:$M,0))&amp;"",""))))</f>
        <v/>
      </c>
      <c r="M1851" s="6" t="str">
        <f>IF($D1851="","",IF(ISNA(MATCH($D1851,'Paramètres'!$M:$M,0)),"⚠ Type inconnu",IF($L1851="Crédit","",IFERROR(INDEX('Paramètres'!$O:$O,MATCH($D1851,'Paramètres'!$M:$M,0))&amp;"",""))))</f>
        <v/>
      </c>
      <c r="N1851" s="6" t="str">
        <f>IF($D1851="","",IFERROR(INDEX('Paramètres'!$Q:$Q,MATCH($D1851,'Paramètres'!$M:$M,0))&amp;"",""))</f>
        <v/>
      </c>
      <c r="O1851" s="6" t="str">
        <f>IF($A1851="","",IF(OR($J1851&lt;&gt;"x",$A1851&lt;=FinReleve),1,0))</f>
        <v/>
      </c>
      <c r="P1851" s="6" t="str">
        <f>IF($D1851="","",IF(AND($L1851="Crédit",OR(IFERROR(INDEX('Paramètres'!$O:$O,MATCH($D1851,'Paramètres'!$M:$M,0))&amp;"","")&lt;&gt;"",ISNUMBER(SEARCH("remboursement",IFERROR(INDEX('Paramètres'!$N:$N,MATCH($D1851,'Paramètres'!$M:$M,0))&amp;"",""))))),1,0))</f>
        <v/>
      </c>
      <c r="Q1851" s="6" t="str">
        <f>IF($K1851="","",IF(ISNUMBER(SEARCH("transfert-interne",IFERROR(INDEX('Paramètres'!$N:$N,MATCH($D1851,'Paramètres'!$M:$M,0))&amp;"",""))),0,IF($L1851="Débit",$K1851,IF($P1851=1,-$K1851,0))))</f>
        <v/>
      </c>
      <c r="R1851" s="6" t="str">
        <f>IF($K1851="","",IF($L1851="Crédit",$K1851,-$K1851))</f>
        <v/>
      </c>
      <c r="S1851" s="6" t="str">
        <f>IF($C1851="","",IFERROR(INDEX('Paramètres'!$H:$H,MATCH($C1851,'Paramètres'!$D:$D,0))&amp;"",""))</f>
        <v/>
      </c>
      <c r="T1851" s="6" t="str">
        <f>IF($K1851="","",IF($S1851="",0,IF(ISNUMBER(SEARCH("apport-exterieur",IFERROR(INDEX('Paramètres'!$N:$N,MATCH($D1851,'Paramètres'!$M:$M,0))&amp;"",""))),0,IF(OR(IFERROR(INDEX('Paramètres'!$I:$I,MATCH($C1851,'Paramètres'!$D:$D,0))&amp;"","")="Les deux",IFERROR(INDEX('Paramètres'!$I:$I,MATCH($C1851,'Paramètres'!$D:$D,0))&amp;"","")=IF($P1851=1,"Débit",$L1851)),-IF($P1851=1,-$K1851,$K1851),0))))</f>
        <v/>
      </c>
      <c r="U1851" s="6" t="str">
        <f>IF($K1851="","",IF(ISNUMBER(SEARCH("sortie-epargne",IFERROR(INDEX('Paramètres'!$N:$N,MATCH($D1851,'Paramètres'!$M:$M,0))&amp;"",""))),$K1851,0))</f>
        <v/>
      </c>
      <c r="V1851" s="6" t="str">
        <f>IF(AND($A1851&lt;&gt;"",$O1851=1,$L1851="Débit",N($Q1851)&gt;0,$A1851&gt;=Visualisation!$B$1,$A1851&lt;Visualisation!$D$1),MAX($V$1:V1850)+1,"")</f>
        <v/>
      </c>
    </row>
    <row r="1852" spans="1:22" x14ac:dyDescent="0.25">
      <c r="A1852" s="9"/>
      <c r="E1852" s="10"/>
      <c r="K1852" s="11" t="str">
        <f>IF($E1852="","",ROUND($E1852*IF(ISNA(MATCH($C1852,'Paramètres'!$D:$D,0)),1,IF(INDEX('Paramètres'!$J:$J,MATCH($C1852,'Paramètres'!$D:$D,0))="",1,INDEX('Paramètres'!$J:$J,MATCH($C1852,'Paramètres'!$D:$D,0)))),2))</f>
        <v/>
      </c>
      <c r="L1852" s="6" t="str">
        <f>IF($D1852="","",IF($F1852&lt;&gt;"",$F1852,IF(ISNA(MATCH($D1852,'Paramètres'!$M:$M,0)),"⚠ Type inconnu",IFERROR(INDEX('Paramètres'!$P:$P,MATCH($D1852,'Paramètres'!$M:$M,0))&amp;"",""))))</f>
        <v/>
      </c>
      <c r="M1852" s="6" t="str">
        <f>IF($D1852="","",IF(ISNA(MATCH($D1852,'Paramètres'!$M:$M,0)),"⚠ Type inconnu",IF($L1852="Crédit","",IFERROR(INDEX('Paramètres'!$O:$O,MATCH($D1852,'Paramètres'!$M:$M,0))&amp;"",""))))</f>
        <v/>
      </c>
      <c r="N1852" s="6" t="str">
        <f>IF($D1852="","",IFERROR(INDEX('Paramètres'!$Q:$Q,MATCH($D1852,'Paramètres'!$M:$M,0))&amp;"",""))</f>
        <v/>
      </c>
      <c r="O1852" s="6" t="str">
        <f>IF($A1852="","",IF(OR($J1852&lt;&gt;"x",$A1852&lt;=FinReleve),1,0))</f>
        <v/>
      </c>
      <c r="P1852" s="6" t="str">
        <f>IF($D1852="","",IF(AND($L1852="Crédit",OR(IFERROR(INDEX('Paramètres'!$O:$O,MATCH($D1852,'Paramètres'!$M:$M,0))&amp;"","")&lt;&gt;"",ISNUMBER(SEARCH("remboursement",IFERROR(INDEX('Paramètres'!$N:$N,MATCH($D1852,'Paramètres'!$M:$M,0))&amp;"",""))))),1,0))</f>
        <v/>
      </c>
      <c r="Q1852" s="6" t="str">
        <f>IF($K1852="","",IF(ISNUMBER(SEARCH("transfert-interne",IFERROR(INDEX('Paramètres'!$N:$N,MATCH($D1852,'Paramètres'!$M:$M,0))&amp;"",""))),0,IF($L1852="Débit",$K1852,IF($P1852=1,-$K1852,0))))</f>
        <v/>
      </c>
      <c r="R1852" s="6" t="str">
        <f>IF($K1852="","",IF($L1852="Crédit",$K1852,-$K1852))</f>
        <v/>
      </c>
      <c r="S1852" s="6" t="str">
        <f>IF($C1852="","",IFERROR(INDEX('Paramètres'!$H:$H,MATCH($C1852,'Paramètres'!$D:$D,0))&amp;"",""))</f>
        <v/>
      </c>
      <c r="T1852" s="6" t="str">
        <f>IF($K1852="","",IF($S1852="",0,IF(ISNUMBER(SEARCH("apport-exterieur",IFERROR(INDEX('Paramètres'!$N:$N,MATCH($D1852,'Paramètres'!$M:$M,0))&amp;"",""))),0,IF(OR(IFERROR(INDEX('Paramètres'!$I:$I,MATCH($C1852,'Paramètres'!$D:$D,0))&amp;"","")="Les deux",IFERROR(INDEX('Paramètres'!$I:$I,MATCH($C1852,'Paramètres'!$D:$D,0))&amp;"","")=IF($P1852=1,"Débit",$L1852)),-IF($P1852=1,-$K1852,$K1852),0))))</f>
        <v/>
      </c>
      <c r="U1852" s="6" t="str">
        <f>IF($K1852="","",IF(ISNUMBER(SEARCH("sortie-epargne",IFERROR(INDEX('Paramètres'!$N:$N,MATCH($D1852,'Paramètres'!$M:$M,0))&amp;"",""))),$K1852,0))</f>
        <v/>
      </c>
      <c r="V1852" s="6" t="str">
        <f>IF(AND($A1852&lt;&gt;"",$O1852=1,$L1852="Débit",N($Q1852)&gt;0,$A1852&gt;=Visualisation!$B$1,$A1852&lt;Visualisation!$D$1),MAX($V$1:V1851)+1,"")</f>
        <v/>
      </c>
    </row>
    <row r="1853" spans="1:22" x14ac:dyDescent="0.25">
      <c r="A1853" s="9"/>
      <c r="E1853" s="10"/>
      <c r="K1853" s="11" t="str">
        <f>IF($E1853="","",ROUND($E1853*IF(ISNA(MATCH($C1853,'Paramètres'!$D:$D,0)),1,IF(INDEX('Paramètres'!$J:$J,MATCH($C1853,'Paramètres'!$D:$D,0))="",1,INDEX('Paramètres'!$J:$J,MATCH($C1853,'Paramètres'!$D:$D,0)))),2))</f>
        <v/>
      </c>
      <c r="L1853" s="6" t="str">
        <f>IF($D1853="","",IF($F1853&lt;&gt;"",$F1853,IF(ISNA(MATCH($D1853,'Paramètres'!$M:$M,0)),"⚠ Type inconnu",IFERROR(INDEX('Paramètres'!$P:$P,MATCH($D1853,'Paramètres'!$M:$M,0))&amp;"",""))))</f>
        <v/>
      </c>
      <c r="M1853" s="6" t="str">
        <f>IF($D1853="","",IF(ISNA(MATCH($D1853,'Paramètres'!$M:$M,0)),"⚠ Type inconnu",IF($L1853="Crédit","",IFERROR(INDEX('Paramètres'!$O:$O,MATCH($D1853,'Paramètres'!$M:$M,0))&amp;"",""))))</f>
        <v/>
      </c>
      <c r="N1853" s="6" t="str">
        <f>IF($D1853="","",IFERROR(INDEX('Paramètres'!$Q:$Q,MATCH($D1853,'Paramètres'!$M:$M,0))&amp;"",""))</f>
        <v/>
      </c>
      <c r="O1853" s="6" t="str">
        <f>IF($A1853="","",IF(OR($J1853&lt;&gt;"x",$A1853&lt;=FinReleve),1,0))</f>
        <v/>
      </c>
      <c r="P1853" s="6" t="str">
        <f>IF($D1853="","",IF(AND($L1853="Crédit",OR(IFERROR(INDEX('Paramètres'!$O:$O,MATCH($D1853,'Paramètres'!$M:$M,0))&amp;"","")&lt;&gt;"",ISNUMBER(SEARCH("remboursement",IFERROR(INDEX('Paramètres'!$N:$N,MATCH($D1853,'Paramètres'!$M:$M,0))&amp;"",""))))),1,0))</f>
        <v/>
      </c>
      <c r="Q1853" s="6" t="str">
        <f>IF($K1853="","",IF(ISNUMBER(SEARCH("transfert-interne",IFERROR(INDEX('Paramètres'!$N:$N,MATCH($D1853,'Paramètres'!$M:$M,0))&amp;"",""))),0,IF($L1853="Débit",$K1853,IF($P1853=1,-$K1853,0))))</f>
        <v/>
      </c>
      <c r="R1853" s="6" t="str">
        <f>IF($K1853="","",IF($L1853="Crédit",$K1853,-$K1853))</f>
        <v/>
      </c>
      <c r="S1853" s="6" t="str">
        <f>IF($C1853="","",IFERROR(INDEX('Paramètres'!$H:$H,MATCH($C1853,'Paramètres'!$D:$D,0))&amp;"",""))</f>
        <v/>
      </c>
      <c r="T1853" s="6" t="str">
        <f>IF($K1853="","",IF($S1853="",0,IF(ISNUMBER(SEARCH("apport-exterieur",IFERROR(INDEX('Paramètres'!$N:$N,MATCH($D1853,'Paramètres'!$M:$M,0))&amp;"",""))),0,IF(OR(IFERROR(INDEX('Paramètres'!$I:$I,MATCH($C1853,'Paramètres'!$D:$D,0))&amp;"","")="Les deux",IFERROR(INDEX('Paramètres'!$I:$I,MATCH($C1853,'Paramètres'!$D:$D,0))&amp;"","")=IF($P1853=1,"Débit",$L1853)),-IF($P1853=1,-$K1853,$K1853),0))))</f>
        <v/>
      </c>
      <c r="U1853" s="6" t="str">
        <f>IF($K1853="","",IF(ISNUMBER(SEARCH("sortie-epargne",IFERROR(INDEX('Paramètres'!$N:$N,MATCH($D1853,'Paramètres'!$M:$M,0))&amp;"",""))),$K1853,0))</f>
        <v/>
      </c>
      <c r="V1853" s="6" t="str">
        <f>IF(AND($A1853&lt;&gt;"",$O1853=1,$L1853="Débit",N($Q1853)&gt;0,$A1853&gt;=Visualisation!$B$1,$A1853&lt;Visualisation!$D$1),MAX($V$1:V1852)+1,"")</f>
        <v/>
      </c>
    </row>
    <row r="1854" spans="1:22" x14ac:dyDescent="0.25">
      <c r="A1854" s="9"/>
      <c r="E1854" s="10"/>
      <c r="K1854" s="11" t="str">
        <f>IF($E1854="","",ROUND($E1854*IF(ISNA(MATCH($C1854,'Paramètres'!$D:$D,0)),1,IF(INDEX('Paramètres'!$J:$J,MATCH($C1854,'Paramètres'!$D:$D,0))="",1,INDEX('Paramètres'!$J:$J,MATCH($C1854,'Paramètres'!$D:$D,0)))),2))</f>
        <v/>
      </c>
      <c r="L1854" s="6" t="str">
        <f>IF($D1854="","",IF($F1854&lt;&gt;"",$F1854,IF(ISNA(MATCH($D1854,'Paramètres'!$M:$M,0)),"⚠ Type inconnu",IFERROR(INDEX('Paramètres'!$P:$P,MATCH($D1854,'Paramètres'!$M:$M,0))&amp;"",""))))</f>
        <v/>
      </c>
      <c r="M1854" s="6" t="str">
        <f>IF($D1854="","",IF(ISNA(MATCH($D1854,'Paramètres'!$M:$M,0)),"⚠ Type inconnu",IF($L1854="Crédit","",IFERROR(INDEX('Paramètres'!$O:$O,MATCH($D1854,'Paramètres'!$M:$M,0))&amp;"",""))))</f>
        <v/>
      </c>
      <c r="N1854" s="6" t="str">
        <f>IF($D1854="","",IFERROR(INDEX('Paramètres'!$Q:$Q,MATCH($D1854,'Paramètres'!$M:$M,0))&amp;"",""))</f>
        <v/>
      </c>
      <c r="O1854" s="6" t="str">
        <f>IF($A1854="","",IF(OR($J1854&lt;&gt;"x",$A1854&lt;=FinReleve),1,0))</f>
        <v/>
      </c>
      <c r="P1854" s="6" t="str">
        <f>IF($D1854="","",IF(AND($L1854="Crédit",OR(IFERROR(INDEX('Paramètres'!$O:$O,MATCH($D1854,'Paramètres'!$M:$M,0))&amp;"","")&lt;&gt;"",ISNUMBER(SEARCH("remboursement",IFERROR(INDEX('Paramètres'!$N:$N,MATCH($D1854,'Paramètres'!$M:$M,0))&amp;"",""))))),1,0))</f>
        <v/>
      </c>
      <c r="Q1854" s="6" t="str">
        <f>IF($K1854="","",IF(ISNUMBER(SEARCH("transfert-interne",IFERROR(INDEX('Paramètres'!$N:$N,MATCH($D1854,'Paramètres'!$M:$M,0))&amp;"",""))),0,IF($L1854="Débit",$K1854,IF($P1854=1,-$K1854,0))))</f>
        <v/>
      </c>
      <c r="R1854" s="6" t="str">
        <f>IF($K1854="","",IF($L1854="Crédit",$K1854,-$K1854))</f>
        <v/>
      </c>
      <c r="S1854" s="6" t="str">
        <f>IF($C1854="","",IFERROR(INDEX('Paramètres'!$H:$H,MATCH($C1854,'Paramètres'!$D:$D,0))&amp;"",""))</f>
        <v/>
      </c>
      <c r="T1854" s="6" t="str">
        <f>IF($K1854="","",IF($S1854="",0,IF(ISNUMBER(SEARCH("apport-exterieur",IFERROR(INDEX('Paramètres'!$N:$N,MATCH($D1854,'Paramètres'!$M:$M,0))&amp;"",""))),0,IF(OR(IFERROR(INDEX('Paramètres'!$I:$I,MATCH($C1854,'Paramètres'!$D:$D,0))&amp;"","")="Les deux",IFERROR(INDEX('Paramètres'!$I:$I,MATCH($C1854,'Paramètres'!$D:$D,0))&amp;"","")=IF($P1854=1,"Débit",$L1854)),-IF($P1854=1,-$K1854,$K1854),0))))</f>
        <v/>
      </c>
      <c r="U1854" s="6" t="str">
        <f>IF($K1854="","",IF(ISNUMBER(SEARCH("sortie-epargne",IFERROR(INDEX('Paramètres'!$N:$N,MATCH($D1854,'Paramètres'!$M:$M,0))&amp;"",""))),$K1854,0))</f>
        <v/>
      </c>
      <c r="V1854" s="6" t="str">
        <f>IF(AND($A1854&lt;&gt;"",$O1854=1,$L1854="Débit",N($Q1854)&gt;0,$A1854&gt;=Visualisation!$B$1,$A1854&lt;Visualisation!$D$1),MAX($V$1:V1853)+1,"")</f>
        <v/>
      </c>
    </row>
    <row r="1855" spans="1:22" x14ac:dyDescent="0.25">
      <c r="A1855" s="9"/>
      <c r="E1855" s="10"/>
      <c r="K1855" s="11" t="str">
        <f>IF($E1855="","",ROUND($E1855*IF(ISNA(MATCH($C1855,'Paramètres'!$D:$D,0)),1,IF(INDEX('Paramètres'!$J:$J,MATCH($C1855,'Paramètres'!$D:$D,0))="",1,INDEX('Paramètres'!$J:$J,MATCH($C1855,'Paramètres'!$D:$D,0)))),2))</f>
        <v/>
      </c>
      <c r="L1855" s="6" t="str">
        <f>IF($D1855="","",IF($F1855&lt;&gt;"",$F1855,IF(ISNA(MATCH($D1855,'Paramètres'!$M:$M,0)),"⚠ Type inconnu",IFERROR(INDEX('Paramètres'!$P:$P,MATCH($D1855,'Paramètres'!$M:$M,0))&amp;"",""))))</f>
        <v/>
      </c>
      <c r="M1855" s="6" t="str">
        <f>IF($D1855="","",IF(ISNA(MATCH($D1855,'Paramètres'!$M:$M,0)),"⚠ Type inconnu",IF($L1855="Crédit","",IFERROR(INDEX('Paramètres'!$O:$O,MATCH($D1855,'Paramètres'!$M:$M,0))&amp;"",""))))</f>
        <v/>
      </c>
      <c r="N1855" s="6" t="str">
        <f>IF($D1855="","",IFERROR(INDEX('Paramètres'!$Q:$Q,MATCH($D1855,'Paramètres'!$M:$M,0))&amp;"",""))</f>
        <v/>
      </c>
      <c r="O1855" s="6" t="str">
        <f>IF($A1855="","",IF(OR($J1855&lt;&gt;"x",$A1855&lt;=FinReleve),1,0))</f>
        <v/>
      </c>
      <c r="P1855" s="6" t="str">
        <f>IF($D1855="","",IF(AND($L1855="Crédit",OR(IFERROR(INDEX('Paramètres'!$O:$O,MATCH($D1855,'Paramètres'!$M:$M,0))&amp;"","")&lt;&gt;"",ISNUMBER(SEARCH("remboursement",IFERROR(INDEX('Paramètres'!$N:$N,MATCH($D1855,'Paramètres'!$M:$M,0))&amp;"",""))))),1,0))</f>
        <v/>
      </c>
      <c r="Q1855" s="6" t="str">
        <f>IF($K1855="","",IF(ISNUMBER(SEARCH("transfert-interne",IFERROR(INDEX('Paramètres'!$N:$N,MATCH($D1855,'Paramètres'!$M:$M,0))&amp;"",""))),0,IF($L1855="Débit",$K1855,IF($P1855=1,-$K1855,0))))</f>
        <v/>
      </c>
      <c r="R1855" s="6" t="str">
        <f>IF($K1855="","",IF($L1855="Crédit",$K1855,-$K1855))</f>
        <v/>
      </c>
      <c r="S1855" s="6" t="str">
        <f>IF($C1855="","",IFERROR(INDEX('Paramètres'!$H:$H,MATCH($C1855,'Paramètres'!$D:$D,0))&amp;"",""))</f>
        <v/>
      </c>
      <c r="T1855" s="6" t="str">
        <f>IF($K1855="","",IF($S1855="",0,IF(ISNUMBER(SEARCH("apport-exterieur",IFERROR(INDEX('Paramètres'!$N:$N,MATCH($D1855,'Paramètres'!$M:$M,0))&amp;"",""))),0,IF(OR(IFERROR(INDEX('Paramètres'!$I:$I,MATCH($C1855,'Paramètres'!$D:$D,0))&amp;"","")="Les deux",IFERROR(INDEX('Paramètres'!$I:$I,MATCH($C1855,'Paramètres'!$D:$D,0))&amp;"","")=IF($P1855=1,"Débit",$L1855)),-IF($P1855=1,-$K1855,$K1855),0))))</f>
        <v/>
      </c>
      <c r="U1855" s="6" t="str">
        <f>IF($K1855="","",IF(ISNUMBER(SEARCH("sortie-epargne",IFERROR(INDEX('Paramètres'!$N:$N,MATCH($D1855,'Paramètres'!$M:$M,0))&amp;"",""))),$K1855,0))</f>
        <v/>
      </c>
      <c r="V1855" s="6" t="str">
        <f>IF(AND($A1855&lt;&gt;"",$O1855=1,$L1855="Débit",N($Q1855)&gt;0,$A1855&gt;=Visualisation!$B$1,$A1855&lt;Visualisation!$D$1),MAX($V$1:V1854)+1,"")</f>
        <v/>
      </c>
    </row>
    <row r="1856" spans="1:22" x14ac:dyDescent="0.25">
      <c r="A1856" s="9"/>
      <c r="E1856" s="10"/>
      <c r="K1856" s="11" t="str">
        <f>IF($E1856="","",ROUND($E1856*IF(ISNA(MATCH($C1856,'Paramètres'!$D:$D,0)),1,IF(INDEX('Paramètres'!$J:$J,MATCH($C1856,'Paramètres'!$D:$D,0))="",1,INDEX('Paramètres'!$J:$J,MATCH($C1856,'Paramètres'!$D:$D,0)))),2))</f>
        <v/>
      </c>
      <c r="L1856" s="6" t="str">
        <f>IF($D1856="","",IF($F1856&lt;&gt;"",$F1856,IF(ISNA(MATCH($D1856,'Paramètres'!$M:$M,0)),"⚠ Type inconnu",IFERROR(INDEX('Paramètres'!$P:$P,MATCH($D1856,'Paramètres'!$M:$M,0))&amp;"",""))))</f>
        <v/>
      </c>
      <c r="M1856" s="6" t="str">
        <f>IF($D1856="","",IF(ISNA(MATCH($D1856,'Paramètres'!$M:$M,0)),"⚠ Type inconnu",IF($L1856="Crédit","",IFERROR(INDEX('Paramètres'!$O:$O,MATCH($D1856,'Paramètres'!$M:$M,0))&amp;"",""))))</f>
        <v/>
      </c>
      <c r="N1856" s="6" t="str">
        <f>IF($D1856="","",IFERROR(INDEX('Paramètres'!$Q:$Q,MATCH($D1856,'Paramètres'!$M:$M,0))&amp;"",""))</f>
        <v/>
      </c>
      <c r="O1856" s="6" t="str">
        <f>IF($A1856="","",IF(OR($J1856&lt;&gt;"x",$A1856&lt;=FinReleve),1,0))</f>
        <v/>
      </c>
      <c r="P1856" s="6" t="str">
        <f>IF($D1856="","",IF(AND($L1856="Crédit",OR(IFERROR(INDEX('Paramètres'!$O:$O,MATCH($D1856,'Paramètres'!$M:$M,0))&amp;"","")&lt;&gt;"",ISNUMBER(SEARCH("remboursement",IFERROR(INDEX('Paramètres'!$N:$N,MATCH($D1856,'Paramètres'!$M:$M,0))&amp;"",""))))),1,0))</f>
        <v/>
      </c>
      <c r="Q1856" s="6" t="str">
        <f>IF($K1856="","",IF(ISNUMBER(SEARCH("transfert-interne",IFERROR(INDEX('Paramètres'!$N:$N,MATCH($D1856,'Paramètres'!$M:$M,0))&amp;"",""))),0,IF($L1856="Débit",$K1856,IF($P1856=1,-$K1856,0))))</f>
        <v/>
      </c>
      <c r="R1856" s="6" t="str">
        <f>IF($K1856="","",IF($L1856="Crédit",$K1856,-$K1856))</f>
        <v/>
      </c>
      <c r="S1856" s="6" t="str">
        <f>IF($C1856="","",IFERROR(INDEX('Paramètres'!$H:$H,MATCH($C1856,'Paramètres'!$D:$D,0))&amp;"",""))</f>
        <v/>
      </c>
      <c r="T1856" s="6" t="str">
        <f>IF($K1856="","",IF($S1856="",0,IF(ISNUMBER(SEARCH("apport-exterieur",IFERROR(INDEX('Paramètres'!$N:$N,MATCH($D1856,'Paramètres'!$M:$M,0))&amp;"",""))),0,IF(OR(IFERROR(INDEX('Paramètres'!$I:$I,MATCH($C1856,'Paramètres'!$D:$D,0))&amp;"","")="Les deux",IFERROR(INDEX('Paramètres'!$I:$I,MATCH($C1856,'Paramètres'!$D:$D,0))&amp;"","")=IF($P1856=1,"Débit",$L1856)),-IF($P1856=1,-$K1856,$K1856),0))))</f>
        <v/>
      </c>
      <c r="U1856" s="6" t="str">
        <f>IF($K1856="","",IF(ISNUMBER(SEARCH("sortie-epargne",IFERROR(INDEX('Paramètres'!$N:$N,MATCH($D1856,'Paramètres'!$M:$M,0))&amp;"",""))),$K1856,0))</f>
        <v/>
      </c>
      <c r="V1856" s="6" t="str">
        <f>IF(AND($A1856&lt;&gt;"",$O1856=1,$L1856="Débit",N($Q1856)&gt;0,$A1856&gt;=Visualisation!$B$1,$A1856&lt;Visualisation!$D$1),MAX($V$1:V1855)+1,"")</f>
        <v/>
      </c>
    </row>
    <row r="1857" spans="1:22" x14ac:dyDescent="0.25">
      <c r="A1857" s="9"/>
      <c r="E1857" s="10"/>
      <c r="K1857" s="11" t="str">
        <f>IF($E1857="","",ROUND($E1857*IF(ISNA(MATCH($C1857,'Paramètres'!$D:$D,0)),1,IF(INDEX('Paramètres'!$J:$J,MATCH($C1857,'Paramètres'!$D:$D,0))="",1,INDEX('Paramètres'!$J:$J,MATCH($C1857,'Paramètres'!$D:$D,0)))),2))</f>
        <v/>
      </c>
      <c r="L1857" s="6" t="str">
        <f>IF($D1857="","",IF($F1857&lt;&gt;"",$F1857,IF(ISNA(MATCH($D1857,'Paramètres'!$M:$M,0)),"⚠ Type inconnu",IFERROR(INDEX('Paramètres'!$P:$P,MATCH($D1857,'Paramètres'!$M:$M,0))&amp;"",""))))</f>
        <v/>
      </c>
      <c r="M1857" s="6" t="str">
        <f>IF($D1857="","",IF(ISNA(MATCH($D1857,'Paramètres'!$M:$M,0)),"⚠ Type inconnu",IF($L1857="Crédit","",IFERROR(INDEX('Paramètres'!$O:$O,MATCH($D1857,'Paramètres'!$M:$M,0))&amp;"",""))))</f>
        <v/>
      </c>
      <c r="N1857" s="6" t="str">
        <f>IF($D1857="","",IFERROR(INDEX('Paramètres'!$Q:$Q,MATCH($D1857,'Paramètres'!$M:$M,0))&amp;"",""))</f>
        <v/>
      </c>
      <c r="O1857" s="6" t="str">
        <f>IF($A1857="","",IF(OR($J1857&lt;&gt;"x",$A1857&lt;=FinReleve),1,0))</f>
        <v/>
      </c>
      <c r="P1857" s="6" t="str">
        <f>IF($D1857="","",IF(AND($L1857="Crédit",OR(IFERROR(INDEX('Paramètres'!$O:$O,MATCH($D1857,'Paramètres'!$M:$M,0))&amp;"","")&lt;&gt;"",ISNUMBER(SEARCH("remboursement",IFERROR(INDEX('Paramètres'!$N:$N,MATCH($D1857,'Paramètres'!$M:$M,0))&amp;"",""))))),1,0))</f>
        <v/>
      </c>
      <c r="Q1857" s="6" t="str">
        <f>IF($K1857="","",IF(ISNUMBER(SEARCH("transfert-interne",IFERROR(INDEX('Paramètres'!$N:$N,MATCH($D1857,'Paramètres'!$M:$M,0))&amp;"",""))),0,IF($L1857="Débit",$K1857,IF($P1857=1,-$K1857,0))))</f>
        <v/>
      </c>
      <c r="R1857" s="6" t="str">
        <f>IF($K1857="","",IF($L1857="Crédit",$K1857,-$K1857))</f>
        <v/>
      </c>
      <c r="S1857" s="6" t="str">
        <f>IF($C1857="","",IFERROR(INDEX('Paramètres'!$H:$H,MATCH($C1857,'Paramètres'!$D:$D,0))&amp;"",""))</f>
        <v/>
      </c>
      <c r="T1857" s="6" t="str">
        <f>IF($K1857="","",IF($S1857="",0,IF(ISNUMBER(SEARCH("apport-exterieur",IFERROR(INDEX('Paramètres'!$N:$N,MATCH($D1857,'Paramètres'!$M:$M,0))&amp;"",""))),0,IF(OR(IFERROR(INDEX('Paramètres'!$I:$I,MATCH($C1857,'Paramètres'!$D:$D,0))&amp;"","")="Les deux",IFERROR(INDEX('Paramètres'!$I:$I,MATCH($C1857,'Paramètres'!$D:$D,0))&amp;"","")=IF($P1857=1,"Débit",$L1857)),-IF($P1857=1,-$K1857,$K1857),0))))</f>
        <v/>
      </c>
      <c r="U1857" s="6" t="str">
        <f>IF($K1857="","",IF(ISNUMBER(SEARCH("sortie-epargne",IFERROR(INDEX('Paramètres'!$N:$N,MATCH($D1857,'Paramètres'!$M:$M,0))&amp;"",""))),$K1857,0))</f>
        <v/>
      </c>
      <c r="V1857" s="6" t="str">
        <f>IF(AND($A1857&lt;&gt;"",$O1857=1,$L1857="Débit",N($Q1857)&gt;0,$A1857&gt;=Visualisation!$B$1,$A1857&lt;Visualisation!$D$1),MAX($V$1:V1856)+1,"")</f>
        <v/>
      </c>
    </row>
    <row r="1858" spans="1:22" x14ac:dyDescent="0.25">
      <c r="A1858" s="9"/>
      <c r="E1858" s="10"/>
      <c r="K1858" s="11" t="str">
        <f>IF($E1858="","",ROUND($E1858*IF(ISNA(MATCH($C1858,'Paramètres'!$D:$D,0)),1,IF(INDEX('Paramètres'!$J:$J,MATCH($C1858,'Paramètres'!$D:$D,0))="",1,INDEX('Paramètres'!$J:$J,MATCH($C1858,'Paramètres'!$D:$D,0)))),2))</f>
        <v/>
      </c>
      <c r="L1858" s="6" t="str">
        <f>IF($D1858="","",IF($F1858&lt;&gt;"",$F1858,IF(ISNA(MATCH($D1858,'Paramètres'!$M:$M,0)),"⚠ Type inconnu",IFERROR(INDEX('Paramètres'!$P:$P,MATCH($D1858,'Paramètres'!$M:$M,0))&amp;"",""))))</f>
        <v/>
      </c>
      <c r="M1858" s="6" t="str">
        <f>IF($D1858="","",IF(ISNA(MATCH($D1858,'Paramètres'!$M:$M,0)),"⚠ Type inconnu",IF($L1858="Crédit","",IFERROR(INDEX('Paramètres'!$O:$O,MATCH($D1858,'Paramètres'!$M:$M,0))&amp;"",""))))</f>
        <v/>
      </c>
      <c r="N1858" s="6" t="str">
        <f>IF($D1858="","",IFERROR(INDEX('Paramètres'!$Q:$Q,MATCH($D1858,'Paramètres'!$M:$M,0))&amp;"",""))</f>
        <v/>
      </c>
      <c r="O1858" s="6" t="str">
        <f>IF($A1858="","",IF(OR($J1858&lt;&gt;"x",$A1858&lt;=FinReleve),1,0))</f>
        <v/>
      </c>
      <c r="P1858" s="6" t="str">
        <f>IF($D1858="","",IF(AND($L1858="Crédit",OR(IFERROR(INDEX('Paramètres'!$O:$O,MATCH($D1858,'Paramètres'!$M:$M,0))&amp;"","")&lt;&gt;"",ISNUMBER(SEARCH("remboursement",IFERROR(INDEX('Paramètres'!$N:$N,MATCH($D1858,'Paramètres'!$M:$M,0))&amp;"",""))))),1,0))</f>
        <v/>
      </c>
      <c r="Q1858" s="6" t="str">
        <f>IF($K1858="","",IF(ISNUMBER(SEARCH("transfert-interne",IFERROR(INDEX('Paramètres'!$N:$N,MATCH($D1858,'Paramètres'!$M:$M,0))&amp;"",""))),0,IF($L1858="Débit",$K1858,IF($P1858=1,-$K1858,0))))</f>
        <v/>
      </c>
      <c r="R1858" s="6" t="str">
        <f>IF($K1858="","",IF($L1858="Crédit",$K1858,-$K1858))</f>
        <v/>
      </c>
      <c r="S1858" s="6" t="str">
        <f>IF($C1858="","",IFERROR(INDEX('Paramètres'!$H:$H,MATCH($C1858,'Paramètres'!$D:$D,0))&amp;"",""))</f>
        <v/>
      </c>
      <c r="T1858" s="6" t="str">
        <f>IF($K1858="","",IF($S1858="",0,IF(ISNUMBER(SEARCH("apport-exterieur",IFERROR(INDEX('Paramètres'!$N:$N,MATCH($D1858,'Paramètres'!$M:$M,0))&amp;"",""))),0,IF(OR(IFERROR(INDEX('Paramètres'!$I:$I,MATCH($C1858,'Paramètres'!$D:$D,0))&amp;"","")="Les deux",IFERROR(INDEX('Paramètres'!$I:$I,MATCH($C1858,'Paramètres'!$D:$D,0))&amp;"","")=IF($P1858=1,"Débit",$L1858)),-IF($P1858=1,-$K1858,$K1858),0))))</f>
        <v/>
      </c>
      <c r="U1858" s="6" t="str">
        <f>IF($K1858="","",IF(ISNUMBER(SEARCH("sortie-epargne",IFERROR(INDEX('Paramètres'!$N:$N,MATCH($D1858,'Paramètres'!$M:$M,0))&amp;"",""))),$K1858,0))</f>
        <v/>
      </c>
      <c r="V1858" s="6" t="str">
        <f>IF(AND($A1858&lt;&gt;"",$O1858=1,$L1858="Débit",N($Q1858)&gt;0,$A1858&gt;=Visualisation!$B$1,$A1858&lt;Visualisation!$D$1),MAX($V$1:V1857)+1,"")</f>
        <v/>
      </c>
    </row>
    <row r="1859" spans="1:22" x14ac:dyDescent="0.25">
      <c r="A1859" s="9"/>
      <c r="E1859" s="10"/>
      <c r="K1859" s="11" t="str">
        <f>IF($E1859="","",ROUND($E1859*IF(ISNA(MATCH($C1859,'Paramètres'!$D:$D,0)),1,IF(INDEX('Paramètres'!$J:$J,MATCH($C1859,'Paramètres'!$D:$D,0))="",1,INDEX('Paramètres'!$J:$J,MATCH($C1859,'Paramètres'!$D:$D,0)))),2))</f>
        <v/>
      </c>
      <c r="L1859" s="6" t="str">
        <f>IF($D1859="","",IF($F1859&lt;&gt;"",$F1859,IF(ISNA(MATCH($D1859,'Paramètres'!$M:$M,0)),"⚠ Type inconnu",IFERROR(INDEX('Paramètres'!$P:$P,MATCH($D1859,'Paramètres'!$M:$M,0))&amp;"",""))))</f>
        <v/>
      </c>
      <c r="M1859" s="6" t="str">
        <f>IF($D1859="","",IF(ISNA(MATCH($D1859,'Paramètres'!$M:$M,0)),"⚠ Type inconnu",IF($L1859="Crédit","",IFERROR(INDEX('Paramètres'!$O:$O,MATCH($D1859,'Paramètres'!$M:$M,0))&amp;"",""))))</f>
        <v/>
      </c>
      <c r="N1859" s="6" t="str">
        <f>IF($D1859="","",IFERROR(INDEX('Paramètres'!$Q:$Q,MATCH($D1859,'Paramètres'!$M:$M,0))&amp;"",""))</f>
        <v/>
      </c>
      <c r="O1859" s="6" t="str">
        <f>IF($A1859="","",IF(OR($J1859&lt;&gt;"x",$A1859&lt;=FinReleve),1,0))</f>
        <v/>
      </c>
      <c r="P1859" s="6" t="str">
        <f>IF($D1859="","",IF(AND($L1859="Crédit",OR(IFERROR(INDEX('Paramètres'!$O:$O,MATCH($D1859,'Paramètres'!$M:$M,0))&amp;"","")&lt;&gt;"",ISNUMBER(SEARCH("remboursement",IFERROR(INDEX('Paramètres'!$N:$N,MATCH($D1859,'Paramètres'!$M:$M,0))&amp;"",""))))),1,0))</f>
        <v/>
      </c>
      <c r="Q1859" s="6" t="str">
        <f>IF($K1859="","",IF(ISNUMBER(SEARCH("transfert-interne",IFERROR(INDEX('Paramètres'!$N:$N,MATCH($D1859,'Paramètres'!$M:$M,0))&amp;"",""))),0,IF($L1859="Débit",$K1859,IF($P1859=1,-$K1859,0))))</f>
        <v/>
      </c>
      <c r="R1859" s="6" t="str">
        <f>IF($K1859="","",IF($L1859="Crédit",$K1859,-$K1859))</f>
        <v/>
      </c>
      <c r="S1859" s="6" t="str">
        <f>IF($C1859="","",IFERROR(INDEX('Paramètres'!$H:$H,MATCH($C1859,'Paramètres'!$D:$D,0))&amp;"",""))</f>
        <v/>
      </c>
      <c r="T1859" s="6" t="str">
        <f>IF($K1859="","",IF($S1859="",0,IF(ISNUMBER(SEARCH("apport-exterieur",IFERROR(INDEX('Paramètres'!$N:$N,MATCH($D1859,'Paramètres'!$M:$M,0))&amp;"",""))),0,IF(OR(IFERROR(INDEX('Paramètres'!$I:$I,MATCH($C1859,'Paramètres'!$D:$D,0))&amp;"","")="Les deux",IFERROR(INDEX('Paramètres'!$I:$I,MATCH($C1859,'Paramètres'!$D:$D,0))&amp;"","")=IF($P1859=1,"Débit",$L1859)),-IF($P1859=1,-$K1859,$K1859),0))))</f>
        <v/>
      </c>
      <c r="U1859" s="6" t="str">
        <f>IF($K1859="","",IF(ISNUMBER(SEARCH("sortie-epargne",IFERROR(INDEX('Paramètres'!$N:$N,MATCH($D1859,'Paramètres'!$M:$M,0))&amp;"",""))),$K1859,0))</f>
        <v/>
      </c>
      <c r="V1859" s="6" t="str">
        <f>IF(AND($A1859&lt;&gt;"",$O1859=1,$L1859="Débit",N($Q1859)&gt;0,$A1859&gt;=Visualisation!$B$1,$A1859&lt;Visualisation!$D$1),MAX($V$1:V1858)+1,"")</f>
        <v/>
      </c>
    </row>
    <row r="1860" spans="1:22" x14ac:dyDescent="0.25">
      <c r="A1860" s="9"/>
      <c r="E1860" s="10"/>
      <c r="K1860" s="11" t="str">
        <f>IF($E1860="","",ROUND($E1860*IF(ISNA(MATCH($C1860,'Paramètres'!$D:$D,0)),1,IF(INDEX('Paramètres'!$J:$J,MATCH($C1860,'Paramètres'!$D:$D,0))="",1,INDEX('Paramètres'!$J:$J,MATCH($C1860,'Paramètres'!$D:$D,0)))),2))</f>
        <v/>
      </c>
      <c r="L1860" s="6" t="str">
        <f>IF($D1860="","",IF($F1860&lt;&gt;"",$F1860,IF(ISNA(MATCH($D1860,'Paramètres'!$M:$M,0)),"⚠ Type inconnu",IFERROR(INDEX('Paramètres'!$P:$P,MATCH($D1860,'Paramètres'!$M:$M,0))&amp;"",""))))</f>
        <v/>
      </c>
      <c r="M1860" s="6" t="str">
        <f>IF($D1860="","",IF(ISNA(MATCH($D1860,'Paramètres'!$M:$M,0)),"⚠ Type inconnu",IF($L1860="Crédit","",IFERROR(INDEX('Paramètres'!$O:$O,MATCH($D1860,'Paramètres'!$M:$M,0))&amp;"",""))))</f>
        <v/>
      </c>
      <c r="N1860" s="6" t="str">
        <f>IF($D1860="","",IFERROR(INDEX('Paramètres'!$Q:$Q,MATCH($D1860,'Paramètres'!$M:$M,0))&amp;"",""))</f>
        <v/>
      </c>
      <c r="O1860" s="6" t="str">
        <f>IF($A1860="","",IF(OR($J1860&lt;&gt;"x",$A1860&lt;=FinReleve),1,0))</f>
        <v/>
      </c>
      <c r="P1860" s="6" t="str">
        <f>IF($D1860="","",IF(AND($L1860="Crédit",OR(IFERROR(INDEX('Paramètres'!$O:$O,MATCH($D1860,'Paramètres'!$M:$M,0))&amp;"","")&lt;&gt;"",ISNUMBER(SEARCH("remboursement",IFERROR(INDEX('Paramètres'!$N:$N,MATCH($D1860,'Paramètres'!$M:$M,0))&amp;"",""))))),1,0))</f>
        <v/>
      </c>
      <c r="Q1860" s="6" t="str">
        <f>IF($K1860="","",IF(ISNUMBER(SEARCH("transfert-interne",IFERROR(INDEX('Paramètres'!$N:$N,MATCH($D1860,'Paramètres'!$M:$M,0))&amp;"",""))),0,IF($L1860="Débit",$K1860,IF($P1860=1,-$K1860,0))))</f>
        <v/>
      </c>
      <c r="R1860" s="6" t="str">
        <f>IF($K1860="","",IF($L1860="Crédit",$K1860,-$K1860))</f>
        <v/>
      </c>
      <c r="S1860" s="6" t="str">
        <f>IF($C1860="","",IFERROR(INDEX('Paramètres'!$H:$H,MATCH($C1860,'Paramètres'!$D:$D,0))&amp;"",""))</f>
        <v/>
      </c>
      <c r="T1860" s="6" t="str">
        <f>IF($K1860="","",IF($S1860="",0,IF(ISNUMBER(SEARCH("apport-exterieur",IFERROR(INDEX('Paramètres'!$N:$N,MATCH($D1860,'Paramètres'!$M:$M,0))&amp;"",""))),0,IF(OR(IFERROR(INDEX('Paramètres'!$I:$I,MATCH($C1860,'Paramètres'!$D:$D,0))&amp;"","")="Les deux",IFERROR(INDEX('Paramètres'!$I:$I,MATCH($C1860,'Paramètres'!$D:$D,0))&amp;"","")=IF($P1860=1,"Débit",$L1860)),-IF($P1860=1,-$K1860,$K1860),0))))</f>
        <v/>
      </c>
      <c r="U1860" s="6" t="str">
        <f>IF($K1860="","",IF(ISNUMBER(SEARCH("sortie-epargne",IFERROR(INDEX('Paramètres'!$N:$N,MATCH($D1860,'Paramètres'!$M:$M,0))&amp;"",""))),$K1860,0))</f>
        <v/>
      </c>
      <c r="V1860" s="6" t="str">
        <f>IF(AND($A1860&lt;&gt;"",$O1860=1,$L1860="Débit",N($Q1860)&gt;0,$A1860&gt;=Visualisation!$B$1,$A1860&lt;Visualisation!$D$1),MAX($V$1:V1859)+1,"")</f>
        <v/>
      </c>
    </row>
    <row r="1861" spans="1:22" x14ac:dyDescent="0.25">
      <c r="A1861" s="9"/>
      <c r="E1861" s="10"/>
      <c r="K1861" s="11" t="str">
        <f>IF($E1861="","",ROUND($E1861*IF(ISNA(MATCH($C1861,'Paramètres'!$D:$D,0)),1,IF(INDEX('Paramètres'!$J:$J,MATCH($C1861,'Paramètres'!$D:$D,0))="",1,INDEX('Paramètres'!$J:$J,MATCH($C1861,'Paramètres'!$D:$D,0)))),2))</f>
        <v/>
      </c>
      <c r="L1861" s="6" t="str">
        <f>IF($D1861="","",IF($F1861&lt;&gt;"",$F1861,IF(ISNA(MATCH($D1861,'Paramètres'!$M:$M,0)),"⚠ Type inconnu",IFERROR(INDEX('Paramètres'!$P:$P,MATCH($D1861,'Paramètres'!$M:$M,0))&amp;"",""))))</f>
        <v/>
      </c>
      <c r="M1861" s="6" t="str">
        <f>IF($D1861="","",IF(ISNA(MATCH($D1861,'Paramètres'!$M:$M,0)),"⚠ Type inconnu",IF($L1861="Crédit","",IFERROR(INDEX('Paramètres'!$O:$O,MATCH($D1861,'Paramètres'!$M:$M,0))&amp;"",""))))</f>
        <v/>
      </c>
      <c r="N1861" s="6" t="str">
        <f>IF($D1861="","",IFERROR(INDEX('Paramètres'!$Q:$Q,MATCH($D1861,'Paramètres'!$M:$M,0))&amp;"",""))</f>
        <v/>
      </c>
      <c r="O1861" s="6" t="str">
        <f>IF($A1861="","",IF(OR($J1861&lt;&gt;"x",$A1861&lt;=FinReleve),1,0))</f>
        <v/>
      </c>
      <c r="P1861" s="6" t="str">
        <f>IF($D1861="","",IF(AND($L1861="Crédit",OR(IFERROR(INDEX('Paramètres'!$O:$O,MATCH($D1861,'Paramètres'!$M:$M,0))&amp;"","")&lt;&gt;"",ISNUMBER(SEARCH("remboursement",IFERROR(INDEX('Paramètres'!$N:$N,MATCH($D1861,'Paramètres'!$M:$M,0))&amp;"",""))))),1,0))</f>
        <v/>
      </c>
      <c r="Q1861" s="6" t="str">
        <f>IF($K1861="","",IF(ISNUMBER(SEARCH("transfert-interne",IFERROR(INDEX('Paramètres'!$N:$N,MATCH($D1861,'Paramètres'!$M:$M,0))&amp;"",""))),0,IF($L1861="Débit",$K1861,IF($P1861=1,-$K1861,0))))</f>
        <v/>
      </c>
      <c r="R1861" s="6" t="str">
        <f>IF($K1861="","",IF($L1861="Crédit",$K1861,-$K1861))</f>
        <v/>
      </c>
      <c r="S1861" s="6" t="str">
        <f>IF($C1861="","",IFERROR(INDEX('Paramètres'!$H:$H,MATCH($C1861,'Paramètres'!$D:$D,0))&amp;"",""))</f>
        <v/>
      </c>
      <c r="T1861" s="6" t="str">
        <f>IF($K1861="","",IF($S1861="",0,IF(ISNUMBER(SEARCH("apport-exterieur",IFERROR(INDEX('Paramètres'!$N:$N,MATCH($D1861,'Paramètres'!$M:$M,0))&amp;"",""))),0,IF(OR(IFERROR(INDEX('Paramètres'!$I:$I,MATCH($C1861,'Paramètres'!$D:$D,0))&amp;"","")="Les deux",IFERROR(INDEX('Paramètres'!$I:$I,MATCH($C1861,'Paramètres'!$D:$D,0))&amp;"","")=IF($P1861=1,"Débit",$L1861)),-IF($P1861=1,-$K1861,$K1861),0))))</f>
        <v/>
      </c>
      <c r="U1861" s="6" t="str">
        <f>IF($K1861="","",IF(ISNUMBER(SEARCH("sortie-epargne",IFERROR(INDEX('Paramètres'!$N:$N,MATCH($D1861,'Paramètres'!$M:$M,0))&amp;"",""))),$K1861,0))</f>
        <v/>
      </c>
      <c r="V1861" s="6" t="str">
        <f>IF(AND($A1861&lt;&gt;"",$O1861=1,$L1861="Débit",N($Q1861)&gt;0,$A1861&gt;=Visualisation!$B$1,$A1861&lt;Visualisation!$D$1),MAX($V$1:V1860)+1,"")</f>
        <v/>
      </c>
    </row>
    <row r="1862" spans="1:22" x14ac:dyDescent="0.25">
      <c r="A1862" s="9"/>
      <c r="E1862" s="10"/>
      <c r="K1862" s="11" t="str">
        <f>IF($E1862="","",ROUND($E1862*IF(ISNA(MATCH($C1862,'Paramètres'!$D:$D,0)),1,IF(INDEX('Paramètres'!$J:$J,MATCH($C1862,'Paramètres'!$D:$D,0))="",1,INDEX('Paramètres'!$J:$J,MATCH($C1862,'Paramètres'!$D:$D,0)))),2))</f>
        <v/>
      </c>
      <c r="L1862" s="6" t="str">
        <f>IF($D1862="","",IF($F1862&lt;&gt;"",$F1862,IF(ISNA(MATCH($D1862,'Paramètres'!$M:$M,0)),"⚠ Type inconnu",IFERROR(INDEX('Paramètres'!$P:$P,MATCH($D1862,'Paramètres'!$M:$M,0))&amp;"",""))))</f>
        <v/>
      </c>
      <c r="M1862" s="6" t="str">
        <f>IF($D1862="","",IF(ISNA(MATCH($D1862,'Paramètres'!$M:$M,0)),"⚠ Type inconnu",IF($L1862="Crédit","",IFERROR(INDEX('Paramètres'!$O:$O,MATCH($D1862,'Paramètres'!$M:$M,0))&amp;"",""))))</f>
        <v/>
      </c>
      <c r="N1862" s="6" t="str">
        <f>IF($D1862="","",IFERROR(INDEX('Paramètres'!$Q:$Q,MATCH($D1862,'Paramètres'!$M:$M,0))&amp;"",""))</f>
        <v/>
      </c>
      <c r="O1862" s="6" t="str">
        <f>IF($A1862="","",IF(OR($J1862&lt;&gt;"x",$A1862&lt;=FinReleve),1,0))</f>
        <v/>
      </c>
      <c r="P1862" s="6" t="str">
        <f>IF($D1862="","",IF(AND($L1862="Crédit",OR(IFERROR(INDEX('Paramètres'!$O:$O,MATCH($D1862,'Paramètres'!$M:$M,0))&amp;"","")&lt;&gt;"",ISNUMBER(SEARCH("remboursement",IFERROR(INDEX('Paramètres'!$N:$N,MATCH($D1862,'Paramètres'!$M:$M,0))&amp;"",""))))),1,0))</f>
        <v/>
      </c>
      <c r="Q1862" s="6" t="str">
        <f>IF($K1862="","",IF(ISNUMBER(SEARCH("transfert-interne",IFERROR(INDEX('Paramètres'!$N:$N,MATCH($D1862,'Paramètres'!$M:$M,0))&amp;"",""))),0,IF($L1862="Débit",$K1862,IF($P1862=1,-$K1862,0))))</f>
        <v/>
      </c>
      <c r="R1862" s="6" t="str">
        <f>IF($K1862="","",IF($L1862="Crédit",$K1862,-$K1862))</f>
        <v/>
      </c>
      <c r="S1862" s="6" t="str">
        <f>IF($C1862="","",IFERROR(INDEX('Paramètres'!$H:$H,MATCH($C1862,'Paramètres'!$D:$D,0))&amp;"",""))</f>
        <v/>
      </c>
      <c r="T1862" s="6" t="str">
        <f>IF($K1862="","",IF($S1862="",0,IF(ISNUMBER(SEARCH("apport-exterieur",IFERROR(INDEX('Paramètres'!$N:$N,MATCH($D1862,'Paramètres'!$M:$M,0))&amp;"",""))),0,IF(OR(IFERROR(INDEX('Paramètres'!$I:$I,MATCH($C1862,'Paramètres'!$D:$D,0))&amp;"","")="Les deux",IFERROR(INDEX('Paramètres'!$I:$I,MATCH($C1862,'Paramètres'!$D:$D,0))&amp;"","")=IF($P1862=1,"Débit",$L1862)),-IF($P1862=1,-$K1862,$K1862),0))))</f>
        <v/>
      </c>
      <c r="U1862" s="6" t="str">
        <f>IF($K1862="","",IF(ISNUMBER(SEARCH("sortie-epargne",IFERROR(INDEX('Paramètres'!$N:$N,MATCH($D1862,'Paramètres'!$M:$M,0))&amp;"",""))),$K1862,0))</f>
        <v/>
      </c>
      <c r="V1862" s="6" t="str">
        <f>IF(AND($A1862&lt;&gt;"",$O1862=1,$L1862="Débit",N($Q1862)&gt;0,$A1862&gt;=Visualisation!$B$1,$A1862&lt;Visualisation!$D$1),MAX($V$1:V1861)+1,"")</f>
        <v/>
      </c>
    </row>
    <row r="1863" spans="1:22" x14ac:dyDescent="0.25">
      <c r="A1863" s="9"/>
      <c r="E1863" s="10"/>
      <c r="K1863" s="11" t="str">
        <f>IF($E1863="","",ROUND($E1863*IF(ISNA(MATCH($C1863,'Paramètres'!$D:$D,0)),1,IF(INDEX('Paramètres'!$J:$J,MATCH($C1863,'Paramètres'!$D:$D,0))="",1,INDEX('Paramètres'!$J:$J,MATCH($C1863,'Paramètres'!$D:$D,0)))),2))</f>
        <v/>
      </c>
      <c r="L1863" s="6" t="str">
        <f>IF($D1863="","",IF($F1863&lt;&gt;"",$F1863,IF(ISNA(MATCH($D1863,'Paramètres'!$M:$M,0)),"⚠ Type inconnu",IFERROR(INDEX('Paramètres'!$P:$P,MATCH($D1863,'Paramètres'!$M:$M,0))&amp;"",""))))</f>
        <v/>
      </c>
      <c r="M1863" s="6" t="str">
        <f>IF($D1863="","",IF(ISNA(MATCH($D1863,'Paramètres'!$M:$M,0)),"⚠ Type inconnu",IF($L1863="Crédit","",IFERROR(INDEX('Paramètres'!$O:$O,MATCH($D1863,'Paramètres'!$M:$M,0))&amp;"",""))))</f>
        <v/>
      </c>
      <c r="N1863" s="6" t="str">
        <f>IF($D1863="","",IFERROR(INDEX('Paramètres'!$Q:$Q,MATCH($D1863,'Paramètres'!$M:$M,0))&amp;"",""))</f>
        <v/>
      </c>
      <c r="O1863" s="6" t="str">
        <f>IF($A1863="","",IF(OR($J1863&lt;&gt;"x",$A1863&lt;=FinReleve),1,0))</f>
        <v/>
      </c>
      <c r="P1863" s="6" t="str">
        <f>IF($D1863="","",IF(AND($L1863="Crédit",OR(IFERROR(INDEX('Paramètres'!$O:$O,MATCH($D1863,'Paramètres'!$M:$M,0))&amp;"","")&lt;&gt;"",ISNUMBER(SEARCH("remboursement",IFERROR(INDEX('Paramètres'!$N:$N,MATCH($D1863,'Paramètres'!$M:$M,0))&amp;"",""))))),1,0))</f>
        <v/>
      </c>
      <c r="Q1863" s="6" t="str">
        <f>IF($K1863="","",IF(ISNUMBER(SEARCH("transfert-interne",IFERROR(INDEX('Paramètres'!$N:$N,MATCH($D1863,'Paramètres'!$M:$M,0))&amp;"",""))),0,IF($L1863="Débit",$K1863,IF($P1863=1,-$K1863,0))))</f>
        <v/>
      </c>
      <c r="R1863" s="6" t="str">
        <f>IF($K1863="","",IF($L1863="Crédit",$K1863,-$K1863))</f>
        <v/>
      </c>
      <c r="S1863" s="6" t="str">
        <f>IF($C1863="","",IFERROR(INDEX('Paramètres'!$H:$H,MATCH($C1863,'Paramètres'!$D:$D,0))&amp;"",""))</f>
        <v/>
      </c>
      <c r="T1863" s="6" t="str">
        <f>IF($K1863="","",IF($S1863="",0,IF(ISNUMBER(SEARCH("apport-exterieur",IFERROR(INDEX('Paramètres'!$N:$N,MATCH($D1863,'Paramètres'!$M:$M,0))&amp;"",""))),0,IF(OR(IFERROR(INDEX('Paramètres'!$I:$I,MATCH($C1863,'Paramètres'!$D:$D,0))&amp;"","")="Les deux",IFERROR(INDEX('Paramètres'!$I:$I,MATCH($C1863,'Paramètres'!$D:$D,0))&amp;"","")=IF($P1863=1,"Débit",$L1863)),-IF($P1863=1,-$K1863,$K1863),0))))</f>
        <v/>
      </c>
      <c r="U1863" s="6" t="str">
        <f>IF($K1863="","",IF(ISNUMBER(SEARCH("sortie-epargne",IFERROR(INDEX('Paramètres'!$N:$N,MATCH($D1863,'Paramètres'!$M:$M,0))&amp;"",""))),$K1863,0))</f>
        <v/>
      </c>
      <c r="V1863" s="6" t="str">
        <f>IF(AND($A1863&lt;&gt;"",$O1863=1,$L1863="Débit",N($Q1863)&gt;0,$A1863&gt;=Visualisation!$B$1,$A1863&lt;Visualisation!$D$1),MAX($V$1:V1862)+1,"")</f>
        <v/>
      </c>
    </row>
    <row r="1864" spans="1:22" x14ac:dyDescent="0.25">
      <c r="A1864" s="9"/>
      <c r="E1864" s="10"/>
      <c r="K1864" s="11" t="str">
        <f>IF($E1864="","",ROUND($E1864*IF(ISNA(MATCH($C1864,'Paramètres'!$D:$D,0)),1,IF(INDEX('Paramètres'!$J:$J,MATCH($C1864,'Paramètres'!$D:$D,0))="",1,INDEX('Paramètres'!$J:$J,MATCH($C1864,'Paramètres'!$D:$D,0)))),2))</f>
        <v/>
      </c>
      <c r="L1864" s="6" t="str">
        <f>IF($D1864="","",IF($F1864&lt;&gt;"",$F1864,IF(ISNA(MATCH($D1864,'Paramètres'!$M:$M,0)),"⚠ Type inconnu",IFERROR(INDEX('Paramètres'!$P:$P,MATCH($D1864,'Paramètres'!$M:$M,0))&amp;"",""))))</f>
        <v/>
      </c>
      <c r="M1864" s="6" t="str">
        <f>IF($D1864="","",IF(ISNA(MATCH($D1864,'Paramètres'!$M:$M,0)),"⚠ Type inconnu",IF($L1864="Crédit","",IFERROR(INDEX('Paramètres'!$O:$O,MATCH($D1864,'Paramètres'!$M:$M,0))&amp;"",""))))</f>
        <v/>
      </c>
      <c r="N1864" s="6" t="str">
        <f>IF($D1864="","",IFERROR(INDEX('Paramètres'!$Q:$Q,MATCH($D1864,'Paramètres'!$M:$M,0))&amp;"",""))</f>
        <v/>
      </c>
      <c r="O1864" s="6" t="str">
        <f>IF($A1864="","",IF(OR($J1864&lt;&gt;"x",$A1864&lt;=FinReleve),1,0))</f>
        <v/>
      </c>
      <c r="P1864" s="6" t="str">
        <f>IF($D1864="","",IF(AND($L1864="Crédit",OR(IFERROR(INDEX('Paramètres'!$O:$O,MATCH($D1864,'Paramètres'!$M:$M,0))&amp;"","")&lt;&gt;"",ISNUMBER(SEARCH("remboursement",IFERROR(INDEX('Paramètres'!$N:$N,MATCH($D1864,'Paramètres'!$M:$M,0))&amp;"",""))))),1,0))</f>
        <v/>
      </c>
      <c r="Q1864" s="6" t="str">
        <f>IF($K1864="","",IF(ISNUMBER(SEARCH("transfert-interne",IFERROR(INDEX('Paramètres'!$N:$N,MATCH($D1864,'Paramètres'!$M:$M,0))&amp;"",""))),0,IF($L1864="Débit",$K1864,IF($P1864=1,-$K1864,0))))</f>
        <v/>
      </c>
      <c r="R1864" s="6" t="str">
        <f>IF($K1864="","",IF($L1864="Crédit",$K1864,-$K1864))</f>
        <v/>
      </c>
      <c r="S1864" s="6" t="str">
        <f>IF($C1864="","",IFERROR(INDEX('Paramètres'!$H:$H,MATCH($C1864,'Paramètres'!$D:$D,0))&amp;"",""))</f>
        <v/>
      </c>
      <c r="T1864" s="6" t="str">
        <f>IF($K1864="","",IF($S1864="",0,IF(ISNUMBER(SEARCH("apport-exterieur",IFERROR(INDEX('Paramètres'!$N:$N,MATCH($D1864,'Paramètres'!$M:$M,0))&amp;"",""))),0,IF(OR(IFERROR(INDEX('Paramètres'!$I:$I,MATCH($C1864,'Paramètres'!$D:$D,0))&amp;"","")="Les deux",IFERROR(INDEX('Paramètres'!$I:$I,MATCH($C1864,'Paramètres'!$D:$D,0))&amp;"","")=IF($P1864=1,"Débit",$L1864)),-IF($P1864=1,-$K1864,$K1864),0))))</f>
        <v/>
      </c>
      <c r="U1864" s="6" t="str">
        <f>IF($K1864="","",IF(ISNUMBER(SEARCH("sortie-epargne",IFERROR(INDEX('Paramètres'!$N:$N,MATCH($D1864,'Paramètres'!$M:$M,0))&amp;"",""))),$K1864,0))</f>
        <v/>
      </c>
      <c r="V1864" s="6" t="str">
        <f>IF(AND($A1864&lt;&gt;"",$O1864=1,$L1864="Débit",N($Q1864)&gt;0,$A1864&gt;=Visualisation!$B$1,$A1864&lt;Visualisation!$D$1),MAX($V$1:V1863)+1,"")</f>
        <v/>
      </c>
    </row>
    <row r="1865" spans="1:22" x14ac:dyDescent="0.25">
      <c r="A1865" s="9"/>
      <c r="E1865" s="10"/>
      <c r="K1865" s="11" t="str">
        <f>IF($E1865="","",ROUND($E1865*IF(ISNA(MATCH($C1865,'Paramètres'!$D:$D,0)),1,IF(INDEX('Paramètres'!$J:$J,MATCH($C1865,'Paramètres'!$D:$D,0))="",1,INDEX('Paramètres'!$J:$J,MATCH($C1865,'Paramètres'!$D:$D,0)))),2))</f>
        <v/>
      </c>
      <c r="L1865" s="6" t="str">
        <f>IF($D1865="","",IF($F1865&lt;&gt;"",$F1865,IF(ISNA(MATCH($D1865,'Paramètres'!$M:$M,0)),"⚠ Type inconnu",IFERROR(INDEX('Paramètres'!$P:$P,MATCH($D1865,'Paramètres'!$M:$M,0))&amp;"",""))))</f>
        <v/>
      </c>
      <c r="M1865" s="6" t="str">
        <f>IF($D1865="","",IF(ISNA(MATCH($D1865,'Paramètres'!$M:$M,0)),"⚠ Type inconnu",IF($L1865="Crédit","",IFERROR(INDEX('Paramètres'!$O:$O,MATCH($D1865,'Paramètres'!$M:$M,0))&amp;"",""))))</f>
        <v/>
      </c>
      <c r="N1865" s="6" t="str">
        <f>IF($D1865="","",IFERROR(INDEX('Paramètres'!$Q:$Q,MATCH($D1865,'Paramètres'!$M:$M,0))&amp;"",""))</f>
        <v/>
      </c>
      <c r="O1865" s="6" t="str">
        <f>IF($A1865="","",IF(OR($J1865&lt;&gt;"x",$A1865&lt;=FinReleve),1,0))</f>
        <v/>
      </c>
      <c r="P1865" s="6" t="str">
        <f>IF($D1865="","",IF(AND($L1865="Crédit",OR(IFERROR(INDEX('Paramètres'!$O:$O,MATCH($D1865,'Paramètres'!$M:$M,0))&amp;"","")&lt;&gt;"",ISNUMBER(SEARCH("remboursement",IFERROR(INDEX('Paramètres'!$N:$N,MATCH($D1865,'Paramètres'!$M:$M,0))&amp;"",""))))),1,0))</f>
        <v/>
      </c>
      <c r="Q1865" s="6" t="str">
        <f>IF($K1865="","",IF(ISNUMBER(SEARCH("transfert-interne",IFERROR(INDEX('Paramètres'!$N:$N,MATCH($D1865,'Paramètres'!$M:$M,0))&amp;"",""))),0,IF($L1865="Débit",$K1865,IF($P1865=1,-$K1865,0))))</f>
        <v/>
      </c>
      <c r="R1865" s="6" t="str">
        <f>IF($K1865="","",IF($L1865="Crédit",$K1865,-$K1865))</f>
        <v/>
      </c>
      <c r="S1865" s="6" t="str">
        <f>IF($C1865="","",IFERROR(INDEX('Paramètres'!$H:$H,MATCH($C1865,'Paramètres'!$D:$D,0))&amp;"",""))</f>
        <v/>
      </c>
      <c r="T1865" s="6" t="str">
        <f>IF($K1865="","",IF($S1865="",0,IF(ISNUMBER(SEARCH("apport-exterieur",IFERROR(INDEX('Paramètres'!$N:$N,MATCH($D1865,'Paramètres'!$M:$M,0))&amp;"",""))),0,IF(OR(IFERROR(INDEX('Paramètres'!$I:$I,MATCH($C1865,'Paramètres'!$D:$D,0))&amp;"","")="Les deux",IFERROR(INDEX('Paramètres'!$I:$I,MATCH($C1865,'Paramètres'!$D:$D,0))&amp;"","")=IF($P1865=1,"Débit",$L1865)),-IF($P1865=1,-$K1865,$K1865),0))))</f>
        <v/>
      </c>
      <c r="U1865" s="6" t="str">
        <f>IF($K1865="","",IF(ISNUMBER(SEARCH("sortie-epargne",IFERROR(INDEX('Paramètres'!$N:$N,MATCH($D1865,'Paramètres'!$M:$M,0))&amp;"",""))),$K1865,0))</f>
        <v/>
      </c>
      <c r="V1865" s="6" t="str">
        <f>IF(AND($A1865&lt;&gt;"",$O1865=1,$L1865="Débit",N($Q1865)&gt;0,$A1865&gt;=Visualisation!$B$1,$A1865&lt;Visualisation!$D$1),MAX($V$1:V1864)+1,"")</f>
        <v/>
      </c>
    </row>
    <row r="1866" spans="1:22" x14ac:dyDescent="0.25">
      <c r="A1866" s="9"/>
      <c r="E1866" s="10"/>
      <c r="K1866" s="11" t="str">
        <f>IF($E1866="","",ROUND($E1866*IF(ISNA(MATCH($C1866,'Paramètres'!$D:$D,0)),1,IF(INDEX('Paramètres'!$J:$J,MATCH($C1866,'Paramètres'!$D:$D,0))="",1,INDEX('Paramètres'!$J:$J,MATCH($C1866,'Paramètres'!$D:$D,0)))),2))</f>
        <v/>
      </c>
      <c r="L1866" s="6" t="str">
        <f>IF($D1866="","",IF($F1866&lt;&gt;"",$F1866,IF(ISNA(MATCH($D1866,'Paramètres'!$M:$M,0)),"⚠ Type inconnu",IFERROR(INDEX('Paramètres'!$P:$P,MATCH($D1866,'Paramètres'!$M:$M,0))&amp;"",""))))</f>
        <v/>
      </c>
      <c r="M1866" s="6" t="str">
        <f>IF($D1866="","",IF(ISNA(MATCH($D1866,'Paramètres'!$M:$M,0)),"⚠ Type inconnu",IF($L1866="Crédit","",IFERROR(INDEX('Paramètres'!$O:$O,MATCH($D1866,'Paramètres'!$M:$M,0))&amp;"",""))))</f>
        <v/>
      </c>
      <c r="N1866" s="6" t="str">
        <f>IF($D1866="","",IFERROR(INDEX('Paramètres'!$Q:$Q,MATCH($D1866,'Paramètres'!$M:$M,0))&amp;"",""))</f>
        <v/>
      </c>
      <c r="O1866" s="6" t="str">
        <f>IF($A1866="","",IF(OR($J1866&lt;&gt;"x",$A1866&lt;=FinReleve),1,0))</f>
        <v/>
      </c>
      <c r="P1866" s="6" t="str">
        <f>IF($D1866="","",IF(AND($L1866="Crédit",OR(IFERROR(INDEX('Paramètres'!$O:$O,MATCH($D1866,'Paramètres'!$M:$M,0))&amp;"","")&lt;&gt;"",ISNUMBER(SEARCH("remboursement",IFERROR(INDEX('Paramètres'!$N:$N,MATCH($D1866,'Paramètres'!$M:$M,0))&amp;"",""))))),1,0))</f>
        <v/>
      </c>
      <c r="Q1866" s="6" t="str">
        <f>IF($K1866="","",IF(ISNUMBER(SEARCH("transfert-interne",IFERROR(INDEX('Paramètres'!$N:$N,MATCH($D1866,'Paramètres'!$M:$M,0))&amp;"",""))),0,IF($L1866="Débit",$K1866,IF($P1866=1,-$K1866,0))))</f>
        <v/>
      </c>
      <c r="R1866" s="6" t="str">
        <f>IF($K1866="","",IF($L1866="Crédit",$K1866,-$K1866))</f>
        <v/>
      </c>
      <c r="S1866" s="6" t="str">
        <f>IF($C1866="","",IFERROR(INDEX('Paramètres'!$H:$H,MATCH($C1866,'Paramètres'!$D:$D,0))&amp;"",""))</f>
        <v/>
      </c>
      <c r="T1866" s="6" t="str">
        <f>IF($K1866="","",IF($S1866="",0,IF(ISNUMBER(SEARCH("apport-exterieur",IFERROR(INDEX('Paramètres'!$N:$N,MATCH($D1866,'Paramètres'!$M:$M,0))&amp;"",""))),0,IF(OR(IFERROR(INDEX('Paramètres'!$I:$I,MATCH($C1866,'Paramètres'!$D:$D,0))&amp;"","")="Les deux",IFERROR(INDEX('Paramètres'!$I:$I,MATCH($C1866,'Paramètres'!$D:$D,0))&amp;"","")=IF($P1866=1,"Débit",$L1866)),-IF($P1866=1,-$K1866,$K1866),0))))</f>
        <v/>
      </c>
      <c r="U1866" s="6" t="str">
        <f>IF($K1866="","",IF(ISNUMBER(SEARCH("sortie-epargne",IFERROR(INDEX('Paramètres'!$N:$N,MATCH($D1866,'Paramètres'!$M:$M,0))&amp;"",""))),$K1866,0))</f>
        <v/>
      </c>
      <c r="V1866" s="6" t="str">
        <f>IF(AND($A1866&lt;&gt;"",$O1866=1,$L1866="Débit",N($Q1866)&gt;0,$A1866&gt;=Visualisation!$B$1,$A1866&lt;Visualisation!$D$1),MAX($V$1:V1865)+1,"")</f>
        <v/>
      </c>
    </row>
    <row r="1867" spans="1:22" x14ac:dyDescent="0.25">
      <c r="A1867" s="9"/>
      <c r="E1867" s="10"/>
      <c r="K1867" s="11" t="str">
        <f>IF($E1867="","",ROUND($E1867*IF(ISNA(MATCH($C1867,'Paramètres'!$D:$D,0)),1,IF(INDEX('Paramètres'!$J:$J,MATCH($C1867,'Paramètres'!$D:$D,0))="",1,INDEX('Paramètres'!$J:$J,MATCH($C1867,'Paramètres'!$D:$D,0)))),2))</f>
        <v/>
      </c>
      <c r="L1867" s="6" t="str">
        <f>IF($D1867="","",IF($F1867&lt;&gt;"",$F1867,IF(ISNA(MATCH($D1867,'Paramètres'!$M:$M,0)),"⚠ Type inconnu",IFERROR(INDEX('Paramètres'!$P:$P,MATCH($D1867,'Paramètres'!$M:$M,0))&amp;"",""))))</f>
        <v/>
      </c>
      <c r="M1867" s="6" t="str">
        <f>IF($D1867="","",IF(ISNA(MATCH($D1867,'Paramètres'!$M:$M,0)),"⚠ Type inconnu",IF($L1867="Crédit","",IFERROR(INDEX('Paramètres'!$O:$O,MATCH($D1867,'Paramètres'!$M:$M,0))&amp;"",""))))</f>
        <v/>
      </c>
      <c r="N1867" s="6" t="str">
        <f>IF($D1867="","",IFERROR(INDEX('Paramètres'!$Q:$Q,MATCH($D1867,'Paramètres'!$M:$M,0))&amp;"",""))</f>
        <v/>
      </c>
      <c r="O1867" s="6" t="str">
        <f>IF($A1867="","",IF(OR($J1867&lt;&gt;"x",$A1867&lt;=FinReleve),1,0))</f>
        <v/>
      </c>
      <c r="P1867" s="6" t="str">
        <f>IF($D1867="","",IF(AND($L1867="Crédit",OR(IFERROR(INDEX('Paramètres'!$O:$O,MATCH($D1867,'Paramètres'!$M:$M,0))&amp;"","")&lt;&gt;"",ISNUMBER(SEARCH("remboursement",IFERROR(INDEX('Paramètres'!$N:$N,MATCH($D1867,'Paramètres'!$M:$M,0))&amp;"",""))))),1,0))</f>
        <v/>
      </c>
      <c r="Q1867" s="6" t="str">
        <f>IF($K1867="","",IF(ISNUMBER(SEARCH("transfert-interne",IFERROR(INDEX('Paramètres'!$N:$N,MATCH($D1867,'Paramètres'!$M:$M,0))&amp;"",""))),0,IF($L1867="Débit",$K1867,IF($P1867=1,-$K1867,0))))</f>
        <v/>
      </c>
      <c r="R1867" s="6" t="str">
        <f>IF($K1867="","",IF($L1867="Crédit",$K1867,-$K1867))</f>
        <v/>
      </c>
      <c r="S1867" s="6" t="str">
        <f>IF($C1867="","",IFERROR(INDEX('Paramètres'!$H:$H,MATCH($C1867,'Paramètres'!$D:$D,0))&amp;"",""))</f>
        <v/>
      </c>
      <c r="T1867" s="6" t="str">
        <f>IF($K1867="","",IF($S1867="",0,IF(ISNUMBER(SEARCH("apport-exterieur",IFERROR(INDEX('Paramètres'!$N:$N,MATCH($D1867,'Paramètres'!$M:$M,0))&amp;"",""))),0,IF(OR(IFERROR(INDEX('Paramètres'!$I:$I,MATCH($C1867,'Paramètres'!$D:$D,0))&amp;"","")="Les deux",IFERROR(INDEX('Paramètres'!$I:$I,MATCH($C1867,'Paramètres'!$D:$D,0))&amp;"","")=IF($P1867=1,"Débit",$L1867)),-IF($P1867=1,-$K1867,$K1867),0))))</f>
        <v/>
      </c>
      <c r="U1867" s="6" t="str">
        <f>IF($K1867="","",IF(ISNUMBER(SEARCH("sortie-epargne",IFERROR(INDEX('Paramètres'!$N:$N,MATCH($D1867,'Paramètres'!$M:$M,0))&amp;"",""))),$K1867,0))</f>
        <v/>
      </c>
      <c r="V1867" s="6" t="str">
        <f>IF(AND($A1867&lt;&gt;"",$O1867=1,$L1867="Débit",N($Q1867)&gt;0,$A1867&gt;=Visualisation!$B$1,$A1867&lt;Visualisation!$D$1),MAX($V$1:V1866)+1,"")</f>
        <v/>
      </c>
    </row>
    <row r="1868" spans="1:22" x14ac:dyDescent="0.25">
      <c r="A1868" s="9"/>
      <c r="E1868" s="10"/>
      <c r="K1868" s="11" t="str">
        <f>IF($E1868="","",ROUND($E1868*IF(ISNA(MATCH($C1868,'Paramètres'!$D:$D,0)),1,IF(INDEX('Paramètres'!$J:$J,MATCH($C1868,'Paramètres'!$D:$D,0))="",1,INDEX('Paramètres'!$J:$J,MATCH($C1868,'Paramètres'!$D:$D,0)))),2))</f>
        <v/>
      </c>
      <c r="L1868" s="6" t="str">
        <f>IF($D1868="","",IF($F1868&lt;&gt;"",$F1868,IF(ISNA(MATCH($D1868,'Paramètres'!$M:$M,0)),"⚠ Type inconnu",IFERROR(INDEX('Paramètres'!$P:$P,MATCH($D1868,'Paramètres'!$M:$M,0))&amp;"",""))))</f>
        <v/>
      </c>
      <c r="M1868" s="6" t="str">
        <f>IF($D1868="","",IF(ISNA(MATCH($D1868,'Paramètres'!$M:$M,0)),"⚠ Type inconnu",IF($L1868="Crédit","",IFERROR(INDEX('Paramètres'!$O:$O,MATCH($D1868,'Paramètres'!$M:$M,0))&amp;"",""))))</f>
        <v/>
      </c>
      <c r="N1868" s="6" t="str">
        <f>IF($D1868="","",IFERROR(INDEX('Paramètres'!$Q:$Q,MATCH($D1868,'Paramètres'!$M:$M,0))&amp;"",""))</f>
        <v/>
      </c>
      <c r="O1868" s="6" t="str">
        <f>IF($A1868="","",IF(OR($J1868&lt;&gt;"x",$A1868&lt;=FinReleve),1,0))</f>
        <v/>
      </c>
      <c r="P1868" s="6" t="str">
        <f>IF($D1868="","",IF(AND($L1868="Crédit",OR(IFERROR(INDEX('Paramètres'!$O:$O,MATCH($D1868,'Paramètres'!$M:$M,0))&amp;"","")&lt;&gt;"",ISNUMBER(SEARCH("remboursement",IFERROR(INDEX('Paramètres'!$N:$N,MATCH($D1868,'Paramètres'!$M:$M,0))&amp;"",""))))),1,0))</f>
        <v/>
      </c>
      <c r="Q1868" s="6" t="str">
        <f>IF($K1868="","",IF(ISNUMBER(SEARCH("transfert-interne",IFERROR(INDEX('Paramètres'!$N:$N,MATCH($D1868,'Paramètres'!$M:$M,0))&amp;"",""))),0,IF($L1868="Débit",$K1868,IF($P1868=1,-$K1868,0))))</f>
        <v/>
      </c>
      <c r="R1868" s="6" t="str">
        <f>IF($K1868="","",IF($L1868="Crédit",$K1868,-$K1868))</f>
        <v/>
      </c>
      <c r="S1868" s="6" t="str">
        <f>IF($C1868="","",IFERROR(INDEX('Paramètres'!$H:$H,MATCH($C1868,'Paramètres'!$D:$D,0))&amp;"",""))</f>
        <v/>
      </c>
      <c r="T1868" s="6" t="str">
        <f>IF($K1868="","",IF($S1868="",0,IF(ISNUMBER(SEARCH("apport-exterieur",IFERROR(INDEX('Paramètres'!$N:$N,MATCH($D1868,'Paramètres'!$M:$M,0))&amp;"",""))),0,IF(OR(IFERROR(INDEX('Paramètres'!$I:$I,MATCH($C1868,'Paramètres'!$D:$D,0))&amp;"","")="Les deux",IFERROR(INDEX('Paramètres'!$I:$I,MATCH($C1868,'Paramètres'!$D:$D,0))&amp;"","")=IF($P1868=1,"Débit",$L1868)),-IF($P1868=1,-$K1868,$K1868),0))))</f>
        <v/>
      </c>
      <c r="U1868" s="6" t="str">
        <f>IF($K1868="","",IF(ISNUMBER(SEARCH("sortie-epargne",IFERROR(INDEX('Paramètres'!$N:$N,MATCH($D1868,'Paramètres'!$M:$M,0))&amp;"",""))),$K1868,0))</f>
        <v/>
      </c>
      <c r="V1868" s="6" t="str">
        <f>IF(AND($A1868&lt;&gt;"",$O1868=1,$L1868="Débit",N($Q1868)&gt;0,$A1868&gt;=Visualisation!$B$1,$A1868&lt;Visualisation!$D$1),MAX($V$1:V1867)+1,"")</f>
        <v/>
      </c>
    </row>
    <row r="1869" spans="1:22" x14ac:dyDescent="0.25">
      <c r="A1869" s="9"/>
      <c r="E1869" s="10"/>
      <c r="K1869" s="11" t="str">
        <f>IF($E1869="","",ROUND($E1869*IF(ISNA(MATCH($C1869,'Paramètres'!$D:$D,0)),1,IF(INDEX('Paramètres'!$J:$J,MATCH($C1869,'Paramètres'!$D:$D,0))="",1,INDEX('Paramètres'!$J:$J,MATCH($C1869,'Paramètres'!$D:$D,0)))),2))</f>
        <v/>
      </c>
      <c r="L1869" s="6" t="str">
        <f>IF($D1869="","",IF($F1869&lt;&gt;"",$F1869,IF(ISNA(MATCH($D1869,'Paramètres'!$M:$M,0)),"⚠ Type inconnu",IFERROR(INDEX('Paramètres'!$P:$P,MATCH($D1869,'Paramètres'!$M:$M,0))&amp;"",""))))</f>
        <v/>
      </c>
      <c r="M1869" s="6" t="str">
        <f>IF($D1869="","",IF(ISNA(MATCH($D1869,'Paramètres'!$M:$M,0)),"⚠ Type inconnu",IF($L1869="Crédit","",IFERROR(INDEX('Paramètres'!$O:$O,MATCH($D1869,'Paramètres'!$M:$M,0))&amp;"",""))))</f>
        <v/>
      </c>
      <c r="N1869" s="6" t="str">
        <f>IF($D1869="","",IFERROR(INDEX('Paramètres'!$Q:$Q,MATCH($D1869,'Paramètres'!$M:$M,0))&amp;"",""))</f>
        <v/>
      </c>
      <c r="O1869" s="6" t="str">
        <f>IF($A1869="","",IF(OR($J1869&lt;&gt;"x",$A1869&lt;=FinReleve),1,0))</f>
        <v/>
      </c>
      <c r="P1869" s="6" t="str">
        <f>IF($D1869="","",IF(AND($L1869="Crédit",OR(IFERROR(INDEX('Paramètres'!$O:$O,MATCH($D1869,'Paramètres'!$M:$M,0))&amp;"","")&lt;&gt;"",ISNUMBER(SEARCH("remboursement",IFERROR(INDEX('Paramètres'!$N:$N,MATCH($D1869,'Paramètres'!$M:$M,0))&amp;"",""))))),1,0))</f>
        <v/>
      </c>
      <c r="Q1869" s="6" t="str">
        <f>IF($K1869="","",IF(ISNUMBER(SEARCH("transfert-interne",IFERROR(INDEX('Paramètres'!$N:$N,MATCH($D1869,'Paramètres'!$M:$M,0))&amp;"",""))),0,IF($L1869="Débit",$K1869,IF($P1869=1,-$K1869,0))))</f>
        <v/>
      </c>
      <c r="R1869" s="6" t="str">
        <f>IF($K1869="","",IF($L1869="Crédit",$K1869,-$K1869))</f>
        <v/>
      </c>
      <c r="S1869" s="6" t="str">
        <f>IF($C1869="","",IFERROR(INDEX('Paramètres'!$H:$H,MATCH($C1869,'Paramètres'!$D:$D,0))&amp;"",""))</f>
        <v/>
      </c>
      <c r="T1869" s="6" t="str">
        <f>IF($K1869="","",IF($S1869="",0,IF(ISNUMBER(SEARCH("apport-exterieur",IFERROR(INDEX('Paramètres'!$N:$N,MATCH($D1869,'Paramètres'!$M:$M,0))&amp;"",""))),0,IF(OR(IFERROR(INDEX('Paramètres'!$I:$I,MATCH($C1869,'Paramètres'!$D:$D,0))&amp;"","")="Les deux",IFERROR(INDEX('Paramètres'!$I:$I,MATCH($C1869,'Paramètres'!$D:$D,0))&amp;"","")=IF($P1869=1,"Débit",$L1869)),-IF($P1869=1,-$K1869,$K1869),0))))</f>
        <v/>
      </c>
      <c r="U1869" s="6" t="str">
        <f>IF($K1869="","",IF(ISNUMBER(SEARCH("sortie-epargne",IFERROR(INDEX('Paramètres'!$N:$N,MATCH($D1869,'Paramètres'!$M:$M,0))&amp;"",""))),$K1869,0))</f>
        <v/>
      </c>
      <c r="V1869" s="6" t="str">
        <f>IF(AND($A1869&lt;&gt;"",$O1869=1,$L1869="Débit",N($Q1869)&gt;0,$A1869&gt;=Visualisation!$B$1,$A1869&lt;Visualisation!$D$1),MAX($V$1:V1868)+1,"")</f>
        <v/>
      </c>
    </row>
    <row r="1870" spans="1:22" x14ac:dyDescent="0.25">
      <c r="A1870" s="9"/>
      <c r="E1870" s="10"/>
      <c r="K1870" s="11" t="str">
        <f>IF($E1870="","",ROUND($E1870*IF(ISNA(MATCH($C1870,'Paramètres'!$D:$D,0)),1,IF(INDEX('Paramètres'!$J:$J,MATCH($C1870,'Paramètres'!$D:$D,0))="",1,INDEX('Paramètres'!$J:$J,MATCH($C1870,'Paramètres'!$D:$D,0)))),2))</f>
        <v/>
      </c>
      <c r="L1870" s="6" t="str">
        <f>IF($D1870="","",IF($F1870&lt;&gt;"",$F1870,IF(ISNA(MATCH($D1870,'Paramètres'!$M:$M,0)),"⚠ Type inconnu",IFERROR(INDEX('Paramètres'!$P:$P,MATCH($D1870,'Paramètres'!$M:$M,0))&amp;"",""))))</f>
        <v/>
      </c>
      <c r="M1870" s="6" t="str">
        <f>IF($D1870="","",IF(ISNA(MATCH($D1870,'Paramètres'!$M:$M,0)),"⚠ Type inconnu",IF($L1870="Crédit","",IFERROR(INDEX('Paramètres'!$O:$O,MATCH($D1870,'Paramètres'!$M:$M,0))&amp;"",""))))</f>
        <v/>
      </c>
      <c r="N1870" s="6" t="str">
        <f>IF($D1870="","",IFERROR(INDEX('Paramètres'!$Q:$Q,MATCH($D1870,'Paramètres'!$M:$M,0))&amp;"",""))</f>
        <v/>
      </c>
      <c r="O1870" s="6" t="str">
        <f>IF($A1870="","",IF(OR($J1870&lt;&gt;"x",$A1870&lt;=FinReleve),1,0))</f>
        <v/>
      </c>
      <c r="P1870" s="6" t="str">
        <f>IF($D1870="","",IF(AND($L1870="Crédit",OR(IFERROR(INDEX('Paramètres'!$O:$O,MATCH($D1870,'Paramètres'!$M:$M,0))&amp;"","")&lt;&gt;"",ISNUMBER(SEARCH("remboursement",IFERROR(INDEX('Paramètres'!$N:$N,MATCH($D1870,'Paramètres'!$M:$M,0))&amp;"",""))))),1,0))</f>
        <v/>
      </c>
      <c r="Q1870" s="6" t="str">
        <f>IF($K1870="","",IF(ISNUMBER(SEARCH("transfert-interne",IFERROR(INDEX('Paramètres'!$N:$N,MATCH($D1870,'Paramètres'!$M:$M,0))&amp;"",""))),0,IF($L1870="Débit",$K1870,IF($P1870=1,-$K1870,0))))</f>
        <v/>
      </c>
      <c r="R1870" s="6" t="str">
        <f>IF($K1870="","",IF($L1870="Crédit",$K1870,-$K1870))</f>
        <v/>
      </c>
      <c r="S1870" s="6" t="str">
        <f>IF($C1870="","",IFERROR(INDEX('Paramètres'!$H:$H,MATCH($C1870,'Paramètres'!$D:$D,0))&amp;"",""))</f>
        <v/>
      </c>
      <c r="T1870" s="6" t="str">
        <f>IF($K1870="","",IF($S1870="",0,IF(ISNUMBER(SEARCH("apport-exterieur",IFERROR(INDEX('Paramètres'!$N:$N,MATCH($D1870,'Paramètres'!$M:$M,0))&amp;"",""))),0,IF(OR(IFERROR(INDEX('Paramètres'!$I:$I,MATCH($C1870,'Paramètres'!$D:$D,0))&amp;"","")="Les deux",IFERROR(INDEX('Paramètres'!$I:$I,MATCH($C1870,'Paramètres'!$D:$D,0))&amp;"","")=IF($P1870=1,"Débit",$L1870)),-IF($P1870=1,-$K1870,$K1870),0))))</f>
        <v/>
      </c>
      <c r="U1870" s="6" t="str">
        <f>IF($K1870="","",IF(ISNUMBER(SEARCH("sortie-epargne",IFERROR(INDEX('Paramètres'!$N:$N,MATCH($D1870,'Paramètres'!$M:$M,0))&amp;"",""))),$K1870,0))</f>
        <v/>
      </c>
      <c r="V1870" s="6" t="str">
        <f>IF(AND($A1870&lt;&gt;"",$O1870=1,$L1870="Débit",N($Q1870)&gt;0,$A1870&gt;=Visualisation!$B$1,$A1870&lt;Visualisation!$D$1),MAX($V$1:V1869)+1,"")</f>
        <v/>
      </c>
    </row>
    <row r="1871" spans="1:22" x14ac:dyDescent="0.25">
      <c r="A1871" s="9"/>
      <c r="E1871" s="10"/>
      <c r="K1871" s="11" t="str">
        <f>IF($E1871="","",ROUND($E1871*IF(ISNA(MATCH($C1871,'Paramètres'!$D:$D,0)),1,IF(INDEX('Paramètres'!$J:$J,MATCH($C1871,'Paramètres'!$D:$D,0))="",1,INDEX('Paramètres'!$J:$J,MATCH($C1871,'Paramètres'!$D:$D,0)))),2))</f>
        <v/>
      </c>
      <c r="L1871" s="6" t="str">
        <f>IF($D1871="","",IF($F1871&lt;&gt;"",$F1871,IF(ISNA(MATCH($D1871,'Paramètres'!$M:$M,0)),"⚠ Type inconnu",IFERROR(INDEX('Paramètres'!$P:$P,MATCH($D1871,'Paramètres'!$M:$M,0))&amp;"",""))))</f>
        <v/>
      </c>
      <c r="M1871" s="6" t="str">
        <f>IF($D1871="","",IF(ISNA(MATCH($D1871,'Paramètres'!$M:$M,0)),"⚠ Type inconnu",IF($L1871="Crédit","",IFERROR(INDEX('Paramètres'!$O:$O,MATCH($D1871,'Paramètres'!$M:$M,0))&amp;"",""))))</f>
        <v/>
      </c>
      <c r="N1871" s="6" t="str">
        <f>IF($D1871="","",IFERROR(INDEX('Paramètres'!$Q:$Q,MATCH($D1871,'Paramètres'!$M:$M,0))&amp;"",""))</f>
        <v/>
      </c>
      <c r="O1871" s="6" t="str">
        <f>IF($A1871="","",IF(OR($J1871&lt;&gt;"x",$A1871&lt;=FinReleve),1,0))</f>
        <v/>
      </c>
      <c r="P1871" s="6" t="str">
        <f>IF($D1871="","",IF(AND($L1871="Crédit",OR(IFERROR(INDEX('Paramètres'!$O:$O,MATCH($D1871,'Paramètres'!$M:$M,0))&amp;"","")&lt;&gt;"",ISNUMBER(SEARCH("remboursement",IFERROR(INDEX('Paramètres'!$N:$N,MATCH($D1871,'Paramètres'!$M:$M,0))&amp;"",""))))),1,0))</f>
        <v/>
      </c>
      <c r="Q1871" s="6" t="str">
        <f>IF($K1871="","",IF(ISNUMBER(SEARCH("transfert-interne",IFERROR(INDEX('Paramètres'!$N:$N,MATCH($D1871,'Paramètres'!$M:$M,0))&amp;"",""))),0,IF($L1871="Débit",$K1871,IF($P1871=1,-$K1871,0))))</f>
        <v/>
      </c>
      <c r="R1871" s="6" t="str">
        <f>IF($K1871="","",IF($L1871="Crédit",$K1871,-$K1871))</f>
        <v/>
      </c>
      <c r="S1871" s="6" t="str">
        <f>IF($C1871="","",IFERROR(INDEX('Paramètres'!$H:$H,MATCH($C1871,'Paramètres'!$D:$D,0))&amp;"",""))</f>
        <v/>
      </c>
      <c r="T1871" s="6" t="str">
        <f>IF($K1871="","",IF($S1871="",0,IF(ISNUMBER(SEARCH("apport-exterieur",IFERROR(INDEX('Paramètres'!$N:$N,MATCH($D1871,'Paramètres'!$M:$M,0))&amp;"",""))),0,IF(OR(IFERROR(INDEX('Paramètres'!$I:$I,MATCH($C1871,'Paramètres'!$D:$D,0))&amp;"","")="Les deux",IFERROR(INDEX('Paramètres'!$I:$I,MATCH($C1871,'Paramètres'!$D:$D,0))&amp;"","")=IF($P1871=1,"Débit",$L1871)),-IF($P1871=1,-$K1871,$K1871),0))))</f>
        <v/>
      </c>
      <c r="U1871" s="6" t="str">
        <f>IF($K1871="","",IF(ISNUMBER(SEARCH("sortie-epargne",IFERROR(INDEX('Paramètres'!$N:$N,MATCH($D1871,'Paramètres'!$M:$M,0))&amp;"",""))),$K1871,0))</f>
        <v/>
      </c>
      <c r="V1871" s="6" t="str">
        <f>IF(AND($A1871&lt;&gt;"",$O1871=1,$L1871="Débit",N($Q1871)&gt;0,$A1871&gt;=Visualisation!$B$1,$A1871&lt;Visualisation!$D$1),MAX($V$1:V1870)+1,"")</f>
        <v/>
      </c>
    </row>
    <row r="1872" spans="1:22" x14ac:dyDescent="0.25">
      <c r="A1872" s="9"/>
      <c r="E1872" s="10"/>
      <c r="K1872" s="11" t="str">
        <f>IF($E1872="","",ROUND($E1872*IF(ISNA(MATCH($C1872,'Paramètres'!$D:$D,0)),1,IF(INDEX('Paramètres'!$J:$J,MATCH($C1872,'Paramètres'!$D:$D,0))="",1,INDEX('Paramètres'!$J:$J,MATCH($C1872,'Paramètres'!$D:$D,0)))),2))</f>
        <v/>
      </c>
      <c r="L1872" s="6" t="str">
        <f>IF($D1872="","",IF($F1872&lt;&gt;"",$F1872,IF(ISNA(MATCH($D1872,'Paramètres'!$M:$M,0)),"⚠ Type inconnu",IFERROR(INDEX('Paramètres'!$P:$P,MATCH($D1872,'Paramètres'!$M:$M,0))&amp;"",""))))</f>
        <v/>
      </c>
      <c r="M1872" s="6" t="str">
        <f>IF($D1872="","",IF(ISNA(MATCH($D1872,'Paramètres'!$M:$M,0)),"⚠ Type inconnu",IF($L1872="Crédit","",IFERROR(INDEX('Paramètres'!$O:$O,MATCH($D1872,'Paramètres'!$M:$M,0))&amp;"",""))))</f>
        <v/>
      </c>
      <c r="N1872" s="6" t="str">
        <f>IF($D1872="","",IFERROR(INDEX('Paramètres'!$Q:$Q,MATCH($D1872,'Paramètres'!$M:$M,0))&amp;"",""))</f>
        <v/>
      </c>
      <c r="O1872" s="6" t="str">
        <f>IF($A1872="","",IF(OR($J1872&lt;&gt;"x",$A1872&lt;=FinReleve),1,0))</f>
        <v/>
      </c>
      <c r="P1872" s="6" t="str">
        <f>IF($D1872="","",IF(AND($L1872="Crédit",OR(IFERROR(INDEX('Paramètres'!$O:$O,MATCH($D1872,'Paramètres'!$M:$M,0))&amp;"","")&lt;&gt;"",ISNUMBER(SEARCH("remboursement",IFERROR(INDEX('Paramètres'!$N:$N,MATCH($D1872,'Paramètres'!$M:$M,0))&amp;"",""))))),1,0))</f>
        <v/>
      </c>
      <c r="Q1872" s="6" t="str">
        <f>IF($K1872="","",IF(ISNUMBER(SEARCH("transfert-interne",IFERROR(INDEX('Paramètres'!$N:$N,MATCH($D1872,'Paramètres'!$M:$M,0))&amp;"",""))),0,IF($L1872="Débit",$K1872,IF($P1872=1,-$K1872,0))))</f>
        <v/>
      </c>
      <c r="R1872" s="6" t="str">
        <f>IF($K1872="","",IF($L1872="Crédit",$K1872,-$K1872))</f>
        <v/>
      </c>
      <c r="S1872" s="6" t="str">
        <f>IF($C1872="","",IFERROR(INDEX('Paramètres'!$H:$H,MATCH($C1872,'Paramètres'!$D:$D,0))&amp;"",""))</f>
        <v/>
      </c>
      <c r="T1872" s="6" t="str">
        <f>IF($K1872="","",IF($S1872="",0,IF(ISNUMBER(SEARCH("apport-exterieur",IFERROR(INDEX('Paramètres'!$N:$N,MATCH($D1872,'Paramètres'!$M:$M,0))&amp;"",""))),0,IF(OR(IFERROR(INDEX('Paramètres'!$I:$I,MATCH($C1872,'Paramètres'!$D:$D,0))&amp;"","")="Les deux",IFERROR(INDEX('Paramètres'!$I:$I,MATCH($C1872,'Paramètres'!$D:$D,0))&amp;"","")=IF($P1872=1,"Débit",$L1872)),-IF($P1872=1,-$K1872,$K1872),0))))</f>
        <v/>
      </c>
      <c r="U1872" s="6" t="str">
        <f>IF($K1872="","",IF(ISNUMBER(SEARCH("sortie-epargne",IFERROR(INDEX('Paramètres'!$N:$N,MATCH($D1872,'Paramètres'!$M:$M,0))&amp;"",""))),$K1872,0))</f>
        <v/>
      </c>
      <c r="V1872" s="6" t="str">
        <f>IF(AND($A1872&lt;&gt;"",$O1872=1,$L1872="Débit",N($Q1872)&gt;0,$A1872&gt;=Visualisation!$B$1,$A1872&lt;Visualisation!$D$1),MAX($V$1:V1871)+1,"")</f>
        <v/>
      </c>
    </row>
    <row r="1873" spans="1:22" x14ac:dyDescent="0.25">
      <c r="A1873" s="9"/>
      <c r="E1873" s="10"/>
      <c r="K1873" s="11" t="str">
        <f>IF($E1873="","",ROUND($E1873*IF(ISNA(MATCH($C1873,'Paramètres'!$D:$D,0)),1,IF(INDEX('Paramètres'!$J:$J,MATCH($C1873,'Paramètres'!$D:$D,0))="",1,INDEX('Paramètres'!$J:$J,MATCH($C1873,'Paramètres'!$D:$D,0)))),2))</f>
        <v/>
      </c>
      <c r="L1873" s="6" t="str">
        <f>IF($D1873="","",IF($F1873&lt;&gt;"",$F1873,IF(ISNA(MATCH($D1873,'Paramètres'!$M:$M,0)),"⚠ Type inconnu",IFERROR(INDEX('Paramètres'!$P:$P,MATCH($D1873,'Paramètres'!$M:$M,0))&amp;"",""))))</f>
        <v/>
      </c>
      <c r="M1873" s="6" t="str">
        <f>IF($D1873="","",IF(ISNA(MATCH($D1873,'Paramètres'!$M:$M,0)),"⚠ Type inconnu",IF($L1873="Crédit","",IFERROR(INDEX('Paramètres'!$O:$O,MATCH($D1873,'Paramètres'!$M:$M,0))&amp;"",""))))</f>
        <v/>
      </c>
      <c r="N1873" s="6" t="str">
        <f>IF($D1873="","",IFERROR(INDEX('Paramètres'!$Q:$Q,MATCH($D1873,'Paramètres'!$M:$M,0))&amp;"",""))</f>
        <v/>
      </c>
      <c r="O1873" s="6" t="str">
        <f>IF($A1873="","",IF(OR($J1873&lt;&gt;"x",$A1873&lt;=FinReleve),1,0))</f>
        <v/>
      </c>
      <c r="P1873" s="6" t="str">
        <f>IF($D1873="","",IF(AND($L1873="Crédit",OR(IFERROR(INDEX('Paramètres'!$O:$O,MATCH($D1873,'Paramètres'!$M:$M,0))&amp;"","")&lt;&gt;"",ISNUMBER(SEARCH("remboursement",IFERROR(INDEX('Paramètres'!$N:$N,MATCH($D1873,'Paramètres'!$M:$M,0))&amp;"",""))))),1,0))</f>
        <v/>
      </c>
      <c r="Q1873" s="6" t="str">
        <f>IF($K1873="","",IF(ISNUMBER(SEARCH("transfert-interne",IFERROR(INDEX('Paramètres'!$N:$N,MATCH($D1873,'Paramètres'!$M:$M,0))&amp;"",""))),0,IF($L1873="Débit",$K1873,IF($P1873=1,-$K1873,0))))</f>
        <v/>
      </c>
      <c r="R1873" s="6" t="str">
        <f>IF($K1873="","",IF($L1873="Crédit",$K1873,-$K1873))</f>
        <v/>
      </c>
      <c r="S1873" s="6" t="str">
        <f>IF($C1873="","",IFERROR(INDEX('Paramètres'!$H:$H,MATCH($C1873,'Paramètres'!$D:$D,0))&amp;"",""))</f>
        <v/>
      </c>
      <c r="T1873" s="6" t="str">
        <f>IF($K1873="","",IF($S1873="",0,IF(ISNUMBER(SEARCH("apport-exterieur",IFERROR(INDEX('Paramètres'!$N:$N,MATCH($D1873,'Paramètres'!$M:$M,0))&amp;"",""))),0,IF(OR(IFERROR(INDEX('Paramètres'!$I:$I,MATCH($C1873,'Paramètres'!$D:$D,0))&amp;"","")="Les deux",IFERROR(INDEX('Paramètres'!$I:$I,MATCH($C1873,'Paramètres'!$D:$D,0))&amp;"","")=IF($P1873=1,"Débit",$L1873)),-IF($P1873=1,-$K1873,$K1873),0))))</f>
        <v/>
      </c>
      <c r="U1873" s="6" t="str">
        <f>IF($K1873="","",IF(ISNUMBER(SEARCH("sortie-epargne",IFERROR(INDEX('Paramètres'!$N:$N,MATCH($D1873,'Paramètres'!$M:$M,0))&amp;"",""))),$K1873,0))</f>
        <v/>
      </c>
      <c r="V1873" s="6" t="str">
        <f>IF(AND($A1873&lt;&gt;"",$O1873=1,$L1873="Débit",N($Q1873)&gt;0,$A1873&gt;=Visualisation!$B$1,$A1873&lt;Visualisation!$D$1),MAX($V$1:V1872)+1,"")</f>
        <v/>
      </c>
    </row>
    <row r="1874" spans="1:22" x14ac:dyDescent="0.25">
      <c r="A1874" s="9"/>
      <c r="E1874" s="10"/>
      <c r="K1874" s="11" t="str">
        <f>IF($E1874="","",ROUND($E1874*IF(ISNA(MATCH($C1874,'Paramètres'!$D:$D,0)),1,IF(INDEX('Paramètres'!$J:$J,MATCH($C1874,'Paramètres'!$D:$D,0))="",1,INDEX('Paramètres'!$J:$J,MATCH($C1874,'Paramètres'!$D:$D,0)))),2))</f>
        <v/>
      </c>
      <c r="L1874" s="6" t="str">
        <f>IF($D1874="","",IF($F1874&lt;&gt;"",$F1874,IF(ISNA(MATCH($D1874,'Paramètres'!$M:$M,0)),"⚠ Type inconnu",IFERROR(INDEX('Paramètres'!$P:$P,MATCH($D1874,'Paramètres'!$M:$M,0))&amp;"",""))))</f>
        <v/>
      </c>
      <c r="M1874" s="6" t="str">
        <f>IF($D1874="","",IF(ISNA(MATCH($D1874,'Paramètres'!$M:$M,0)),"⚠ Type inconnu",IF($L1874="Crédit","",IFERROR(INDEX('Paramètres'!$O:$O,MATCH($D1874,'Paramètres'!$M:$M,0))&amp;"",""))))</f>
        <v/>
      </c>
      <c r="N1874" s="6" t="str">
        <f>IF($D1874="","",IFERROR(INDEX('Paramètres'!$Q:$Q,MATCH($D1874,'Paramètres'!$M:$M,0))&amp;"",""))</f>
        <v/>
      </c>
      <c r="O1874" s="6" t="str">
        <f>IF($A1874="","",IF(OR($J1874&lt;&gt;"x",$A1874&lt;=FinReleve),1,0))</f>
        <v/>
      </c>
      <c r="P1874" s="6" t="str">
        <f>IF($D1874="","",IF(AND($L1874="Crédit",OR(IFERROR(INDEX('Paramètres'!$O:$O,MATCH($D1874,'Paramètres'!$M:$M,0))&amp;"","")&lt;&gt;"",ISNUMBER(SEARCH("remboursement",IFERROR(INDEX('Paramètres'!$N:$N,MATCH($D1874,'Paramètres'!$M:$M,0))&amp;"",""))))),1,0))</f>
        <v/>
      </c>
      <c r="Q1874" s="6" t="str">
        <f>IF($K1874="","",IF(ISNUMBER(SEARCH("transfert-interne",IFERROR(INDEX('Paramètres'!$N:$N,MATCH($D1874,'Paramètres'!$M:$M,0))&amp;"",""))),0,IF($L1874="Débit",$K1874,IF($P1874=1,-$K1874,0))))</f>
        <v/>
      </c>
      <c r="R1874" s="6" t="str">
        <f>IF($K1874="","",IF($L1874="Crédit",$K1874,-$K1874))</f>
        <v/>
      </c>
      <c r="S1874" s="6" t="str">
        <f>IF($C1874="","",IFERROR(INDEX('Paramètres'!$H:$H,MATCH($C1874,'Paramètres'!$D:$D,0))&amp;"",""))</f>
        <v/>
      </c>
      <c r="T1874" s="6" t="str">
        <f>IF($K1874="","",IF($S1874="",0,IF(ISNUMBER(SEARCH("apport-exterieur",IFERROR(INDEX('Paramètres'!$N:$N,MATCH($D1874,'Paramètres'!$M:$M,0))&amp;"",""))),0,IF(OR(IFERROR(INDEX('Paramètres'!$I:$I,MATCH($C1874,'Paramètres'!$D:$D,0))&amp;"","")="Les deux",IFERROR(INDEX('Paramètres'!$I:$I,MATCH($C1874,'Paramètres'!$D:$D,0))&amp;"","")=IF($P1874=1,"Débit",$L1874)),-IF($P1874=1,-$K1874,$K1874),0))))</f>
        <v/>
      </c>
      <c r="U1874" s="6" t="str">
        <f>IF($K1874="","",IF(ISNUMBER(SEARCH("sortie-epargne",IFERROR(INDEX('Paramètres'!$N:$N,MATCH($D1874,'Paramètres'!$M:$M,0))&amp;"",""))),$K1874,0))</f>
        <v/>
      </c>
      <c r="V1874" s="6" t="str">
        <f>IF(AND($A1874&lt;&gt;"",$O1874=1,$L1874="Débit",N($Q1874)&gt;0,$A1874&gt;=Visualisation!$B$1,$A1874&lt;Visualisation!$D$1),MAX($V$1:V1873)+1,"")</f>
        <v/>
      </c>
    </row>
    <row r="1875" spans="1:22" x14ac:dyDescent="0.25">
      <c r="A1875" s="9"/>
      <c r="E1875" s="10"/>
      <c r="K1875" s="11" t="str">
        <f>IF($E1875="","",ROUND($E1875*IF(ISNA(MATCH($C1875,'Paramètres'!$D:$D,0)),1,IF(INDEX('Paramètres'!$J:$J,MATCH($C1875,'Paramètres'!$D:$D,0))="",1,INDEX('Paramètres'!$J:$J,MATCH($C1875,'Paramètres'!$D:$D,0)))),2))</f>
        <v/>
      </c>
      <c r="L1875" s="6" t="str">
        <f>IF($D1875="","",IF($F1875&lt;&gt;"",$F1875,IF(ISNA(MATCH($D1875,'Paramètres'!$M:$M,0)),"⚠ Type inconnu",IFERROR(INDEX('Paramètres'!$P:$P,MATCH($D1875,'Paramètres'!$M:$M,0))&amp;"",""))))</f>
        <v/>
      </c>
      <c r="M1875" s="6" t="str">
        <f>IF($D1875="","",IF(ISNA(MATCH($D1875,'Paramètres'!$M:$M,0)),"⚠ Type inconnu",IF($L1875="Crédit","",IFERROR(INDEX('Paramètres'!$O:$O,MATCH($D1875,'Paramètres'!$M:$M,0))&amp;"",""))))</f>
        <v/>
      </c>
      <c r="N1875" s="6" t="str">
        <f>IF($D1875="","",IFERROR(INDEX('Paramètres'!$Q:$Q,MATCH($D1875,'Paramètres'!$M:$M,0))&amp;"",""))</f>
        <v/>
      </c>
      <c r="O1875" s="6" t="str">
        <f>IF($A1875="","",IF(OR($J1875&lt;&gt;"x",$A1875&lt;=FinReleve),1,0))</f>
        <v/>
      </c>
      <c r="P1875" s="6" t="str">
        <f>IF($D1875="","",IF(AND($L1875="Crédit",OR(IFERROR(INDEX('Paramètres'!$O:$O,MATCH($D1875,'Paramètres'!$M:$M,0))&amp;"","")&lt;&gt;"",ISNUMBER(SEARCH("remboursement",IFERROR(INDEX('Paramètres'!$N:$N,MATCH($D1875,'Paramètres'!$M:$M,0))&amp;"",""))))),1,0))</f>
        <v/>
      </c>
      <c r="Q1875" s="6" t="str">
        <f>IF($K1875="","",IF(ISNUMBER(SEARCH("transfert-interne",IFERROR(INDEX('Paramètres'!$N:$N,MATCH($D1875,'Paramètres'!$M:$M,0))&amp;"",""))),0,IF($L1875="Débit",$K1875,IF($P1875=1,-$K1875,0))))</f>
        <v/>
      </c>
      <c r="R1875" s="6" t="str">
        <f>IF($K1875="","",IF($L1875="Crédit",$K1875,-$K1875))</f>
        <v/>
      </c>
      <c r="S1875" s="6" t="str">
        <f>IF($C1875="","",IFERROR(INDEX('Paramètres'!$H:$H,MATCH($C1875,'Paramètres'!$D:$D,0))&amp;"",""))</f>
        <v/>
      </c>
      <c r="T1875" s="6" t="str">
        <f>IF($K1875="","",IF($S1875="",0,IF(ISNUMBER(SEARCH("apport-exterieur",IFERROR(INDEX('Paramètres'!$N:$N,MATCH($D1875,'Paramètres'!$M:$M,0))&amp;"",""))),0,IF(OR(IFERROR(INDEX('Paramètres'!$I:$I,MATCH($C1875,'Paramètres'!$D:$D,0))&amp;"","")="Les deux",IFERROR(INDEX('Paramètres'!$I:$I,MATCH($C1875,'Paramètres'!$D:$D,0))&amp;"","")=IF($P1875=1,"Débit",$L1875)),-IF($P1875=1,-$K1875,$K1875),0))))</f>
        <v/>
      </c>
      <c r="U1875" s="6" t="str">
        <f>IF($K1875="","",IF(ISNUMBER(SEARCH("sortie-epargne",IFERROR(INDEX('Paramètres'!$N:$N,MATCH($D1875,'Paramètres'!$M:$M,0))&amp;"",""))),$K1875,0))</f>
        <v/>
      </c>
      <c r="V1875" s="6" t="str">
        <f>IF(AND($A1875&lt;&gt;"",$O1875=1,$L1875="Débit",N($Q1875)&gt;0,$A1875&gt;=Visualisation!$B$1,$A1875&lt;Visualisation!$D$1),MAX($V$1:V1874)+1,"")</f>
        <v/>
      </c>
    </row>
    <row r="1876" spans="1:22" x14ac:dyDescent="0.25">
      <c r="A1876" s="9"/>
      <c r="E1876" s="10"/>
      <c r="K1876" s="11" t="str">
        <f>IF($E1876="","",ROUND($E1876*IF(ISNA(MATCH($C1876,'Paramètres'!$D:$D,0)),1,IF(INDEX('Paramètres'!$J:$J,MATCH($C1876,'Paramètres'!$D:$D,0))="",1,INDEX('Paramètres'!$J:$J,MATCH($C1876,'Paramètres'!$D:$D,0)))),2))</f>
        <v/>
      </c>
      <c r="L1876" s="6" t="str">
        <f>IF($D1876="","",IF($F1876&lt;&gt;"",$F1876,IF(ISNA(MATCH($D1876,'Paramètres'!$M:$M,0)),"⚠ Type inconnu",IFERROR(INDEX('Paramètres'!$P:$P,MATCH($D1876,'Paramètres'!$M:$M,0))&amp;"",""))))</f>
        <v/>
      </c>
      <c r="M1876" s="6" t="str">
        <f>IF($D1876="","",IF(ISNA(MATCH($D1876,'Paramètres'!$M:$M,0)),"⚠ Type inconnu",IF($L1876="Crédit","",IFERROR(INDEX('Paramètres'!$O:$O,MATCH($D1876,'Paramètres'!$M:$M,0))&amp;"",""))))</f>
        <v/>
      </c>
      <c r="N1876" s="6" t="str">
        <f>IF($D1876="","",IFERROR(INDEX('Paramètres'!$Q:$Q,MATCH($D1876,'Paramètres'!$M:$M,0))&amp;"",""))</f>
        <v/>
      </c>
      <c r="O1876" s="6" t="str">
        <f>IF($A1876="","",IF(OR($J1876&lt;&gt;"x",$A1876&lt;=FinReleve),1,0))</f>
        <v/>
      </c>
      <c r="P1876" s="6" t="str">
        <f>IF($D1876="","",IF(AND($L1876="Crédit",OR(IFERROR(INDEX('Paramètres'!$O:$O,MATCH($D1876,'Paramètres'!$M:$M,0))&amp;"","")&lt;&gt;"",ISNUMBER(SEARCH("remboursement",IFERROR(INDEX('Paramètres'!$N:$N,MATCH($D1876,'Paramètres'!$M:$M,0))&amp;"",""))))),1,0))</f>
        <v/>
      </c>
      <c r="Q1876" s="6" t="str">
        <f>IF($K1876="","",IF(ISNUMBER(SEARCH("transfert-interne",IFERROR(INDEX('Paramètres'!$N:$N,MATCH($D1876,'Paramètres'!$M:$M,0))&amp;"",""))),0,IF($L1876="Débit",$K1876,IF($P1876=1,-$K1876,0))))</f>
        <v/>
      </c>
      <c r="R1876" s="6" t="str">
        <f>IF($K1876="","",IF($L1876="Crédit",$K1876,-$K1876))</f>
        <v/>
      </c>
      <c r="S1876" s="6" t="str">
        <f>IF($C1876="","",IFERROR(INDEX('Paramètres'!$H:$H,MATCH($C1876,'Paramètres'!$D:$D,0))&amp;"",""))</f>
        <v/>
      </c>
      <c r="T1876" s="6" t="str">
        <f>IF($K1876="","",IF($S1876="",0,IF(ISNUMBER(SEARCH("apport-exterieur",IFERROR(INDEX('Paramètres'!$N:$N,MATCH($D1876,'Paramètres'!$M:$M,0))&amp;"",""))),0,IF(OR(IFERROR(INDEX('Paramètres'!$I:$I,MATCH($C1876,'Paramètres'!$D:$D,0))&amp;"","")="Les deux",IFERROR(INDEX('Paramètres'!$I:$I,MATCH($C1876,'Paramètres'!$D:$D,0))&amp;"","")=IF($P1876=1,"Débit",$L1876)),-IF($P1876=1,-$K1876,$K1876),0))))</f>
        <v/>
      </c>
      <c r="U1876" s="6" t="str">
        <f>IF($K1876="","",IF(ISNUMBER(SEARCH("sortie-epargne",IFERROR(INDEX('Paramètres'!$N:$N,MATCH($D1876,'Paramètres'!$M:$M,0))&amp;"",""))),$K1876,0))</f>
        <v/>
      </c>
      <c r="V1876" s="6" t="str">
        <f>IF(AND($A1876&lt;&gt;"",$O1876=1,$L1876="Débit",N($Q1876)&gt;0,$A1876&gt;=Visualisation!$B$1,$A1876&lt;Visualisation!$D$1),MAX($V$1:V1875)+1,"")</f>
        <v/>
      </c>
    </row>
    <row r="1877" spans="1:22" x14ac:dyDescent="0.25">
      <c r="A1877" s="9"/>
      <c r="E1877" s="10"/>
      <c r="K1877" s="11" t="str">
        <f>IF($E1877="","",ROUND($E1877*IF(ISNA(MATCH($C1877,'Paramètres'!$D:$D,0)),1,IF(INDEX('Paramètres'!$J:$J,MATCH($C1877,'Paramètres'!$D:$D,0))="",1,INDEX('Paramètres'!$J:$J,MATCH($C1877,'Paramètres'!$D:$D,0)))),2))</f>
        <v/>
      </c>
      <c r="L1877" s="6" t="str">
        <f>IF($D1877="","",IF($F1877&lt;&gt;"",$F1877,IF(ISNA(MATCH($D1877,'Paramètres'!$M:$M,0)),"⚠ Type inconnu",IFERROR(INDEX('Paramètres'!$P:$P,MATCH($D1877,'Paramètres'!$M:$M,0))&amp;"",""))))</f>
        <v/>
      </c>
      <c r="M1877" s="6" t="str">
        <f>IF($D1877="","",IF(ISNA(MATCH($D1877,'Paramètres'!$M:$M,0)),"⚠ Type inconnu",IF($L1877="Crédit","",IFERROR(INDEX('Paramètres'!$O:$O,MATCH($D1877,'Paramètres'!$M:$M,0))&amp;"",""))))</f>
        <v/>
      </c>
      <c r="N1877" s="6" t="str">
        <f>IF($D1877="","",IFERROR(INDEX('Paramètres'!$Q:$Q,MATCH($D1877,'Paramètres'!$M:$M,0))&amp;"",""))</f>
        <v/>
      </c>
      <c r="O1877" s="6" t="str">
        <f>IF($A1877="","",IF(OR($J1877&lt;&gt;"x",$A1877&lt;=FinReleve),1,0))</f>
        <v/>
      </c>
      <c r="P1877" s="6" t="str">
        <f>IF($D1877="","",IF(AND($L1877="Crédit",OR(IFERROR(INDEX('Paramètres'!$O:$O,MATCH($D1877,'Paramètres'!$M:$M,0))&amp;"","")&lt;&gt;"",ISNUMBER(SEARCH("remboursement",IFERROR(INDEX('Paramètres'!$N:$N,MATCH($D1877,'Paramètres'!$M:$M,0))&amp;"",""))))),1,0))</f>
        <v/>
      </c>
      <c r="Q1877" s="6" t="str">
        <f>IF($K1877="","",IF(ISNUMBER(SEARCH("transfert-interne",IFERROR(INDEX('Paramètres'!$N:$N,MATCH($D1877,'Paramètres'!$M:$M,0))&amp;"",""))),0,IF($L1877="Débit",$K1877,IF($P1877=1,-$K1877,0))))</f>
        <v/>
      </c>
      <c r="R1877" s="6" t="str">
        <f>IF($K1877="","",IF($L1877="Crédit",$K1877,-$K1877))</f>
        <v/>
      </c>
      <c r="S1877" s="6" t="str">
        <f>IF($C1877="","",IFERROR(INDEX('Paramètres'!$H:$H,MATCH($C1877,'Paramètres'!$D:$D,0))&amp;"",""))</f>
        <v/>
      </c>
      <c r="T1877" s="6" t="str">
        <f>IF($K1877="","",IF($S1877="",0,IF(ISNUMBER(SEARCH("apport-exterieur",IFERROR(INDEX('Paramètres'!$N:$N,MATCH($D1877,'Paramètres'!$M:$M,0))&amp;"",""))),0,IF(OR(IFERROR(INDEX('Paramètres'!$I:$I,MATCH($C1877,'Paramètres'!$D:$D,0))&amp;"","")="Les deux",IFERROR(INDEX('Paramètres'!$I:$I,MATCH($C1877,'Paramètres'!$D:$D,0))&amp;"","")=IF($P1877=1,"Débit",$L1877)),-IF($P1877=1,-$K1877,$K1877),0))))</f>
        <v/>
      </c>
      <c r="U1877" s="6" t="str">
        <f>IF($K1877="","",IF(ISNUMBER(SEARCH("sortie-epargne",IFERROR(INDEX('Paramètres'!$N:$N,MATCH($D1877,'Paramètres'!$M:$M,0))&amp;"",""))),$K1877,0))</f>
        <v/>
      </c>
      <c r="V1877" s="6" t="str">
        <f>IF(AND($A1877&lt;&gt;"",$O1877=1,$L1877="Débit",N($Q1877)&gt;0,$A1877&gt;=Visualisation!$B$1,$A1877&lt;Visualisation!$D$1),MAX($V$1:V1876)+1,"")</f>
        <v/>
      </c>
    </row>
    <row r="1878" spans="1:22" x14ac:dyDescent="0.25">
      <c r="A1878" s="9"/>
      <c r="E1878" s="10"/>
      <c r="K1878" s="11" t="str">
        <f>IF($E1878="","",ROUND($E1878*IF(ISNA(MATCH($C1878,'Paramètres'!$D:$D,0)),1,IF(INDEX('Paramètres'!$J:$J,MATCH($C1878,'Paramètres'!$D:$D,0))="",1,INDEX('Paramètres'!$J:$J,MATCH($C1878,'Paramètres'!$D:$D,0)))),2))</f>
        <v/>
      </c>
      <c r="L1878" s="6" t="str">
        <f>IF($D1878="","",IF($F1878&lt;&gt;"",$F1878,IF(ISNA(MATCH($D1878,'Paramètres'!$M:$M,0)),"⚠ Type inconnu",IFERROR(INDEX('Paramètres'!$P:$P,MATCH($D1878,'Paramètres'!$M:$M,0))&amp;"",""))))</f>
        <v/>
      </c>
      <c r="M1878" s="6" t="str">
        <f>IF($D1878="","",IF(ISNA(MATCH($D1878,'Paramètres'!$M:$M,0)),"⚠ Type inconnu",IF($L1878="Crédit","",IFERROR(INDEX('Paramètres'!$O:$O,MATCH($D1878,'Paramètres'!$M:$M,0))&amp;"",""))))</f>
        <v/>
      </c>
      <c r="N1878" s="6" t="str">
        <f>IF($D1878="","",IFERROR(INDEX('Paramètres'!$Q:$Q,MATCH($D1878,'Paramètres'!$M:$M,0))&amp;"",""))</f>
        <v/>
      </c>
      <c r="O1878" s="6" t="str">
        <f>IF($A1878="","",IF(OR($J1878&lt;&gt;"x",$A1878&lt;=FinReleve),1,0))</f>
        <v/>
      </c>
      <c r="P1878" s="6" t="str">
        <f>IF($D1878="","",IF(AND($L1878="Crédit",OR(IFERROR(INDEX('Paramètres'!$O:$O,MATCH($D1878,'Paramètres'!$M:$M,0))&amp;"","")&lt;&gt;"",ISNUMBER(SEARCH("remboursement",IFERROR(INDEX('Paramètres'!$N:$N,MATCH($D1878,'Paramètres'!$M:$M,0))&amp;"",""))))),1,0))</f>
        <v/>
      </c>
      <c r="Q1878" s="6" t="str">
        <f>IF($K1878="","",IF(ISNUMBER(SEARCH("transfert-interne",IFERROR(INDEX('Paramètres'!$N:$N,MATCH($D1878,'Paramètres'!$M:$M,0))&amp;"",""))),0,IF($L1878="Débit",$K1878,IF($P1878=1,-$K1878,0))))</f>
        <v/>
      </c>
      <c r="R1878" s="6" t="str">
        <f>IF($K1878="","",IF($L1878="Crédit",$K1878,-$K1878))</f>
        <v/>
      </c>
      <c r="S1878" s="6" t="str">
        <f>IF($C1878="","",IFERROR(INDEX('Paramètres'!$H:$H,MATCH($C1878,'Paramètres'!$D:$D,0))&amp;"",""))</f>
        <v/>
      </c>
      <c r="T1878" s="6" t="str">
        <f>IF($K1878="","",IF($S1878="",0,IF(ISNUMBER(SEARCH("apport-exterieur",IFERROR(INDEX('Paramètres'!$N:$N,MATCH($D1878,'Paramètres'!$M:$M,0))&amp;"",""))),0,IF(OR(IFERROR(INDEX('Paramètres'!$I:$I,MATCH($C1878,'Paramètres'!$D:$D,0))&amp;"","")="Les deux",IFERROR(INDEX('Paramètres'!$I:$I,MATCH($C1878,'Paramètres'!$D:$D,0))&amp;"","")=IF($P1878=1,"Débit",$L1878)),-IF($P1878=1,-$K1878,$K1878),0))))</f>
        <v/>
      </c>
      <c r="U1878" s="6" t="str">
        <f>IF($K1878="","",IF(ISNUMBER(SEARCH("sortie-epargne",IFERROR(INDEX('Paramètres'!$N:$N,MATCH($D1878,'Paramètres'!$M:$M,0))&amp;"",""))),$K1878,0))</f>
        <v/>
      </c>
      <c r="V1878" s="6" t="str">
        <f>IF(AND($A1878&lt;&gt;"",$O1878=1,$L1878="Débit",N($Q1878)&gt;0,$A1878&gt;=Visualisation!$B$1,$A1878&lt;Visualisation!$D$1),MAX($V$1:V1877)+1,"")</f>
        <v/>
      </c>
    </row>
    <row r="1879" spans="1:22" x14ac:dyDescent="0.25">
      <c r="A1879" s="9"/>
      <c r="E1879" s="10"/>
      <c r="K1879" s="11" t="str">
        <f>IF($E1879="","",ROUND($E1879*IF(ISNA(MATCH($C1879,'Paramètres'!$D:$D,0)),1,IF(INDEX('Paramètres'!$J:$J,MATCH($C1879,'Paramètres'!$D:$D,0))="",1,INDEX('Paramètres'!$J:$J,MATCH($C1879,'Paramètres'!$D:$D,0)))),2))</f>
        <v/>
      </c>
      <c r="L1879" s="6" t="str">
        <f>IF($D1879="","",IF($F1879&lt;&gt;"",$F1879,IF(ISNA(MATCH($D1879,'Paramètres'!$M:$M,0)),"⚠ Type inconnu",IFERROR(INDEX('Paramètres'!$P:$P,MATCH($D1879,'Paramètres'!$M:$M,0))&amp;"",""))))</f>
        <v/>
      </c>
      <c r="M1879" s="6" t="str">
        <f>IF($D1879="","",IF(ISNA(MATCH($D1879,'Paramètres'!$M:$M,0)),"⚠ Type inconnu",IF($L1879="Crédit","",IFERROR(INDEX('Paramètres'!$O:$O,MATCH($D1879,'Paramètres'!$M:$M,0))&amp;"",""))))</f>
        <v/>
      </c>
      <c r="N1879" s="6" t="str">
        <f>IF($D1879="","",IFERROR(INDEX('Paramètres'!$Q:$Q,MATCH($D1879,'Paramètres'!$M:$M,0))&amp;"",""))</f>
        <v/>
      </c>
      <c r="O1879" s="6" t="str">
        <f>IF($A1879="","",IF(OR($J1879&lt;&gt;"x",$A1879&lt;=FinReleve),1,0))</f>
        <v/>
      </c>
      <c r="P1879" s="6" t="str">
        <f>IF($D1879="","",IF(AND($L1879="Crédit",OR(IFERROR(INDEX('Paramètres'!$O:$O,MATCH($D1879,'Paramètres'!$M:$M,0))&amp;"","")&lt;&gt;"",ISNUMBER(SEARCH("remboursement",IFERROR(INDEX('Paramètres'!$N:$N,MATCH($D1879,'Paramètres'!$M:$M,0))&amp;"",""))))),1,0))</f>
        <v/>
      </c>
      <c r="Q1879" s="6" t="str">
        <f>IF($K1879="","",IF(ISNUMBER(SEARCH("transfert-interne",IFERROR(INDEX('Paramètres'!$N:$N,MATCH($D1879,'Paramètres'!$M:$M,0))&amp;"",""))),0,IF($L1879="Débit",$K1879,IF($P1879=1,-$K1879,0))))</f>
        <v/>
      </c>
      <c r="R1879" s="6" t="str">
        <f>IF($K1879="","",IF($L1879="Crédit",$K1879,-$K1879))</f>
        <v/>
      </c>
      <c r="S1879" s="6" t="str">
        <f>IF($C1879="","",IFERROR(INDEX('Paramètres'!$H:$H,MATCH($C1879,'Paramètres'!$D:$D,0))&amp;"",""))</f>
        <v/>
      </c>
      <c r="T1879" s="6" t="str">
        <f>IF($K1879="","",IF($S1879="",0,IF(ISNUMBER(SEARCH("apport-exterieur",IFERROR(INDEX('Paramètres'!$N:$N,MATCH($D1879,'Paramètres'!$M:$M,0))&amp;"",""))),0,IF(OR(IFERROR(INDEX('Paramètres'!$I:$I,MATCH($C1879,'Paramètres'!$D:$D,0))&amp;"","")="Les deux",IFERROR(INDEX('Paramètres'!$I:$I,MATCH($C1879,'Paramètres'!$D:$D,0))&amp;"","")=IF($P1879=1,"Débit",$L1879)),-IF($P1879=1,-$K1879,$K1879),0))))</f>
        <v/>
      </c>
      <c r="U1879" s="6" t="str">
        <f>IF($K1879="","",IF(ISNUMBER(SEARCH("sortie-epargne",IFERROR(INDEX('Paramètres'!$N:$N,MATCH($D1879,'Paramètres'!$M:$M,0))&amp;"",""))),$K1879,0))</f>
        <v/>
      </c>
      <c r="V1879" s="6" t="str">
        <f>IF(AND($A1879&lt;&gt;"",$O1879=1,$L1879="Débit",N($Q1879)&gt;0,$A1879&gt;=Visualisation!$B$1,$A1879&lt;Visualisation!$D$1),MAX($V$1:V1878)+1,"")</f>
        <v/>
      </c>
    </row>
    <row r="1880" spans="1:22" x14ac:dyDescent="0.25">
      <c r="A1880" s="9"/>
      <c r="E1880" s="10"/>
      <c r="K1880" s="11" t="str">
        <f>IF($E1880="","",ROUND($E1880*IF(ISNA(MATCH($C1880,'Paramètres'!$D:$D,0)),1,IF(INDEX('Paramètres'!$J:$J,MATCH($C1880,'Paramètres'!$D:$D,0))="",1,INDEX('Paramètres'!$J:$J,MATCH($C1880,'Paramètres'!$D:$D,0)))),2))</f>
        <v/>
      </c>
      <c r="L1880" s="6" t="str">
        <f>IF($D1880="","",IF($F1880&lt;&gt;"",$F1880,IF(ISNA(MATCH($D1880,'Paramètres'!$M:$M,0)),"⚠ Type inconnu",IFERROR(INDEX('Paramètres'!$P:$P,MATCH($D1880,'Paramètres'!$M:$M,0))&amp;"",""))))</f>
        <v/>
      </c>
      <c r="M1880" s="6" t="str">
        <f>IF($D1880="","",IF(ISNA(MATCH($D1880,'Paramètres'!$M:$M,0)),"⚠ Type inconnu",IF($L1880="Crédit","",IFERROR(INDEX('Paramètres'!$O:$O,MATCH($D1880,'Paramètres'!$M:$M,0))&amp;"",""))))</f>
        <v/>
      </c>
      <c r="N1880" s="6" t="str">
        <f>IF($D1880="","",IFERROR(INDEX('Paramètres'!$Q:$Q,MATCH($D1880,'Paramètres'!$M:$M,0))&amp;"",""))</f>
        <v/>
      </c>
      <c r="O1880" s="6" t="str">
        <f>IF($A1880="","",IF(OR($J1880&lt;&gt;"x",$A1880&lt;=FinReleve),1,0))</f>
        <v/>
      </c>
      <c r="P1880" s="6" t="str">
        <f>IF($D1880="","",IF(AND($L1880="Crédit",OR(IFERROR(INDEX('Paramètres'!$O:$O,MATCH($D1880,'Paramètres'!$M:$M,0))&amp;"","")&lt;&gt;"",ISNUMBER(SEARCH("remboursement",IFERROR(INDEX('Paramètres'!$N:$N,MATCH($D1880,'Paramètres'!$M:$M,0))&amp;"",""))))),1,0))</f>
        <v/>
      </c>
      <c r="Q1880" s="6" t="str">
        <f>IF($K1880="","",IF(ISNUMBER(SEARCH("transfert-interne",IFERROR(INDEX('Paramètres'!$N:$N,MATCH($D1880,'Paramètres'!$M:$M,0))&amp;"",""))),0,IF($L1880="Débit",$K1880,IF($P1880=1,-$K1880,0))))</f>
        <v/>
      </c>
      <c r="R1880" s="6" t="str">
        <f>IF($K1880="","",IF($L1880="Crédit",$K1880,-$K1880))</f>
        <v/>
      </c>
      <c r="S1880" s="6" t="str">
        <f>IF($C1880="","",IFERROR(INDEX('Paramètres'!$H:$H,MATCH($C1880,'Paramètres'!$D:$D,0))&amp;"",""))</f>
        <v/>
      </c>
      <c r="T1880" s="6" t="str">
        <f>IF($K1880="","",IF($S1880="",0,IF(ISNUMBER(SEARCH("apport-exterieur",IFERROR(INDEX('Paramètres'!$N:$N,MATCH($D1880,'Paramètres'!$M:$M,0))&amp;"",""))),0,IF(OR(IFERROR(INDEX('Paramètres'!$I:$I,MATCH($C1880,'Paramètres'!$D:$D,0))&amp;"","")="Les deux",IFERROR(INDEX('Paramètres'!$I:$I,MATCH($C1880,'Paramètres'!$D:$D,0))&amp;"","")=IF($P1880=1,"Débit",$L1880)),-IF($P1880=1,-$K1880,$K1880),0))))</f>
        <v/>
      </c>
      <c r="U1880" s="6" t="str">
        <f>IF($K1880="","",IF(ISNUMBER(SEARCH("sortie-epargne",IFERROR(INDEX('Paramètres'!$N:$N,MATCH($D1880,'Paramètres'!$M:$M,0))&amp;"",""))),$K1880,0))</f>
        <v/>
      </c>
      <c r="V1880" s="6" t="str">
        <f>IF(AND($A1880&lt;&gt;"",$O1880=1,$L1880="Débit",N($Q1880)&gt;0,$A1880&gt;=Visualisation!$B$1,$A1880&lt;Visualisation!$D$1),MAX($V$1:V1879)+1,"")</f>
        <v/>
      </c>
    </row>
    <row r="1881" spans="1:22" x14ac:dyDescent="0.25">
      <c r="A1881" s="9"/>
      <c r="E1881" s="10"/>
      <c r="K1881" s="11" t="str">
        <f>IF($E1881="","",ROUND($E1881*IF(ISNA(MATCH($C1881,'Paramètres'!$D:$D,0)),1,IF(INDEX('Paramètres'!$J:$J,MATCH($C1881,'Paramètres'!$D:$D,0))="",1,INDEX('Paramètres'!$J:$J,MATCH($C1881,'Paramètres'!$D:$D,0)))),2))</f>
        <v/>
      </c>
      <c r="L1881" s="6" t="str">
        <f>IF($D1881="","",IF($F1881&lt;&gt;"",$F1881,IF(ISNA(MATCH($D1881,'Paramètres'!$M:$M,0)),"⚠ Type inconnu",IFERROR(INDEX('Paramètres'!$P:$P,MATCH($D1881,'Paramètres'!$M:$M,0))&amp;"",""))))</f>
        <v/>
      </c>
      <c r="M1881" s="6" t="str">
        <f>IF($D1881="","",IF(ISNA(MATCH($D1881,'Paramètres'!$M:$M,0)),"⚠ Type inconnu",IF($L1881="Crédit","",IFERROR(INDEX('Paramètres'!$O:$O,MATCH($D1881,'Paramètres'!$M:$M,0))&amp;"",""))))</f>
        <v/>
      </c>
      <c r="N1881" s="6" t="str">
        <f>IF($D1881="","",IFERROR(INDEX('Paramètres'!$Q:$Q,MATCH($D1881,'Paramètres'!$M:$M,0))&amp;"",""))</f>
        <v/>
      </c>
      <c r="O1881" s="6" t="str">
        <f>IF($A1881="","",IF(OR($J1881&lt;&gt;"x",$A1881&lt;=FinReleve),1,0))</f>
        <v/>
      </c>
      <c r="P1881" s="6" t="str">
        <f>IF($D1881="","",IF(AND($L1881="Crédit",OR(IFERROR(INDEX('Paramètres'!$O:$O,MATCH($D1881,'Paramètres'!$M:$M,0))&amp;"","")&lt;&gt;"",ISNUMBER(SEARCH("remboursement",IFERROR(INDEX('Paramètres'!$N:$N,MATCH($D1881,'Paramètres'!$M:$M,0))&amp;"",""))))),1,0))</f>
        <v/>
      </c>
      <c r="Q1881" s="6" t="str">
        <f>IF($K1881="","",IF(ISNUMBER(SEARCH("transfert-interne",IFERROR(INDEX('Paramètres'!$N:$N,MATCH($D1881,'Paramètres'!$M:$M,0))&amp;"",""))),0,IF($L1881="Débit",$K1881,IF($P1881=1,-$K1881,0))))</f>
        <v/>
      </c>
      <c r="R1881" s="6" t="str">
        <f>IF($K1881="","",IF($L1881="Crédit",$K1881,-$K1881))</f>
        <v/>
      </c>
      <c r="S1881" s="6" t="str">
        <f>IF($C1881="","",IFERROR(INDEX('Paramètres'!$H:$H,MATCH($C1881,'Paramètres'!$D:$D,0))&amp;"",""))</f>
        <v/>
      </c>
      <c r="T1881" s="6" t="str">
        <f>IF($K1881="","",IF($S1881="",0,IF(ISNUMBER(SEARCH("apport-exterieur",IFERROR(INDEX('Paramètres'!$N:$N,MATCH($D1881,'Paramètres'!$M:$M,0))&amp;"",""))),0,IF(OR(IFERROR(INDEX('Paramètres'!$I:$I,MATCH($C1881,'Paramètres'!$D:$D,0))&amp;"","")="Les deux",IFERROR(INDEX('Paramètres'!$I:$I,MATCH($C1881,'Paramètres'!$D:$D,0))&amp;"","")=IF($P1881=1,"Débit",$L1881)),-IF($P1881=1,-$K1881,$K1881),0))))</f>
        <v/>
      </c>
      <c r="U1881" s="6" t="str">
        <f>IF($K1881="","",IF(ISNUMBER(SEARCH("sortie-epargne",IFERROR(INDEX('Paramètres'!$N:$N,MATCH($D1881,'Paramètres'!$M:$M,0))&amp;"",""))),$K1881,0))</f>
        <v/>
      </c>
      <c r="V1881" s="6" t="str">
        <f>IF(AND($A1881&lt;&gt;"",$O1881=1,$L1881="Débit",N($Q1881)&gt;0,$A1881&gt;=Visualisation!$B$1,$A1881&lt;Visualisation!$D$1),MAX($V$1:V1880)+1,"")</f>
        <v/>
      </c>
    </row>
    <row r="1882" spans="1:22" x14ac:dyDescent="0.25">
      <c r="A1882" s="9"/>
      <c r="E1882" s="10"/>
      <c r="K1882" s="11" t="str">
        <f>IF($E1882="","",ROUND($E1882*IF(ISNA(MATCH($C1882,'Paramètres'!$D:$D,0)),1,IF(INDEX('Paramètres'!$J:$J,MATCH($C1882,'Paramètres'!$D:$D,0))="",1,INDEX('Paramètres'!$J:$J,MATCH($C1882,'Paramètres'!$D:$D,0)))),2))</f>
        <v/>
      </c>
      <c r="L1882" s="6" t="str">
        <f>IF($D1882="","",IF($F1882&lt;&gt;"",$F1882,IF(ISNA(MATCH($D1882,'Paramètres'!$M:$M,0)),"⚠ Type inconnu",IFERROR(INDEX('Paramètres'!$P:$P,MATCH($D1882,'Paramètres'!$M:$M,0))&amp;"",""))))</f>
        <v/>
      </c>
      <c r="M1882" s="6" t="str">
        <f>IF($D1882="","",IF(ISNA(MATCH($D1882,'Paramètres'!$M:$M,0)),"⚠ Type inconnu",IF($L1882="Crédit","",IFERROR(INDEX('Paramètres'!$O:$O,MATCH($D1882,'Paramètres'!$M:$M,0))&amp;"",""))))</f>
        <v/>
      </c>
      <c r="N1882" s="6" t="str">
        <f>IF($D1882="","",IFERROR(INDEX('Paramètres'!$Q:$Q,MATCH($D1882,'Paramètres'!$M:$M,0))&amp;"",""))</f>
        <v/>
      </c>
      <c r="O1882" s="6" t="str">
        <f>IF($A1882="","",IF(OR($J1882&lt;&gt;"x",$A1882&lt;=FinReleve),1,0))</f>
        <v/>
      </c>
      <c r="P1882" s="6" t="str">
        <f>IF($D1882="","",IF(AND($L1882="Crédit",OR(IFERROR(INDEX('Paramètres'!$O:$O,MATCH($D1882,'Paramètres'!$M:$M,0))&amp;"","")&lt;&gt;"",ISNUMBER(SEARCH("remboursement",IFERROR(INDEX('Paramètres'!$N:$N,MATCH($D1882,'Paramètres'!$M:$M,0))&amp;"",""))))),1,0))</f>
        <v/>
      </c>
      <c r="Q1882" s="6" t="str">
        <f>IF($K1882="","",IF(ISNUMBER(SEARCH("transfert-interne",IFERROR(INDEX('Paramètres'!$N:$N,MATCH($D1882,'Paramètres'!$M:$M,0))&amp;"",""))),0,IF($L1882="Débit",$K1882,IF($P1882=1,-$K1882,0))))</f>
        <v/>
      </c>
      <c r="R1882" s="6" t="str">
        <f>IF($K1882="","",IF($L1882="Crédit",$K1882,-$K1882))</f>
        <v/>
      </c>
      <c r="S1882" s="6" t="str">
        <f>IF($C1882="","",IFERROR(INDEX('Paramètres'!$H:$H,MATCH($C1882,'Paramètres'!$D:$D,0))&amp;"",""))</f>
        <v/>
      </c>
      <c r="T1882" s="6" t="str">
        <f>IF($K1882="","",IF($S1882="",0,IF(ISNUMBER(SEARCH("apport-exterieur",IFERROR(INDEX('Paramètres'!$N:$N,MATCH($D1882,'Paramètres'!$M:$M,0))&amp;"",""))),0,IF(OR(IFERROR(INDEX('Paramètres'!$I:$I,MATCH($C1882,'Paramètres'!$D:$D,0))&amp;"","")="Les deux",IFERROR(INDEX('Paramètres'!$I:$I,MATCH($C1882,'Paramètres'!$D:$D,0))&amp;"","")=IF($P1882=1,"Débit",$L1882)),-IF($P1882=1,-$K1882,$K1882),0))))</f>
        <v/>
      </c>
      <c r="U1882" s="6" t="str">
        <f>IF($K1882="","",IF(ISNUMBER(SEARCH("sortie-epargne",IFERROR(INDEX('Paramètres'!$N:$N,MATCH($D1882,'Paramètres'!$M:$M,0))&amp;"",""))),$K1882,0))</f>
        <v/>
      </c>
      <c r="V1882" s="6" t="str">
        <f>IF(AND($A1882&lt;&gt;"",$O1882=1,$L1882="Débit",N($Q1882)&gt;0,$A1882&gt;=Visualisation!$B$1,$A1882&lt;Visualisation!$D$1),MAX($V$1:V1881)+1,"")</f>
        <v/>
      </c>
    </row>
    <row r="1883" spans="1:22" x14ac:dyDescent="0.25">
      <c r="A1883" s="9"/>
      <c r="E1883" s="10"/>
      <c r="K1883" s="11" t="str">
        <f>IF($E1883="","",ROUND($E1883*IF(ISNA(MATCH($C1883,'Paramètres'!$D:$D,0)),1,IF(INDEX('Paramètres'!$J:$J,MATCH($C1883,'Paramètres'!$D:$D,0))="",1,INDEX('Paramètres'!$J:$J,MATCH($C1883,'Paramètres'!$D:$D,0)))),2))</f>
        <v/>
      </c>
      <c r="L1883" s="6" t="str">
        <f>IF($D1883="","",IF($F1883&lt;&gt;"",$F1883,IF(ISNA(MATCH($D1883,'Paramètres'!$M:$M,0)),"⚠ Type inconnu",IFERROR(INDEX('Paramètres'!$P:$P,MATCH($D1883,'Paramètres'!$M:$M,0))&amp;"",""))))</f>
        <v/>
      </c>
      <c r="M1883" s="6" t="str">
        <f>IF($D1883="","",IF(ISNA(MATCH($D1883,'Paramètres'!$M:$M,0)),"⚠ Type inconnu",IF($L1883="Crédit","",IFERROR(INDEX('Paramètres'!$O:$O,MATCH($D1883,'Paramètres'!$M:$M,0))&amp;"",""))))</f>
        <v/>
      </c>
      <c r="N1883" s="6" t="str">
        <f>IF($D1883="","",IFERROR(INDEX('Paramètres'!$Q:$Q,MATCH($D1883,'Paramètres'!$M:$M,0))&amp;"",""))</f>
        <v/>
      </c>
      <c r="O1883" s="6" t="str">
        <f>IF($A1883="","",IF(OR($J1883&lt;&gt;"x",$A1883&lt;=FinReleve),1,0))</f>
        <v/>
      </c>
      <c r="P1883" s="6" t="str">
        <f>IF($D1883="","",IF(AND($L1883="Crédit",OR(IFERROR(INDEX('Paramètres'!$O:$O,MATCH($D1883,'Paramètres'!$M:$M,0))&amp;"","")&lt;&gt;"",ISNUMBER(SEARCH("remboursement",IFERROR(INDEX('Paramètres'!$N:$N,MATCH($D1883,'Paramètres'!$M:$M,0))&amp;"",""))))),1,0))</f>
        <v/>
      </c>
      <c r="Q1883" s="6" t="str">
        <f>IF($K1883="","",IF(ISNUMBER(SEARCH("transfert-interne",IFERROR(INDEX('Paramètres'!$N:$N,MATCH($D1883,'Paramètres'!$M:$M,0))&amp;"",""))),0,IF($L1883="Débit",$K1883,IF($P1883=1,-$K1883,0))))</f>
        <v/>
      </c>
      <c r="R1883" s="6" t="str">
        <f>IF($K1883="","",IF($L1883="Crédit",$K1883,-$K1883))</f>
        <v/>
      </c>
      <c r="S1883" s="6" t="str">
        <f>IF($C1883="","",IFERROR(INDEX('Paramètres'!$H:$H,MATCH($C1883,'Paramètres'!$D:$D,0))&amp;"",""))</f>
        <v/>
      </c>
      <c r="T1883" s="6" t="str">
        <f>IF($K1883="","",IF($S1883="",0,IF(ISNUMBER(SEARCH("apport-exterieur",IFERROR(INDEX('Paramètres'!$N:$N,MATCH($D1883,'Paramètres'!$M:$M,0))&amp;"",""))),0,IF(OR(IFERROR(INDEX('Paramètres'!$I:$I,MATCH($C1883,'Paramètres'!$D:$D,0))&amp;"","")="Les deux",IFERROR(INDEX('Paramètres'!$I:$I,MATCH($C1883,'Paramètres'!$D:$D,0))&amp;"","")=IF($P1883=1,"Débit",$L1883)),-IF($P1883=1,-$K1883,$K1883),0))))</f>
        <v/>
      </c>
      <c r="U1883" s="6" t="str">
        <f>IF($K1883="","",IF(ISNUMBER(SEARCH("sortie-epargne",IFERROR(INDEX('Paramètres'!$N:$N,MATCH($D1883,'Paramètres'!$M:$M,0))&amp;"",""))),$K1883,0))</f>
        <v/>
      </c>
      <c r="V1883" s="6" t="str">
        <f>IF(AND($A1883&lt;&gt;"",$O1883=1,$L1883="Débit",N($Q1883)&gt;0,$A1883&gt;=Visualisation!$B$1,$A1883&lt;Visualisation!$D$1),MAX($V$1:V1882)+1,"")</f>
        <v/>
      </c>
    </row>
    <row r="1884" spans="1:22" x14ac:dyDescent="0.25">
      <c r="A1884" s="9"/>
      <c r="E1884" s="10"/>
      <c r="K1884" s="11" t="str">
        <f>IF($E1884="","",ROUND($E1884*IF(ISNA(MATCH($C1884,'Paramètres'!$D:$D,0)),1,IF(INDEX('Paramètres'!$J:$J,MATCH($C1884,'Paramètres'!$D:$D,0))="",1,INDEX('Paramètres'!$J:$J,MATCH($C1884,'Paramètres'!$D:$D,0)))),2))</f>
        <v/>
      </c>
      <c r="L1884" s="6" t="str">
        <f>IF($D1884="","",IF($F1884&lt;&gt;"",$F1884,IF(ISNA(MATCH($D1884,'Paramètres'!$M:$M,0)),"⚠ Type inconnu",IFERROR(INDEX('Paramètres'!$P:$P,MATCH($D1884,'Paramètres'!$M:$M,0))&amp;"",""))))</f>
        <v/>
      </c>
      <c r="M1884" s="6" t="str">
        <f>IF($D1884="","",IF(ISNA(MATCH($D1884,'Paramètres'!$M:$M,0)),"⚠ Type inconnu",IF($L1884="Crédit","",IFERROR(INDEX('Paramètres'!$O:$O,MATCH($D1884,'Paramètres'!$M:$M,0))&amp;"",""))))</f>
        <v/>
      </c>
      <c r="N1884" s="6" t="str">
        <f>IF($D1884="","",IFERROR(INDEX('Paramètres'!$Q:$Q,MATCH($D1884,'Paramètres'!$M:$M,0))&amp;"",""))</f>
        <v/>
      </c>
      <c r="O1884" s="6" t="str">
        <f>IF($A1884="","",IF(OR($J1884&lt;&gt;"x",$A1884&lt;=FinReleve),1,0))</f>
        <v/>
      </c>
      <c r="P1884" s="6" t="str">
        <f>IF($D1884="","",IF(AND($L1884="Crédit",OR(IFERROR(INDEX('Paramètres'!$O:$O,MATCH($D1884,'Paramètres'!$M:$M,0))&amp;"","")&lt;&gt;"",ISNUMBER(SEARCH("remboursement",IFERROR(INDEX('Paramètres'!$N:$N,MATCH($D1884,'Paramètres'!$M:$M,0))&amp;"",""))))),1,0))</f>
        <v/>
      </c>
      <c r="Q1884" s="6" t="str">
        <f>IF($K1884="","",IF(ISNUMBER(SEARCH("transfert-interne",IFERROR(INDEX('Paramètres'!$N:$N,MATCH($D1884,'Paramètres'!$M:$M,0))&amp;"",""))),0,IF($L1884="Débit",$K1884,IF($P1884=1,-$K1884,0))))</f>
        <v/>
      </c>
      <c r="R1884" s="6" t="str">
        <f>IF($K1884="","",IF($L1884="Crédit",$K1884,-$K1884))</f>
        <v/>
      </c>
      <c r="S1884" s="6" t="str">
        <f>IF($C1884="","",IFERROR(INDEX('Paramètres'!$H:$H,MATCH($C1884,'Paramètres'!$D:$D,0))&amp;"",""))</f>
        <v/>
      </c>
      <c r="T1884" s="6" t="str">
        <f>IF($K1884="","",IF($S1884="",0,IF(ISNUMBER(SEARCH("apport-exterieur",IFERROR(INDEX('Paramètres'!$N:$N,MATCH($D1884,'Paramètres'!$M:$M,0))&amp;"",""))),0,IF(OR(IFERROR(INDEX('Paramètres'!$I:$I,MATCH($C1884,'Paramètres'!$D:$D,0))&amp;"","")="Les deux",IFERROR(INDEX('Paramètres'!$I:$I,MATCH($C1884,'Paramètres'!$D:$D,0))&amp;"","")=IF($P1884=1,"Débit",$L1884)),-IF($P1884=1,-$K1884,$K1884),0))))</f>
        <v/>
      </c>
      <c r="U1884" s="6" t="str">
        <f>IF($K1884="","",IF(ISNUMBER(SEARCH("sortie-epargne",IFERROR(INDEX('Paramètres'!$N:$N,MATCH($D1884,'Paramètres'!$M:$M,0))&amp;"",""))),$K1884,0))</f>
        <v/>
      </c>
      <c r="V1884" s="6" t="str">
        <f>IF(AND($A1884&lt;&gt;"",$O1884=1,$L1884="Débit",N($Q1884)&gt;0,$A1884&gt;=Visualisation!$B$1,$A1884&lt;Visualisation!$D$1),MAX($V$1:V1883)+1,"")</f>
        <v/>
      </c>
    </row>
    <row r="1885" spans="1:22" x14ac:dyDescent="0.25">
      <c r="A1885" s="9"/>
      <c r="E1885" s="10"/>
      <c r="K1885" s="11" t="str">
        <f>IF($E1885="","",ROUND($E1885*IF(ISNA(MATCH($C1885,'Paramètres'!$D:$D,0)),1,IF(INDEX('Paramètres'!$J:$J,MATCH($C1885,'Paramètres'!$D:$D,0))="",1,INDEX('Paramètres'!$J:$J,MATCH($C1885,'Paramètres'!$D:$D,0)))),2))</f>
        <v/>
      </c>
      <c r="L1885" s="6" t="str">
        <f>IF($D1885="","",IF($F1885&lt;&gt;"",$F1885,IF(ISNA(MATCH($D1885,'Paramètres'!$M:$M,0)),"⚠ Type inconnu",IFERROR(INDEX('Paramètres'!$P:$P,MATCH($D1885,'Paramètres'!$M:$M,0))&amp;"",""))))</f>
        <v/>
      </c>
      <c r="M1885" s="6" t="str">
        <f>IF($D1885="","",IF(ISNA(MATCH($D1885,'Paramètres'!$M:$M,0)),"⚠ Type inconnu",IF($L1885="Crédit","",IFERROR(INDEX('Paramètres'!$O:$O,MATCH($D1885,'Paramètres'!$M:$M,0))&amp;"",""))))</f>
        <v/>
      </c>
      <c r="N1885" s="6" t="str">
        <f>IF($D1885="","",IFERROR(INDEX('Paramètres'!$Q:$Q,MATCH($D1885,'Paramètres'!$M:$M,0))&amp;"",""))</f>
        <v/>
      </c>
      <c r="O1885" s="6" t="str">
        <f>IF($A1885="","",IF(OR($J1885&lt;&gt;"x",$A1885&lt;=FinReleve),1,0))</f>
        <v/>
      </c>
      <c r="P1885" s="6" t="str">
        <f>IF($D1885="","",IF(AND($L1885="Crédit",OR(IFERROR(INDEX('Paramètres'!$O:$O,MATCH($D1885,'Paramètres'!$M:$M,0))&amp;"","")&lt;&gt;"",ISNUMBER(SEARCH("remboursement",IFERROR(INDEX('Paramètres'!$N:$N,MATCH($D1885,'Paramètres'!$M:$M,0))&amp;"",""))))),1,0))</f>
        <v/>
      </c>
      <c r="Q1885" s="6" t="str">
        <f>IF($K1885="","",IF(ISNUMBER(SEARCH("transfert-interne",IFERROR(INDEX('Paramètres'!$N:$N,MATCH($D1885,'Paramètres'!$M:$M,0))&amp;"",""))),0,IF($L1885="Débit",$K1885,IF($P1885=1,-$K1885,0))))</f>
        <v/>
      </c>
      <c r="R1885" s="6" t="str">
        <f>IF($K1885="","",IF($L1885="Crédit",$K1885,-$K1885))</f>
        <v/>
      </c>
      <c r="S1885" s="6" t="str">
        <f>IF($C1885="","",IFERROR(INDEX('Paramètres'!$H:$H,MATCH($C1885,'Paramètres'!$D:$D,0))&amp;"",""))</f>
        <v/>
      </c>
      <c r="T1885" s="6" t="str">
        <f>IF($K1885="","",IF($S1885="",0,IF(ISNUMBER(SEARCH("apport-exterieur",IFERROR(INDEX('Paramètres'!$N:$N,MATCH($D1885,'Paramètres'!$M:$M,0))&amp;"",""))),0,IF(OR(IFERROR(INDEX('Paramètres'!$I:$I,MATCH($C1885,'Paramètres'!$D:$D,0))&amp;"","")="Les deux",IFERROR(INDEX('Paramètres'!$I:$I,MATCH($C1885,'Paramètres'!$D:$D,0))&amp;"","")=IF($P1885=1,"Débit",$L1885)),-IF($P1885=1,-$K1885,$K1885),0))))</f>
        <v/>
      </c>
      <c r="U1885" s="6" t="str">
        <f>IF($K1885="","",IF(ISNUMBER(SEARCH("sortie-epargne",IFERROR(INDEX('Paramètres'!$N:$N,MATCH($D1885,'Paramètres'!$M:$M,0))&amp;"",""))),$K1885,0))</f>
        <v/>
      </c>
      <c r="V1885" s="6" t="str">
        <f>IF(AND($A1885&lt;&gt;"",$O1885=1,$L1885="Débit",N($Q1885)&gt;0,$A1885&gt;=Visualisation!$B$1,$A1885&lt;Visualisation!$D$1),MAX($V$1:V1884)+1,"")</f>
        <v/>
      </c>
    </row>
    <row r="1886" spans="1:22" x14ac:dyDescent="0.25">
      <c r="A1886" s="9"/>
      <c r="E1886" s="10"/>
      <c r="K1886" s="11" t="str">
        <f>IF($E1886="","",ROUND($E1886*IF(ISNA(MATCH($C1886,'Paramètres'!$D:$D,0)),1,IF(INDEX('Paramètres'!$J:$J,MATCH($C1886,'Paramètres'!$D:$D,0))="",1,INDEX('Paramètres'!$J:$J,MATCH($C1886,'Paramètres'!$D:$D,0)))),2))</f>
        <v/>
      </c>
      <c r="L1886" s="6" t="str">
        <f>IF($D1886="","",IF($F1886&lt;&gt;"",$F1886,IF(ISNA(MATCH($D1886,'Paramètres'!$M:$M,0)),"⚠ Type inconnu",IFERROR(INDEX('Paramètres'!$P:$P,MATCH($D1886,'Paramètres'!$M:$M,0))&amp;"",""))))</f>
        <v/>
      </c>
      <c r="M1886" s="6" t="str">
        <f>IF($D1886="","",IF(ISNA(MATCH($D1886,'Paramètres'!$M:$M,0)),"⚠ Type inconnu",IF($L1886="Crédit","",IFERROR(INDEX('Paramètres'!$O:$O,MATCH($D1886,'Paramètres'!$M:$M,0))&amp;"",""))))</f>
        <v/>
      </c>
      <c r="N1886" s="6" t="str">
        <f>IF($D1886="","",IFERROR(INDEX('Paramètres'!$Q:$Q,MATCH($D1886,'Paramètres'!$M:$M,0))&amp;"",""))</f>
        <v/>
      </c>
      <c r="O1886" s="6" t="str">
        <f>IF($A1886="","",IF(OR($J1886&lt;&gt;"x",$A1886&lt;=FinReleve),1,0))</f>
        <v/>
      </c>
      <c r="P1886" s="6" t="str">
        <f>IF($D1886="","",IF(AND($L1886="Crédit",OR(IFERROR(INDEX('Paramètres'!$O:$O,MATCH($D1886,'Paramètres'!$M:$M,0))&amp;"","")&lt;&gt;"",ISNUMBER(SEARCH("remboursement",IFERROR(INDEX('Paramètres'!$N:$N,MATCH($D1886,'Paramètres'!$M:$M,0))&amp;"",""))))),1,0))</f>
        <v/>
      </c>
      <c r="Q1886" s="6" t="str">
        <f>IF($K1886="","",IF(ISNUMBER(SEARCH("transfert-interne",IFERROR(INDEX('Paramètres'!$N:$N,MATCH($D1886,'Paramètres'!$M:$M,0))&amp;"",""))),0,IF($L1886="Débit",$K1886,IF($P1886=1,-$K1886,0))))</f>
        <v/>
      </c>
      <c r="R1886" s="6" t="str">
        <f>IF($K1886="","",IF($L1886="Crédit",$K1886,-$K1886))</f>
        <v/>
      </c>
      <c r="S1886" s="6" t="str">
        <f>IF($C1886="","",IFERROR(INDEX('Paramètres'!$H:$H,MATCH($C1886,'Paramètres'!$D:$D,0))&amp;"",""))</f>
        <v/>
      </c>
      <c r="T1886" s="6" t="str">
        <f>IF($K1886="","",IF($S1886="",0,IF(ISNUMBER(SEARCH("apport-exterieur",IFERROR(INDEX('Paramètres'!$N:$N,MATCH($D1886,'Paramètres'!$M:$M,0))&amp;"",""))),0,IF(OR(IFERROR(INDEX('Paramètres'!$I:$I,MATCH($C1886,'Paramètres'!$D:$D,0))&amp;"","")="Les deux",IFERROR(INDEX('Paramètres'!$I:$I,MATCH($C1886,'Paramètres'!$D:$D,0))&amp;"","")=IF($P1886=1,"Débit",$L1886)),-IF($P1886=1,-$K1886,$K1886),0))))</f>
        <v/>
      </c>
      <c r="U1886" s="6" t="str">
        <f>IF($K1886="","",IF(ISNUMBER(SEARCH("sortie-epargne",IFERROR(INDEX('Paramètres'!$N:$N,MATCH($D1886,'Paramètres'!$M:$M,0))&amp;"",""))),$K1886,0))</f>
        <v/>
      </c>
      <c r="V1886" s="6" t="str">
        <f>IF(AND($A1886&lt;&gt;"",$O1886=1,$L1886="Débit",N($Q1886)&gt;0,$A1886&gt;=Visualisation!$B$1,$A1886&lt;Visualisation!$D$1),MAX($V$1:V1885)+1,"")</f>
        <v/>
      </c>
    </row>
    <row r="1887" spans="1:22" x14ac:dyDescent="0.25">
      <c r="A1887" s="9"/>
      <c r="E1887" s="10"/>
      <c r="K1887" s="11" t="str">
        <f>IF($E1887="","",ROUND($E1887*IF(ISNA(MATCH($C1887,'Paramètres'!$D:$D,0)),1,IF(INDEX('Paramètres'!$J:$J,MATCH($C1887,'Paramètres'!$D:$D,0))="",1,INDEX('Paramètres'!$J:$J,MATCH($C1887,'Paramètres'!$D:$D,0)))),2))</f>
        <v/>
      </c>
      <c r="L1887" s="6" t="str">
        <f>IF($D1887="","",IF($F1887&lt;&gt;"",$F1887,IF(ISNA(MATCH($D1887,'Paramètres'!$M:$M,0)),"⚠ Type inconnu",IFERROR(INDEX('Paramètres'!$P:$P,MATCH($D1887,'Paramètres'!$M:$M,0))&amp;"",""))))</f>
        <v/>
      </c>
      <c r="M1887" s="6" t="str">
        <f>IF($D1887="","",IF(ISNA(MATCH($D1887,'Paramètres'!$M:$M,0)),"⚠ Type inconnu",IF($L1887="Crédit","",IFERROR(INDEX('Paramètres'!$O:$O,MATCH($D1887,'Paramètres'!$M:$M,0))&amp;"",""))))</f>
        <v/>
      </c>
      <c r="N1887" s="6" t="str">
        <f>IF($D1887="","",IFERROR(INDEX('Paramètres'!$Q:$Q,MATCH($D1887,'Paramètres'!$M:$M,0))&amp;"",""))</f>
        <v/>
      </c>
      <c r="O1887" s="6" t="str">
        <f>IF($A1887="","",IF(OR($J1887&lt;&gt;"x",$A1887&lt;=FinReleve),1,0))</f>
        <v/>
      </c>
      <c r="P1887" s="6" t="str">
        <f>IF($D1887="","",IF(AND($L1887="Crédit",OR(IFERROR(INDEX('Paramètres'!$O:$O,MATCH($D1887,'Paramètres'!$M:$M,0))&amp;"","")&lt;&gt;"",ISNUMBER(SEARCH("remboursement",IFERROR(INDEX('Paramètres'!$N:$N,MATCH($D1887,'Paramètres'!$M:$M,0))&amp;"",""))))),1,0))</f>
        <v/>
      </c>
      <c r="Q1887" s="6" t="str">
        <f>IF($K1887="","",IF(ISNUMBER(SEARCH("transfert-interne",IFERROR(INDEX('Paramètres'!$N:$N,MATCH($D1887,'Paramètres'!$M:$M,0))&amp;"",""))),0,IF($L1887="Débit",$K1887,IF($P1887=1,-$K1887,0))))</f>
        <v/>
      </c>
      <c r="R1887" s="6" t="str">
        <f>IF($K1887="","",IF($L1887="Crédit",$K1887,-$K1887))</f>
        <v/>
      </c>
      <c r="S1887" s="6" t="str">
        <f>IF($C1887="","",IFERROR(INDEX('Paramètres'!$H:$H,MATCH($C1887,'Paramètres'!$D:$D,0))&amp;"",""))</f>
        <v/>
      </c>
      <c r="T1887" s="6" t="str">
        <f>IF($K1887="","",IF($S1887="",0,IF(ISNUMBER(SEARCH("apport-exterieur",IFERROR(INDEX('Paramètres'!$N:$N,MATCH($D1887,'Paramètres'!$M:$M,0))&amp;"",""))),0,IF(OR(IFERROR(INDEX('Paramètres'!$I:$I,MATCH($C1887,'Paramètres'!$D:$D,0))&amp;"","")="Les deux",IFERROR(INDEX('Paramètres'!$I:$I,MATCH($C1887,'Paramètres'!$D:$D,0))&amp;"","")=IF($P1887=1,"Débit",$L1887)),-IF($P1887=1,-$K1887,$K1887),0))))</f>
        <v/>
      </c>
      <c r="U1887" s="6" t="str">
        <f>IF($K1887="","",IF(ISNUMBER(SEARCH("sortie-epargne",IFERROR(INDEX('Paramètres'!$N:$N,MATCH($D1887,'Paramètres'!$M:$M,0))&amp;"",""))),$K1887,0))</f>
        <v/>
      </c>
      <c r="V1887" s="6" t="str">
        <f>IF(AND($A1887&lt;&gt;"",$O1887=1,$L1887="Débit",N($Q1887)&gt;0,$A1887&gt;=Visualisation!$B$1,$A1887&lt;Visualisation!$D$1),MAX($V$1:V1886)+1,"")</f>
        <v/>
      </c>
    </row>
    <row r="1888" spans="1:22" x14ac:dyDescent="0.25">
      <c r="A1888" s="9"/>
      <c r="E1888" s="10"/>
      <c r="K1888" s="11" t="str">
        <f>IF($E1888="","",ROUND($E1888*IF(ISNA(MATCH($C1888,'Paramètres'!$D:$D,0)),1,IF(INDEX('Paramètres'!$J:$J,MATCH($C1888,'Paramètres'!$D:$D,0))="",1,INDEX('Paramètres'!$J:$J,MATCH($C1888,'Paramètres'!$D:$D,0)))),2))</f>
        <v/>
      </c>
      <c r="L1888" s="6" t="str">
        <f>IF($D1888="","",IF($F1888&lt;&gt;"",$F1888,IF(ISNA(MATCH($D1888,'Paramètres'!$M:$M,0)),"⚠ Type inconnu",IFERROR(INDEX('Paramètres'!$P:$P,MATCH($D1888,'Paramètres'!$M:$M,0))&amp;"",""))))</f>
        <v/>
      </c>
      <c r="M1888" s="6" t="str">
        <f>IF($D1888="","",IF(ISNA(MATCH($D1888,'Paramètres'!$M:$M,0)),"⚠ Type inconnu",IF($L1888="Crédit","",IFERROR(INDEX('Paramètres'!$O:$O,MATCH($D1888,'Paramètres'!$M:$M,0))&amp;"",""))))</f>
        <v/>
      </c>
      <c r="N1888" s="6" t="str">
        <f>IF($D1888="","",IFERROR(INDEX('Paramètres'!$Q:$Q,MATCH($D1888,'Paramètres'!$M:$M,0))&amp;"",""))</f>
        <v/>
      </c>
      <c r="O1888" s="6" t="str">
        <f>IF($A1888="","",IF(OR($J1888&lt;&gt;"x",$A1888&lt;=FinReleve),1,0))</f>
        <v/>
      </c>
      <c r="P1888" s="6" t="str">
        <f>IF($D1888="","",IF(AND($L1888="Crédit",OR(IFERROR(INDEX('Paramètres'!$O:$O,MATCH($D1888,'Paramètres'!$M:$M,0))&amp;"","")&lt;&gt;"",ISNUMBER(SEARCH("remboursement",IFERROR(INDEX('Paramètres'!$N:$N,MATCH($D1888,'Paramètres'!$M:$M,0))&amp;"",""))))),1,0))</f>
        <v/>
      </c>
      <c r="Q1888" s="6" t="str">
        <f>IF($K1888="","",IF(ISNUMBER(SEARCH("transfert-interne",IFERROR(INDEX('Paramètres'!$N:$N,MATCH($D1888,'Paramètres'!$M:$M,0))&amp;"",""))),0,IF($L1888="Débit",$K1888,IF($P1888=1,-$K1888,0))))</f>
        <v/>
      </c>
      <c r="R1888" s="6" t="str">
        <f>IF($K1888="","",IF($L1888="Crédit",$K1888,-$K1888))</f>
        <v/>
      </c>
      <c r="S1888" s="6" t="str">
        <f>IF($C1888="","",IFERROR(INDEX('Paramètres'!$H:$H,MATCH($C1888,'Paramètres'!$D:$D,0))&amp;"",""))</f>
        <v/>
      </c>
      <c r="T1888" s="6" t="str">
        <f>IF($K1888="","",IF($S1888="",0,IF(ISNUMBER(SEARCH("apport-exterieur",IFERROR(INDEX('Paramètres'!$N:$N,MATCH($D1888,'Paramètres'!$M:$M,0))&amp;"",""))),0,IF(OR(IFERROR(INDEX('Paramètres'!$I:$I,MATCH($C1888,'Paramètres'!$D:$D,0))&amp;"","")="Les deux",IFERROR(INDEX('Paramètres'!$I:$I,MATCH($C1888,'Paramètres'!$D:$D,0))&amp;"","")=IF($P1888=1,"Débit",$L1888)),-IF($P1888=1,-$K1888,$K1888),0))))</f>
        <v/>
      </c>
      <c r="U1888" s="6" t="str">
        <f>IF($K1888="","",IF(ISNUMBER(SEARCH("sortie-epargne",IFERROR(INDEX('Paramètres'!$N:$N,MATCH($D1888,'Paramètres'!$M:$M,0))&amp;"",""))),$K1888,0))</f>
        <v/>
      </c>
      <c r="V1888" s="6" t="str">
        <f>IF(AND($A1888&lt;&gt;"",$O1888=1,$L1888="Débit",N($Q1888)&gt;0,$A1888&gt;=Visualisation!$B$1,$A1888&lt;Visualisation!$D$1),MAX($V$1:V1887)+1,"")</f>
        <v/>
      </c>
    </row>
    <row r="1889" spans="1:22" x14ac:dyDescent="0.25">
      <c r="A1889" s="9"/>
      <c r="E1889" s="10"/>
      <c r="K1889" s="11" t="str">
        <f>IF($E1889="","",ROUND($E1889*IF(ISNA(MATCH($C1889,'Paramètres'!$D:$D,0)),1,IF(INDEX('Paramètres'!$J:$J,MATCH($C1889,'Paramètres'!$D:$D,0))="",1,INDEX('Paramètres'!$J:$J,MATCH($C1889,'Paramètres'!$D:$D,0)))),2))</f>
        <v/>
      </c>
      <c r="L1889" s="6" t="str">
        <f>IF($D1889="","",IF($F1889&lt;&gt;"",$F1889,IF(ISNA(MATCH($D1889,'Paramètres'!$M:$M,0)),"⚠ Type inconnu",IFERROR(INDEX('Paramètres'!$P:$P,MATCH($D1889,'Paramètres'!$M:$M,0))&amp;"",""))))</f>
        <v/>
      </c>
      <c r="M1889" s="6" t="str">
        <f>IF($D1889="","",IF(ISNA(MATCH($D1889,'Paramètres'!$M:$M,0)),"⚠ Type inconnu",IF($L1889="Crédit","",IFERROR(INDEX('Paramètres'!$O:$O,MATCH($D1889,'Paramètres'!$M:$M,0))&amp;"",""))))</f>
        <v/>
      </c>
      <c r="N1889" s="6" t="str">
        <f>IF($D1889="","",IFERROR(INDEX('Paramètres'!$Q:$Q,MATCH($D1889,'Paramètres'!$M:$M,0))&amp;"",""))</f>
        <v/>
      </c>
      <c r="O1889" s="6" t="str">
        <f>IF($A1889="","",IF(OR($J1889&lt;&gt;"x",$A1889&lt;=FinReleve),1,0))</f>
        <v/>
      </c>
      <c r="P1889" s="6" t="str">
        <f>IF($D1889="","",IF(AND($L1889="Crédit",OR(IFERROR(INDEX('Paramètres'!$O:$O,MATCH($D1889,'Paramètres'!$M:$M,0))&amp;"","")&lt;&gt;"",ISNUMBER(SEARCH("remboursement",IFERROR(INDEX('Paramètres'!$N:$N,MATCH($D1889,'Paramètres'!$M:$M,0))&amp;"",""))))),1,0))</f>
        <v/>
      </c>
      <c r="Q1889" s="6" t="str">
        <f>IF($K1889="","",IF(ISNUMBER(SEARCH("transfert-interne",IFERROR(INDEX('Paramètres'!$N:$N,MATCH($D1889,'Paramètres'!$M:$M,0))&amp;"",""))),0,IF($L1889="Débit",$K1889,IF($P1889=1,-$K1889,0))))</f>
        <v/>
      </c>
      <c r="R1889" s="6" t="str">
        <f>IF($K1889="","",IF($L1889="Crédit",$K1889,-$K1889))</f>
        <v/>
      </c>
      <c r="S1889" s="6" t="str">
        <f>IF($C1889="","",IFERROR(INDEX('Paramètres'!$H:$H,MATCH($C1889,'Paramètres'!$D:$D,0))&amp;"",""))</f>
        <v/>
      </c>
      <c r="T1889" s="6" t="str">
        <f>IF($K1889="","",IF($S1889="",0,IF(ISNUMBER(SEARCH("apport-exterieur",IFERROR(INDEX('Paramètres'!$N:$N,MATCH($D1889,'Paramètres'!$M:$M,0))&amp;"",""))),0,IF(OR(IFERROR(INDEX('Paramètres'!$I:$I,MATCH($C1889,'Paramètres'!$D:$D,0))&amp;"","")="Les deux",IFERROR(INDEX('Paramètres'!$I:$I,MATCH($C1889,'Paramètres'!$D:$D,0))&amp;"","")=IF($P1889=1,"Débit",$L1889)),-IF($P1889=1,-$K1889,$K1889),0))))</f>
        <v/>
      </c>
      <c r="U1889" s="6" t="str">
        <f>IF($K1889="","",IF(ISNUMBER(SEARCH("sortie-epargne",IFERROR(INDEX('Paramètres'!$N:$N,MATCH($D1889,'Paramètres'!$M:$M,0))&amp;"",""))),$K1889,0))</f>
        <v/>
      </c>
      <c r="V1889" s="6" t="str">
        <f>IF(AND($A1889&lt;&gt;"",$O1889=1,$L1889="Débit",N($Q1889)&gt;0,$A1889&gt;=Visualisation!$B$1,$A1889&lt;Visualisation!$D$1),MAX($V$1:V1888)+1,"")</f>
        <v/>
      </c>
    </row>
    <row r="1890" spans="1:22" x14ac:dyDescent="0.25">
      <c r="A1890" s="9"/>
      <c r="E1890" s="10"/>
      <c r="K1890" s="11" t="str">
        <f>IF($E1890="","",ROUND($E1890*IF(ISNA(MATCH($C1890,'Paramètres'!$D:$D,0)),1,IF(INDEX('Paramètres'!$J:$J,MATCH($C1890,'Paramètres'!$D:$D,0))="",1,INDEX('Paramètres'!$J:$J,MATCH($C1890,'Paramètres'!$D:$D,0)))),2))</f>
        <v/>
      </c>
      <c r="L1890" s="6" t="str">
        <f>IF($D1890="","",IF($F1890&lt;&gt;"",$F1890,IF(ISNA(MATCH($D1890,'Paramètres'!$M:$M,0)),"⚠ Type inconnu",IFERROR(INDEX('Paramètres'!$P:$P,MATCH($D1890,'Paramètres'!$M:$M,0))&amp;"",""))))</f>
        <v/>
      </c>
      <c r="M1890" s="6" t="str">
        <f>IF($D1890="","",IF(ISNA(MATCH($D1890,'Paramètres'!$M:$M,0)),"⚠ Type inconnu",IF($L1890="Crédit","",IFERROR(INDEX('Paramètres'!$O:$O,MATCH($D1890,'Paramètres'!$M:$M,0))&amp;"",""))))</f>
        <v/>
      </c>
      <c r="N1890" s="6" t="str">
        <f>IF($D1890="","",IFERROR(INDEX('Paramètres'!$Q:$Q,MATCH($D1890,'Paramètres'!$M:$M,0))&amp;"",""))</f>
        <v/>
      </c>
      <c r="O1890" s="6" t="str">
        <f>IF($A1890="","",IF(OR($J1890&lt;&gt;"x",$A1890&lt;=FinReleve),1,0))</f>
        <v/>
      </c>
      <c r="P1890" s="6" t="str">
        <f>IF($D1890="","",IF(AND($L1890="Crédit",OR(IFERROR(INDEX('Paramètres'!$O:$O,MATCH($D1890,'Paramètres'!$M:$M,0))&amp;"","")&lt;&gt;"",ISNUMBER(SEARCH("remboursement",IFERROR(INDEX('Paramètres'!$N:$N,MATCH($D1890,'Paramètres'!$M:$M,0))&amp;"",""))))),1,0))</f>
        <v/>
      </c>
      <c r="Q1890" s="6" t="str">
        <f>IF($K1890="","",IF(ISNUMBER(SEARCH("transfert-interne",IFERROR(INDEX('Paramètres'!$N:$N,MATCH($D1890,'Paramètres'!$M:$M,0))&amp;"",""))),0,IF($L1890="Débit",$K1890,IF($P1890=1,-$K1890,0))))</f>
        <v/>
      </c>
      <c r="R1890" s="6" t="str">
        <f>IF($K1890="","",IF($L1890="Crédit",$K1890,-$K1890))</f>
        <v/>
      </c>
      <c r="S1890" s="6" t="str">
        <f>IF($C1890="","",IFERROR(INDEX('Paramètres'!$H:$H,MATCH($C1890,'Paramètres'!$D:$D,0))&amp;"",""))</f>
        <v/>
      </c>
      <c r="T1890" s="6" t="str">
        <f>IF($K1890="","",IF($S1890="",0,IF(ISNUMBER(SEARCH("apport-exterieur",IFERROR(INDEX('Paramètres'!$N:$N,MATCH($D1890,'Paramètres'!$M:$M,0))&amp;"",""))),0,IF(OR(IFERROR(INDEX('Paramètres'!$I:$I,MATCH($C1890,'Paramètres'!$D:$D,0))&amp;"","")="Les deux",IFERROR(INDEX('Paramètres'!$I:$I,MATCH($C1890,'Paramètres'!$D:$D,0))&amp;"","")=IF($P1890=1,"Débit",$L1890)),-IF($P1890=1,-$K1890,$K1890),0))))</f>
        <v/>
      </c>
      <c r="U1890" s="6" t="str">
        <f>IF($K1890="","",IF(ISNUMBER(SEARCH("sortie-epargne",IFERROR(INDEX('Paramètres'!$N:$N,MATCH($D1890,'Paramètres'!$M:$M,0))&amp;"",""))),$K1890,0))</f>
        <v/>
      </c>
      <c r="V1890" s="6" t="str">
        <f>IF(AND($A1890&lt;&gt;"",$O1890=1,$L1890="Débit",N($Q1890)&gt;0,$A1890&gt;=Visualisation!$B$1,$A1890&lt;Visualisation!$D$1),MAX($V$1:V1889)+1,"")</f>
        <v/>
      </c>
    </row>
    <row r="1891" spans="1:22" x14ac:dyDescent="0.25">
      <c r="A1891" s="9"/>
      <c r="E1891" s="10"/>
      <c r="K1891" s="11" t="str">
        <f>IF($E1891="","",ROUND($E1891*IF(ISNA(MATCH($C1891,'Paramètres'!$D:$D,0)),1,IF(INDEX('Paramètres'!$J:$J,MATCH($C1891,'Paramètres'!$D:$D,0))="",1,INDEX('Paramètres'!$J:$J,MATCH($C1891,'Paramètres'!$D:$D,0)))),2))</f>
        <v/>
      </c>
      <c r="L1891" s="6" t="str">
        <f>IF($D1891="","",IF($F1891&lt;&gt;"",$F1891,IF(ISNA(MATCH($D1891,'Paramètres'!$M:$M,0)),"⚠ Type inconnu",IFERROR(INDEX('Paramètres'!$P:$P,MATCH($D1891,'Paramètres'!$M:$M,0))&amp;"",""))))</f>
        <v/>
      </c>
      <c r="M1891" s="6" t="str">
        <f>IF($D1891="","",IF(ISNA(MATCH($D1891,'Paramètres'!$M:$M,0)),"⚠ Type inconnu",IF($L1891="Crédit","",IFERROR(INDEX('Paramètres'!$O:$O,MATCH($D1891,'Paramètres'!$M:$M,0))&amp;"",""))))</f>
        <v/>
      </c>
      <c r="N1891" s="6" t="str">
        <f>IF($D1891="","",IFERROR(INDEX('Paramètres'!$Q:$Q,MATCH($D1891,'Paramètres'!$M:$M,0))&amp;"",""))</f>
        <v/>
      </c>
      <c r="O1891" s="6" t="str">
        <f>IF($A1891="","",IF(OR($J1891&lt;&gt;"x",$A1891&lt;=FinReleve),1,0))</f>
        <v/>
      </c>
      <c r="P1891" s="6" t="str">
        <f>IF($D1891="","",IF(AND($L1891="Crédit",OR(IFERROR(INDEX('Paramètres'!$O:$O,MATCH($D1891,'Paramètres'!$M:$M,0))&amp;"","")&lt;&gt;"",ISNUMBER(SEARCH("remboursement",IFERROR(INDEX('Paramètres'!$N:$N,MATCH($D1891,'Paramètres'!$M:$M,0))&amp;"",""))))),1,0))</f>
        <v/>
      </c>
      <c r="Q1891" s="6" t="str">
        <f>IF($K1891="","",IF(ISNUMBER(SEARCH("transfert-interne",IFERROR(INDEX('Paramètres'!$N:$N,MATCH($D1891,'Paramètres'!$M:$M,0))&amp;"",""))),0,IF($L1891="Débit",$K1891,IF($P1891=1,-$K1891,0))))</f>
        <v/>
      </c>
      <c r="R1891" s="6" t="str">
        <f>IF($K1891="","",IF($L1891="Crédit",$K1891,-$K1891))</f>
        <v/>
      </c>
      <c r="S1891" s="6" t="str">
        <f>IF($C1891="","",IFERROR(INDEX('Paramètres'!$H:$H,MATCH($C1891,'Paramètres'!$D:$D,0))&amp;"",""))</f>
        <v/>
      </c>
      <c r="T1891" s="6" t="str">
        <f>IF($K1891="","",IF($S1891="",0,IF(ISNUMBER(SEARCH("apport-exterieur",IFERROR(INDEX('Paramètres'!$N:$N,MATCH($D1891,'Paramètres'!$M:$M,0))&amp;"",""))),0,IF(OR(IFERROR(INDEX('Paramètres'!$I:$I,MATCH($C1891,'Paramètres'!$D:$D,0))&amp;"","")="Les deux",IFERROR(INDEX('Paramètres'!$I:$I,MATCH($C1891,'Paramètres'!$D:$D,0))&amp;"","")=IF($P1891=1,"Débit",$L1891)),-IF($P1891=1,-$K1891,$K1891),0))))</f>
        <v/>
      </c>
      <c r="U1891" s="6" t="str">
        <f>IF($K1891="","",IF(ISNUMBER(SEARCH("sortie-epargne",IFERROR(INDEX('Paramètres'!$N:$N,MATCH($D1891,'Paramètres'!$M:$M,0))&amp;"",""))),$K1891,0))</f>
        <v/>
      </c>
      <c r="V1891" s="6" t="str">
        <f>IF(AND($A1891&lt;&gt;"",$O1891=1,$L1891="Débit",N($Q1891)&gt;0,$A1891&gt;=Visualisation!$B$1,$A1891&lt;Visualisation!$D$1),MAX($V$1:V1890)+1,"")</f>
        <v/>
      </c>
    </row>
    <row r="1892" spans="1:22" x14ac:dyDescent="0.25">
      <c r="A1892" s="9"/>
      <c r="E1892" s="10"/>
      <c r="K1892" s="11" t="str">
        <f>IF($E1892="","",ROUND($E1892*IF(ISNA(MATCH($C1892,'Paramètres'!$D:$D,0)),1,IF(INDEX('Paramètres'!$J:$J,MATCH($C1892,'Paramètres'!$D:$D,0))="",1,INDEX('Paramètres'!$J:$J,MATCH($C1892,'Paramètres'!$D:$D,0)))),2))</f>
        <v/>
      </c>
      <c r="L1892" s="6" t="str">
        <f>IF($D1892="","",IF($F1892&lt;&gt;"",$F1892,IF(ISNA(MATCH($D1892,'Paramètres'!$M:$M,0)),"⚠ Type inconnu",IFERROR(INDEX('Paramètres'!$P:$P,MATCH($D1892,'Paramètres'!$M:$M,0))&amp;"",""))))</f>
        <v/>
      </c>
      <c r="M1892" s="6" t="str">
        <f>IF($D1892="","",IF(ISNA(MATCH($D1892,'Paramètres'!$M:$M,0)),"⚠ Type inconnu",IF($L1892="Crédit","",IFERROR(INDEX('Paramètres'!$O:$O,MATCH($D1892,'Paramètres'!$M:$M,0))&amp;"",""))))</f>
        <v/>
      </c>
      <c r="N1892" s="6" t="str">
        <f>IF($D1892="","",IFERROR(INDEX('Paramètres'!$Q:$Q,MATCH($D1892,'Paramètres'!$M:$M,0))&amp;"",""))</f>
        <v/>
      </c>
      <c r="O1892" s="6" t="str">
        <f>IF($A1892="","",IF(OR($J1892&lt;&gt;"x",$A1892&lt;=FinReleve),1,0))</f>
        <v/>
      </c>
      <c r="P1892" s="6" t="str">
        <f>IF($D1892="","",IF(AND($L1892="Crédit",OR(IFERROR(INDEX('Paramètres'!$O:$O,MATCH($D1892,'Paramètres'!$M:$M,0))&amp;"","")&lt;&gt;"",ISNUMBER(SEARCH("remboursement",IFERROR(INDEX('Paramètres'!$N:$N,MATCH($D1892,'Paramètres'!$M:$M,0))&amp;"",""))))),1,0))</f>
        <v/>
      </c>
      <c r="Q1892" s="6" t="str">
        <f>IF($K1892="","",IF(ISNUMBER(SEARCH("transfert-interne",IFERROR(INDEX('Paramètres'!$N:$N,MATCH($D1892,'Paramètres'!$M:$M,0))&amp;"",""))),0,IF($L1892="Débit",$K1892,IF($P1892=1,-$K1892,0))))</f>
        <v/>
      </c>
      <c r="R1892" s="6" t="str">
        <f>IF($K1892="","",IF($L1892="Crédit",$K1892,-$K1892))</f>
        <v/>
      </c>
      <c r="S1892" s="6" t="str">
        <f>IF($C1892="","",IFERROR(INDEX('Paramètres'!$H:$H,MATCH($C1892,'Paramètres'!$D:$D,0))&amp;"",""))</f>
        <v/>
      </c>
      <c r="T1892" s="6" t="str">
        <f>IF($K1892="","",IF($S1892="",0,IF(ISNUMBER(SEARCH("apport-exterieur",IFERROR(INDEX('Paramètres'!$N:$N,MATCH($D1892,'Paramètres'!$M:$M,0))&amp;"",""))),0,IF(OR(IFERROR(INDEX('Paramètres'!$I:$I,MATCH($C1892,'Paramètres'!$D:$D,0))&amp;"","")="Les deux",IFERROR(INDEX('Paramètres'!$I:$I,MATCH($C1892,'Paramètres'!$D:$D,0))&amp;"","")=IF($P1892=1,"Débit",$L1892)),-IF($P1892=1,-$K1892,$K1892),0))))</f>
        <v/>
      </c>
      <c r="U1892" s="6" t="str">
        <f>IF($K1892="","",IF(ISNUMBER(SEARCH("sortie-epargne",IFERROR(INDEX('Paramètres'!$N:$N,MATCH($D1892,'Paramètres'!$M:$M,0))&amp;"",""))),$K1892,0))</f>
        <v/>
      </c>
      <c r="V1892" s="6" t="str">
        <f>IF(AND($A1892&lt;&gt;"",$O1892=1,$L1892="Débit",N($Q1892)&gt;0,$A1892&gt;=Visualisation!$B$1,$A1892&lt;Visualisation!$D$1),MAX($V$1:V1891)+1,"")</f>
        <v/>
      </c>
    </row>
    <row r="1893" spans="1:22" x14ac:dyDescent="0.25">
      <c r="A1893" s="9"/>
      <c r="E1893" s="10"/>
      <c r="K1893" s="11" t="str">
        <f>IF($E1893="","",ROUND($E1893*IF(ISNA(MATCH($C1893,'Paramètres'!$D:$D,0)),1,IF(INDEX('Paramètres'!$J:$J,MATCH($C1893,'Paramètres'!$D:$D,0))="",1,INDEX('Paramètres'!$J:$J,MATCH($C1893,'Paramètres'!$D:$D,0)))),2))</f>
        <v/>
      </c>
      <c r="L1893" s="6" t="str">
        <f>IF($D1893="","",IF($F1893&lt;&gt;"",$F1893,IF(ISNA(MATCH($D1893,'Paramètres'!$M:$M,0)),"⚠ Type inconnu",IFERROR(INDEX('Paramètres'!$P:$P,MATCH($D1893,'Paramètres'!$M:$M,0))&amp;"",""))))</f>
        <v/>
      </c>
      <c r="M1893" s="6" t="str">
        <f>IF($D1893="","",IF(ISNA(MATCH($D1893,'Paramètres'!$M:$M,0)),"⚠ Type inconnu",IF($L1893="Crédit","",IFERROR(INDEX('Paramètres'!$O:$O,MATCH($D1893,'Paramètres'!$M:$M,0))&amp;"",""))))</f>
        <v/>
      </c>
      <c r="N1893" s="6" t="str">
        <f>IF($D1893="","",IFERROR(INDEX('Paramètres'!$Q:$Q,MATCH($D1893,'Paramètres'!$M:$M,0))&amp;"",""))</f>
        <v/>
      </c>
      <c r="O1893" s="6" t="str">
        <f>IF($A1893="","",IF(OR($J1893&lt;&gt;"x",$A1893&lt;=FinReleve),1,0))</f>
        <v/>
      </c>
      <c r="P1893" s="6" t="str">
        <f>IF($D1893="","",IF(AND($L1893="Crédit",OR(IFERROR(INDEX('Paramètres'!$O:$O,MATCH($D1893,'Paramètres'!$M:$M,0))&amp;"","")&lt;&gt;"",ISNUMBER(SEARCH("remboursement",IFERROR(INDEX('Paramètres'!$N:$N,MATCH($D1893,'Paramètres'!$M:$M,0))&amp;"",""))))),1,0))</f>
        <v/>
      </c>
      <c r="Q1893" s="6" t="str">
        <f>IF($K1893="","",IF(ISNUMBER(SEARCH("transfert-interne",IFERROR(INDEX('Paramètres'!$N:$N,MATCH($D1893,'Paramètres'!$M:$M,0))&amp;"",""))),0,IF($L1893="Débit",$K1893,IF($P1893=1,-$K1893,0))))</f>
        <v/>
      </c>
      <c r="R1893" s="6" t="str">
        <f>IF($K1893="","",IF($L1893="Crédit",$K1893,-$K1893))</f>
        <v/>
      </c>
      <c r="S1893" s="6" t="str">
        <f>IF($C1893="","",IFERROR(INDEX('Paramètres'!$H:$H,MATCH($C1893,'Paramètres'!$D:$D,0))&amp;"",""))</f>
        <v/>
      </c>
      <c r="T1893" s="6" t="str">
        <f>IF($K1893="","",IF($S1893="",0,IF(ISNUMBER(SEARCH("apport-exterieur",IFERROR(INDEX('Paramètres'!$N:$N,MATCH($D1893,'Paramètres'!$M:$M,0))&amp;"",""))),0,IF(OR(IFERROR(INDEX('Paramètres'!$I:$I,MATCH($C1893,'Paramètres'!$D:$D,0))&amp;"","")="Les deux",IFERROR(INDEX('Paramètres'!$I:$I,MATCH($C1893,'Paramètres'!$D:$D,0))&amp;"","")=IF($P1893=1,"Débit",$L1893)),-IF($P1893=1,-$K1893,$K1893),0))))</f>
        <v/>
      </c>
      <c r="U1893" s="6" t="str">
        <f>IF($K1893="","",IF(ISNUMBER(SEARCH("sortie-epargne",IFERROR(INDEX('Paramètres'!$N:$N,MATCH($D1893,'Paramètres'!$M:$M,0))&amp;"",""))),$K1893,0))</f>
        <v/>
      </c>
      <c r="V1893" s="6" t="str">
        <f>IF(AND($A1893&lt;&gt;"",$O1893=1,$L1893="Débit",N($Q1893)&gt;0,$A1893&gt;=Visualisation!$B$1,$A1893&lt;Visualisation!$D$1),MAX($V$1:V1892)+1,"")</f>
        <v/>
      </c>
    </row>
    <row r="1894" spans="1:22" x14ac:dyDescent="0.25">
      <c r="A1894" s="9"/>
      <c r="E1894" s="10"/>
      <c r="K1894" s="11" t="str">
        <f>IF($E1894="","",ROUND($E1894*IF(ISNA(MATCH($C1894,'Paramètres'!$D:$D,0)),1,IF(INDEX('Paramètres'!$J:$J,MATCH($C1894,'Paramètres'!$D:$D,0))="",1,INDEX('Paramètres'!$J:$J,MATCH($C1894,'Paramètres'!$D:$D,0)))),2))</f>
        <v/>
      </c>
      <c r="L1894" s="6" t="str">
        <f>IF($D1894="","",IF($F1894&lt;&gt;"",$F1894,IF(ISNA(MATCH($D1894,'Paramètres'!$M:$M,0)),"⚠ Type inconnu",IFERROR(INDEX('Paramètres'!$P:$P,MATCH($D1894,'Paramètres'!$M:$M,0))&amp;"",""))))</f>
        <v/>
      </c>
      <c r="M1894" s="6" t="str">
        <f>IF($D1894="","",IF(ISNA(MATCH($D1894,'Paramètres'!$M:$M,0)),"⚠ Type inconnu",IF($L1894="Crédit","",IFERROR(INDEX('Paramètres'!$O:$O,MATCH($D1894,'Paramètres'!$M:$M,0))&amp;"",""))))</f>
        <v/>
      </c>
      <c r="N1894" s="6" t="str">
        <f>IF($D1894="","",IFERROR(INDEX('Paramètres'!$Q:$Q,MATCH($D1894,'Paramètres'!$M:$M,0))&amp;"",""))</f>
        <v/>
      </c>
      <c r="O1894" s="6" t="str">
        <f>IF($A1894="","",IF(OR($J1894&lt;&gt;"x",$A1894&lt;=FinReleve),1,0))</f>
        <v/>
      </c>
      <c r="P1894" s="6" t="str">
        <f>IF($D1894="","",IF(AND($L1894="Crédit",OR(IFERROR(INDEX('Paramètres'!$O:$O,MATCH($D1894,'Paramètres'!$M:$M,0))&amp;"","")&lt;&gt;"",ISNUMBER(SEARCH("remboursement",IFERROR(INDEX('Paramètres'!$N:$N,MATCH($D1894,'Paramètres'!$M:$M,0))&amp;"",""))))),1,0))</f>
        <v/>
      </c>
      <c r="Q1894" s="6" t="str">
        <f>IF($K1894="","",IF(ISNUMBER(SEARCH("transfert-interne",IFERROR(INDEX('Paramètres'!$N:$N,MATCH($D1894,'Paramètres'!$M:$M,0))&amp;"",""))),0,IF($L1894="Débit",$K1894,IF($P1894=1,-$K1894,0))))</f>
        <v/>
      </c>
      <c r="R1894" s="6" t="str">
        <f>IF($K1894="","",IF($L1894="Crédit",$K1894,-$K1894))</f>
        <v/>
      </c>
      <c r="S1894" s="6" t="str">
        <f>IF($C1894="","",IFERROR(INDEX('Paramètres'!$H:$H,MATCH($C1894,'Paramètres'!$D:$D,0))&amp;"",""))</f>
        <v/>
      </c>
      <c r="T1894" s="6" t="str">
        <f>IF($K1894="","",IF($S1894="",0,IF(ISNUMBER(SEARCH("apport-exterieur",IFERROR(INDEX('Paramètres'!$N:$N,MATCH($D1894,'Paramètres'!$M:$M,0))&amp;"",""))),0,IF(OR(IFERROR(INDEX('Paramètres'!$I:$I,MATCH($C1894,'Paramètres'!$D:$D,0))&amp;"","")="Les deux",IFERROR(INDEX('Paramètres'!$I:$I,MATCH($C1894,'Paramètres'!$D:$D,0))&amp;"","")=IF($P1894=1,"Débit",$L1894)),-IF($P1894=1,-$K1894,$K1894),0))))</f>
        <v/>
      </c>
      <c r="U1894" s="6" t="str">
        <f>IF($K1894="","",IF(ISNUMBER(SEARCH("sortie-epargne",IFERROR(INDEX('Paramètres'!$N:$N,MATCH($D1894,'Paramètres'!$M:$M,0))&amp;"",""))),$K1894,0))</f>
        <v/>
      </c>
      <c r="V1894" s="6" t="str">
        <f>IF(AND($A1894&lt;&gt;"",$O1894=1,$L1894="Débit",N($Q1894)&gt;0,$A1894&gt;=Visualisation!$B$1,$A1894&lt;Visualisation!$D$1),MAX($V$1:V1893)+1,"")</f>
        <v/>
      </c>
    </row>
    <row r="1895" spans="1:22" x14ac:dyDescent="0.25">
      <c r="A1895" s="9"/>
      <c r="E1895" s="10"/>
      <c r="K1895" s="11" t="str">
        <f>IF($E1895="","",ROUND($E1895*IF(ISNA(MATCH($C1895,'Paramètres'!$D:$D,0)),1,IF(INDEX('Paramètres'!$J:$J,MATCH($C1895,'Paramètres'!$D:$D,0))="",1,INDEX('Paramètres'!$J:$J,MATCH($C1895,'Paramètres'!$D:$D,0)))),2))</f>
        <v/>
      </c>
      <c r="L1895" s="6" t="str">
        <f>IF($D1895="","",IF($F1895&lt;&gt;"",$F1895,IF(ISNA(MATCH($D1895,'Paramètres'!$M:$M,0)),"⚠ Type inconnu",IFERROR(INDEX('Paramètres'!$P:$P,MATCH($D1895,'Paramètres'!$M:$M,0))&amp;"",""))))</f>
        <v/>
      </c>
      <c r="M1895" s="6" t="str">
        <f>IF($D1895="","",IF(ISNA(MATCH($D1895,'Paramètres'!$M:$M,0)),"⚠ Type inconnu",IF($L1895="Crédit","",IFERROR(INDEX('Paramètres'!$O:$O,MATCH($D1895,'Paramètres'!$M:$M,0))&amp;"",""))))</f>
        <v/>
      </c>
      <c r="N1895" s="6" t="str">
        <f>IF($D1895="","",IFERROR(INDEX('Paramètres'!$Q:$Q,MATCH($D1895,'Paramètres'!$M:$M,0))&amp;"",""))</f>
        <v/>
      </c>
      <c r="O1895" s="6" t="str">
        <f>IF($A1895="","",IF(OR($J1895&lt;&gt;"x",$A1895&lt;=FinReleve),1,0))</f>
        <v/>
      </c>
      <c r="P1895" s="6" t="str">
        <f>IF($D1895="","",IF(AND($L1895="Crédit",OR(IFERROR(INDEX('Paramètres'!$O:$O,MATCH($D1895,'Paramètres'!$M:$M,0))&amp;"","")&lt;&gt;"",ISNUMBER(SEARCH("remboursement",IFERROR(INDEX('Paramètres'!$N:$N,MATCH($D1895,'Paramètres'!$M:$M,0))&amp;"",""))))),1,0))</f>
        <v/>
      </c>
      <c r="Q1895" s="6" t="str">
        <f>IF($K1895="","",IF(ISNUMBER(SEARCH("transfert-interne",IFERROR(INDEX('Paramètres'!$N:$N,MATCH($D1895,'Paramètres'!$M:$M,0))&amp;"",""))),0,IF($L1895="Débit",$K1895,IF($P1895=1,-$K1895,0))))</f>
        <v/>
      </c>
      <c r="R1895" s="6" t="str">
        <f>IF($K1895="","",IF($L1895="Crédit",$K1895,-$K1895))</f>
        <v/>
      </c>
      <c r="S1895" s="6" t="str">
        <f>IF($C1895="","",IFERROR(INDEX('Paramètres'!$H:$H,MATCH($C1895,'Paramètres'!$D:$D,0))&amp;"",""))</f>
        <v/>
      </c>
      <c r="T1895" s="6" t="str">
        <f>IF($K1895="","",IF($S1895="",0,IF(ISNUMBER(SEARCH("apport-exterieur",IFERROR(INDEX('Paramètres'!$N:$N,MATCH($D1895,'Paramètres'!$M:$M,0))&amp;"",""))),0,IF(OR(IFERROR(INDEX('Paramètres'!$I:$I,MATCH($C1895,'Paramètres'!$D:$D,0))&amp;"","")="Les deux",IFERROR(INDEX('Paramètres'!$I:$I,MATCH($C1895,'Paramètres'!$D:$D,0))&amp;"","")=IF($P1895=1,"Débit",$L1895)),-IF($P1895=1,-$K1895,$K1895),0))))</f>
        <v/>
      </c>
      <c r="U1895" s="6" t="str">
        <f>IF($K1895="","",IF(ISNUMBER(SEARCH("sortie-epargne",IFERROR(INDEX('Paramètres'!$N:$N,MATCH($D1895,'Paramètres'!$M:$M,0))&amp;"",""))),$K1895,0))</f>
        <v/>
      </c>
      <c r="V1895" s="6" t="str">
        <f>IF(AND($A1895&lt;&gt;"",$O1895=1,$L1895="Débit",N($Q1895)&gt;0,$A1895&gt;=Visualisation!$B$1,$A1895&lt;Visualisation!$D$1),MAX($V$1:V1894)+1,"")</f>
        <v/>
      </c>
    </row>
    <row r="1896" spans="1:22" x14ac:dyDescent="0.25">
      <c r="A1896" s="9"/>
      <c r="E1896" s="10"/>
      <c r="K1896" s="11" t="str">
        <f>IF($E1896="","",ROUND($E1896*IF(ISNA(MATCH($C1896,'Paramètres'!$D:$D,0)),1,IF(INDEX('Paramètres'!$J:$J,MATCH($C1896,'Paramètres'!$D:$D,0))="",1,INDEX('Paramètres'!$J:$J,MATCH($C1896,'Paramètres'!$D:$D,0)))),2))</f>
        <v/>
      </c>
      <c r="L1896" s="6" t="str">
        <f>IF($D1896="","",IF($F1896&lt;&gt;"",$F1896,IF(ISNA(MATCH($D1896,'Paramètres'!$M:$M,0)),"⚠ Type inconnu",IFERROR(INDEX('Paramètres'!$P:$P,MATCH($D1896,'Paramètres'!$M:$M,0))&amp;"",""))))</f>
        <v/>
      </c>
      <c r="M1896" s="6" t="str">
        <f>IF($D1896="","",IF(ISNA(MATCH($D1896,'Paramètres'!$M:$M,0)),"⚠ Type inconnu",IF($L1896="Crédit","",IFERROR(INDEX('Paramètres'!$O:$O,MATCH($D1896,'Paramètres'!$M:$M,0))&amp;"",""))))</f>
        <v/>
      </c>
      <c r="N1896" s="6" t="str">
        <f>IF($D1896="","",IFERROR(INDEX('Paramètres'!$Q:$Q,MATCH($D1896,'Paramètres'!$M:$M,0))&amp;"",""))</f>
        <v/>
      </c>
      <c r="O1896" s="6" t="str">
        <f>IF($A1896="","",IF(OR($J1896&lt;&gt;"x",$A1896&lt;=FinReleve),1,0))</f>
        <v/>
      </c>
      <c r="P1896" s="6" t="str">
        <f>IF($D1896="","",IF(AND($L1896="Crédit",OR(IFERROR(INDEX('Paramètres'!$O:$O,MATCH($D1896,'Paramètres'!$M:$M,0))&amp;"","")&lt;&gt;"",ISNUMBER(SEARCH("remboursement",IFERROR(INDEX('Paramètres'!$N:$N,MATCH($D1896,'Paramètres'!$M:$M,0))&amp;"",""))))),1,0))</f>
        <v/>
      </c>
      <c r="Q1896" s="6" t="str">
        <f>IF($K1896="","",IF(ISNUMBER(SEARCH("transfert-interne",IFERROR(INDEX('Paramètres'!$N:$N,MATCH($D1896,'Paramètres'!$M:$M,0))&amp;"",""))),0,IF($L1896="Débit",$K1896,IF($P1896=1,-$K1896,0))))</f>
        <v/>
      </c>
      <c r="R1896" s="6" t="str">
        <f>IF($K1896="","",IF($L1896="Crédit",$K1896,-$K1896))</f>
        <v/>
      </c>
      <c r="S1896" s="6" t="str">
        <f>IF($C1896="","",IFERROR(INDEX('Paramètres'!$H:$H,MATCH($C1896,'Paramètres'!$D:$D,0))&amp;"",""))</f>
        <v/>
      </c>
      <c r="T1896" s="6" t="str">
        <f>IF($K1896="","",IF($S1896="",0,IF(ISNUMBER(SEARCH("apport-exterieur",IFERROR(INDEX('Paramètres'!$N:$N,MATCH($D1896,'Paramètres'!$M:$M,0))&amp;"",""))),0,IF(OR(IFERROR(INDEX('Paramètres'!$I:$I,MATCH($C1896,'Paramètres'!$D:$D,0))&amp;"","")="Les deux",IFERROR(INDEX('Paramètres'!$I:$I,MATCH($C1896,'Paramètres'!$D:$D,0))&amp;"","")=IF($P1896=1,"Débit",$L1896)),-IF($P1896=1,-$K1896,$K1896),0))))</f>
        <v/>
      </c>
      <c r="U1896" s="6" t="str">
        <f>IF($K1896="","",IF(ISNUMBER(SEARCH("sortie-epargne",IFERROR(INDEX('Paramètres'!$N:$N,MATCH($D1896,'Paramètres'!$M:$M,0))&amp;"",""))),$K1896,0))</f>
        <v/>
      </c>
      <c r="V1896" s="6" t="str">
        <f>IF(AND($A1896&lt;&gt;"",$O1896=1,$L1896="Débit",N($Q1896)&gt;0,$A1896&gt;=Visualisation!$B$1,$A1896&lt;Visualisation!$D$1),MAX($V$1:V1895)+1,"")</f>
        <v/>
      </c>
    </row>
    <row r="1897" spans="1:22" x14ac:dyDescent="0.25">
      <c r="A1897" s="9"/>
      <c r="E1897" s="10"/>
      <c r="K1897" s="11" t="str">
        <f>IF($E1897="","",ROUND($E1897*IF(ISNA(MATCH($C1897,'Paramètres'!$D:$D,0)),1,IF(INDEX('Paramètres'!$J:$J,MATCH($C1897,'Paramètres'!$D:$D,0))="",1,INDEX('Paramètres'!$J:$J,MATCH($C1897,'Paramètres'!$D:$D,0)))),2))</f>
        <v/>
      </c>
      <c r="L1897" s="6" t="str">
        <f>IF($D1897="","",IF($F1897&lt;&gt;"",$F1897,IF(ISNA(MATCH($D1897,'Paramètres'!$M:$M,0)),"⚠ Type inconnu",IFERROR(INDEX('Paramètres'!$P:$P,MATCH($D1897,'Paramètres'!$M:$M,0))&amp;"",""))))</f>
        <v/>
      </c>
      <c r="M1897" s="6" t="str">
        <f>IF($D1897="","",IF(ISNA(MATCH($D1897,'Paramètres'!$M:$M,0)),"⚠ Type inconnu",IF($L1897="Crédit","",IFERROR(INDEX('Paramètres'!$O:$O,MATCH($D1897,'Paramètres'!$M:$M,0))&amp;"",""))))</f>
        <v/>
      </c>
      <c r="N1897" s="6" t="str">
        <f>IF($D1897="","",IFERROR(INDEX('Paramètres'!$Q:$Q,MATCH($D1897,'Paramètres'!$M:$M,0))&amp;"",""))</f>
        <v/>
      </c>
      <c r="O1897" s="6" t="str">
        <f>IF($A1897="","",IF(OR($J1897&lt;&gt;"x",$A1897&lt;=FinReleve),1,0))</f>
        <v/>
      </c>
      <c r="P1897" s="6" t="str">
        <f>IF($D1897="","",IF(AND($L1897="Crédit",OR(IFERROR(INDEX('Paramètres'!$O:$O,MATCH($D1897,'Paramètres'!$M:$M,0))&amp;"","")&lt;&gt;"",ISNUMBER(SEARCH("remboursement",IFERROR(INDEX('Paramètres'!$N:$N,MATCH($D1897,'Paramètres'!$M:$M,0))&amp;"",""))))),1,0))</f>
        <v/>
      </c>
      <c r="Q1897" s="6" t="str">
        <f>IF($K1897="","",IF(ISNUMBER(SEARCH("transfert-interne",IFERROR(INDEX('Paramètres'!$N:$N,MATCH($D1897,'Paramètres'!$M:$M,0))&amp;"",""))),0,IF($L1897="Débit",$K1897,IF($P1897=1,-$K1897,0))))</f>
        <v/>
      </c>
      <c r="R1897" s="6" t="str">
        <f>IF($K1897="","",IF($L1897="Crédit",$K1897,-$K1897))</f>
        <v/>
      </c>
      <c r="S1897" s="6" t="str">
        <f>IF($C1897="","",IFERROR(INDEX('Paramètres'!$H:$H,MATCH($C1897,'Paramètres'!$D:$D,0))&amp;"",""))</f>
        <v/>
      </c>
      <c r="T1897" s="6" t="str">
        <f>IF($K1897="","",IF($S1897="",0,IF(ISNUMBER(SEARCH("apport-exterieur",IFERROR(INDEX('Paramètres'!$N:$N,MATCH($D1897,'Paramètres'!$M:$M,0))&amp;"",""))),0,IF(OR(IFERROR(INDEX('Paramètres'!$I:$I,MATCH($C1897,'Paramètres'!$D:$D,0))&amp;"","")="Les deux",IFERROR(INDEX('Paramètres'!$I:$I,MATCH($C1897,'Paramètres'!$D:$D,0))&amp;"","")=IF($P1897=1,"Débit",$L1897)),-IF($P1897=1,-$K1897,$K1897),0))))</f>
        <v/>
      </c>
      <c r="U1897" s="6" t="str">
        <f>IF($K1897="","",IF(ISNUMBER(SEARCH("sortie-epargne",IFERROR(INDEX('Paramètres'!$N:$N,MATCH($D1897,'Paramètres'!$M:$M,0))&amp;"",""))),$K1897,0))</f>
        <v/>
      </c>
      <c r="V1897" s="6" t="str">
        <f>IF(AND($A1897&lt;&gt;"",$O1897=1,$L1897="Débit",N($Q1897)&gt;0,$A1897&gt;=Visualisation!$B$1,$A1897&lt;Visualisation!$D$1),MAX($V$1:V1896)+1,"")</f>
        <v/>
      </c>
    </row>
    <row r="1898" spans="1:22" x14ac:dyDescent="0.25">
      <c r="A1898" s="9"/>
      <c r="E1898" s="10"/>
      <c r="K1898" s="11" t="str">
        <f>IF($E1898="","",ROUND($E1898*IF(ISNA(MATCH($C1898,'Paramètres'!$D:$D,0)),1,IF(INDEX('Paramètres'!$J:$J,MATCH($C1898,'Paramètres'!$D:$D,0))="",1,INDEX('Paramètres'!$J:$J,MATCH($C1898,'Paramètres'!$D:$D,0)))),2))</f>
        <v/>
      </c>
      <c r="L1898" s="6" t="str">
        <f>IF($D1898="","",IF($F1898&lt;&gt;"",$F1898,IF(ISNA(MATCH($D1898,'Paramètres'!$M:$M,0)),"⚠ Type inconnu",IFERROR(INDEX('Paramètres'!$P:$P,MATCH($D1898,'Paramètres'!$M:$M,0))&amp;"",""))))</f>
        <v/>
      </c>
      <c r="M1898" s="6" t="str">
        <f>IF($D1898="","",IF(ISNA(MATCH($D1898,'Paramètres'!$M:$M,0)),"⚠ Type inconnu",IF($L1898="Crédit","",IFERROR(INDEX('Paramètres'!$O:$O,MATCH($D1898,'Paramètres'!$M:$M,0))&amp;"",""))))</f>
        <v/>
      </c>
      <c r="N1898" s="6" t="str">
        <f>IF($D1898="","",IFERROR(INDEX('Paramètres'!$Q:$Q,MATCH($D1898,'Paramètres'!$M:$M,0))&amp;"",""))</f>
        <v/>
      </c>
      <c r="O1898" s="6" t="str">
        <f>IF($A1898="","",IF(OR($J1898&lt;&gt;"x",$A1898&lt;=FinReleve),1,0))</f>
        <v/>
      </c>
      <c r="P1898" s="6" t="str">
        <f>IF($D1898="","",IF(AND($L1898="Crédit",OR(IFERROR(INDEX('Paramètres'!$O:$O,MATCH($D1898,'Paramètres'!$M:$M,0))&amp;"","")&lt;&gt;"",ISNUMBER(SEARCH("remboursement",IFERROR(INDEX('Paramètres'!$N:$N,MATCH($D1898,'Paramètres'!$M:$M,0))&amp;"",""))))),1,0))</f>
        <v/>
      </c>
      <c r="Q1898" s="6" t="str">
        <f>IF($K1898="","",IF(ISNUMBER(SEARCH("transfert-interne",IFERROR(INDEX('Paramètres'!$N:$N,MATCH($D1898,'Paramètres'!$M:$M,0))&amp;"",""))),0,IF($L1898="Débit",$K1898,IF($P1898=1,-$K1898,0))))</f>
        <v/>
      </c>
      <c r="R1898" s="6" t="str">
        <f>IF($K1898="","",IF($L1898="Crédit",$K1898,-$K1898))</f>
        <v/>
      </c>
      <c r="S1898" s="6" t="str">
        <f>IF($C1898="","",IFERROR(INDEX('Paramètres'!$H:$H,MATCH($C1898,'Paramètres'!$D:$D,0))&amp;"",""))</f>
        <v/>
      </c>
      <c r="T1898" s="6" t="str">
        <f>IF($K1898="","",IF($S1898="",0,IF(ISNUMBER(SEARCH("apport-exterieur",IFERROR(INDEX('Paramètres'!$N:$N,MATCH($D1898,'Paramètres'!$M:$M,0))&amp;"",""))),0,IF(OR(IFERROR(INDEX('Paramètres'!$I:$I,MATCH($C1898,'Paramètres'!$D:$D,0))&amp;"","")="Les deux",IFERROR(INDEX('Paramètres'!$I:$I,MATCH($C1898,'Paramètres'!$D:$D,0))&amp;"","")=IF($P1898=1,"Débit",$L1898)),-IF($P1898=1,-$K1898,$K1898),0))))</f>
        <v/>
      </c>
      <c r="U1898" s="6" t="str">
        <f>IF($K1898="","",IF(ISNUMBER(SEARCH("sortie-epargne",IFERROR(INDEX('Paramètres'!$N:$N,MATCH($D1898,'Paramètres'!$M:$M,0))&amp;"",""))),$K1898,0))</f>
        <v/>
      </c>
      <c r="V1898" s="6" t="str">
        <f>IF(AND($A1898&lt;&gt;"",$O1898=1,$L1898="Débit",N($Q1898)&gt;0,$A1898&gt;=Visualisation!$B$1,$A1898&lt;Visualisation!$D$1),MAX($V$1:V1897)+1,"")</f>
        <v/>
      </c>
    </row>
    <row r="1899" spans="1:22" x14ac:dyDescent="0.25">
      <c r="A1899" s="9"/>
      <c r="E1899" s="10"/>
      <c r="K1899" s="11" t="str">
        <f>IF($E1899="","",ROUND($E1899*IF(ISNA(MATCH($C1899,'Paramètres'!$D:$D,0)),1,IF(INDEX('Paramètres'!$J:$J,MATCH($C1899,'Paramètres'!$D:$D,0))="",1,INDEX('Paramètres'!$J:$J,MATCH($C1899,'Paramètres'!$D:$D,0)))),2))</f>
        <v/>
      </c>
      <c r="L1899" s="6" t="str">
        <f>IF($D1899="","",IF($F1899&lt;&gt;"",$F1899,IF(ISNA(MATCH($D1899,'Paramètres'!$M:$M,0)),"⚠ Type inconnu",IFERROR(INDEX('Paramètres'!$P:$P,MATCH($D1899,'Paramètres'!$M:$M,0))&amp;"",""))))</f>
        <v/>
      </c>
      <c r="M1899" s="6" t="str">
        <f>IF($D1899="","",IF(ISNA(MATCH($D1899,'Paramètres'!$M:$M,0)),"⚠ Type inconnu",IF($L1899="Crédit","",IFERROR(INDEX('Paramètres'!$O:$O,MATCH($D1899,'Paramètres'!$M:$M,0))&amp;"",""))))</f>
        <v/>
      </c>
      <c r="N1899" s="6" t="str">
        <f>IF($D1899="","",IFERROR(INDEX('Paramètres'!$Q:$Q,MATCH($D1899,'Paramètres'!$M:$M,0))&amp;"",""))</f>
        <v/>
      </c>
      <c r="O1899" s="6" t="str">
        <f>IF($A1899="","",IF(OR($J1899&lt;&gt;"x",$A1899&lt;=FinReleve),1,0))</f>
        <v/>
      </c>
      <c r="P1899" s="6" t="str">
        <f>IF($D1899="","",IF(AND($L1899="Crédit",OR(IFERROR(INDEX('Paramètres'!$O:$O,MATCH($D1899,'Paramètres'!$M:$M,0))&amp;"","")&lt;&gt;"",ISNUMBER(SEARCH("remboursement",IFERROR(INDEX('Paramètres'!$N:$N,MATCH($D1899,'Paramètres'!$M:$M,0))&amp;"",""))))),1,0))</f>
        <v/>
      </c>
      <c r="Q1899" s="6" t="str">
        <f>IF($K1899="","",IF(ISNUMBER(SEARCH("transfert-interne",IFERROR(INDEX('Paramètres'!$N:$N,MATCH($D1899,'Paramètres'!$M:$M,0))&amp;"",""))),0,IF($L1899="Débit",$K1899,IF($P1899=1,-$K1899,0))))</f>
        <v/>
      </c>
      <c r="R1899" s="6" t="str">
        <f>IF($K1899="","",IF($L1899="Crédit",$K1899,-$K1899))</f>
        <v/>
      </c>
      <c r="S1899" s="6" t="str">
        <f>IF($C1899="","",IFERROR(INDEX('Paramètres'!$H:$H,MATCH($C1899,'Paramètres'!$D:$D,0))&amp;"",""))</f>
        <v/>
      </c>
      <c r="T1899" s="6" t="str">
        <f>IF($K1899="","",IF($S1899="",0,IF(ISNUMBER(SEARCH("apport-exterieur",IFERROR(INDEX('Paramètres'!$N:$N,MATCH($D1899,'Paramètres'!$M:$M,0))&amp;"",""))),0,IF(OR(IFERROR(INDEX('Paramètres'!$I:$I,MATCH($C1899,'Paramètres'!$D:$D,0))&amp;"","")="Les deux",IFERROR(INDEX('Paramètres'!$I:$I,MATCH($C1899,'Paramètres'!$D:$D,0))&amp;"","")=IF($P1899=1,"Débit",$L1899)),-IF($P1899=1,-$K1899,$K1899),0))))</f>
        <v/>
      </c>
      <c r="U1899" s="6" t="str">
        <f>IF($K1899="","",IF(ISNUMBER(SEARCH("sortie-epargne",IFERROR(INDEX('Paramètres'!$N:$N,MATCH($D1899,'Paramètres'!$M:$M,0))&amp;"",""))),$K1899,0))</f>
        <v/>
      </c>
      <c r="V1899" s="6" t="str">
        <f>IF(AND($A1899&lt;&gt;"",$O1899=1,$L1899="Débit",N($Q1899)&gt;0,$A1899&gt;=Visualisation!$B$1,$A1899&lt;Visualisation!$D$1),MAX($V$1:V1898)+1,"")</f>
        <v/>
      </c>
    </row>
    <row r="1900" spans="1:22" x14ac:dyDescent="0.25">
      <c r="A1900" s="9"/>
      <c r="E1900" s="10"/>
      <c r="K1900" s="11" t="str">
        <f>IF($E1900="","",ROUND($E1900*IF(ISNA(MATCH($C1900,'Paramètres'!$D:$D,0)),1,IF(INDEX('Paramètres'!$J:$J,MATCH($C1900,'Paramètres'!$D:$D,0))="",1,INDEX('Paramètres'!$J:$J,MATCH($C1900,'Paramètres'!$D:$D,0)))),2))</f>
        <v/>
      </c>
      <c r="L1900" s="6" t="str">
        <f>IF($D1900="","",IF($F1900&lt;&gt;"",$F1900,IF(ISNA(MATCH($D1900,'Paramètres'!$M:$M,0)),"⚠ Type inconnu",IFERROR(INDEX('Paramètres'!$P:$P,MATCH($D1900,'Paramètres'!$M:$M,0))&amp;"",""))))</f>
        <v/>
      </c>
      <c r="M1900" s="6" t="str">
        <f>IF($D1900="","",IF(ISNA(MATCH($D1900,'Paramètres'!$M:$M,0)),"⚠ Type inconnu",IF($L1900="Crédit","",IFERROR(INDEX('Paramètres'!$O:$O,MATCH($D1900,'Paramètres'!$M:$M,0))&amp;"",""))))</f>
        <v/>
      </c>
      <c r="N1900" s="6" t="str">
        <f>IF($D1900="","",IFERROR(INDEX('Paramètres'!$Q:$Q,MATCH($D1900,'Paramètres'!$M:$M,0))&amp;"",""))</f>
        <v/>
      </c>
      <c r="O1900" s="6" t="str">
        <f>IF($A1900="","",IF(OR($J1900&lt;&gt;"x",$A1900&lt;=FinReleve),1,0))</f>
        <v/>
      </c>
      <c r="P1900" s="6" t="str">
        <f>IF($D1900="","",IF(AND($L1900="Crédit",OR(IFERROR(INDEX('Paramètres'!$O:$O,MATCH($D1900,'Paramètres'!$M:$M,0))&amp;"","")&lt;&gt;"",ISNUMBER(SEARCH("remboursement",IFERROR(INDEX('Paramètres'!$N:$N,MATCH($D1900,'Paramètres'!$M:$M,0))&amp;"",""))))),1,0))</f>
        <v/>
      </c>
      <c r="Q1900" s="6" t="str">
        <f>IF($K1900="","",IF(ISNUMBER(SEARCH("transfert-interne",IFERROR(INDEX('Paramètres'!$N:$N,MATCH($D1900,'Paramètres'!$M:$M,0))&amp;"",""))),0,IF($L1900="Débit",$K1900,IF($P1900=1,-$K1900,0))))</f>
        <v/>
      </c>
      <c r="R1900" s="6" t="str">
        <f>IF($K1900="","",IF($L1900="Crédit",$K1900,-$K1900))</f>
        <v/>
      </c>
      <c r="S1900" s="6" t="str">
        <f>IF($C1900="","",IFERROR(INDEX('Paramètres'!$H:$H,MATCH($C1900,'Paramètres'!$D:$D,0))&amp;"",""))</f>
        <v/>
      </c>
      <c r="T1900" s="6" t="str">
        <f>IF($K1900="","",IF($S1900="",0,IF(ISNUMBER(SEARCH("apport-exterieur",IFERROR(INDEX('Paramètres'!$N:$N,MATCH($D1900,'Paramètres'!$M:$M,0))&amp;"",""))),0,IF(OR(IFERROR(INDEX('Paramètres'!$I:$I,MATCH($C1900,'Paramètres'!$D:$D,0))&amp;"","")="Les deux",IFERROR(INDEX('Paramètres'!$I:$I,MATCH($C1900,'Paramètres'!$D:$D,0))&amp;"","")=IF($P1900=1,"Débit",$L1900)),-IF($P1900=1,-$K1900,$K1900),0))))</f>
        <v/>
      </c>
      <c r="U1900" s="6" t="str">
        <f>IF($K1900="","",IF(ISNUMBER(SEARCH("sortie-epargne",IFERROR(INDEX('Paramètres'!$N:$N,MATCH($D1900,'Paramètres'!$M:$M,0))&amp;"",""))),$K1900,0))</f>
        <v/>
      </c>
      <c r="V1900" s="6" t="str">
        <f>IF(AND($A1900&lt;&gt;"",$O1900=1,$L1900="Débit",N($Q1900)&gt;0,$A1900&gt;=Visualisation!$B$1,$A1900&lt;Visualisation!$D$1),MAX($V$1:V1899)+1,"")</f>
        <v/>
      </c>
    </row>
    <row r="1901" spans="1:22" x14ac:dyDescent="0.25">
      <c r="A1901" s="9"/>
      <c r="E1901" s="10"/>
      <c r="K1901" s="11" t="str">
        <f>IF($E1901="","",ROUND($E1901*IF(ISNA(MATCH($C1901,'Paramètres'!$D:$D,0)),1,IF(INDEX('Paramètres'!$J:$J,MATCH($C1901,'Paramètres'!$D:$D,0))="",1,INDEX('Paramètres'!$J:$J,MATCH($C1901,'Paramètres'!$D:$D,0)))),2))</f>
        <v/>
      </c>
      <c r="L1901" s="6" t="str">
        <f>IF($D1901="","",IF($F1901&lt;&gt;"",$F1901,IF(ISNA(MATCH($D1901,'Paramètres'!$M:$M,0)),"⚠ Type inconnu",IFERROR(INDEX('Paramètres'!$P:$P,MATCH($D1901,'Paramètres'!$M:$M,0))&amp;"",""))))</f>
        <v/>
      </c>
      <c r="M1901" s="6" t="str">
        <f>IF($D1901="","",IF(ISNA(MATCH($D1901,'Paramètres'!$M:$M,0)),"⚠ Type inconnu",IF($L1901="Crédit","",IFERROR(INDEX('Paramètres'!$O:$O,MATCH($D1901,'Paramètres'!$M:$M,0))&amp;"",""))))</f>
        <v/>
      </c>
      <c r="N1901" s="6" t="str">
        <f>IF($D1901="","",IFERROR(INDEX('Paramètres'!$Q:$Q,MATCH($D1901,'Paramètres'!$M:$M,0))&amp;"",""))</f>
        <v/>
      </c>
      <c r="O1901" s="6" t="str">
        <f>IF($A1901="","",IF(OR($J1901&lt;&gt;"x",$A1901&lt;=FinReleve),1,0))</f>
        <v/>
      </c>
      <c r="P1901" s="6" t="str">
        <f>IF($D1901="","",IF(AND($L1901="Crédit",OR(IFERROR(INDEX('Paramètres'!$O:$O,MATCH($D1901,'Paramètres'!$M:$M,0))&amp;"","")&lt;&gt;"",ISNUMBER(SEARCH("remboursement",IFERROR(INDEX('Paramètres'!$N:$N,MATCH($D1901,'Paramètres'!$M:$M,0))&amp;"",""))))),1,0))</f>
        <v/>
      </c>
      <c r="Q1901" s="6" t="str">
        <f>IF($K1901="","",IF(ISNUMBER(SEARCH("transfert-interne",IFERROR(INDEX('Paramètres'!$N:$N,MATCH($D1901,'Paramètres'!$M:$M,0))&amp;"",""))),0,IF($L1901="Débit",$K1901,IF($P1901=1,-$K1901,0))))</f>
        <v/>
      </c>
      <c r="R1901" s="6" t="str">
        <f>IF($K1901="","",IF($L1901="Crédit",$K1901,-$K1901))</f>
        <v/>
      </c>
      <c r="S1901" s="6" t="str">
        <f>IF($C1901="","",IFERROR(INDEX('Paramètres'!$H:$H,MATCH($C1901,'Paramètres'!$D:$D,0))&amp;"",""))</f>
        <v/>
      </c>
      <c r="T1901" s="6" t="str">
        <f>IF($K1901="","",IF($S1901="",0,IF(ISNUMBER(SEARCH("apport-exterieur",IFERROR(INDEX('Paramètres'!$N:$N,MATCH($D1901,'Paramètres'!$M:$M,0))&amp;"",""))),0,IF(OR(IFERROR(INDEX('Paramètres'!$I:$I,MATCH($C1901,'Paramètres'!$D:$D,0))&amp;"","")="Les deux",IFERROR(INDEX('Paramètres'!$I:$I,MATCH($C1901,'Paramètres'!$D:$D,0))&amp;"","")=IF($P1901=1,"Débit",$L1901)),-IF($P1901=1,-$K1901,$K1901),0))))</f>
        <v/>
      </c>
      <c r="U1901" s="6" t="str">
        <f>IF($K1901="","",IF(ISNUMBER(SEARCH("sortie-epargne",IFERROR(INDEX('Paramètres'!$N:$N,MATCH($D1901,'Paramètres'!$M:$M,0))&amp;"",""))),$K1901,0))</f>
        <v/>
      </c>
      <c r="V1901" s="6" t="str">
        <f>IF(AND($A1901&lt;&gt;"",$O1901=1,$L1901="Débit",N($Q1901)&gt;0,$A1901&gt;=Visualisation!$B$1,$A1901&lt;Visualisation!$D$1),MAX($V$1:V1900)+1,"")</f>
        <v/>
      </c>
    </row>
    <row r="1902" spans="1:22" x14ac:dyDescent="0.25">
      <c r="A1902" s="9"/>
      <c r="E1902" s="10"/>
      <c r="K1902" s="11" t="str">
        <f>IF($E1902="","",ROUND($E1902*IF(ISNA(MATCH($C1902,'Paramètres'!$D:$D,0)),1,IF(INDEX('Paramètres'!$J:$J,MATCH($C1902,'Paramètres'!$D:$D,0))="",1,INDEX('Paramètres'!$J:$J,MATCH($C1902,'Paramètres'!$D:$D,0)))),2))</f>
        <v/>
      </c>
      <c r="L1902" s="6" t="str">
        <f>IF($D1902="","",IF($F1902&lt;&gt;"",$F1902,IF(ISNA(MATCH($D1902,'Paramètres'!$M:$M,0)),"⚠ Type inconnu",IFERROR(INDEX('Paramètres'!$P:$P,MATCH($D1902,'Paramètres'!$M:$M,0))&amp;"",""))))</f>
        <v/>
      </c>
      <c r="M1902" s="6" t="str">
        <f>IF($D1902="","",IF(ISNA(MATCH($D1902,'Paramètres'!$M:$M,0)),"⚠ Type inconnu",IF($L1902="Crédit","",IFERROR(INDEX('Paramètres'!$O:$O,MATCH($D1902,'Paramètres'!$M:$M,0))&amp;"",""))))</f>
        <v/>
      </c>
      <c r="N1902" s="6" t="str">
        <f>IF($D1902="","",IFERROR(INDEX('Paramètres'!$Q:$Q,MATCH($D1902,'Paramètres'!$M:$M,0))&amp;"",""))</f>
        <v/>
      </c>
      <c r="O1902" s="6" t="str">
        <f>IF($A1902="","",IF(OR($J1902&lt;&gt;"x",$A1902&lt;=FinReleve),1,0))</f>
        <v/>
      </c>
      <c r="P1902" s="6" t="str">
        <f>IF($D1902="","",IF(AND($L1902="Crédit",OR(IFERROR(INDEX('Paramètres'!$O:$O,MATCH($D1902,'Paramètres'!$M:$M,0))&amp;"","")&lt;&gt;"",ISNUMBER(SEARCH("remboursement",IFERROR(INDEX('Paramètres'!$N:$N,MATCH($D1902,'Paramètres'!$M:$M,0))&amp;"",""))))),1,0))</f>
        <v/>
      </c>
      <c r="Q1902" s="6" t="str">
        <f>IF($K1902="","",IF(ISNUMBER(SEARCH("transfert-interne",IFERROR(INDEX('Paramètres'!$N:$N,MATCH($D1902,'Paramètres'!$M:$M,0))&amp;"",""))),0,IF($L1902="Débit",$K1902,IF($P1902=1,-$K1902,0))))</f>
        <v/>
      </c>
      <c r="R1902" s="6" t="str">
        <f>IF($K1902="","",IF($L1902="Crédit",$K1902,-$K1902))</f>
        <v/>
      </c>
      <c r="S1902" s="6" t="str">
        <f>IF($C1902="","",IFERROR(INDEX('Paramètres'!$H:$H,MATCH($C1902,'Paramètres'!$D:$D,0))&amp;"",""))</f>
        <v/>
      </c>
      <c r="T1902" s="6" t="str">
        <f>IF($K1902="","",IF($S1902="",0,IF(ISNUMBER(SEARCH("apport-exterieur",IFERROR(INDEX('Paramètres'!$N:$N,MATCH($D1902,'Paramètres'!$M:$M,0))&amp;"",""))),0,IF(OR(IFERROR(INDEX('Paramètres'!$I:$I,MATCH($C1902,'Paramètres'!$D:$D,0))&amp;"","")="Les deux",IFERROR(INDEX('Paramètres'!$I:$I,MATCH($C1902,'Paramètres'!$D:$D,0))&amp;"","")=IF($P1902=1,"Débit",$L1902)),-IF($P1902=1,-$K1902,$K1902),0))))</f>
        <v/>
      </c>
      <c r="U1902" s="6" t="str">
        <f>IF($K1902="","",IF(ISNUMBER(SEARCH("sortie-epargne",IFERROR(INDEX('Paramètres'!$N:$N,MATCH($D1902,'Paramètres'!$M:$M,0))&amp;"",""))),$K1902,0))</f>
        <v/>
      </c>
      <c r="V1902" s="6" t="str">
        <f>IF(AND($A1902&lt;&gt;"",$O1902=1,$L1902="Débit",N($Q1902)&gt;0,$A1902&gt;=Visualisation!$B$1,$A1902&lt;Visualisation!$D$1),MAX($V$1:V1901)+1,"")</f>
        <v/>
      </c>
    </row>
    <row r="1903" spans="1:22" x14ac:dyDescent="0.25">
      <c r="A1903" s="9"/>
      <c r="E1903" s="10"/>
      <c r="K1903" s="11" t="str">
        <f>IF($E1903="","",ROUND($E1903*IF(ISNA(MATCH($C1903,'Paramètres'!$D:$D,0)),1,IF(INDEX('Paramètres'!$J:$J,MATCH($C1903,'Paramètres'!$D:$D,0))="",1,INDEX('Paramètres'!$J:$J,MATCH($C1903,'Paramètres'!$D:$D,0)))),2))</f>
        <v/>
      </c>
      <c r="L1903" s="6" t="str">
        <f>IF($D1903="","",IF($F1903&lt;&gt;"",$F1903,IF(ISNA(MATCH($D1903,'Paramètres'!$M:$M,0)),"⚠ Type inconnu",IFERROR(INDEX('Paramètres'!$P:$P,MATCH($D1903,'Paramètres'!$M:$M,0))&amp;"",""))))</f>
        <v/>
      </c>
      <c r="M1903" s="6" t="str">
        <f>IF($D1903="","",IF(ISNA(MATCH($D1903,'Paramètres'!$M:$M,0)),"⚠ Type inconnu",IF($L1903="Crédit","",IFERROR(INDEX('Paramètres'!$O:$O,MATCH($D1903,'Paramètres'!$M:$M,0))&amp;"",""))))</f>
        <v/>
      </c>
      <c r="N1903" s="6" t="str">
        <f>IF($D1903="","",IFERROR(INDEX('Paramètres'!$Q:$Q,MATCH($D1903,'Paramètres'!$M:$M,0))&amp;"",""))</f>
        <v/>
      </c>
      <c r="O1903" s="6" t="str">
        <f>IF($A1903="","",IF(OR($J1903&lt;&gt;"x",$A1903&lt;=FinReleve),1,0))</f>
        <v/>
      </c>
      <c r="P1903" s="6" t="str">
        <f>IF($D1903="","",IF(AND($L1903="Crédit",OR(IFERROR(INDEX('Paramètres'!$O:$O,MATCH($D1903,'Paramètres'!$M:$M,0))&amp;"","")&lt;&gt;"",ISNUMBER(SEARCH("remboursement",IFERROR(INDEX('Paramètres'!$N:$N,MATCH($D1903,'Paramètres'!$M:$M,0))&amp;"",""))))),1,0))</f>
        <v/>
      </c>
      <c r="Q1903" s="6" t="str">
        <f>IF($K1903="","",IF(ISNUMBER(SEARCH("transfert-interne",IFERROR(INDEX('Paramètres'!$N:$N,MATCH($D1903,'Paramètres'!$M:$M,0))&amp;"",""))),0,IF($L1903="Débit",$K1903,IF($P1903=1,-$K1903,0))))</f>
        <v/>
      </c>
      <c r="R1903" s="6" t="str">
        <f>IF($K1903="","",IF($L1903="Crédit",$K1903,-$K1903))</f>
        <v/>
      </c>
      <c r="S1903" s="6" t="str">
        <f>IF($C1903="","",IFERROR(INDEX('Paramètres'!$H:$H,MATCH($C1903,'Paramètres'!$D:$D,0))&amp;"",""))</f>
        <v/>
      </c>
      <c r="T1903" s="6" t="str">
        <f>IF($K1903="","",IF($S1903="",0,IF(ISNUMBER(SEARCH("apport-exterieur",IFERROR(INDEX('Paramètres'!$N:$N,MATCH($D1903,'Paramètres'!$M:$M,0))&amp;"",""))),0,IF(OR(IFERROR(INDEX('Paramètres'!$I:$I,MATCH($C1903,'Paramètres'!$D:$D,0))&amp;"","")="Les deux",IFERROR(INDEX('Paramètres'!$I:$I,MATCH($C1903,'Paramètres'!$D:$D,0))&amp;"","")=IF($P1903=1,"Débit",$L1903)),-IF($P1903=1,-$K1903,$K1903),0))))</f>
        <v/>
      </c>
      <c r="U1903" s="6" t="str">
        <f>IF($K1903="","",IF(ISNUMBER(SEARCH("sortie-epargne",IFERROR(INDEX('Paramètres'!$N:$N,MATCH($D1903,'Paramètres'!$M:$M,0))&amp;"",""))),$K1903,0))</f>
        <v/>
      </c>
      <c r="V1903" s="6" t="str">
        <f>IF(AND($A1903&lt;&gt;"",$O1903=1,$L1903="Débit",N($Q1903)&gt;0,$A1903&gt;=Visualisation!$B$1,$A1903&lt;Visualisation!$D$1),MAX($V$1:V1902)+1,"")</f>
        <v/>
      </c>
    </row>
    <row r="1904" spans="1:22" x14ac:dyDescent="0.25">
      <c r="A1904" s="9"/>
      <c r="E1904" s="10"/>
      <c r="K1904" s="11" t="str">
        <f>IF($E1904="","",ROUND($E1904*IF(ISNA(MATCH($C1904,'Paramètres'!$D:$D,0)),1,IF(INDEX('Paramètres'!$J:$J,MATCH($C1904,'Paramètres'!$D:$D,0))="",1,INDEX('Paramètres'!$J:$J,MATCH($C1904,'Paramètres'!$D:$D,0)))),2))</f>
        <v/>
      </c>
      <c r="L1904" s="6" t="str">
        <f>IF($D1904="","",IF($F1904&lt;&gt;"",$F1904,IF(ISNA(MATCH($D1904,'Paramètres'!$M:$M,0)),"⚠ Type inconnu",IFERROR(INDEX('Paramètres'!$P:$P,MATCH($D1904,'Paramètres'!$M:$M,0))&amp;"",""))))</f>
        <v/>
      </c>
      <c r="M1904" s="6" t="str">
        <f>IF($D1904="","",IF(ISNA(MATCH($D1904,'Paramètres'!$M:$M,0)),"⚠ Type inconnu",IF($L1904="Crédit","",IFERROR(INDEX('Paramètres'!$O:$O,MATCH($D1904,'Paramètres'!$M:$M,0))&amp;"",""))))</f>
        <v/>
      </c>
      <c r="N1904" s="6" t="str">
        <f>IF($D1904="","",IFERROR(INDEX('Paramètres'!$Q:$Q,MATCH($D1904,'Paramètres'!$M:$M,0))&amp;"",""))</f>
        <v/>
      </c>
      <c r="O1904" s="6" t="str">
        <f>IF($A1904="","",IF(OR($J1904&lt;&gt;"x",$A1904&lt;=FinReleve),1,0))</f>
        <v/>
      </c>
      <c r="P1904" s="6" t="str">
        <f>IF($D1904="","",IF(AND($L1904="Crédit",OR(IFERROR(INDEX('Paramètres'!$O:$O,MATCH($D1904,'Paramètres'!$M:$M,0))&amp;"","")&lt;&gt;"",ISNUMBER(SEARCH("remboursement",IFERROR(INDEX('Paramètres'!$N:$N,MATCH($D1904,'Paramètres'!$M:$M,0))&amp;"",""))))),1,0))</f>
        <v/>
      </c>
      <c r="Q1904" s="6" t="str">
        <f>IF($K1904="","",IF(ISNUMBER(SEARCH("transfert-interne",IFERROR(INDEX('Paramètres'!$N:$N,MATCH($D1904,'Paramètres'!$M:$M,0))&amp;"",""))),0,IF($L1904="Débit",$K1904,IF($P1904=1,-$K1904,0))))</f>
        <v/>
      </c>
      <c r="R1904" s="6" t="str">
        <f>IF($K1904="","",IF($L1904="Crédit",$K1904,-$K1904))</f>
        <v/>
      </c>
      <c r="S1904" s="6" t="str">
        <f>IF($C1904="","",IFERROR(INDEX('Paramètres'!$H:$H,MATCH($C1904,'Paramètres'!$D:$D,0))&amp;"",""))</f>
        <v/>
      </c>
      <c r="T1904" s="6" t="str">
        <f>IF($K1904="","",IF($S1904="",0,IF(ISNUMBER(SEARCH("apport-exterieur",IFERROR(INDEX('Paramètres'!$N:$N,MATCH($D1904,'Paramètres'!$M:$M,0))&amp;"",""))),0,IF(OR(IFERROR(INDEX('Paramètres'!$I:$I,MATCH($C1904,'Paramètres'!$D:$D,0))&amp;"","")="Les deux",IFERROR(INDEX('Paramètres'!$I:$I,MATCH($C1904,'Paramètres'!$D:$D,0))&amp;"","")=IF($P1904=1,"Débit",$L1904)),-IF($P1904=1,-$K1904,$K1904),0))))</f>
        <v/>
      </c>
      <c r="U1904" s="6" t="str">
        <f>IF($K1904="","",IF(ISNUMBER(SEARCH("sortie-epargne",IFERROR(INDEX('Paramètres'!$N:$N,MATCH($D1904,'Paramètres'!$M:$M,0))&amp;"",""))),$K1904,0))</f>
        <v/>
      </c>
      <c r="V1904" s="6" t="str">
        <f>IF(AND($A1904&lt;&gt;"",$O1904=1,$L1904="Débit",N($Q1904)&gt;0,$A1904&gt;=Visualisation!$B$1,$A1904&lt;Visualisation!$D$1),MAX($V$1:V1903)+1,"")</f>
        <v/>
      </c>
    </row>
    <row r="1905" spans="1:22" x14ac:dyDescent="0.25">
      <c r="A1905" s="9"/>
      <c r="E1905" s="10"/>
      <c r="K1905" s="11" t="str">
        <f>IF($E1905="","",ROUND($E1905*IF(ISNA(MATCH($C1905,'Paramètres'!$D:$D,0)),1,IF(INDEX('Paramètres'!$J:$J,MATCH($C1905,'Paramètres'!$D:$D,0))="",1,INDEX('Paramètres'!$J:$J,MATCH($C1905,'Paramètres'!$D:$D,0)))),2))</f>
        <v/>
      </c>
      <c r="L1905" s="6" t="str">
        <f>IF($D1905="","",IF($F1905&lt;&gt;"",$F1905,IF(ISNA(MATCH($D1905,'Paramètres'!$M:$M,0)),"⚠ Type inconnu",IFERROR(INDEX('Paramètres'!$P:$P,MATCH($D1905,'Paramètres'!$M:$M,0))&amp;"",""))))</f>
        <v/>
      </c>
      <c r="M1905" s="6" t="str">
        <f>IF($D1905="","",IF(ISNA(MATCH($D1905,'Paramètres'!$M:$M,0)),"⚠ Type inconnu",IF($L1905="Crédit","",IFERROR(INDEX('Paramètres'!$O:$O,MATCH($D1905,'Paramètres'!$M:$M,0))&amp;"",""))))</f>
        <v/>
      </c>
      <c r="N1905" s="6" t="str">
        <f>IF($D1905="","",IFERROR(INDEX('Paramètres'!$Q:$Q,MATCH($D1905,'Paramètres'!$M:$M,0))&amp;"",""))</f>
        <v/>
      </c>
      <c r="O1905" s="6" t="str">
        <f>IF($A1905="","",IF(OR($J1905&lt;&gt;"x",$A1905&lt;=FinReleve),1,0))</f>
        <v/>
      </c>
      <c r="P1905" s="6" t="str">
        <f>IF($D1905="","",IF(AND($L1905="Crédit",OR(IFERROR(INDEX('Paramètres'!$O:$O,MATCH($D1905,'Paramètres'!$M:$M,0))&amp;"","")&lt;&gt;"",ISNUMBER(SEARCH("remboursement",IFERROR(INDEX('Paramètres'!$N:$N,MATCH($D1905,'Paramètres'!$M:$M,0))&amp;"",""))))),1,0))</f>
        <v/>
      </c>
      <c r="Q1905" s="6" t="str">
        <f>IF($K1905="","",IF(ISNUMBER(SEARCH("transfert-interne",IFERROR(INDEX('Paramètres'!$N:$N,MATCH($D1905,'Paramètres'!$M:$M,0))&amp;"",""))),0,IF($L1905="Débit",$K1905,IF($P1905=1,-$K1905,0))))</f>
        <v/>
      </c>
      <c r="R1905" s="6" t="str">
        <f>IF($K1905="","",IF($L1905="Crédit",$K1905,-$K1905))</f>
        <v/>
      </c>
      <c r="S1905" s="6" t="str">
        <f>IF($C1905="","",IFERROR(INDEX('Paramètres'!$H:$H,MATCH($C1905,'Paramètres'!$D:$D,0))&amp;"",""))</f>
        <v/>
      </c>
      <c r="T1905" s="6" t="str">
        <f>IF($K1905="","",IF($S1905="",0,IF(ISNUMBER(SEARCH("apport-exterieur",IFERROR(INDEX('Paramètres'!$N:$N,MATCH($D1905,'Paramètres'!$M:$M,0))&amp;"",""))),0,IF(OR(IFERROR(INDEX('Paramètres'!$I:$I,MATCH($C1905,'Paramètres'!$D:$D,0))&amp;"","")="Les deux",IFERROR(INDEX('Paramètres'!$I:$I,MATCH($C1905,'Paramètres'!$D:$D,0))&amp;"","")=IF($P1905=1,"Débit",$L1905)),-IF($P1905=1,-$K1905,$K1905),0))))</f>
        <v/>
      </c>
      <c r="U1905" s="6" t="str">
        <f>IF($K1905="","",IF(ISNUMBER(SEARCH("sortie-epargne",IFERROR(INDEX('Paramètres'!$N:$N,MATCH($D1905,'Paramètres'!$M:$M,0))&amp;"",""))),$K1905,0))</f>
        <v/>
      </c>
      <c r="V1905" s="6" t="str">
        <f>IF(AND($A1905&lt;&gt;"",$O1905=1,$L1905="Débit",N($Q1905)&gt;0,$A1905&gt;=Visualisation!$B$1,$A1905&lt;Visualisation!$D$1),MAX($V$1:V1904)+1,"")</f>
        <v/>
      </c>
    </row>
    <row r="1906" spans="1:22" x14ac:dyDescent="0.25">
      <c r="A1906" s="9"/>
      <c r="E1906" s="10"/>
      <c r="K1906" s="11" t="str">
        <f>IF($E1906="","",ROUND($E1906*IF(ISNA(MATCH($C1906,'Paramètres'!$D:$D,0)),1,IF(INDEX('Paramètres'!$J:$J,MATCH($C1906,'Paramètres'!$D:$D,0))="",1,INDEX('Paramètres'!$J:$J,MATCH($C1906,'Paramètres'!$D:$D,0)))),2))</f>
        <v/>
      </c>
      <c r="L1906" s="6" t="str">
        <f>IF($D1906="","",IF($F1906&lt;&gt;"",$F1906,IF(ISNA(MATCH($D1906,'Paramètres'!$M:$M,0)),"⚠ Type inconnu",IFERROR(INDEX('Paramètres'!$P:$P,MATCH($D1906,'Paramètres'!$M:$M,0))&amp;"",""))))</f>
        <v/>
      </c>
      <c r="M1906" s="6" t="str">
        <f>IF($D1906="","",IF(ISNA(MATCH($D1906,'Paramètres'!$M:$M,0)),"⚠ Type inconnu",IF($L1906="Crédit","",IFERROR(INDEX('Paramètres'!$O:$O,MATCH($D1906,'Paramètres'!$M:$M,0))&amp;"",""))))</f>
        <v/>
      </c>
      <c r="N1906" s="6" t="str">
        <f>IF($D1906="","",IFERROR(INDEX('Paramètres'!$Q:$Q,MATCH($D1906,'Paramètres'!$M:$M,0))&amp;"",""))</f>
        <v/>
      </c>
      <c r="O1906" s="6" t="str">
        <f>IF($A1906="","",IF(OR($J1906&lt;&gt;"x",$A1906&lt;=FinReleve),1,0))</f>
        <v/>
      </c>
      <c r="P1906" s="6" t="str">
        <f>IF($D1906="","",IF(AND($L1906="Crédit",OR(IFERROR(INDEX('Paramètres'!$O:$O,MATCH($D1906,'Paramètres'!$M:$M,0))&amp;"","")&lt;&gt;"",ISNUMBER(SEARCH("remboursement",IFERROR(INDEX('Paramètres'!$N:$N,MATCH($D1906,'Paramètres'!$M:$M,0))&amp;"",""))))),1,0))</f>
        <v/>
      </c>
      <c r="Q1906" s="6" t="str">
        <f>IF($K1906="","",IF(ISNUMBER(SEARCH("transfert-interne",IFERROR(INDEX('Paramètres'!$N:$N,MATCH($D1906,'Paramètres'!$M:$M,0))&amp;"",""))),0,IF($L1906="Débit",$K1906,IF($P1906=1,-$K1906,0))))</f>
        <v/>
      </c>
      <c r="R1906" s="6" t="str">
        <f>IF($K1906="","",IF($L1906="Crédit",$K1906,-$K1906))</f>
        <v/>
      </c>
      <c r="S1906" s="6" t="str">
        <f>IF($C1906="","",IFERROR(INDEX('Paramètres'!$H:$H,MATCH($C1906,'Paramètres'!$D:$D,0))&amp;"",""))</f>
        <v/>
      </c>
      <c r="T1906" s="6" t="str">
        <f>IF($K1906="","",IF($S1906="",0,IF(ISNUMBER(SEARCH("apport-exterieur",IFERROR(INDEX('Paramètres'!$N:$N,MATCH($D1906,'Paramètres'!$M:$M,0))&amp;"",""))),0,IF(OR(IFERROR(INDEX('Paramètres'!$I:$I,MATCH($C1906,'Paramètres'!$D:$D,0))&amp;"","")="Les deux",IFERROR(INDEX('Paramètres'!$I:$I,MATCH($C1906,'Paramètres'!$D:$D,0))&amp;"","")=IF($P1906=1,"Débit",$L1906)),-IF($P1906=1,-$K1906,$K1906),0))))</f>
        <v/>
      </c>
      <c r="U1906" s="6" t="str">
        <f>IF($K1906="","",IF(ISNUMBER(SEARCH("sortie-epargne",IFERROR(INDEX('Paramètres'!$N:$N,MATCH($D1906,'Paramètres'!$M:$M,0))&amp;"",""))),$K1906,0))</f>
        <v/>
      </c>
      <c r="V1906" s="6" t="str">
        <f>IF(AND($A1906&lt;&gt;"",$O1906=1,$L1906="Débit",N($Q1906)&gt;0,$A1906&gt;=Visualisation!$B$1,$A1906&lt;Visualisation!$D$1),MAX($V$1:V1905)+1,"")</f>
        <v/>
      </c>
    </row>
    <row r="1907" spans="1:22" x14ac:dyDescent="0.25">
      <c r="A1907" s="9"/>
      <c r="E1907" s="10"/>
      <c r="K1907" s="11" t="str">
        <f>IF($E1907="","",ROUND($E1907*IF(ISNA(MATCH($C1907,'Paramètres'!$D:$D,0)),1,IF(INDEX('Paramètres'!$J:$J,MATCH($C1907,'Paramètres'!$D:$D,0))="",1,INDEX('Paramètres'!$J:$J,MATCH($C1907,'Paramètres'!$D:$D,0)))),2))</f>
        <v/>
      </c>
      <c r="L1907" s="6" t="str">
        <f>IF($D1907="","",IF($F1907&lt;&gt;"",$F1907,IF(ISNA(MATCH($D1907,'Paramètres'!$M:$M,0)),"⚠ Type inconnu",IFERROR(INDEX('Paramètres'!$P:$P,MATCH($D1907,'Paramètres'!$M:$M,0))&amp;"",""))))</f>
        <v/>
      </c>
      <c r="M1907" s="6" t="str">
        <f>IF($D1907="","",IF(ISNA(MATCH($D1907,'Paramètres'!$M:$M,0)),"⚠ Type inconnu",IF($L1907="Crédit","",IFERROR(INDEX('Paramètres'!$O:$O,MATCH($D1907,'Paramètres'!$M:$M,0))&amp;"",""))))</f>
        <v/>
      </c>
      <c r="N1907" s="6" t="str">
        <f>IF($D1907="","",IFERROR(INDEX('Paramètres'!$Q:$Q,MATCH($D1907,'Paramètres'!$M:$M,0))&amp;"",""))</f>
        <v/>
      </c>
      <c r="O1907" s="6" t="str">
        <f>IF($A1907="","",IF(OR($J1907&lt;&gt;"x",$A1907&lt;=FinReleve),1,0))</f>
        <v/>
      </c>
      <c r="P1907" s="6" t="str">
        <f>IF($D1907="","",IF(AND($L1907="Crédit",OR(IFERROR(INDEX('Paramètres'!$O:$O,MATCH($D1907,'Paramètres'!$M:$M,0))&amp;"","")&lt;&gt;"",ISNUMBER(SEARCH("remboursement",IFERROR(INDEX('Paramètres'!$N:$N,MATCH($D1907,'Paramètres'!$M:$M,0))&amp;"",""))))),1,0))</f>
        <v/>
      </c>
      <c r="Q1907" s="6" t="str">
        <f>IF($K1907="","",IF(ISNUMBER(SEARCH("transfert-interne",IFERROR(INDEX('Paramètres'!$N:$N,MATCH($D1907,'Paramètres'!$M:$M,0))&amp;"",""))),0,IF($L1907="Débit",$K1907,IF($P1907=1,-$K1907,0))))</f>
        <v/>
      </c>
      <c r="R1907" s="6" t="str">
        <f>IF($K1907="","",IF($L1907="Crédit",$K1907,-$K1907))</f>
        <v/>
      </c>
      <c r="S1907" s="6" t="str">
        <f>IF($C1907="","",IFERROR(INDEX('Paramètres'!$H:$H,MATCH($C1907,'Paramètres'!$D:$D,0))&amp;"",""))</f>
        <v/>
      </c>
      <c r="T1907" s="6" t="str">
        <f>IF($K1907="","",IF($S1907="",0,IF(ISNUMBER(SEARCH("apport-exterieur",IFERROR(INDEX('Paramètres'!$N:$N,MATCH($D1907,'Paramètres'!$M:$M,0))&amp;"",""))),0,IF(OR(IFERROR(INDEX('Paramètres'!$I:$I,MATCH($C1907,'Paramètres'!$D:$D,0))&amp;"","")="Les deux",IFERROR(INDEX('Paramètres'!$I:$I,MATCH($C1907,'Paramètres'!$D:$D,0))&amp;"","")=IF($P1907=1,"Débit",$L1907)),-IF($P1907=1,-$K1907,$K1907),0))))</f>
        <v/>
      </c>
      <c r="U1907" s="6" t="str">
        <f>IF($K1907="","",IF(ISNUMBER(SEARCH("sortie-epargne",IFERROR(INDEX('Paramètres'!$N:$N,MATCH($D1907,'Paramètres'!$M:$M,0))&amp;"",""))),$K1907,0))</f>
        <v/>
      </c>
      <c r="V1907" s="6" t="str">
        <f>IF(AND($A1907&lt;&gt;"",$O1907=1,$L1907="Débit",N($Q1907)&gt;0,$A1907&gt;=Visualisation!$B$1,$A1907&lt;Visualisation!$D$1),MAX($V$1:V1906)+1,"")</f>
        <v/>
      </c>
    </row>
    <row r="1908" spans="1:22" x14ac:dyDescent="0.25">
      <c r="A1908" s="9"/>
      <c r="E1908" s="10"/>
      <c r="K1908" s="11" t="str">
        <f>IF($E1908="","",ROUND($E1908*IF(ISNA(MATCH($C1908,'Paramètres'!$D:$D,0)),1,IF(INDEX('Paramètres'!$J:$J,MATCH($C1908,'Paramètres'!$D:$D,0))="",1,INDEX('Paramètres'!$J:$J,MATCH($C1908,'Paramètres'!$D:$D,0)))),2))</f>
        <v/>
      </c>
      <c r="L1908" s="6" t="str">
        <f>IF($D1908="","",IF($F1908&lt;&gt;"",$F1908,IF(ISNA(MATCH($D1908,'Paramètres'!$M:$M,0)),"⚠ Type inconnu",IFERROR(INDEX('Paramètres'!$P:$P,MATCH($D1908,'Paramètres'!$M:$M,0))&amp;"",""))))</f>
        <v/>
      </c>
      <c r="M1908" s="6" t="str">
        <f>IF($D1908="","",IF(ISNA(MATCH($D1908,'Paramètres'!$M:$M,0)),"⚠ Type inconnu",IF($L1908="Crédit","",IFERROR(INDEX('Paramètres'!$O:$O,MATCH($D1908,'Paramètres'!$M:$M,0))&amp;"",""))))</f>
        <v/>
      </c>
      <c r="N1908" s="6" t="str">
        <f>IF($D1908="","",IFERROR(INDEX('Paramètres'!$Q:$Q,MATCH($D1908,'Paramètres'!$M:$M,0))&amp;"",""))</f>
        <v/>
      </c>
      <c r="O1908" s="6" t="str">
        <f>IF($A1908="","",IF(OR($J1908&lt;&gt;"x",$A1908&lt;=FinReleve),1,0))</f>
        <v/>
      </c>
      <c r="P1908" s="6" t="str">
        <f>IF($D1908="","",IF(AND($L1908="Crédit",OR(IFERROR(INDEX('Paramètres'!$O:$O,MATCH($D1908,'Paramètres'!$M:$M,0))&amp;"","")&lt;&gt;"",ISNUMBER(SEARCH("remboursement",IFERROR(INDEX('Paramètres'!$N:$N,MATCH($D1908,'Paramètres'!$M:$M,0))&amp;"",""))))),1,0))</f>
        <v/>
      </c>
      <c r="Q1908" s="6" t="str">
        <f>IF($K1908="","",IF(ISNUMBER(SEARCH("transfert-interne",IFERROR(INDEX('Paramètres'!$N:$N,MATCH($D1908,'Paramètres'!$M:$M,0))&amp;"",""))),0,IF($L1908="Débit",$K1908,IF($P1908=1,-$K1908,0))))</f>
        <v/>
      </c>
      <c r="R1908" s="6" t="str">
        <f>IF($K1908="","",IF($L1908="Crédit",$K1908,-$K1908))</f>
        <v/>
      </c>
      <c r="S1908" s="6" t="str">
        <f>IF($C1908="","",IFERROR(INDEX('Paramètres'!$H:$H,MATCH($C1908,'Paramètres'!$D:$D,0))&amp;"",""))</f>
        <v/>
      </c>
      <c r="T1908" s="6" t="str">
        <f>IF($K1908="","",IF($S1908="",0,IF(ISNUMBER(SEARCH("apport-exterieur",IFERROR(INDEX('Paramètres'!$N:$N,MATCH($D1908,'Paramètres'!$M:$M,0))&amp;"",""))),0,IF(OR(IFERROR(INDEX('Paramètres'!$I:$I,MATCH($C1908,'Paramètres'!$D:$D,0))&amp;"","")="Les deux",IFERROR(INDEX('Paramètres'!$I:$I,MATCH($C1908,'Paramètres'!$D:$D,0))&amp;"","")=IF($P1908=1,"Débit",$L1908)),-IF($P1908=1,-$K1908,$K1908),0))))</f>
        <v/>
      </c>
      <c r="U1908" s="6" t="str">
        <f>IF($K1908="","",IF(ISNUMBER(SEARCH("sortie-epargne",IFERROR(INDEX('Paramètres'!$N:$N,MATCH($D1908,'Paramètres'!$M:$M,0))&amp;"",""))),$K1908,0))</f>
        <v/>
      </c>
      <c r="V1908" s="6" t="str">
        <f>IF(AND($A1908&lt;&gt;"",$O1908=1,$L1908="Débit",N($Q1908)&gt;0,$A1908&gt;=Visualisation!$B$1,$A1908&lt;Visualisation!$D$1),MAX($V$1:V1907)+1,"")</f>
        <v/>
      </c>
    </row>
    <row r="1909" spans="1:22" x14ac:dyDescent="0.25">
      <c r="A1909" s="9"/>
      <c r="E1909" s="10"/>
      <c r="K1909" s="11" t="str">
        <f>IF($E1909="","",ROUND($E1909*IF(ISNA(MATCH($C1909,'Paramètres'!$D:$D,0)),1,IF(INDEX('Paramètres'!$J:$J,MATCH($C1909,'Paramètres'!$D:$D,0))="",1,INDEX('Paramètres'!$J:$J,MATCH($C1909,'Paramètres'!$D:$D,0)))),2))</f>
        <v/>
      </c>
      <c r="L1909" s="6" t="str">
        <f>IF($D1909="","",IF($F1909&lt;&gt;"",$F1909,IF(ISNA(MATCH($D1909,'Paramètres'!$M:$M,0)),"⚠ Type inconnu",IFERROR(INDEX('Paramètres'!$P:$P,MATCH($D1909,'Paramètres'!$M:$M,0))&amp;"",""))))</f>
        <v/>
      </c>
      <c r="M1909" s="6" t="str">
        <f>IF($D1909="","",IF(ISNA(MATCH($D1909,'Paramètres'!$M:$M,0)),"⚠ Type inconnu",IF($L1909="Crédit","",IFERROR(INDEX('Paramètres'!$O:$O,MATCH($D1909,'Paramètres'!$M:$M,0))&amp;"",""))))</f>
        <v/>
      </c>
      <c r="N1909" s="6" t="str">
        <f>IF($D1909="","",IFERROR(INDEX('Paramètres'!$Q:$Q,MATCH($D1909,'Paramètres'!$M:$M,0))&amp;"",""))</f>
        <v/>
      </c>
      <c r="O1909" s="6" t="str">
        <f>IF($A1909="","",IF(OR($J1909&lt;&gt;"x",$A1909&lt;=FinReleve),1,0))</f>
        <v/>
      </c>
      <c r="P1909" s="6" t="str">
        <f>IF($D1909="","",IF(AND($L1909="Crédit",OR(IFERROR(INDEX('Paramètres'!$O:$O,MATCH($D1909,'Paramètres'!$M:$M,0))&amp;"","")&lt;&gt;"",ISNUMBER(SEARCH("remboursement",IFERROR(INDEX('Paramètres'!$N:$N,MATCH($D1909,'Paramètres'!$M:$M,0))&amp;"",""))))),1,0))</f>
        <v/>
      </c>
      <c r="Q1909" s="6" t="str">
        <f>IF($K1909="","",IF(ISNUMBER(SEARCH("transfert-interne",IFERROR(INDEX('Paramètres'!$N:$N,MATCH($D1909,'Paramètres'!$M:$M,0))&amp;"",""))),0,IF($L1909="Débit",$K1909,IF($P1909=1,-$K1909,0))))</f>
        <v/>
      </c>
      <c r="R1909" s="6" t="str">
        <f>IF($K1909="","",IF($L1909="Crédit",$K1909,-$K1909))</f>
        <v/>
      </c>
      <c r="S1909" s="6" t="str">
        <f>IF($C1909="","",IFERROR(INDEX('Paramètres'!$H:$H,MATCH($C1909,'Paramètres'!$D:$D,0))&amp;"",""))</f>
        <v/>
      </c>
      <c r="T1909" s="6" t="str">
        <f>IF($K1909="","",IF($S1909="",0,IF(ISNUMBER(SEARCH("apport-exterieur",IFERROR(INDEX('Paramètres'!$N:$N,MATCH($D1909,'Paramètres'!$M:$M,0))&amp;"",""))),0,IF(OR(IFERROR(INDEX('Paramètres'!$I:$I,MATCH($C1909,'Paramètres'!$D:$D,0))&amp;"","")="Les deux",IFERROR(INDEX('Paramètres'!$I:$I,MATCH($C1909,'Paramètres'!$D:$D,0))&amp;"","")=IF($P1909=1,"Débit",$L1909)),-IF($P1909=1,-$K1909,$K1909),0))))</f>
        <v/>
      </c>
      <c r="U1909" s="6" t="str">
        <f>IF($K1909="","",IF(ISNUMBER(SEARCH("sortie-epargne",IFERROR(INDEX('Paramètres'!$N:$N,MATCH($D1909,'Paramètres'!$M:$M,0))&amp;"",""))),$K1909,0))</f>
        <v/>
      </c>
      <c r="V1909" s="6" t="str">
        <f>IF(AND($A1909&lt;&gt;"",$O1909=1,$L1909="Débit",N($Q1909)&gt;0,$A1909&gt;=Visualisation!$B$1,$A1909&lt;Visualisation!$D$1),MAX($V$1:V1908)+1,"")</f>
        <v/>
      </c>
    </row>
    <row r="1910" spans="1:22" x14ac:dyDescent="0.25">
      <c r="A1910" s="9"/>
      <c r="E1910" s="10"/>
      <c r="K1910" s="11" t="str">
        <f>IF($E1910="","",ROUND($E1910*IF(ISNA(MATCH($C1910,'Paramètres'!$D:$D,0)),1,IF(INDEX('Paramètres'!$J:$J,MATCH($C1910,'Paramètres'!$D:$D,0))="",1,INDEX('Paramètres'!$J:$J,MATCH($C1910,'Paramètres'!$D:$D,0)))),2))</f>
        <v/>
      </c>
      <c r="L1910" s="6" t="str">
        <f>IF($D1910="","",IF($F1910&lt;&gt;"",$F1910,IF(ISNA(MATCH($D1910,'Paramètres'!$M:$M,0)),"⚠ Type inconnu",IFERROR(INDEX('Paramètres'!$P:$P,MATCH($D1910,'Paramètres'!$M:$M,0))&amp;"",""))))</f>
        <v/>
      </c>
      <c r="M1910" s="6" t="str">
        <f>IF($D1910="","",IF(ISNA(MATCH($D1910,'Paramètres'!$M:$M,0)),"⚠ Type inconnu",IF($L1910="Crédit","",IFERROR(INDEX('Paramètres'!$O:$O,MATCH($D1910,'Paramètres'!$M:$M,0))&amp;"",""))))</f>
        <v/>
      </c>
      <c r="N1910" s="6" t="str">
        <f>IF($D1910="","",IFERROR(INDEX('Paramètres'!$Q:$Q,MATCH($D1910,'Paramètres'!$M:$M,0))&amp;"",""))</f>
        <v/>
      </c>
      <c r="O1910" s="6" t="str">
        <f>IF($A1910="","",IF(OR($J1910&lt;&gt;"x",$A1910&lt;=FinReleve),1,0))</f>
        <v/>
      </c>
      <c r="P1910" s="6" t="str">
        <f>IF($D1910="","",IF(AND($L1910="Crédit",OR(IFERROR(INDEX('Paramètres'!$O:$O,MATCH($D1910,'Paramètres'!$M:$M,0))&amp;"","")&lt;&gt;"",ISNUMBER(SEARCH("remboursement",IFERROR(INDEX('Paramètres'!$N:$N,MATCH($D1910,'Paramètres'!$M:$M,0))&amp;"",""))))),1,0))</f>
        <v/>
      </c>
      <c r="Q1910" s="6" t="str">
        <f>IF($K1910="","",IF(ISNUMBER(SEARCH("transfert-interne",IFERROR(INDEX('Paramètres'!$N:$N,MATCH($D1910,'Paramètres'!$M:$M,0))&amp;"",""))),0,IF($L1910="Débit",$K1910,IF($P1910=1,-$K1910,0))))</f>
        <v/>
      </c>
      <c r="R1910" s="6" t="str">
        <f>IF($K1910="","",IF($L1910="Crédit",$K1910,-$K1910))</f>
        <v/>
      </c>
      <c r="S1910" s="6" t="str">
        <f>IF($C1910="","",IFERROR(INDEX('Paramètres'!$H:$H,MATCH($C1910,'Paramètres'!$D:$D,0))&amp;"",""))</f>
        <v/>
      </c>
      <c r="T1910" s="6" t="str">
        <f>IF($K1910="","",IF($S1910="",0,IF(ISNUMBER(SEARCH("apport-exterieur",IFERROR(INDEX('Paramètres'!$N:$N,MATCH($D1910,'Paramètres'!$M:$M,0))&amp;"",""))),0,IF(OR(IFERROR(INDEX('Paramètres'!$I:$I,MATCH($C1910,'Paramètres'!$D:$D,0))&amp;"","")="Les deux",IFERROR(INDEX('Paramètres'!$I:$I,MATCH($C1910,'Paramètres'!$D:$D,0))&amp;"","")=IF($P1910=1,"Débit",$L1910)),-IF($P1910=1,-$K1910,$K1910),0))))</f>
        <v/>
      </c>
      <c r="U1910" s="6" t="str">
        <f>IF($K1910="","",IF(ISNUMBER(SEARCH("sortie-epargne",IFERROR(INDEX('Paramètres'!$N:$N,MATCH($D1910,'Paramètres'!$M:$M,0))&amp;"",""))),$K1910,0))</f>
        <v/>
      </c>
      <c r="V1910" s="6" t="str">
        <f>IF(AND($A1910&lt;&gt;"",$O1910=1,$L1910="Débit",N($Q1910)&gt;0,$A1910&gt;=Visualisation!$B$1,$A1910&lt;Visualisation!$D$1),MAX($V$1:V1909)+1,"")</f>
        <v/>
      </c>
    </row>
    <row r="1911" spans="1:22" x14ac:dyDescent="0.25">
      <c r="A1911" s="9"/>
      <c r="E1911" s="10"/>
      <c r="K1911" s="11" t="str">
        <f>IF($E1911="","",ROUND($E1911*IF(ISNA(MATCH($C1911,'Paramètres'!$D:$D,0)),1,IF(INDEX('Paramètres'!$J:$J,MATCH($C1911,'Paramètres'!$D:$D,0))="",1,INDEX('Paramètres'!$J:$J,MATCH($C1911,'Paramètres'!$D:$D,0)))),2))</f>
        <v/>
      </c>
      <c r="L1911" s="6" t="str">
        <f>IF($D1911="","",IF($F1911&lt;&gt;"",$F1911,IF(ISNA(MATCH($D1911,'Paramètres'!$M:$M,0)),"⚠ Type inconnu",IFERROR(INDEX('Paramètres'!$P:$P,MATCH($D1911,'Paramètres'!$M:$M,0))&amp;"",""))))</f>
        <v/>
      </c>
      <c r="M1911" s="6" t="str">
        <f>IF($D1911="","",IF(ISNA(MATCH($D1911,'Paramètres'!$M:$M,0)),"⚠ Type inconnu",IF($L1911="Crédit","",IFERROR(INDEX('Paramètres'!$O:$O,MATCH($D1911,'Paramètres'!$M:$M,0))&amp;"",""))))</f>
        <v/>
      </c>
      <c r="N1911" s="6" t="str">
        <f>IF($D1911="","",IFERROR(INDEX('Paramètres'!$Q:$Q,MATCH($D1911,'Paramètres'!$M:$M,0))&amp;"",""))</f>
        <v/>
      </c>
      <c r="O1911" s="6" t="str">
        <f>IF($A1911="","",IF(OR($J1911&lt;&gt;"x",$A1911&lt;=FinReleve),1,0))</f>
        <v/>
      </c>
      <c r="P1911" s="6" t="str">
        <f>IF($D1911="","",IF(AND($L1911="Crédit",OR(IFERROR(INDEX('Paramètres'!$O:$O,MATCH($D1911,'Paramètres'!$M:$M,0))&amp;"","")&lt;&gt;"",ISNUMBER(SEARCH("remboursement",IFERROR(INDEX('Paramètres'!$N:$N,MATCH($D1911,'Paramètres'!$M:$M,0))&amp;"",""))))),1,0))</f>
        <v/>
      </c>
      <c r="Q1911" s="6" t="str">
        <f>IF($K1911="","",IF(ISNUMBER(SEARCH("transfert-interne",IFERROR(INDEX('Paramètres'!$N:$N,MATCH($D1911,'Paramètres'!$M:$M,0))&amp;"",""))),0,IF($L1911="Débit",$K1911,IF($P1911=1,-$K1911,0))))</f>
        <v/>
      </c>
      <c r="R1911" s="6" t="str">
        <f>IF($K1911="","",IF($L1911="Crédit",$K1911,-$K1911))</f>
        <v/>
      </c>
      <c r="S1911" s="6" t="str">
        <f>IF($C1911="","",IFERROR(INDEX('Paramètres'!$H:$H,MATCH($C1911,'Paramètres'!$D:$D,0))&amp;"",""))</f>
        <v/>
      </c>
      <c r="T1911" s="6" t="str">
        <f>IF($K1911="","",IF($S1911="",0,IF(ISNUMBER(SEARCH("apport-exterieur",IFERROR(INDEX('Paramètres'!$N:$N,MATCH($D1911,'Paramètres'!$M:$M,0))&amp;"",""))),0,IF(OR(IFERROR(INDEX('Paramètres'!$I:$I,MATCH($C1911,'Paramètres'!$D:$D,0))&amp;"","")="Les deux",IFERROR(INDEX('Paramètres'!$I:$I,MATCH($C1911,'Paramètres'!$D:$D,0))&amp;"","")=IF($P1911=1,"Débit",$L1911)),-IF($P1911=1,-$K1911,$K1911),0))))</f>
        <v/>
      </c>
      <c r="U1911" s="6" t="str">
        <f>IF($K1911="","",IF(ISNUMBER(SEARCH("sortie-epargne",IFERROR(INDEX('Paramètres'!$N:$N,MATCH($D1911,'Paramètres'!$M:$M,0))&amp;"",""))),$K1911,0))</f>
        <v/>
      </c>
      <c r="V1911" s="6" t="str">
        <f>IF(AND($A1911&lt;&gt;"",$O1911=1,$L1911="Débit",N($Q1911)&gt;0,$A1911&gt;=Visualisation!$B$1,$A1911&lt;Visualisation!$D$1),MAX($V$1:V1910)+1,"")</f>
        <v/>
      </c>
    </row>
    <row r="1912" spans="1:22" x14ac:dyDescent="0.25">
      <c r="A1912" s="9"/>
      <c r="E1912" s="10"/>
      <c r="K1912" s="11" t="str">
        <f>IF($E1912="","",ROUND($E1912*IF(ISNA(MATCH($C1912,'Paramètres'!$D:$D,0)),1,IF(INDEX('Paramètres'!$J:$J,MATCH($C1912,'Paramètres'!$D:$D,0))="",1,INDEX('Paramètres'!$J:$J,MATCH($C1912,'Paramètres'!$D:$D,0)))),2))</f>
        <v/>
      </c>
      <c r="L1912" s="6" t="str">
        <f>IF($D1912="","",IF($F1912&lt;&gt;"",$F1912,IF(ISNA(MATCH($D1912,'Paramètres'!$M:$M,0)),"⚠ Type inconnu",IFERROR(INDEX('Paramètres'!$P:$P,MATCH($D1912,'Paramètres'!$M:$M,0))&amp;"",""))))</f>
        <v/>
      </c>
      <c r="M1912" s="6" t="str">
        <f>IF($D1912="","",IF(ISNA(MATCH($D1912,'Paramètres'!$M:$M,0)),"⚠ Type inconnu",IF($L1912="Crédit","",IFERROR(INDEX('Paramètres'!$O:$O,MATCH($D1912,'Paramètres'!$M:$M,0))&amp;"",""))))</f>
        <v/>
      </c>
      <c r="N1912" s="6" t="str">
        <f>IF($D1912="","",IFERROR(INDEX('Paramètres'!$Q:$Q,MATCH($D1912,'Paramètres'!$M:$M,0))&amp;"",""))</f>
        <v/>
      </c>
      <c r="O1912" s="6" t="str">
        <f>IF($A1912="","",IF(OR($J1912&lt;&gt;"x",$A1912&lt;=FinReleve),1,0))</f>
        <v/>
      </c>
      <c r="P1912" s="6" t="str">
        <f>IF($D1912="","",IF(AND($L1912="Crédit",OR(IFERROR(INDEX('Paramètres'!$O:$O,MATCH($D1912,'Paramètres'!$M:$M,0))&amp;"","")&lt;&gt;"",ISNUMBER(SEARCH("remboursement",IFERROR(INDEX('Paramètres'!$N:$N,MATCH($D1912,'Paramètres'!$M:$M,0))&amp;"",""))))),1,0))</f>
        <v/>
      </c>
      <c r="Q1912" s="6" t="str">
        <f>IF($K1912="","",IF(ISNUMBER(SEARCH("transfert-interne",IFERROR(INDEX('Paramètres'!$N:$N,MATCH($D1912,'Paramètres'!$M:$M,0))&amp;"",""))),0,IF($L1912="Débit",$K1912,IF($P1912=1,-$K1912,0))))</f>
        <v/>
      </c>
      <c r="R1912" s="6" t="str">
        <f>IF($K1912="","",IF($L1912="Crédit",$K1912,-$K1912))</f>
        <v/>
      </c>
      <c r="S1912" s="6" t="str">
        <f>IF($C1912="","",IFERROR(INDEX('Paramètres'!$H:$H,MATCH($C1912,'Paramètres'!$D:$D,0))&amp;"",""))</f>
        <v/>
      </c>
      <c r="T1912" s="6" t="str">
        <f>IF($K1912="","",IF($S1912="",0,IF(ISNUMBER(SEARCH("apport-exterieur",IFERROR(INDEX('Paramètres'!$N:$N,MATCH($D1912,'Paramètres'!$M:$M,0))&amp;"",""))),0,IF(OR(IFERROR(INDEX('Paramètres'!$I:$I,MATCH($C1912,'Paramètres'!$D:$D,0))&amp;"","")="Les deux",IFERROR(INDEX('Paramètres'!$I:$I,MATCH($C1912,'Paramètres'!$D:$D,0))&amp;"","")=IF($P1912=1,"Débit",$L1912)),-IF($P1912=1,-$K1912,$K1912),0))))</f>
        <v/>
      </c>
      <c r="U1912" s="6" t="str">
        <f>IF($K1912="","",IF(ISNUMBER(SEARCH("sortie-epargne",IFERROR(INDEX('Paramètres'!$N:$N,MATCH($D1912,'Paramètres'!$M:$M,0))&amp;"",""))),$K1912,0))</f>
        <v/>
      </c>
      <c r="V1912" s="6" t="str">
        <f>IF(AND($A1912&lt;&gt;"",$O1912=1,$L1912="Débit",N($Q1912)&gt;0,$A1912&gt;=Visualisation!$B$1,$A1912&lt;Visualisation!$D$1),MAX($V$1:V1911)+1,"")</f>
        <v/>
      </c>
    </row>
    <row r="1913" spans="1:22" x14ac:dyDescent="0.25">
      <c r="A1913" s="9"/>
      <c r="E1913" s="10"/>
      <c r="K1913" s="11" t="str">
        <f>IF($E1913="","",ROUND($E1913*IF(ISNA(MATCH($C1913,'Paramètres'!$D:$D,0)),1,IF(INDEX('Paramètres'!$J:$J,MATCH($C1913,'Paramètres'!$D:$D,0))="",1,INDEX('Paramètres'!$J:$J,MATCH($C1913,'Paramètres'!$D:$D,0)))),2))</f>
        <v/>
      </c>
      <c r="L1913" s="6" t="str">
        <f>IF($D1913="","",IF($F1913&lt;&gt;"",$F1913,IF(ISNA(MATCH($D1913,'Paramètres'!$M:$M,0)),"⚠ Type inconnu",IFERROR(INDEX('Paramètres'!$P:$P,MATCH($D1913,'Paramètres'!$M:$M,0))&amp;"",""))))</f>
        <v/>
      </c>
      <c r="M1913" s="6" t="str">
        <f>IF($D1913="","",IF(ISNA(MATCH($D1913,'Paramètres'!$M:$M,0)),"⚠ Type inconnu",IF($L1913="Crédit","",IFERROR(INDEX('Paramètres'!$O:$O,MATCH($D1913,'Paramètres'!$M:$M,0))&amp;"",""))))</f>
        <v/>
      </c>
      <c r="N1913" s="6" t="str">
        <f>IF($D1913="","",IFERROR(INDEX('Paramètres'!$Q:$Q,MATCH($D1913,'Paramètres'!$M:$M,0))&amp;"",""))</f>
        <v/>
      </c>
      <c r="O1913" s="6" t="str">
        <f>IF($A1913="","",IF(OR($J1913&lt;&gt;"x",$A1913&lt;=FinReleve),1,0))</f>
        <v/>
      </c>
      <c r="P1913" s="6" t="str">
        <f>IF($D1913="","",IF(AND($L1913="Crédit",OR(IFERROR(INDEX('Paramètres'!$O:$O,MATCH($D1913,'Paramètres'!$M:$M,0))&amp;"","")&lt;&gt;"",ISNUMBER(SEARCH("remboursement",IFERROR(INDEX('Paramètres'!$N:$N,MATCH($D1913,'Paramètres'!$M:$M,0))&amp;"",""))))),1,0))</f>
        <v/>
      </c>
      <c r="Q1913" s="6" t="str">
        <f>IF($K1913="","",IF(ISNUMBER(SEARCH("transfert-interne",IFERROR(INDEX('Paramètres'!$N:$N,MATCH($D1913,'Paramètres'!$M:$M,0))&amp;"",""))),0,IF($L1913="Débit",$K1913,IF($P1913=1,-$K1913,0))))</f>
        <v/>
      </c>
      <c r="R1913" s="6" t="str">
        <f>IF($K1913="","",IF($L1913="Crédit",$K1913,-$K1913))</f>
        <v/>
      </c>
      <c r="S1913" s="6" t="str">
        <f>IF($C1913="","",IFERROR(INDEX('Paramètres'!$H:$H,MATCH($C1913,'Paramètres'!$D:$D,0))&amp;"",""))</f>
        <v/>
      </c>
      <c r="T1913" s="6" t="str">
        <f>IF($K1913="","",IF($S1913="",0,IF(ISNUMBER(SEARCH("apport-exterieur",IFERROR(INDEX('Paramètres'!$N:$N,MATCH($D1913,'Paramètres'!$M:$M,0))&amp;"",""))),0,IF(OR(IFERROR(INDEX('Paramètres'!$I:$I,MATCH($C1913,'Paramètres'!$D:$D,0))&amp;"","")="Les deux",IFERROR(INDEX('Paramètres'!$I:$I,MATCH($C1913,'Paramètres'!$D:$D,0))&amp;"","")=IF($P1913=1,"Débit",$L1913)),-IF($P1913=1,-$K1913,$K1913),0))))</f>
        <v/>
      </c>
      <c r="U1913" s="6" t="str">
        <f>IF($K1913="","",IF(ISNUMBER(SEARCH("sortie-epargne",IFERROR(INDEX('Paramètres'!$N:$N,MATCH($D1913,'Paramètres'!$M:$M,0))&amp;"",""))),$K1913,0))</f>
        <v/>
      </c>
      <c r="V1913" s="6" t="str">
        <f>IF(AND($A1913&lt;&gt;"",$O1913=1,$L1913="Débit",N($Q1913)&gt;0,$A1913&gt;=Visualisation!$B$1,$A1913&lt;Visualisation!$D$1),MAX($V$1:V1912)+1,"")</f>
        <v/>
      </c>
    </row>
    <row r="1914" spans="1:22" x14ac:dyDescent="0.25">
      <c r="A1914" s="9"/>
      <c r="E1914" s="10"/>
      <c r="K1914" s="11" t="str">
        <f>IF($E1914="","",ROUND($E1914*IF(ISNA(MATCH($C1914,'Paramètres'!$D:$D,0)),1,IF(INDEX('Paramètres'!$J:$J,MATCH($C1914,'Paramètres'!$D:$D,0))="",1,INDEX('Paramètres'!$J:$J,MATCH($C1914,'Paramètres'!$D:$D,0)))),2))</f>
        <v/>
      </c>
      <c r="L1914" s="6" t="str">
        <f>IF($D1914="","",IF($F1914&lt;&gt;"",$F1914,IF(ISNA(MATCH($D1914,'Paramètres'!$M:$M,0)),"⚠ Type inconnu",IFERROR(INDEX('Paramètres'!$P:$P,MATCH($D1914,'Paramètres'!$M:$M,0))&amp;"",""))))</f>
        <v/>
      </c>
      <c r="M1914" s="6" t="str">
        <f>IF($D1914="","",IF(ISNA(MATCH($D1914,'Paramètres'!$M:$M,0)),"⚠ Type inconnu",IF($L1914="Crédit","",IFERROR(INDEX('Paramètres'!$O:$O,MATCH($D1914,'Paramètres'!$M:$M,0))&amp;"",""))))</f>
        <v/>
      </c>
      <c r="N1914" s="6" t="str">
        <f>IF($D1914="","",IFERROR(INDEX('Paramètres'!$Q:$Q,MATCH($D1914,'Paramètres'!$M:$M,0))&amp;"",""))</f>
        <v/>
      </c>
      <c r="O1914" s="6" t="str">
        <f>IF($A1914="","",IF(OR($J1914&lt;&gt;"x",$A1914&lt;=FinReleve),1,0))</f>
        <v/>
      </c>
      <c r="P1914" s="6" t="str">
        <f>IF($D1914="","",IF(AND($L1914="Crédit",OR(IFERROR(INDEX('Paramètres'!$O:$O,MATCH($D1914,'Paramètres'!$M:$M,0))&amp;"","")&lt;&gt;"",ISNUMBER(SEARCH("remboursement",IFERROR(INDEX('Paramètres'!$N:$N,MATCH($D1914,'Paramètres'!$M:$M,0))&amp;"",""))))),1,0))</f>
        <v/>
      </c>
      <c r="Q1914" s="6" t="str">
        <f>IF($K1914="","",IF(ISNUMBER(SEARCH("transfert-interne",IFERROR(INDEX('Paramètres'!$N:$N,MATCH($D1914,'Paramètres'!$M:$M,0))&amp;"",""))),0,IF($L1914="Débit",$K1914,IF($P1914=1,-$K1914,0))))</f>
        <v/>
      </c>
      <c r="R1914" s="6" t="str">
        <f>IF($K1914="","",IF($L1914="Crédit",$K1914,-$K1914))</f>
        <v/>
      </c>
      <c r="S1914" s="6" t="str">
        <f>IF($C1914="","",IFERROR(INDEX('Paramètres'!$H:$H,MATCH($C1914,'Paramètres'!$D:$D,0))&amp;"",""))</f>
        <v/>
      </c>
      <c r="T1914" s="6" t="str">
        <f>IF($K1914="","",IF($S1914="",0,IF(ISNUMBER(SEARCH("apport-exterieur",IFERROR(INDEX('Paramètres'!$N:$N,MATCH($D1914,'Paramètres'!$M:$M,0))&amp;"",""))),0,IF(OR(IFERROR(INDEX('Paramètres'!$I:$I,MATCH($C1914,'Paramètres'!$D:$D,0))&amp;"","")="Les deux",IFERROR(INDEX('Paramètres'!$I:$I,MATCH($C1914,'Paramètres'!$D:$D,0))&amp;"","")=IF($P1914=1,"Débit",$L1914)),-IF($P1914=1,-$K1914,$K1914),0))))</f>
        <v/>
      </c>
      <c r="U1914" s="6" t="str">
        <f>IF($K1914="","",IF(ISNUMBER(SEARCH("sortie-epargne",IFERROR(INDEX('Paramètres'!$N:$N,MATCH($D1914,'Paramètres'!$M:$M,0))&amp;"",""))),$K1914,0))</f>
        <v/>
      </c>
      <c r="V1914" s="6" t="str">
        <f>IF(AND($A1914&lt;&gt;"",$O1914=1,$L1914="Débit",N($Q1914)&gt;0,$A1914&gt;=Visualisation!$B$1,$A1914&lt;Visualisation!$D$1),MAX($V$1:V1913)+1,"")</f>
        <v/>
      </c>
    </row>
    <row r="1915" spans="1:22" x14ac:dyDescent="0.25">
      <c r="A1915" s="9"/>
      <c r="E1915" s="10"/>
      <c r="K1915" s="11" t="str">
        <f>IF($E1915="","",ROUND($E1915*IF(ISNA(MATCH($C1915,'Paramètres'!$D:$D,0)),1,IF(INDEX('Paramètres'!$J:$J,MATCH($C1915,'Paramètres'!$D:$D,0))="",1,INDEX('Paramètres'!$J:$J,MATCH($C1915,'Paramètres'!$D:$D,0)))),2))</f>
        <v/>
      </c>
      <c r="L1915" s="6" t="str">
        <f>IF($D1915="","",IF($F1915&lt;&gt;"",$F1915,IF(ISNA(MATCH($D1915,'Paramètres'!$M:$M,0)),"⚠ Type inconnu",IFERROR(INDEX('Paramètres'!$P:$P,MATCH($D1915,'Paramètres'!$M:$M,0))&amp;"",""))))</f>
        <v/>
      </c>
      <c r="M1915" s="6" t="str">
        <f>IF($D1915="","",IF(ISNA(MATCH($D1915,'Paramètres'!$M:$M,0)),"⚠ Type inconnu",IF($L1915="Crédit","",IFERROR(INDEX('Paramètres'!$O:$O,MATCH($D1915,'Paramètres'!$M:$M,0))&amp;"",""))))</f>
        <v/>
      </c>
      <c r="N1915" s="6" t="str">
        <f>IF($D1915="","",IFERROR(INDEX('Paramètres'!$Q:$Q,MATCH($D1915,'Paramètres'!$M:$M,0))&amp;"",""))</f>
        <v/>
      </c>
      <c r="O1915" s="6" t="str">
        <f>IF($A1915="","",IF(OR($J1915&lt;&gt;"x",$A1915&lt;=FinReleve),1,0))</f>
        <v/>
      </c>
      <c r="P1915" s="6" t="str">
        <f>IF($D1915="","",IF(AND($L1915="Crédit",OR(IFERROR(INDEX('Paramètres'!$O:$O,MATCH($D1915,'Paramètres'!$M:$M,0))&amp;"","")&lt;&gt;"",ISNUMBER(SEARCH("remboursement",IFERROR(INDEX('Paramètres'!$N:$N,MATCH($D1915,'Paramètres'!$M:$M,0))&amp;"",""))))),1,0))</f>
        <v/>
      </c>
      <c r="Q1915" s="6" t="str">
        <f>IF($K1915="","",IF(ISNUMBER(SEARCH("transfert-interne",IFERROR(INDEX('Paramètres'!$N:$N,MATCH($D1915,'Paramètres'!$M:$M,0))&amp;"",""))),0,IF($L1915="Débit",$K1915,IF($P1915=1,-$K1915,0))))</f>
        <v/>
      </c>
      <c r="R1915" s="6" t="str">
        <f>IF($K1915="","",IF($L1915="Crédit",$K1915,-$K1915))</f>
        <v/>
      </c>
      <c r="S1915" s="6" t="str">
        <f>IF($C1915="","",IFERROR(INDEX('Paramètres'!$H:$H,MATCH($C1915,'Paramètres'!$D:$D,0))&amp;"",""))</f>
        <v/>
      </c>
      <c r="T1915" s="6" t="str">
        <f>IF($K1915="","",IF($S1915="",0,IF(ISNUMBER(SEARCH("apport-exterieur",IFERROR(INDEX('Paramètres'!$N:$N,MATCH($D1915,'Paramètres'!$M:$M,0))&amp;"",""))),0,IF(OR(IFERROR(INDEX('Paramètres'!$I:$I,MATCH($C1915,'Paramètres'!$D:$D,0))&amp;"","")="Les deux",IFERROR(INDEX('Paramètres'!$I:$I,MATCH($C1915,'Paramètres'!$D:$D,0))&amp;"","")=IF($P1915=1,"Débit",$L1915)),-IF($P1915=1,-$K1915,$K1915),0))))</f>
        <v/>
      </c>
      <c r="U1915" s="6" t="str">
        <f>IF($K1915="","",IF(ISNUMBER(SEARCH("sortie-epargne",IFERROR(INDEX('Paramètres'!$N:$N,MATCH($D1915,'Paramètres'!$M:$M,0))&amp;"",""))),$K1915,0))</f>
        <v/>
      </c>
      <c r="V1915" s="6" t="str">
        <f>IF(AND($A1915&lt;&gt;"",$O1915=1,$L1915="Débit",N($Q1915)&gt;0,$A1915&gt;=Visualisation!$B$1,$A1915&lt;Visualisation!$D$1),MAX($V$1:V1914)+1,"")</f>
        <v/>
      </c>
    </row>
    <row r="1916" spans="1:22" x14ac:dyDescent="0.25">
      <c r="A1916" s="9"/>
      <c r="E1916" s="10"/>
      <c r="K1916" s="11" t="str">
        <f>IF($E1916="","",ROUND($E1916*IF(ISNA(MATCH($C1916,'Paramètres'!$D:$D,0)),1,IF(INDEX('Paramètres'!$J:$J,MATCH($C1916,'Paramètres'!$D:$D,0))="",1,INDEX('Paramètres'!$J:$J,MATCH($C1916,'Paramètres'!$D:$D,0)))),2))</f>
        <v/>
      </c>
      <c r="L1916" s="6" t="str">
        <f>IF($D1916="","",IF($F1916&lt;&gt;"",$F1916,IF(ISNA(MATCH($D1916,'Paramètres'!$M:$M,0)),"⚠ Type inconnu",IFERROR(INDEX('Paramètres'!$P:$P,MATCH($D1916,'Paramètres'!$M:$M,0))&amp;"",""))))</f>
        <v/>
      </c>
      <c r="M1916" s="6" t="str">
        <f>IF($D1916="","",IF(ISNA(MATCH($D1916,'Paramètres'!$M:$M,0)),"⚠ Type inconnu",IF($L1916="Crédit","",IFERROR(INDEX('Paramètres'!$O:$O,MATCH($D1916,'Paramètres'!$M:$M,0))&amp;"",""))))</f>
        <v/>
      </c>
      <c r="N1916" s="6" t="str">
        <f>IF($D1916="","",IFERROR(INDEX('Paramètres'!$Q:$Q,MATCH($D1916,'Paramètres'!$M:$M,0))&amp;"",""))</f>
        <v/>
      </c>
      <c r="O1916" s="6" t="str">
        <f>IF($A1916="","",IF(OR($J1916&lt;&gt;"x",$A1916&lt;=FinReleve),1,0))</f>
        <v/>
      </c>
      <c r="P1916" s="6" t="str">
        <f>IF($D1916="","",IF(AND($L1916="Crédit",OR(IFERROR(INDEX('Paramètres'!$O:$O,MATCH($D1916,'Paramètres'!$M:$M,0))&amp;"","")&lt;&gt;"",ISNUMBER(SEARCH("remboursement",IFERROR(INDEX('Paramètres'!$N:$N,MATCH($D1916,'Paramètres'!$M:$M,0))&amp;"",""))))),1,0))</f>
        <v/>
      </c>
      <c r="Q1916" s="6" t="str">
        <f>IF($K1916="","",IF(ISNUMBER(SEARCH("transfert-interne",IFERROR(INDEX('Paramètres'!$N:$N,MATCH($D1916,'Paramètres'!$M:$M,0))&amp;"",""))),0,IF($L1916="Débit",$K1916,IF($P1916=1,-$K1916,0))))</f>
        <v/>
      </c>
      <c r="R1916" s="6" t="str">
        <f>IF($K1916="","",IF($L1916="Crédit",$K1916,-$K1916))</f>
        <v/>
      </c>
      <c r="S1916" s="6" t="str">
        <f>IF($C1916="","",IFERROR(INDEX('Paramètres'!$H:$H,MATCH($C1916,'Paramètres'!$D:$D,0))&amp;"",""))</f>
        <v/>
      </c>
      <c r="T1916" s="6" t="str">
        <f>IF($K1916="","",IF($S1916="",0,IF(ISNUMBER(SEARCH("apport-exterieur",IFERROR(INDEX('Paramètres'!$N:$N,MATCH($D1916,'Paramètres'!$M:$M,0))&amp;"",""))),0,IF(OR(IFERROR(INDEX('Paramètres'!$I:$I,MATCH($C1916,'Paramètres'!$D:$D,0))&amp;"","")="Les deux",IFERROR(INDEX('Paramètres'!$I:$I,MATCH($C1916,'Paramètres'!$D:$D,0))&amp;"","")=IF($P1916=1,"Débit",$L1916)),-IF($P1916=1,-$K1916,$K1916),0))))</f>
        <v/>
      </c>
      <c r="U1916" s="6" t="str">
        <f>IF($K1916="","",IF(ISNUMBER(SEARCH("sortie-epargne",IFERROR(INDEX('Paramètres'!$N:$N,MATCH($D1916,'Paramètres'!$M:$M,0))&amp;"",""))),$K1916,0))</f>
        <v/>
      </c>
      <c r="V1916" s="6" t="str">
        <f>IF(AND($A1916&lt;&gt;"",$O1916=1,$L1916="Débit",N($Q1916)&gt;0,$A1916&gt;=Visualisation!$B$1,$A1916&lt;Visualisation!$D$1),MAX($V$1:V1915)+1,"")</f>
        <v/>
      </c>
    </row>
    <row r="1917" spans="1:22" x14ac:dyDescent="0.25">
      <c r="A1917" s="9"/>
      <c r="E1917" s="10"/>
      <c r="K1917" s="11" t="str">
        <f>IF($E1917="","",ROUND($E1917*IF(ISNA(MATCH($C1917,'Paramètres'!$D:$D,0)),1,IF(INDEX('Paramètres'!$J:$J,MATCH($C1917,'Paramètres'!$D:$D,0))="",1,INDEX('Paramètres'!$J:$J,MATCH($C1917,'Paramètres'!$D:$D,0)))),2))</f>
        <v/>
      </c>
      <c r="L1917" s="6" t="str">
        <f>IF($D1917="","",IF($F1917&lt;&gt;"",$F1917,IF(ISNA(MATCH($D1917,'Paramètres'!$M:$M,0)),"⚠ Type inconnu",IFERROR(INDEX('Paramètres'!$P:$P,MATCH($D1917,'Paramètres'!$M:$M,0))&amp;"",""))))</f>
        <v/>
      </c>
      <c r="M1917" s="6" t="str">
        <f>IF($D1917="","",IF(ISNA(MATCH($D1917,'Paramètres'!$M:$M,0)),"⚠ Type inconnu",IF($L1917="Crédit","",IFERROR(INDEX('Paramètres'!$O:$O,MATCH($D1917,'Paramètres'!$M:$M,0))&amp;"",""))))</f>
        <v/>
      </c>
      <c r="N1917" s="6" t="str">
        <f>IF($D1917="","",IFERROR(INDEX('Paramètres'!$Q:$Q,MATCH($D1917,'Paramètres'!$M:$M,0))&amp;"",""))</f>
        <v/>
      </c>
      <c r="O1917" s="6" t="str">
        <f>IF($A1917="","",IF(OR($J1917&lt;&gt;"x",$A1917&lt;=FinReleve),1,0))</f>
        <v/>
      </c>
      <c r="P1917" s="6" t="str">
        <f>IF($D1917="","",IF(AND($L1917="Crédit",OR(IFERROR(INDEX('Paramètres'!$O:$O,MATCH($D1917,'Paramètres'!$M:$M,0))&amp;"","")&lt;&gt;"",ISNUMBER(SEARCH("remboursement",IFERROR(INDEX('Paramètres'!$N:$N,MATCH($D1917,'Paramètres'!$M:$M,0))&amp;"",""))))),1,0))</f>
        <v/>
      </c>
      <c r="Q1917" s="6" t="str">
        <f>IF($K1917="","",IF(ISNUMBER(SEARCH("transfert-interne",IFERROR(INDEX('Paramètres'!$N:$N,MATCH($D1917,'Paramètres'!$M:$M,0))&amp;"",""))),0,IF($L1917="Débit",$K1917,IF($P1917=1,-$K1917,0))))</f>
        <v/>
      </c>
      <c r="R1917" s="6" t="str">
        <f>IF($K1917="","",IF($L1917="Crédit",$K1917,-$K1917))</f>
        <v/>
      </c>
      <c r="S1917" s="6" t="str">
        <f>IF($C1917="","",IFERROR(INDEX('Paramètres'!$H:$H,MATCH($C1917,'Paramètres'!$D:$D,0))&amp;"",""))</f>
        <v/>
      </c>
      <c r="T1917" s="6" t="str">
        <f>IF($K1917="","",IF($S1917="",0,IF(ISNUMBER(SEARCH("apport-exterieur",IFERROR(INDEX('Paramètres'!$N:$N,MATCH($D1917,'Paramètres'!$M:$M,0))&amp;"",""))),0,IF(OR(IFERROR(INDEX('Paramètres'!$I:$I,MATCH($C1917,'Paramètres'!$D:$D,0))&amp;"","")="Les deux",IFERROR(INDEX('Paramètres'!$I:$I,MATCH($C1917,'Paramètres'!$D:$D,0))&amp;"","")=IF($P1917=1,"Débit",$L1917)),-IF($P1917=1,-$K1917,$K1917),0))))</f>
        <v/>
      </c>
      <c r="U1917" s="6" t="str">
        <f>IF($K1917="","",IF(ISNUMBER(SEARCH("sortie-epargne",IFERROR(INDEX('Paramètres'!$N:$N,MATCH($D1917,'Paramètres'!$M:$M,0))&amp;"",""))),$K1917,0))</f>
        <v/>
      </c>
      <c r="V1917" s="6" t="str">
        <f>IF(AND($A1917&lt;&gt;"",$O1917=1,$L1917="Débit",N($Q1917)&gt;0,$A1917&gt;=Visualisation!$B$1,$A1917&lt;Visualisation!$D$1),MAX($V$1:V1916)+1,"")</f>
        <v/>
      </c>
    </row>
    <row r="1918" spans="1:22" x14ac:dyDescent="0.25">
      <c r="A1918" s="9"/>
      <c r="E1918" s="10"/>
      <c r="K1918" s="11" t="str">
        <f>IF($E1918="","",ROUND($E1918*IF(ISNA(MATCH($C1918,'Paramètres'!$D:$D,0)),1,IF(INDEX('Paramètres'!$J:$J,MATCH($C1918,'Paramètres'!$D:$D,0))="",1,INDEX('Paramètres'!$J:$J,MATCH($C1918,'Paramètres'!$D:$D,0)))),2))</f>
        <v/>
      </c>
      <c r="L1918" s="6" t="str">
        <f>IF($D1918="","",IF($F1918&lt;&gt;"",$F1918,IF(ISNA(MATCH($D1918,'Paramètres'!$M:$M,0)),"⚠ Type inconnu",IFERROR(INDEX('Paramètres'!$P:$P,MATCH($D1918,'Paramètres'!$M:$M,0))&amp;"",""))))</f>
        <v/>
      </c>
      <c r="M1918" s="6" t="str">
        <f>IF($D1918="","",IF(ISNA(MATCH($D1918,'Paramètres'!$M:$M,0)),"⚠ Type inconnu",IF($L1918="Crédit","",IFERROR(INDEX('Paramètres'!$O:$O,MATCH($D1918,'Paramètres'!$M:$M,0))&amp;"",""))))</f>
        <v/>
      </c>
      <c r="N1918" s="6" t="str">
        <f>IF($D1918="","",IFERROR(INDEX('Paramètres'!$Q:$Q,MATCH($D1918,'Paramètres'!$M:$M,0))&amp;"",""))</f>
        <v/>
      </c>
      <c r="O1918" s="6" t="str">
        <f>IF($A1918="","",IF(OR($J1918&lt;&gt;"x",$A1918&lt;=FinReleve),1,0))</f>
        <v/>
      </c>
      <c r="P1918" s="6" t="str">
        <f>IF($D1918="","",IF(AND($L1918="Crédit",OR(IFERROR(INDEX('Paramètres'!$O:$O,MATCH($D1918,'Paramètres'!$M:$M,0))&amp;"","")&lt;&gt;"",ISNUMBER(SEARCH("remboursement",IFERROR(INDEX('Paramètres'!$N:$N,MATCH($D1918,'Paramètres'!$M:$M,0))&amp;"",""))))),1,0))</f>
        <v/>
      </c>
      <c r="Q1918" s="6" t="str">
        <f>IF($K1918="","",IF(ISNUMBER(SEARCH("transfert-interne",IFERROR(INDEX('Paramètres'!$N:$N,MATCH($D1918,'Paramètres'!$M:$M,0))&amp;"",""))),0,IF($L1918="Débit",$K1918,IF($P1918=1,-$K1918,0))))</f>
        <v/>
      </c>
      <c r="R1918" s="6" t="str">
        <f>IF($K1918="","",IF($L1918="Crédit",$K1918,-$K1918))</f>
        <v/>
      </c>
      <c r="S1918" s="6" t="str">
        <f>IF($C1918="","",IFERROR(INDEX('Paramètres'!$H:$H,MATCH($C1918,'Paramètres'!$D:$D,0))&amp;"",""))</f>
        <v/>
      </c>
      <c r="T1918" s="6" t="str">
        <f>IF($K1918="","",IF($S1918="",0,IF(ISNUMBER(SEARCH("apport-exterieur",IFERROR(INDEX('Paramètres'!$N:$N,MATCH($D1918,'Paramètres'!$M:$M,0))&amp;"",""))),0,IF(OR(IFERROR(INDEX('Paramètres'!$I:$I,MATCH($C1918,'Paramètres'!$D:$D,0))&amp;"","")="Les deux",IFERROR(INDEX('Paramètres'!$I:$I,MATCH($C1918,'Paramètres'!$D:$D,0))&amp;"","")=IF($P1918=1,"Débit",$L1918)),-IF($P1918=1,-$K1918,$K1918),0))))</f>
        <v/>
      </c>
      <c r="U1918" s="6" t="str">
        <f>IF($K1918="","",IF(ISNUMBER(SEARCH("sortie-epargne",IFERROR(INDEX('Paramètres'!$N:$N,MATCH($D1918,'Paramètres'!$M:$M,0))&amp;"",""))),$K1918,0))</f>
        <v/>
      </c>
      <c r="V1918" s="6" t="str">
        <f>IF(AND($A1918&lt;&gt;"",$O1918=1,$L1918="Débit",N($Q1918)&gt;0,$A1918&gt;=Visualisation!$B$1,$A1918&lt;Visualisation!$D$1),MAX($V$1:V1917)+1,"")</f>
        <v/>
      </c>
    </row>
    <row r="1919" spans="1:22" x14ac:dyDescent="0.25">
      <c r="A1919" s="9"/>
      <c r="E1919" s="10"/>
      <c r="K1919" s="11" t="str">
        <f>IF($E1919="","",ROUND($E1919*IF(ISNA(MATCH($C1919,'Paramètres'!$D:$D,0)),1,IF(INDEX('Paramètres'!$J:$J,MATCH($C1919,'Paramètres'!$D:$D,0))="",1,INDEX('Paramètres'!$J:$J,MATCH($C1919,'Paramètres'!$D:$D,0)))),2))</f>
        <v/>
      </c>
      <c r="L1919" s="6" t="str">
        <f>IF($D1919="","",IF($F1919&lt;&gt;"",$F1919,IF(ISNA(MATCH($D1919,'Paramètres'!$M:$M,0)),"⚠ Type inconnu",IFERROR(INDEX('Paramètres'!$P:$P,MATCH($D1919,'Paramètres'!$M:$M,0))&amp;"",""))))</f>
        <v/>
      </c>
      <c r="M1919" s="6" t="str">
        <f>IF($D1919="","",IF(ISNA(MATCH($D1919,'Paramètres'!$M:$M,0)),"⚠ Type inconnu",IF($L1919="Crédit","",IFERROR(INDEX('Paramètres'!$O:$O,MATCH($D1919,'Paramètres'!$M:$M,0))&amp;"",""))))</f>
        <v/>
      </c>
      <c r="N1919" s="6" t="str">
        <f>IF($D1919="","",IFERROR(INDEX('Paramètres'!$Q:$Q,MATCH($D1919,'Paramètres'!$M:$M,0))&amp;"",""))</f>
        <v/>
      </c>
      <c r="O1919" s="6" t="str">
        <f>IF($A1919="","",IF(OR($J1919&lt;&gt;"x",$A1919&lt;=FinReleve),1,0))</f>
        <v/>
      </c>
      <c r="P1919" s="6" t="str">
        <f>IF($D1919="","",IF(AND($L1919="Crédit",OR(IFERROR(INDEX('Paramètres'!$O:$O,MATCH($D1919,'Paramètres'!$M:$M,0))&amp;"","")&lt;&gt;"",ISNUMBER(SEARCH("remboursement",IFERROR(INDEX('Paramètres'!$N:$N,MATCH($D1919,'Paramètres'!$M:$M,0))&amp;"",""))))),1,0))</f>
        <v/>
      </c>
      <c r="Q1919" s="6" t="str">
        <f>IF($K1919="","",IF(ISNUMBER(SEARCH("transfert-interne",IFERROR(INDEX('Paramètres'!$N:$N,MATCH($D1919,'Paramètres'!$M:$M,0))&amp;"",""))),0,IF($L1919="Débit",$K1919,IF($P1919=1,-$K1919,0))))</f>
        <v/>
      </c>
      <c r="R1919" s="6" t="str">
        <f>IF($K1919="","",IF($L1919="Crédit",$K1919,-$K1919))</f>
        <v/>
      </c>
      <c r="S1919" s="6" t="str">
        <f>IF($C1919="","",IFERROR(INDEX('Paramètres'!$H:$H,MATCH($C1919,'Paramètres'!$D:$D,0))&amp;"",""))</f>
        <v/>
      </c>
      <c r="T1919" s="6" t="str">
        <f>IF($K1919="","",IF($S1919="",0,IF(ISNUMBER(SEARCH("apport-exterieur",IFERROR(INDEX('Paramètres'!$N:$N,MATCH($D1919,'Paramètres'!$M:$M,0))&amp;"",""))),0,IF(OR(IFERROR(INDEX('Paramètres'!$I:$I,MATCH($C1919,'Paramètres'!$D:$D,0))&amp;"","")="Les deux",IFERROR(INDEX('Paramètres'!$I:$I,MATCH($C1919,'Paramètres'!$D:$D,0))&amp;"","")=IF($P1919=1,"Débit",$L1919)),-IF($P1919=1,-$K1919,$K1919),0))))</f>
        <v/>
      </c>
      <c r="U1919" s="6" t="str">
        <f>IF($K1919="","",IF(ISNUMBER(SEARCH("sortie-epargne",IFERROR(INDEX('Paramètres'!$N:$N,MATCH($D1919,'Paramètres'!$M:$M,0))&amp;"",""))),$K1919,0))</f>
        <v/>
      </c>
      <c r="V1919" s="6" t="str">
        <f>IF(AND($A1919&lt;&gt;"",$O1919=1,$L1919="Débit",N($Q1919)&gt;0,$A1919&gt;=Visualisation!$B$1,$A1919&lt;Visualisation!$D$1),MAX($V$1:V1918)+1,"")</f>
        <v/>
      </c>
    </row>
    <row r="1920" spans="1:22" x14ac:dyDescent="0.25">
      <c r="A1920" s="9"/>
      <c r="E1920" s="10"/>
      <c r="K1920" s="11" t="str">
        <f>IF($E1920="","",ROUND($E1920*IF(ISNA(MATCH($C1920,'Paramètres'!$D:$D,0)),1,IF(INDEX('Paramètres'!$J:$J,MATCH($C1920,'Paramètres'!$D:$D,0))="",1,INDEX('Paramètres'!$J:$J,MATCH($C1920,'Paramètres'!$D:$D,0)))),2))</f>
        <v/>
      </c>
      <c r="L1920" s="6" t="str">
        <f>IF($D1920="","",IF($F1920&lt;&gt;"",$F1920,IF(ISNA(MATCH($D1920,'Paramètres'!$M:$M,0)),"⚠ Type inconnu",IFERROR(INDEX('Paramètres'!$P:$P,MATCH($D1920,'Paramètres'!$M:$M,0))&amp;"",""))))</f>
        <v/>
      </c>
      <c r="M1920" s="6" t="str">
        <f>IF($D1920="","",IF(ISNA(MATCH($D1920,'Paramètres'!$M:$M,0)),"⚠ Type inconnu",IF($L1920="Crédit","",IFERROR(INDEX('Paramètres'!$O:$O,MATCH($D1920,'Paramètres'!$M:$M,0))&amp;"",""))))</f>
        <v/>
      </c>
      <c r="N1920" s="6" t="str">
        <f>IF($D1920="","",IFERROR(INDEX('Paramètres'!$Q:$Q,MATCH($D1920,'Paramètres'!$M:$M,0))&amp;"",""))</f>
        <v/>
      </c>
      <c r="O1920" s="6" t="str">
        <f>IF($A1920="","",IF(OR($J1920&lt;&gt;"x",$A1920&lt;=FinReleve),1,0))</f>
        <v/>
      </c>
      <c r="P1920" s="6" t="str">
        <f>IF($D1920="","",IF(AND($L1920="Crédit",OR(IFERROR(INDEX('Paramètres'!$O:$O,MATCH($D1920,'Paramètres'!$M:$M,0))&amp;"","")&lt;&gt;"",ISNUMBER(SEARCH("remboursement",IFERROR(INDEX('Paramètres'!$N:$N,MATCH($D1920,'Paramètres'!$M:$M,0))&amp;"",""))))),1,0))</f>
        <v/>
      </c>
      <c r="Q1920" s="6" t="str">
        <f>IF($K1920="","",IF(ISNUMBER(SEARCH("transfert-interne",IFERROR(INDEX('Paramètres'!$N:$N,MATCH($D1920,'Paramètres'!$M:$M,0))&amp;"",""))),0,IF($L1920="Débit",$K1920,IF($P1920=1,-$K1920,0))))</f>
        <v/>
      </c>
      <c r="R1920" s="6" t="str">
        <f>IF($K1920="","",IF($L1920="Crédit",$K1920,-$K1920))</f>
        <v/>
      </c>
      <c r="S1920" s="6" t="str">
        <f>IF($C1920="","",IFERROR(INDEX('Paramètres'!$H:$H,MATCH($C1920,'Paramètres'!$D:$D,0))&amp;"",""))</f>
        <v/>
      </c>
      <c r="T1920" s="6" t="str">
        <f>IF($K1920="","",IF($S1920="",0,IF(ISNUMBER(SEARCH("apport-exterieur",IFERROR(INDEX('Paramètres'!$N:$N,MATCH($D1920,'Paramètres'!$M:$M,0))&amp;"",""))),0,IF(OR(IFERROR(INDEX('Paramètres'!$I:$I,MATCH($C1920,'Paramètres'!$D:$D,0))&amp;"","")="Les deux",IFERROR(INDEX('Paramètres'!$I:$I,MATCH($C1920,'Paramètres'!$D:$D,0))&amp;"","")=IF($P1920=1,"Débit",$L1920)),-IF($P1920=1,-$K1920,$K1920),0))))</f>
        <v/>
      </c>
      <c r="U1920" s="6" t="str">
        <f>IF($K1920="","",IF(ISNUMBER(SEARCH("sortie-epargne",IFERROR(INDEX('Paramètres'!$N:$N,MATCH($D1920,'Paramètres'!$M:$M,0))&amp;"",""))),$K1920,0))</f>
        <v/>
      </c>
      <c r="V1920" s="6" t="str">
        <f>IF(AND($A1920&lt;&gt;"",$O1920=1,$L1920="Débit",N($Q1920)&gt;0,$A1920&gt;=Visualisation!$B$1,$A1920&lt;Visualisation!$D$1),MAX($V$1:V1919)+1,"")</f>
        <v/>
      </c>
    </row>
    <row r="1921" spans="1:22" x14ac:dyDescent="0.25">
      <c r="A1921" s="9"/>
      <c r="E1921" s="10"/>
      <c r="K1921" s="11" t="str">
        <f>IF($E1921="","",ROUND($E1921*IF(ISNA(MATCH($C1921,'Paramètres'!$D:$D,0)),1,IF(INDEX('Paramètres'!$J:$J,MATCH($C1921,'Paramètres'!$D:$D,0))="",1,INDEX('Paramètres'!$J:$J,MATCH($C1921,'Paramètres'!$D:$D,0)))),2))</f>
        <v/>
      </c>
      <c r="L1921" s="6" t="str">
        <f>IF($D1921="","",IF($F1921&lt;&gt;"",$F1921,IF(ISNA(MATCH($D1921,'Paramètres'!$M:$M,0)),"⚠ Type inconnu",IFERROR(INDEX('Paramètres'!$P:$P,MATCH($D1921,'Paramètres'!$M:$M,0))&amp;"",""))))</f>
        <v/>
      </c>
      <c r="M1921" s="6" t="str">
        <f>IF($D1921="","",IF(ISNA(MATCH($D1921,'Paramètres'!$M:$M,0)),"⚠ Type inconnu",IF($L1921="Crédit","",IFERROR(INDEX('Paramètres'!$O:$O,MATCH($D1921,'Paramètres'!$M:$M,0))&amp;"",""))))</f>
        <v/>
      </c>
      <c r="N1921" s="6" t="str">
        <f>IF($D1921="","",IFERROR(INDEX('Paramètres'!$Q:$Q,MATCH($D1921,'Paramètres'!$M:$M,0))&amp;"",""))</f>
        <v/>
      </c>
      <c r="O1921" s="6" t="str">
        <f>IF($A1921="","",IF(OR($J1921&lt;&gt;"x",$A1921&lt;=FinReleve),1,0))</f>
        <v/>
      </c>
      <c r="P1921" s="6" t="str">
        <f>IF($D1921="","",IF(AND($L1921="Crédit",OR(IFERROR(INDEX('Paramètres'!$O:$O,MATCH($D1921,'Paramètres'!$M:$M,0))&amp;"","")&lt;&gt;"",ISNUMBER(SEARCH("remboursement",IFERROR(INDEX('Paramètres'!$N:$N,MATCH($D1921,'Paramètres'!$M:$M,0))&amp;"",""))))),1,0))</f>
        <v/>
      </c>
      <c r="Q1921" s="6" t="str">
        <f>IF($K1921="","",IF(ISNUMBER(SEARCH("transfert-interne",IFERROR(INDEX('Paramètres'!$N:$N,MATCH($D1921,'Paramètres'!$M:$M,0))&amp;"",""))),0,IF($L1921="Débit",$K1921,IF($P1921=1,-$K1921,0))))</f>
        <v/>
      </c>
      <c r="R1921" s="6" t="str">
        <f>IF($K1921="","",IF($L1921="Crédit",$K1921,-$K1921))</f>
        <v/>
      </c>
      <c r="S1921" s="6" t="str">
        <f>IF($C1921="","",IFERROR(INDEX('Paramètres'!$H:$H,MATCH($C1921,'Paramètres'!$D:$D,0))&amp;"",""))</f>
        <v/>
      </c>
      <c r="T1921" s="6" t="str">
        <f>IF($K1921="","",IF($S1921="",0,IF(ISNUMBER(SEARCH("apport-exterieur",IFERROR(INDEX('Paramètres'!$N:$N,MATCH($D1921,'Paramètres'!$M:$M,0))&amp;"",""))),0,IF(OR(IFERROR(INDEX('Paramètres'!$I:$I,MATCH($C1921,'Paramètres'!$D:$D,0))&amp;"","")="Les deux",IFERROR(INDEX('Paramètres'!$I:$I,MATCH($C1921,'Paramètres'!$D:$D,0))&amp;"","")=IF($P1921=1,"Débit",$L1921)),-IF($P1921=1,-$K1921,$K1921),0))))</f>
        <v/>
      </c>
      <c r="U1921" s="6" t="str">
        <f>IF($K1921="","",IF(ISNUMBER(SEARCH("sortie-epargne",IFERROR(INDEX('Paramètres'!$N:$N,MATCH($D1921,'Paramètres'!$M:$M,0))&amp;"",""))),$K1921,0))</f>
        <v/>
      </c>
      <c r="V1921" s="6" t="str">
        <f>IF(AND($A1921&lt;&gt;"",$O1921=1,$L1921="Débit",N($Q1921)&gt;0,$A1921&gt;=Visualisation!$B$1,$A1921&lt;Visualisation!$D$1),MAX($V$1:V1920)+1,"")</f>
        <v/>
      </c>
    </row>
    <row r="1922" spans="1:22" x14ac:dyDescent="0.25">
      <c r="A1922" s="9"/>
      <c r="E1922" s="10"/>
      <c r="K1922" s="11" t="str">
        <f>IF($E1922="","",ROUND($E1922*IF(ISNA(MATCH($C1922,'Paramètres'!$D:$D,0)),1,IF(INDEX('Paramètres'!$J:$J,MATCH($C1922,'Paramètres'!$D:$D,0))="",1,INDEX('Paramètres'!$J:$J,MATCH($C1922,'Paramètres'!$D:$D,0)))),2))</f>
        <v/>
      </c>
      <c r="L1922" s="6" t="str">
        <f>IF($D1922="","",IF($F1922&lt;&gt;"",$F1922,IF(ISNA(MATCH($D1922,'Paramètres'!$M:$M,0)),"⚠ Type inconnu",IFERROR(INDEX('Paramètres'!$P:$P,MATCH($D1922,'Paramètres'!$M:$M,0))&amp;"",""))))</f>
        <v/>
      </c>
      <c r="M1922" s="6" t="str">
        <f>IF($D1922="","",IF(ISNA(MATCH($D1922,'Paramètres'!$M:$M,0)),"⚠ Type inconnu",IF($L1922="Crédit","",IFERROR(INDEX('Paramètres'!$O:$O,MATCH($D1922,'Paramètres'!$M:$M,0))&amp;"",""))))</f>
        <v/>
      </c>
      <c r="N1922" s="6" t="str">
        <f>IF($D1922="","",IFERROR(INDEX('Paramètres'!$Q:$Q,MATCH($D1922,'Paramètres'!$M:$M,0))&amp;"",""))</f>
        <v/>
      </c>
      <c r="O1922" s="6" t="str">
        <f>IF($A1922="","",IF(OR($J1922&lt;&gt;"x",$A1922&lt;=FinReleve),1,0))</f>
        <v/>
      </c>
      <c r="P1922" s="6" t="str">
        <f>IF($D1922="","",IF(AND($L1922="Crédit",OR(IFERROR(INDEX('Paramètres'!$O:$O,MATCH($D1922,'Paramètres'!$M:$M,0))&amp;"","")&lt;&gt;"",ISNUMBER(SEARCH("remboursement",IFERROR(INDEX('Paramètres'!$N:$N,MATCH($D1922,'Paramètres'!$M:$M,0))&amp;"",""))))),1,0))</f>
        <v/>
      </c>
      <c r="Q1922" s="6" t="str">
        <f>IF($K1922="","",IF(ISNUMBER(SEARCH("transfert-interne",IFERROR(INDEX('Paramètres'!$N:$N,MATCH($D1922,'Paramètres'!$M:$M,0))&amp;"",""))),0,IF($L1922="Débit",$K1922,IF($P1922=1,-$K1922,0))))</f>
        <v/>
      </c>
      <c r="R1922" s="6" t="str">
        <f>IF($K1922="","",IF($L1922="Crédit",$K1922,-$K1922))</f>
        <v/>
      </c>
      <c r="S1922" s="6" t="str">
        <f>IF($C1922="","",IFERROR(INDEX('Paramètres'!$H:$H,MATCH($C1922,'Paramètres'!$D:$D,0))&amp;"",""))</f>
        <v/>
      </c>
      <c r="T1922" s="6" t="str">
        <f>IF($K1922="","",IF($S1922="",0,IF(ISNUMBER(SEARCH("apport-exterieur",IFERROR(INDEX('Paramètres'!$N:$N,MATCH($D1922,'Paramètres'!$M:$M,0))&amp;"",""))),0,IF(OR(IFERROR(INDEX('Paramètres'!$I:$I,MATCH($C1922,'Paramètres'!$D:$D,0))&amp;"","")="Les deux",IFERROR(INDEX('Paramètres'!$I:$I,MATCH($C1922,'Paramètres'!$D:$D,0))&amp;"","")=IF($P1922=1,"Débit",$L1922)),-IF($P1922=1,-$K1922,$K1922),0))))</f>
        <v/>
      </c>
      <c r="U1922" s="6" t="str">
        <f>IF($K1922="","",IF(ISNUMBER(SEARCH("sortie-epargne",IFERROR(INDEX('Paramètres'!$N:$N,MATCH($D1922,'Paramètres'!$M:$M,0))&amp;"",""))),$K1922,0))</f>
        <v/>
      </c>
      <c r="V1922" s="6" t="str">
        <f>IF(AND($A1922&lt;&gt;"",$O1922=1,$L1922="Débit",N($Q1922)&gt;0,$A1922&gt;=Visualisation!$B$1,$A1922&lt;Visualisation!$D$1),MAX($V$1:V1921)+1,"")</f>
        <v/>
      </c>
    </row>
    <row r="1923" spans="1:22" x14ac:dyDescent="0.25">
      <c r="A1923" s="9"/>
      <c r="E1923" s="10"/>
      <c r="K1923" s="11" t="str">
        <f>IF($E1923="","",ROUND($E1923*IF(ISNA(MATCH($C1923,'Paramètres'!$D:$D,0)),1,IF(INDEX('Paramètres'!$J:$J,MATCH($C1923,'Paramètres'!$D:$D,0))="",1,INDEX('Paramètres'!$J:$J,MATCH($C1923,'Paramètres'!$D:$D,0)))),2))</f>
        <v/>
      </c>
      <c r="L1923" s="6" t="str">
        <f>IF($D1923="","",IF($F1923&lt;&gt;"",$F1923,IF(ISNA(MATCH($D1923,'Paramètres'!$M:$M,0)),"⚠ Type inconnu",IFERROR(INDEX('Paramètres'!$P:$P,MATCH($D1923,'Paramètres'!$M:$M,0))&amp;"",""))))</f>
        <v/>
      </c>
      <c r="M1923" s="6" t="str">
        <f>IF($D1923="","",IF(ISNA(MATCH($D1923,'Paramètres'!$M:$M,0)),"⚠ Type inconnu",IF($L1923="Crédit","",IFERROR(INDEX('Paramètres'!$O:$O,MATCH($D1923,'Paramètres'!$M:$M,0))&amp;"",""))))</f>
        <v/>
      </c>
      <c r="N1923" s="6" t="str">
        <f>IF($D1923="","",IFERROR(INDEX('Paramètres'!$Q:$Q,MATCH($D1923,'Paramètres'!$M:$M,0))&amp;"",""))</f>
        <v/>
      </c>
      <c r="O1923" s="6" t="str">
        <f>IF($A1923="","",IF(OR($J1923&lt;&gt;"x",$A1923&lt;=FinReleve),1,0))</f>
        <v/>
      </c>
      <c r="P1923" s="6" t="str">
        <f>IF($D1923="","",IF(AND($L1923="Crédit",OR(IFERROR(INDEX('Paramètres'!$O:$O,MATCH($D1923,'Paramètres'!$M:$M,0))&amp;"","")&lt;&gt;"",ISNUMBER(SEARCH("remboursement",IFERROR(INDEX('Paramètres'!$N:$N,MATCH($D1923,'Paramètres'!$M:$M,0))&amp;"",""))))),1,0))</f>
        <v/>
      </c>
      <c r="Q1923" s="6" t="str">
        <f>IF($K1923="","",IF(ISNUMBER(SEARCH("transfert-interne",IFERROR(INDEX('Paramètres'!$N:$N,MATCH($D1923,'Paramètres'!$M:$M,0))&amp;"",""))),0,IF($L1923="Débit",$K1923,IF($P1923=1,-$K1923,0))))</f>
        <v/>
      </c>
      <c r="R1923" s="6" t="str">
        <f>IF($K1923="","",IF($L1923="Crédit",$K1923,-$K1923))</f>
        <v/>
      </c>
      <c r="S1923" s="6" t="str">
        <f>IF($C1923="","",IFERROR(INDEX('Paramètres'!$H:$H,MATCH($C1923,'Paramètres'!$D:$D,0))&amp;"",""))</f>
        <v/>
      </c>
      <c r="T1923" s="6" t="str">
        <f>IF($K1923="","",IF($S1923="",0,IF(ISNUMBER(SEARCH("apport-exterieur",IFERROR(INDEX('Paramètres'!$N:$N,MATCH($D1923,'Paramètres'!$M:$M,0))&amp;"",""))),0,IF(OR(IFERROR(INDEX('Paramètres'!$I:$I,MATCH($C1923,'Paramètres'!$D:$D,0))&amp;"","")="Les deux",IFERROR(INDEX('Paramètres'!$I:$I,MATCH($C1923,'Paramètres'!$D:$D,0))&amp;"","")=IF($P1923=1,"Débit",$L1923)),-IF($P1923=1,-$K1923,$K1923),0))))</f>
        <v/>
      </c>
      <c r="U1923" s="6" t="str">
        <f>IF($K1923="","",IF(ISNUMBER(SEARCH("sortie-epargne",IFERROR(INDEX('Paramètres'!$N:$N,MATCH($D1923,'Paramètres'!$M:$M,0))&amp;"",""))),$K1923,0))</f>
        <v/>
      </c>
      <c r="V1923" s="6" t="str">
        <f>IF(AND($A1923&lt;&gt;"",$O1923=1,$L1923="Débit",N($Q1923)&gt;0,$A1923&gt;=Visualisation!$B$1,$A1923&lt;Visualisation!$D$1),MAX($V$1:V1922)+1,"")</f>
        <v/>
      </c>
    </row>
    <row r="1924" spans="1:22" x14ac:dyDescent="0.25">
      <c r="A1924" s="9"/>
      <c r="E1924" s="10"/>
      <c r="K1924" s="11" t="str">
        <f>IF($E1924="","",ROUND($E1924*IF(ISNA(MATCH($C1924,'Paramètres'!$D:$D,0)),1,IF(INDEX('Paramètres'!$J:$J,MATCH($C1924,'Paramètres'!$D:$D,0))="",1,INDEX('Paramètres'!$J:$J,MATCH($C1924,'Paramètres'!$D:$D,0)))),2))</f>
        <v/>
      </c>
      <c r="L1924" s="6" t="str">
        <f>IF($D1924="","",IF($F1924&lt;&gt;"",$F1924,IF(ISNA(MATCH($D1924,'Paramètres'!$M:$M,0)),"⚠ Type inconnu",IFERROR(INDEX('Paramètres'!$P:$P,MATCH($D1924,'Paramètres'!$M:$M,0))&amp;"",""))))</f>
        <v/>
      </c>
      <c r="M1924" s="6" t="str">
        <f>IF($D1924="","",IF(ISNA(MATCH($D1924,'Paramètres'!$M:$M,0)),"⚠ Type inconnu",IF($L1924="Crédit","",IFERROR(INDEX('Paramètres'!$O:$O,MATCH($D1924,'Paramètres'!$M:$M,0))&amp;"",""))))</f>
        <v/>
      </c>
      <c r="N1924" s="6" t="str">
        <f>IF($D1924="","",IFERROR(INDEX('Paramètres'!$Q:$Q,MATCH($D1924,'Paramètres'!$M:$M,0))&amp;"",""))</f>
        <v/>
      </c>
      <c r="O1924" s="6" t="str">
        <f>IF($A1924="","",IF(OR($J1924&lt;&gt;"x",$A1924&lt;=FinReleve),1,0))</f>
        <v/>
      </c>
      <c r="P1924" s="6" t="str">
        <f>IF($D1924="","",IF(AND($L1924="Crédit",OR(IFERROR(INDEX('Paramètres'!$O:$O,MATCH($D1924,'Paramètres'!$M:$M,0))&amp;"","")&lt;&gt;"",ISNUMBER(SEARCH("remboursement",IFERROR(INDEX('Paramètres'!$N:$N,MATCH($D1924,'Paramètres'!$M:$M,0))&amp;"",""))))),1,0))</f>
        <v/>
      </c>
      <c r="Q1924" s="6" t="str">
        <f>IF($K1924="","",IF(ISNUMBER(SEARCH("transfert-interne",IFERROR(INDEX('Paramètres'!$N:$N,MATCH($D1924,'Paramètres'!$M:$M,0))&amp;"",""))),0,IF($L1924="Débit",$K1924,IF($P1924=1,-$K1924,0))))</f>
        <v/>
      </c>
      <c r="R1924" s="6" t="str">
        <f>IF($K1924="","",IF($L1924="Crédit",$K1924,-$K1924))</f>
        <v/>
      </c>
      <c r="S1924" s="6" t="str">
        <f>IF($C1924="","",IFERROR(INDEX('Paramètres'!$H:$H,MATCH($C1924,'Paramètres'!$D:$D,0))&amp;"",""))</f>
        <v/>
      </c>
      <c r="T1924" s="6" t="str">
        <f>IF($K1924="","",IF($S1924="",0,IF(ISNUMBER(SEARCH("apport-exterieur",IFERROR(INDEX('Paramètres'!$N:$N,MATCH($D1924,'Paramètres'!$M:$M,0))&amp;"",""))),0,IF(OR(IFERROR(INDEX('Paramètres'!$I:$I,MATCH($C1924,'Paramètres'!$D:$D,0))&amp;"","")="Les deux",IFERROR(INDEX('Paramètres'!$I:$I,MATCH($C1924,'Paramètres'!$D:$D,0))&amp;"","")=IF($P1924=1,"Débit",$L1924)),-IF($P1924=1,-$K1924,$K1924),0))))</f>
        <v/>
      </c>
      <c r="U1924" s="6" t="str">
        <f>IF($K1924="","",IF(ISNUMBER(SEARCH("sortie-epargne",IFERROR(INDEX('Paramètres'!$N:$N,MATCH($D1924,'Paramètres'!$M:$M,0))&amp;"",""))),$K1924,0))</f>
        <v/>
      </c>
      <c r="V1924" s="6" t="str">
        <f>IF(AND($A1924&lt;&gt;"",$O1924=1,$L1924="Débit",N($Q1924)&gt;0,$A1924&gt;=Visualisation!$B$1,$A1924&lt;Visualisation!$D$1),MAX($V$1:V1923)+1,"")</f>
        <v/>
      </c>
    </row>
    <row r="1925" spans="1:22" x14ac:dyDescent="0.25">
      <c r="A1925" s="9"/>
      <c r="E1925" s="10"/>
      <c r="K1925" s="11" t="str">
        <f>IF($E1925="","",ROUND($E1925*IF(ISNA(MATCH($C1925,'Paramètres'!$D:$D,0)),1,IF(INDEX('Paramètres'!$J:$J,MATCH($C1925,'Paramètres'!$D:$D,0))="",1,INDEX('Paramètres'!$J:$J,MATCH($C1925,'Paramètres'!$D:$D,0)))),2))</f>
        <v/>
      </c>
      <c r="L1925" s="6" t="str">
        <f>IF($D1925="","",IF($F1925&lt;&gt;"",$F1925,IF(ISNA(MATCH($D1925,'Paramètres'!$M:$M,0)),"⚠ Type inconnu",IFERROR(INDEX('Paramètres'!$P:$P,MATCH($D1925,'Paramètres'!$M:$M,0))&amp;"",""))))</f>
        <v/>
      </c>
      <c r="M1925" s="6" t="str">
        <f>IF($D1925="","",IF(ISNA(MATCH($D1925,'Paramètres'!$M:$M,0)),"⚠ Type inconnu",IF($L1925="Crédit","",IFERROR(INDEX('Paramètres'!$O:$O,MATCH($D1925,'Paramètres'!$M:$M,0))&amp;"",""))))</f>
        <v/>
      </c>
      <c r="N1925" s="6" t="str">
        <f>IF($D1925="","",IFERROR(INDEX('Paramètres'!$Q:$Q,MATCH($D1925,'Paramètres'!$M:$M,0))&amp;"",""))</f>
        <v/>
      </c>
      <c r="O1925" s="6" t="str">
        <f>IF($A1925="","",IF(OR($J1925&lt;&gt;"x",$A1925&lt;=FinReleve),1,0))</f>
        <v/>
      </c>
      <c r="P1925" s="6" t="str">
        <f>IF($D1925="","",IF(AND($L1925="Crédit",OR(IFERROR(INDEX('Paramètres'!$O:$O,MATCH($D1925,'Paramètres'!$M:$M,0))&amp;"","")&lt;&gt;"",ISNUMBER(SEARCH("remboursement",IFERROR(INDEX('Paramètres'!$N:$N,MATCH($D1925,'Paramètres'!$M:$M,0))&amp;"",""))))),1,0))</f>
        <v/>
      </c>
      <c r="Q1925" s="6" t="str">
        <f>IF($K1925="","",IF(ISNUMBER(SEARCH("transfert-interne",IFERROR(INDEX('Paramètres'!$N:$N,MATCH($D1925,'Paramètres'!$M:$M,0))&amp;"",""))),0,IF($L1925="Débit",$K1925,IF($P1925=1,-$K1925,0))))</f>
        <v/>
      </c>
      <c r="R1925" s="6" t="str">
        <f>IF($K1925="","",IF($L1925="Crédit",$K1925,-$K1925))</f>
        <v/>
      </c>
      <c r="S1925" s="6" t="str">
        <f>IF($C1925="","",IFERROR(INDEX('Paramètres'!$H:$H,MATCH($C1925,'Paramètres'!$D:$D,0))&amp;"",""))</f>
        <v/>
      </c>
      <c r="T1925" s="6" t="str">
        <f>IF($K1925="","",IF($S1925="",0,IF(ISNUMBER(SEARCH("apport-exterieur",IFERROR(INDEX('Paramètres'!$N:$N,MATCH($D1925,'Paramètres'!$M:$M,0))&amp;"",""))),0,IF(OR(IFERROR(INDEX('Paramètres'!$I:$I,MATCH($C1925,'Paramètres'!$D:$D,0))&amp;"","")="Les deux",IFERROR(INDEX('Paramètres'!$I:$I,MATCH($C1925,'Paramètres'!$D:$D,0))&amp;"","")=IF($P1925=1,"Débit",$L1925)),-IF($P1925=1,-$K1925,$K1925),0))))</f>
        <v/>
      </c>
      <c r="U1925" s="6" t="str">
        <f>IF($K1925="","",IF(ISNUMBER(SEARCH("sortie-epargne",IFERROR(INDEX('Paramètres'!$N:$N,MATCH($D1925,'Paramètres'!$M:$M,0))&amp;"",""))),$K1925,0))</f>
        <v/>
      </c>
      <c r="V1925" s="6" t="str">
        <f>IF(AND($A1925&lt;&gt;"",$O1925=1,$L1925="Débit",N($Q1925)&gt;0,$A1925&gt;=Visualisation!$B$1,$A1925&lt;Visualisation!$D$1),MAX($V$1:V1924)+1,"")</f>
        <v/>
      </c>
    </row>
    <row r="1926" spans="1:22" x14ac:dyDescent="0.25">
      <c r="A1926" s="9"/>
      <c r="E1926" s="10"/>
      <c r="K1926" s="11" t="str">
        <f>IF($E1926="","",ROUND($E1926*IF(ISNA(MATCH($C1926,'Paramètres'!$D:$D,0)),1,IF(INDEX('Paramètres'!$J:$J,MATCH($C1926,'Paramètres'!$D:$D,0))="",1,INDEX('Paramètres'!$J:$J,MATCH($C1926,'Paramètres'!$D:$D,0)))),2))</f>
        <v/>
      </c>
      <c r="L1926" s="6" t="str">
        <f>IF($D1926="","",IF($F1926&lt;&gt;"",$F1926,IF(ISNA(MATCH($D1926,'Paramètres'!$M:$M,0)),"⚠ Type inconnu",IFERROR(INDEX('Paramètres'!$P:$P,MATCH($D1926,'Paramètres'!$M:$M,0))&amp;"",""))))</f>
        <v/>
      </c>
      <c r="M1926" s="6" t="str">
        <f>IF($D1926="","",IF(ISNA(MATCH($D1926,'Paramètres'!$M:$M,0)),"⚠ Type inconnu",IF($L1926="Crédit","",IFERROR(INDEX('Paramètres'!$O:$O,MATCH($D1926,'Paramètres'!$M:$M,0))&amp;"",""))))</f>
        <v/>
      </c>
      <c r="N1926" s="6" t="str">
        <f>IF($D1926="","",IFERROR(INDEX('Paramètres'!$Q:$Q,MATCH($D1926,'Paramètres'!$M:$M,0))&amp;"",""))</f>
        <v/>
      </c>
      <c r="O1926" s="6" t="str">
        <f>IF($A1926="","",IF(OR($J1926&lt;&gt;"x",$A1926&lt;=FinReleve),1,0))</f>
        <v/>
      </c>
      <c r="P1926" s="6" t="str">
        <f>IF($D1926="","",IF(AND($L1926="Crédit",OR(IFERROR(INDEX('Paramètres'!$O:$O,MATCH($D1926,'Paramètres'!$M:$M,0))&amp;"","")&lt;&gt;"",ISNUMBER(SEARCH("remboursement",IFERROR(INDEX('Paramètres'!$N:$N,MATCH($D1926,'Paramètres'!$M:$M,0))&amp;"",""))))),1,0))</f>
        <v/>
      </c>
      <c r="Q1926" s="6" t="str">
        <f>IF($K1926="","",IF(ISNUMBER(SEARCH("transfert-interne",IFERROR(INDEX('Paramètres'!$N:$N,MATCH($D1926,'Paramètres'!$M:$M,0))&amp;"",""))),0,IF($L1926="Débit",$K1926,IF($P1926=1,-$K1926,0))))</f>
        <v/>
      </c>
      <c r="R1926" s="6" t="str">
        <f>IF($K1926="","",IF($L1926="Crédit",$K1926,-$K1926))</f>
        <v/>
      </c>
      <c r="S1926" s="6" t="str">
        <f>IF($C1926="","",IFERROR(INDEX('Paramètres'!$H:$H,MATCH($C1926,'Paramètres'!$D:$D,0))&amp;"",""))</f>
        <v/>
      </c>
      <c r="T1926" s="6" t="str">
        <f>IF($K1926="","",IF($S1926="",0,IF(ISNUMBER(SEARCH("apport-exterieur",IFERROR(INDEX('Paramètres'!$N:$N,MATCH($D1926,'Paramètres'!$M:$M,0))&amp;"",""))),0,IF(OR(IFERROR(INDEX('Paramètres'!$I:$I,MATCH($C1926,'Paramètres'!$D:$D,0))&amp;"","")="Les deux",IFERROR(INDEX('Paramètres'!$I:$I,MATCH($C1926,'Paramètres'!$D:$D,0))&amp;"","")=IF($P1926=1,"Débit",$L1926)),-IF($P1926=1,-$K1926,$K1926),0))))</f>
        <v/>
      </c>
      <c r="U1926" s="6" t="str">
        <f>IF($K1926="","",IF(ISNUMBER(SEARCH("sortie-epargne",IFERROR(INDEX('Paramètres'!$N:$N,MATCH($D1926,'Paramètres'!$M:$M,0))&amp;"",""))),$K1926,0))</f>
        <v/>
      </c>
      <c r="V1926" s="6" t="str">
        <f>IF(AND($A1926&lt;&gt;"",$O1926=1,$L1926="Débit",N($Q1926)&gt;0,$A1926&gt;=Visualisation!$B$1,$A1926&lt;Visualisation!$D$1),MAX($V$1:V1925)+1,"")</f>
        <v/>
      </c>
    </row>
    <row r="1927" spans="1:22" x14ac:dyDescent="0.25">
      <c r="A1927" s="9"/>
      <c r="E1927" s="10"/>
      <c r="K1927" s="11" t="str">
        <f>IF($E1927="","",ROUND($E1927*IF(ISNA(MATCH($C1927,'Paramètres'!$D:$D,0)),1,IF(INDEX('Paramètres'!$J:$J,MATCH($C1927,'Paramètres'!$D:$D,0))="",1,INDEX('Paramètres'!$J:$J,MATCH($C1927,'Paramètres'!$D:$D,0)))),2))</f>
        <v/>
      </c>
      <c r="L1927" s="6" t="str">
        <f>IF($D1927="","",IF($F1927&lt;&gt;"",$F1927,IF(ISNA(MATCH($D1927,'Paramètres'!$M:$M,0)),"⚠ Type inconnu",IFERROR(INDEX('Paramètres'!$P:$P,MATCH($D1927,'Paramètres'!$M:$M,0))&amp;"",""))))</f>
        <v/>
      </c>
      <c r="M1927" s="6" t="str">
        <f>IF($D1927="","",IF(ISNA(MATCH($D1927,'Paramètres'!$M:$M,0)),"⚠ Type inconnu",IF($L1927="Crédit","",IFERROR(INDEX('Paramètres'!$O:$O,MATCH($D1927,'Paramètres'!$M:$M,0))&amp;"",""))))</f>
        <v/>
      </c>
      <c r="N1927" s="6" t="str">
        <f>IF($D1927="","",IFERROR(INDEX('Paramètres'!$Q:$Q,MATCH($D1927,'Paramètres'!$M:$M,0))&amp;"",""))</f>
        <v/>
      </c>
      <c r="O1927" s="6" t="str">
        <f>IF($A1927="","",IF(OR($J1927&lt;&gt;"x",$A1927&lt;=FinReleve),1,0))</f>
        <v/>
      </c>
      <c r="P1927" s="6" t="str">
        <f>IF($D1927="","",IF(AND($L1927="Crédit",OR(IFERROR(INDEX('Paramètres'!$O:$O,MATCH($D1927,'Paramètres'!$M:$M,0))&amp;"","")&lt;&gt;"",ISNUMBER(SEARCH("remboursement",IFERROR(INDEX('Paramètres'!$N:$N,MATCH($D1927,'Paramètres'!$M:$M,0))&amp;"",""))))),1,0))</f>
        <v/>
      </c>
      <c r="Q1927" s="6" t="str">
        <f>IF($K1927="","",IF(ISNUMBER(SEARCH("transfert-interne",IFERROR(INDEX('Paramètres'!$N:$N,MATCH($D1927,'Paramètres'!$M:$M,0))&amp;"",""))),0,IF($L1927="Débit",$K1927,IF($P1927=1,-$K1927,0))))</f>
        <v/>
      </c>
      <c r="R1927" s="6" t="str">
        <f>IF($K1927="","",IF($L1927="Crédit",$K1927,-$K1927))</f>
        <v/>
      </c>
      <c r="S1927" s="6" t="str">
        <f>IF($C1927="","",IFERROR(INDEX('Paramètres'!$H:$H,MATCH($C1927,'Paramètres'!$D:$D,0))&amp;"",""))</f>
        <v/>
      </c>
      <c r="T1927" s="6" t="str">
        <f>IF($K1927="","",IF($S1927="",0,IF(ISNUMBER(SEARCH("apport-exterieur",IFERROR(INDEX('Paramètres'!$N:$N,MATCH($D1927,'Paramètres'!$M:$M,0))&amp;"",""))),0,IF(OR(IFERROR(INDEX('Paramètres'!$I:$I,MATCH($C1927,'Paramètres'!$D:$D,0))&amp;"","")="Les deux",IFERROR(INDEX('Paramètres'!$I:$I,MATCH($C1927,'Paramètres'!$D:$D,0))&amp;"","")=IF($P1927=1,"Débit",$L1927)),-IF($P1927=1,-$K1927,$K1927),0))))</f>
        <v/>
      </c>
      <c r="U1927" s="6" t="str">
        <f>IF($K1927="","",IF(ISNUMBER(SEARCH("sortie-epargne",IFERROR(INDEX('Paramètres'!$N:$N,MATCH($D1927,'Paramètres'!$M:$M,0))&amp;"",""))),$K1927,0))</f>
        <v/>
      </c>
      <c r="V1927" s="6" t="str">
        <f>IF(AND($A1927&lt;&gt;"",$O1927=1,$L1927="Débit",N($Q1927)&gt;0,$A1927&gt;=Visualisation!$B$1,$A1927&lt;Visualisation!$D$1),MAX($V$1:V1926)+1,"")</f>
        <v/>
      </c>
    </row>
    <row r="1928" spans="1:22" x14ac:dyDescent="0.25">
      <c r="A1928" s="9"/>
      <c r="E1928" s="10"/>
      <c r="K1928" s="11" t="str">
        <f>IF($E1928="","",ROUND($E1928*IF(ISNA(MATCH($C1928,'Paramètres'!$D:$D,0)),1,IF(INDEX('Paramètres'!$J:$J,MATCH($C1928,'Paramètres'!$D:$D,0))="",1,INDEX('Paramètres'!$J:$J,MATCH($C1928,'Paramètres'!$D:$D,0)))),2))</f>
        <v/>
      </c>
      <c r="L1928" s="6" t="str">
        <f>IF($D1928="","",IF($F1928&lt;&gt;"",$F1928,IF(ISNA(MATCH($D1928,'Paramètres'!$M:$M,0)),"⚠ Type inconnu",IFERROR(INDEX('Paramètres'!$P:$P,MATCH($D1928,'Paramètres'!$M:$M,0))&amp;"",""))))</f>
        <v/>
      </c>
      <c r="M1928" s="6" t="str">
        <f>IF($D1928="","",IF(ISNA(MATCH($D1928,'Paramètres'!$M:$M,0)),"⚠ Type inconnu",IF($L1928="Crédit","",IFERROR(INDEX('Paramètres'!$O:$O,MATCH($D1928,'Paramètres'!$M:$M,0))&amp;"",""))))</f>
        <v/>
      </c>
      <c r="N1928" s="6" t="str">
        <f>IF($D1928="","",IFERROR(INDEX('Paramètres'!$Q:$Q,MATCH($D1928,'Paramètres'!$M:$M,0))&amp;"",""))</f>
        <v/>
      </c>
      <c r="O1928" s="6" t="str">
        <f>IF($A1928="","",IF(OR($J1928&lt;&gt;"x",$A1928&lt;=FinReleve),1,0))</f>
        <v/>
      </c>
      <c r="P1928" s="6" t="str">
        <f>IF($D1928="","",IF(AND($L1928="Crédit",OR(IFERROR(INDEX('Paramètres'!$O:$O,MATCH($D1928,'Paramètres'!$M:$M,0))&amp;"","")&lt;&gt;"",ISNUMBER(SEARCH("remboursement",IFERROR(INDEX('Paramètres'!$N:$N,MATCH($D1928,'Paramètres'!$M:$M,0))&amp;"",""))))),1,0))</f>
        <v/>
      </c>
      <c r="Q1928" s="6" t="str">
        <f>IF($K1928="","",IF(ISNUMBER(SEARCH("transfert-interne",IFERROR(INDEX('Paramètres'!$N:$N,MATCH($D1928,'Paramètres'!$M:$M,0))&amp;"",""))),0,IF($L1928="Débit",$K1928,IF($P1928=1,-$K1928,0))))</f>
        <v/>
      </c>
      <c r="R1928" s="6" t="str">
        <f>IF($K1928="","",IF($L1928="Crédit",$K1928,-$K1928))</f>
        <v/>
      </c>
      <c r="S1928" s="6" t="str">
        <f>IF($C1928="","",IFERROR(INDEX('Paramètres'!$H:$H,MATCH($C1928,'Paramètres'!$D:$D,0))&amp;"",""))</f>
        <v/>
      </c>
      <c r="T1928" s="6" t="str">
        <f>IF($K1928="","",IF($S1928="",0,IF(ISNUMBER(SEARCH("apport-exterieur",IFERROR(INDEX('Paramètres'!$N:$N,MATCH($D1928,'Paramètres'!$M:$M,0))&amp;"",""))),0,IF(OR(IFERROR(INDEX('Paramètres'!$I:$I,MATCH($C1928,'Paramètres'!$D:$D,0))&amp;"","")="Les deux",IFERROR(INDEX('Paramètres'!$I:$I,MATCH($C1928,'Paramètres'!$D:$D,0))&amp;"","")=IF($P1928=1,"Débit",$L1928)),-IF($P1928=1,-$K1928,$K1928),0))))</f>
        <v/>
      </c>
      <c r="U1928" s="6" t="str">
        <f>IF($K1928="","",IF(ISNUMBER(SEARCH("sortie-epargne",IFERROR(INDEX('Paramètres'!$N:$N,MATCH($D1928,'Paramètres'!$M:$M,0))&amp;"",""))),$K1928,0))</f>
        <v/>
      </c>
      <c r="V1928" s="6" t="str">
        <f>IF(AND($A1928&lt;&gt;"",$O1928=1,$L1928="Débit",N($Q1928)&gt;0,$A1928&gt;=Visualisation!$B$1,$A1928&lt;Visualisation!$D$1),MAX($V$1:V1927)+1,"")</f>
        <v/>
      </c>
    </row>
    <row r="1929" spans="1:22" x14ac:dyDescent="0.25">
      <c r="A1929" s="9"/>
      <c r="E1929" s="10"/>
      <c r="K1929" s="11" t="str">
        <f>IF($E1929="","",ROUND($E1929*IF(ISNA(MATCH($C1929,'Paramètres'!$D:$D,0)),1,IF(INDEX('Paramètres'!$J:$J,MATCH($C1929,'Paramètres'!$D:$D,0))="",1,INDEX('Paramètres'!$J:$J,MATCH($C1929,'Paramètres'!$D:$D,0)))),2))</f>
        <v/>
      </c>
      <c r="L1929" s="6" t="str">
        <f>IF($D1929="","",IF($F1929&lt;&gt;"",$F1929,IF(ISNA(MATCH($D1929,'Paramètres'!$M:$M,0)),"⚠ Type inconnu",IFERROR(INDEX('Paramètres'!$P:$P,MATCH($D1929,'Paramètres'!$M:$M,0))&amp;"",""))))</f>
        <v/>
      </c>
      <c r="M1929" s="6" t="str">
        <f>IF($D1929="","",IF(ISNA(MATCH($D1929,'Paramètres'!$M:$M,0)),"⚠ Type inconnu",IF($L1929="Crédit","",IFERROR(INDEX('Paramètres'!$O:$O,MATCH($D1929,'Paramètres'!$M:$M,0))&amp;"",""))))</f>
        <v/>
      </c>
      <c r="N1929" s="6" t="str">
        <f>IF($D1929="","",IFERROR(INDEX('Paramètres'!$Q:$Q,MATCH($D1929,'Paramètres'!$M:$M,0))&amp;"",""))</f>
        <v/>
      </c>
      <c r="O1929" s="6" t="str">
        <f>IF($A1929="","",IF(OR($J1929&lt;&gt;"x",$A1929&lt;=FinReleve),1,0))</f>
        <v/>
      </c>
      <c r="P1929" s="6" t="str">
        <f>IF($D1929="","",IF(AND($L1929="Crédit",OR(IFERROR(INDEX('Paramètres'!$O:$O,MATCH($D1929,'Paramètres'!$M:$M,0))&amp;"","")&lt;&gt;"",ISNUMBER(SEARCH("remboursement",IFERROR(INDEX('Paramètres'!$N:$N,MATCH($D1929,'Paramètres'!$M:$M,0))&amp;"",""))))),1,0))</f>
        <v/>
      </c>
      <c r="Q1929" s="6" t="str">
        <f>IF($K1929="","",IF(ISNUMBER(SEARCH("transfert-interne",IFERROR(INDEX('Paramètres'!$N:$N,MATCH($D1929,'Paramètres'!$M:$M,0))&amp;"",""))),0,IF($L1929="Débit",$K1929,IF($P1929=1,-$K1929,0))))</f>
        <v/>
      </c>
      <c r="R1929" s="6" t="str">
        <f>IF($K1929="","",IF($L1929="Crédit",$K1929,-$K1929))</f>
        <v/>
      </c>
      <c r="S1929" s="6" t="str">
        <f>IF($C1929="","",IFERROR(INDEX('Paramètres'!$H:$H,MATCH($C1929,'Paramètres'!$D:$D,0))&amp;"",""))</f>
        <v/>
      </c>
      <c r="T1929" s="6" t="str">
        <f>IF($K1929="","",IF($S1929="",0,IF(ISNUMBER(SEARCH("apport-exterieur",IFERROR(INDEX('Paramètres'!$N:$N,MATCH($D1929,'Paramètres'!$M:$M,0))&amp;"",""))),0,IF(OR(IFERROR(INDEX('Paramètres'!$I:$I,MATCH($C1929,'Paramètres'!$D:$D,0))&amp;"","")="Les deux",IFERROR(INDEX('Paramètres'!$I:$I,MATCH($C1929,'Paramètres'!$D:$D,0))&amp;"","")=IF($P1929=1,"Débit",$L1929)),-IF($P1929=1,-$K1929,$K1929),0))))</f>
        <v/>
      </c>
      <c r="U1929" s="6" t="str">
        <f>IF($K1929="","",IF(ISNUMBER(SEARCH("sortie-epargne",IFERROR(INDEX('Paramètres'!$N:$N,MATCH($D1929,'Paramètres'!$M:$M,0))&amp;"",""))),$K1929,0))</f>
        <v/>
      </c>
      <c r="V1929" s="6" t="str">
        <f>IF(AND($A1929&lt;&gt;"",$O1929=1,$L1929="Débit",N($Q1929)&gt;0,$A1929&gt;=Visualisation!$B$1,$A1929&lt;Visualisation!$D$1),MAX($V$1:V1928)+1,"")</f>
        <v/>
      </c>
    </row>
    <row r="1930" spans="1:22" x14ac:dyDescent="0.25">
      <c r="A1930" s="9"/>
      <c r="E1930" s="10"/>
      <c r="K1930" s="11" t="str">
        <f>IF($E1930="","",ROUND($E1930*IF(ISNA(MATCH($C1930,'Paramètres'!$D:$D,0)),1,IF(INDEX('Paramètres'!$J:$J,MATCH($C1930,'Paramètres'!$D:$D,0))="",1,INDEX('Paramètres'!$J:$J,MATCH($C1930,'Paramètres'!$D:$D,0)))),2))</f>
        <v/>
      </c>
      <c r="L1930" s="6" t="str">
        <f>IF($D1930="","",IF($F1930&lt;&gt;"",$F1930,IF(ISNA(MATCH($D1930,'Paramètres'!$M:$M,0)),"⚠ Type inconnu",IFERROR(INDEX('Paramètres'!$P:$P,MATCH($D1930,'Paramètres'!$M:$M,0))&amp;"",""))))</f>
        <v/>
      </c>
      <c r="M1930" s="6" t="str">
        <f>IF($D1930="","",IF(ISNA(MATCH($D1930,'Paramètres'!$M:$M,0)),"⚠ Type inconnu",IF($L1930="Crédit","",IFERROR(INDEX('Paramètres'!$O:$O,MATCH($D1930,'Paramètres'!$M:$M,0))&amp;"",""))))</f>
        <v/>
      </c>
      <c r="N1930" s="6" t="str">
        <f>IF($D1930="","",IFERROR(INDEX('Paramètres'!$Q:$Q,MATCH($D1930,'Paramètres'!$M:$M,0))&amp;"",""))</f>
        <v/>
      </c>
      <c r="O1930" s="6" t="str">
        <f>IF($A1930="","",IF(OR($J1930&lt;&gt;"x",$A1930&lt;=FinReleve),1,0))</f>
        <v/>
      </c>
      <c r="P1930" s="6" t="str">
        <f>IF($D1930="","",IF(AND($L1930="Crédit",OR(IFERROR(INDEX('Paramètres'!$O:$O,MATCH($D1930,'Paramètres'!$M:$M,0))&amp;"","")&lt;&gt;"",ISNUMBER(SEARCH("remboursement",IFERROR(INDEX('Paramètres'!$N:$N,MATCH($D1930,'Paramètres'!$M:$M,0))&amp;"",""))))),1,0))</f>
        <v/>
      </c>
      <c r="Q1930" s="6" t="str">
        <f>IF($K1930="","",IF(ISNUMBER(SEARCH("transfert-interne",IFERROR(INDEX('Paramètres'!$N:$N,MATCH($D1930,'Paramètres'!$M:$M,0))&amp;"",""))),0,IF($L1930="Débit",$K1930,IF($P1930=1,-$K1930,0))))</f>
        <v/>
      </c>
      <c r="R1930" s="6" t="str">
        <f>IF($K1930="","",IF($L1930="Crédit",$K1930,-$K1930))</f>
        <v/>
      </c>
      <c r="S1930" s="6" t="str">
        <f>IF($C1930="","",IFERROR(INDEX('Paramètres'!$H:$H,MATCH($C1930,'Paramètres'!$D:$D,0))&amp;"",""))</f>
        <v/>
      </c>
      <c r="T1930" s="6" t="str">
        <f>IF($K1930="","",IF($S1930="",0,IF(ISNUMBER(SEARCH("apport-exterieur",IFERROR(INDEX('Paramètres'!$N:$N,MATCH($D1930,'Paramètres'!$M:$M,0))&amp;"",""))),0,IF(OR(IFERROR(INDEX('Paramètres'!$I:$I,MATCH($C1930,'Paramètres'!$D:$D,0))&amp;"","")="Les deux",IFERROR(INDEX('Paramètres'!$I:$I,MATCH($C1930,'Paramètres'!$D:$D,0))&amp;"","")=IF($P1930=1,"Débit",$L1930)),-IF($P1930=1,-$K1930,$K1930),0))))</f>
        <v/>
      </c>
      <c r="U1930" s="6" t="str">
        <f>IF($K1930="","",IF(ISNUMBER(SEARCH("sortie-epargne",IFERROR(INDEX('Paramètres'!$N:$N,MATCH($D1930,'Paramètres'!$M:$M,0))&amp;"",""))),$K1930,0))</f>
        <v/>
      </c>
      <c r="V1930" s="6" t="str">
        <f>IF(AND($A1930&lt;&gt;"",$O1930=1,$L1930="Débit",N($Q1930)&gt;0,$A1930&gt;=Visualisation!$B$1,$A1930&lt;Visualisation!$D$1),MAX($V$1:V1929)+1,"")</f>
        <v/>
      </c>
    </row>
    <row r="1931" spans="1:22" x14ac:dyDescent="0.25">
      <c r="A1931" s="9"/>
      <c r="E1931" s="10"/>
      <c r="K1931" s="11" t="str">
        <f>IF($E1931="","",ROUND($E1931*IF(ISNA(MATCH($C1931,'Paramètres'!$D:$D,0)),1,IF(INDEX('Paramètres'!$J:$J,MATCH($C1931,'Paramètres'!$D:$D,0))="",1,INDEX('Paramètres'!$J:$J,MATCH($C1931,'Paramètres'!$D:$D,0)))),2))</f>
        <v/>
      </c>
      <c r="L1931" s="6" t="str">
        <f>IF($D1931="","",IF($F1931&lt;&gt;"",$F1931,IF(ISNA(MATCH($D1931,'Paramètres'!$M:$M,0)),"⚠ Type inconnu",IFERROR(INDEX('Paramètres'!$P:$P,MATCH($D1931,'Paramètres'!$M:$M,0))&amp;"",""))))</f>
        <v/>
      </c>
      <c r="M1931" s="6" t="str">
        <f>IF($D1931="","",IF(ISNA(MATCH($D1931,'Paramètres'!$M:$M,0)),"⚠ Type inconnu",IF($L1931="Crédit","",IFERROR(INDEX('Paramètres'!$O:$O,MATCH($D1931,'Paramètres'!$M:$M,0))&amp;"",""))))</f>
        <v/>
      </c>
      <c r="N1931" s="6" t="str">
        <f>IF($D1931="","",IFERROR(INDEX('Paramètres'!$Q:$Q,MATCH($D1931,'Paramètres'!$M:$M,0))&amp;"",""))</f>
        <v/>
      </c>
      <c r="O1931" s="6" t="str">
        <f>IF($A1931="","",IF(OR($J1931&lt;&gt;"x",$A1931&lt;=FinReleve),1,0))</f>
        <v/>
      </c>
      <c r="P1931" s="6" t="str">
        <f>IF($D1931="","",IF(AND($L1931="Crédit",OR(IFERROR(INDEX('Paramètres'!$O:$O,MATCH($D1931,'Paramètres'!$M:$M,0))&amp;"","")&lt;&gt;"",ISNUMBER(SEARCH("remboursement",IFERROR(INDEX('Paramètres'!$N:$N,MATCH($D1931,'Paramètres'!$M:$M,0))&amp;"",""))))),1,0))</f>
        <v/>
      </c>
      <c r="Q1931" s="6" t="str">
        <f>IF($K1931="","",IF(ISNUMBER(SEARCH("transfert-interne",IFERROR(INDEX('Paramètres'!$N:$N,MATCH($D1931,'Paramètres'!$M:$M,0))&amp;"",""))),0,IF($L1931="Débit",$K1931,IF($P1931=1,-$K1931,0))))</f>
        <v/>
      </c>
      <c r="R1931" s="6" t="str">
        <f>IF($K1931="","",IF($L1931="Crédit",$K1931,-$K1931))</f>
        <v/>
      </c>
      <c r="S1931" s="6" t="str">
        <f>IF($C1931="","",IFERROR(INDEX('Paramètres'!$H:$H,MATCH($C1931,'Paramètres'!$D:$D,0))&amp;"",""))</f>
        <v/>
      </c>
      <c r="T1931" s="6" t="str">
        <f>IF($K1931="","",IF($S1931="",0,IF(ISNUMBER(SEARCH("apport-exterieur",IFERROR(INDEX('Paramètres'!$N:$N,MATCH($D1931,'Paramètres'!$M:$M,0))&amp;"",""))),0,IF(OR(IFERROR(INDEX('Paramètres'!$I:$I,MATCH($C1931,'Paramètres'!$D:$D,0))&amp;"","")="Les deux",IFERROR(INDEX('Paramètres'!$I:$I,MATCH($C1931,'Paramètres'!$D:$D,0))&amp;"","")=IF($P1931=1,"Débit",$L1931)),-IF($P1931=1,-$K1931,$K1931),0))))</f>
        <v/>
      </c>
      <c r="U1931" s="6" t="str">
        <f>IF($K1931="","",IF(ISNUMBER(SEARCH("sortie-epargne",IFERROR(INDEX('Paramètres'!$N:$N,MATCH($D1931,'Paramètres'!$M:$M,0))&amp;"",""))),$K1931,0))</f>
        <v/>
      </c>
      <c r="V1931" s="6" t="str">
        <f>IF(AND($A1931&lt;&gt;"",$O1931=1,$L1931="Débit",N($Q1931)&gt;0,$A1931&gt;=Visualisation!$B$1,$A1931&lt;Visualisation!$D$1),MAX($V$1:V1930)+1,"")</f>
        <v/>
      </c>
    </row>
    <row r="1932" spans="1:22" x14ac:dyDescent="0.25">
      <c r="A1932" s="9"/>
      <c r="E1932" s="10"/>
      <c r="K1932" s="11" t="str">
        <f>IF($E1932="","",ROUND($E1932*IF(ISNA(MATCH($C1932,'Paramètres'!$D:$D,0)),1,IF(INDEX('Paramètres'!$J:$J,MATCH($C1932,'Paramètres'!$D:$D,0))="",1,INDEX('Paramètres'!$J:$J,MATCH($C1932,'Paramètres'!$D:$D,0)))),2))</f>
        <v/>
      </c>
      <c r="L1932" s="6" t="str">
        <f>IF($D1932="","",IF($F1932&lt;&gt;"",$F1932,IF(ISNA(MATCH($D1932,'Paramètres'!$M:$M,0)),"⚠ Type inconnu",IFERROR(INDEX('Paramètres'!$P:$P,MATCH($D1932,'Paramètres'!$M:$M,0))&amp;"",""))))</f>
        <v/>
      </c>
      <c r="M1932" s="6" t="str">
        <f>IF($D1932="","",IF(ISNA(MATCH($D1932,'Paramètres'!$M:$M,0)),"⚠ Type inconnu",IF($L1932="Crédit","",IFERROR(INDEX('Paramètres'!$O:$O,MATCH($D1932,'Paramètres'!$M:$M,0))&amp;"",""))))</f>
        <v/>
      </c>
      <c r="N1932" s="6" t="str">
        <f>IF($D1932="","",IFERROR(INDEX('Paramètres'!$Q:$Q,MATCH($D1932,'Paramètres'!$M:$M,0))&amp;"",""))</f>
        <v/>
      </c>
      <c r="O1932" s="6" t="str">
        <f>IF($A1932="","",IF(OR($J1932&lt;&gt;"x",$A1932&lt;=FinReleve),1,0))</f>
        <v/>
      </c>
      <c r="P1932" s="6" t="str">
        <f>IF($D1932="","",IF(AND($L1932="Crédit",OR(IFERROR(INDEX('Paramètres'!$O:$O,MATCH($D1932,'Paramètres'!$M:$M,0))&amp;"","")&lt;&gt;"",ISNUMBER(SEARCH("remboursement",IFERROR(INDEX('Paramètres'!$N:$N,MATCH($D1932,'Paramètres'!$M:$M,0))&amp;"",""))))),1,0))</f>
        <v/>
      </c>
      <c r="Q1932" s="6" t="str">
        <f>IF($K1932="","",IF(ISNUMBER(SEARCH("transfert-interne",IFERROR(INDEX('Paramètres'!$N:$N,MATCH($D1932,'Paramètres'!$M:$M,0))&amp;"",""))),0,IF($L1932="Débit",$K1932,IF($P1932=1,-$K1932,0))))</f>
        <v/>
      </c>
      <c r="R1932" s="6" t="str">
        <f>IF($K1932="","",IF($L1932="Crédit",$K1932,-$K1932))</f>
        <v/>
      </c>
      <c r="S1932" s="6" t="str">
        <f>IF($C1932="","",IFERROR(INDEX('Paramètres'!$H:$H,MATCH($C1932,'Paramètres'!$D:$D,0))&amp;"",""))</f>
        <v/>
      </c>
      <c r="T1932" s="6" t="str">
        <f>IF($K1932="","",IF($S1932="",0,IF(ISNUMBER(SEARCH("apport-exterieur",IFERROR(INDEX('Paramètres'!$N:$N,MATCH($D1932,'Paramètres'!$M:$M,0))&amp;"",""))),0,IF(OR(IFERROR(INDEX('Paramètres'!$I:$I,MATCH($C1932,'Paramètres'!$D:$D,0))&amp;"","")="Les deux",IFERROR(INDEX('Paramètres'!$I:$I,MATCH($C1932,'Paramètres'!$D:$D,0))&amp;"","")=IF($P1932=1,"Débit",$L1932)),-IF($P1932=1,-$K1932,$K1932),0))))</f>
        <v/>
      </c>
      <c r="U1932" s="6" t="str">
        <f>IF($K1932="","",IF(ISNUMBER(SEARCH("sortie-epargne",IFERROR(INDEX('Paramètres'!$N:$N,MATCH($D1932,'Paramètres'!$M:$M,0))&amp;"",""))),$K1932,0))</f>
        <v/>
      </c>
      <c r="V1932" s="6" t="str">
        <f>IF(AND($A1932&lt;&gt;"",$O1932=1,$L1932="Débit",N($Q1932)&gt;0,$A1932&gt;=Visualisation!$B$1,$A1932&lt;Visualisation!$D$1),MAX($V$1:V1931)+1,"")</f>
        <v/>
      </c>
    </row>
    <row r="1933" spans="1:22" x14ac:dyDescent="0.25">
      <c r="A1933" s="9"/>
      <c r="E1933" s="10"/>
      <c r="K1933" s="11" t="str">
        <f>IF($E1933="","",ROUND($E1933*IF(ISNA(MATCH($C1933,'Paramètres'!$D:$D,0)),1,IF(INDEX('Paramètres'!$J:$J,MATCH($C1933,'Paramètres'!$D:$D,0))="",1,INDEX('Paramètres'!$J:$J,MATCH($C1933,'Paramètres'!$D:$D,0)))),2))</f>
        <v/>
      </c>
      <c r="L1933" s="6" t="str">
        <f>IF($D1933="","",IF($F1933&lt;&gt;"",$F1933,IF(ISNA(MATCH($D1933,'Paramètres'!$M:$M,0)),"⚠ Type inconnu",IFERROR(INDEX('Paramètres'!$P:$P,MATCH($D1933,'Paramètres'!$M:$M,0))&amp;"",""))))</f>
        <v/>
      </c>
      <c r="M1933" s="6" t="str">
        <f>IF($D1933="","",IF(ISNA(MATCH($D1933,'Paramètres'!$M:$M,0)),"⚠ Type inconnu",IF($L1933="Crédit","",IFERROR(INDEX('Paramètres'!$O:$O,MATCH($D1933,'Paramètres'!$M:$M,0))&amp;"",""))))</f>
        <v/>
      </c>
      <c r="N1933" s="6" t="str">
        <f>IF($D1933="","",IFERROR(INDEX('Paramètres'!$Q:$Q,MATCH($D1933,'Paramètres'!$M:$M,0))&amp;"",""))</f>
        <v/>
      </c>
      <c r="O1933" s="6" t="str">
        <f>IF($A1933="","",IF(OR($J1933&lt;&gt;"x",$A1933&lt;=FinReleve),1,0))</f>
        <v/>
      </c>
      <c r="P1933" s="6" t="str">
        <f>IF($D1933="","",IF(AND($L1933="Crédit",OR(IFERROR(INDEX('Paramètres'!$O:$O,MATCH($D1933,'Paramètres'!$M:$M,0))&amp;"","")&lt;&gt;"",ISNUMBER(SEARCH("remboursement",IFERROR(INDEX('Paramètres'!$N:$N,MATCH($D1933,'Paramètres'!$M:$M,0))&amp;"",""))))),1,0))</f>
        <v/>
      </c>
      <c r="Q1933" s="6" t="str">
        <f>IF($K1933="","",IF(ISNUMBER(SEARCH("transfert-interne",IFERROR(INDEX('Paramètres'!$N:$N,MATCH($D1933,'Paramètres'!$M:$M,0))&amp;"",""))),0,IF($L1933="Débit",$K1933,IF($P1933=1,-$K1933,0))))</f>
        <v/>
      </c>
      <c r="R1933" s="6" t="str">
        <f>IF($K1933="","",IF($L1933="Crédit",$K1933,-$K1933))</f>
        <v/>
      </c>
      <c r="S1933" s="6" t="str">
        <f>IF($C1933="","",IFERROR(INDEX('Paramètres'!$H:$H,MATCH($C1933,'Paramètres'!$D:$D,0))&amp;"",""))</f>
        <v/>
      </c>
      <c r="T1933" s="6" t="str">
        <f>IF($K1933="","",IF($S1933="",0,IF(ISNUMBER(SEARCH("apport-exterieur",IFERROR(INDEX('Paramètres'!$N:$N,MATCH($D1933,'Paramètres'!$M:$M,0))&amp;"",""))),0,IF(OR(IFERROR(INDEX('Paramètres'!$I:$I,MATCH($C1933,'Paramètres'!$D:$D,0))&amp;"","")="Les deux",IFERROR(INDEX('Paramètres'!$I:$I,MATCH($C1933,'Paramètres'!$D:$D,0))&amp;"","")=IF($P1933=1,"Débit",$L1933)),-IF($P1933=1,-$K1933,$K1933),0))))</f>
        <v/>
      </c>
      <c r="U1933" s="6" t="str">
        <f>IF($K1933="","",IF(ISNUMBER(SEARCH("sortie-epargne",IFERROR(INDEX('Paramètres'!$N:$N,MATCH($D1933,'Paramètres'!$M:$M,0))&amp;"",""))),$K1933,0))</f>
        <v/>
      </c>
      <c r="V1933" s="6" t="str">
        <f>IF(AND($A1933&lt;&gt;"",$O1933=1,$L1933="Débit",N($Q1933)&gt;0,$A1933&gt;=Visualisation!$B$1,$A1933&lt;Visualisation!$D$1),MAX($V$1:V1932)+1,"")</f>
        <v/>
      </c>
    </row>
    <row r="1934" spans="1:22" x14ac:dyDescent="0.25">
      <c r="A1934" s="9"/>
      <c r="E1934" s="10"/>
      <c r="K1934" s="11" t="str">
        <f>IF($E1934="","",ROUND($E1934*IF(ISNA(MATCH($C1934,'Paramètres'!$D:$D,0)),1,IF(INDEX('Paramètres'!$J:$J,MATCH($C1934,'Paramètres'!$D:$D,0))="",1,INDEX('Paramètres'!$J:$J,MATCH($C1934,'Paramètres'!$D:$D,0)))),2))</f>
        <v/>
      </c>
      <c r="L1934" s="6" t="str">
        <f>IF($D1934="","",IF($F1934&lt;&gt;"",$F1934,IF(ISNA(MATCH($D1934,'Paramètres'!$M:$M,0)),"⚠ Type inconnu",IFERROR(INDEX('Paramètres'!$P:$P,MATCH($D1934,'Paramètres'!$M:$M,0))&amp;"",""))))</f>
        <v/>
      </c>
      <c r="M1934" s="6" t="str">
        <f>IF($D1934="","",IF(ISNA(MATCH($D1934,'Paramètres'!$M:$M,0)),"⚠ Type inconnu",IF($L1934="Crédit","",IFERROR(INDEX('Paramètres'!$O:$O,MATCH($D1934,'Paramètres'!$M:$M,0))&amp;"",""))))</f>
        <v/>
      </c>
      <c r="N1934" s="6" t="str">
        <f>IF($D1934="","",IFERROR(INDEX('Paramètres'!$Q:$Q,MATCH($D1934,'Paramètres'!$M:$M,0))&amp;"",""))</f>
        <v/>
      </c>
      <c r="O1934" s="6" t="str">
        <f>IF($A1934="","",IF(OR($J1934&lt;&gt;"x",$A1934&lt;=FinReleve),1,0))</f>
        <v/>
      </c>
      <c r="P1934" s="6" t="str">
        <f>IF($D1934="","",IF(AND($L1934="Crédit",OR(IFERROR(INDEX('Paramètres'!$O:$O,MATCH($D1934,'Paramètres'!$M:$M,0))&amp;"","")&lt;&gt;"",ISNUMBER(SEARCH("remboursement",IFERROR(INDEX('Paramètres'!$N:$N,MATCH($D1934,'Paramètres'!$M:$M,0))&amp;"",""))))),1,0))</f>
        <v/>
      </c>
      <c r="Q1934" s="6" t="str">
        <f>IF($K1934="","",IF(ISNUMBER(SEARCH("transfert-interne",IFERROR(INDEX('Paramètres'!$N:$N,MATCH($D1934,'Paramètres'!$M:$M,0))&amp;"",""))),0,IF($L1934="Débit",$K1934,IF($P1934=1,-$K1934,0))))</f>
        <v/>
      </c>
      <c r="R1934" s="6" t="str">
        <f>IF($K1934="","",IF($L1934="Crédit",$K1934,-$K1934))</f>
        <v/>
      </c>
      <c r="S1934" s="6" t="str">
        <f>IF($C1934="","",IFERROR(INDEX('Paramètres'!$H:$H,MATCH($C1934,'Paramètres'!$D:$D,0))&amp;"",""))</f>
        <v/>
      </c>
      <c r="T1934" s="6" t="str">
        <f>IF($K1934="","",IF($S1934="",0,IF(ISNUMBER(SEARCH("apport-exterieur",IFERROR(INDEX('Paramètres'!$N:$N,MATCH($D1934,'Paramètres'!$M:$M,0))&amp;"",""))),0,IF(OR(IFERROR(INDEX('Paramètres'!$I:$I,MATCH($C1934,'Paramètres'!$D:$D,0))&amp;"","")="Les deux",IFERROR(INDEX('Paramètres'!$I:$I,MATCH($C1934,'Paramètres'!$D:$D,0))&amp;"","")=IF($P1934=1,"Débit",$L1934)),-IF($P1934=1,-$K1934,$K1934),0))))</f>
        <v/>
      </c>
      <c r="U1934" s="6" t="str">
        <f>IF($K1934="","",IF(ISNUMBER(SEARCH("sortie-epargne",IFERROR(INDEX('Paramètres'!$N:$N,MATCH($D1934,'Paramètres'!$M:$M,0))&amp;"",""))),$K1934,0))</f>
        <v/>
      </c>
      <c r="V1934" s="6" t="str">
        <f>IF(AND($A1934&lt;&gt;"",$O1934=1,$L1934="Débit",N($Q1934)&gt;0,$A1934&gt;=Visualisation!$B$1,$A1934&lt;Visualisation!$D$1),MAX($V$1:V1933)+1,"")</f>
        <v/>
      </c>
    </row>
    <row r="1935" spans="1:22" x14ac:dyDescent="0.25">
      <c r="A1935" s="9"/>
      <c r="E1935" s="10"/>
      <c r="K1935" s="11" t="str">
        <f>IF($E1935="","",ROUND($E1935*IF(ISNA(MATCH($C1935,'Paramètres'!$D:$D,0)),1,IF(INDEX('Paramètres'!$J:$J,MATCH($C1935,'Paramètres'!$D:$D,0))="",1,INDEX('Paramètres'!$J:$J,MATCH($C1935,'Paramètres'!$D:$D,0)))),2))</f>
        <v/>
      </c>
      <c r="L1935" s="6" t="str">
        <f>IF($D1935="","",IF($F1935&lt;&gt;"",$F1935,IF(ISNA(MATCH($D1935,'Paramètres'!$M:$M,0)),"⚠ Type inconnu",IFERROR(INDEX('Paramètres'!$P:$P,MATCH($D1935,'Paramètres'!$M:$M,0))&amp;"",""))))</f>
        <v/>
      </c>
      <c r="M1935" s="6" t="str">
        <f>IF($D1935="","",IF(ISNA(MATCH($D1935,'Paramètres'!$M:$M,0)),"⚠ Type inconnu",IF($L1935="Crédit","",IFERROR(INDEX('Paramètres'!$O:$O,MATCH($D1935,'Paramètres'!$M:$M,0))&amp;"",""))))</f>
        <v/>
      </c>
      <c r="N1935" s="6" t="str">
        <f>IF($D1935="","",IFERROR(INDEX('Paramètres'!$Q:$Q,MATCH($D1935,'Paramètres'!$M:$M,0))&amp;"",""))</f>
        <v/>
      </c>
      <c r="O1935" s="6" t="str">
        <f>IF($A1935="","",IF(OR($J1935&lt;&gt;"x",$A1935&lt;=FinReleve),1,0))</f>
        <v/>
      </c>
      <c r="P1935" s="6" t="str">
        <f>IF($D1935="","",IF(AND($L1935="Crédit",OR(IFERROR(INDEX('Paramètres'!$O:$O,MATCH($D1935,'Paramètres'!$M:$M,0))&amp;"","")&lt;&gt;"",ISNUMBER(SEARCH("remboursement",IFERROR(INDEX('Paramètres'!$N:$N,MATCH($D1935,'Paramètres'!$M:$M,0))&amp;"",""))))),1,0))</f>
        <v/>
      </c>
      <c r="Q1935" s="6" t="str">
        <f>IF($K1935="","",IF(ISNUMBER(SEARCH("transfert-interne",IFERROR(INDEX('Paramètres'!$N:$N,MATCH($D1935,'Paramètres'!$M:$M,0))&amp;"",""))),0,IF($L1935="Débit",$K1935,IF($P1935=1,-$K1935,0))))</f>
        <v/>
      </c>
      <c r="R1935" s="6" t="str">
        <f>IF($K1935="","",IF($L1935="Crédit",$K1935,-$K1935))</f>
        <v/>
      </c>
      <c r="S1935" s="6" t="str">
        <f>IF($C1935="","",IFERROR(INDEX('Paramètres'!$H:$H,MATCH($C1935,'Paramètres'!$D:$D,0))&amp;"",""))</f>
        <v/>
      </c>
      <c r="T1935" s="6" t="str">
        <f>IF($K1935="","",IF($S1935="",0,IF(ISNUMBER(SEARCH("apport-exterieur",IFERROR(INDEX('Paramètres'!$N:$N,MATCH($D1935,'Paramètres'!$M:$M,0))&amp;"",""))),0,IF(OR(IFERROR(INDEX('Paramètres'!$I:$I,MATCH($C1935,'Paramètres'!$D:$D,0))&amp;"","")="Les deux",IFERROR(INDEX('Paramètres'!$I:$I,MATCH($C1935,'Paramètres'!$D:$D,0))&amp;"","")=IF($P1935=1,"Débit",$L1935)),-IF($P1935=1,-$K1935,$K1935),0))))</f>
        <v/>
      </c>
      <c r="U1935" s="6" t="str">
        <f>IF($K1935="","",IF(ISNUMBER(SEARCH("sortie-epargne",IFERROR(INDEX('Paramètres'!$N:$N,MATCH($D1935,'Paramètres'!$M:$M,0))&amp;"",""))),$K1935,0))</f>
        <v/>
      </c>
      <c r="V1935" s="6" t="str">
        <f>IF(AND($A1935&lt;&gt;"",$O1935=1,$L1935="Débit",N($Q1935)&gt;0,$A1935&gt;=Visualisation!$B$1,$A1935&lt;Visualisation!$D$1),MAX($V$1:V1934)+1,"")</f>
        <v/>
      </c>
    </row>
    <row r="1936" spans="1:22" x14ac:dyDescent="0.25">
      <c r="A1936" s="9"/>
      <c r="E1936" s="10"/>
      <c r="K1936" s="11" t="str">
        <f>IF($E1936="","",ROUND($E1936*IF(ISNA(MATCH($C1936,'Paramètres'!$D:$D,0)),1,IF(INDEX('Paramètres'!$J:$J,MATCH($C1936,'Paramètres'!$D:$D,0))="",1,INDEX('Paramètres'!$J:$J,MATCH($C1936,'Paramètres'!$D:$D,0)))),2))</f>
        <v/>
      </c>
      <c r="L1936" s="6" t="str">
        <f>IF($D1936="","",IF($F1936&lt;&gt;"",$F1936,IF(ISNA(MATCH($D1936,'Paramètres'!$M:$M,0)),"⚠ Type inconnu",IFERROR(INDEX('Paramètres'!$P:$P,MATCH($D1936,'Paramètres'!$M:$M,0))&amp;"",""))))</f>
        <v/>
      </c>
      <c r="M1936" s="6" t="str">
        <f>IF($D1936="","",IF(ISNA(MATCH($D1936,'Paramètres'!$M:$M,0)),"⚠ Type inconnu",IF($L1936="Crédit","",IFERROR(INDEX('Paramètres'!$O:$O,MATCH($D1936,'Paramètres'!$M:$M,0))&amp;"",""))))</f>
        <v/>
      </c>
      <c r="N1936" s="6" t="str">
        <f>IF($D1936="","",IFERROR(INDEX('Paramètres'!$Q:$Q,MATCH($D1936,'Paramètres'!$M:$M,0))&amp;"",""))</f>
        <v/>
      </c>
      <c r="O1936" s="6" t="str">
        <f>IF($A1936="","",IF(OR($J1936&lt;&gt;"x",$A1936&lt;=FinReleve),1,0))</f>
        <v/>
      </c>
      <c r="P1936" s="6" t="str">
        <f>IF($D1936="","",IF(AND($L1936="Crédit",OR(IFERROR(INDEX('Paramètres'!$O:$O,MATCH($D1936,'Paramètres'!$M:$M,0))&amp;"","")&lt;&gt;"",ISNUMBER(SEARCH("remboursement",IFERROR(INDEX('Paramètres'!$N:$N,MATCH($D1936,'Paramètres'!$M:$M,0))&amp;"",""))))),1,0))</f>
        <v/>
      </c>
      <c r="Q1936" s="6" t="str">
        <f>IF($K1936="","",IF(ISNUMBER(SEARCH("transfert-interne",IFERROR(INDEX('Paramètres'!$N:$N,MATCH($D1936,'Paramètres'!$M:$M,0))&amp;"",""))),0,IF($L1936="Débit",$K1936,IF($P1936=1,-$K1936,0))))</f>
        <v/>
      </c>
      <c r="R1936" s="6" t="str">
        <f>IF($K1936="","",IF($L1936="Crédit",$K1936,-$K1936))</f>
        <v/>
      </c>
      <c r="S1936" s="6" t="str">
        <f>IF($C1936="","",IFERROR(INDEX('Paramètres'!$H:$H,MATCH($C1936,'Paramètres'!$D:$D,0))&amp;"",""))</f>
        <v/>
      </c>
      <c r="T1936" s="6" t="str">
        <f>IF($K1936="","",IF($S1936="",0,IF(ISNUMBER(SEARCH("apport-exterieur",IFERROR(INDEX('Paramètres'!$N:$N,MATCH($D1936,'Paramètres'!$M:$M,0))&amp;"",""))),0,IF(OR(IFERROR(INDEX('Paramètres'!$I:$I,MATCH($C1936,'Paramètres'!$D:$D,0))&amp;"","")="Les deux",IFERROR(INDEX('Paramètres'!$I:$I,MATCH($C1936,'Paramètres'!$D:$D,0))&amp;"","")=IF($P1936=1,"Débit",$L1936)),-IF($P1936=1,-$K1936,$K1936),0))))</f>
        <v/>
      </c>
      <c r="U1936" s="6" t="str">
        <f>IF($K1936="","",IF(ISNUMBER(SEARCH("sortie-epargne",IFERROR(INDEX('Paramètres'!$N:$N,MATCH($D1936,'Paramètres'!$M:$M,0))&amp;"",""))),$K1936,0))</f>
        <v/>
      </c>
      <c r="V1936" s="6" t="str">
        <f>IF(AND($A1936&lt;&gt;"",$O1936=1,$L1936="Débit",N($Q1936)&gt;0,$A1936&gt;=Visualisation!$B$1,$A1936&lt;Visualisation!$D$1),MAX($V$1:V1935)+1,"")</f>
        <v/>
      </c>
    </row>
    <row r="1937" spans="1:22" x14ac:dyDescent="0.25">
      <c r="A1937" s="9"/>
      <c r="E1937" s="10"/>
      <c r="K1937" s="11" t="str">
        <f>IF($E1937="","",ROUND($E1937*IF(ISNA(MATCH($C1937,'Paramètres'!$D:$D,0)),1,IF(INDEX('Paramètres'!$J:$J,MATCH($C1937,'Paramètres'!$D:$D,0))="",1,INDEX('Paramètres'!$J:$J,MATCH($C1937,'Paramètres'!$D:$D,0)))),2))</f>
        <v/>
      </c>
      <c r="L1937" s="6" t="str">
        <f>IF($D1937="","",IF($F1937&lt;&gt;"",$F1937,IF(ISNA(MATCH($D1937,'Paramètres'!$M:$M,0)),"⚠ Type inconnu",IFERROR(INDEX('Paramètres'!$P:$P,MATCH($D1937,'Paramètres'!$M:$M,0))&amp;"",""))))</f>
        <v/>
      </c>
      <c r="M1937" s="6" t="str">
        <f>IF($D1937="","",IF(ISNA(MATCH($D1937,'Paramètres'!$M:$M,0)),"⚠ Type inconnu",IF($L1937="Crédit","",IFERROR(INDEX('Paramètres'!$O:$O,MATCH($D1937,'Paramètres'!$M:$M,0))&amp;"",""))))</f>
        <v/>
      </c>
      <c r="N1937" s="6" t="str">
        <f>IF($D1937="","",IFERROR(INDEX('Paramètres'!$Q:$Q,MATCH($D1937,'Paramètres'!$M:$M,0))&amp;"",""))</f>
        <v/>
      </c>
      <c r="O1937" s="6" t="str">
        <f>IF($A1937="","",IF(OR($J1937&lt;&gt;"x",$A1937&lt;=FinReleve),1,0))</f>
        <v/>
      </c>
      <c r="P1937" s="6" t="str">
        <f>IF($D1937="","",IF(AND($L1937="Crédit",OR(IFERROR(INDEX('Paramètres'!$O:$O,MATCH($D1937,'Paramètres'!$M:$M,0))&amp;"","")&lt;&gt;"",ISNUMBER(SEARCH("remboursement",IFERROR(INDEX('Paramètres'!$N:$N,MATCH($D1937,'Paramètres'!$M:$M,0))&amp;"",""))))),1,0))</f>
        <v/>
      </c>
      <c r="Q1937" s="6" t="str">
        <f>IF($K1937="","",IF(ISNUMBER(SEARCH("transfert-interne",IFERROR(INDEX('Paramètres'!$N:$N,MATCH($D1937,'Paramètres'!$M:$M,0))&amp;"",""))),0,IF($L1937="Débit",$K1937,IF($P1937=1,-$K1937,0))))</f>
        <v/>
      </c>
      <c r="R1937" s="6" t="str">
        <f>IF($K1937="","",IF($L1937="Crédit",$K1937,-$K1937))</f>
        <v/>
      </c>
      <c r="S1937" s="6" t="str">
        <f>IF($C1937="","",IFERROR(INDEX('Paramètres'!$H:$H,MATCH($C1937,'Paramètres'!$D:$D,0))&amp;"",""))</f>
        <v/>
      </c>
      <c r="T1937" s="6" t="str">
        <f>IF($K1937="","",IF($S1937="",0,IF(ISNUMBER(SEARCH("apport-exterieur",IFERROR(INDEX('Paramètres'!$N:$N,MATCH($D1937,'Paramètres'!$M:$M,0))&amp;"",""))),0,IF(OR(IFERROR(INDEX('Paramètres'!$I:$I,MATCH($C1937,'Paramètres'!$D:$D,0))&amp;"","")="Les deux",IFERROR(INDEX('Paramètres'!$I:$I,MATCH($C1937,'Paramètres'!$D:$D,0))&amp;"","")=IF($P1937=1,"Débit",$L1937)),-IF($P1937=1,-$K1937,$K1937),0))))</f>
        <v/>
      </c>
      <c r="U1937" s="6" t="str">
        <f>IF($K1937="","",IF(ISNUMBER(SEARCH("sortie-epargne",IFERROR(INDEX('Paramètres'!$N:$N,MATCH($D1937,'Paramètres'!$M:$M,0))&amp;"",""))),$K1937,0))</f>
        <v/>
      </c>
      <c r="V1937" s="6" t="str">
        <f>IF(AND($A1937&lt;&gt;"",$O1937=1,$L1937="Débit",N($Q1937)&gt;0,$A1937&gt;=Visualisation!$B$1,$A1937&lt;Visualisation!$D$1),MAX($V$1:V1936)+1,"")</f>
        <v/>
      </c>
    </row>
    <row r="1938" spans="1:22" x14ac:dyDescent="0.25">
      <c r="A1938" s="9"/>
      <c r="E1938" s="10"/>
      <c r="K1938" s="11" t="str">
        <f>IF($E1938="","",ROUND($E1938*IF(ISNA(MATCH($C1938,'Paramètres'!$D:$D,0)),1,IF(INDEX('Paramètres'!$J:$J,MATCH($C1938,'Paramètres'!$D:$D,0))="",1,INDEX('Paramètres'!$J:$J,MATCH($C1938,'Paramètres'!$D:$D,0)))),2))</f>
        <v/>
      </c>
      <c r="L1938" s="6" t="str">
        <f>IF($D1938="","",IF($F1938&lt;&gt;"",$F1938,IF(ISNA(MATCH($D1938,'Paramètres'!$M:$M,0)),"⚠ Type inconnu",IFERROR(INDEX('Paramètres'!$P:$P,MATCH($D1938,'Paramètres'!$M:$M,0))&amp;"",""))))</f>
        <v/>
      </c>
      <c r="M1938" s="6" t="str">
        <f>IF($D1938="","",IF(ISNA(MATCH($D1938,'Paramètres'!$M:$M,0)),"⚠ Type inconnu",IF($L1938="Crédit","",IFERROR(INDEX('Paramètres'!$O:$O,MATCH($D1938,'Paramètres'!$M:$M,0))&amp;"",""))))</f>
        <v/>
      </c>
      <c r="N1938" s="6" t="str">
        <f>IF($D1938="","",IFERROR(INDEX('Paramètres'!$Q:$Q,MATCH($D1938,'Paramètres'!$M:$M,0))&amp;"",""))</f>
        <v/>
      </c>
      <c r="O1938" s="6" t="str">
        <f>IF($A1938="","",IF(OR($J1938&lt;&gt;"x",$A1938&lt;=FinReleve),1,0))</f>
        <v/>
      </c>
      <c r="P1938" s="6" t="str">
        <f>IF($D1938="","",IF(AND($L1938="Crédit",OR(IFERROR(INDEX('Paramètres'!$O:$O,MATCH($D1938,'Paramètres'!$M:$M,0))&amp;"","")&lt;&gt;"",ISNUMBER(SEARCH("remboursement",IFERROR(INDEX('Paramètres'!$N:$N,MATCH($D1938,'Paramètres'!$M:$M,0))&amp;"",""))))),1,0))</f>
        <v/>
      </c>
      <c r="Q1938" s="6" t="str">
        <f>IF($K1938="","",IF(ISNUMBER(SEARCH("transfert-interne",IFERROR(INDEX('Paramètres'!$N:$N,MATCH($D1938,'Paramètres'!$M:$M,0))&amp;"",""))),0,IF($L1938="Débit",$K1938,IF($P1938=1,-$K1938,0))))</f>
        <v/>
      </c>
      <c r="R1938" s="6" t="str">
        <f>IF($K1938="","",IF($L1938="Crédit",$K1938,-$K1938))</f>
        <v/>
      </c>
      <c r="S1938" s="6" t="str">
        <f>IF($C1938="","",IFERROR(INDEX('Paramètres'!$H:$H,MATCH($C1938,'Paramètres'!$D:$D,0))&amp;"",""))</f>
        <v/>
      </c>
      <c r="T1938" s="6" t="str">
        <f>IF($K1938="","",IF($S1938="",0,IF(ISNUMBER(SEARCH("apport-exterieur",IFERROR(INDEX('Paramètres'!$N:$N,MATCH($D1938,'Paramètres'!$M:$M,0))&amp;"",""))),0,IF(OR(IFERROR(INDEX('Paramètres'!$I:$I,MATCH($C1938,'Paramètres'!$D:$D,0))&amp;"","")="Les deux",IFERROR(INDEX('Paramètres'!$I:$I,MATCH($C1938,'Paramètres'!$D:$D,0))&amp;"","")=IF($P1938=1,"Débit",$L1938)),-IF($P1938=1,-$K1938,$K1938),0))))</f>
        <v/>
      </c>
      <c r="U1938" s="6" t="str">
        <f>IF($K1938="","",IF(ISNUMBER(SEARCH("sortie-epargne",IFERROR(INDEX('Paramètres'!$N:$N,MATCH($D1938,'Paramètres'!$M:$M,0))&amp;"",""))),$K1938,0))</f>
        <v/>
      </c>
      <c r="V1938" s="6" t="str">
        <f>IF(AND($A1938&lt;&gt;"",$O1938=1,$L1938="Débit",N($Q1938)&gt;0,$A1938&gt;=Visualisation!$B$1,$A1938&lt;Visualisation!$D$1),MAX($V$1:V1937)+1,"")</f>
        <v/>
      </c>
    </row>
    <row r="1939" spans="1:22" x14ac:dyDescent="0.25">
      <c r="A1939" s="9"/>
      <c r="E1939" s="10"/>
      <c r="K1939" s="11" t="str">
        <f>IF($E1939="","",ROUND($E1939*IF(ISNA(MATCH($C1939,'Paramètres'!$D:$D,0)),1,IF(INDEX('Paramètres'!$J:$J,MATCH($C1939,'Paramètres'!$D:$D,0))="",1,INDEX('Paramètres'!$J:$J,MATCH($C1939,'Paramètres'!$D:$D,0)))),2))</f>
        <v/>
      </c>
      <c r="L1939" s="6" t="str">
        <f>IF($D1939="","",IF($F1939&lt;&gt;"",$F1939,IF(ISNA(MATCH($D1939,'Paramètres'!$M:$M,0)),"⚠ Type inconnu",IFERROR(INDEX('Paramètres'!$P:$P,MATCH($D1939,'Paramètres'!$M:$M,0))&amp;"",""))))</f>
        <v/>
      </c>
      <c r="M1939" s="6" t="str">
        <f>IF($D1939="","",IF(ISNA(MATCH($D1939,'Paramètres'!$M:$M,0)),"⚠ Type inconnu",IF($L1939="Crédit","",IFERROR(INDEX('Paramètres'!$O:$O,MATCH($D1939,'Paramètres'!$M:$M,0))&amp;"",""))))</f>
        <v/>
      </c>
      <c r="N1939" s="6" t="str">
        <f>IF($D1939="","",IFERROR(INDEX('Paramètres'!$Q:$Q,MATCH($D1939,'Paramètres'!$M:$M,0))&amp;"",""))</f>
        <v/>
      </c>
      <c r="O1939" s="6" t="str">
        <f>IF($A1939="","",IF(OR($J1939&lt;&gt;"x",$A1939&lt;=FinReleve),1,0))</f>
        <v/>
      </c>
      <c r="P1939" s="6" t="str">
        <f>IF($D1939="","",IF(AND($L1939="Crédit",OR(IFERROR(INDEX('Paramètres'!$O:$O,MATCH($D1939,'Paramètres'!$M:$M,0))&amp;"","")&lt;&gt;"",ISNUMBER(SEARCH("remboursement",IFERROR(INDEX('Paramètres'!$N:$N,MATCH($D1939,'Paramètres'!$M:$M,0))&amp;"",""))))),1,0))</f>
        <v/>
      </c>
      <c r="Q1939" s="6" t="str">
        <f>IF($K1939="","",IF(ISNUMBER(SEARCH("transfert-interne",IFERROR(INDEX('Paramètres'!$N:$N,MATCH($D1939,'Paramètres'!$M:$M,0))&amp;"",""))),0,IF($L1939="Débit",$K1939,IF($P1939=1,-$K1939,0))))</f>
        <v/>
      </c>
      <c r="R1939" s="6" t="str">
        <f>IF($K1939="","",IF($L1939="Crédit",$K1939,-$K1939))</f>
        <v/>
      </c>
      <c r="S1939" s="6" t="str">
        <f>IF($C1939="","",IFERROR(INDEX('Paramètres'!$H:$H,MATCH($C1939,'Paramètres'!$D:$D,0))&amp;"",""))</f>
        <v/>
      </c>
      <c r="T1939" s="6" t="str">
        <f>IF($K1939="","",IF($S1939="",0,IF(ISNUMBER(SEARCH("apport-exterieur",IFERROR(INDEX('Paramètres'!$N:$N,MATCH($D1939,'Paramètres'!$M:$M,0))&amp;"",""))),0,IF(OR(IFERROR(INDEX('Paramètres'!$I:$I,MATCH($C1939,'Paramètres'!$D:$D,0))&amp;"","")="Les deux",IFERROR(INDEX('Paramètres'!$I:$I,MATCH($C1939,'Paramètres'!$D:$D,0))&amp;"","")=IF($P1939=1,"Débit",$L1939)),-IF($P1939=1,-$K1939,$K1939),0))))</f>
        <v/>
      </c>
      <c r="U1939" s="6" t="str">
        <f>IF($K1939="","",IF(ISNUMBER(SEARCH("sortie-epargne",IFERROR(INDEX('Paramètres'!$N:$N,MATCH($D1939,'Paramètres'!$M:$M,0))&amp;"",""))),$K1939,0))</f>
        <v/>
      </c>
      <c r="V1939" s="6" t="str">
        <f>IF(AND($A1939&lt;&gt;"",$O1939=1,$L1939="Débit",N($Q1939)&gt;0,$A1939&gt;=Visualisation!$B$1,$A1939&lt;Visualisation!$D$1),MAX($V$1:V1938)+1,"")</f>
        <v/>
      </c>
    </row>
    <row r="1940" spans="1:22" x14ac:dyDescent="0.25">
      <c r="A1940" s="9"/>
      <c r="E1940" s="10"/>
      <c r="K1940" s="11" t="str">
        <f>IF($E1940="","",ROUND($E1940*IF(ISNA(MATCH($C1940,'Paramètres'!$D:$D,0)),1,IF(INDEX('Paramètres'!$J:$J,MATCH($C1940,'Paramètres'!$D:$D,0))="",1,INDEX('Paramètres'!$J:$J,MATCH($C1940,'Paramètres'!$D:$D,0)))),2))</f>
        <v/>
      </c>
      <c r="L1940" s="6" t="str">
        <f>IF($D1940="","",IF($F1940&lt;&gt;"",$F1940,IF(ISNA(MATCH($D1940,'Paramètres'!$M:$M,0)),"⚠ Type inconnu",IFERROR(INDEX('Paramètres'!$P:$P,MATCH($D1940,'Paramètres'!$M:$M,0))&amp;"",""))))</f>
        <v/>
      </c>
      <c r="M1940" s="6" t="str">
        <f>IF($D1940="","",IF(ISNA(MATCH($D1940,'Paramètres'!$M:$M,0)),"⚠ Type inconnu",IF($L1940="Crédit","",IFERROR(INDEX('Paramètres'!$O:$O,MATCH($D1940,'Paramètres'!$M:$M,0))&amp;"",""))))</f>
        <v/>
      </c>
      <c r="N1940" s="6" t="str">
        <f>IF($D1940="","",IFERROR(INDEX('Paramètres'!$Q:$Q,MATCH($D1940,'Paramètres'!$M:$M,0))&amp;"",""))</f>
        <v/>
      </c>
      <c r="O1940" s="6" t="str">
        <f>IF($A1940="","",IF(OR($J1940&lt;&gt;"x",$A1940&lt;=FinReleve),1,0))</f>
        <v/>
      </c>
      <c r="P1940" s="6" t="str">
        <f>IF($D1940="","",IF(AND($L1940="Crédit",OR(IFERROR(INDEX('Paramètres'!$O:$O,MATCH($D1940,'Paramètres'!$M:$M,0))&amp;"","")&lt;&gt;"",ISNUMBER(SEARCH("remboursement",IFERROR(INDEX('Paramètres'!$N:$N,MATCH($D1940,'Paramètres'!$M:$M,0))&amp;"",""))))),1,0))</f>
        <v/>
      </c>
      <c r="Q1940" s="6" t="str">
        <f>IF($K1940="","",IF(ISNUMBER(SEARCH("transfert-interne",IFERROR(INDEX('Paramètres'!$N:$N,MATCH($D1940,'Paramètres'!$M:$M,0))&amp;"",""))),0,IF($L1940="Débit",$K1940,IF($P1940=1,-$K1940,0))))</f>
        <v/>
      </c>
      <c r="R1940" s="6" t="str">
        <f>IF($K1940="","",IF($L1940="Crédit",$K1940,-$K1940))</f>
        <v/>
      </c>
      <c r="S1940" s="6" t="str">
        <f>IF($C1940="","",IFERROR(INDEX('Paramètres'!$H:$H,MATCH($C1940,'Paramètres'!$D:$D,0))&amp;"",""))</f>
        <v/>
      </c>
      <c r="T1940" s="6" t="str">
        <f>IF($K1940="","",IF($S1940="",0,IF(ISNUMBER(SEARCH("apport-exterieur",IFERROR(INDEX('Paramètres'!$N:$N,MATCH($D1940,'Paramètres'!$M:$M,0))&amp;"",""))),0,IF(OR(IFERROR(INDEX('Paramètres'!$I:$I,MATCH($C1940,'Paramètres'!$D:$D,0))&amp;"","")="Les deux",IFERROR(INDEX('Paramètres'!$I:$I,MATCH($C1940,'Paramètres'!$D:$D,0))&amp;"","")=IF($P1940=1,"Débit",$L1940)),-IF($P1940=1,-$K1940,$K1940),0))))</f>
        <v/>
      </c>
      <c r="U1940" s="6" t="str">
        <f>IF($K1940="","",IF(ISNUMBER(SEARCH("sortie-epargne",IFERROR(INDEX('Paramètres'!$N:$N,MATCH($D1940,'Paramètres'!$M:$M,0))&amp;"",""))),$K1940,0))</f>
        <v/>
      </c>
      <c r="V1940" s="6" t="str">
        <f>IF(AND($A1940&lt;&gt;"",$O1940=1,$L1940="Débit",N($Q1940)&gt;0,$A1940&gt;=Visualisation!$B$1,$A1940&lt;Visualisation!$D$1),MAX($V$1:V1939)+1,"")</f>
        <v/>
      </c>
    </row>
    <row r="1941" spans="1:22" x14ac:dyDescent="0.25">
      <c r="A1941" s="9"/>
      <c r="E1941" s="10"/>
      <c r="K1941" s="11" t="str">
        <f>IF($E1941="","",ROUND($E1941*IF(ISNA(MATCH($C1941,'Paramètres'!$D:$D,0)),1,IF(INDEX('Paramètres'!$J:$J,MATCH($C1941,'Paramètres'!$D:$D,0))="",1,INDEX('Paramètres'!$J:$J,MATCH($C1941,'Paramètres'!$D:$D,0)))),2))</f>
        <v/>
      </c>
      <c r="L1941" s="6" t="str">
        <f>IF($D1941="","",IF($F1941&lt;&gt;"",$F1941,IF(ISNA(MATCH($D1941,'Paramètres'!$M:$M,0)),"⚠ Type inconnu",IFERROR(INDEX('Paramètres'!$P:$P,MATCH($D1941,'Paramètres'!$M:$M,0))&amp;"",""))))</f>
        <v/>
      </c>
      <c r="M1941" s="6" t="str">
        <f>IF($D1941="","",IF(ISNA(MATCH($D1941,'Paramètres'!$M:$M,0)),"⚠ Type inconnu",IF($L1941="Crédit","",IFERROR(INDEX('Paramètres'!$O:$O,MATCH($D1941,'Paramètres'!$M:$M,0))&amp;"",""))))</f>
        <v/>
      </c>
      <c r="N1941" s="6" t="str">
        <f>IF($D1941="","",IFERROR(INDEX('Paramètres'!$Q:$Q,MATCH($D1941,'Paramètres'!$M:$M,0))&amp;"",""))</f>
        <v/>
      </c>
      <c r="O1941" s="6" t="str">
        <f>IF($A1941="","",IF(OR($J1941&lt;&gt;"x",$A1941&lt;=FinReleve),1,0))</f>
        <v/>
      </c>
      <c r="P1941" s="6" t="str">
        <f>IF($D1941="","",IF(AND($L1941="Crédit",OR(IFERROR(INDEX('Paramètres'!$O:$O,MATCH($D1941,'Paramètres'!$M:$M,0))&amp;"","")&lt;&gt;"",ISNUMBER(SEARCH("remboursement",IFERROR(INDEX('Paramètres'!$N:$N,MATCH($D1941,'Paramètres'!$M:$M,0))&amp;"",""))))),1,0))</f>
        <v/>
      </c>
      <c r="Q1941" s="6" t="str">
        <f>IF($K1941="","",IF(ISNUMBER(SEARCH("transfert-interne",IFERROR(INDEX('Paramètres'!$N:$N,MATCH($D1941,'Paramètres'!$M:$M,0))&amp;"",""))),0,IF($L1941="Débit",$K1941,IF($P1941=1,-$K1941,0))))</f>
        <v/>
      </c>
      <c r="R1941" s="6" t="str">
        <f>IF($K1941="","",IF($L1941="Crédit",$K1941,-$K1941))</f>
        <v/>
      </c>
      <c r="S1941" s="6" t="str">
        <f>IF($C1941="","",IFERROR(INDEX('Paramètres'!$H:$H,MATCH($C1941,'Paramètres'!$D:$D,0))&amp;"",""))</f>
        <v/>
      </c>
      <c r="T1941" s="6" t="str">
        <f>IF($K1941="","",IF($S1941="",0,IF(ISNUMBER(SEARCH("apport-exterieur",IFERROR(INDEX('Paramètres'!$N:$N,MATCH($D1941,'Paramètres'!$M:$M,0))&amp;"",""))),0,IF(OR(IFERROR(INDEX('Paramètres'!$I:$I,MATCH($C1941,'Paramètres'!$D:$D,0))&amp;"","")="Les deux",IFERROR(INDEX('Paramètres'!$I:$I,MATCH($C1941,'Paramètres'!$D:$D,0))&amp;"","")=IF($P1941=1,"Débit",$L1941)),-IF($P1941=1,-$K1941,$K1941),0))))</f>
        <v/>
      </c>
      <c r="U1941" s="6" t="str">
        <f>IF($K1941="","",IF(ISNUMBER(SEARCH("sortie-epargne",IFERROR(INDEX('Paramètres'!$N:$N,MATCH($D1941,'Paramètres'!$M:$M,0))&amp;"",""))),$K1941,0))</f>
        <v/>
      </c>
      <c r="V1941" s="6" t="str">
        <f>IF(AND($A1941&lt;&gt;"",$O1941=1,$L1941="Débit",N($Q1941)&gt;0,$A1941&gt;=Visualisation!$B$1,$A1941&lt;Visualisation!$D$1),MAX($V$1:V1940)+1,"")</f>
        <v/>
      </c>
    </row>
    <row r="1942" spans="1:22" x14ac:dyDescent="0.25">
      <c r="A1942" s="9"/>
      <c r="E1942" s="10"/>
      <c r="K1942" s="11" t="str">
        <f>IF($E1942="","",ROUND($E1942*IF(ISNA(MATCH($C1942,'Paramètres'!$D:$D,0)),1,IF(INDEX('Paramètres'!$J:$J,MATCH($C1942,'Paramètres'!$D:$D,0))="",1,INDEX('Paramètres'!$J:$J,MATCH($C1942,'Paramètres'!$D:$D,0)))),2))</f>
        <v/>
      </c>
      <c r="L1942" s="6" t="str">
        <f>IF($D1942="","",IF($F1942&lt;&gt;"",$F1942,IF(ISNA(MATCH($D1942,'Paramètres'!$M:$M,0)),"⚠ Type inconnu",IFERROR(INDEX('Paramètres'!$P:$P,MATCH($D1942,'Paramètres'!$M:$M,0))&amp;"",""))))</f>
        <v/>
      </c>
      <c r="M1942" s="6" t="str">
        <f>IF($D1942="","",IF(ISNA(MATCH($D1942,'Paramètres'!$M:$M,0)),"⚠ Type inconnu",IF($L1942="Crédit","",IFERROR(INDEX('Paramètres'!$O:$O,MATCH($D1942,'Paramètres'!$M:$M,0))&amp;"",""))))</f>
        <v/>
      </c>
      <c r="N1942" s="6" t="str">
        <f>IF($D1942="","",IFERROR(INDEX('Paramètres'!$Q:$Q,MATCH($D1942,'Paramètres'!$M:$M,0))&amp;"",""))</f>
        <v/>
      </c>
      <c r="O1942" s="6" t="str">
        <f>IF($A1942="","",IF(OR($J1942&lt;&gt;"x",$A1942&lt;=FinReleve),1,0))</f>
        <v/>
      </c>
      <c r="P1942" s="6" t="str">
        <f>IF($D1942="","",IF(AND($L1942="Crédit",OR(IFERROR(INDEX('Paramètres'!$O:$O,MATCH($D1942,'Paramètres'!$M:$M,0))&amp;"","")&lt;&gt;"",ISNUMBER(SEARCH("remboursement",IFERROR(INDEX('Paramètres'!$N:$N,MATCH($D1942,'Paramètres'!$M:$M,0))&amp;"",""))))),1,0))</f>
        <v/>
      </c>
      <c r="Q1942" s="6" t="str">
        <f>IF($K1942="","",IF(ISNUMBER(SEARCH("transfert-interne",IFERROR(INDEX('Paramètres'!$N:$N,MATCH($D1942,'Paramètres'!$M:$M,0))&amp;"",""))),0,IF($L1942="Débit",$K1942,IF($P1942=1,-$K1942,0))))</f>
        <v/>
      </c>
      <c r="R1942" s="6" t="str">
        <f>IF($K1942="","",IF($L1942="Crédit",$K1942,-$K1942))</f>
        <v/>
      </c>
      <c r="S1942" s="6" t="str">
        <f>IF($C1942="","",IFERROR(INDEX('Paramètres'!$H:$H,MATCH($C1942,'Paramètres'!$D:$D,0))&amp;"",""))</f>
        <v/>
      </c>
      <c r="T1942" s="6" t="str">
        <f>IF($K1942="","",IF($S1942="",0,IF(ISNUMBER(SEARCH("apport-exterieur",IFERROR(INDEX('Paramètres'!$N:$N,MATCH($D1942,'Paramètres'!$M:$M,0))&amp;"",""))),0,IF(OR(IFERROR(INDEX('Paramètres'!$I:$I,MATCH($C1942,'Paramètres'!$D:$D,0))&amp;"","")="Les deux",IFERROR(INDEX('Paramètres'!$I:$I,MATCH($C1942,'Paramètres'!$D:$D,0))&amp;"","")=IF($P1942=1,"Débit",$L1942)),-IF($P1942=1,-$K1942,$K1942),0))))</f>
        <v/>
      </c>
      <c r="U1942" s="6" t="str">
        <f>IF($K1942="","",IF(ISNUMBER(SEARCH("sortie-epargne",IFERROR(INDEX('Paramètres'!$N:$N,MATCH($D1942,'Paramètres'!$M:$M,0))&amp;"",""))),$K1942,0))</f>
        <v/>
      </c>
      <c r="V1942" s="6" t="str">
        <f>IF(AND($A1942&lt;&gt;"",$O1942=1,$L1942="Débit",N($Q1942)&gt;0,$A1942&gt;=Visualisation!$B$1,$A1942&lt;Visualisation!$D$1),MAX($V$1:V1941)+1,"")</f>
        <v/>
      </c>
    </row>
    <row r="1943" spans="1:22" x14ac:dyDescent="0.25">
      <c r="A1943" s="9"/>
      <c r="E1943" s="10"/>
      <c r="K1943" s="11" t="str">
        <f>IF($E1943="","",ROUND($E1943*IF(ISNA(MATCH($C1943,'Paramètres'!$D:$D,0)),1,IF(INDEX('Paramètres'!$J:$J,MATCH($C1943,'Paramètres'!$D:$D,0))="",1,INDEX('Paramètres'!$J:$J,MATCH($C1943,'Paramètres'!$D:$D,0)))),2))</f>
        <v/>
      </c>
      <c r="L1943" s="6" t="str">
        <f>IF($D1943="","",IF($F1943&lt;&gt;"",$F1943,IF(ISNA(MATCH($D1943,'Paramètres'!$M:$M,0)),"⚠ Type inconnu",IFERROR(INDEX('Paramètres'!$P:$P,MATCH($D1943,'Paramètres'!$M:$M,0))&amp;"",""))))</f>
        <v/>
      </c>
      <c r="M1943" s="6" t="str">
        <f>IF($D1943="","",IF(ISNA(MATCH($D1943,'Paramètres'!$M:$M,0)),"⚠ Type inconnu",IF($L1943="Crédit","",IFERROR(INDEX('Paramètres'!$O:$O,MATCH($D1943,'Paramètres'!$M:$M,0))&amp;"",""))))</f>
        <v/>
      </c>
      <c r="N1943" s="6" t="str">
        <f>IF($D1943="","",IFERROR(INDEX('Paramètres'!$Q:$Q,MATCH($D1943,'Paramètres'!$M:$M,0))&amp;"",""))</f>
        <v/>
      </c>
      <c r="O1943" s="6" t="str">
        <f>IF($A1943="","",IF(OR($J1943&lt;&gt;"x",$A1943&lt;=FinReleve),1,0))</f>
        <v/>
      </c>
      <c r="P1943" s="6" t="str">
        <f>IF($D1943="","",IF(AND($L1943="Crédit",OR(IFERROR(INDEX('Paramètres'!$O:$O,MATCH($D1943,'Paramètres'!$M:$M,0))&amp;"","")&lt;&gt;"",ISNUMBER(SEARCH("remboursement",IFERROR(INDEX('Paramètres'!$N:$N,MATCH($D1943,'Paramètres'!$M:$M,0))&amp;"",""))))),1,0))</f>
        <v/>
      </c>
      <c r="Q1943" s="6" t="str">
        <f>IF($K1943="","",IF(ISNUMBER(SEARCH("transfert-interne",IFERROR(INDEX('Paramètres'!$N:$N,MATCH($D1943,'Paramètres'!$M:$M,0))&amp;"",""))),0,IF($L1943="Débit",$K1943,IF($P1943=1,-$K1943,0))))</f>
        <v/>
      </c>
      <c r="R1943" s="6" t="str">
        <f>IF($K1943="","",IF($L1943="Crédit",$K1943,-$K1943))</f>
        <v/>
      </c>
      <c r="S1943" s="6" t="str">
        <f>IF($C1943="","",IFERROR(INDEX('Paramètres'!$H:$H,MATCH($C1943,'Paramètres'!$D:$D,0))&amp;"",""))</f>
        <v/>
      </c>
      <c r="T1943" s="6" t="str">
        <f>IF($K1943="","",IF($S1943="",0,IF(ISNUMBER(SEARCH("apport-exterieur",IFERROR(INDEX('Paramètres'!$N:$N,MATCH($D1943,'Paramètres'!$M:$M,0))&amp;"",""))),0,IF(OR(IFERROR(INDEX('Paramètres'!$I:$I,MATCH($C1943,'Paramètres'!$D:$D,0))&amp;"","")="Les deux",IFERROR(INDEX('Paramètres'!$I:$I,MATCH($C1943,'Paramètres'!$D:$D,0))&amp;"","")=IF($P1943=1,"Débit",$L1943)),-IF($P1943=1,-$K1943,$K1943),0))))</f>
        <v/>
      </c>
      <c r="U1943" s="6" t="str">
        <f>IF($K1943="","",IF(ISNUMBER(SEARCH("sortie-epargne",IFERROR(INDEX('Paramètres'!$N:$N,MATCH($D1943,'Paramètres'!$M:$M,0))&amp;"",""))),$K1943,0))</f>
        <v/>
      </c>
      <c r="V1943" s="6" t="str">
        <f>IF(AND($A1943&lt;&gt;"",$O1943=1,$L1943="Débit",N($Q1943)&gt;0,$A1943&gt;=Visualisation!$B$1,$A1943&lt;Visualisation!$D$1),MAX($V$1:V1942)+1,"")</f>
        <v/>
      </c>
    </row>
    <row r="1944" spans="1:22" x14ac:dyDescent="0.25">
      <c r="A1944" s="9"/>
      <c r="E1944" s="10"/>
      <c r="K1944" s="11" t="str">
        <f>IF($E1944="","",ROUND($E1944*IF(ISNA(MATCH($C1944,'Paramètres'!$D:$D,0)),1,IF(INDEX('Paramètres'!$J:$J,MATCH($C1944,'Paramètres'!$D:$D,0))="",1,INDEX('Paramètres'!$J:$J,MATCH($C1944,'Paramètres'!$D:$D,0)))),2))</f>
        <v/>
      </c>
      <c r="L1944" s="6" t="str">
        <f>IF($D1944="","",IF($F1944&lt;&gt;"",$F1944,IF(ISNA(MATCH($D1944,'Paramètres'!$M:$M,0)),"⚠ Type inconnu",IFERROR(INDEX('Paramètres'!$P:$P,MATCH($D1944,'Paramètres'!$M:$M,0))&amp;"",""))))</f>
        <v/>
      </c>
      <c r="M1944" s="6" t="str">
        <f>IF($D1944="","",IF(ISNA(MATCH($D1944,'Paramètres'!$M:$M,0)),"⚠ Type inconnu",IF($L1944="Crédit","",IFERROR(INDEX('Paramètres'!$O:$O,MATCH($D1944,'Paramètres'!$M:$M,0))&amp;"",""))))</f>
        <v/>
      </c>
      <c r="N1944" s="6" t="str">
        <f>IF($D1944="","",IFERROR(INDEX('Paramètres'!$Q:$Q,MATCH($D1944,'Paramètres'!$M:$M,0))&amp;"",""))</f>
        <v/>
      </c>
      <c r="O1944" s="6" t="str">
        <f>IF($A1944="","",IF(OR($J1944&lt;&gt;"x",$A1944&lt;=FinReleve),1,0))</f>
        <v/>
      </c>
      <c r="P1944" s="6" t="str">
        <f>IF($D1944="","",IF(AND($L1944="Crédit",OR(IFERROR(INDEX('Paramètres'!$O:$O,MATCH($D1944,'Paramètres'!$M:$M,0))&amp;"","")&lt;&gt;"",ISNUMBER(SEARCH("remboursement",IFERROR(INDEX('Paramètres'!$N:$N,MATCH($D1944,'Paramètres'!$M:$M,0))&amp;"",""))))),1,0))</f>
        <v/>
      </c>
      <c r="Q1944" s="6" t="str">
        <f>IF($K1944="","",IF(ISNUMBER(SEARCH("transfert-interne",IFERROR(INDEX('Paramètres'!$N:$N,MATCH($D1944,'Paramètres'!$M:$M,0))&amp;"",""))),0,IF($L1944="Débit",$K1944,IF($P1944=1,-$K1944,0))))</f>
        <v/>
      </c>
      <c r="R1944" s="6" t="str">
        <f>IF($K1944="","",IF($L1944="Crédit",$K1944,-$K1944))</f>
        <v/>
      </c>
      <c r="S1944" s="6" t="str">
        <f>IF($C1944="","",IFERROR(INDEX('Paramètres'!$H:$H,MATCH($C1944,'Paramètres'!$D:$D,0))&amp;"",""))</f>
        <v/>
      </c>
      <c r="T1944" s="6" t="str">
        <f>IF($K1944="","",IF($S1944="",0,IF(ISNUMBER(SEARCH("apport-exterieur",IFERROR(INDEX('Paramètres'!$N:$N,MATCH($D1944,'Paramètres'!$M:$M,0))&amp;"",""))),0,IF(OR(IFERROR(INDEX('Paramètres'!$I:$I,MATCH($C1944,'Paramètres'!$D:$D,0))&amp;"","")="Les deux",IFERROR(INDEX('Paramètres'!$I:$I,MATCH($C1944,'Paramètres'!$D:$D,0))&amp;"","")=IF($P1944=1,"Débit",$L1944)),-IF($P1944=1,-$K1944,$K1944),0))))</f>
        <v/>
      </c>
      <c r="U1944" s="6" t="str">
        <f>IF($K1944="","",IF(ISNUMBER(SEARCH("sortie-epargne",IFERROR(INDEX('Paramètres'!$N:$N,MATCH($D1944,'Paramètres'!$M:$M,0))&amp;"",""))),$K1944,0))</f>
        <v/>
      </c>
      <c r="V1944" s="6" t="str">
        <f>IF(AND($A1944&lt;&gt;"",$O1944=1,$L1944="Débit",N($Q1944)&gt;0,$A1944&gt;=Visualisation!$B$1,$A1944&lt;Visualisation!$D$1),MAX($V$1:V1943)+1,"")</f>
        <v/>
      </c>
    </row>
    <row r="1945" spans="1:22" x14ac:dyDescent="0.25">
      <c r="A1945" s="9"/>
      <c r="E1945" s="10"/>
      <c r="K1945" s="11" t="str">
        <f>IF($E1945="","",ROUND($E1945*IF(ISNA(MATCH($C1945,'Paramètres'!$D:$D,0)),1,IF(INDEX('Paramètres'!$J:$J,MATCH($C1945,'Paramètres'!$D:$D,0))="",1,INDEX('Paramètres'!$J:$J,MATCH($C1945,'Paramètres'!$D:$D,0)))),2))</f>
        <v/>
      </c>
      <c r="L1945" s="6" t="str">
        <f>IF($D1945="","",IF($F1945&lt;&gt;"",$F1945,IF(ISNA(MATCH($D1945,'Paramètres'!$M:$M,0)),"⚠ Type inconnu",IFERROR(INDEX('Paramètres'!$P:$P,MATCH($D1945,'Paramètres'!$M:$M,0))&amp;"",""))))</f>
        <v/>
      </c>
      <c r="M1945" s="6" t="str">
        <f>IF($D1945="","",IF(ISNA(MATCH($D1945,'Paramètres'!$M:$M,0)),"⚠ Type inconnu",IF($L1945="Crédit","",IFERROR(INDEX('Paramètres'!$O:$O,MATCH($D1945,'Paramètres'!$M:$M,0))&amp;"",""))))</f>
        <v/>
      </c>
      <c r="N1945" s="6" t="str">
        <f>IF($D1945="","",IFERROR(INDEX('Paramètres'!$Q:$Q,MATCH($D1945,'Paramètres'!$M:$M,0))&amp;"",""))</f>
        <v/>
      </c>
      <c r="O1945" s="6" t="str">
        <f>IF($A1945="","",IF(OR($J1945&lt;&gt;"x",$A1945&lt;=FinReleve),1,0))</f>
        <v/>
      </c>
      <c r="P1945" s="6" t="str">
        <f>IF($D1945="","",IF(AND($L1945="Crédit",OR(IFERROR(INDEX('Paramètres'!$O:$O,MATCH($D1945,'Paramètres'!$M:$M,0))&amp;"","")&lt;&gt;"",ISNUMBER(SEARCH("remboursement",IFERROR(INDEX('Paramètres'!$N:$N,MATCH($D1945,'Paramètres'!$M:$M,0))&amp;"",""))))),1,0))</f>
        <v/>
      </c>
      <c r="Q1945" s="6" t="str">
        <f>IF($K1945="","",IF(ISNUMBER(SEARCH("transfert-interne",IFERROR(INDEX('Paramètres'!$N:$N,MATCH($D1945,'Paramètres'!$M:$M,0))&amp;"",""))),0,IF($L1945="Débit",$K1945,IF($P1945=1,-$K1945,0))))</f>
        <v/>
      </c>
      <c r="R1945" s="6" t="str">
        <f>IF($K1945="","",IF($L1945="Crédit",$K1945,-$K1945))</f>
        <v/>
      </c>
      <c r="S1945" s="6" t="str">
        <f>IF($C1945="","",IFERROR(INDEX('Paramètres'!$H:$H,MATCH($C1945,'Paramètres'!$D:$D,0))&amp;"",""))</f>
        <v/>
      </c>
      <c r="T1945" s="6" t="str">
        <f>IF($K1945="","",IF($S1945="",0,IF(ISNUMBER(SEARCH("apport-exterieur",IFERROR(INDEX('Paramètres'!$N:$N,MATCH($D1945,'Paramètres'!$M:$M,0))&amp;"",""))),0,IF(OR(IFERROR(INDEX('Paramètres'!$I:$I,MATCH($C1945,'Paramètres'!$D:$D,0))&amp;"","")="Les deux",IFERROR(INDEX('Paramètres'!$I:$I,MATCH($C1945,'Paramètres'!$D:$D,0))&amp;"","")=IF($P1945=1,"Débit",$L1945)),-IF($P1945=1,-$K1945,$K1945),0))))</f>
        <v/>
      </c>
      <c r="U1945" s="6" t="str">
        <f>IF($K1945="","",IF(ISNUMBER(SEARCH("sortie-epargne",IFERROR(INDEX('Paramètres'!$N:$N,MATCH($D1945,'Paramètres'!$M:$M,0))&amp;"",""))),$K1945,0))</f>
        <v/>
      </c>
      <c r="V1945" s="6" t="str">
        <f>IF(AND($A1945&lt;&gt;"",$O1945=1,$L1945="Débit",N($Q1945)&gt;0,$A1945&gt;=Visualisation!$B$1,$A1945&lt;Visualisation!$D$1),MAX($V$1:V1944)+1,"")</f>
        <v/>
      </c>
    </row>
    <row r="1946" spans="1:22" x14ac:dyDescent="0.25">
      <c r="A1946" s="9"/>
      <c r="E1946" s="10"/>
      <c r="K1946" s="11" t="str">
        <f>IF($E1946="","",ROUND($E1946*IF(ISNA(MATCH($C1946,'Paramètres'!$D:$D,0)),1,IF(INDEX('Paramètres'!$J:$J,MATCH($C1946,'Paramètres'!$D:$D,0))="",1,INDEX('Paramètres'!$J:$J,MATCH($C1946,'Paramètres'!$D:$D,0)))),2))</f>
        <v/>
      </c>
      <c r="L1946" s="6" t="str">
        <f>IF($D1946="","",IF($F1946&lt;&gt;"",$F1946,IF(ISNA(MATCH($D1946,'Paramètres'!$M:$M,0)),"⚠ Type inconnu",IFERROR(INDEX('Paramètres'!$P:$P,MATCH($D1946,'Paramètres'!$M:$M,0))&amp;"",""))))</f>
        <v/>
      </c>
      <c r="M1946" s="6" t="str">
        <f>IF($D1946="","",IF(ISNA(MATCH($D1946,'Paramètres'!$M:$M,0)),"⚠ Type inconnu",IF($L1946="Crédit","",IFERROR(INDEX('Paramètres'!$O:$O,MATCH($D1946,'Paramètres'!$M:$M,0))&amp;"",""))))</f>
        <v/>
      </c>
      <c r="N1946" s="6" t="str">
        <f>IF($D1946="","",IFERROR(INDEX('Paramètres'!$Q:$Q,MATCH($D1946,'Paramètres'!$M:$M,0))&amp;"",""))</f>
        <v/>
      </c>
      <c r="O1946" s="6" t="str">
        <f>IF($A1946="","",IF(OR($J1946&lt;&gt;"x",$A1946&lt;=FinReleve),1,0))</f>
        <v/>
      </c>
      <c r="P1946" s="6" t="str">
        <f>IF($D1946="","",IF(AND($L1946="Crédit",OR(IFERROR(INDEX('Paramètres'!$O:$O,MATCH($D1946,'Paramètres'!$M:$M,0))&amp;"","")&lt;&gt;"",ISNUMBER(SEARCH("remboursement",IFERROR(INDEX('Paramètres'!$N:$N,MATCH($D1946,'Paramètres'!$M:$M,0))&amp;"",""))))),1,0))</f>
        <v/>
      </c>
      <c r="Q1946" s="6" t="str">
        <f>IF($K1946="","",IF(ISNUMBER(SEARCH("transfert-interne",IFERROR(INDEX('Paramètres'!$N:$N,MATCH($D1946,'Paramètres'!$M:$M,0))&amp;"",""))),0,IF($L1946="Débit",$K1946,IF($P1946=1,-$K1946,0))))</f>
        <v/>
      </c>
      <c r="R1946" s="6" t="str">
        <f>IF($K1946="","",IF($L1946="Crédit",$K1946,-$K1946))</f>
        <v/>
      </c>
      <c r="S1946" s="6" t="str">
        <f>IF($C1946="","",IFERROR(INDEX('Paramètres'!$H:$H,MATCH($C1946,'Paramètres'!$D:$D,0))&amp;"",""))</f>
        <v/>
      </c>
      <c r="T1946" s="6" t="str">
        <f>IF($K1946="","",IF($S1946="",0,IF(ISNUMBER(SEARCH("apport-exterieur",IFERROR(INDEX('Paramètres'!$N:$N,MATCH($D1946,'Paramètres'!$M:$M,0))&amp;"",""))),0,IF(OR(IFERROR(INDEX('Paramètres'!$I:$I,MATCH($C1946,'Paramètres'!$D:$D,0))&amp;"","")="Les deux",IFERROR(INDEX('Paramètres'!$I:$I,MATCH($C1946,'Paramètres'!$D:$D,0))&amp;"","")=IF($P1946=1,"Débit",$L1946)),-IF($P1946=1,-$K1946,$K1946),0))))</f>
        <v/>
      </c>
      <c r="U1946" s="6" t="str">
        <f>IF($K1946="","",IF(ISNUMBER(SEARCH("sortie-epargne",IFERROR(INDEX('Paramètres'!$N:$N,MATCH($D1946,'Paramètres'!$M:$M,0))&amp;"",""))),$K1946,0))</f>
        <v/>
      </c>
      <c r="V1946" s="6" t="str">
        <f>IF(AND($A1946&lt;&gt;"",$O1946=1,$L1946="Débit",N($Q1946)&gt;0,$A1946&gt;=Visualisation!$B$1,$A1946&lt;Visualisation!$D$1),MAX($V$1:V1945)+1,"")</f>
        <v/>
      </c>
    </row>
    <row r="1947" spans="1:22" x14ac:dyDescent="0.25">
      <c r="A1947" s="9"/>
      <c r="E1947" s="10"/>
      <c r="K1947" s="11" t="str">
        <f>IF($E1947="","",ROUND($E1947*IF(ISNA(MATCH($C1947,'Paramètres'!$D:$D,0)),1,IF(INDEX('Paramètres'!$J:$J,MATCH($C1947,'Paramètres'!$D:$D,0))="",1,INDEX('Paramètres'!$J:$J,MATCH($C1947,'Paramètres'!$D:$D,0)))),2))</f>
        <v/>
      </c>
      <c r="L1947" s="6" t="str">
        <f>IF($D1947="","",IF($F1947&lt;&gt;"",$F1947,IF(ISNA(MATCH($D1947,'Paramètres'!$M:$M,0)),"⚠ Type inconnu",IFERROR(INDEX('Paramètres'!$P:$P,MATCH($D1947,'Paramètres'!$M:$M,0))&amp;"",""))))</f>
        <v/>
      </c>
      <c r="M1947" s="6" t="str">
        <f>IF($D1947="","",IF(ISNA(MATCH($D1947,'Paramètres'!$M:$M,0)),"⚠ Type inconnu",IF($L1947="Crédit","",IFERROR(INDEX('Paramètres'!$O:$O,MATCH($D1947,'Paramètres'!$M:$M,0))&amp;"",""))))</f>
        <v/>
      </c>
      <c r="N1947" s="6" t="str">
        <f>IF($D1947="","",IFERROR(INDEX('Paramètres'!$Q:$Q,MATCH($D1947,'Paramètres'!$M:$M,0))&amp;"",""))</f>
        <v/>
      </c>
      <c r="O1947" s="6" t="str">
        <f>IF($A1947="","",IF(OR($J1947&lt;&gt;"x",$A1947&lt;=FinReleve),1,0))</f>
        <v/>
      </c>
      <c r="P1947" s="6" t="str">
        <f>IF($D1947="","",IF(AND($L1947="Crédit",OR(IFERROR(INDEX('Paramètres'!$O:$O,MATCH($D1947,'Paramètres'!$M:$M,0))&amp;"","")&lt;&gt;"",ISNUMBER(SEARCH("remboursement",IFERROR(INDEX('Paramètres'!$N:$N,MATCH($D1947,'Paramètres'!$M:$M,0))&amp;"",""))))),1,0))</f>
        <v/>
      </c>
      <c r="Q1947" s="6" t="str">
        <f>IF($K1947="","",IF(ISNUMBER(SEARCH("transfert-interne",IFERROR(INDEX('Paramètres'!$N:$N,MATCH($D1947,'Paramètres'!$M:$M,0))&amp;"",""))),0,IF($L1947="Débit",$K1947,IF($P1947=1,-$K1947,0))))</f>
        <v/>
      </c>
      <c r="R1947" s="6" t="str">
        <f>IF($K1947="","",IF($L1947="Crédit",$K1947,-$K1947))</f>
        <v/>
      </c>
      <c r="S1947" s="6" t="str">
        <f>IF($C1947="","",IFERROR(INDEX('Paramètres'!$H:$H,MATCH($C1947,'Paramètres'!$D:$D,0))&amp;"",""))</f>
        <v/>
      </c>
      <c r="T1947" s="6" t="str">
        <f>IF($K1947="","",IF($S1947="",0,IF(ISNUMBER(SEARCH("apport-exterieur",IFERROR(INDEX('Paramètres'!$N:$N,MATCH($D1947,'Paramètres'!$M:$M,0))&amp;"",""))),0,IF(OR(IFERROR(INDEX('Paramètres'!$I:$I,MATCH($C1947,'Paramètres'!$D:$D,0))&amp;"","")="Les deux",IFERROR(INDEX('Paramètres'!$I:$I,MATCH($C1947,'Paramètres'!$D:$D,0))&amp;"","")=IF($P1947=1,"Débit",$L1947)),-IF($P1947=1,-$K1947,$K1947),0))))</f>
        <v/>
      </c>
      <c r="U1947" s="6" t="str">
        <f>IF($K1947="","",IF(ISNUMBER(SEARCH("sortie-epargne",IFERROR(INDEX('Paramètres'!$N:$N,MATCH($D1947,'Paramètres'!$M:$M,0))&amp;"",""))),$K1947,0))</f>
        <v/>
      </c>
      <c r="V1947" s="6" t="str">
        <f>IF(AND($A1947&lt;&gt;"",$O1947=1,$L1947="Débit",N($Q1947)&gt;0,$A1947&gt;=Visualisation!$B$1,$A1947&lt;Visualisation!$D$1),MAX($V$1:V1946)+1,"")</f>
        <v/>
      </c>
    </row>
    <row r="1948" spans="1:22" x14ac:dyDescent="0.25">
      <c r="A1948" s="9"/>
      <c r="E1948" s="10"/>
      <c r="K1948" s="11" t="str">
        <f>IF($E1948="","",ROUND($E1948*IF(ISNA(MATCH($C1948,'Paramètres'!$D:$D,0)),1,IF(INDEX('Paramètres'!$J:$J,MATCH($C1948,'Paramètres'!$D:$D,0))="",1,INDEX('Paramètres'!$J:$J,MATCH($C1948,'Paramètres'!$D:$D,0)))),2))</f>
        <v/>
      </c>
      <c r="L1948" s="6" t="str">
        <f>IF($D1948="","",IF($F1948&lt;&gt;"",$F1948,IF(ISNA(MATCH($D1948,'Paramètres'!$M:$M,0)),"⚠ Type inconnu",IFERROR(INDEX('Paramètres'!$P:$P,MATCH($D1948,'Paramètres'!$M:$M,0))&amp;"",""))))</f>
        <v/>
      </c>
      <c r="M1948" s="6" t="str">
        <f>IF($D1948="","",IF(ISNA(MATCH($D1948,'Paramètres'!$M:$M,0)),"⚠ Type inconnu",IF($L1948="Crédit","",IFERROR(INDEX('Paramètres'!$O:$O,MATCH($D1948,'Paramètres'!$M:$M,0))&amp;"",""))))</f>
        <v/>
      </c>
      <c r="N1948" s="6" t="str">
        <f>IF($D1948="","",IFERROR(INDEX('Paramètres'!$Q:$Q,MATCH($D1948,'Paramètres'!$M:$M,0))&amp;"",""))</f>
        <v/>
      </c>
      <c r="O1948" s="6" t="str">
        <f>IF($A1948="","",IF(OR($J1948&lt;&gt;"x",$A1948&lt;=FinReleve),1,0))</f>
        <v/>
      </c>
      <c r="P1948" s="6" t="str">
        <f>IF($D1948="","",IF(AND($L1948="Crédit",OR(IFERROR(INDEX('Paramètres'!$O:$O,MATCH($D1948,'Paramètres'!$M:$M,0))&amp;"","")&lt;&gt;"",ISNUMBER(SEARCH("remboursement",IFERROR(INDEX('Paramètres'!$N:$N,MATCH($D1948,'Paramètres'!$M:$M,0))&amp;"",""))))),1,0))</f>
        <v/>
      </c>
      <c r="Q1948" s="6" t="str">
        <f>IF($K1948="","",IF(ISNUMBER(SEARCH("transfert-interne",IFERROR(INDEX('Paramètres'!$N:$N,MATCH($D1948,'Paramètres'!$M:$M,0))&amp;"",""))),0,IF($L1948="Débit",$K1948,IF($P1948=1,-$K1948,0))))</f>
        <v/>
      </c>
      <c r="R1948" s="6" t="str">
        <f>IF($K1948="","",IF($L1948="Crédit",$K1948,-$K1948))</f>
        <v/>
      </c>
      <c r="S1948" s="6" t="str">
        <f>IF($C1948="","",IFERROR(INDEX('Paramètres'!$H:$H,MATCH($C1948,'Paramètres'!$D:$D,0))&amp;"",""))</f>
        <v/>
      </c>
      <c r="T1948" s="6" t="str">
        <f>IF($K1948="","",IF($S1948="",0,IF(ISNUMBER(SEARCH("apport-exterieur",IFERROR(INDEX('Paramètres'!$N:$N,MATCH($D1948,'Paramètres'!$M:$M,0))&amp;"",""))),0,IF(OR(IFERROR(INDEX('Paramètres'!$I:$I,MATCH($C1948,'Paramètres'!$D:$D,0))&amp;"","")="Les deux",IFERROR(INDEX('Paramètres'!$I:$I,MATCH($C1948,'Paramètres'!$D:$D,0))&amp;"","")=IF($P1948=1,"Débit",$L1948)),-IF($P1948=1,-$K1948,$K1948),0))))</f>
        <v/>
      </c>
      <c r="U1948" s="6" t="str">
        <f>IF($K1948="","",IF(ISNUMBER(SEARCH("sortie-epargne",IFERROR(INDEX('Paramètres'!$N:$N,MATCH($D1948,'Paramètres'!$M:$M,0))&amp;"",""))),$K1948,0))</f>
        <v/>
      </c>
      <c r="V1948" s="6" t="str">
        <f>IF(AND($A1948&lt;&gt;"",$O1948=1,$L1948="Débit",N($Q1948)&gt;0,$A1948&gt;=Visualisation!$B$1,$A1948&lt;Visualisation!$D$1),MAX($V$1:V1947)+1,"")</f>
        <v/>
      </c>
    </row>
    <row r="1949" spans="1:22" x14ac:dyDescent="0.25">
      <c r="A1949" s="9"/>
      <c r="E1949" s="10"/>
      <c r="K1949" s="11" t="str">
        <f>IF($E1949="","",ROUND($E1949*IF(ISNA(MATCH($C1949,'Paramètres'!$D:$D,0)),1,IF(INDEX('Paramètres'!$J:$J,MATCH($C1949,'Paramètres'!$D:$D,0))="",1,INDEX('Paramètres'!$J:$J,MATCH($C1949,'Paramètres'!$D:$D,0)))),2))</f>
        <v/>
      </c>
      <c r="L1949" s="6" t="str">
        <f>IF($D1949="","",IF($F1949&lt;&gt;"",$F1949,IF(ISNA(MATCH($D1949,'Paramètres'!$M:$M,0)),"⚠ Type inconnu",IFERROR(INDEX('Paramètres'!$P:$P,MATCH($D1949,'Paramètres'!$M:$M,0))&amp;"",""))))</f>
        <v/>
      </c>
      <c r="M1949" s="6" t="str">
        <f>IF($D1949="","",IF(ISNA(MATCH($D1949,'Paramètres'!$M:$M,0)),"⚠ Type inconnu",IF($L1949="Crédit","",IFERROR(INDEX('Paramètres'!$O:$O,MATCH($D1949,'Paramètres'!$M:$M,0))&amp;"",""))))</f>
        <v/>
      </c>
      <c r="N1949" s="6" t="str">
        <f>IF($D1949="","",IFERROR(INDEX('Paramètres'!$Q:$Q,MATCH($D1949,'Paramètres'!$M:$M,0))&amp;"",""))</f>
        <v/>
      </c>
      <c r="O1949" s="6" t="str">
        <f>IF($A1949="","",IF(OR($J1949&lt;&gt;"x",$A1949&lt;=FinReleve),1,0))</f>
        <v/>
      </c>
      <c r="P1949" s="6" t="str">
        <f>IF($D1949="","",IF(AND($L1949="Crédit",OR(IFERROR(INDEX('Paramètres'!$O:$O,MATCH($D1949,'Paramètres'!$M:$M,0))&amp;"","")&lt;&gt;"",ISNUMBER(SEARCH("remboursement",IFERROR(INDEX('Paramètres'!$N:$N,MATCH($D1949,'Paramètres'!$M:$M,0))&amp;"",""))))),1,0))</f>
        <v/>
      </c>
      <c r="Q1949" s="6" t="str">
        <f>IF($K1949="","",IF(ISNUMBER(SEARCH("transfert-interne",IFERROR(INDEX('Paramètres'!$N:$N,MATCH($D1949,'Paramètres'!$M:$M,0))&amp;"",""))),0,IF($L1949="Débit",$K1949,IF($P1949=1,-$K1949,0))))</f>
        <v/>
      </c>
      <c r="R1949" s="6" t="str">
        <f>IF($K1949="","",IF($L1949="Crédit",$K1949,-$K1949))</f>
        <v/>
      </c>
      <c r="S1949" s="6" t="str">
        <f>IF($C1949="","",IFERROR(INDEX('Paramètres'!$H:$H,MATCH($C1949,'Paramètres'!$D:$D,0))&amp;"",""))</f>
        <v/>
      </c>
      <c r="T1949" s="6" t="str">
        <f>IF($K1949="","",IF($S1949="",0,IF(ISNUMBER(SEARCH("apport-exterieur",IFERROR(INDEX('Paramètres'!$N:$N,MATCH($D1949,'Paramètres'!$M:$M,0))&amp;"",""))),0,IF(OR(IFERROR(INDEX('Paramètres'!$I:$I,MATCH($C1949,'Paramètres'!$D:$D,0))&amp;"","")="Les deux",IFERROR(INDEX('Paramètres'!$I:$I,MATCH($C1949,'Paramètres'!$D:$D,0))&amp;"","")=IF($P1949=1,"Débit",$L1949)),-IF($P1949=1,-$K1949,$K1949),0))))</f>
        <v/>
      </c>
      <c r="U1949" s="6" t="str">
        <f>IF($K1949="","",IF(ISNUMBER(SEARCH("sortie-epargne",IFERROR(INDEX('Paramètres'!$N:$N,MATCH($D1949,'Paramètres'!$M:$M,0))&amp;"",""))),$K1949,0))</f>
        <v/>
      </c>
      <c r="V1949" s="6" t="str">
        <f>IF(AND($A1949&lt;&gt;"",$O1949=1,$L1949="Débit",N($Q1949)&gt;0,$A1949&gt;=Visualisation!$B$1,$A1949&lt;Visualisation!$D$1),MAX($V$1:V1948)+1,"")</f>
        <v/>
      </c>
    </row>
    <row r="1950" spans="1:22" x14ac:dyDescent="0.25">
      <c r="A1950" s="9"/>
      <c r="E1950" s="10"/>
      <c r="K1950" s="11" t="str">
        <f>IF($E1950="","",ROUND($E1950*IF(ISNA(MATCH($C1950,'Paramètres'!$D:$D,0)),1,IF(INDEX('Paramètres'!$J:$J,MATCH($C1950,'Paramètres'!$D:$D,0))="",1,INDEX('Paramètres'!$J:$J,MATCH($C1950,'Paramètres'!$D:$D,0)))),2))</f>
        <v/>
      </c>
      <c r="L1950" s="6" t="str">
        <f>IF($D1950="","",IF($F1950&lt;&gt;"",$F1950,IF(ISNA(MATCH($D1950,'Paramètres'!$M:$M,0)),"⚠ Type inconnu",IFERROR(INDEX('Paramètres'!$P:$P,MATCH($D1950,'Paramètres'!$M:$M,0))&amp;"",""))))</f>
        <v/>
      </c>
      <c r="M1950" s="6" t="str">
        <f>IF($D1950="","",IF(ISNA(MATCH($D1950,'Paramètres'!$M:$M,0)),"⚠ Type inconnu",IF($L1950="Crédit","",IFERROR(INDEX('Paramètres'!$O:$O,MATCH($D1950,'Paramètres'!$M:$M,0))&amp;"",""))))</f>
        <v/>
      </c>
      <c r="N1950" s="6" t="str">
        <f>IF($D1950="","",IFERROR(INDEX('Paramètres'!$Q:$Q,MATCH($D1950,'Paramètres'!$M:$M,0))&amp;"",""))</f>
        <v/>
      </c>
      <c r="O1950" s="6" t="str">
        <f>IF($A1950="","",IF(OR($J1950&lt;&gt;"x",$A1950&lt;=FinReleve),1,0))</f>
        <v/>
      </c>
      <c r="P1950" s="6" t="str">
        <f>IF($D1950="","",IF(AND($L1950="Crédit",OR(IFERROR(INDEX('Paramètres'!$O:$O,MATCH($D1950,'Paramètres'!$M:$M,0))&amp;"","")&lt;&gt;"",ISNUMBER(SEARCH("remboursement",IFERROR(INDEX('Paramètres'!$N:$N,MATCH($D1950,'Paramètres'!$M:$M,0))&amp;"",""))))),1,0))</f>
        <v/>
      </c>
      <c r="Q1950" s="6" t="str">
        <f>IF($K1950="","",IF(ISNUMBER(SEARCH("transfert-interne",IFERROR(INDEX('Paramètres'!$N:$N,MATCH($D1950,'Paramètres'!$M:$M,0))&amp;"",""))),0,IF($L1950="Débit",$K1950,IF($P1950=1,-$K1950,0))))</f>
        <v/>
      </c>
      <c r="R1950" s="6" t="str">
        <f>IF($K1950="","",IF($L1950="Crédit",$K1950,-$K1950))</f>
        <v/>
      </c>
      <c r="S1950" s="6" t="str">
        <f>IF($C1950="","",IFERROR(INDEX('Paramètres'!$H:$H,MATCH($C1950,'Paramètres'!$D:$D,0))&amp;"",""))</f>
        <v/>
      </c>
      <c r="T1950" s="6" t="str">
        <f>IF($K1950="","",IF($S1950="",0,IF(ISNUMBER(SEARCH("apport-exterieur",IFERROR(INDEX('Paramètres'!$N:$N,MATCH($D1950,'Paramètres'!$M:$M,0))&amp;"",""))),0,IF(OR(IFERROR(INDEX('Paramètres'!$I:$I,MATCH($C1950,'Paramètres'!$D:$D,0))&amp;"","")="Les deux",IFERROR(INDEX('Paramètres'!$I:$I,MATCH($C1950,'Paramètres'!$D:$D,0))&amp;"","")=IF($P1950=1,"Débit",$L1950)),-IF($P1950=1,-$K1950,$K1950),0))))</f>
        <v/>
      </c>
      <c r="U1950" s="6" t="str">
        <f>IF($K1950="","",IF(ISNUMBER(SEARCH("sortie-epargne",IFERROR(INDEX('Paramètres'!$N:$N,MATCH($D1950,'Paramètres'!$M:$M,0))&amp;"",""))),$K1950,0))</f>
        <v/>
      </c>
      <c r="V1950" s="6" t="str">
        <f>IF(AND($A1950&lt;&gt;"",$O1950=1,$L1950="Débit",N($Q1950)&gt;0,$A1950&gt;=Visualisation!$B$1,$A1950&lt;Visualisation!$D$1),MAX($V$1:V1949)+1,"")</f>
        <v/>
      </c>
    </row>
    <row r="1951" spans="1:22" x14ac:dyDescent="0.25">
      <c r="A1951" s="9"/>
      <c r="E1951" s="10"/>
      <c r="K1951" s="11" t="str">
        <f>IF($E1951="","",ROUND($E1951*IF(ISNA(MATCH($C1951,'Paramètres'!$D:$D,0)),1,IF(INDEX('Paramètres'!$J:$J,MATCH($C1951,'Paramètres'!$D:$D,0))="",1,INDEX('Paramètres'!$J:$J,MATCH($C1951,'Paramètres'!$D:$D,0)))),2))</f>
        <v/>
      </c>
      <c r="L1951" s="6" t="str">
        <f>IF($D1951="","",IF($F1951&lt;&gt;"",$F1951,IF(ISNA(MATCH($D1951,'Paramètres'!$M:$M,0)),"⚠ Type inconnu",IFERROR(INDEX('Paramètres'!$P:$P,MATCH($D1951,'Paramètres'!$M:$M,0))&amp;"",""))))</f>
        <v/>
      </c>
      <c r="M1951" s="6" t="str">
        <f>IF($D1951="","",IF(ISNA(MATCH($D1951,'Paramètres'!$M:$M,0)),"⚠ Type inconnu",IF($L1951="Crédit","",IFERROR(INDEX('Paramètres'!$O:$O,MATCH($D1951,'Paramètres'!$M:$M,0))&amp;"",""))))</f>
        <v/>
      </c>
      <c r="N1951" s="6" t="str">
        <f>IF($D1951="","",IFERROR(INDEX('Paramètres'!$Q:$Q,MATCH($D1951,'Paramètres'!$M:$M,0))&amp;"",""))</f>
        <v/>
      </c>
      <c r="O1951" s="6" t="str">
        <f>IF($A1951="","",IF(OR($J1951&lt;&gt;"x",$A1951&lt;=FinReleve),1,0))</f>
        <v/>
      </c>
      <c r="P1951" s="6" t="str">
        <f>IF($D1951="","",IF(AND($L1951="Crédit",OR(IFERROR(INDEX('Paramètres'!$O:$O,MATCH($D1951,'Paramètres'!$M:$M,0))&amp;"","")&lt;&gt;"",ISNUMBER(SEARCH("remboursement",IFERROR(INDEX('Paramètres'!$N:$N,MATCH($D1951,'Paramètres'!$M:$M,0))&amp;"",""))))),1,0))</f>
        <v/>
      </c>
      <c r="Q1951" s="6" t="str">
        <f>IF($K1951="","",IF(ISNUMBER(SEARCH("transfert-interne",IFERROR(INDEX('Paramètres'!$N:$N,MATCH($D1951,'Paramètres'!$M:$M,0))&amp;"",""))),0,IF($L1951="Débit",$K1951,IF($P1951=1,-$K1951,0))))</f>
        <v/>
      </c>
      <c r="R1951" s="6" t="str">
        <f>IF($K1951="","",IF($L1951="Crédit",$K1951,-$K1951))</f>
        <v/>
      </c>
      <c r="S1951" s="6" t="str">
        <f>IF($C1951="","",IFERROR(INDEX('Paramètres'!$H:$H,MATCH($C1951,'Paramètres'!$D:$D,0))&amp;"",""))</f>
        <v/>
      </c>
      <c r="T1951" s="6" t="str">
        <f>IF($K1951="","",IF($S1951="",0,IF(ISNUMBER(SEARCH("apport-exterieur",IFERROR(INDEX('Paramètres'!$N:$N,MATCH($D1951,'Paramètres'!$M:$M,0))&amp;"",""))),0,IF(OR(IFERROR(INDEX('Paramètres'!$I:$I,MATCH($C1951,'Paramètres'!$D:$D,0))&amp;"","")="Les deux",IFERROR(INDEX('Paramètres'!$I:$I,MATCH($C1951,'Paramètres'!$D:$D,0))&amp;"","")=IF($P1951=1,"Débit",$L1951)),-IF($P1951=1,-$K1951,$K1951),0))))</f>
        <v/>
      </c>
      <c r="U1951" s="6" t="str">
        <f>IF($K1951="","",IF(ISNUMBER(SEARCH("sortie-epargne",IFERROR(INDEX('Paramètres'!$N:$N,MATCH($D1951,'Paramètres'!$M:$M,0))&amp;"",""))),$K1951,0))</f>
        <v/>
      </c>
      <c r="V1951" s="6" t="str">
        <f>IF(AND($A1951&lt;&gt;"",$O1951=1,$L1951="Débit",N($Q1951)&gt;0,$A1951&gt;=Visualisation!$B$1,$A1951&lt;Visualisation!$D$1),MAX($V$1:V1950)+1,"")</f>
        <v/>
      </c>
    </row>
    <row r="1952" spans="1:22" x14ac:dyDescent="0.25">
      <c r="A1952" s="9"/>
      <c r="E1952" s="10"/>
      <c r="K1952" s="11" t="str">
        <f>IF($E1952="","",ROUND($E1952*IF(ISNA(MATCH($C1952,'Paramètres'!$D:$D,0)),1,IF(INDEX('Paramètres'!$J:$J,MATCH($C1952,'Paramètres'!$D:$D,0))="",1,INDEX('Paramètres'!$J:$J,MATCH($C1952,'Paramètres'!$D:$D,0)))),2))</f>
        <v/>
      </c>
      <c r="L1952" s="6" t="str">
        <f>IF($D1952="","",IF($F1952&lt;&gt;"",$F1952,IF(ISNA(MATCH($D1952,'Paramètres'!$M:$M,0)),"⚠ Type inconnu",IFERROR(INDEX('Paramètres'!$P:$P,MATCH($D1952,'Paramètres'!$M:$M,0))&amp;"",""))))</f>
        <v/>
      </c>
      <c r="M1952" s="6" t="str">
        <f>IF($D1952="","",IF(ISNA(MATCH($D1952,'Paramètres'!$M:$M,0)),"⚠ Type inconnu",IF($L1952="Crédit","",IFERROR(INDEX('Paramètres'!$O:$O,MATCH($D1952,'Paramètres'!$M:$M,0))&amp;"",""))))</f>
        <v/>
      </c>
      <c r="N1952" s="6" t="str">
        <f>IF($D1952="","",IFERROR(INDEX('Paramètres'!$Q:$Q,MATCH($D1952,'Paramètres'!$M:$M,0))&amp;"",""))</f>
        <v/>
      </c>
      <c r="O1952" s="6" t="str">
        <f>IF($A1952="","",IF(OR($J1952&lt;&gt;"x",$A1952&lt;=FinReleve),1,0))</f>
        <v/>
      </c>
      <c r="P1952" s="6" t="str">
        <f>IF($D1952="","",IF(AND($L1952="Crédit",OR(IFERROR(INDEX('Paramètres'!$O:$O,MATCH($D1952,'Paramètres'!$M:$M,0))&amp;"","")&lt;&gt;"",ISNUMBER(SEARCH("remboursement",IFERROR(INDEX('Paramètres'!$N:$N,MATCH($D1952,'Paramètres'!$M:$M,0))&amp;"",""))))),1,0))</f>
        <v/>
      </c>
      <c r="Q1952" s="6" t="str">
        <f>IF($K1952="","",IF(ISNUMBER(SEARCH("transfert-interne",IFERROR(INDEX('Paramètres'!$N:$N,MATCH($D1952,'Paramètres'!$M:$M,0))&amp;"",""))),0,IF($L1952="Débit",$K1952,IF($P1952=1,-$K1952,0))))</f>
        <v/>
      </c>
      <c r="R1952" s="6" t="str">
        <f>IF($K1952="","",IF($L1952="Crédit",$K1952,-$K1952))</f>
        <v/>
      </c>
      <c r="S1952" s="6" t="str">
        <f>IF($C1952="","",IFERROR(INDEX('Paramètres'!$H:$H,MATCH($C1952,'Paramètres'!$D:$D,0))&amp;"",""))</f>
        <v/>
      </c>
      <c r="T1952" s="6" t="str">
        <f>IF($K1952="","",IF($S1952="",0,IF(ISNUMBER(SEARCH("apport-exterieur",IFERROR(INDEX('Paramètres'!$N:$N,MATCH($D1952,'Paramètres'!$M:$M,0))&amp;"",""))),0,IF(OR(IFERROR(INDEX('Paramètres'!$I:$I,MATCH($C1952,'Paramètres'!$D:$D,0))&amp;"","")="Les deux",IFERROR(INDEX('Paramètres'!$I:$I,MATCH($C1952,'Paramètres'!$D:$D,0))&amp;"","")=IF($P1952=1,"Débit",$L1952)),-IF($P1952=1,-$K1952,$K1952),0))))</f>
        <v/>
      </c>
      <c r="U1952" s="6" t="str">
        <f>IF($K1952="","",IF(ISNUMBER(SEARCH("sortie-epargne",IFERROR(INDEX('Paramètres'!$N:$N,MATCH($D1952,'Paramètres'!$M:$M,0))&amp;"",""))),$K1952,0))</f>
        <v/>
      </c>
      <c r="V1952" s="6" t="str">
        <f>IF(AND($A1952&lt;&gt;"",$O1952=1,$L1952="Débit",N($Q1952)&gt;0,$A1952&gt;=Visualisation!$B$1,$A1952&lt;Visualisation!$D$1),MAX($V$1:V1951)+1,"")</f>
        <v/>
      </c>
    </row>
    <row r="1953" spans="1:22" x14ac:dyDescent="0.25">
      <c r="A1953" s="9"/>
      <c r="E1953" s="10"/>
      <c r="K1953" s="11" t="str">
        <f>IF($E1953="","",ROUND($E1953*IF(ISNA(MATCH($C1953,'Paramètres'!$D:$D,0)),1,IF(INDEX('Paramètres'!$J:$J,MATCH($C1953,'Paramètres'!$D:$D,0))="",1,INDEX('Paramètres'!$J:$J,MATCH($C1953,'Paramètres'!$D:$D,0)))),2))</f>
        <v/>
      </c>
      <c r="L1953" s="6" t="str">
        <f>IF($D1953="","",IF($F1953&lt;&gt;"",$F1953,IF(ISNA(MATCH($D1953,'Paramètres'!$M:$M,0)),"⚠ Type inconnu",IFERROR(INDEX('Paramètres'!$P:$P,MATCH($D1953,'Paramètres'!$M:$M,0))&amp;"",""))))</f>
        <v/>
      </c>
      <c r="M1953" s="6" t="str">
        <f>IF($D1953="","",IF(ISNA(MATCH($D1953,'Paramètres'!$M:$M,0)),"⚠ Type inconnu",IF($L1953="Crédit","",IFERROR(INDEX('Paramètres'!$O:$O,MATCH($D1953,'Paramètres'!$M:$M,0))&amp;"",""))))</f>
        <v/>
      </c>
      <c r="N1953" s="6" t="str">
        <f>IF($D1953="","",IFERROR(INDEX('Paramètres'!$Q:$Q,MATCH($D1953,'Paramètres'!$M:$M,0))&amp;"",""))</f>
        <v/>
      </c>
      <c r="O1953" s="6" t="str">
        <f>IF($A1953="","",IF(OR($J1953&lt;&gt;"x",$A1953&lt;=FinReleve),1,0))</f>
        <v/>
      </c>
      <c r="P1953" s="6" t="str">
        <f>IF($D1953="","",IF(AND($L1953="Crédit",OR(IFERROR(INDEX('Paramètres'!$O:$O,MATCH($D1953,'Paramètres'!$M:$M,0))&amp;"","")&lt;&gt;"",ISNUMBER(SEARCH("remboursement",IFERROR(INDEX('Paramètres'!$N:$N,MATCH($D1953,'Paramètres'!$M:$M,0))&amp;"",""))))),1,0))</f>
        <v/>
      </c>
      <c r="Q1953" s="6" t="str">
        <f>IF($K1953="","",IF(ISNUMBER(SEARCH("transfert-interne",IFERROR(INDEX('Paramètres'!$N:$N,MATCH($D1953,'Paramètres'!$M:$M,0))&amp;"",""))),0,IF($L1953="Débit",$K1953,IF($P1953=1,-$K1953,0))))</f>
        <v/>
      </c>
      <c r="R1953" s="6" t="str">
        <f>IF($K1953="","",IF($L1953="Crédit",$K1953,-$K1953))</f>
        <v/>
      </c>
      <c r="S1953" s="6" t="str">
        <f>IF($C1953="","",IFERROR(INDEX('Paramètres'!$H:$H,MATCH($C1953,'Paramètres'!$D:$D,0))&amp;"",""))</f>
        <v/>
      </c>
      <c r="T1953" s="6" t="str">
        <f>IF($K1953="","",IF($S1953="",0,IF(ISNUMBER(SEARCH("apport-exterieur",IFERROR(INDEX('Paramètres'!$N:$N,MATCH($D1953,'Paramètres'!$M:$M,0))&amp;"",""))),0,IF(OR(IFERROR(INDEX('Paramètres'!$I:$I,MATCH($C1953,'Paramètres'!$D:$D,0))&amp;"","")="Les deux",IFERROR(INDEX('Paramètres'!$I:$I,MATCH($C1953,'Paramètres'!$D:$D,0))&amp;"","")=IF($P1953=1,"Débit",$L1953)),-IF($P1953=1,-$K1953,$K1953),0))))</f>
        <v/>
      </c>
      <c r="U1953" s="6" t="str">
        <f>IF($K1953="","",IF(ISNUMBER(SEARCH("sortie-epargne",IFERROR(INDEX('Paramètres'!$N:$N,MATCH($D1953,'Paramètres'!$M:$M,0))&amp;"",""))),$K1953,0))</f>
        <v/>
      </c>
      <c r="V1953" s="6" t="str">
        <f>IF(AND($A1953&lt;&gt;"",$O1953=1,$L1953="Débit",N($Q1953)&gt;0,$A1953&gt;=Visualisation!$B$1,$A1953&lt;Visualisation!$D$1),MAX($V$1:V1952)+1,"")</f>
        <v/>
      </c>
    </row>
    <row r="1954" spans="1:22" x14ac:dyDescent="0.25">
      <c r="A1954" s="9"/>
      <c r="E1954" s="10"/>
      <c r="K1954" s="11" t="str">
        <f>IF($E1954="","",ROUND($E1954*IF(ISNA(MATCH($C1954,'Paramètres'!$D:$D,0)),1,IF(INDEX('Paramètres'!$J:$J,MATCH($C1954,'Paramètres'!$D:$D,0))="",1,INDEX('Paramètres'!$J:$J,MATCH($C1954,'Paramètres'!$D:$D,0)))),2))</f>
        <v/>
      </c>
      <c r="L1954" s="6" t="str">
        <f>IF($D1954="","",IF($F1954&lt;&gt;"",$F1954,IF(ISNA(MATCH($D1954,'Paramètres'!$M:$M,0)),"⚠ Type inconnu",IFERROR(INDEX('Paramètres'!$P:$P,MATCH($D1954,'Paramètres'!$M:$M,0))&amp;"",""))))</f>
        <v/>
      </c>
      <c r="M1954" s="6" t="str">
        <f>IF($D1954="","",IF(ISNA(MATCH($D1954,'Paramètres'!$M:$M,0)),"⚠ Type inconnu",IF($L1954="Crédit","",IFERROR(INDEX('Paramètres'!$O:$O,MATCH($D1954,'Paramètres'!$M:$M,0))&amp;"",""))))</f>
        <v/>
      </c>
      <c r="N1954" s="6" t="str">
        <f>IF($D1954="","",IFERROR(INDEX('Paramètres'!$Q:$Q,MATCH($D1954,'Paramètres'!$M:$M,0))&amp;"",""))</f>
        <v/>
      </c>
      <c r="O1954" s="6" t="str">
        <f>IF($A1954="","",IF(OR($J1954&lt;&gt;"x",$A1954&lt;=FinReleve),1,0))</f>
        <v/>
      </c>
      <c r="P1954" s="6" t="str">
        <f>IF($D1954="","",IF(AND($L1954="Crédit",OR(IFERROR(INDEX('Paramètres'!$O:$O,MATCH($D1954,'Paramètres'!$M:$M,0))&amp;"","")&lt;&gt;"",ISNUMBER(SEARCH("remboursement",IFERROR(INDEX('Paramètres'!$N:$N,MATCH($D1954,'Paramètres'!$M:$M,0))&amp;"",""))))),1,0))</f>
        <v/>
      </c>
      <c r="Q1954" s="6" t="str">
        <f>IF($K1954="","",IF(ISNUMBER(SEARCH("transfert-interne",IFERROR(INDEX('Paramètres'!$N:$N,MATCH($D1954,'Paramètres'!$M:$M,0))&amp;"",""))),0,IF($L1954="Débit",$K1954,IF($P1954=1,-$K1954,0))))</f>
        <v/>
      </c>
      <c r="R1954" s="6" t="str">
        <f>IF($K1954="","",IF($L1954="Crédit",$K1954,-$K1954))</f>
        <v/>
      </c>
      <c r="S1954" s="6" t="str">
        <f>IF($C1954="","",IFERROR(INDEX('Paramètres'!$H:$H,MATCH($C1954,'Paramètres'!$D:$D,0))&amp;"",""))</f>
        <v/>
      </c>
      <c r="T1954" s="6" t="str">
        <f>IF($K1954="","",IF($S1954="",0,IF(ISNUMBER(SEARCH("apport-exterieur",IFERROR(INDEX('Paramètres'!$N:$N,MATCH($D1954,'Paramètres'!$M:$M,0))&amp;"",""))),0,IF(OR(IFERROR(INDEX('Paramètres'!$I:$I,MATCH($C1954,'Paramètres'!$D:$D,0))&amp;"","")="Les deux",IFERROR(INDEX('Paramètres'!$I:$I,MATCH($C1954,'Paramètres'!$D:$D,0))&amp;"","")=IF($P1954=1,"Débit",$L1954)),-IF($P1954=1,-$K1954,$K1954),0))))</f>
        <v/>
      </c>
      <c r="U1954" s="6" t="str">
        <f>IF($K1954="","",IF(ISNUMBER(SEARCH("sortie-epargne",IFERROR(INDEX('Paramètres'!$N:$N,MATCH($D1954,'Paramètres'!$M:$M,0))&amp;"",""))),$K1954,0))</f>
        <v/>
      </c>
      <c r="V1954" s="6" t="str">
        <f>IF(AND($A1954&lt;&gt;"",$O1954=1,$L1954="Débit",N($Q1954)&gt;0,$A1954&gt;=Visualisation!$B$1,$A1954&lt;Visualisation!$D$1),MAX($V$1:V1953)+1,"")</f>
        <v/>
      </c>
    </row>
    <row r="1955" spans="1:22" x14ac:dyDescent="0.25">
      <c r="A1955" s="9"/>
      <c r="E1955" s="10"/>
      <c r="K1955" s="11" t="str">
        <f>IF($E1955="","",ROUND($E1955*IF(ISNA(MATCH($C1955,'Paramètres'!$D:$D,0)),1,IF(INDEX('Paramètres'!$J:$J,MATCH($C1955,'Paramètres'!$D:$D,0))="",1,INDEX('Paramètres'!$J:$J,MATCH($C1955,'Paramètres'!$D:$D,0)))),2))</f>
        <v/>
      </c>
      <c r="L1955" s="6" t="str">
        <f>IF($D1955="","",IF($F1955&lt;&gt;"",$F1955,IF(ISNA(MATCH($D1955,'Paramètres'!$M:$M,0)),"⚠ Type inconnu",IFERROR(INDEX('Paramètres'!$P:$P,MATCH($D1955,'Paramètres'!$M:$M,0))&amp;"",""))))</f>
        <v/>
      </c>
      <c r="M1955" s="6" t="str">
        <f>IF($D1955="","",IF(ISNA(MATCH($D1955,'Paramètres'!$M:$M,0)),"⚠ Type inconnu",IF($L1955="Crédit","",IFERROR(INDEX('Paramètres'!$O:$O,MATCH($D1955,'Paramètres'!$M:$M,0))&amp;"",""))))</f>
        <v/>
      </c>
      <c r="N1955" s="6" t="str">
        <f>IF($D1955="","",IFERROR(INDEX('Paramètres'!$Q:$Q,MATCH($D1955,'Paramètres'!$M:$M,0))&amp;"",""))</f>
        <v/>
      </c>
      <c r="O1955" s="6" t="str">
        <f>IF($A1955="","",IF(OR($J1955&lt;&gt;"x",$A1955&lt;=FinReleve),1,0))</f>
        <v/>
      </c>
      <c r="P1955" s="6" t="str">
        <f>IF($D1955="","",IF(AND($L1955="Crédit",OR(IFERROR(INDEX('Paramètres'!$O:$O,MATCH($D1955,'Paramètres'!$M:$M,0))&amp;"","")&lt;&gt;"",ISNUMBER(SEARCH("remboursement",IFERROR(INDEX('Paramètres'!$N:$N,MATCH($D1955,'Paramètres'!$M:$M,0))&amp;"",""))))),1,0))</f>
        <v/>
      </c>
      <c r="Q1955" s="6" t="str">
        <f>IF($K1955="","",IF(ISNUMBER(SEARCH("transfert-interne",IFERROR(INDEX('Paramètres'!$N:$N,MATCH($D1955,'Paramètres'!$M:$M,0))&amp;"",""))),0,IF($L1955="Débit",$K1955,IF($P1955=1,-$K1955,0))))</f>
        <v/>
      </c>
      <c r="R1955" s="6" t="str">
        <f>IF($K1955="","",IF($L1955="Crédit",$K1955,-$K1955))</f>
        <v/>
      </c>
      <c r="S1955" s="6" t="str">
        <f>IF($C1955="","",IFERROR(INDEX('Paramètres'!$H:$H,MATCH($C1955,'Paramètres'!$D:$D,0))&amp;"",""))</f>
        <v/>
      </c>
      <c r="T1955" s="6" t="str">
        <f>IF($K1955="","",IF($S1955="",0,IF(ISNUMBER(SEARCH("apport-exterieur",IFERROR(INDEX('Paramètres'!$N:$N,MATCH($D1955,'Paramètres'!$M:$M,0))&amp;"",""))),0,IF(OR(IFERROR(INDEX('Paramètres'!$I:$I,MATCH($C1955,'Paramètres'!$D:$D,0))&amp;"","")="Les deux",IFERROR(INDEX('Paramètres'!$I:$I,MATCH($C1955,'Paramètres'!$D:$D,0))&amp;"","")=IF($P1955=1,"Débit",$L1955)),-IF($P1955=1,-$K1955,$K1955),0))))</f>
        <v/>
      </c>
      <c r="U1955" s="6" t="str">
        <f>IF($K1955="","",IF(ISNUMBER(SEARCH("sortie-epargne",IFERROR(INDEX('Paramètres'!$N:$N,MATCH($D1955,'Paramètres'!$M:$M,0))&amp;"",""))),$K1955,0))</f>
        <v/>
      </c>
      <c r="V1955" s="6" t="str">
        <f>IF(AND($A1955&lt;&gt;"",$O1955=1,$L1955="Débit",N($Q1955)&gt;0,$A1955&gt;=Visualisation!$B$1,$A1955&lt;Visualisation!$D$1),MAX($V$1:V1954)+1,"")</f>
        <v/>
      </c>
    </row>
    <row r="1956" spans="1:22" x14ac:dyDescent="0.25">
      <c r="A1956" s="9"/>
      <c r="E1956" s="10"/>
      <c r="K1956" s="11" t="str">
        <f>IF($E1956="","",ROUND($E1956*IF(ISNA(MATCH($C1956,'Paramètres'!$D:$D,0)),1,IF(INDEX('Paramètres'!$J:$J,MATCH($C1956,'Paramètres'!$D:$D,0))="",1,INDEX('Paramètres'!$J:$J,MATCH($C1956,'Paramètres'!$D:$D,0)))),2))</f>
        <v/>
      </c>
      <c r="L1956" s="6" t="str">
        <f>IF($D1956="","",IF($F1956&lt;&gt;"",$F1956,IF(ISNA(MATCH($D1956,'Paramètres'!$M:$M,0)),"⚠ Type inconnu",IFERROR(INDEX('Paramètres'!$P:$P,MATCH($D1956,'Paramètres'!$M:$M,0))&amp;"",""))))</f>
        <v/>
      </c>
      <c r="M1956" s="6" t="str">
        <f>IF($D1956="","",IF(ISNA(MATCH($D1956,'Paramètres'!$M:$M,0)),"⚠ Type inconnu",IF($L1956="Crédit","",IFERROR(INDEX('Paramètres'!$O:$O,MATCH($D1956,'Paramètres'!$M:$M,0))&amp;"",""))))</f>
        <v/>
      </c>
      <c r="N1956" s="6" t="str">
        <f>IF($D1956="","",IFERROR(INDEX('Paramètres'!$Q:$Q,MATCH($D1956,'Paramètres'!$M:$M,0))&amp;"",""))</f>
        <v/>
      </c>
      <c r="O1956" s="6" t="str">
        <f>IF($A1956="","",IF(OR($J1956&lt;&gt;"x",$A1956&lt;=FinReleve),1,0))</f>
        <v/>
      </c>
      <c r="P1956" s="6" t="str">
        <f>IF($D1956="","",IF(AND($L1956="Crédit",OR(IFERROR(INDEX('Paramètres'!$O:$O,MATCH($D1956,'Paramètres'!$M:$M,0))&amp;"","")&lt;&gt;"",ISNUMBER(SEARCH("remboursement",IFERROR(INDEX('Paramètres'!$N:$N,MATCH($D1956,'Paramètres'!$M:$M,0))&amp;"",""))))),1,0))</f>
        <v/>
      </c>
      <c r="Q1956" s="6" t="str">
        <f>IF($K1956="","",IF(ISNUMBER(SEARCH("transfert-interne",IFERROR(INDEX('Paramètres'!$N:$N,MATCH($D1956,'Paramètres'!$M:$M,0))&amp;"",""))),0,IF($L1956="Débit",$K1956,IF($P1956=1,-$K1956,0))))</f>
        <v/>
      </c>
      <c r="R1956" s="6" t="str">
        <f>IF($K1956="","",IF($L1956="Crédit",$K1956,-$K1956))</f>
        <v/>
      </c>
      <c r="S1956" s="6" t="str">
        <f>IF($C1956="","",IFERROR(INDEX('Paramètres'!$H:$H,MATCH($C1956,'Paramètres'!$D:$D,0))&amp;"",""))</f>
        <v/>
      </c>
      <c r="T1956" s="6" t="str">
        <f>IF($K1956="","",IF($S1956="",0,IF(ISNUMBER(SEARCH("apport-exterieur",IFERROR(INDEX('Paramètres'!$N:$N,MATCH($D1956,'Paramètres'!$M:$M,0))&amp;"",""))),0,IF(OR(IFERROR(INDEX('Paramètres'!$I:$I,MATCH($C1956,'Paramètres'!$D:$D,0))&amp;"","")="Les deux",IFERROR(INDEX('Paramètres'!$I:$I,MATCH($C1956,'Paramètres'!$D:$D,0))&amp;"","")=IF($P1956=1,"Débit",$L1956)),-IF($P1956=1,-$K1956,$K1956),0))))</f>
        <v/>
      </c>
      <c r="U1956" s="6" t="str">
        <f>IF($K1956="","",IF(ISNUMBER(SEARCH("sortie-epargne",IFERROR(INDEX('Paramètres'!$N:$N,MATCH($D1956,'Paramètres'!$M:$M,0))&amp;"",""))),$K1956,0))</f>
        <v/>
      </c>
      <c r="V1956" s="6" t="str">
        <f>IF(AND($A1956&lt;&gt;"",$O1956=1,$L1956="Débit",N($Q1956)&gt;0,$A1956&gt;=Visualisation!$B$1,$A1956&lt;Visualisation!$D$1),MAX($V$1:V1955)+1,"")</f>
        <v/>
      </c>
    </row>
    <row r="1957" spans="1:22" x14ac:dyDescent="0.25">
      <c r="A1957" s="9"/>
      <c r="E1957" s="10"/>
      <c r="K1957" s="11" t="str">
        <f>IF($E1957="","",ROUND($E1957*IF(ISNA(MATCH($C1957,'Paramètres'!$D:$D,0)),1,IF(INDEX('Paramètres'!$J:$J,MATCH($C1957,'Paramètres'!$D:$D,0))="",1,INDEX('Paramètres'!$J:$J,MATCH($C1957,'Paramètres'!$D:$D,0)))),2))</f>
        <v/>
      </c>
      <c r="L1957" s="6" t="str">
        <f>IF($D1957="","",IF($F1957&lt;&gt;"",$F1957,IF(ISNA(MATCH($D1957,'Paramètres'!$M:$M,0)),"⚠ Type inconnu",IFERROR(INDEX('Paramètres'!$P:$P,MATCH($D1957,'Paramètres'!$M:$M,0))&amp;"",""))))</f>
        <v/>
      </c>
      <c r="M1957" s="6" t="str">
        <f>IF($D1957="","",IF(ISNA(MATCH($D1957,'Paramètres'!$M:$M,0)),"⚠ Type inconnu",IF($L1957="Crédit","",IFERROR(INDEX('Paramètres'!$O:$O,MATCH($D1957,'Paramètres'!$M:$M,0))&amp;"",""))))</f>
        <v/>
      </c>
      <c r="N1957" s="6" t="str">
        <f>IF($D1957="","",IFERROR(INDEX('Paramètres'!$Q:$Q,MATCH($D1957,'Paramètres'!$M:$M,0))&amp;"",""))</f>
        <v/>
      </c>
      <c r="O1957" s="6" t="str">
        <f>IF($A1957="","",IF(OR($J1957&lt;&gt;"x",$A1957&lt;=FinReleve),1,0))</f>
        <v/>
      </c>
      <c r="P1957" s="6" t="str">
        <f>IF($D1957="","",IF(AND($L1957="Crédit",OR(IFERROR(INDEX('Paramètres'!$O:$O,MATCH($D1957,'Paramètres'!$M:$M,0))&amp;"","")&lt;&gt;"",ISNUMBER(SEARCH("remboursement",IFERROR(INDEX('Paramètres'!$N:$N,MATCH($D1957,'Paramètres'!$M:$M,0))&amp;"",""))))),1,0))</f>
        <v/>
      </c>
      <c r="Q1957" s="6" t="str">
        <f>IF($K1957="","",IF(ISNUMBER(SEARCH("transfert-interne",IFERROR(INDEX('Paramètres'!$N:$N,MATCH($D1957,'Paramètres'!$M:$M,0))&amp;"",""))),0,IF($L1957="Débit",$K1957,IF($P1957=1,-$K1957,0))))</f>
        <v/>
      </c>
      <c r="R1957" s="6" t="str">
        <f>IF($K1957="","",IF($L1957="Crédit",$K1957,-$K1957))</f>
        <v/>
      </c>
      <c r="S1957" s="6" t="str">
        <f>IF($C1957="","",IFERROR(INDEX('Paramètres'!$H:$H,MATCH($C1957,'Paramètres'!$D:$D,0))&amp;"",""))</f>
        <v/>
      </c>
      <c r="T1957" s="6" t="str">
        <f>IF($K1957="","",IF($S1957="",0,IF(ISNUMBER(SEARCH("apport-exterieur",IFERROR(INDEX('Paramètres'!$N:$N,MATCH($D1957,'Paramètres'!$M:$M,0))&amp;"",""))),0,IF(OR(IFERROR(INDEX('Paramètres'!$I:$I,MATCH($C1957,'Paramètres'!$D:$D,0))&amp;"","")="Les deux",IFERROR(INDEX('Paramètres'!$I:$I,MATCH($C1957,'Paramètres'!$D:$D,0))&amp;"","")=IF($P1957=1,"Débit",$L1957)),-IF($P1957=1,-$K1957,$K1957),0))))</f>
        <v/>
      </c>
      <c r="U1957" s="6" t="str">
        <f>IF($K1957="","",IF(ISNUMBER(SEARCH("sortie-epargne",IFERROR(INDEX('Paramètres'!$N:$N,MATCH($D1957,'Paramètres'!$M:$M,0))&amp;"",""))),$K1957,0))</f>
        <v/>
      </c>
      <c r="V1957" s="6" t="str">
        <f>IF(AND($A1957&lt;&gt;"",$O1957=1,$L1957="Débit",N($Q1957)&gt;0,$A1957&gt;=Visualisation!$B$1,$A1957&lt;Visualisation!$D$1),MAX($V$1:V1956)+1,"")</f>
        <v/>
      </c>
    </row>
    <row r="1958" spans="1:22" x14ac:dyDescent="0.25">
      <c r="A1958" s="9"/>
      <c r="E1958" s="10"/>
      <c r="K1958" s="11" t="str">
        <f>IF($E1958="","",ROUND($E1958*IF(ISNA(MATCH($C1958,'Paramètres'!$D:$D,0)),1,IF(INDEX('Paramètres'!$J:$J,MATCH($C1958,'Paramètres'!$D:$D,0))="",1,INDEX('Paramètres'!$J:$J,MATCH($C1958,'Paramètres'!$D:$D,0)))),2))</f>
        <v/>
      </c>
      <c r="L1958" s="6" t="str">
        <f>IF($D1958="","",IF($F1958&lt;&gt;"",$F1958,IF(ISNA(MATCH($D1958,'Paramètres'!$M:$M,0)),"⚠ Type inconnu",IFERROR(INDEX('Paramètres'!$P:$P,MATCH($D1958,'Paramètres'!$M:$M,0))&amp;"",""))))</f>
        <v/>
      </c>
      <c r="M1958" s="6" t="str">
        <f>IF($D1958="","",IF(ISNA(MATCH($D1958,'Paramètres'!$M:$M,0)),"⚠ Type inconnu",IF($L1958="Crédit","",IFERROR(INDEX('Paramètres'!$O:$O,MATCH($D1958,'Paramètres'!$M:$M,0))&amp;"",""))))</f>
        <v/>
      </c>
      <c r="N1958" s="6" t="str">
        <f>IF($D1958="","",IFERROR(INDEX('Paramètres'!$Q:$Q,MATCH($D1958,'Paramètres'!$M:$M,0))&amp;"",""))</f>
        <v/>
      </c>
      <c r="O1958" s="6" t="str">
        <f>IF($A1958="","",IF(OR($J1958&lt;&gt;"x",$A1958&lt;=FinReleve),1,0))</f>
        <v/>
      </c>
      <c r="P1958" s="6" t="str">
        <f>IF($D1958="","",IF(AND($L1958="Crédit",OR(IFERROR(INDEX('Paramètres'!$O:$O,MATCH($D1958,'Paramètres'!$M:$M,0))&amp;"","")&lt;&gt;"",ISNUMBER(SEARCH("remboursement",IFERROR(INDEX('Paramètres'!$N:$N,MATCH($D1958,'Paramètres'!$M:$M,0))&amp;"",""))))),1,0))</f>
        <v/>
      </c>
      <c r="Q1958" s="6" t="str">
        <f>IF($K1958="","",IF(ISNUMBER(SEARCH("transfert-interne",IFERROR(INDEX('Paramètres'!$N:$N,MATCH($D1958,'Paramètres'!$M:$M,0))&amp;"",""))),0,IF($L1958="Débit",$K1958,IF($P1958=1,-$K1958,0))))</f>
        <v/>
      </c>
      <c r="R1958" s="6" t="str">
        <f>IF($K1958="","",IF($L1958="Crédit",$K1958,-$K1958))</f>
        <v/>
      </c>
      <c r="S1958" s="6" t="str">
        <f>IF($C1958="","",IFERROR(INDEX('Paramètres'!$H:$H,MATCH($C1958,'Paramètres'!$D:$D,0))&amp;"",""))</f>
        <v/>
      </c>
      <c r="T1958" s="6" t="str">
        <f>IF($K1958="","",IF($S1958="",0,IF(ISNUMBER(SEARCH("apport-exterieur",IFERROR(INDEX('Paramètres'!$N:$N,MATCH($D1958,'Paramètres'!$M:$M,0))&amp;"",""))),0,IF(OR(IFERROR(INDEX('Paramètres'!$I:$I,MATCH($C1958,'Paramètres'!$D:$D,0))&amp;"","")="Les deux",IFERROR(INDEX('Paramètres'!$I:$I,MATCH($C1958,'Paramètres'!$D:$D,0))&amp;"","")=IF($P1958=1,"Débit",$L1958)),-IF($P1958=1,-$K1958,$K1958),0))))</f>
        <v/>
      </c>
      <c r="U1958" s="6" t="str">
        <f>IF($K1958="","",IF(ISNUMBER(SEARCH("sortie-epargne",IFERROR(INDEX('Paramètres'!$N:$N,MATCH($D1958,'Paramètres'!$M:$M,0))&amp;"",""))),$K1958,0))</f>
        <v/>
      </c>
      <c r="V1958" s="6" t="str">
        <f>IF(AND($A1958&lt;&gt;"",$O1958=1,$L1958="Débit",N($Q1958)&gt;0,$A1958&gt;=Visualisation!$B$1,$A1958&lt;Visualisation!$D$1),MAX($V$1:V1957)+1,"")</f>
        <v/>
      </c>
    </row>
    <row r="1959" spans="1:22" x14ac:dyDescent="0.25">
      <c r="A1959" s="9"/>
      <c r="E1959" s="10"/>
      <c r="K1959" s="11" t="str">
        <f>IF($E1959="","",ROUND($E1959*IF(ISNA(MATCH($C1959,'Paramètres'!$D:$D,0)),1,IF(INDEX('Paramètres'!$J:$J,MATCH($C1959,'Paramètres'!$D:$D,0))="",1,INDEX('Paramètres'!$J:$J,MATCH($C1959,'Paramètres'!$D:$D,0)))),2))</f>
        <v/>
      </c>
      <c r="L1959" s="6" t="str">
        <f>IF($D1959="","",IF($F1959&lt;&gt;"",$F1959,IF(ISNA(MATCH($D1959,'Paramètres'!$M:$M,0)),"⚠ Type inconnu",IFERROR(INDEX('Paramètres'!$P:$P,MATCH($D1959,'Paramètres'!$M:$M,0))&amp;"",""))))</f>
        <v/>
      </c>
      <c r="M1959" s="6" t="str">
        <f>IF($D1959="","",IF(ISNA(MATCH($D1959,'Paramètres'!$M:$M,0)),"⚠ Type inconnu",IF($L1959="Crédit","",IFERROR(INDEX('Paramètres'!$O:$O,MATCH($D1959,'Paramètres'!$M:$M,0))&amp;"",""))))</f>
        <v/>
      </c>
      <c r="N1959" s="6" t="str">
        <f>IF($D1959="","",IFERROR(INDEX('Paramètres'!$Q:$Q,MATCH($D1959,'Paramètres'!$M:$M,0))&amp;"",""))</f>
        <v/>
      </c>
      <c r="O1959" s="6" t="str">
        <f>IF($A1959="","",IF(OR($J1959&lt;&gt;"x",$A1959&lt;=FinReleve),1,0))</f>
        <v/>
      </c>
      <c r="P1959" s="6" t="str">
        <f>IF($D1959="","",IF(AND($L1959="Crédit",OR(IFERROR(INDEX('Paramètres'!$O:$O,MATCH($D1959,'Paramètres'!$M:$M,0))&amp;"","")&lt;&gt;"",ISNUMBER(SEARCH("remboursement",IFERROR(INDEX('Paramètres'!$N:$N,MATCH($D1959,'Paramètres'!$M:$M,0))&amp;"",""))))),1,0))</f>
        <v/>
      </c>
      <c r="Q1959" s="6" t="str">
        <f>IF($K1959="","",IF(ISNUMBER(SEARCH("transfert-interne",IFERROR(INDEX('Paramètres'!$N:$N,MATCH($D1959,'Paramètres'!$M:$M,0))&amp;"",""))),0,IF($L1959="Débit",$K1959,IF($P1959=1,-$K1959,0))))</f>
        <v/>
      </c>
      <c r="R1959" s="6" t="str">
        <f>IF($K1959="","",IF($L1959="Crédit",$K1959,-$K1959))</f>
        <v/>
      </c>
      <c r="S1959" s="6" t="str">
        <f>IF($C1959="","",IFERROR(INDEX('Paramètres'!$H:$H,MATCH($C1959,'Paramètres'!$D:$D,0))&amp;"",""))</f>
        <v/>
      </c>
      <c r="T1959" s="6" t="str">
        <f>IF($K1959="","",IF($S1959="",0,IF(ISNUMBER(SEARCH("apport-exterieur",IFERROR(INDEX('Paramètres'!$N:$N,MATCH($D1959,'Paramètres'!$M:$M,0))&amp;"",""))),0,IF(OR(IFERROR(INDEX('Paramètres'!$I:$I,MATCH($C1959,'Paramètres'!$D:$D,0))&amp;"","")="Les deux",IFERROR(INDEX('Paramètres'!$I:$I,MATCH($C1959,'Paramètres'!$D:$D,0))&amp;"","")=IF($P1959=1,"Débit",$L1959)),-IF($P1959=1,-$K1959,$K1959),0))))</f>
        <v/>
      </c>
      <c r="U1959" s="6" t="str">
        <f>IF($K1959="","",IF(ISNUMBER(SEARCH("sortie-epargne",IFERROR(INDEX('Paramètres'!$N:$N,MATCH($D1959,'Paramètres'!$M:$M,0))&amp;"",""))),$K1959,0))</f>
        <v/>
      </c>
      <c r="V1959" s="6" t="str">
        <f>IF(AND($A1959&lt;&gt;"",$O1959=1,$L1959="Débit",N($Q1959)&gt;0,$A1959&gt;=Visualisation!$B$1,$A1959&lt;Visualisation!$D$1),MAX($V$1:V1958)+1,"")</f>
        <v/>
      </c>
    </row>
    <row r="1960" spans="1:22" x14ac:dyDescent="0.25">
      <c r="A1960" s="9"/>
      <c r="E1960" s="10"/>
      <c r="K1960" s="11" t="str">
        <f>IF($E1960="","",ROUND($E1960*IF(ISNA(MATCH($C1960,'Paramètres'!$D:$D,0)),1,IF(INDEX('Paramètres'!$J:$J,MATCH($C1960,'Paramètres'!$D:$D,0))="",1,INDEX('Paramètres'!$J:$J,MATCH($C1960,'Paramètres'!$D:$D,0)))),2))</f>
        <v/>
      </c>
      <c r="L1960" s="6" t="str">
        <f>IF($D1960="","",IF($F1960&lt;&gt;"",$F1960,IF(ISNA(MATCH($D1960,'Paramètres'!$M:$M,0)),"⚠ Type inconnu",IFERROR(INDEX('Paramètres'!$P:$P,MATCH($D1960,'Paramètres'!$M:$M,0))&amp;"",""))))</f>
        <v/>
      </c>
      <c r="M1960" s="6" t="str">
        <f>IF($D1960="","",IF(ISNA(MATCH($D1960,'Paramètres'!$M:$M,0)),"⚠ Type inconnu",IF($L1960="Crédit","",IFERROR(INDEX('Paramètres'!$O:$O,MATCH($D1960,'Paramètres'!$M:$M,0))&amp;"",""))))</f>
        <v/>
      </c>
      <c r="N1960" s="6" t="str">
        <f>IF($D1960="","",IFERROR(INDEX('Paramètres'!$Q:$Q,MATCH($D1960,'Paramètres'!$M:$M,0))&amp;"",""))</f>
        <v/>
      </c>
      <c r="O1960" s="6" t="str">
        <f>IF($A1960="","",IF(OR($J1960&lt;&gt;"x",$A1960&lt;=FinReleve),1,0))</f>
        <v/>
      </c>
      <c r="P1960" s="6" t="str">
        <f>IF($D1960="","",IF(AND($L1960="Crédit",OR(IFERROR(INDEX('Paramètres'!$O:$O,MATCH($D1960,'Paramètres'!$M:$M,0))&amp;"","")&lt;&gt;"",ISNUMBER(SEARCH("remboursement",IFERROR(INDEX('Paramètres'!$N:$N,MATCH($D1960,'Paramètres'!$M:$M,0))&amp;"",""))))),1,0))</f>
        <v/>
      </c>
      <c r="Q1960" s="6" t="str">
        <f>IF($K1960="","",IF(ISNUMBER(SEARCH("transfert-interne",IFERROR(INDEX('Paramètres'!$N:$N,MATCH($D1960,'Paramètres'!$M:$M,0))&amp;"",""))),0,IF($L1960="Débit",$K1960,IF($P1960=1,-$K1960,0))))</f>
        <v/>
      </c>
      <c r="R1960" s="6" t="str">
        <f>IF($K1960="","",IF($L1960="Crédit",$K1960,-$K1960))</f>
        <v/>
      </c>
      <c r="S1960" s="6" t="str">
        <f>IF($C1960="","",IFERROR(INDEX('Paramètres'!$H:$H,MATCH($C1960,'Paramètres'!$D:$D,0))&amp;"",""))</f>
        <v/>
      </c>
      <c r="T1960" s="6" t="str">
        <f>IF($K1960="","",IF($S1960="",0,IF(ISNUMBER(SEARCH("apport-exterieur",IFERROR(INDEX('Paramètres'!$N:$N,MATCH($D1960,'Paramètres'!$M:$M,0))&amp;"",""))),0,IF(OR(IFERROR(INDEX('Paramètres'!$I:$I,MATCH($C1960,'Paramètres'!$D:$D,0))&amp;"","")="Les deux",IFERROR(INDEX('Paramètres'!$I:$I,MATCH($C1960,'Paramètres'!$D:$D,0))&amp;"","")=IF($P1960=1,"Débit",$L1960)),-IF($P1960=1,-$K1960,$K1960),0))))</f>
        <v/>
      </c>
      <c r="U1960" s="6" t="str">
        <f>IF($K1960="","",IF(ISNUMBER(SEARCH("sortie-epargne",IFERROR(INDEX('Paramètres'!$N:$N,MATCH($D1960,'Paramètres'!$M:$M,0))&amp;"",""))),$K1960,0))</f>
        <v/>
      </c>
      <c r="V1960" s="6" t="str">
        <f>IF(AND($A1960&lt;&gt;"",$O1960=1,$L1960="Débit",N($Q1960)&gt;0,$A1960&gt;=Visualisation!$B$1,$A1960&lt;Visualisation!$D$1),MAX($V$1:V1959)+1,"")</f>
        <v/>
      </c>
    </row>
    <row r="1961" spans="1:22" x14ac:dyDescent="0.25">
      <c r="A1961" s="9"/>
      <c r="E1961" s="10"/>
      <c r="K1961" s="11" t="str">
        <f>IF($E1961="","",ROUND($E1961*IF(ISNA(MATCH($C1961,'Paramètres'!$D:$D,0)),1,IF(INDEX('Paramètres'!$J:$J,MATCH($C1961,'Paramètres'!$D:$D,0))="",1,INDEX('Paramètres'!$J:$J,MATCH($C1961,'Paramètres'!$D:$D,0)))),2))</f>
        <v/>
      </c>
      <c r="L1961" s="6" t="str">
        <f>IF($D1961="","",IF($F1961&lt;&gt;"",$F1961,IF(ISNA(MATCH($D1961,'Paramètres'!$M:$M,0)),"⚠ Type inconnu",IFERROR(INDEX('Paramètres'!$P:$P,MATCH($D1961,'Paramètres'!$M:$M,0))&amp;"",""))))</f>
        <v/>
      </c>
      <c r="M1961" s="6" t="str">
        <f>IF($D1961="","",IF(ISNA(MATCH($D1961,'Paramètres'!$M:$M,0)),"⚠ Type inconnu",IF($L1961="Crédit","",IFERROR(INDEX('Paramètres'!$O:$O,MATCH($D1961,'Paramètres'!$M:$M,0))&amp;"",""))))</f>
        <v/>
      </c>
      <c r="N1961" s="6" t="str">
        <f>IF($D1961="","",IFERROR(INDEX('Paramètres'!$Q:$Q,MATCH($D1961,'Paramètres'!$M:$M,0))&amp;"",""))</f>
        <v/>
      </c>
      <c r="O1961" s="6" t="str">
        <f>IF($A1961="","",IF(OR($J1961&lt;&gt;"x",$A1961&lt;=FinReleve),1,0))</f>
        <v/>
      </c>
      <c r="P1961" s="6" t="str">
        <f>IF($D1961="","",IF(AND($L1961="Crédit",OR(IFERROR(INDEX('Paramètres'!$O:$O,MATCH($D1961,'Paramètres'!$M:$M,0))&amp;"","")&lt;&gt;"",ISNUMBER(SEARCH("remboursement",IFERROR(INDEX('Paramètres'!$N:$N,MATCH($D1961,'Paramètres'!$M:$M,0))&amp;"",""))))),1,0))</f>
        <v/>
      </c>
      <c r="Q1961" s="6" t="str">
        <f>IF($K1961="","",IF(ISNUMBER(SEARCH("transfert-interne",IFERROR(INDEX('Paramètres'!$N:$N,MATCH($D1961,'Paramètres'!$M:$M,0))&amp;"",""))),0,IF($L1961="Débit",$K1961,IF($P1961=1,-$K1961,0))))</f>
        <v/>
      </c>
      <c r="R1961" s="6" t="str">
        <f>IF($K1961="","",IF($L1961="Crédit",$K1961,-$K1961))</f>
        <v/>
      </c>
      <c r="S1961" s="6" t="str">
        <f>IF($C1961="","",IFERROR(INDEX('Paramètres'!$H:$H,MATCH($C1961,'Paramètres'!$D:$D,0))&amp;"",""))</f>
        <v/>
      </c>
      <c r="T1961" s="6" t="str">
        <f>IF($K1961="","",IF($S1961="",0,IF(ISNUMBER(SEARCH("apport-exterieur",IFERROR(INDEX('Paramètres'!$N:$N,MATCH($D1961,'Paramètres'!$M:$M,0))&amp;"",""))),0,IF(OR(IFERROR(INDEX('Paramètres'!$I:$I,MATCH($C1961,'Paramètres'!$D:$D,0))&amp;"","")="Les deux",IFERROR(INDEX('Paramètres'!$I:$I,MATCH($C1961,'Paramètres'!$D:$D,0))&amp;"","")=IF($P1961=1,"Débit",$L1961)),-IF($P1961=1,-$K1961,$K1961),0))))</f>
        <v/>
      </c>
      <c r="U1961" s="6" t="str">
        <f>IF($K1961="","",IF(ISNUMBER(SEARCH("sortie-epargne",IFERROR(INDEX('Paramètres'!$N:$N,MATCH($D1961,'Paramètres'!$M:$M,0))&amp;"",""))),$K1961,0))</f>
        <v/>
      </c>
      <c r="V1961" s="6" t="str">
        <f>IF(AND($A1961&lt;&gt;"",$O1961=1,$L1961="Débit",N($Q1961)&gt;0,$A1961&gt;=Visualisation!$B$1,$A1961&lt;Visualisation!$D$1),MAX($V$1:V1960)+1,"")</f>
        <v/>
      </c>
    </row>
    <row r="1962" spans="1:22" x14ac:dyDescent="0.25">
      <c r="A1962" s="9"/>
      <c r="E1962" s="10"/>
      <c r="K1962" s="11" t="str">
        <f>IF($E1962="","",ROUND($E1962*IF(ISNA(MATCH($C1962,'Paramètres'!$D:$D,0)),1,IF(INDEX('Paramètres'!$J:$J,MATCH($C1962,'Paramètres'!$D:$D,0))="",1,INDEX('Paramètres'!$J:$J,MATCH($C1962,'Paramètres'!$D:$D,0)))),2))</f>
        <v/>
      </c>
      <c r="L1962" s="6" t="str">
        <f>IF($D1962="","",IF($F1962&lt;&gt;"",$F1962,IF(ISNA(MATCH($D1962,'Paramètres'!$M:$M,0)),"⚠ Type inconnu",IFERROR(INDEX('Paramètres'!$P:$P,MATCH($D1962,'Paramètres'!$M:$M,0))&amp;"",""))))</f>
        <v/>
      </c>
      <c r="M1962" s="6" t="str">
        <f>IF($D1962="","",IF(ISNA(MATCH($D1962,'Paramètres'!$M:$M,0)),"⚠ Type inconnu",IF($L1962="Crédit","",IFERROR(INDEX('Paramètres'!$O:$O,MATCH($D1962,'Paramètres'!$M:$M,0))&amp;"",""))))</f>
        <v/>
      </c>
      <c r="N1962" s="6" t="str">
        <f>IF($D1962="","",IFERROR(INDEX('Paramètres'!$Q:$Q,MATCH($D1962,'Paramètres'!$M:$M,0))&amp;"",""))</f>
        <v/>
      </c>
      <c r="O1962" s="6" t="str">
        <f>IF($A1962="","",IF(OR($J1962&lt;&gt;"x",$A1962&lt;=FinReleve),1,0))</f>
        <v/>
      </c>
      <c r="P1962" s="6" t="str">
        <f>IF($D1962="","",IF(AND($L1962="Crédit",OR(IFERROR(INDEX('Paramètres'!$O:$O,MATCH($D1962,'Paramètres'!$M:$M,0))&amp;"","")&lt;&gt;"",ISNUMBER(SEARCH("remboursement",IFERROR(INDEX('Paramètres'!$N:$N,MATCH($D1962,'Paramètres'!$M:$M,0))&amp;"",""))))),1,0))</f>
        <v/>
      </c>
      <c r="Q1962" s="6" t="str">
        <f>IF($K1962="","",IF(ISNUMBER(SEARCH("transfert-interne",IFERROR(INDEX('Paramètres'!$N:$N,MATCH($D1962,'Paramètres'!$M:$M,0))&amp;"",""))),0,IF($L1962="Débit",$K1962,IF($P1962=1,-$K1962,0))))</f>
        <v/>
      </c>
      <c r="R1962" s="6" t="str">
        <f>IF($K1962="","",IF($L1962="Crédit",$K1962,-$K1962))</f>
        <v/>
      </c>
      <c r="S1962" s="6" t="str">
        <f>IF($C1962="","",IFERROR(INDEX('Paramètres'!$H:$H,MATCH($C1962,'Paramètres'!$D:$D,0))&amp;"",""))</f>
        <v/>
      </c>
      <c r="T1962" s="6" t="str">
        <f>IF($K1962="","",IF($S1962="",0,IF(ISNUMBER(SEARCH("apport-exterieur",IFERROR(INDEX('Paramètres'!$N:$N,MATCH($D1962,'Paramètres'!$M:$M,0))&amp;"",""))),0,IF(OR(IFERROR(INDEX('Paramètres'!$I:$I,MATCH($C1962,'Paramètres'!$D:$D,0))&amp;"","")="Les deux",IFERROR(INDEX('Paramètres'!$I:$I,MATCH($C1962,'Paramètres'!$D:$D,0))&amp;"","")=IF($P1962=1,"Débit",$L1962)),-IF($P1962=1,-$K1962,$K1962),0))))</f>
        <v/>
      </c>
      <c r="U1962" s="6" t="str">
        <f>IF($K1962="","",IF(ISNUMBER(SEARCH("sortie-epargne",IFERROR(INDEX('Paramètres'!$N:$N,MATCH($D1962,'Paramètres'!$M:$M,0))&amp;"",""))),$K1962,0))</f>
        <v/>
      </c>
      <c r="V1962" s="6" t="str">
        <f>IF(AND($A1962&lt;&gt;"",$O1962=1,$L1962="Débit",N($Q1962)&gt;0,$A1962&gt;=Visualisation!$B$1,$A1962&lt;Visualisation!$D$1),MAX($V$1:V1961)+1,"")</f>
        <v/>
      </c>
    </row>
    <row r="1963" spans="1:22" x14ac:dyDescent="0.25">
      <c r="A1963" s="9"/>
      <c r="E1963" s="10"/>
      <c r="K1963" s="11" t="str">
        <f>IF($E1963="","",ROUND($E1963*IF(ISNA(MATCH($C1963,'Paramètres'!$D:$D,0)),1,IF(INDEX('Paramètres'!$J:$J,MATCH($C1963,'Paramètres'!$D:$D,0))="",1,INDEX('Paramètres'!$J:$J,MATCH($C1963,'Paramètres'!$D:$D,0)))),2))</f>
        <v/>
      </c>
      <c r="L1963" s="6" t="str">
        <f>IF($D1963="","",IF($F1963&lt;&gt;"",$F1963,IF(ISNA(MATCH($D1963,'Paramètres'!$M:$M,0)),"⚠ Type inconnu",IFERROR(INDEX('Paramètres'!$P:$P,MATCH($D1963,'Paramètres'!$M:$M,0))&amp;"",""))))</f>
        <v/>
      </c>
      <c r="M1963" s="6" t="str">
        <f>IF($D1963="","",IF(ISNA(MATCH($D1963,'Paramètres'!$M:$M,0)),"⚠ Type inconnu",IF($L1963="Crédit","",IFERROR(INDEX('Paramètres'!$O:$O,MATCH($D1963,'Paramètres'!$M:$M,0))&amp;"",""))))</f>
        <v/>
      </c>
      <c r="N1963" s="6" t="str">
        <f>IF($D1963="","",IFERROR(INDEX('Paramètres'!$Q:$Q,MATCH($D1963,'Paramètres'!$M:$M,0))&amp;"",""))</f>
        <v/>
      </c>
      <c r="O1963" s="6" t="str">
        <f>IF($A1963="","",IF(OR($J1963&lt;&gt;"x",$A1963&lt;=FinReleve),1,0))</f>
        <v/>
      </c>
      <c r="P1963" s="6" t="str">
        <f>IF($D1963="","",IF(AND($L1963="Crédit",OR(IFERROR(INDEX('Paramètres'!$O:$O,MATCH($D1963,'Paramètres'!$M:$M,0))&amp;"","")&lt;&gt;"",ISNUMBER(SEARCH("remboursement",IFERROR(INDEX('Paramètres'!$N:$N,MATCH($D1963,'Paramètres'!$M:$M,0))&amp;"",""))))),1,0))</f>
        <v/>
      </c>
      <c r="Q1963" s="6" t="str">
        <f>IF($K1963="","",IF(ISNUMBER(SEARCH("transfert-interne",IFERROR(INDEX('Paramètres'!$N:$N,MATCH($D1963,'Paramètres'!$M:$M,0))&amp;"",""))),0,IF($L1963="Débit",$K1963,IF($P1963=1,-$K1963,0))))</f>
        <v/>
      </c>
      <c r="R1963" s="6" t="str">
        <f>IF($K1963="","",IF($L1963="Crédit",$K1963,-$K1963))</f>
        <v/>
      </c>
      <c r="S1963" s="6" t="str">
        <f>IF($C1963="","",IFERROR(INDEX('Paramètres'!$H:$H,MATCH($C1963,'Paramètres'!$D:$D,0))&amp;"",""))</f>
        <v/>
      </c>
      <c r="T1963" s="6" t="str">
        <f>IF($K1963="","",IF($S1963="",0,IF(ISNUMBER(SEARCH("apport-exterieur",IFERROR(INDEX('Paramètres'!$N:$N,MATCH($D1963,'Paramètres'!$M:$M,0))&amp;"",""))),0,IF(OR(IFERROR(INDEX('Paramètres'!$I:$I,MATCH($C1963,'Paramètres'!$D:$D,0))&amp;"","")="Les deux",IFERROR(INDEX('Paramètres'!$I:$I,MATCH($C1963,'Paramètres'!$D:$D,0))&amp;"","")=IF($P1963=1,"Débit",$L1963)),-IF($P1963=1,-$K1963,$K1963),0))))</f>
        <v/>
      </c>
      <c r="U1963" s="6" t="str">
        <f>IF($K1963="","",IF(ISNUMBER(SEARCH("sortie-epargne",IFERROR(INDEX('Paramètres'!$N:$N,MATCH($D1963,'Paramètres'!$M:$M,0))&amp;"",""))),$K1963,0))</f>
        <v/>
      </c>
      <c r="V1963" s="6" t="str">
        <f>IF(AND($A1963&lt;&gt;"",$O1963=1,$L1963="Débit",N($Q1963)&gt;0,$A1963&gt;=Visualisation!$B$1,$A1963&lt;Visualisation!$D$1),MAX($V$1:V1962)+1,"")</f>
        <v/>
      </c>
    </row>
    <row r="1964" spans="1:22" x14ac:dyDescent="0.25">
      <c r="A1964" s="9"/>
      <c r="E1964" s="10"/>
      <c r="K1964" s="11" t="str">
        <f>IF($E1964="","",ROUND($E1964*IF(ISNA(MATCH($C1964,'Paramètres'!$D:$D,0)),1,IF(INDEX('Paramètres'!$J:$J,MATCH($C1964,'Paramètres'!$D:$D,0))="",1,INDEX('Paramètres'!$J:$J,MATCH($C1964,'Paramètres'!$D:$D,0)))),2))</f>
        <v/>
      </c>
      <c r="L1964" s="6" t="str">
        <f>IF($D1964="","",IF($F1964&lt;&gt;"",$F1964,IF(ISNA(MATCH($D1964,'Paramètres'!$M:$M,0)),"⚠ Type inconnu",IFERROR(INDEX('Paramètres'!$P:$P,MATCH($D1964,'Paramètres'!$M:$M,0))&amp;"",""))))</f>
        <v/>
      </c>
      <c r="M1964" s="6" t="str">
        <f>IF($D1964="","",IF(ISNA(MATCH($D1964,'Paramètres'!$M:$M,0)),"⚠ Type inconnu",IF($L1964="Crédit","",IFERROR(INDEX('Paramètres'!$O:$O,MATCH($D1964,'Paramètres'!$M:$M,0))&amp;"",""))))</f>
        <v/>
      </c>
      <c r="N1964" s="6" t="str">
        <f>IF($D1964="","",IFERROR(INDEX('Paramètres'!$Q:$Q,MATCH($D1964,'Paramètres'!$M:$M,0))&amp;"",""))</f>
        <v/>
      </c>
      <c r="O1964" s="6" t="str">
        <f>IF($A1964="","",IF(OR($J1964&lt;&gt;"x",$A1964&lt;=FinReleve),1,0))</f>
        <v/>
      </c>
      <c r="P1964" s="6" t="str">
        <f>IF($D1964="","",IF(AND($L1964="Crédit",OR(IFERROR(INDEX('Paramètres'!$O:$O,MATCH($D1964,'Paramètres'!$M:$M,0))&amp;"","")&lt;&gt;"",ISNUMBER(SEARCH("remboursement",IFERROR(INDEX('Paramètres'!$N:$N,MATCH($D1964,'Paramètres'!$M:$M,0))&amp;"",""))))),1,0))</f>
        <v/>
      </c>
      <c r="Q1964" s="6" t="str">
        <f>IF($K1964="","",IF(ISNUMBER(SEARCH("transfert-interne",IFERROR(INDEX('Paramètres'!$N:$N,MATCH($D1964,'Paramètres'!$M:$M,0))&amp;"",""))),0,IF($L1964="Débit",$K1964,IF($P1964=1,-$K1964,0))))</f>
        <v/>
      </c>
      <c r="R1964" s="6" t="str">
        <f>IF($K1964="","",IF($L1964="Crédit",$K1964,-$K1964))</f>
        <v/>
      </c>
      <c r="S1964" s="6" t="str">
        <f>IF($C1964="","",IFERROR(INDEX('Paramètres'!$H:$H,MATCH($C1964,'Paramètres'!$D:$D,0))&amp;"",""))</f>
        <v/>
      </c>
      <c r="T1964" s="6" t="str">
        <f>IF($K1964="","",IF($S1964="",0,IF(ISNUMBER(SEARCH("apport-exterieur",IFERROR(INDEX('Paramètres'!$N:$N,MATCH($D1964,'Paramètres'!$M:$M,0))&amp;"",""))),0,IF(OR(IFERROR(INDEX('Paramètres'!$I:$I,MATCH($C1964,'Paramètres'!$D:$D,0))&amp;"","")="Les deux",IFERROR(INDEX('Paramètres'!$I:$I,MATCH($C1964,'Paramètres'!$D:$D,0))&amp;"","")=IF($P1964=1,"Débit",$L1964)),-IF($P1964=1,-$K1964,$K1964),0))))</f>
        <v/>
      </c>
      <c r="U1964" s="6" t="str">
        <f>IF($K1964="","",IF(ISNUMBER(SEARCH("sortie-epargne",IFERROR(INDEX('Paramètres'!$N:$N,MATCH($D1964,'Paramètres'!$M:$M,0))&amp;"",""))),$K1964,0))</f>
        <v/>
      </c>
      <c r="V1964" s="6" t="str">
        <f>IF(AND($A1964&lt;&gt;"",$O1964=1,$L1964="Débit",N($Q1964)&gt;0,$A1964&gt;=Visualisation!$B$1,$A1964&lt;Visualisation!$D$1),MAX($V$1:V1963)+1,"")</f>
        <v/>
      </c>
    </row>
    <row r="1965" spans="1:22" x14ac:dyDescent="0.25">
      <c r="A1965" s="9"/>
      <c r="E1965" s="10"/>
      <c r="K1965" s="11" t="str">
        <f>IF($E1965="","",ROUND($E1965*IF(ISNA(MATCH($C1965,'Paramètres'!$D:$D,0)),1,IF(INDEX('Paramètres'!$J:$J,MATCH($C1965,'Paramètres'!$D:$D,0))="",1,INDEX('Paramètres'!$J:$J,MATCH($C1965,'Paramètres'!$D:$D,0)))),2))</f>
        <v/>
      </c>
      <c r="L1965" s="6" t="str">
        <f>IF($D1965="","",IF($F1965&lt;&gt;"",$F1965,IF(ISNA(MATCH($D1965,'Paramètres'!$M:$M,0)),"⚠ Type inconnu",IFERROR(INDEX('Paramètres'!$P:$P,MATCH($D1965,'Paramètres'!$M:$M,0))&amp;"",""))))</f>
        <v/>
      </c>
      <c r="M1965" s="6" t="str">
        <f>IF($D1965="","",IF(ISNA(MATCH($D1965,'Paramètres'!$M:$M,0)),"⚠ Type inconnu",IF($L1965="Crédit","",IFERROR(INDEX('Paramètres'!$O:$O,MATCH($D1965,'Paramètres'!$M:$M,0))&amp;"",""))))</f>
        <v/>
      </c>
      <c r="N1965" s="6" t="str">
        <f>IF($D1965="","",IFERROR(INDEX('Paramètres'!$Q:$Q,MATCH($D1965,'Paramètres'!$M:$M,0))&amp;"",""))</f>
        <v/>
      </c>
      <c r="O1965" s="6" t="str">
        <f>IF($A1965="","",IF(OR($J1965&lt;&gt;"x",$A1965&lt;=FinReleve),1,0))</f>
        <v/>
      </c>
      <c r="P1965" s="6" t="str">
        <f>IF($D1965="","",IF(AND($L1965="Crédit",OR(IFERROR(INDEX('Paramètres'!$O:$O,MATCH($D1965,'Paramètres'!$M:$M,0))&amp;"","")&lt;&gt;"",ISNUMBER(SEARCH("remboursement",IFERROR(INDEX('Paramètres'!$N:$N,MATCH($D1965,'Paramètres'!$M:$M,0))&amp;"",""))))),1,0))</f>
        <v/>
      </c>
      <c r="Q1965" s="6" t="str">
        <f>IF($K1965="","",IF(ISNUMBER(SEARCH("transfert-interne",IFERROR(INDEX('Paramètres'!$N:$N,MATCH($D1965,'Paramètres'!$M:$M,0))&amp;"",""))),0,IF($L1965="Débit",$K1965,IF($P1965=1,-$K1965,0))))</f>
        <v/>
      </c>
      <c r="R1965" s="6" t="str">
        <f>IF($K1965="","",IF($L1965="Crédit",$K1965,-$K1965))</f>
        <v/>
      </c>
      <c r="S1965" s="6" t="str">
        <f>IF($C1965="","",IFERROR(INDEX('Paramètres'!$H:$H,MATCH($C1965,'Paramètres'!$D:$D,0))&amp;"",""))</f>
        <v/>
      </c>
      <c r="T1965" s="6" t="str">
        <f>IF($K1965="","",IF($S1965="",0,IF(ISNUMBER(SEARCH("apport-exterieur",IFERROR(INDEX('Paramètres'!$N:$N,MATCH($D1965,'Paramètres'!$M:$M,0))&amp;"",""))),0,IF(OR(IFERROR(INDEX('Paramètres'!$I:$I,MATCH($C1965,'Paramètres'!$D:$D,0))&amp;"","")="Les deux",IFERROR(INDEX('Paramètres'!$I:$I,MATCH($C1965,'Paramètres'!$D:$D,0))&amp;"","")=IF($P1965=1,"Débit",$L1965)),-IF($P1965=1,-$K1965,$K1965),0))))</f>
        <v/>
      </c>
      <c r="U1965" s="6" t="str">
        <f>IF($K1965="","",IF(ISNUMBER(SEARCH("sortie-epargne",IFERROR(INDEX('Paramètres'!$N:$N,MATCH($D1965,'Paramètres'!$M:$M,0))&amp;"",""))),$K1965,0))</f>
        <v/>
      </c>
      <c r="V1965" s="6" t="str">
        <f>IF(AND($A1965&lt;&gt;"",$O1965=1,$L1965="Débit",N($Q1965)&gt;0,$A1965&gt;=Visualisation!$B$1,$A1965&lt;Visualisation!$D$1),MAX($V$1:V1964)+1,"")</f>
        <v/>
      </c>
    </row>
    <row r="1966" spans="1:22" x14ac:dyDescent="0.25">
      <c r="A1966" s="9"/>
      <c r="E1966" s="10"/>
      <c r="K1966" s="11" t="str">
        <f>IF($E1966="","",ROUND($E1966*IF(ISNA(MATCH($C1966,'Paramètres'!$D:$D,0)),1,IF(INDEX('Paramètres'!$J:$J,MATCH($C1966,'Paramètres'!$D:$D,0))="",1,INDEX('Paramètres'!$J:$J,MATCH($C1966,'Paramètres'!$D:$D,0)))),2))</f>
        <v/>
      </c>
      <c r="L1966" s="6" t="str">
        <f>IF($D1966="","",IF($F1966&lt;&gt;"",$F1966,IF(ISNA(MATCH($D1966,'Paramètres'!$M:$M,0)),"⚠ Type inconnu",IFERROR(INDEX('Paramètres'!$P:$P,MATCH($D1966,'Paramètres'!$M:$M,0))&amp;"",""))))</f>
        <v/>
      </c>
      <c r="M1966" s="6" t="str">
        <f>IF($D1966="","",IF(ISNA(MATCH($D1966,'Paramètres'!$M:$M,0)),"⚠ Type inconnu",IF($L1966="Crédit","",IFERROR(INDEX('Paramètres'!$O:$O,MATCH($D1966,'Paramètres'!$M:$M,0))&amp;"",""))))</f>
        <v/>
      </c>
      <c r="N1966" s="6" t="str">
        <f>IF($D1966="","",IFERROR(INDEX('Paramètres'!$Q:$Q,MATCH($D1966,'Paramètres'!$M:$M,0))&amp;"",""))</f>
        <v/>
      </c>
      <c r="O1966" s="6" t="str">
        <f>IF($A1966="","",IF(OR($J1966&lt;&gt;"x",$A1966&lt;=FinReleve),1,0))</f>
        <v/>
      </c>
      <c r="P1966" s="6" t="str">
        <f>IF($D1966="","",IF(AND($L1966="Crédit",OR(IFERROR(INDEX('Paramètres'!$O:$O,MATCH($D1966,'Paramètres'!$M:$M,0))&amp;"","")&lt;&gt;"",ISNUMBER(SEARCH("remboursement",IFERROR(INDEX('Paramètres'!$N:$N,MATCH($D1966,'Paramètres'!$M:$M,0))&amp;"",""))))),1,0))</f>
        <v/>
      </c>
      <c r="Q1966" s="6" t="str">
        <f>IF($K1966="","",IF(ISNUMBER(SEARCH("transfert-interne",IFERROR(INDEX('Paramètres'!$N:$N,MATCH($D1966,'Paramètres'!$M:$M,0))&amp;"",""))),0,IF($L1966="Débit",$K1966,IF($P1966=1,-$K1966,0))))</f>
        <v/>
      </c>
      <c r="R1966" s="6" t="str">
        <f>IF($K1966="","",IF($L1966="Crédit",$K1966,-$K1966))</f>
        <v/>
      </c>
      <c r="S1966" s="6" t="str">
        <f>IF($C1966="","",IFERROR(INDEX('Paramètres'!$H:$H,MATCH($C1966,'Paramètres'!$D:$D,0))&amp;"",""))</f>
        <v/>
      </c>
      <c r="T1966" s="6" t="str">
        <f>IF($K1966="","",IF($S1966="",0,IF(ISNUMBER(SEARCH("apport-exterieur",IFERROR(INDEX('Paramètres'!$N:$N,MATCH($D1966,'Paramètres'!$M:$M,0))&amp;"",""))),0,IF(OR(IFERROR(INDEX('Paramètres'!$I:$I,MATCH($C1966,'Paramètres'!$D:$D,0))&amp;"","")="Les deux",IFERROR(INDEX('Paramètres'!$I:$I,MATCH($C1966,'Paramètres'!$D:$D,0))&amp;"","")=IF($P1966=1,"Débit",$L1966)),-IF($P1966=1,-$K1966,$K1966),0))))</f>
        <v/>
      </c>
      <c r="U1966" s="6" t="str">
        <f>IF($K1966="","",IF(ISNUMBER(SEARCH("sortie-epargne",IFERROR(INDEX('Paramètres'!$N:$N,MATCH($D1966,'Paramètres'!$M:$M,0))&amp;"",""))),$K1966,0))</f>
        <v/>
      </c>
      <c r="V1966" s="6" t="str">
        <f>IF(AND($A1966&lt;&gt;"",$O1966=1,$L1966="Débit",N($Q1966)&gt;0,$A1966&gt;=Visualisation!$B$1,$A1966&lt;Visualisation!$D$1),MAX($V$1:V1965)+1,"")</f>
        <v/>
      </c>
    </row>
    <row r="1967" spans="1:22" x14ac:dyDescent="0.25">
      <c r="A1967" s="9"/>
      <c r="E1967" s="10"/>
      <c r="K1967" s="11" t="str">
        <f>IF($E1967="","",ROUND($E1967*IF(ISNA(MATCH($C1967,'Paramètres'!$D:$D,0)),1,IF(INDEX('Paramètres'!$J:$J,MATCH($C1967,'Paramètres'!$D:$D,0))="",1,INDEX('Paramètres'!$J:$J,MATCH($C1967,'Paramètres'!$D:$D,0)))),2))</f>
        <v/>
      </c>
      <c r="L1967" s="6" t="str">
        <f>IF($D1967="","",IF($F1967&lt;&gt;"",$F1967,IF(ISNA(MATCH($D1967,'Paramètres'!$M:$M,0)),"⚠ Type inconnu",IFERROR(INDEX('Paramètres'!$P:$P,MATCH($D1967,'Paramètres'!$M:$M,0))&amp;"",""))))</f>
        <v/>
      </c>
      <c r="M1967" s="6" t="str">
        <f>IF($D1967="","",IF(ISNA(MATCH($D1967,'Paramètres'!$M:$M,0)),"⚠ Type inconnu",IF($L1967="Crédit","",IFERROR(INDEX('Paramètres'!$O:$O,MATCH($D1967,'Paramètres'!$M:$M,0))&amp;"",""))))</f>
        <v/>
      </c>
      <c r="N1967" s="6" t="str">
        <f>IF($D1967="","",IFERROR(INDEX('Paramètres'!$Q:$Q,MATCH($D1967,'Paramètres'!$M:$M,0))&amp;"",""))</f>
        <v/>
      </c>
      <c r="O1967" s="6" t="str">
        <f>IF($A1967="","",IF(OR($J1967&lt;&gt;"x",$A1967&lt;=FinReleve),1,0))</f>
        <v/>
      </c>
      <c r="P1967" s="6" t="str">
        <f>IF($D1967="","",IF(AND($L1967="Crédit",OR(IFERROR(INDEX('Paramètres'!$O:$O,MATCH($D1967,'Paramètres'!$M:$M,0))&amp;"","")&lt;&gt;"",ISNUMBER(SEARCH("remboursement",IFERROR(INDEX('Paramètres'!$N:$N,MATCH($D1967,'Paramètres'!$M:$M,0))&amp;"",""))))),1,0))</f>
        <v/>
      </c>
      <c r="Q1967" s="6" t="str">
        <f>IF($K1967="","",IF(ISNUMBER(SEARCH("transfert-interne",IFERROR(INDEX('Paramètres'!$N:$N,MATCH($D1967,'Paramètres'!$M:$M,0))&amp;"",""))),0,IF($L1967="Débit",$K1967,IF($P1967=1,-$K1967,0))))</f>
        <v/>
      </c>
      <c r="R1967" s="6" t="str">
        <f>IF($K1967="","",IF($L1967="Crédit",$K1967,-$K1967))</f>
        <v/>
      </c>
      <c r="S1967" s="6" t="str">
        <f>IF($C1967="","",IFERROR(INDEX('Paramètres'!$H:$H,MATCH($C1967,'Paramètres'!$D:$D,0))&amp;"",""))</f>
        <v/>
      </c>
      <c r="T1967" s="6" t="str">
        <f>IF($K1967="","",IF($S1967="",0,IF(ISNUMBER(SEARCH("apport-exterieur",IFERROR(INDEX('Paramètres'!$N:$N,MATCH($D1967,'Paramètres'!$M:$M,0))&amp;"",""))),0,IF(OR(IFERROR(INDEX('Paramètres'!$I:$I,MATCH($C1967,'Paramètres'!$D:$D,0))&amp;"","")="Les deux",IFERROR(INDEX('Paramètres'!$I:$I,MATCH($C1967,'Paramètres'!$D:$D,0))&amp;"","")=IF($P1967=1,"Débit",$L1967)),-IF($P1967=1,-$K1967,$K1967),0))))</f>
        <v/>
      </c>
      <c r="U1967" s="6" t="str">
        <f>IF($K1967="","",IF(ISNUMBER(SEARCH("sortie-epargne",IFERROR(INDEX('Paramètres'!$N:$N,MATCH($D1967,'Paramètres'!$M:$M,0))&amp;"",""))),$K1967,0))</f>
        <v/>
      </c>
      <c r="V1967" s="6" t="str">
        <f>IF(AND($A1967&lt;&gt;"",$O1967=1,$L1967="Débit",N($Q1967)&gt;0,$A1967&gt;=Visualisation!$B$1,$A1967&lt;Visualisation!$D$1),MAX($V$1:V1966)+1,"")</f>
        <v/>
      </c>
    </row>
    <row r="1968" spans="1:22" x14ac:dyDescent="0.25">
      <c r="A1968" s="9"/>
      <c r="E1968" s="10"/>
      <c r="K1968" s="11" t="str">
        <f>IF($E1968="","",ROUND($E1968*IF(ISNA(MATCH($C1968,'Paramètres'!$D:$D,0)),1,IF(INDEX('Paramètres'!$J:$J,MATCH($C1968,'Paramètres'!$D:$D,0))="",1,INDEX('Paramètres'!$J:$J,MATCH($C1968,'Paramètres'!$D:$D,0)))),2))</f>
        <v/>
      </c>
      <c r="L1968" s="6" t="str">
        <f>IF($D1968="","",IF($F1968&lt;&gt;"",$F1968,IF(ISNA(MATCH($D1968,'Paramètres'!$M:$M,0)),"⚠ Type inconnu",IFERROR(INDEX('Paramètres'!$P:$P,MATCH($D1968,'Paramètres'!$M:$M,0))&amp;"",""))))</f>
        <v/>
      </c>
      <c r="M1968" s="6" t="str">
        <f>IF($D1968="","",IF(ISNA(MATCH($D1968,'Paramètres'!$M:$M,0)),"⚠ Type inconnu",IF($L1968="Crédit","",IFERROR(INDEX('Paramètres'!$O:$O,MATCH($D1968,'Paramètres'!$M:$M,0))&amp;"",""))))</f>
        <v/>
      </c>
      <c r="N1968" s="6" t="str">
        <f>IF($D1968="","",IFERROR(INDEX('Paramètres'!$Q:$Q,MATCH($D1968,'Paramètres'!$M:$M,0))&amp;"",""))</f>
        <v/>
      </c>
      <c r="O1968" s="6" t="str">
        <f>IF($A1968="","",IF(OR($J1968&lt;&gt;"x",$A1968&lt;=FinReleve),1,0))</f>
        <v/>
      </c>
      <c r="P1968" s="6" t="str">
        <f>IF($D1968="","",IF(AND($L1968="Crédit",OR(IFERROR(INDEX('Paramètres'!$O:$O,MATCH($D1968,'Paramètres'!$M:$M,0))&amp;"","")&lt;&gt;"",ISNUMBER(SEARCH("remboursement",IFERROR(INDEX('Paramètres'!$N:$N,MATCH($D1968,'Paramètres'!$M:$M,0))&amp;"",""))))),1,0))</f>
        <v/>
      </c>
      <c r="Q1968" s="6" t="str">
        <f>IF($K1968="","",IF(ISNUMBER(SEARCH("transfert-interne",IFERROR(INDEX('Paramètres'!$N:$N,MATCH($D1968,'Paramètres'!$M:$M,0))&amp;"",""))),0,IF($L1968="Débit",$K1968,IF($P1968=1,-$K1968,0))))</f>
        <v/>
      </c>
      <c r="R1968" s="6" t="str">
        <f>IF($K1968="","",IF($L1968="Crédit",$K1968,-$K1968))</f>
        <v/>
      </c>
      <c r="S1968" s="6" t="str">
        <f>IF($C1968="","",IFERROR(INDEX('Paramètres'!$H:$H,MATCH($C1968,'Paramètres'!$D:$D,0))&amp;"",""))</f>
        <v/>
      </c>
      <c r="T1968" s="6" t="str">
        <f>IF($K1968="","",IF($S1968="",0,IF(ISNUMBER(SEARCH("apport-exterieur",IFERROR(INDEX('Paramètres'!$N:$N,MATCH($D1968,'Paramètres'!$M:$M,0))&amp;"",""))),0,IF(OR(IFERROR(INDEX('Paramètres'!$I:$I,MATCH($C1968,'Paramètres'!$D:$D,0))&amp;"","")="Les deux",IFERROR(INDEX('Paramètres'!$I:$I,MATCH($C1968,'Paramètres'!$D:$D,0))&amp;"","")=IF($P1968=1,"Débit",$L1968)),-IF($P1968=1,-$K1968,$K1968),0))))</f>
        <v/>
      </c>
      <c r="U1968" s="6" t="str">
        <f>IF($K1968="","",IF(ISNUMBER(SEARCH("sortie-epargne",IFERROR(INDEX('Paramètres'!$N:$N,MATCH($D1968,'Paramètres'!$M:$M,0))&amp;"",""))),$K1968,0))</f>
        <v/>
      </c>
      <c r="V1968" s="6" t="str">
        <f>IF(AND($A1968&lt;&gt;"",$O1968=1,$L1968="Débit",N($Q1968)&gt;0,$A1968&gt;=Visualisation!$B$1,$A1968&lt;Visualisation!$D$1),MAX($V$1:V1967)+1,"")</f>
        <v/>
      </c>
    </row>
    <row r="1969" spans="1:22" x14ac:dyDescent="0.25">
      <c r="A1969" s="9"/>
      <c r="E1969" s="10"/>
      <c r="K1969" s="11" t="str">
        <f>IF($E1969="","",ROUND($E1969*IF(ISNA(MATCH($C1969,'Paramètres'!$D:$D,0)),1,IF(INDEX('Paramètres'!$J:$J,MATCH($C1969,'Paramètres'!$D:$D,0))="",1,INDEX('Paramètres'!$J:$J,MATCH($C1969,'Paramètres'!$D:$D,0)))),2))</f>
        <v/>
      </c>
      <c r="L1969" s="6" t="str">
        <f>IF($D1969="","",IF($F1969&lt;&gt;"",$F1969,IF(ISNA(MATCH($D1969,'Paramètres'!$M:$M,0)),"⚠ Type inconnu",IFERROR(INDEX('Paramètres'!$P:$P,MATCH($D1969,'Paramètres'!$M:$M,0))&amp;"",""))))</f>
        <v/>
      </c>
      <c r="M1969" s="6" t="str">
        <f>IF($D1969="","",IF(ISNA(MATCH($D1969,'Paramètres'!$M:$M,0)),"⚠ Type inconnu",IF($L1969="Crédit","",IFERROR(INDEX('Paramètres'!$O:$O,MATCH($D1969,'Paramètres'!$M:$M,0))&amp;"",""))))</f>
        <v/>
      </c>
      <c r="N1969" s="6" t="str">
        <f>IF($D1969="","",IFERROR(INDEX('Paramètres'!$Q:$Q,MATCH($D1969,'Paramètres'!$M:$M,0))&amp;"",""))</f>
        <v/>
      </c>
      <c r="O1969" s="6" t="str">
        <f>IF($A1969="","",IF(OR($J1969&lt;&gt;"x",$A1969&lt;=FinReleve),1,0))</f>
        <v/>
      </c>
      <c r="P1969" s="6" t="str">
        <f>IF($D1969="","",IF(AND($L1969="Crédit",OR(IFERROR(INDEX('Paramètres'!$O:$O,MATCH($D1969,'Paramètres'!$M:$M,0))&amp;"","")&lt;&gt;"",ISNUMBER(SEARCH("remboursement",IFERROR(INDEX('Paramètres'!$N:$N,MATCH($D1969,'Paramètres'!$M:$M,0))&amp;"",""))))),1,0))</f>
        <v/>
      </c>
      <c r="Q1969" s="6" t="str">
        <f>IF($K1969="","",IF(ISNUMBER(SEARCH("transfert-interne",IFERROR(INDEX('Paramètres'!$N:$N,MATCH($D1969,'Paramètres'!$M:$M,0))&amp;"",""))),0,IF($L1969="Débit",$K1969,IF($P1969=1,-$K1969,0))))</f>
        <v/>
      </c>
      <c r="R1969" s="6" t="str">
        <f>IF($K1969="","",IF($L1969="Crédit",$K1969,-$K1969))</f>
        <v/>
      </c>
      <c r="S1969" s="6" t="str">
        <f>IF($C1969="","",IFERROR(INDEX('Paramètres'!$H:$H,MATCH($C1969,'Paramètres'!$D:$D,0))&amp;"",""))</f>
        <v/>
      </c>
      <c r="T1969" s="6" t="str">
        <f>IF($K1969="","",IF($S1969="",0,IF(ISNUMBER(SEARCH("apport-exterieur",IFERROR(INDEX('Paramètres'!$N:$N,MATCH($D1969,'Paramètres'!$M:$M,0))&amp;"",""))),0,IF(OR(IFERROR(INDEX('Paramètres'!$I:$I,MATCH($C1969,'Paramètres'!$D:$D,0))&amp;"","")="Les deux",IFERROR(INDEX('Paramètres'!$I:$I,MATCH($C1969,'Paramètres'!$D:$D,0))&amp;"","")=IF($P1969=1,"Débit",$L1969)),-IF($P1969=1,-$K1969,$K1969),0))))</f>
        <v/>
      </c>
      <c r="U1969" s="6" t="str">
        <f>IF($K1969="","",IF(ISNUMBER(SEARCH("sortie-epargne",IFERROR(INDEX('Paramètres'!$N:$N,MATCH($D1969,'Paramètres'!$M:$M,0))&amp;"",""))),$K1969,0))</f>
        <v/>
      </c>
      <c r="V1969" s="6" t="str">
        <f>IF(AND($A1969&lt;&gt;"",$O1969=1,$L1969="Débit",N($Q1969)&gt;0,$A1969&gt;=Visualisation!$B$1,$A1969&lt;Visualisation!$D$1),MAX($V$1:V1968)+1,"")</f>
        <v/>
      </c>
    </row>
    <row r="1970" spans="1:22" x14ac:dyDescent="0.25">
      <c r="A1970" s="9"/>
      <c r="E1970" s="10"/>
      <c r="K1970" s="11" t="str">
        <f>IF($E1970="","",ROUND($E1970*IF(ISNA(MATCH($C1970,'Paramètres'!$D:$D,0)),1,IF(INDEX('Paramètres'!$J:$J,MATCH($C1970,'Paramètres'!$D:$D,0))="",1,INDEX('Paramètres'!$J:$J,MATCH($C1970,'Paramètres'!$D:$D,0)))),2))</f>
        <v/>
      </c>
      <c r="L1970" s="6" t="str">
        <f>IF($D1970="","",IF($F1970&lt;&gt;"",$F1970,IF(ISNA(MATCH($D1970,'Paramètres'!$M:$M,0)),"⚠ Type inconnu",IFERROR(INDEX('Paramètres'!$P:$P,MATCH($D1970,'Paramètres'!$M:$M,0))&amp;"",""))))</f>
        <v/>
      </c>
      <c r="M1970" s="6" t="str">
        <f>IF($D1970="","",IF(ISNA(MATCH($D1970,'Paramètres'!$M:$M,0)),"⚠ Type inconnu",IF($L1970="Crédit","",IFERROR(INDEX('Paramètres'!$O:$O,MATCH($D1970,'Paramètres'!$M:$M,0))&amp;"",""))))</f>
        <v/>
      </c>
      <c r="N1970" s="6" t="str">
        <f>IF($D1970="","",IFERROR(INDEX('Paramètres'!$Q:$Q,MATCH($D1970,'Paramètres'!$M:$M,0))&amp;"",""))</f>
        <v/>
      </c>
      <c r="O1970" s="6" t="str">
        <f>IF($A1970="","",IF(OR($J1970&lt;&gt;"x",$A1970&lt;=FinReleve),1,0))</f>
        <v/>
      </c>
      <c r="P1970" s="6" t="str">
        <f>IF($D1970="","",IF(AND($L1970="Crédit",OR(IFERROR(INDEX('Paramètres'!$O:$O,MATCH($D1970,'Paramètres'!$M:$M,0))&amp;"","")&lt;&gt;"",ISNUMBER(SEARCH("remboursement",IFERROR(INDEX('Paramètres'!$N:$N,MATCH($D1970,'Paramètres'!$M:$M,0))&amp;"",""))))),1,0))</f>
        <v/>
      </c>
      <c r="Q1970" s="6" t="str">
        <f>IF($K1970="","",IF(ISNUMBER(SEARCH("transfert-interne",IFERROR(INDEX('Paramètres'!$N:$N,MATCH($D1970,'Paramètres'!$M:$M,0))&amp;"",""))),0,IF($L1970="Débit",$K1970,IF($P1970=1,-$K1970,0))))</f>
        <v/>
      </c>
      <c r="R1970" s="6" t="str">
        <f>IF($K1970="","",IF($L1970="Crédit",$K1970,-$K1970))</f>
        <v/>
      </c>
      <c r="S1970" s="6" t="str">
        <f>IF($C1970="","",IFERROR(INDEX('Paramètres'!$H:$H,MATCH($C1970,'Paramètres'!$D:$D,0))&amp;"",""))</f>
        <v/>
      </c>
      <c r="T1970" s="6" t="str">
        <f>IF($K1970="","",IF($S1970="",0,IF(ISNUMBER(SEARCH("apport-exterieur",IFERROR(INDEX('Paramètres'!$N:$N,MATCH($D1970,'Paramètres'!$M:$M,0))&amp;"",""))),0,IF(OR(IFERROR(INDEX('Paramètres'!$I:$I,MATCH($C1970,'Paramètres'!$D:$D,0))&amp;"","")="Les deux",IFERROR(INDEX('Paramètres'!$I:$I,MATCH($C1970,'Paramètres'!$D:$D,0))&amp;"","")=IF($P1970=1,"Débit",$L1970)),-IF($P1970=1,-$K1970,$K1970),0))))</f>
        <v/>
      </c>
      <c r="U1970" s="6" t="str">
        <f>IF($K1970="","",IF(ISNUMBER(SEARCH("sortie-epargne",IFERROR(INDEX('Paramètres'!$N:$N,MATCH($D1970,'Paramètres'!$M:$M,0))&amp;"",""))),$K1970,0))</f>
        <v/>
      </c>
      <c r="V1970" s="6" t="str">
        <f>IF(AND($A1970&lt;&gt;"",$O1970=1,$L1970="Débit",N($Q1970)&gt;0,$A1970&gt;=Visualisation!$B$1,$A1970&lt;Visualisation!$D$1),MAX($V$1:V1969)+1,"")</f>
        <v/>
      </c>
    </row>
    <row r="1971" spans="1:22" x14ac:dyDescent="0.25">
      <c r="A1971" s="9"/>
      <c r="E1971" s="10"/>
      <c r="K1971" s="11" t="str">
        <f>IF($E1971="","",ROUND($E1971*IF(ISNA(MATCH($C1971,'Paramètres'!$D:$D,0)),1,IF(INDEX('Paramètres'!$J:$J,MATCH($C1971,'Paramètres'!$D:$D,0))="",1,INDEX('Paramètres'!$J:$J,MATCH($C1971,'Paramètres'!$D:$D,0)))),2))</f>
        <v/>
      </c>
      <c r="L1971" s="6" t="str">
        <f>IF($D1971="","",IF($F1971&lt;&gt;"",$F1971,IF(ISNA(MATCH($D1971,'Paramètres'!$M:$M,0)),"⚠ Type inconnu",IFERROR(INDEX('Paramètres'!$P:$P,MATCH($D1971,'Paramètres'!$M:$M,0))&amp;"",""))))</f>
        <v/>
      </c>
      <c r="M1971" s="6" t="str">
        <f>IF($D1971="","",IF(ISNA(MATCH($D1971,'Paramètres'!$M:$M,0)),"⚠ Type inconnu",IF($L1971="Crédit","",IFERROR(INDEX('Paramètres'!$O:$O,MATCH($D1971,'Paramètres'!$M:$M,0))&amp;"",""))))</f>
        <v/>
      </c>
      <c r="N1971" s="6" t="str">
        <f>IF($D1971="","",IFERROR(INDEX('Paramètres'!$Q:$Q,MATCH($D1971,'Paramètres'!$M:$M,0))&amp;"",""))</f>
        <v/>
      </c>
      <c r="O1971" s="6" t="str">
        <f>IF($A1971="","",IF(OR($J1971&lt;&gt;"x",$A1971&lt;=FinReleve),1,0))</f>
        <v/>
      </c>
      <c r="P1971" s="6" t="str">
        <f>IF($D1971="","",IF(AND($L1971="Crédit",OR(IFERROR(INDEX('Paramètres'!$O:$O,MATCH($D1971,'Paramètres'!$M:$M,0))&amp;"","")&lt;&gt;"",ISNUMBER(SEARCH("remboursement",IFERROR(INDEX('Paramètres'!$N:$N,MATCH($D1971,'Paramètres'!$M:$M,0))&amp;"",""))))),1,0))</f>
        <v/>
      </c>
      <c r="Q1971" s="6" t="str">
        <f>IF($K1971="","",IF(ISNUMBER(SEARCH("transfert-interne",IFERROR(INDEX('Paramètres'!$N:$N,MATCH($D1971,'Paramètres'!$M:$M,0))&amp;"",""))),0,IF($L1971="Débit",$K1971,IF($P1971=1,-$K1971,0))))</f>
        <v/>
      </c>
      <c r="R1971" s="6" t="str">
        <f>IF($K1971="","",IF($L1971="Crédit",$K1971,-$K1971))</f>
        <v/>
      </c>
      <c r="S1971" s="6" t="str">
        <f>IF($C1971="","",IFERROR(INDEX('Paramètres'!$H:$H,MATCH($C1971,'Paramètres'!$D:$D,0))&amp;"",""))</f>
        <v/>
      </c>
      <c r="T1971" s="6" t="str">
        <f>IF($K1971="","",IF($S1971="",0,IF(ISNUMBER(SEARCH("apport-exterieur",IFERROR(INDEX('Paramètres'!$N:$N,MATCH($D1971,'Paramètres'!$M:$M,0))&amp;"",""))),0,IF(OR(IFERROR(INDEX('Paramètres'!$I:$I,MATCH($C1971,'Paramètres'!$D:$D,0))&amp;"","")="Les deux",IFERROR(INDEX('Paramètres'!$I:$I,MATCH($C1971,'Paramètres'!$D:$D,0))&amp;"","")=IF($P1971=1,"Débit",$L1971)),-IF($P1971=1,-$K1971,$K1971),0))))</f>
        <v/>
      </c>
      <c r="U1971" s="6" t="str">
        <f>IF($K1971="","",IF(ISNUMBER(SEARCH("sortie-epargne",IFERROR(INDEX('Paramètres'!$N:$N,MATCH($D1971,'Paramètres'!$M:$M,0))&amp;"",""))),$K1971,0))</f>
        <v/>
      </c>
      <c r="V1971" s="6" t="str">
        <f>IF(AND($A1971&lt;&gt;"",$O1971=1,$L1971="Débit",N($Q1971)&gt;0,$A1971&gt;=Visualisation!$B$1,$A1971&lt;Visualisation!$D$1),MAX($V$1:V1970)+1,"")</f>
        <v/>
      </c>
    </row>
    <row r="1972" spans="1:22" x14ac:dyDescent="0.25">
      <c r="A1972" s="9"/>
      <c r="E1972" s="10"/>
      <c r="K1972" s="11" t="str">
        <f>IF($E1972="","",ROUND($E1972*IF(ISNA(MATCH($C1972,'Paramètres'!$D:$D,0)),1,IF(INDEX('Paramètres'!$J:$J,MATCH($C1972,'Paramètres'!$D:$D,0))="",1,INDEX('Paramètres'!$J:$J,MATCH($C1972,'Paramètres'!$D:$D,0)))),2))</f>
        <v/>
      </c>
      <c r="L1972" s="6" t="str">
        <f>IF($D1972="","",IF($F1972&lt;&gt;"",$F1972,IF(ISNA(MATCH($D1972,'Paramètres'!$M:$M,0)),"⚠ Type inconnu",IFERROR(INDEX('Paramètres'!$P:$P,MATCH($D1972,'Paramètres'!$M:$M,0))&amp;"",""))))</f>
        <v/>
      </c>
      <c r="M1972" s="6" t="str">
        <f>IF($D1972="","",IF(ISNA(MATCH($D1972,'Paramètres'!$M:$M,0)),"⚠ Type inconnu",IF($L1972="Crédit","",IFERROR(INDEX('Paramètres'!$O:$O,MATCH($D1972,'Paramètres'!$M:$M,0))&amp;"",""))))</f>
        <v/>
      </c>
      <c r="N1972" s="6" t="str">
        <f>IF($D1972="","",IFERROR(INDEX('Paramètres'!$Q:$Q,MATCH($D1972,'Paramètres'!$M:$M,0))&amp;"",""))</f>
        <v/>
      </c>
      <c r="O1972" s="6" t="str">
        <f>IF($A1972="","",IF(OR($J1972&lt;&gt;"x",$A1972&lt;=FinReleve),1,0))</f>
        <v/>
      </c>
      <c r="P1972" s="6" t="str">
        <f>IF($D1972="","",IF(AND($L1972="Crédit",OR(IFERROR(INDEX('Paramètres'!$O:$O,MATCH($D1972,'Paramètres'!$M:$M,0))&amp;"","")&lt;&gt;"",ISNUMBER(SEARCH("remboursement",IFERROR(INDEX('Paramètres'!$N:$N,MATCH($D1972,'Paramètres'!$M:$M,0))&amp;"",""))))),1,0))</f>
        <v/>
      </c>
      <c r="Q1972" s="6" t="str">
        <f>IF($K1972="","",IF(ISNUMBER(SEARCH("transfert-interne",IFERROR(INDEX('Paramètres'!$N:$N,MATCH($D1972,'Paramètres'!$M:$M,0))&amp;"",""))),0,IF($L1972="Débit",$K1972,IF($P1972=1,-$K1972,0))))</f>
        <v/>
      </c>
      <c r="R1972" s="6" t="str">
        <f>IF($K1972="","",IF($L1972="Crédit",$K1972,-$K1972))</f>
        <v/>
      </c>
      <c r="S1972" s="6" t="str">
        <f>IF($C1972="","",IFERROR(INDEX('Paramètres'!$H:$H,MATCH($C1972,'Paramètres'!$D:$D,0))&amp;"",""))</f>
        <v/>
      </c>
      <c r="T1972" s="6" t="str">
        <f>IF($K1972="","",IF($S1972="",0,IF(ISNUMBER(SEARCH("apport-exterieur",IFERROR(INDEX('Paramètres'!$N:$N,MATCH($D1972,'Paramètres'!$M:$M,0))&amp;"",""))),0,IF(OR(IFERROR(INDEX('Paramètres'!$I:$I,MATCH($C1972,'Paramètres'!$D:$D,0))&amp;"","")="Les deux",IFERROR(INDEX('Paramètres'!$I:$I,MATCH($C1972,'Paramètres'!$D:$D,0))&amp;"","")=IF($P1972=1,"Débit",$L1972)),-IF($P1972=1,-$K1972,$K1972),0))))</f>
        <v/>
      </c>
      <c r="U1972" s="6" t="str">
        <f>IF($K1972="","",IF(ISNUMBER(SEARCH("sortie-epargne",IFERROR(INDEX('Paramètres'!$N:$N,MATCH($D1972,'Paramètres'!$M:$M,0))&amp;"",""))),$K1972,0))</f>
        <v/>
      </c>
      <c r="V1972" s="6" t="str">
        <f>IF(AND($A1972&lt;&gt;"",$O1972=1,$L1972="Débit",N($Q1972)&gt;0,$A1972&gt;=Visualisation!$B$1,$A1972&lt;Visualisation!$D$1),MAX($V$1:V1971)+1,"")</f>
        <v/>
      </c>
    </row>
    <row r="1973" spans="1:22" x14ac:dyDescent="0.25">
      <c r="A1973" s="9"/>
      <c r="E1973" s="10"/>
      <c r="K1973" s="11" t="str">
        <f>IF($E1973="","",ROUND($E1973*IF(ISNA(MATCH($C1973,'Paramètres'!$D:$D,0)),1,IF(INDEX('Paramètres'!$J:$J,MATCH($C1973,'Paramètres'!$D:$D,0))="",1,INDEX('Paramètres'!$J:$J,MATCH($C1973,'Paramètres'!$D:$D,0)))),2))</f>
        <v/>
      </c>
      <c r="L1973" s="6" t="str">
        <f>IF($D1973="","",IF($F1973&lt;&gt;"",$F1973,IF(ISNA(MATCH($D1973,'Paramètres'!$M:$M,0)),"⚠ Type inconnu",IFERROR(INDEX('Paramètres'!$P:$P,MATCH($D1973,'Paramètres'!$M:$M,0))&amp;"",""))))</f>
        <v/>
      </c>
      <c r="M1973" s="6" t="str">
        <f>IF($D1973="","",IF(ISNA(MATCH($D1973,'Paramètres'!$M:$M,0)),"⚠ Type inconnu",IF($L1973="Crédit","",IFERROR(INDEX('Paramètres'!$O:$O,MATCH($D1973,'Paramètres'!$M:$M,0))&amp;"",""))))</f>
        <v/>
      </c>
      <c r="N1973" s="6" t="str">
        <f>IF($D1973="","",IFERROR(INDEX('Paramètres'!$Q:$Q,MATCH($D1973,'Paramètres'!$M:$M,0))&amp;"",""))</f>
        <v/>
      </c>
      <c r="O1973" s="6" t="str">
        <f>IF($A1973="","",IF(OR($J1973&lt;&gt;"x",$A1973&lt;=FinReleve),1,0))</f>
        <v/>
      </c>
      <c r="P1973" s="6" t="str">
        <f>IF($D1973="","",IF(AND($L1973="Crédit",OR(IFERROR(INDEX('Paramètres'!$O:$O,MATCH($D1973,'Paramètres'!$M:$M,0))&amp;"","")&lt;&gt;"",ISNUMBER(SEARCH("remboursement",IFERROR(INDEX('Paramètres'!$N:$N,MATCH($D1973,'Paramètres'!$M:$M,0))&amp;"",""))))),1,0))</f>
        <v/>
      </c>
      <c r="Q1973" s="6" t="str">
        <f>IF($K1973="","",IF(ISNUMBER(SEARCH("transfert-interne",IFERROR(INDEX('Paramètres'!$N:$N,MATCH($D1973,'Paramètres'!$M:$M,0))&amp;"",""))),0,IF($L1973="Débit",$K1973,IF($P1973=1,-$K1973,0))))</f>
        <v/>
      </c>
      <c r="R1973" s="6" t="str">
        <f>IF($K1973="","",IF($L1973="Crédit",$K1973,-$K1973))</f>
        <v/>
      </c>
      <c r="S1973" s="6" t="str">
        <f>IF($C1973="","",IFERROR(INDEX('Paramètres'!$H:$H,MATCH($C1973,'Paramètres'!$D:$D,0))&amp;"",""))</f>
        <v/>
      </c>
      <c r="T1973" s="6" t="str">
        <f>IF($K1973="","",IF($S1973="",0,IF(ISNUMBER(SEARCH("apport-exterieur",IFERROR(INDEX('Paramètres'!$N:$N,MATCH($D1973,'Paramètres'!$M:$M,0))&amp;"",""))),0,IF(OR(IFERROR(INDEX('Paramètres'!$I:$I,MATCH($C1973,'Paramètres'!$D:$D,0))&amp;"","")="Les deux",IFERROR(INDEX('Paramètres'!$I:$I,MATCH($C1973,'Paramètres'!$D:$D,0))&amp;"","")=IF($P1973=1,"Débit",$L1973)),-IF($P1973=1,-$K1973,$K1973),0))))</f>
        <v/>
      </c>
      <c r="U1973" s="6" t="str">
        <f>IF($K1973="","",IF(ISNUMBER(SEARCH("sortie-epargne",IFERROR(INDEX('Paramètres'!$N:$N,MATCH($D1973,'Paramètres'!$M:$M,0))&amp;"",""))),$K1973,0))</f>
        <v/>
      </c>
      <c r="V1973" s="6" t="str">
        <f>IF(AND($A1973&lt;&gt;"",$O1973=1,$L1973="Débit",N($Q1973)&gt;0,$A1973&gt;=Visualisation!$B$1,$A1973&lt;Visualisation!$D$1),MAX($V$1:V1972)+1,"")</f>
        <v/>
      </c>
    </row>
    <row r="1974" spans="1:22" x14ac:dyDescent="0.25">
      <c r="A1974" s="9"/>
      <c r="E1974" s="10"/>
      <c r="K1974" s="11" t="str">
        <f>IF($E1974="","",ROUND($E1974*IF(ISNA(MATCH($C1974,'Paramètres'!$D:$D,0)),1,IF(INDEX('Paramètres'!$J:$J,MATCH($C1974,'Paramètres'!$D:$D,0))="",1,INDEX('Paramètres'!$J:$J,MATCH($C1974,'Paramètres'!$D:$D,0)))),2))</f>
        <v/>
      </c>
      <c r="L1974" s="6" t="str">
        <f>IF($D1974="","",IF($F1974&lt;&gt;"",$F1974,IF(ISNA(MATCH($D1974,'Paramètres'!$M:$M,0)),"⚠ Type inconnu",IFERROR(INDEX('Paramètres'!$P:$P,MATCH($D1974,'Paramètres'!$M:$M,0))&amp;"",""))))</f>
        <v/>
      </c>
      <c r="M1974" s="6" t="str">
        <f>IF($D1974="","",IF(ISNA(MATCH($D1974,'Paramètres'!$M:$M,0)),"⚠ Type inconnu",IF($L1974="Crédit","",IFERROR(INDEX('Paramètres'!$O:$O,MATCH($D1974,'Paramètres'!$M:$M,0))&amp;"",""))))</f>
        <v/>
      </c>
      <c r="N1974" s="6" t="str">
        <f>IF($D1974="","",IFERROR(INDEX('Paramètres'!$Q:$Q,MATCH($D1974,'Paramètres'!$M:$M,0))&amp;"",""))</f>
        <v/>
      </c>
      <c r="O1974" s="6" t="str">
        <f>IF($A1974="","",IF(OR($J1974&lt;&gt;"x",$A1974&lt;=FinReleve),1,0))</f>
        <v/>
      </c>
      <c r="P1974" s="6" t="str">
        <f>IF($D1974="","",IF(AND($L1974="Crédit",OR(IFERROR(INDEX('Paramètres'!$O:$O,MATCH($D1974,'Paramètres'!$M:$M,0))&amp;"","")&lt;&gt;"",ISNUMBER(SEARCH("remboursement",IFERROR(INDEX('Paramètres'!$N:$N,MATCH($D1974,'Paramètres'!$M:$M,0))&amp;"",""))))),1,0))</f>
        <v/>
      </c>
      <c r="Q1974" s="6" t="str">
        <f>IF($K1974="","",IF(ISNUMBER(SEARCH("transfert-interne",IFERROR(INDEX('Paramètres'!$N:$N,MATCH($D1974,'Paramètres'!$M:$M,0))&amp;"",""))),0,IF($L1974="Débit",$K1974,IF($P1974=1,-$K1974,0))))</f>
        <v/>
      </c>
      <c r="R1974" s="6" t="str">
        <f>IF($K1974="","",IF($L1974="Crédit",$K1974,-$K1974))</f>
        <v/>
      </c>
      <c r="S1974" s="6" t="str">
        <f>IF($C1974="","",IFERROR(INDEX('Paramètres'!$H:$H,MATCH($C1974,'Paramètres'!$D:$D,0))&amp;"",""))</f>
        <v/>
      </c>
      <c r="T1974" s="6" t="str">
        <f>IF($K1974="","",IF($S1974="",0,IF(ISNUMBER(SEARCH("apport-exterieur",IFERROR(INDEX('Paramètres'!$N:$N,MATCH($D1974,'Paramètres'!$M:$M,0))&amp;"",""))),0,IF(OR(IFERROR(INDEX('Paramètres'!$I:$I,MATCH($C1974,'Paramètres'!$D:$D,0))&amp;"","")="Les deux",IFERROR(INDEX('Paramètres'!$I:$I,MATCH($C1974,'Paramètres'!$D:$D,0))&amp;"","")=IF($P1974=1,"Débit",$L1974)),-IF($P1974=1,-$K1974,$K1974),0))))</f>
        <v/>
      </c>
      <c r="U1974" s="6" t="str">
        <f>IF($K1974="","",IF(ISNUMBER(SEARCH("sortie-epargne",IFERROR(INDEX('Paramètres'!$N:$N,MATCH($D1974,'Paramètres'!$M:$M,0))&amp;"",""))),$K1974,0))</f>
        <v/>
      </c>
      <c r="V1974" s="6" t="str">
        <f>IF(AND($A1974&lt;&gt;"",$O1974=1,$L1974="Débit",N($Q1974)&gt;0,$A1974&gt;=Visualisation!$B$1,$A1974&lt;Visualisation!$D$1),MAX($V$1:V1973)+1,"")</f>
        <v/>
      </c>
    </row>
    <row r="1975" spans="1:22" x14ac:dyDescent="0.25">
      <c r="A1975" s="9"/>
      <c r="E1975" s="10"/>
      <c r="K1975" s="11" t="str">
        <f>IF($E1975="","",ROUND($E1975*IF(ISNA(MATCH($C1975,'Paramètres'!$D:$D,0)),1,IF(INDEX('Paramètres'!$J:$J,MATCH($C1975,'Paramètres'!$D:$D,0))="",1,INDEX('Paramètres'!$J:$J,MATCH($C1975,'Paramètres'!$D:$D,0)))),2))</f>
        <v/>
      </c>
      <c r="L1975" s="6" t="str">
        <f>IF($D1975="","",IF($F1975&lt;&gt;"",$F1975,IF(ISNA(MATCH($D1975,'Paramètres'!$M:$M,0)),"⚠ Type inconnu",IFERROR(INDEX('Paramètres'!$P:$P,MATCH($D1975,'Paramètres'!$M:$M,0))&amp;"",""))))</f>
        <v/>
      </c>
      <c r="M1975" s="6" t="str">
        <f>IF($D1975="","",IF(ISNA(MATCH($D1975,'Paramètres'!$M:$M,0)),"⚠ Type inconnu",IF($L1975="Crédit","",IFERROR(INDEX('Paramètres'!$O:$O,MATCH($D1975,'Paramètres'!$M:$M,0))&amp;"",""))))</f>
        <v/>
      </c>
      <c r="N1975" s="6" t="str">
        <f>IF($D1975="","",IFERROR(INDEX('Paramètres'!$Q:$Q,MATCH($D1975,'Paramètres'!$M:$M,0))&amp;"",""))</f>
        <v/>
      </c>
      <c r="O1975" s="6" t="str">
        <f>IF($A1975="","",IF(OR($J1975&lt;&gt;"x",$A1975&lt;=FinReleve),1,0))</f>
        <v/>
      </c>
      <c r="P1975" s="6" t="str">
        <f>IF($D1975="","",IF(AND($L1975="Crédit",OR(IFERROR(INDEX('Paramètres'!$O:$O,MATCH($D1975,'Paramètres'!$M:$M,0))&amp;"","")&lt;&gt;"",ISNUMBER(SEARCH("remboursement",IFERROR(INDEX('Paramètres'!$N:$N,MATCH($D1975,'Paramètres'!$M:$M,0))&amp;"",""))))),1,0))</f>
        <v/>
      </c>
      <c r="Q1975" s="6" t="str">
        <f>IF($K1975="","",IF(ISNUMBER(SEARCH("transfert-interne",IFERROR(INDEX('Paramètres'!$N:$N,MATCH($D1975,'Paramètres'!$M:$M,0))&amp;"",""))),0,IF($L1975="Débit",$K1975,IF($P1975=1,-$K1975,0))))</f>
        <v/>
      </c>
      <c r="R1975" s="6" t="str">
        <f>IF($K1975="","",IF($L1975="Crédit",$K1975,-$K1975))</f>
        <v/>
      </c>
      <c r="S1975" s="6" t="str">
        <f>IF($C1975="","",IFERROR(INDEX('Paramètres'!$H:$H,MATCH($C1975,'Paramètres'!$D:$D,0))&amp;"",""))</f>
        <v/>
      </c>
      <c r="T1975" s="6" t="str">
        <f>IF($K1975="","",IF($S1975="",0,IF(ISNUMBER(SEARCH("apport-exterieur",IFERROR(INDEX('Paramètres'!$N:$N,MATCH($D1975,'Paramètres'!$M:$M,0))&amp;"",""))),0,IF(OR(IFERROR(INDEX('Paramètres'!$I:$I,MATCH($C1975,'Paramètres'!$D:$D,0))&amp;"","")="Les deux",IFERROR(INDEX('Paramètres'!$I:$I,MATCH($C1975,'Paramètres'!$D:$D,0))&amp;"","")=IF($P1975=1,"Débit",$L1975)),-IF($P1975=1,-$K1975,$K1975),0))))</f>
        <v/>
      </c>
      <c r="U1975" s="6" t="str">
        <f>IF($K1975="","",IF(ISNUMBER(SEARCH("sortie-epargne",IFERROR(INDEX('Paramètres'!$N:$N,MATCH($D1975,'Paramètres'!$M:$M,0))&amp;"",""))),$K1975,0))</f>
        <v/>
      </c>
      <c r="V1975" s="6" t="str">
        <f>IF(AND($A1975&lt;&gt;"",$O1975=1,$L1975="Débit",N($Q1975)&gt;0,$A1975&gt;=Visualisation!$B$1,$A1975&lt;Visualisation!$D$1),MAX($V$1:V1974)+1,"")</f>
        <v/>
      </c>
    </row>
    <row r="1976" spans="1:22" x14ac:dyDescent="0.25">
      <c r="A1976" s="9"/>
      <c r="E1976" s="10"/>
      <c r="K1976" s="11" t="str">
        <f>IF($E1976="","",ROUND($E1976*IF(ISNA(MATCH($C1976,'Paramètres'!$D:$D,0)),1,IF(INDEX('Paramètres'!$J:$J,MATCH($C1976,'Paramètres'!$D:$D,0))="",1,INDEX('Paramètres'!$J:$J,MATCH($C1976,'Paramètres'!$D:$D,0)))),2))</f>
        <v/>
      </c>
      <c r="L1976" s="6" t="str">
        <f>IF($D1976="","",IF($F1976&lt;&gt;"",$F1976,IF(ISNA(MATCH($D1976,'Paramètres'!$M:$M,0)),"⚠ Type inconnu",IFERROR(INDEX('Paramètres'!$P:$P,MATCH($D1976,'Paramètres'!$M:$M,0))&amp;"",""))))</f>
        <v/>
      </c>
      <c r="M1976" s="6" t="str">
        <f>IF($D1976="","",IF(ISNA(MATCH($D1976,'Paramètres'!$M:$M,0)),"⚠ Type inconnu",IF($L1976="Crédit","",IFERROR(INDEX('Paramètres'!$O:$O,MATCH($D1976,'Paramètres'!$M:$M,0))&amp;"",""))))</f>
        <v/>
      </c>
      <c r="N1976" s="6" t="str">
        <f>IF($D1976="","",IFERROR(INDEX('Paramètres'!$Q:$Q,MATCH($D1976,'Paramètres'!$M:$M,0))&amp;"",""))</f>
        <v/>
      </c>
      <c r="O1976" s="6" t="str">
        <f>IF($A1976="","",IF(OR($J1976&lt;&gt;"x",$A1976&lt;=FinReleve),1,0))</f>
        <v/>
      </c>
      <c r="P1976" s="6" t="str">
        <f>IF($D1976="","",IF(AND($L1976="Crédit",OR(IFERROR(INDEX('Paramètres'!$O:$O,MATCH($D1976,'Paramètres'!$M:$M,0))&amp;"","")&lt;&gt;"",ISNUMBER(SEARCH("remboursement",IFERROR(INDEX('Paramètres'!$N:$N,MATCH($D1976,'Paramètres'!$M:$M,0))&amp;"",""))))),1,0))</f>
        <v/>
      </c>
      <c r="Q1976" s="6" t="str">
        <f>IF($K1976="","",IF(ISNUMBER(SEARCH("transfert-interne",IFERROR(INDEX('Paramètres'!$N:$N,MATCH($D1976,'Paramètres'!$M:$M,0))&amp;"",""))),0,IF($L1976="Débit",$K1976,IF($P1976=1,-$K1976,0))))</f>
        <v/>
      </c>
      <c r="R1976" s="6" t="str">
        <f>IF($K1976="","",IF($L1976="Crédit",$K1976,-$K1976))</f>
        <v/>
      </c>
      <c r="S1976" s="6" t="str">
        <f>IF($C1976="","",IFERROR(INDEX('Paramètres'!$H:$H,MATCH($C1976,'Paramètres'!$D:$D,0))&amp;"",""))</f>
        <v/>
      </c>
      <c r="T1976" s="6" t="str">
        <f>IF($K1976="","",IF($S1976="",0,IF(ISNUMBER(SEARCH("apport-exterieur",IFERROR(INDEX('Paramètres'!$N:$N,MATCH($D1976,'Paramètres'!$M:$M,0))&amp;"",""))),0,IF(OR(IFERROR(INDEX('Paramètres'!$I:$I,MATCH($C1976,'Paramètres'!$D:$D,0))&amp;"","")="Les deux",IFERROR(INDEX('Paramètres'!$I:$I,MATCH($C1976,'Paramètres'!$D:$D,0))&amp;"","")=IF($P1976=1,"Débit",$L1976)),-IF($P1976=1,-$K1976,$K1976),0))))</f>
        <v/>
      </c>
      <c r="U1976" s="6" t="str">
        <f>IF($K1976="","",IF(ISNUMBER(SEARCH("sortie-epargne",IFERROR(INDEX('Paramètres'!$N:$N,MATCH($D1976,'Paramètres'!$M:$M,0))&amp;"",""))),$K1976,0))</f>
        <v/>
      </c>
      <c r="V1976" s="6" t="str">
        <f>IF(AND($A1976&lt;&gt;"",$O1976=1,$L1976="Débit",N($Q1976)&gt;0,$A1976&gt;=Visualisation!$B$1,$A1976&lt;Visualisation!$D$1),MAX($V$1:V1975)+1,"")</f>
        <v/>
      </c>
    </row>
    <row r="1977" spans="1:22" x14ac:dyDescent="0.25">
      <c r="A1977" s="9"/>
      <c r="E1977" s="10"/>
      <c r="K1977" s="11" t="str">
        <f>IF($E1977="","",ROUND($E1977*IF(ISNA(MATCH($C1977,'Paramètres'!$D:$D,0)),1,IF(INDEX('Paramètres'!$J:$J,MATCH($C1977,'Paramètres'!$D:$D,0))="",1,INDEX('Paramètres'!$J:$J,MATCH($C1977,'Paramètres'!$D:$D,0)))),2))</f>
        <v/>
      </c>
      <c r="L1977" s="6" t="str">
        <f>IF($D1977="","",IF($F1977&lt;&gt;"",$F1977,IF(ISNA(MATCH($D1977,'Paramètres'!$M:$M,0)),"⚠ Type inconnu",IFERROR(INDEX('Paramètres'!$P:$P,MATCH($D1977,'Paramètres'!$M:$M,0))&amp;"",""))))</f>
        <v/>
      </c>
      <c r="M1977" s="6" t="str">
        <f>IF($D1977="","",IF(ISNA(MATCH($D1977,'Paramètres'!$M:$M,0)),"⚠ Type inconnu",IF($L1977="Crédit","",IFERROR(INDEX('Paramètres'!$O:$O,MATCH($D1977,'Paramètres'!$M:$M,0))&amp;"",""))))</f>
        <v/>
      </c>
      <c r="N1977" s="6" t="str">
        <f>IF($D1977="","",IFERROR(INDEX('Paramètres'!$Q:$Q,MATCH($D1977,'Paramètres'!$M:$M,0))&amp;"",""))</f>
        <v/>
      </c>
      <c r="O1977" s="6" t="str">
        <f>IF($A1977="","",IF(OR($J1977&lt;&gt;"x",$A1977&lt;=FinReleve),1,0))</f>
        <v/>
      </c>
      <c r="P1977" s="6" t="str">
        <f>IF($D1977="","",IF(AND($L1977="Crédit",OR(IFERROR(INDEX('Paramètres'!$O:$O,MATCH($D1977,'Paramètres'!$M:$M,0))&amp;"","")&lt;&gt;"",ISNUMBER(SEARCH("remboursement",IFERROR(INDEX('Paramètres'!$N:$N,MATCH($D1977,'Paramètres'!$M:$M,0))&amp;"",""))))),1,0))</f>
        <v/>
      </c>
      <c r="Q1977" s="6" t="str">
        <f>IF($K1977="","",IF(ISNUMBER(SEARCH("transfert-interne",IFERROR(INDEX('Paramètres'!$N:$N,MATCH($D1977,'Paramètres'!$M:$M,0))&amp;"",""))),0,IF($L1977="Débit",$K1977,IF($P1977=1,-$K1977,0))))</f>
        <v/>
      </c>
      <c r="R1977" s="6" t="str">
        <f>IF($K1977="","",IF($L1977="Crédit",$K1977,-$K1977))</f>
        <v/>
      </c>
      <c r="S1977" s="6" t="str">
        <f>IF($C1977="","",IFERROR(INDEX('Paramètres'!$H:$H,MATCH($C1977,'Paramètres'!$D:$D,0))&amp;"",""))</f>
        <v/>
      </c>
      <c r="T1977" s="6" t="str">
        <f>IF($K1977="","",IF($S1977="",0,IF(ISNUMBER(SEARCH("apport-exterieur",IFERROR(INDEX('Paramètres'!$N:$N,MATCH($D1977,'Paramètres'!$M:$M,0))&amp;"",""))),0,IF(OR(IFERROR(INDEX('Paramètres'!$I:$I,MATCH($C1977,'Paramètres'!$D:$D,0))&amp;"","")="Les deux",IFERROR(INDEX('Paramètres'!$I:$I,MATCH($C1977,'Paramètres'!$D:$D,0))&amp;"","")=IF($P1977=1,"Débit",$L1977)),-IF($P1977=1,-$K1977,$K1977),0))))</f>
        <v/>
      </c>
      <c r="U1977" s="6" t="str">
        <f>IF($K1977="","",IF(ISNUMBER(SEARCH("sortie-epargne",IFERROR(INDEX('Paramètres'!$N:$N,MATCH($D1977,'Paramètres'!$M:$M,0))&amp;"",""))),$K1977,0))</f>
        <v/>
      </c>
      <c r="V1977" s="6" t="str">
        <f>IF(AND($A1977&lt;&gt;"",$O1977=1,$L1977="Débit",N($Q1977)&gt;0,$A1977&gt;=Visualisation!$B$1,$A1977&lt;Visualisation!$D$1),MAX($V$1:V1976)+1,"")</f>
        <v/>
      </c>
    </row>
    <row r="1978" spans="1:22" x14ac:dyDescent="0.25">
      <c r="A1978" s="9"/>
      <c r="E1978" s="10"/>
      <c r="K1978" s="11" t="str">
        <f>IF($E1978="","",ROUND($E1978*IF(ISNA(MATCH($C1978,'Paramètres'!$D:$D,0)),1,IF(INDEX('Paramètres'!$J:$J,MATCH($C1978,'Paramètres'!$D:$D,0))="",1,INDEX('Paramètres'!$J:$J,MATCH($C1978,'Paramètres'!$D:$D,0)))),2))</f>
        <v/>
      </c>
      <c r="L1978" s="6" t="str">
        <f>IF($D1978="","",IF($F1978&lt;&gt;"",$F1978,IF(ISNA(MATCH($D1978,'Paramètres'!$M:$M,0)),"⚠ Type inconnu",IFERROR(INDEX('Paramètres'!$P:$P,MATCH($D1978,'Paramètres'!$M:$M,0))&amp;"",""))))</f>
        <v/>
      </c>
      <c r="M1978" s="6" t="str">
        <f>IF($D1978="","",IF(ISNA(MATCH($D1978,'Paramètres'!$M:$M,0)),"⚠ Type inconnu",IF($L1978="Crédit","",IFERROR(INDEX('Paramètres'!$O:$O,MATCH($D1978,'Paramètres'!$M:$M,0))&amp;"",""))))</f>
        <v/>
      </c>
      <c r="N1978" s="6" t="str">
        <f>IF($D1978="","",IFERROR(INDEX('Paramètres'!$Q:$Q,MATCH($D1978,'Paramètres'!$M:$M,0))&amp;"",""))</f>
        <v/>
      </c>
      <c r="O1978" s="6" t="str">
        <f>IF($A1978="","",IF(OR($J1978&lt;&gt;"x",$A1978&lt;=FinReleve),1,0))</f>
        <v/>
      </c>
      <c r="P1978" s="6" t="str">
        <f>IF($D1978="","",IF(AND($L1978="Crédit",OR(IFERROR(INDEX('Paramètres'!$O:$O,MATCH($D1978,'Paramètres'!$M:$M,0))&amp;"","")&lt;&gt;"",ISNUMBER(SEARCH("remboursement",IFERROR(INDEX('Paramètres'!$N:$N,MATCH($D1978,'Paramètres'!$M:$M,0))&amp;"",""))))),1,0))</f>
        <v/>
      </c>
      <c r="Q1978" s="6" t="str">
        <f>IF($K1978="","",IF(ISNUMBER(SEARCH("transfert-interne",IFERROR(INDEX('Paramètres'!$N:$N,MATCH($D1978,'Paramètres'!$M:$M,0))&amp;"",""))),0,IF($L1978="Débit",$K1978,IF($P1978=1,-$K1978,0))))</f>
        <v/>
      </c>
      <c r="R1978" s="6" t="str">
        <f>IF($K1978="","",IF($L1978="Crédit",$K1978,-$K1978))</f>
        <v/>
      </c>
      <c r="S1978" s="6" t="str">
        <f>IF($C1978="","",IFERROR(INDEX('Paramètres'!$H:$H,MATCH($C1978,'Paramètres'!$D:$D,0))&amp;"",""))</f>
        <v/>
      </c>
      <c r="T1978" s="6" t="str">
        <f>IF($K1978="","",IF($S1978="",0,IF(ISNUMBER(SEARCH("apport-exterieur",IFERROR(INDEX('Paramètres'!$N:$N,MATCH($D1978,'Paramètres'!$M:$M,0))&amp;"",""))),0,IF(OR(IFERROR(INDEX('Paramètres'!$I:$I,MATCH($C1978,'Paramètres'!$D:$D,0))&amp;"","")="Les deux",IFERROR(INDEX('Paramètres'!$I:$I,MATCH($C1978,'Paramètres'!$D:$D,0))&amp;"","")=IF($P1978=1,"Débit",$L1978)),-IF($P1978=1,-$K1978,$K1978),0))))</f>
        <v/>
      </c>
      <c r="U1978" s="6" t="str">
        <f>IF($K1978="","",IF(ISNUMBER(SEARCH("sortie-epargne",IFERROR(INDEX('Paramètres'!$N:$N,MATCH($D1978,'Paramètres'!$M:$M,0))&amp;"",""))),$K1978,0))</f>
        <v/>
      </c>
      <c r="V1978" s="6" t="str">
        <f>IF(AND($A1978&lt;&gt;"",$O1978=1,$L1978="Débit",N($Q1978)&gt;0,$A1978&gt;=Visualisation!$B$1,$A1978&lt;Visualisation!$D$1),MAX($V$1:V1977)+1,"")</f>
        <v/>
      </c>
    </row>
    <row r="1979" spans="1:22" x14ac:dyDescent="0.25">
      <c r="A1979" s="9"/>
      <c r="E1979" s="10"/>
      <c r="K1979" s="11" t="str">
        <f>IF($E1979="","",ROUND($E1979*IF(ISNA(MATCH($C1979,'Paramètres'!$D:$D,0)),1,IF(INDEX('Paramètres'!$J:$J,MATCH($C1979,'Paramètres'!$D:$D,0))="",1,INDEX('Paramètres'!$J:$J,MATCH($C1979,'Paramètres'!$D:$D,0)))),2))</f>
        <v/>
      </c>
      <c r="L1979" s="6" t="str">
        <f>IF($D1979="","",IF($F1979&lt;&gt;"",$F1979,IF(ISNA(MATCH($D1979,'Paramètres'!$M:$M,0)),"⚠ Type inconnu",IFERROR(INDEX('Paramètres'!$P:$P,MATCH($D1979,'Paramètres'!$M:$M,0))&amp;"",""))))</f>
        <v/>
      </c>
      <c r="M1979" s="6" t="str">
        <f>IF($D1979="","",IF(ISNA(MATCH($D1979,'Paramètres'!$M:$M,0)),"⚠ Type inconnu",IF($L1979="Crédit","",IFERROR(INDEX('Paramètres'!$O:$O,MATCH($D1979,'Paramètres'!$M:$M,0))&amp;"",""))))</f>
        <v/>
      </c>
      <c r="N1979" s="6" t="str">
        <f>IF($D1979="","",IFERROR(INDEX('Paramètres'!$Q:$Q,MATCH($D1979,'Paramètres'!$M:$M,0))&amp;"",""))</f>
        <v/>
      </c>
      <c r="O1979" s="6" t="str">
        <f>IF($A1979="","",IF(OR($J1979&lt;&gt;"x",$A1979&lt;=FinReleve),1,0))</f>
        <v/>
      </c>
      <c r="P1979" s="6" t="str">
        <f>IF($D1979="","",IF(AND($L1979="Crédit",OR(IFERROR(INDEX('Paramètres'!$O:$O,MATCH($D1979,'Paramètres'!$M:$M,0))&amp;"","")&lt;&gt;"",ISNUMBER(SEARCH("remboursement",IFERROR(INDEX('Paramètres'!$N:$N,MATCH($D1979,'Paramètres'!$M:$M,0))&amp;"",""))))),1,0))</f>
        <v/>
      </c>
      <c r="Q1979" s="6" t="str">
        <f>IF($K1979="","",IF(ISNUMBER(SEARCH("transfert-interne",IFERROR(INDEX('Paramètres'!$N:$N,MATCH($D1979,'Paramètres'!$M:$M,0))&amp;"",""))),0,IF($L1979="Débit",$K1979,IF($P1979=1,-$K1979,0))))</f>
        <v/>
      </c>
      <c r="R1979" s="6" t="str">
        <f>IF($K1979="","",IF($L1979="Crédit",$K1979,-$K1979))</f>
        <v/>
      </c>
      <c r="S1979" s="6" t="str">
        <f>IF($C1979="","",IFERROR(INDEX('Paramètres'!$H:$H,MATCH($C1979,'Paramètres'!$D:$D,0))&amp;"",""))</f>
        <v/>
      </c>
      <c r="T1979" s="6" t="str">
        <f>IF($K1979="","",IF($S1979="",0,IF(ISNUMBER(SEARCH("apport-exterieur",IFERROR(INDEX('Paramètres'!$N:$N,MATCH($D1979,'Paramètres'!$M:$M,0))&amp;"",""))),0,IF(OR(IFERROR(INDEX('Paramètres'!$I:$I,MATCH($C1979,'Paramètres'!$D:$D,0))&amp;"","")="Les deux",IFERROR(INDEX('Paramètres'!$I:$I,MATCH($C1979,'Paramètres'!$D:$D,0))&amp;"","")=IF($P1979=1,"Débit",$L1979)),-IF($P1979=1,-$K1979,$K1979),0))))</f>
        <v/>
      </c>
      <c r="U1979" s="6" t="str">
        <f>IF($K1979="","",IF(ISNUMBER(SEARCH("sortie-epargne",IFERROR(INDEX('Paramètres'!$N:$N,MATCH($D1979,'Paramètres'!$M:$M,0))&amp;"",""))),$K1979,0))</f>
        <v/>
      </c>
      <c r="V1979" s="6" t="str">
        <f>IF(AND($A1979&lt;&gt;"",$O1979=1,$L1979="Débit",N($Q1979)&gt;0,$A1979&gt;=Visualisation!$B$1,$A1979&lt;Visualisation!$D$1),MAX($V$1:V1978)+1,"")</f>
        <v/>
      </c>
    </row>
    <row r="1980" spans="1:22" x14ac:dyDescent="0.25">
      <c r="A1980" s="9"/>
      <c r="E1980" s="10"/>
      <c r="K1980" s="11" t="str">
        <f>IF($E1980="","",ROUND($E1980*IF(ISNA(MATCH($C1980,'Paramètres'!$D:$D,0)),1,IF(INDEX('Paramètres'!$J:$J,MATCH($C1980,'Paramètres'!$D:$D,0))="",1,INDEX('Paramètres'!$J:$J,MATCH($C1980,'Paramètres'!$D:$D,0)))),2))</f>
        <v/>
      </c>
      <c r="L1980" s="6" t="str">
        <f>IF($D1980="","",IF($F1980&lt;&gt;"",$F1980,IF(ISNA(MATCH($D1980,'Paramètres'!$M:$M,0)),"⚠ Type inconnu",IFERROR(INDEX('Paramètres'!$P:$P,MATCH($D1980,'Paramètres'!$M:$M,0))&amp;"",""))))</f>
        <v/>
      </c>
      <c r="M1980" s="6" t="str">
        <f>IF($D1980="","",IF(ISNA(MATCH($D1980,'Paramètres'!$M:$M,0)),"⚠ Type inconnu",IF($L1980="Crédit","",IFERROR(INDEX('Paramètres'!$O:$O,MATCH($D1980,'Paramètres'!$M:$M,0))&amp;"",""))))</f>
        <v/>
      </c>
      <c r="N1980" s="6" t="str">
        <f>IF($D1980="","",IFERROR(INDEX('Paramètres'!$Q:$Q,MATCH($D1980,'Paramètres'!$M:$M,0))&amp;"",""))</f>
        <v/>
      </c>
      <c r="O1980" s="6" t="str">
        <f>IF($A1980="","",IF(OR($J1980&lt;&gt;"x",$A1980&lt;=FinReleve),1,0))</f>
        <v/>
      </c>
      <c r="P1980" s="6" t="str">
        <f>IF($D1980="","",IF(AND($L1980="Crédit",OR(IFERROR(INDEX('Paramètres'!$O:$O,MATCH($D1980,'Paramètres'!$M:$M,0))&amp;"","")&lt;&gt;"",ISNUMBER(SEARCH("remboursement",IFERROR(INDEX('Paramètres'!$N:$N,MATCH($D1980,'Paramètres'!$M:$M,0))&amp;"",""))))),1,0))</f>
        <v/>
      </c>
      <c r="Q1980" s="6" t="str">
        <f>IF($K1980="","",IF(ISNUMBER(SEARCH("transfert-interne",IFERROR(INDEX('Paramètres'!$N:$N,MATCH($D1980,'Paramètres'!$M:$M,0))&amp;"",""))),0,IF($L1980="Débit",$K1980,IF($P1980=1,-$K1980,0))))</f>
        <v/>
      </c>
      <c r="R1980" s="6" t="str">
        <f>IF($K1980="","",IF($L1980="Crédit",$K1980,-$K1980))</f>
        <v/>
      </c>
      <c r="S1980" s="6" t="str">
        <f>IF($C1980="","",IFERROR(INDEX('Paramètres'!$H:$H,MATCH($C1980,'Paramètres'!$D:$D,0))&amp;"",""))</f>
        <v/>
      </c>
      <c r="T1980" s="6" t="str">
        <f>IF($K1980="","",IF($S1980="",0,IF(ISNUMBER(SEARCH("apport-exterieur",IFERROR(INDEX('Paramètres'!$N:$N,MATCH($D1980,'Paramètres'!$M:$M,0))&amp;"",""))),0,IF(OR(IFERROR(INDEX('Paramètres'!$I:$I,MATCH($C1980,'Paramètres'!$D:$D,0))&amp;"","")="Les deux",IFERROR(INDEX('Paramètres'!$I:$I,MATCH($C1980,'Paramètres'!$D:$D,0))&amp;"","")=IF($P1980=1,"Débit",$L1980)),-IF($P1980=1,-$K1980,$K1980),0))))</f>
        <v/>
      </c>
      <c r="U1980" s="6" t="str">
        <f>IF($K1980="","",IF(ISNUMBER(SEARCH("sortie-epargne",IFERROR(INDEX('Paramètres'!$N:$N,MATCH($D1980,'Paramètres'!$M:$M,0))&amp;"",""))),$K1980,0))</f>
        <v/>
      </c>
      <c r="V1980" s="6" t="str">
        <f>IF(AND($A1980&lt;&gt;"",$O1980=1,$L1980="Débit",N($Q1980)&gt;0,$A1980&gt;=Visualisation!$B$1,$A1980&lt;Visualisation!$D$1),MAX($V$1:V1979)+1,"")</f>
        <v/>
      </c>
    </row>
    <row r="1981" spans="1:22" x14ac:dyDescent="0.25">
      <c r="A1981" s="9"/>
      <c r="E1981" s="10"/>
      <c r="K1981" s="11" t="str">
        <f>IF($E1981="","",ROUND($E1981*IF(ISNA(MATCH($C1981,'Paramètres'!$D:$D,0)),1,IF(INDEX('Paramètres'!$J:$J,MATCH($C1981,'Paramètres'!$D:$D,0))="",1,INDEX('Paramètres'!$J:$J,MATCH($C1981,'Paramètres'!$D:$D,0)))),2))</f>
        <v/>
      </c>
      <c r="L1981" s="6" t="str">
        <f>IF($D1981="","",IF($F1981&lt;&gt;"",$F1981,IF(ISNA(MATCH($D1981,'Paramètres'!$M:$M,0)),"⚠ Type inconnu",IFERROR(INDEX('Paramètres'!$P:$P,MATCH($D1981,'Paramètres'!$M:$M,0))&amp;"",""))))</f>
        <v/>
      </c>
      <c r="M1981" s="6" t="str">
        <f>IF($D1981="","",IF(ISNA(MATCH($D1981,'Paramètres'!$M:$M,0)),"⚠ Type inconnu",IF($L1981="Crédit","",IFERROR(INDEX('Paramètres'!$O:$O,MATCH($D1981,'Paramètres'!$M:$M,0))&amp;"",""))))</f>
        <v/>
      </c>
      <c r="N1981" s="6" t="str">
        <f>IF($D1981="","",IFERROR(INDEX('Paramètres'!$Q:$Q,MATCH($D1981,'Paramètres'!$M:$M,0))&amp;"",""))</f>
        <v/>
      </c>
      <c r="O1981" s="6" t="str">
        <f>IF($A1981="","",IF(OR($J1981&lt;&gt;"x",$A1981&lt;=FinReleve),1,0))</f>
        <v/>
      </c>
      <c r="P1981" s="6" t="str">
        <f>IF($D1981="","",IF(AND($L1981="Crédit",OR(IFERROR(INDEX('Paramètres'!$O:$O,MATCH($D1981,'Paramètres'!$M:$M,0))&amp;"","")&lt;&gt;"",ISNUMBER(SEARCH("remboursement",IFERROR(INDEX('Paramètres'!$N:$N,MATCH($D1981,'Paramètres'!$M:$M,0))&amp;"",""))))),1,0))</f>
        <v/>
      </c>
      <c r="Q1981" s="6" t="str">
        <f>IF($K1981="","",IF(ISNUMBER(SEARCH("transfert-interne",IFERROR(INDEX('Paramètres'!$N:$N,MATCH($D1981,'Paramètres'!$M:$M,0))&amp;"",""))),0,IF($L1981="Débit",$K1981,IF($P1981=1,-$K1981,0))))</f>
        <v/>
      </c>
      <c r="R1981" s="6" t="str">
        <f>IF($K1981="","",IF($L1981="Crédit",$K1981,-$K1981))</f>
        <v/>
      </c>
      <c r="S1981" s="6" t="str">
        <f>IF($C1981="","",IFERROR(INDEX('Paramètres'!$H:$H,MATCH($C1981,'Paramètres'!$D:$D,0))&amp;"",""))</f>
        <v/>
      </c>
      <c r="T1981" s="6" t="str">
        <f>IF($K1981="","",IF($S1981="",0,IF(ISNUMBER(SEARCH("apport-exterieur",IFERROR(INDEX('Paramètres'!$N:$N,MATCH($D1981,'Paramètres'!$M:$M,0))&amp;"",""))),0,IF(OR(IFERROR(INDEX('Paramètres'!$I:$I,MATCH($C1981,'Paramètres'!$D:$D,0))&amp;"","")="Les deux",IFERROR(INDEX('Paramètres'!$I:$I,MATCH($C1981,'Paramètres'!$D:$D,0))&amp;"","")=IF($P1981=1,"Débit",$L1981)),-IF($P1981=1,-$K1981,$K1981),0))))</f>
        <v/>
      </c>
      <c r="U1981" s="6" t="str">
        <f>IF($K1981="","",IF(ISNUMBER(SEARCH("sortie-epargne",IFERROR(INDEX('Paramètres'!$N:$N,MATCH($D1981,'Paramètres'!$M:$M,0))&amp;"",""))),$K1981,0))</f>
        <v/>
      </c>
      <c r="V1981" s="6" t="str">
        <f>IF(AND($A1981&lt;&gt;"",$O1981=1,$L1981="Débit",N($Q1981)&gt;0,$A1981&gt;=Visualisation!$B$1,$A1981&lt;Visualisation!$D$1),MAX($V$1:V1980)+1,"")</f>
        <v/>
      </c>
    </row>
    <row r="1982" spans="1:22" x14ac:dyDescent="0.25">
      <c r="A1982" s="9"/>
      <c r="E1982" s="10"/>
      <c r="K1982" s="11" t="str">
        <f>IF($E1982="","",ROUND($E1982*IF(ISNA(MATCH($C1982,'Paramètres'!$D:$D,0)),1,IF(INDEX('Paramètres'!$J:$J,MATCH($C1982,'Paramètres'!$D:$D,0))="",1,INDEX('Paramètres'!$J:$J,MATCH($C1982,'Paramètres'!$D:$D,0)))),2))</f>
        <v/>
      </c>
      <c r="L1982" s="6" t="str">
        <f>IF($D1982="","",IF($F1982&lt;&gt;"",$F1982,IF(ISNA(MATCH($D1982,'Paramètres'!$M:$M,0)),"⚠ Type inconnu",IFERROR(INDEX('Paramètres'!$P:$P,MATCH($D1982,'Paramètres'!$M:$M,0))&amp;"",""))))</f>
        <v/>
      </c>
      <c r="M1982" s="6" t="str">
        <f>IF($D1982="","",IF(ISNA(MATCH($D1982,'Paramètres'!$M:$M,0)),"⚠ Type inconnu",IF($L1982="Crédit","",IFERROR(INDEX('Paramètres'!$O:$O,MATCH($D1982,'Paramètres'!$M:$M,0))&amp;"",""))))</f>
        <v/>
      </c>
      <c r="N1982" s="6" t="str">
        <f>IF($D1982="","",IFERROR(INDEX('Paramètres'!$Q:$Q,MATCH($D1982,'Paramètres'!$M:$M,0))&amp;"",""))</f>
        <v/>
      </c>
      <c r="O1982" s="6" t="str">
        <f>IF($A1982="","",IF(OR($J1982&lt;&gt;"x",$A1982&lt;=FinReleve),1,0))</f>
        <v/>
      </c>
      <c r="P1982" s="6" t="str">
        <f>IF($D1982="","",IF(AND($L1982="Crédit",OR(IFERROR(INDEX('Paramètres'!$O:$O,MATCH($D1982,'Paramètres'!$M:$M,0))&amp;"","")&lt;&gt;"",ISNUMBER(SEARCH("remboursement",IFERROR(INDEX('Paramètres'!$N:$N,MATCH($D1982,'Paramètres'!$M:$M,0))&amp;"",""))))),1,0))</f>
        <v/>
      </c>
      <c r="Q1982" s="6" t="str">
        <f>IF($K1982="","",IF(ISNUMBER(SEARCH("transfert-interne",IFERROR(INDEX('Paramètres'!$N:$N,MATCH($D1982,'Paramètres'!$M:$M,0))&amp;"",""))),0,IF($L1982="Débit",$K1982,IF($P1982=1,-$K1982,0))))</f>
        <v/>
      </c>
      <c r="R1982" s="6" t="str">
        <f>IF($K1982="","",IF($L1982="Crédit",$K1982,-$K1982))</f>
        <v/>
      </c>
      <c r="S1982" s="6" t="str">
        <f>IF($C1982="","",IFERROR(INDEX('Paramètres'!$H:$H,MATCH($C1982,'Paramètres'!$D:$D,0))&amp;"",""))</f>
        <v/>
      </c>
      <c r="T1982" s="6" t="str">
        <f>IF($K1982="","",IF($S1982="",0,IF(ISNUMBER(SEARCH("apport-exterieur",IFERROR(INDEX('Paramètres'!$N:$N,MATCH($D1982,'Paramètres'!$M:$M,0))&amp;"",""))),0,IF(OR(IFERROR(INDEX('Paramètres'!$I:$I,MATCH($C1982,'Paramètres'!$D:$D,0))&amp;"","")="Les deux",IFERROR(INDEX('Paramètres'!$I:$I,MATCH($C1982,'Paramètres'!$D:$D,0))&amp;"","")=IF($P1982=1,"Débit",$L1982)),-IF($P1982=1,-$K1982,$K1982),0))))</f>
        <v/>
      </c>
      <c r="U1982" s="6" t="str">
        <f>IF($K1982="","",IF(ISNUMBER(SEARCH("sortie-epargne",IFERROR(INDEX('Paramètres'!$N:$N,MATCH($D1982,'Paramètres'!$M:$M,0))&amp;"",""))),$K1982,0))</f>
        <v/>
      </c>
      <c r="V1982" s="6" t="str">
        <f>IF(AND($A1982&lt;&gt;"",$O1982=1,$L1982="Débit",N($Q1982)&gt;0,$A1982&gt;=Visualisation!$B$1,$A1982&lt;Visualisation!$D$1),MAX($V$1:V1981)+1,"")</f>
        <v/>
      </c>
    </row>
    <row r="1983" spans="1:22" x14ac:dyDescent="0.25">
      <c r="A1983" s="9"/>
      <c r="E1983" s="10"/>
      <c r="K1983" s="11" t="str">
        <f>IF($E1983="","",ROUND($E1983*IF(ISNA(MATCH($C1983,'Paramètres'!$D:$D,0)),1,IF(INDEX('Paramètres'!$J:$J,MATCH($C1983,'Paramètres'!$D:$D,0))="",1,INDEX('Paramètres'!$J:$J,MATCH($C1983,'Paramètres'!$D:$D,0)))),2))</f>
        <v/>
      </c>
      <c r="L1983" s="6" t="str">
        <f>IF($D1983="","",IF($F1983&lt;&gt;"",$F1983,IF(ISNA(MATCH($D1983,'Paramètres'!$M:$M,0)),"⚠ Type inconnu",IFERROR(INDEX('Paramètres'!$P:$P,MATCH($D1983,'Paramètres'!$M:$M,0))&amp;"",""))))</f>
        <v/>
      </c>
      <c r="M1983" s="6" t="str">
        <f>IF($D1983="","",IF(ISNA(MATCH($D1983,'Paramètres'!$M:$M,0)),"⚠ Type inconnu",IF($L1983="Crédit","",IFERROR(INDEX('Paramètres'!$O:$O,MATCH($D1983,'Paramètres'!$M:$M,0))&amp;"",""))))</f>
        <v/>
      </c>
      <c r="N1983" s="6" t="str">
        <f>IF($D1983="","",IFERROR(INDEX('Paramètres'!$Q:$Q,MATCH($D1983,'Paramètres'!$M:$M,0))&amp;"",""))</f>
        <v/>
      </c>
      <c r="O1983" s="6" t="str">
        <f>IF($A1983="","",IF(OR($J1983&lt;&gt;"x",$A1983&lt;=FinReleve),1,0))</f>
        <v/>
      </c>
      <c r="P1983" s="6" t="str">
        <f>IF($D1983="","",IF(AND($L1983="Crédit",OR(IFERROR(INDEX('Paramètres'!$O:$O,MATCH($D1983,'Paramètres'!$M:$M,0))&amp;"","")&lt;&gt;"",ISNUMBER(SEARCH("remboursement",IFERROR(INDEX('Paramètres'!$N:$N,MATCH($D1983,'Paramètres'!$M:$M,0))&amp;"",""))))),1,0))</f>
        <v/>
      </c>
      <c r="Q1983" s="6" t="str">
        <f>IF($K1983="","",IF(ISNUMBER(SEARCH("transfert-interne",IFERROR(INDEX('Paramètres'!$N:$N,MATCH($D1983,'Paramètres'!$M:$M,0))&amp;"",""))),0,IF($L1983="Débit",$K1983,IF($P1983=1,-$K1983,0))))</f>
        <v/>
      </c>
      <c r="R1983" s="6" t="str">
        <f>IF($K1983="","",IF($L1983="Crédit",$K1983,-$K1983))</f>
        <v/>
      </c>
      <c r="S1983" s="6" t="str">
        <f>IF($C1983="","",IFERROR(INDEX('Paramètres'!$H:$H,MATCH($C1983,'Paramètres'!$D:$D,0))&amp;"",""))</f>
        <v/>
      </c>
      <c r="T1983" s="6" t="str">
        <f>IF($K1983="","",IF($S1983="",0,IF(ISNUMBER(SEARCH("apport-exterieur",IFERROR(INDEX('Paramètres'!$N:$N,MATCH($D1983,'Paramètres'!$M:$M,0))&amp;"",""))),0,IF(OR(IFERROR(INDEX('Paramètres'!$I:$I,MATCH($C1983,'Paramètres'!$D:$D,0))&amp;"","")="Les deux",IFERROR(INDEX('Paramètres'!$I:$I,MATCH($C1983,'Paramètres'!$D:$D,0))&amp;"","")=IF($P1983=1,"Débit",$L1983)),-IF($P1983=1,-$K1983,$K1983),0))))</f>
        <v/>
      </c>
      <c r="U1983" s="6" t="str">
        <f>IF($K1983="","",IF(ISNUMBER(SEARCH("sortie-epargne",IFERROR(INDEX('Paramètres'!$N:$N,MATCH($D1983,'Paramètres'!$M:$M,0))&amp;"",""))),$K1983,0))</f>
        <v/>
      </c>
      <c r="V1983" s="6" t="str">
        <f>IF(AND($A1983&lt;&gt;"",$O1983=1,$L1983="Débit",N($Q1983)&gt;0,$A1983&gt;=Visualisation!$B$1,$A1983&lt;Visualisation!$D$1),MAX($V$1:V1982)+1,"")</f>
        <v/>
      </c>
    </row>
    <row r="1984" spans="1:22" x14ac:dyDescent="0.25">
      <c r="A1984" s="9"/>
      <c r="E1984" s="10"/>
      <c r="K1984" s="11" t="str">
        <f>IF($E1984="","",ROUND($E1984*IF(ISNA(MATCH($C1984,'Paramètres'!$D:$D,0)),1,IF(INDEX('Paramètres'!$J:$J,MATCH($C1984,'Paramètres'!$D:$D,0))="",1,INDEX('Paramètres'!$J:$J,MATCH($C1984,'Paramètres'!$D:$D,0)))),2))</f>
        <v/>
      </c>
      <c r="L1984" s="6" t="str">
        <f>IF($D1984="","",IF($F1984&lt;&gt;"",$F1984,IF(ISNA(MATCH($D1984,'Paramètres'!$M:$M,0)),"⚠ Type inconnu",IFERROR(INDEX('Paramètres'!$P:$P,MATCH($D1984,'Paramètres'!$M:$M,0))&amp;"",""))))</f>
        <v/>
      </c>
      <c r="M1984" s="6" t="str">
        <f>IF($D1984="","",IF(ISNA(MATCH($D1984,'Paramètres'!$M:$M,0)),"⚠ Type inconnu",IF($L1984="Crédit","",IFERROR(INDEX('Paramètres'!$O:$O,MATCH($D1984,'Paramètres'!$M:$M,0))&amp;"",""))))</f>
        <v/>
      </c>
      <c r="N1984" s="6" t="str">
        <f>IF($D1984="","",IFERROR(INDEX('Paramètres'!$Q:$Q,MATCH($D1984,'Paramètres'!$M:$M,0))&amp;"",""))</f>
        <v/>
      </c>
      <c r="O1984" s="6" t="str">
        <f>IF($A1984="","",IF(OR($J1984&lt;&gt;"x",$A1984&lt;=FinReleve),1,0))</f>
        <v/>
      </c>
      <c r="P1984" s="6" t="str">
        <f>IF($D1984="","",IF(AND($L1984="Crédit",OR(IFERROR(INDEX('Paramètres'!$O:$O,MATCH($D1984,'Paramètres'!$M:$M,0))&amp;"","")&lt;&gt;"",ISNUMBER(SEARCH("remboursement",IFERROR(INDEX('Paramètres'!$N:$N,MATCH($D1984,'Paramètres'!$M:$M,0))&amp;"",""))))),1,0))</f>
        <v/>
      </c>
      <c r="Q1984" s="6" t="str">
        <f>IF($K1984="","",IF(ISNUMBER(SEARCH("transfert-interne",IFERROR(INDEX('Paramètres'!$N:$N,MATCH($D1984,'Paramètres'!$M:$M,0))&amp;"",""))),0,IF($L1984="Débit",$K1984,IF($P1984=1,-$K1984,0))))</f>
        <v/>
      </c>
      <c r="R1984" s="6" t="str">
        <f>IF($K1984="","",IF($L1984="Crédit",$K1984,-$K1984))</f>
        <v/>
      </c>
      <c r="S1984" s="6" t="str">
        <f>IF($C1984="","",IFERROR(INDEX('Paramètres'!$H:$H,MATCH($C1984,'Paramètres'!$D:$D,0))&amp;"",""))</f>
        <v/>
      </c>
      <c r="T1984" s="6" t="str">
        <f>IF($K1984="","",IF($S1984="",0,IF(ISNUMBER(SEARCH("apport-exterieur",IFERROR(INDEX('Paramètres'!$N:$N,MATCH($D1984,'Paramètres'!$M:$M,0))&amp;"",""))),0,IF(OR(IFERROR(INDEX('Paramètres'!$I:$I,MATCH($C1984,'Paramètres'!$D:$D,0))&amp;"","")="Les deux",IFERROR(INDEX('Paramètres'!$I:$I,MATCH($C1984,'Paramètres'!$D:$D,0))&amp;"","")=IF($P1984=1,"Débit",$L1984)),-IF($P1984=1,-$K1984,$K1984),0))))</f>
        <v/>
      </c>
      <c r="U1984" s="6" t="str">
        <f>IF($K1984="","",IF(ISNUMBER(SEARCH("sortie-epargne",IFERROR(INDEX('Paramètres'!$N:$N,MATCH($D1984,'Paramètres'!$M:$M,0))&amp;"",""))),$K1984,0))</f>
        <v/>
      </c>
      <c r="V1984" s="6" t="str">
        <f>IF(AND($A1984&lt;&gt;"",$O1984=1,$L1984="Débit",N($Q1984)&gt;0,$A1984&gt;=Visualisation!$B$1,$A1984&lt;Visualisation!$D$1),MAX($V$1:V1983)+1,"")</f>
        <v/>
      </c>
    </row>
    <row r="1985" spans="1:22" x14ac:dyDescent="0.25">
      <c r="A1985" s="9"/>
      <c r="E1985" s="10"/>
      <c r="K1985" s="11" t="str">
        <f>IF($E1985="","",ROUND($E1985*IF(ISNA(MATCH($C1985,'Paramètres'!$D:$D,0)),1,IF(INDEX('Paramètres'!$J:$J,MATCH($C1985,'Paramètres'!$D:$D,0))="",1,INDEX('Paramètres'!$J:$J,MATCH($C1985,'Paramètres'!$D:$D,0)))),2))</f>
        <v/>
      </c>
      <c r="L1985" s="6" t="str">
        <f>IF($D1985="","",IF($F1985&lt;&gt;"",$F1985,IF(ISNA(MATCH($D1985,'Paramètres'!$M:$M,0)),"⚠ Type inconnu",IFERROR(INDEX('Paramètres'!$P:$P,MATCH($D1985,'Paramètres'!$M:$M,0))&amp;"",""))))</f>
        <v/>
      </c>
      <c r="M1985" s="6" t="str">
        <f>IF($D1985="","",IF(ISNA(MATCH($D1985,'Paramètres'!$M:$M,0)),"⚠ Type inconnu",IF($L1985="Crédit","",IFERROR(INDEX('Paramètres'!$O:$O,MATCH($D1985,'Paramètres'!$M:$M,0))&amp;"",""))))</f>
        <v/>
      </c>
      <c r="N1985" s="6" t="str">
        <f>IF($D1985="","",IFERROR(INDEX('Paramètres'!$Q:$Q,MATCH($D1985,'Paramètres'!$M:$M,0))&amp;"",""))</f>
        <v/>
      </c>
      <c r="O1985" s="6" t="str">
        <f>IF($A1985="","",IF(OR($J1985&lt;&gt;"x",$A1985&lt;=FinReleve),1,0))</f>
        <v/>
      </c>
      <c r="P1985" s="6" t="str">
        <f>IF($D1985="","",IF(AND($L1985="Crédit",OR(IFERROR(INDEX('Paramètres'!$O:$O,MATCH($D1985,'Paramètres'!$M:$M,0))&amp;"","")&lt;&gt;"",ISNUMBER(SEARCH("remboursement",IFERROR(INDEX('Paramètres'!$N:$N,MATCH($D1985,'Paramètres'!$M:$M,0))&amp;"",""))))),1,0))</f>
        <v/>
      </c>
      <c r="Q1985" s="6" t="str">
        <f>IF($K1985="","",IF(ISNUMBER(SEARCH("transfert-interne",IFERROR(INDEX('Paramètres'!$N:$N,MATCH($D1985,'Paramètres'!$M:$M,0))&amp;"",""))),0,IF($L1985="Débit",$K1985,IF($P1985=1,-$K1985,0))))</f>
        <v/>
      </c>
      <c r="R1985" s="6" t="str">
        <f>IF($K1985="","",IF($L1985="Crédit",$K1985,-$K1985))</f>
        <v/>
      </c>
      <c r="S1985" s="6" t="str">
        <f>IF($C1985="","",IFERROR(INDEX('Paramètres'!$H:$H,MATCH($C1985,'Paramètres'!$D:$D,0))&amp;"",""))</f>
        <v/>
      </c>
      <c r="T1985" s="6" t="str">
        <f>IF($K1985="","",IF($S1985="",0,IF(ISNUMBER(SEARCH("apport-exterieur",IFERROR(INDEX('Paramètres'!$N:$N,MATCH($D1985,'Paramètres'!$M:$M,0))&amp;"",""))),0,IF(OR(IFERROR(INDEX('Paramètres'!$I:$I,MATCH($C1985,'Paramètres'!$D:$D,0))&amp;"","")="Les deux",IFERROR(INDEX('Paramètres'!$I:$I,MATCH($C1985,'Paramètres'!$D:$D,0))&amp;"","")=IF($P1985=1,"Débit",$L1985)),-IF($P1985=1,-$K1985,$K1985),0))))</f>
        <v/>
      </c>
      <c r="U1985" s="6" t="str">
        <f>IF($K1985="","",IF(ISNUMBER(SEARCH("sortie-epargne",IFERROR(INDEX('Paramètres'!$N:$N,MATCH($D1985,'Paramètres'!$M:$M,0))&amp;"",""))),$K1985,0))</f>
        <v/>
      </c>
      <c r="V1985" s="6" t="str">
        <f>IF(AND($A1985&lt;&gt;"",$O1985=1,$L1985="Débit",N($Q1985)&gt;0,$A1985&gt;=Visualisation!$B$1,$A1985&lt;Visualisation!$D$1),MAX($V$1:V1984)+1,"")</f>
        <v/>
      </c>
    </row>
    <row r="1986" spans="1:22" x14ac:dyDescent="0.25">
      <c r="A1986" s="9"/>
      <c r="E1986" s="10"/>
      <c r="K1986" s="11" t="str">
        <f>IF($E1986="","",ROUND($E1986*IF(ISNA(MATCH($C1986,'Paramètres'!$D:$D,0)),1,IF(INDEX('Paramètres'!$J:$J,MATCH($C1986,'Paramètres'!$D:$D,0))="",1,INDEX('Paramètres'!$J:$J,MATCH($C1986,'Paramètres'!$D:$D,0)))),2))</f>
        <v/>
      </c>
      <c r="L1986" s="6" t="str">
        <f>IF($D1986="","",IF($F1986&lt;&gt;"",$F1986,IF(ISNA(MATCH($D1986,'Paramètres'!$M:$M,0)),"⚠ Type inconnu",IFERROR(INDEX('Paramètres'!$P:$P,MATCH($D1986,'Paramètres'!$M:$M,0))&amp;"",""))))</f>
        <v/>
      </c>
      <c r="M1986" s="6" t="str">
        <f>IF($D1986="","",IF(ISNA(MATCH($D1986,'Paramètres'!$M:$M,0)),"⚠ Type inconnu",IF($L1986="Crédit","",IFERROR(INDEX('Paramètres'!$O:$O,MATCH($D1986,'Paramètres'!$M:$M,0))&amp;"",""))))</f>
        <v/>
      </c>
      <c r="N1986" s="6" t="str">
        <f>IF($D1986="","",IFERROR(INDEX('Paramètres'!$Q:$Q,MATCH($D1986,'Paramètres'!$M:$M,0))&amp;"",""))</f>
        <v/>
      </c>
      <c r="O1986" s="6" t="str">
        <f>IF($A1986="","",IF(OR($J1986&lt;&gt;"x",$A1986&lt;=FinReleve),1,0))</f>
        <v/>
      </c>
      <c r="P1986" s="6" t="str">
        <f>IF($D1986="","",IF(AND($L1986="Crédit",OR(IFERROR(INDEX('Paramètres'!$O:$O,MATCH($D1986,'Paramètres'!$M:$M,0))&amp;"","")&lt;&gt;"",ISNUMBER(SEARCH("remboursement",IFERROR(INDEX('Paramètres'!$N:$N,MATCH($D1986,'Paramètres'!$M:$M,0))&amp;"",""))))),1,0))</f>
        <v/>
      </c>
      <c r="Q1986" s="6" t="str">
        <f>IF($K1986="","",IF(ISNUMBER(SEARCH("transfert-interne",IFERROR(INDEX('Paramètres'!$N:$N,MATCH($D1986,'Paramètres'!$M:$M,0))&amp;"",""))),0,IF($L1986="Débit",$K1986,IF($P1986=1,-$K1986,0))))</f>
        <v/>
      </c>
      <c r="R1986" s="6" t="str">
        <f>IF($K1986="","",IF($L1986="Crédit",$K1986,-$K1986))</f>
        <v/>
      </c>
      <c r="S1986" s="6" t="str">
        <f>IF($C1986="","",IFERROR(INDEX('Paramètres'!$H:$H,MATCH($C1986,'Paramètres'!$D:$D,0))&amp;"",""))</f>
        <v/>
      </c>
      <c r="T1986" s="6" t="str">
        <f>IF($K1986="","",IF($S1986="",0,IF(ISNUMBER(SEARCH("apport-exterieur",IFERROR(INDEX('Paramètres'!$N:$N,MATCH($D1986,'Paramètres'!$M:$M,0))&amp;"",""))),0,IF(OR(IFERROR(INDEX('Paramètres'!$I:$I,MATCH($C1986,'Paramètres'!$D:$D,0))&amp;"","")="Les deux",IFERROR(INDEX('Paramètres'!$I:$I,MATCH($C1986,'Paramètres'!$D:$D,0))&amp;"","")=IF($P1986=1,"Débit",$L1986)),-IF($P1986=1,-$K1986,$K1986),0))))</f>
        <v/>
      </c>
      <c r="U1986" s="6" t="str">
        <f>IF($K1986="","",IF(ISNUMBER(SEARCH("sortie-epargne",IFERROR(INDEX('Paramètres'!$N:$N,MATCH($D1986,'Paramètres'!$M:$M,0))&amp;"",""))),$K1986,0))</f>
        <v/>
      </c>
      <c r="V1986" s="6" t="str">
        <f>IF(AND($A1986&lt;&gt;"",$O1986=1,$L1986="Débit",N($Q1986)&gt;0,$A1986&gt;=Visualisation!$B$1,$A1986&lt;Visualisation!$D$1),MAX($V$1:V1985)+1,"")</f>
        <v/>
      </c>
    </row>
    <row r="1987" spans="1:22" x14ac:dyDescent="0.25">
      <c r="A1987" s="9"/>
      <c r="E1987" s="10"/>
      <c r="K1987" s="11" t="str">
        <f>IF($E1987="","",ROUND($E1987*IF(ISNA(MATCH($C1987,'Paramètres'!$D:$D,0)),1,IF(INDEX('Paramètres'!$J:$J,MATCH($C1987,'Paramètres'!$D:$D,0))="",1,INDEX('Paramètres'!$J:$J,MATCH($C1987,'Paramètres'!$D:$D,0)))),2))</f>
        <v/>
      </c>
      <c r="L1987" s="6" t="str">
        <f>IF($D1987="","",IF($F1987&lt;&gt;"",$F1987,IF(ISNA(MATCH($D1987,'Paramètres'!$M:$M,0)),"⚠ Type inconnu",IFERROR(INDEX('Paramètres'!$P:$P,MATCH($D1987,'Paramètres'!$M:$M,0))&amp;"",""))))</f>
        <v/>
      </c>
      <c r="M1987" s="6" t="str">
        <f>IF($D1987="","",IF(ISNA(MATCH($D1987,'Paramètres'!$M:$M,0)),"⚠ Type inconnu",IF($L1987="Crédit","",IFERROR(INDEX('Paramètres'!$O:$O,MATCH($D1987,'Paramètres'!$M:$M,0))&amp;"",""))))</f>
        <v/>
      </c>
      <c r="N1987" s="6" t="str">
        <f>IF($D1987="","",IFERROR(INDEX('Paramètres'!$Q:$Q,MATCH($D1987,'Paramètres'!$M:$M,0))&amp;"",""))</f>
        <v/>
      </c>
      <c r="O1987" s="6" t="str">
        <f>IF($A1987="","",IF(OR($J1987&lt;&gt;"x",$A1987&lt;=FinReleve),1,0))</f>
        <v/>
      </c>
      <c r="P1987" s="6" t="str">
        <f>IF($D1987="","",IF(AND($L1987="Crédit",OR(IFERROR(INDEX('Paramètres'!$O:$O,MATCH($D1987,'Paramètres'!$M:$M,0))&amp;"","")&lt;&gt;"",ISNUMBER(SEARCH("remboursement",IFERROR(INDEX('Paramètres'!$N:$N,MATCH($D1987,'Paramètres'!$M:$M,0))&amp;"",""))))),1,0))</f>
        <v/>
      </c>
      <c r="Q1987" s="6" t="str">
        <f>IF($K1987="","",IF(ISNUMBER(SEARCH("transfert-interne",IFERROR(INDEX('Paramètres'!$N:$N,MATCH($D1987,'Paramètres'!$M:$M,0))&amp;"",""))),0,IF($L1987="Débit",$K1987,IF($P1987=1,-$K1987,0))))</f>
        <v/>
      </c>
      <c r="R1987" s="6" t="str">
        <f>IF($K1987="","",IF($L1987="Crédit",$K1987,-$K1987))</f>
        <v/>
      </c>
      <c r="S1987" s="6" t="str">
        <f>IF($C1987="","",IFERROR(INDEX('Paramètres'!$H:$H,MATCH($C1987,'Paramètres'!$D:$D,0))&amp;"",""))</f>
        <v/>
      </c>
      <c r="T1987" s="6" t="str">
        <f>IF($K1987="","",IF($S1987="",0,IF(ISNUMBER(SEARCH("apport-exterieur",IFERROR(INDEX('Paramètres'!$N:$N,MATCH($D1987,'Paramètres'!$M:$M,0))&amp;"",""))),0,IF(OR(IFERROR(INDEX('Paramètres'!$I:$I,MATCH($C1987,'Paramètres'!$D:$D,0))&amp;"","")="Les deux",IFERROR(INDEX('Paramètres'!$I:$I,MATCH($C1987,'Paramètres'!$D:$D,0))&amp;"","")=IF($P1987=1,"Débit",$L1987)),-IF($P1987=1,-$K1987,$K1987),0))))</f>
        <v/>
      </c>
      <c r="U1987" s="6" t="str">
        <f>IF($K1987="","",IF(ISNUMBER(SEARCH("sortie-epargne",IFERROR(INDEX('Paramètres'!$N:$N,MATCH($D1987,'Paramètres'!$M:$M,0))&amp;"",""))),$K1987,0))</f>
        <v/>
      </c>
      <c r="V1987" s="6" t="str">
        <f>IF(AND($A1987&lt;&gt;"",$O1987=1,$L1987="Débit",N($Q1987)&gt;0,$A1987&gt;=Visualisation!$B$1,$A1987&lt;Visualisation!$D$1),MAX($V$1:V1986)+1,"")</f>
        <v/>
      </c>
    </row>
    <row r="1988" spans="1:22" x14ac:dyDescent="0.25">
      <c r="A1988" s="9"/>
      <c r="E1988" s="10"/>
      <c r="K1988" s="11" t="str">
        <f>IF($E1988="","",ROUND($E1988*IF(ISNA(MATCH($C1988,'Paramètres'!$D:$D,0)),1,IF(INDEX('Paramètres'!$J:$J,MATCH($C1988,'Paramètres'!$D:$D,0))="",1,INDEX('Paramètres'!$J:$J,MATCH($C1988,'Paramètres'!$D:$D,0)))),2))</f>
        <v/>
      </c>
      <c r="L1988" s="6" t="str">
        <f>IF($D1988="","",IF($F1988&lt;&gt;"",$F1988,IF(ISNA(MATCH($D1988,'Paramètres'!$M:$M,0)),"⚠ Type inconnu",IFERROR(INDEX('Paramètres'!$P:$P,MATCH($D1988,'Paramètres'!$M:$M,0))&amp;"",""))))</f>
        <v/>
      </c>
      <c r="M1988" s="6" t="str">
        <f>IF($D1988="","",IF(ISNA(MATCH($D1988,'Paramètres'!$M:$M,0)),"⚠ Type inconnu",IF($L1988="Crédit","",IFERROR(INDEX('Paramètres'!$O:$O,MATCH($D1988,'Paramètres'!$M:$M,0))&amp;"",""))))</f>
        <v/>
      </c>
      <c r="N1988" s="6" t="str">
        <f>IF($D1988="","",IFERROR(INDEX('Paramètres'!$Q:$Q,MATCH($D1988,'Paramètres'!$M:$M,0))&amp;"",""))</f>
        <v/>
      </c>
      <c r="O1988" s="6" t="str">
        <f>IF($A1988="","",IF(OR($J1988&lt;&gt;"x",$A1988&lt;=FinReleve),1,0))</f>
        <v/>
      </c>
      <c r="P1988" s="6" t="str">
        <f>IF($D1988="","",IF(AND($L1988="Crédit",OR(IFERROR(INDEX('Paramètres'!$O:$O,MATCH($D1988,'Paramètres'!$M:$M,0))&amp;"","")&lt;&gt;"",ISNUMBER(SEARCH("remboursement",IFERROR(INDEX('Paramètres'!$N:$N,MATCH($D1988,'Paramètres'!$M:$M,0))&amp;"",""))))),1,0))</f>
        <v/>
      </c>
      <c r="Q1988" s="6" t="str">
        <f>IF($K1988="","",IF(ISNUMBER(SEARCH("transfert-interne",IFERROR(INDEX('Paramètres'!$N:$N,MATCH($D1988,'Paramètres'!$M:$M,0))&amp;"",""))),0,IF($L1988="Débit",$K1988,IF($P1988=1,-$K1988,0))))</f>
        <v/>
      </c>
      <c r="R1988" s="6" t="str">
        <f>IF($K1988="","",IF($L1988="Crédit",$K1988,-$K1988))</f>
        <v/>
      </c>
      <c r="S1988" s="6" t="str">
        <f>IF($C1988="","",IFERROR(INDEX('Paramètres'!$H:$H,MATCH($C1988,'Paramètres'!$D:$D,0))&amp;"",""))</f>
        <v/>
      </c>
      <c r="T1988" s="6" t="str">
        <f>IF($K1988="","",IF($S1988="",0,IF(ISNUMBER(SEARCH("apport-exterieur",IFERROR(INDEX('Paramètres'!$N:$N,MATCH($D1988,'Paramètres'!$M:$M,0))&amp;"",""))),0,IF(OR(IFERROR(INDEX('Paramètres'!$I:$I,MATCH($C1988,'Paramètres'!$D:$D,0))&amp;"","")="Les deux",IFERROR(INDEX('Paramètres'!$I:$I,MATCH($C1988,'Paramètres'!$D:$D,0))&amp;"","")=IF($P1988=1,"Débit",$L1988)),-IF($P1988=1,-$K1988,$K1988),0))))</f>
        <v/>
      </c>
      <c r="U1988" s="6" t="str">
        <f>IF($K1988="","",IF(ISNUMBER(SEARCH("sortie-epargne",IFERROR(INDEX('Paramètres'!$N:$N,MATCH($D1988,'Paramètres'!$M:$M,0))&amp;"",""))),$K1988,0))</f>
        <v/>
      </c>
      <c r="V1988" s="6" t="str">
        <f>IF(AND($A1988&lt;&gt;"",$O1988=1,$L1988="Débit",N($Q1988)&gt;0,$A1988&gt;=Visualisation!$B$1,$A1988&lt;Visualisation!$D$1),MAX($V$1:V1987)+1,"")</f>
        <v/>
      </c>
    </row>
    <row r="1989" spans="1:22" x14ac:dyDescent="0.25">
      <c r="A1989" s="9"/>
      <c r="E1989" s="10"/>
      <c r="K1989" s="11" t="str">
        <f>IF($E1989="","",ROUND($E1989*IF(ISNA(MATCH($C1989,'Paramètres'!$D:$D,0)),1,IF(INDEX('Paramètres'!$J:$J,MATCH($C1989,'Paramètres'!$D:$D,0))="",1,INDEX('Paramètres'!$J:$J,MATCH($C1989,'Paramètres'!$D:$D,0)))),2))</f>
        <v/>
      </c>
      <c r="L1989" s="6" t="str">
        <f>IF($D1989="","",IF($F1989&lt;&gt;"",$F1989,IF(ISNA(MATCH($D1989,'Paramètres'!$M:$M,0)),"⚠ Type inconnu",IFERROR(INDEX('Paramètres'!$P:$P,MATCH($D1989,'Paramètres'!$M:$M,0))&amp;"",""))))</f>
        <v/>
      </c>
      <c r="M1989" s="6" t="str">
        <f>IF($D1989="","",IF(ISNA(MATCH($D1989,'Paramètres'!$M:$M,0)),"⚠ Type inconnu",IF($L1989="Crédit","",IFERROR(INDEX('Paramètres'!$O:$O,MATCH($D1989,'Paramètres'!$M:$M,0))&amp;"",""))))</f>
        <v/>
      </c>
      <c r="N1989" s="6" t="str">
        <f>IF($D1989="","",IFERROR(INDEX('Paramètres'!$Q:$Q,MATCH($D1989,'Paramètres'!$M:$M,0))&amp;"",""))</f>
        <v/>
      </c>
      <c r="O1989" s="6" t="str">
        <f>IF($A1989="","",IF(OR($J1989&lt;&gt;"x",$A1989&lt;=FinReleve),1,0))</f>
        <v/>
      </c>
      <c r="P1989" s="6" t="str">
        <f>IF($D1989="","",IF(AND($L1989="Crédit",OR(IFERROR(INDEX('Paramètres'!$O:$O,MATCH($D1989,'Paramètres'!$M:$M,0))&amp;"","")&lt;&gt;"",ISNUMBER(SEARCH("remboursement",IFERROR(INDEX('Paramètres'!$N:$N,MATCH($D1989,'Paramètres'!$M:$M,0))&amp;"",""))))),1,0))</f>
        <v/>
      </c>
      <c r="Q1989" s="6" t="str">
        <f>IF($K1989="","",IF(ISNUMBER(SEARCH("transfert-interne",IFERROR(INDEX('Paramètres'!$N:$N,MATCH($D1989,'Paramètres'!$M:$M,0))&amp;"",""))),0,IF($L1989="Débit",$K1989,IF($P1989=1,-$K1989,0))))</f>
        <v/>
      </c>
      <c r="R1989" s="6" t="str">
        <f>IF($K1989="","",IF($L1989="Crédit",$K1989,-$K1989))</f>
        <v/>
      </c>
      <c r="S1989" s="6" t="str">
        <f>IF($C1989="","",IFERROR(INDEX('Paramètres'!$H:$H,MATCH($C1989,'Paramètres'!$D:$D,0))&amp;"",""))</f>
        <v/>
      </c>
      <c r="T1989" s="6" t="str">
        <f>IF($K1989="","",IF($S1989="",0,IF(ISNUMBER(SEARCH("apport-exterieur",IFERROR(INDEX('Paramètres'!$N:$N,MATCH($D1989,'Paramètres'!$M:$M,0))&amp;"",""))),0,IF(OR(IFERROR(INDEX('Paramètres'!$I:$I,MATCH($C1989,'Paramètres'!$D:$D,0))&amp;"","")="Les deux",IFERROR(INDEX('Paramètres'!$I:$I,MATCH($C1989,'Paramètres'!$D:$D,0))&amp;"","")=IF($P1989=1,"Débit",$L1989)),-IF($P1989=1,-$K1989,$K1989),0))))</f>
        <v/>
      </c>
      <c r="U1989" s="6" t="str">
        <f>IF($K1989="","",IF(ISNUMBER(SEARCH("sortie-epargne",IFERROR(INDEX('Paramètres'!$N:$N,MATCH($D1989,'Paramètres'!$M:$M,0))&amp;"",""))),$K1989,0))</f>
        <v/>
      </c>
      <c r="V1989" s="6" t="str">
        <f>IF(AND($A1989&lt;&gt;"",$O1989=1,$L1989="Débit",N($Q1989)&gt;0,$A1989&gt;=Visualisation!$B$1,$A1989&lt;Visualisation!$D$1),MAX($V$1:V1988)+1,"")</f>
        <v/>
      </c>
    </row>
    <row r="1990" spans="1:22" x14ac:dyDescent="0.25">
      <c r="A1990" s="9"/>
      <c r="E1990" s="10"/>
      <c r="K1990" s="11" t="str">
        <f>IF($E1990="","",ROUND($E1990*IF(ISNA(MATCH($C1990,'Paramètres'!$D:$D,0)),1,IF(INDEX('Paramètres'!$J:$J,MATCH($C1990,'Paramètres'!$D:$D,0))="",1,INDEX('Paramètres'!$J:$J,MATCH($C1990,'Paramètres'!$D:$D,0)))),2))</f>
        <v/>
      </c>
      <c r="L1990" s="6" t="str">
        <f>IF($D1990="","",IF($F1990&lt;&gt;"",$F1990,IF(ISNA(MATCH($D1990,'Paramètres'!$M:$M,0)),"⚠ Type inconnu",IFERROR(INDEX('Paramètres'!$P:$P,MATCH($D1990,'Paramètres'!$M:$M,0))&amp;"",""))))</f>
        <v/>
      </c>
      <c r="M1990" s="6" t="str">
        <f>IF($D1990="","",IF(ISNA(MATCH($D1990,'Paramètres'!$M:$M,0)),"⚠ Type inconnu",IF($L1990="Crédit","",IFERROR(INDEX('Paramètres'!$O:$O,MATCH($D1990,'Paramètres'!$M:$M,0))&amp;"",""))))</f>
        <v/>
      </c>
      <c r="N1990" s="6" t="str">
        <f>IF($D1990="","",IFERROR(INDEX('Paramètres'!$Q:$Q,MATCH($D1990,'Paramètres'!$M:$M,0))&amp;"",""))</f>
        <v/>
      </c>
      <c r="O1990" s="6" t="str">
        <f>IF($A1990="","",IF(OR($J1990&lt;&gt;"x",$A1990&lt;=FinReleve),1,0))</f>
        <v/>
      </c>
      <c r="P1990" s="6" t="str">
        <f>IF($D1990="","",IF(AND($L1990="Crédit",OR(IFERROR(INDEX('Paramètres'!$O:$O,MATCH($D1990,'Paramètres'!$M:$M,0))&amp;"","")&lt;&gt;"",ISNUMBER(SEARCH("remboursement",IFERROR(INDEX('Paramètres'!$N:$N,MATCH($D1990,'Paramètres'!$M:$M,0))&amp;"",""))))),1,0))</f>
        <v/>
      </c>
      <c r="Q1990" s="6" t="str">
        <f>IF($K1990="","",IF(ISNUMBER(SEARCH("transfert-interne",IFERROR(INDEX('Paramètres'!$N:$N,MATCH($D1990,'Paramètres'!$M:$M,0))&amp;"",""))),0,IF($L1990="Débit",$K1990,IF($P1990=1,-$K1990,0))))</f>
        <v/>
      </c>
      <c r="R1990" s="6" t="str">
        <f>IF($K1990="","",IF($L1990="Crédit",$K1990,-$K1990))</f>
        <v/>
      </c>
      <c r="S1990" s="6" t="str">
        <f>IF($C1990="","",IFERROR(INDEX('Paramètres'!$H:$H,MATCH($C1990,'Paramètres'!$D:$D,0))&amp;"",""))</f>
        <v/>
      </c>
      <c r="T1990" s="6" t="str">
        <f>IF($K1990="","",IF($S1990="",0,IF(ISNUMBER(SEARCH("apport-exterieur",IFERROR(INDEX('Paramètres'!$N:$N,MATCH($D1990,'Paramètres'!$M:$M,0))&amp;"",""))),0,IF(OR(IFERROR(INDEX('Paramètres'!$I:$I,MATCH($C1990,'Paramètres'!$D:$D,0))&amp;"","")="Les deux",IFERROR(INDEX('Paramètres'!$I:$I,MATCH($C1990,'Paramètres'!$D:$D,0))&amp;"","")=IF($P1990=1,"Débit",$L1990)),-IF($P1990=1,-$K1990,$K1990),0))))</f>
        <v/>
      </c>
      <c r="U1990" s="6" t="str">
        <f>IF($K1990="","",IF(ISNUMBER(SEARCH("sortie-epargne",IFERROR(INDEX('Paramètres'!$N:$N,MATCH($D1990,'Paramètres'!$M:$M,0))&amp;"",""))),$K1990,0))</f>
        <v/>
      </c>
      <c r="V1990" s="6" t="str">
        <f>IF(AND($A1990&lt;&gt;"",$O1990=1,$L1990="Débit",N($Q1990)&gt;0,$A1990&gt;=Visualisation!$B$1,$A1990&lt;Visualisation!$D$1),MAX($V$1:V1989)+1,"")</f>
        <v/>
      </c>
    </row>
    <row r="1991" spans="1:22" x14ac:dyDescent="0.25">
      <c r="A1991" s="9"/>
      <c r="E1991" s="10"/>
      <c r="K1991" s="11" t="str">
        <f>IF($E1991="","",ROUND($E1991*IF(ISNA(MATCH($C1991,'Paramètres'!$D:$D,0)),1,IF(INDEX('Paramètres'!$J:$J,MATCH($C1991,'Paramètres'!$D:$D,0))="",1,INDEX('Paramètres'!$J:$J,MATCH($C1991,'Paramètres'!$D:$D,0)))),2))</f>
        <v/>
      </c>
      <c r="L1991" s="6" t="str">
        <f>IF($D1991="","",IF($F1991&lt;&gt;"",$F1991,IF(ISNA(MATCH($D1991,'Paramètres'!$M:$M,0)),"⚠ Type inconnu",IFERROR(INDEX('Paramètres'!$P:$P,MATCH($D1991,'Paramètres'!$M:$M,0))&amp;"",""))))</f>
        <v/>
      </c>
      <c r="M1991" s="6" t="str">
        <f>IF($D1991="","",IF(ISNA(MATCH($D1991,'Paramètres'!$M:$M,0)),"⚠ Type inconnu",IF($L1991="Crédit","",IFERROR(INDEX('Paramètres'!$O:$O,MATCH($D1991,'Paramètres'!$M:$M,0))&amp;"",""))))</f>
        <v/>
      </c>
      <c r="N1991" s="6" t="str">
        <f>IF($D1991="","",IFERROR(INDEX('Paramètres'!$Q:$Q,MATCH($D1991,'Paramètres'!$M:$M,0))&amp;"",""))</f>
        <v/>
      </c>
      <c r="O1991" s="6" t="str">
        <f>IF($A1991="","",IF(OR($J1991&lt;&gt;"x",$A1991&lt;=FinReleve),1,0))</f>
        <v/>
      </c>
      <c r="P1991" s="6" t="str">
        <f>IF($D1991="","",IF(AND($L1991="Crédit",OR(IFERROR(INDEX('Paramètres'!$O:$O,MATCH($D1991,'Paramètres'!$M:$M,0))&amp;"","")&lt;&gt;"",ISNUMBER(SEARCH("remboursement",IFERROR(INDEX('Paramètres'!$N:$N,MATCH($D1991,'Paramètres'!$M:$M,0))&amp;"",""))))),1,0))</f>
        <v/>
      </c>
      <c r="Q1991" s="6" t="str">
        <f>IF($K1991="","",IF(ISNUMBER(SEARCH("transfert-interne",IFERROR(INDEX('Paramètres'!$N:$N,MATCH($D1991,'Paramètres'!$M:$M,0))&amp;"",""))),0,IF($L1991="Débit",$K1991,IF($P1991=1,-$K1991,0))))</f>
        <v/>
      </c>
      <c r="R1991" s="6" t="str">
        <f>IF($K1991="","",IF($L1991="Crédit",$K1991,-$K1991))</f>
        <v/>
      </c>
      <c r="S1991" s="6" t="str">
        <f>IF($C1991="","",IFERROR(INDEX('Paramètres'!$H:$H,MATCH($C1991,'Paramètres'!$D:$D,0))&amp;"",""))</f>
        <v/>
      </c>
      <c r="T1991" s="6" t="str">
        <f>IF($K1991="","",IF($S1991="",0,IF(ISNUMBER(SEARCH("apport-exterieur",IFERROR(INDEX('Paramètres'!$N:$N,MATCH($D1991,'Paramètres'!$M:$M,0))&amp;"",""))),0,IF(OR(IFERROR(INDEX('Paramètres'!$I:$I,MATCH($C1991,'Paramètres'!$D:$D,0))&amp;"","")="Les deux",IFERROR(INDEX('Paramètres'!$I:$I,MATCH($C1991,'Paramètres'!$D:$D,0))&amp;"","")=IF($P1991=1,"Débit",$L1991)),-IF($P1991=1,-$K1991,$K1991),0))))</f>
        <v/>
      </c>
      <c r="U1991" s="6" t="str">
        <f>IF($K1991="","",IF(ISNUMBER(SEARCH("sortie-epargne",IFERROR(INDEX('Paramètres'!$N:$N,MATCH($D1991,'Paramètres'!$M:$M,0))&amp;"",""))),$K1991,0))</f>
        <v/>
      </c>
      <c r="V1991" s="6" t="str">
        <f>IF(AND($A1991&lt;&gt;"",$O1991=1,$L1991="Débit",N($Q1991)&gt;0,$A1991&gt;=Visualisation!$B$1,$A1991&lt;Visualisation!$D$1),MAX($V$1:V1990)+1,"")</f>
        <v/>
      </c>
    </row>
    <row r="1992" spans="1:22" x14ac:dyDescent="0.25">
      <c r="A1992" s="9"/>
      <c r="E1992" s="10"/>
      <c r="K1992" s="11" t="str">
        <f>IF($E1992="","",ROUND($E1992*IF(ISNA(MATCH($C1992,'Paramètres'!$D:$D,0)),1,IF(INDEX('Paramètres'!$J:$J,MATCH($C1992,'Paramètres'!$D:$D,0))="",1,INDEX('Paramètres'!$J:$J,MATCH($C1992,'Paramètres'!$D:$D,0)))),2))</f>
        <v/>
      </c>
      <c r="L1992" s="6" t="str">
        <f>IF($D1992="","",IF($F1992&lt;&gt;"",$F1992,IF(ISNA(MATCH($D1992,'Paramètres'!$M:$M,0)),"⚠ Type inconnu",IFERROR(INDEX('Paramètres'!$P:$P,MATCH($D1992,'Paramètres'!$M:$M,0))&amp;"",""))))</f>
        <v/>
      </c>
      <c r="M1992" s="6" t="str">
        <f>IF($D1992="","",IF(ISNA(MATCH($D1992,'Paramètres'!$M:$M,0)),"⚠ Type inconnu",IF($L1992="Crédit","",IFERROR(INDEX('Paramètres'!$O:$O,MATCH($D1992,'Paramètres'!$M:$M,0))&amp;"",""))))</f>
        <v/>
      </c>
      <c r="N1992" s="6" t="str">
        <f>IF($D1992="","",IFERROR(INDEX('Paramètres'!$Q:$Q,MATCH($D1992,'Paramètres'!$M:$M,0))&amp;"",""))</f>
        <v/>
      </c>
      <c r="O1992" s="6" t="str">
        <f>IF($A1992="","",IF(OR($J1992&lt;&gt;"x",$A1992&lt;=FinReleve),1,0))</f>
        <v/>
      </c>
      <c r="P1992" s="6" t="str">
        <f>IF($D1992="","",IF(AND($L1992="Crédit",OR(IFERROR(INDEX('Paramètres'!$O:$O,MATCH($D1992,'Paramètres'!$M:$M,0))&amp;"","")&lt;&gt;"",ISNUMBER(SEARCH("remboursement",IFERROR(INDEX('Paramètres'!$N:$N,MATCH($D1992,'Paramètres'!$M:$M,0))&amp;"",""))))),1,0))</f>
        <v/>
      </c>
      <c r="Q1992" s="6" t="str">
        <f>IF($K1992="","",IF(ISNUMBER(SEARCH("transfert-interne",IFERROR(INDEX('Paramètres'!$N:$N,MATCH($D1992,'Paramètres'!$M:$M,0))&amp;"",""))),0,IF($L1992="Débit",$K1992,IF($P1992=1,-$K1992,0))))</f>
        <v/>
      </c>
      <c r="R1992" s="6" t="str">
        <f>IF($K1992="","",IF($L1992="Crédit",$K1992,-$K1992))</f>
        <v/>
      </c>
      <c r="S1992" s="6" t="str">
        <f>IF($C1992="","",IFERROR(INDEX('Paramètres'!$H:$H,MATCH($C1992,'Paramètres'!$D:$D,0))&amp;"",""))</f>
        <v/>
      </c>
      <c r="T1992" s="6" t="str">
        <f>IF($K1992="","",IF($S1992="",0,IF(ISNUMBER(SEARCH("apport-exterieur",IFERROR(INDEX('Paramètres'!$N:$N,MATCH($D1992,'Paramètres'!$M:$M,0))&amp;"",""))),0,IF(OR(IFERROR(INDEX('Paramètres'!$I:$I,MATCH($C1992,'Paramètres'!$D:$D,0))&amp;"","")="Les deux",IFERROR(INDEX('Paramètres'!$I:$I,MATCH($C1992,'Paramètres'!$D:$D,0))&amp;"","")=IF($P1992=1,"Débit",$L1992)),-IF($P1992=1,-$K1992,$K1992),0))))</f>
        <v/>
      </c>
      <c r="U1992" s="6" t="str">
        <f>IF($K1992="","",IF(ISNUMBER(SEARCH("sortie-epargne",IFERROR(INDEX('Paramètres'!$N:$N,MATCH($D1992,'Paramètres'!$M:$M,0))&amp;"",""))),$K1992,0))</f>
        <v/>
      </c>
      <c r="V1992" s="6" t="str">
        <f>IF(AND($A1992&lt;&gt;"",$O1992=1,$L1992="Débit",N($Q1992)&gt;0,$A1992&gt;=Visualisation!$B$1,$A1992&lt;Visualisation!$D$1),MAX($V$1:V1991)+1,"")</f>
        <v/>
      </c>
    </row>
    <row r="1993" spans="1:22" x14ac:dyDescent="0.25">
      <c r="A1993" s="9"/>
      <c r="E1993" s="10"/>
      <c r="K1993" s="11" t="str">
        <f>IF($E1993="","",ROUND($E1993*IF(ISNA(MATCH($C1993,'Paramètres'!$D:$D,0)),1,IF(INDEX('Paramètres'!$J:$J,MATCH($C1993,'Paramètres'!$D:$D,0))="",1,INDEX('Paramètres'!$J:$J,MATCH($C1993,'Paramètres'!$D:$D,0)))),2))</f>
        <v/>
      </c>
      <c r="L1993" s="6" t="str">
        <f>IF($D1993="","",IF($F1993&lt;&gt;"",$F1993,IF(ISNA(MATCH($D1993,'Paramètres'!$M:$M,0)),"⚠ Type inconnu",IFERROR(INDEX('Paramètres'!$P:$P,MATCH($D1993,'Paramètres'!$M:$M,0))&amp;"",""))))</f>
        <v/>
      </c>
      <c r="M1993" s="6" t="str">
        <f>IF($D1993="","",IF(ISNA(MATCH($D1993,'Paramètres'!$M:$M,0)),"⚠ Type inconnu",IF($L1993="Crédit","",IFERROR(INDEX('Paramètres'!$O:$O,MATCH($D1993,'Paramètres'!$M:$M,0))&amp;"",""))))</f>
        <v/>
      </c>
      <c r="N1993" s="6" t="str">
        <f>IF($D1993="","",IFERROR(INDEX('Paramètres'!$Q:$Q,MATCH($D1993,'Paramètres'!$M:$M,0))&amp;"",""))</f>
        <v/>
      </c>
      <c r="O1993" s="6" t="str">
        <f>IF($A1993="","",IF(OR($J1993&lt;&gt;"x",$A1993&lt;=FinReleve),1,0))</f>
        <v/>
      </c>
      <c r="P1993" s="6" t="str">
        <f>IF($D1993="","",IF(AND($L1993="Crédit",OR(IFERROR(INDEX('Paramètres'!$O:$O,MATCH($D1993,'Paramètres'!$M:$M,0))&amp;"","")&lt;&gt;"",ISNUMBER(SEARCH("remboursement",IFERROR(INDEX('Paramètres'!$N:$N,MATCH($D1993,'Paramètres'!$M:$M,0))&amp;"",""))))),1,0))</f>
        <v/>
      </c>
      <c r="Q1993" s="6" t="str">
        <f>IF($K1993="","",IF(ISNUMBER(SEARCH("transfert-interne",IFERROR(INDEX('Paramètres'!$N:$N,MATCH($D1993,'Paramètres'!$M:$M,0))&amp;"",""))),0,IF($L1993="Débit",$K1993,IF($P1993=1,-$K1993,0))))</f>
        <v/>
      </c>
      <c r="R1993" s="6" t="str">
        <f>IF($K1993="","",IF($L1993="Crédit",$K1993,-$K1993))</f>
        <v/>
      </c>
      <c r="S1993" s="6" t="str">
        <f>IF($C1993="","",IFERROR(INDEX('Paramètres'!$H:$H,MATCH($C1993,'Paramètres'!$D:$D,0))&amp;"",""))</f>
        <v/>
      </c>
      <c r="T1993" s="6" t="str">
        <f>IF($K1993="","",IF($S1993="",0,IF(ISNUMBER(SEARCH("apport-exterieur",IFERROR(INDEX('Paramètres'!$N:$N,MATCH($D1993,'Paramètres'!$M:$M,0))&amp;"",""))),0,IF(OR(IFERROR(INDEX('Paramètres'!$I:$I,MATCH($C1993,'Paramètres'!$D:$D,0))&amp;"","")="Les deux",IFERROR(INDEX('Paramètres'!$I:$I,MATCH($C1993,'Paramètres'!$D:$D,0))&amp;"","")=IF($P1993=1,"Débit",$L1993)),-IF($P1993=1,-$K1993,$K1993),0))))</f>
        <v/>
      </c>
      <c r="U1993" s="6" t="str">
        <f>IF($K1993="","",IF(ISNUMBER(SEARCH("sortie-epargne",IFERROR(INDEX('Paramètres'!$N:$N,MATCH($D1993,'Paramètres'!$M:$M,0))&amp;"",""))),$K1993,0))</f>
        <v/>
      </c>
      <c r="V1993" s="6" t="str">
        <f>IF(AND($A1993&lt;&gt;"",$O1993=1,$L1993="Débit",N($Q1993)&gt;0,$A1993&gt;=Visualisation!$B$1,$A1993&lt;Visualisation!$D$1),MAX($V$1:V1992)+1,"")</f>
        <v/>
      </c>
    </row>
    <row r="1994" spans="1:22" x14ac:dyDescent="0.25">
      <c r="A1994" s="9"/>
      <c r="E1994" s="10"/>
      <c r="K1994" s="11" t="str">
        <f>IF($E1994="","",ROUND($E1994*IF(ISNA(MATCH($C1994,'Paramètres'!$D:$D,0)),1,IF(INDEX('Paramètres'!$J:$J,MATCH($C1994,'Paramètres'!$D:$D,0))="",1,INDEX('Paramètres'!$J:$J,MATCH($C1994,'Paramètres'!$D:$D,0)))),2))</f>
        <v/>
      </c>
      <c r="L1994" s="6" t="str">
        <f>IF($D1994="","",IF($F1994&lt;&gt;"",$F1994,IF(ISNA(MATCH($D1994,'Paramètres'!$M:$M,0)),"⚠ Type inconnu",IFERROR(INDEX('Paramètres'!$P:$P,MATCH($D1994,'Paramètres'!$M:$M,0))&amp;"",""))))</f>
        <v/>
      </c>
      <c r="M1994" s="6" t="str">
        <f>IF($D1994="","",IF(ISNA(MATCH($D1994,'Paramètres'!$M:$M,0)),"⚠ Type inconnu",IF($L1994="Crédit","",IFERROR(INDEX('Paramètres'!$O:$O,MATCH($D1994,'Paramètres'!$M:$M,0))&amp;"",""))))</f>
        <v/>
      </c>
      <c r="N1994" s="6" t="str">
        <f>IF($D1994="","",IFERROR(INDEX('Paramètres'!$Q:$Q,MATCH($D1994,'Paramètres'!$M:$M,0))&amp;"",""))</f>
        <v/>
      </c>
      <c r="O1994" s="6" t="str">
        <f>IF($A1994="","",IF(OR($J1994&lt;&gt;"x",$A1994&lt;=FinReleve),1,0))</f>
        <v/>
      </c>
      <c r="P1994" s="6" t="str">
        <f>IF($D1994="","",IF(AND($L1994="Crédit",OR(IFERROR(INDEX('Paramètres'!$O:$O,MATCH($D1994,'Paramètres'!$M:$M,0))&amp;"","")&lt;&gt;"",ISNUMBER(SEARCH("remboursement",IFERROR(INDEX('Paramètres'!$N:$N,MATCH($D1994,'Paramètres'!$M:$M,0))&amp;"",""))))),1,0))</f>
        <v/>
      </c>
      <c r="Q1994" s="6" t="str">
        <f>IF($K1994="","",IF(ISNUMBER(SEARCH("transfert-interne",IFERROR(INDEX('Paramètres'!$N:$N,MATCH($D1994,'Paramètres'!$M:$M,0))&amp;"",""))),0,IF($L1994="Débit",$K1994,IF($P1994=1,-$K1994,0))))</f>
        <v/>
      </c>
      <c r="R1994" s="6" t="str">
        <f>IF($K1994="","",IF($L1994="Crédit",$K1994,-$K1994))</f>
        <v/>
      </c>
      <c r="S1994" s="6" t="str">
        <f>IF($C1994="","",IFERROR(INDEX('Paramètres'!$H:$H,MATCH($C1994,'Paramètres'!$D:$D,0))&amp;"",""))</f>
        <v/>
      </c>
      <c r="T1994" s="6" t="str">
        <f>IF($K1994="","",IF($S1994="",0,IF(ISNUMBER(SEARCH("apport-exterieur",IFERROR(INDEX('Paramètres'!$N:$N,MATCH($D1994,'Paramètres'!$M:$M,0))&amp;"",""))),0,IF(OR(IFERROR(INDEX('Paramètres'!$I:$I,MATCH($C1994,'Paramètres'!$D:$D,0))&amp;"","")="Les deux",IFERROR(INDEX('Paramètres'!$I:$I,MATCH($C1994,'Paramètres'!$D:$D,0))&amp;"","")=IF($P1994=1,"Débit",$L1994)),-IF($P1994=1,-$K1994,$K1994),0))))</f>
        <v/>
      </c>
      <c r="U1994" s="6" t="str">
        <f>IF($K1994="","",IF(ISNUMBER(SEARCH("sortie-epargne",IFERROR(INDEX('Paramètres'!$N:$N,MATCH($D1994,'Paramètres'!$M:$M,0))&amp;"",""))),$K1994,0))</f>
        <v/>
      </c>
      <c r="V1994" s="6" t="str">
        <f>IF(AND($A1994&lt;&gt;"",$O1994=1,$L1994="Débit",N($Q1994)&gt;0,$A1994&gt;=Visualisation!$B$1,$A1994&lt;Visualisation!$D$1),MAX($V$1:V1993)+1,"")</f>
        <v/>
      </c>
    </row>
    <row r="1995" spans="1:22" x14ac:dyDescent="0.25">
      <c r="A1995" s="9"/>
      <c r="E1995" s="10"/>
      <c r="K1995" s="11" t="str">
        <f>IF($E1995="","",ROUND($E1995*IF(ISNA(MATCH($C1995,'Paramètres'!$D:$D,0)),1,IF(INDEX('Paramètres'!$J:$J,MATCH($C1995,'Paramètres'!$D:$D,0))="",1,INDEX('Paramètres'!$J:$J,MATCH($C1995,'Paramètres'!$D:$D,0)))),2))</f>
        <v/>
      </c>
      <c r="L1995" s="6" t="str">
        <f>IF($D1995="","",IF($F1995&lt;&gt;"",$F1995,IF(ISNA(MATCH($D1995,'Paramètres'!$M:$M,0)),"⚠ Type inconnu",IFERROR(INDEX('Paramètres'!$P:$P,MATCH($D1995,'Paramètres'!$M:$M,0))&amp;"",""))))</f>
        <v/>
      </c>
      <c r="M1995" s="6" t="str">
        <f>IF($D1995="","",IF(ISNA(MATCH($D1995,'Paramètres'!$M:$M,0)),"⚠ Type inconnu",IF($L1995="Crédit","",IFERROR(INDEX('Paramètres'!$O:$O,MATCH($D1995,'Paramètres'!$M:$M,0))&amp;"",""))))</f>
        <v/>
      </c>
      <c r="N1995" s="6" t="str">
        <f>IF($D1995="","",IFERROR(INDEX('Paramètres'!$Q:$Q,MATCH($D1995,'Paramètres'!$M:$M,0))&amp;"",""))</f>
        <v/>
      </c>
      <c r="O1995" s="6" t="str">
        <f>IF($A1995="","",IF(OR($J1995&lt;&gt;"x",$A1995&lt;=FinReleve),1,0))</f>
        <v/>
      </c>
      <c r="P1995" s="6" t="str">
        <f>IF($D1995="","",IF(AND($L1995="Crédit",OR(IFERROR(INDEX('Paramètres'!$O:$O,MATCH($D1995,'Paramètres'!$M:$M,0))&amp;"","")&lt;&gt;"",ISNUMBER(SEARCH("remboursement",IFERROR(INDEX('Paramètres'!$N:$N,MATCH($D1995,'Paramètres'!$M:$M,0))&amp;"",""))))),1,0))</f>
        <v/>
      </c>
      <c r="Q1995" s="6" t="str">
        <f>IF($K1995="","",IF(ISNUMBER(SEARCH("transfert-interne",IFERROR(INDEX('Paramètres'!$N:$N,MATCH($D1995,'Paramètres'!$M:$M,0))&amp;"",""))),0,IF($L1995="Débit",$K1995,IF($P1995=1,-$K1995,0))))</f>
        <v/>
      </c>
      <c r="R1995" s="6" t="str">
        <f>IF($K1995="","",IF($L1995="Crédit",$K1995,-$K1995))</f>
        <v/>
      </c>
      <c r="S1995" s="6" t="str">
        <f>IF($C1995="","",IFERROR(INDEX('Paramètres'!$H:$H,MATCH($C1995,'Paramètres'!$D:$D,0))&amp;"",""))</f>
        <v/>
      </c>
      <c r="T1995" s="6" t="str">
        <f>IF($K1995="","",IF($S1995="",0,IF(ISNUMBER(SEARCH("apport-exterieur",IFERROR(INDEX('Paramètres'!$N:$N,MATCH($D1995,'Paramètres'!$M:$M,0))&amp;"",""))),0,IF(OR(IFERROR(INDEX('Paramètres'!$I:$I,MATCH($C1995,'Paramètres'!$D:$D,0))&amp;"","")="Les deux",IFERROR(INDEX('Paramètres'!$I:$I,MATCH($C1995,'Paramètres'!$D:$D,0))&amp;"","")=IF($P1995=1,"Débit",$L1995)),-IF($P1995=1,-$K1995,$K1995),0))))</f>
        <v/>
      </c>
      <c r="U1995" s="6" t="str">
        <f>IF($K1995="","",IF(ISNUMBER(SEARCH("sortie-epargne",IFERROR(INDEX('Paramètres'!$N:$N,MATCH($D1995,'Paramètres'!$M:$M,0))&amp;"",""))),$K1995,0))</f>
        <v/>
      </c>
      <c r="V1995" s="6" t="str">
        <f>IF(AND($A1995&lt;&gt;"",$O1995=1,$L1995="Débit",N($Q1995)&gt;0,$A1995&gt;=Visualisation!$B$1,$A1995&lt;Visualisation!$D$1),MAX($V$1:V1994)+1,"")</f>
        <v/>
      </c>
    </row>
    <row r="1996" spans="1:22" x14ac:dyDescent="0.25">
      <c r="A1996" s="9"/>
      <c r="E1996" s="10"/>
      <c r="K1996" s="11" t="str">
        <f>IF($E1996="","",ROUND($E1996*IF(ISNA(MATCH($C1996,'Paramètres'!$D:$D,0)),1,IF(INDEX('Paramètres'!$J:$J,MATCH($C1996,'Paramètres'!$D:$D,0))="",1,INDEX('Paramètres'!$J:$J,MATCH($C1996,'Paramètres'!$D:$D,0)))),2))</f>
        <v/>
      </c>
      <c r="L1996" s="6" t="str">
        <f>IF($D1996="","",IF($F1996&lt;&gt;"",$F1996,IF(ISNA(MATCH($D1996,'Paramètres'!$M:$M,0)),"⚠ Type inconnu",IFERROR(INDEX('Paramètres'!$P:$P,MATCH($D1996,'Paramètres'!$M:$M,0))&amp;"",""))))</f>
        <v/>
      </c>
      <c r="M1996" s="6" t="str">
        <f>IF($D1996="","",IF(ISNA(MATCH($D1996,'Paramètres'!$M:$M,0)),"⚠ Type inconnu",IF($L1996="Crédit","",IFERROR(INDEX('Paramètres'!$O:$O,MATCH($D1996,'Paramètres'!$M:$M,0))&amp;"",""))))</f>
        <v/>
      </c>
      <c r="N1996" s="6" t="str">
        <f>IF($D1996="","",IFERROR(INDEX('Paramètres'!$Q:$Q,MATCH($D1996,'Paramètres'!$M:$M,0))&amp;"",""))</f>
        <v/>
      </c>
      <c r="O1996" s="6" t="str">
        <f>IF($A1996="","",IF(OR($J1996&lt;&gt;"x",$A1996&lt;=FinReleve),1,0))</f>
        <v/>
      </c>
      <c r="P1996" s="6" t="str">
        <f>IF($D1996="","",IF(AND($L1996="Crédit",OR(IFERROR(INDEX('Paramètres'!$O:$O,MATCH($D1996,'Paramètres'!$M:$M,0))&amp;"","")&lt;&gt;"",ISNUMBER(SEARCH("remboursement",IFERROR(INDEX('Paramètres'!$N:$N,MATCH($D1996,'Paramètres'!$M:$M,0))&amp;"",""))))),1,0))</f>
        <v/>
      </c>
      <c r="Q1996" s="6" t="str">
        <f>IF($K1996="","",IF(ISNUMBER(SEARCH("transfert-interne",IFERROR(INDEX('Paramètres'!$N:$N,MATCH($D1996,'Paramètres'!$M:$M,0))&amp;"",""))),0,IF($L1996="Débit",$K1996,IF($P1996=1,-$K1996,0))))</f>
        <v/>
      </c>
      <c r="R1996" s="6" t="str">
        <f>IF($K1996="","",IF($L1996="Crédit",$K1996,-$K1996))</f>
        <v/>
      </c>
      <c r="S1996" s="6" t="str">
        <f>IF($C1996="","",IFERROR(INDEX('Paramètres'!$H:$H,MATCH($C1996,'Paramètres'!$D:$D,0))&amp;"",""))</f>
        <v/>
      </c>
      <c r="T1996" s="6" t="str">
        <f>IF($K1996="","",IF($S1996="",0,IF(ISNUMBER(SEARCH("apport-exterieur",IFERROR(INDEX('Paramètres'!$N:$N,MATCH($D1996,'Paramètres'!$M:$M,0))&amp;"",""))),0,IF(OR(IFERROR(INDEX('Paramètres'!$I:$I,MATCH($C1996,'Paramètres'!$D:$D,0))&amp;"","")="Les deux",IFERROR(INDEX('Paramètres'!$I:$I,MATCH($C1996,'Paramètres'!$D:$D,0))&amp;"","")=IF($P1996=1,"Débit",$L1996)),-IF($P1996=1,-$K1996,$K1996),0))))</f>
        <v/>
      </c>
      <c r="U1996" s="6" t="str">
        <f>IF($K1996="","",IF(ISNUMBER(SEARCH("sortie-epargne",IFERROR(INDEX('Paramètres'!$N:$N,MATCH($D1996,'Paramètres'!$M:$M,0))&amp;"",""))),$K1996,0))</f>
        <v/>
      </c>
      <c r="V1996" s="6" t="str">
        <f>IF(AND($A1996&lt;&gt;"",$O1996=1,$L1996="Débit",N($Q1996)&gt;0,$A1996&gt;=Visualisation!$B$1,$A1996&lt;Visualisation!$D$1),MAX($V$1:V1995)+1,"")</f>
        <v/>
      </c>
    </row>
    <row r="1997" spans="1:22" x14ac:dyDescent="0.25">
      <c r="A1997" s="9"/>
      <c r="E1997" s="10"/>
      <c r="K1997" s="11" t="str">
        <f>IF($E1997="","",ROUND($E1997*IF(ISNA(MATCH($C1997,'Paramètres'!$D:$D,0)),1,IF(INDEX('Paramètres'!$J:$J,MATCH($C1997,'Paramètres'!$D:$D,0))="",1,INDEX('Paramètres'!$J:$J,MATCH($C1997,'Paramètres'!$D:$D,0)))),2))</f>
        <v/>
      </c>
      <c r="L1997" s="6" t="str">
        <f>IF($D1997="","",IF($F1997&lt;&gt;"",$F1997,IF(ISNA(MATCH($D1997,'Paramètres'!$M:$M,0)),"⚠ Type inconnu",IFERROR(INDEX('Paramètres'!$P:$P,MATCH($D1997,'Paramètres'!$M:$M,0))&amp;"",""))))</f>
        <v/>
      </c>
      <c r="M1997" s="6" t="str">
        <f>IF($D1997="","",IF(ISNA(MATCH($D1997,'Paramètres'!$M:$M,0)),"⚠ Type inconnu",IF($L1997="Crédit","",IFERROR(INDEX('Paramètres'!$O:$O,MATCH($D1997,'Paramètres'!$M:$M,0))&amp;"",""))))</f>
        <v/>
      </c>
      <c r="N1997" s="6" t="str">
        <f>IF($D1997="","",IFERROR(INDEX('Paramètres'!$Q:$Q,MATCH($D1997,'Paramètres'!$M:$M,0))&amp;"",""))</f>
        <v/>
      </c>
      <c r="O1997" s="6" t="str">
        <f>IF($A1997="","",IF(OR($J1997&lt;&gt;"x",$A1997&lt;=FinReleve),1,0))</f>
        <v/>
      </c>
      <c r="P1997" s="6" t="str">
        <f>IF($D1997="","",IF(AND($L1997="Crédit",OR(IFERROR(INDEX('Paramètres'!$O:$O,MATCH($D1997,'Paramètres'!$M:$M,0))&amp;"","")&lt;&gt;"",ISNUMBER(SEARCH("remboursement",IFERROR(INDEX('Paramètres'!$N:$N,MATCH($D1997,'Paramètres'!$M:$M,0))&amp;"",""))))),1,0))</f>
        <v/>
      </c>
      <c r="Q1997" s="6" t="str">
        <f>IF($K1997="","",IF(ISNUMBER(SEARCH("transfert-interne",IFERROR(INDEX('Paramètres'!$N:$N,MATCH($D1997,'Paramètres'!$M:$M,0))&amp;"",""))),0,IF($L1997="Débit",$K1997,IF($P1997=1,-$K1997,0))))</f>
        <v/>
      </c>
      <c r="R1997" s="6" t="str">
        <f>IF($K1997="","",IF($L1997="Crédit",$K1997,-$K1997))</f>
        <v/>
      </c>
      <c r="S1997" s="6" t="str">
        <f>IF($C1997="","",IFERROR(INDEX('Paramètres'!$H:$H,MATCH($C1997,'Paramètres'!$D:$D,0))&amp;"",""))</f>
        <v/>
      </c>
      <c r="T1997" s="6" t="str">
        <f>IF($K1997="","",IF($S1997="",0,IF(ISNUMBER(SEARCH("apport-exterieur",IFERROR(INDEX('Paramètres'!$N:$N,MATCH($D1997,'Paramètres'!$M:$M,0))&amp;"",""))),0,IF(OR(IFERROR(INDEX('Paramètres'!$I:$I,MATCH($C1997,'Paramètres'!$D:$D,0))&amp;"","")="Les deux",IFERROR(INDEX('Paramètres'!$I:$I,MATCH($C1997,'Paramètres'!$D:$D,0))&amp;"","")=IF($P1997=1,"Débit",$L1997)),-IF($P1997=1,-$K1997,$K1997),0))))</f>
        <v/>
      </c>
      <c r="U1997" s="6" t="str">
        <f>IF($K1997="","",IF(ISNUMBER(SEARCH("sortie-epargne",IFERROR(INDEX('Paramètres'!$N:$N,MATCH($D1997,'Paramètres'!$M:$M,0))&amp;"",""))),$K1997,0))</f>
        <v/>
      </c>
      <c r="V1997" s="6" t="str">
        <f>IF(AND($A1997&lt;&gt;"",$O1997=1,$L1997="Débit",N($Q1997)&gt;0,$A1997&gt;=Visualisation!$B$1,$A1997&lt;Visualisation!$D$1),MAX($V$1:V1996)+1,"")</f>
        <v/>
      </c>
    </row>
    <row r="1998" spans="1:22" x14ac:dyDescent="0.25">
      <c r="A1998" s="9"/>
      <c r="E1998" s="10"/>
      <c r="K1998" s="11" t="str">
        <f>IF($E1998="","",ROUND($E1998*IF(ISNA(MATCH($C1998,'Paramètres'!$D:$D,0)),1,IF(INDEX('Paramètres'!$J:$J,MATCH($C1998,'Paramètres'!$D:$D,0))="",1,INDEX('Paramètres'!$J:$J,MATCH($C1998,'Paramètres'!$D:$D,0)))),2))</f>
        <v/>
      </c>
      <c r="L1998" s="6" t="str">
        <f>IF($D1998="","",IF($F1998&lt;&gt;"",$F1998,IF(ISNA(MATCH($D1998,'Paramètres'!$M:$M,0)),"⚠ Type inconnu",IFERROR(INDEX('Paramètres'!$P:$P,MATCH($D1998,'Paramètres'!$M:$M,0))&amp;"",""))))</f>
        <v/>
      </c>
      <c r="M1998" s="6" t="str">
        <f>IF($D1998="","",IF(ISNA(MATCH($D1998,'Paramètres'!$M:$M,0)),"⚠ Type inconnu",IF($L1998="Crédit","",IFERROR(INDEX('Paramètres'!$O:$O,MATCH($D1998,'Paramètres'!$M:$M,0))&amp;"",""))))</f>
        <v/>
      </c>
      <c r="N1998" s="6" t="str">
        <f>IF($D1998="","",IFERROR(INDEX('Paramètres'!$Q:$Q,MATCH($D1998,'Paramètres'!$M:$M,0))&amp;"",""))</f>
        <v/>
      </c>
      <c r="O1998" s="6" t="str">
        <f>IF($A1998="","",IF(OR($J1998&lt;&gt;"x",$A1998&lt;=FinReleve),1,0))</f>
        <v/>
      </c>
      <c r="P1998" s="6" t="str">
        <f>IF($D1998="","",IF(AND($L1998="Crédit",OR(IFERROR(INDEX('Paramètres'!$O:$O,MATCH($D1998,'Paramètres'!$M:$M,0))&amp;"","")&lt;&gt;"",ISNUMBER(SEARCH("remboursement",IFERROR(INDEX('Paramètres'!$N:$N,MATCH($D1998,'Paramètres'!$M:$M,0))&amp;"",""))))),1,0))</f>
        <v/>
      </c>
      <c r="Q1998" s="6" t="str">
        <f>IF($K1998="","",IF(ISNUMBER(SEARCH("transfert-interne",IFERROR(INDEX('Paramètres'!$N:$N,MATCH($D1998,'Paramètres'!$M:$M,0))&amp;"",""))),0,IF($L1998="Débit",$K1998,IF($P1998=1,-$K1998,0))))</f>
        <v/>
      </c>
      <c r="R1998" s="6" t="str">
        <f>IF($K1998="","",IF($L1998="Crédit",$K1998,-$K1998))</f>
        <v/>
      </c>
      <c r="S1998" s="6" t="str">
        <f>IF($C1998="","",IFERROR(INDEX('Paramètres'!$H:$H,MATCH($C1998,'Paramètres'!$D:$D,0))&amp;"",""))</f>
        <v/>
      </c>
      <c r="T1998" s="6" t="str">
        <f>IF($K1998="","",IF($S1998="",0,IF(ISNUMBER(SEARCH("apport-exterieur",IFERROR(INDEX('Paramètres'!$N:$N,MATCH($D1998,'Paramètres'!$M:$M,0))&amp;"",""))),0,IF(OR(IFERROR(INDEX('Paramètres'!$I:$I,MATCH($C1998,'Paramètres'!$D:$D,0))&amp;"","")="Les deux",IFERROR(INDEX('Paramètres'!$I:$I,MATCH($C1998,'Paramètres'!$D:$D,0))&amp;"","")=IF($P1998=1,"Débit",$L1998)),-IF($P1998=1,-$K1998,$K1998),0))))</f>
        <v/>
      </c>
      <c r="U1998" s="6" t="str">
        <f>IF($K1998="","",IF(ISNUMBER(SEARCH("sortie-epargne",IFERROR(INDEX('Paramètres'!$N:$N,MATCH($D1998,'Paramètres'!$M:$M,0))&amp;"",""))),$K1998,0))</f>
        <v/>
      </c>
      <c r="V1998" s="6" t="str">
        <f>IF(AND($A1998&lt;&gt;"",$O1998=1,$L1998="Débit",N($Q1998)&gt;0,$A1998&gt;=Visualisation!$B$1,$A1998&lt;Visualisation!$D$1),MAX($V$1:V1997)+1,"")</f>
        <v/>
      </c>
    </row>
    <row r="1999" spans="1:22" x14ac:dyDescent="0.25">
      <c r="A1999" s="9"/>
      <c r="E1999" s="10"/>
      <c r="K1999" s="11" t="str">
        <f>IF($E1999="","",ROUND($E1999*IF(ISNA(MATCH($C1999,'Paramètres'!$D:$D,0)),1,IF(INDEX('Paramètres'!$J:$J,MATCH($C1999,'Paramètres'!$D:$D,0))="",1,INDEX('Paramètres'!$J:$J,MATCH($C1999,'Paramètres'!$D:$D,0)))),2))</f>
        <v/>
      </c>
      <c r="L1999" s="6" t="str">
        <f>IF($D1999="","",IF($F1999&lt;&gt;"",$F1999,IF(ISNA(MATCH($D1999,'Paramètres'!$M:$M,0)),"⚠ Type inconnu",IFERROR(INDEX('Paramètres'!$P:$P,MATCH($D1999,'Paramètres'!$M:$M,0))&amp;"",""))))</f>
        <v/>
      </c>
      <c r="M1999" s="6" t="str">
        <f>IF($D1999="","",IF(ISNA(MATCH($D1999,'Paramètres'!$M:$M,0)),"⚠ Type inconnu",IF($L1999="Crédit","",IFERROR(INDEX('Paramètres'!$O:$O,MATCH($D1999,'Paramètres'!$M:$M,0))&amp;"",""))))</f>
        <v/>
      </c>
      <c r="N1999" s="6" t="str">
        <f>IF($D1999="","",IFERROR(INDEX('Paramètres'!$Q:$Q,MATCH($D1999,'Paramètres'!$M:$M,0))&amp;"",""))</f>
        <v/>
      </c>
      <c r="O1999" s="6" t="str">
        <f>IF($A1999="","",IF(OR($J1999&lt;&gt;"x",$A1999&lt;=FinReleve),1,0))</f>
        <v/>
      </c>
      <c r="P1999" s="6" t="str">
        <f>IF($D1999="","",IF(AND($L1999="Crédit",OR(IFERROR(INDEX('Paramètres'!$O:$O,MATCH($D1999,'Paramètres'!$M:$M,0))&amp;"","")&lt;&gt;"",ISNUMBER(SEARCH("remboursement",IFERROR(INDEX('Paramètres'!$N:$N,MATCH($D1999,'Paramètres'!$M:$M,0))&amp;"",""))))),1,0))</f>
        <v/>
      </c>
      <c r="Q1999" s="6" t="str">
        <f>IF($K1999="","",IF(ISNUMBER(SEARCH("transfert-interne",IFERROR(INDEX('Paramètres'!$N:$N,MATCH($D1999,'Paramètres'!$M:$M,0))&amp;"",""))),0,IF($L1999="Débit",$K1999,IF($P1999=1,-$K1999,0))))</f>
        <v/>
      </c>
      <c r="R1999" s="6" t="str">
        <f>IF($K1999="","",IF($L1999="Crédit",$K1999,-$K1999))</f>
        <v/>
      </c>
      <c r="S1999" s="6" t="str">
        <f>IF($C1999="","",IFERROR(INDEX('Paramètres'!$H:$H,MATCH($C1999,'Paramètres'!$D:$D,0))&amp;"",""))</f>
        <v/>
      </c>
      <c r="T1999" s="6" t="str">
        <f>IF($K1999="","",IF($S1999="",0,IF(ISNUMBER(SEARCH("apport-exterieur",IFERROR(INDEX('Paramètres'!$N:$N,MATCH($D1999,'Paramètres'!$M:$M,0))&amp;"",""))),0,IF(OR(IFERROR(INDEX('Paramètres'!$I:$I,MATCH($C1999,'Paramètres'!$D:$D,0))&amp;"","")="Les deux",IFERROR(INDEX('Paramètres'!$I:$I,MATCH($C1999,'Paramètres'!$D:$D,0))&amp;"","")=IF($P1999=1,"Débit",$L1999)),-IF($P1999=1,-$K1999,$K1999),0))))</f>
        <v/>
      </c>
      <c r="U1999" s="6" t="str">
        <f>IF($K1999="","",IF(ISNUMBER(SEARCH("sortie-epargne",IFERROR(INDEX('Paramètres'!$N:$N,MATCH($D1999,'Paramètres'!$M:$M,0))&amp;"",""))),$K1999,0))</f>
        <v/>
      </c>
      <c r="V1999" s="6" t="str">
        <f>IF(AND($A1999&lt;&gt;"",$O1999=1,$L1999="Débit",N($Q1999)&gt;0,$A1999&gt;=Visualisation!$B$1,$A1999&lt;Visualisation!$D$1),MAX($V$1:V1998)+1,"")</f>
        <v/>
      </c>
    </row>
    <row r="2000" spans="1:22" x14ac:dyDescent="0.25">
      <c r="A2000" s="9"/>
      <c r="E2000" s="10"/>
      <c r="K2000" s="11" t="str">
        <f>IF($E2000="","",ROUND($E2000*IF(ISNA(MATCH($C2000,'Paramètres'!$D:$D,0)),1,IF(INDEX('Paramètres'!$J:$J,MATCH($C2000,'Paramètres'!$D:$D,0))="",1,INDEX('Paramètres'!$J:$J,MATCH($C2000,'Paramètres'!$D:$D,0)))),2))</f>
        <v/>
      </c>
      <c r="L2000" s="6" t="str">
        <f>IF($D2000="","",IF($F2000&lt;&gt;"",$F2000,IF(ISNA(MATCH($D2000,'Paramètres'!$M:$M,0)),"⚠ Type inconnu",IFERROR(INDEX('Paramètres'!$P:$P,MATCH($D2000,'Paramètres'!$M:$M,0))&amp;"",""))))</f>
        <v/>
      </c>
      <c r="M2000" s="6" t="str">
        <f>IF($D2000="","",IF(ISNA(MATCH($D2000,'Paramètres'!$M:$M,0)),"⚠ Type inconnu",IF($L2000="Crédit","",IFERROR(INDEX('Paramètres'!$O:$O,MATCH($D2000,'Paramètres'!$M:$M,0))&amp;"",""))))</f>
        <v/>
      </c>
      <c r="N2000" s="6" t="str">
        <f>IF($D2000="","",IFERROR(INDEX('Paramètres'!$Q:$Q,MATCH($D2000,'Paramètres'!$M:$M,0))&amp;"",""))</f>
        <v/>
      </c>
      <c r="O2000" s="6" t="str">
        <f>IF($A2000="","",IF(OR($J2000&lt;&gt;"x",$A2000&lt;=FinReleve),1,0))</f>
        <v/>
      </c>
      <c r="P2000" s="6" t="str">
        <f>IF($D2000="","",IF(AND($L2000="Crédit",OR(IFERROR(INDEX('Paramètres'!$O:$O,MATCH($D2000,'Paramètres'!$M:$M,0))&amp;"","")&lt;&gt;"",ISNUMBER(SEARCH("remboursement",IFERROR(INDEX('Paramètres'!$N:$N,MATCH($D2000,'Paramètres'!$M:$M,0))&amp;"",""))))),1,0))</f>
        <v/>
      </c>
      <c r="Q2000" s="6" t="str">
        <f>IF($K2000="","",IF(ISNUMBER(SEARCH("transfert-interne",IFERROR(INDEX('Paramètres'!$N:$N,MATCH($D2000,'Paramètres'!$M:$M,0))&amp;"",""))),0,IF($L2000="Débit",$K2000,IF($P2000=1,-$K2000,0))))</f>
        <v/>
      </c>
      <c r="R2000" s="6" t="str">
        <f>IF($K2000="","",IF($L2000="Crédit",$K2000,-$K2000))</f>
        <v/>
      </c>
      <c r="S2000" s="6" t="str">
        <f>IF($C2000="","",IFERROR(INDEX('Paramètres'!$H:$H,MATCH($C2000,'Paramètres'!$D:$D,0))&amp;"",""))</f>
        <v/>
      </c>
      <c r="T2000" s="6" t="str">
        <f>IF($K2000="","",IF($S2000="",0,IF(ISNUMBER(SEARCH("apport-exterieur",IFERROR(INDEX('Paramètres'!$N:$N,MATCH($D2000,'Paramètres'!$M:$M,0))&amp;"",""))),0,IF(OR(IFERROR(INDEX('Paramètres'!$I:$I,MATCH($C2000,'Paramètres'!$D:$D,0))&amp;"","")="Les deux",IFERROR(INDEX('Paramètres'!$I:$I,MATCH($C2000,'Paramètres'!$D:$D,0))&amp;"","")=IF($P2000=1,"Débit",$L2000)),-IF($P2000=1,-$K2000,$K2000),0))))</f>
        <v/>
      </c>
      <c r="U2000" s="6" t="str">
        <f>IF($K2000="","",IF(ISNUMBER(SEARCH("sortie-epargne",IFERROR(INDEX('Paramètres'!$N:$N,MATCH($D2000,'Paramètres'!$M:$M,0))&amp;"",""))),$K2000,0))</f>
        <v/>
      </c>
      <c r="V2000" s="6" t="str">
        <f>IF(AND($A2000&lt;&gt;"",$O2000=1,$L2000="Débit",N($Q2000)&gt;0,$A2000&gt;=Visualisation!$B$1,$A2000&lt;Visualisation!$D$1),MAX($V$1:V1999)+1,"")</f>
        <v/>
      </c>
    </row>
    <row r="2001" spans="1:22" x14ac:dyDescent="0.25">
      <c r="A2001" s="9"/>
      <c r="E2001" s="10"/>
      <c r="K2001" s="11" t="str">
        <f>IF($E2001="","",ROUND($E2001*IF(ISNA(MATCH($C2001,'Paramètres'!$D:$D,0)),1,IF(INDEX('Paramètres'!$J:$J,MATCH($C2001,'Paramètres'!$D:$D,0))="",1,INDEX('Paramètres'!$J:$J,MATCH($C2001,'Paramètres'!$D:$D,0)))),2))</f>
        <v/>
      </c>
      <c r="L2001" s="6" t="str">
        <f>IF($D2001="","",IF($F2001&lt;&gt;"",$F2001,IF(ISNA(MATCH($D2001,'Paramètres'!$M:$M,0)),"⚠ Type inconnu",IFERROR(INDEX('Paramètres'!$P:$P,MATCH($D2001,'Paramètres'!$M:$M,0))&amp;"",""))))</f>
        <v/>
      </c>
      <c r="M2001" s="6" t="str">
        <f>IF($D2001="","",IF(ISNA(MATCH($D2001,'Paramètres'!$M:$M,0)),"⚠ Type inconnu",IF($L2001="Crédit","",IFERROR(INDEX('Paramètres'!$O:$O,MATCH($D2001,'Paramètres'!$M:$M,0))&amp;"",""))))</f>
        <v/>
      </c>
      <c r="N2001" s="6" t="str">
        <f>IF($D2001="","",IFERROR(INDEX('Paramètres'!$Q:$Q,MATCH($D2001,'Paramètres'!$M:$M,0))&amp;"",""))</f>
        <v/>
      </c>
      <c r="O2001" s="6" t="str">
        <f>IF($A2001="","",IF(OR($J2001&lt;&gt;"x",$A2001&lt;=FinReleve),1,0))</f>
        <v/>
      </c>
      <c r="P2001" s="6" t="str">
        <f>IF($D2001="","",IF(AND($L2001="Crédit",OR(IFERROR(INDEX('Paramètres'!$O:$O,MATCH($D2001,'Paramètres'!$M:$M,0))&amp;"","")&lt;&gt;"",ISNUMBER(SEARCH("remboursement",IFERROR(INDEX('Paramètres'!$N:$N,MATCH($D2001,'Paramètres'!$M:$M,0))&amp;"",""))))),1,0))</f>
        <v/>
      </c>
      <c r="Q2001" s="6" t="str">
        <f>IF($K2001="","",IF(ISNUMBER(SEARCH("transfert-interne",IFERROR(INDEX('Paramètres'!$N:$N,MATCH($D2001,'Paramètres'!$M:$M,0))&amp;"",""))),0,IF($L2001="Débit",$K2001,IF($P2001=1,-$K2001,0))))</f>
        <v/>
      </c>
      <c r="R2001" s="6" t="str">
        <f>IF($K2001="","",IF($L2001="Crédit",$K2001,-$K2001))</f>
        <v/>
      </c>
      <c r="S2001" s="6" t="str">
        <f>IF($C2001="","",IFERROR(INDEX('Paramètres'!$H:$H,MATCH($C2001,'Paramètres'!$D:$D,0))&amp;"",""))</f>
        <v/>
      </c>
      <c r="T2001" s="6" t="str">
        <f>IF($K2001="","",IF($S2001="",0,IF(ISNUMBER(SEARCH("apport-exterieur",IFERROR(INDEX('Paramètres'!$N:$N,MATCH($D2001,'Paramètres'!$M:$M,0))&amp;"",""))),0,IF(OR(IFERROR(INDEX('Paramètres'!$I:$I,MATCH($C2001,'Paramètres'!$D:$D,0))&amp;"","")="Les deux",IFERROR(INDEX('Paramètres'!$I:$I,MATCH($C2001,'Paramètres'!$D:$D,0))&amp;"","")=IF($P2001=1,"Débit",$L2001)),-IF($P2001=1,-$K2001,$K2001),0))))</f>
        <v/>
      </c>
      <c r="U2001" s="6" t="str">
        <f>IF($K2001="","",IF(ISNUMBER(SEARCH("sortie-epargne",IFERROR(INDEX('Paramètres'!$N:$N,MATCH($D2001,'Paramètres'!$M:$M,0))&amp;"",""))),$K2001,0))</f>
        <v/>
      </c>
      <c r="V2001" s="6" t="str">
        <f>IF(AND($A2001&lt;&gt;"",$O2001=1,$L2001="Débit",N($Q2001)&gt;0,$A2001&gt;=Visualisation!$B$1,$A2001&lt;Visualisation!$D$1),MAX($V$1:V2000)+1,"")</f>
        <v/>
      </c>
    </row>
    <row r="2002" spans="1:22" x14ac:dyDescent="0.25">
      <c r="A2002" s="9"/>
      <c r="E2002" s="10"/>
      <c r="K2002" s="11" t="str">
        <f>IF($E2002="","",ROUND($E2002*IF(ISNA(MATCH($C2002,'Paramètres'!$D:$D,0)),1,IF(INDEX('Paramètres'!$J:$J,MATCH($C2002,'Paramètres'!$D:$D,0))="",1,INDEX('Paramètres'!$J:$J,MATCH($C2002,'Paramètres'!$D:$D,0)))),2))</f>
        <v/>
      </c>
      <c r="L2002" s="6" t="str">
        <f>IF($D2002="","",IF($F2002&lt;&gt;"",$F2002,IF(ISNA(MATCH($D2002,'Paramètres'!$M:$M,0)),"⚠ Type inconnu",IFERROR(INDEX('Paramètres'!$P:$P,MATCH($D2002,'Paramètres'!$M:$M,0))&amp;"",""))))</f>
        <v/>
      </c>
      <c r="M2002" s="6" t="str">
        <f>IF($D2002="","",IF(ISNA(MATCH($D2002,'Paramètres'!$M:$M,0)),"⚠ Type inconnu",IF($L2002="Crédit","",IFERROR(INDEX('Paramètres'!$O:$O,MATCH($D2002,'Paramètres'!$M:$M,0))&amp;"",""))))</f>
        <v/>
      </c>
      <c r="N2002" s="6" t="str">
        <f>IF($D2002="","",IFERROR(INDEX('Paramètres'!$Q:$Q,MATCH($D2002,'Paramètres'!$M:$M,0))&amp;"",""))</f>
        <v/>
      </c>
      <c r="O2002" s="6" t="str">
        <f>IF($A2002="","",IF(OR($J2002&lt;&gt;"x",$A2002&lt;=FinReleve),1,0))</f>
        <v/>
      </c>
      <c r="P2002" s="6" t="str">
        <f>IF($D2002="","",IF(AND($L2002="Crédit",OR(IFERROR(INDEX('Paramètres'!$O:$O,MATCH($D2002,'Paramètres'!$M:$M,0))&amp;"","")&lt;&gt;"",ISNUMBER(SEARCH("remboursement",IFERROR(INDEX('Paramètres'!$N:$N,MATCH($D2002,'Paramètres'!$M:$M,0))&amp;"",""))))),1,0))</f>
        <v/>
      </c>
      <c r="Q2002" s="6" t="str">
        <f>IF($K2002="","",IF(ISNUMBER(SEARCH("transfert-interne",IFERROR(INDEX('Paramètres'!$N:$N,MATCH($D2002,'Paramètres'!$M:$M,0))&amp;"",""))),0,IF($L2002="Débit",$K2002,IF($P2002=1,-$K2002,0))))</f>
        <v/>
      </c>
      <c r="R2002" s="6" t="str">
        <f>IF($K2002="","",IF($L2002="Crédit",$K2002,-$K2002))</f>
        <v/>
      </c>
      <c r="S2002" s="6" t="str">
        <f>IF($C2002="","",IFERROR(INDEX('Paramètres'!$H:$H,MATCH($C2002,'Paramètres'!$D:$D,0))&amp;"",""))</f>
        <v/>
      </c>
      <c r="T2002" s="6" t="str">
        <f>IF($K2002="","",IF($S2002="",0,IF(ISNUMBER(SEARCH("apport-exterieur",IFERROR(INDEX('Paramètres'!$N:$N,MATCH($D2002,'Paramètres'!$M:$M,0))&amp;"",""))),0,IF(OR(IFERROR(INDEX('Paramètres'!$I:$I,MATCH($C2002,'Paramètres'!$D:$D,0))&amp;"","")="Les deux",IFERROR(INDEX('Paramètres'!$I:$I,MATCH($C2002,'Paramètres'!$D:$D,0))&amp;"","")=IF($P2002=1,"Débit",$L2002)),-IF($P2002=1,-$K2002,$K2002),0))))</f>
        <v/>
      </c>
      <c r="U2002" s="6" t="str">
        <f>IF($K2002="","",IF(ISNUMBER(SEARCH("sortie-epargne",IFERROR(INDEX('Paramètres'!$N:$N,MATCH($D2002,'Paramètres'!$M:$M,0))&amp;"",""))),$K2002,0))</f>
        <v/>
      </c>
      <c r="V2002" s="6" t="str">
        <f>IF(AND($A2002&lt;&gt;"",$O2002=1,$L2002="Débit",N($Q2002)&gt;0,$A2002&gt;=Visualisation!$B$1,$A2002&lt;Visualisation!$D$1),MAX($V$1:V2001)+1,"")</f>
        <v/>
      </c>
    </row>
    <row r="2003" spans="1:22" x14ac:dyDescent="0.25">
      <c r="A2003" s="9"/>
      <c r="E2003" s="10"/>
      <c r="K2003" s="11" t="str">
        <f>IF($E2003="","",ROUND($E2003*IF(ISNA(MATCH($C2003,'Paramètres'!$D:$D,0)),1,IF(INDEX('Paramètres'!$J:$J,MATCH($C2003,'Paramètres'!$D:$D,0))="",1,INDEX('Paramètres'!$J:$J,MATCH($C2003,'Paramètres'!$D:$D,0)))),2))</f>
        <v/>
      </c>
      <c r="L2003" s="6" t="str">
        <f>IF($D2003="","",IF($F2003&lt;&gt;"",$F2003,IF(ISNA(MATCH($D2003,'Paramètres'!$M:$M,0)),"⚠ Type inconnu",IFERROR(INDEX('Paramètres'!$P:$P,MATCH($D2003,'Paramètres'!$M:$M,0))&amp;"",""))))</f>
        <v/>
      </c>
      <c r="M2003" s="6" t="str">
        <f>IF($D2003="","",IF(ISNA(MATCH($D2003,'Paramètres'!$M:$M,0)),"⚠ Type inconnu",IF($L2003="Crédit","",IFERROR(INDEX('Paramètres'!$O:$O,MATCH($D2003,'Paramètres'!$M:$M,0))&amp;"",""))))</f>
        <v/>
      </c>
      <c r="N2003" s="6" t="str">
        <f>IF($D2003="","",IFERROR(INDEX('Paramètres'!$Q:$Q,MATCH($D2003,'Paramètres'!$M:$M,0))&amp;"",""))</f>
        <v/>
      </c>
      <c r="O2003" s="6" t="str">
        <f>IF($A2003="","",IF(OR($J2003&lt;&gt;"x",$A2003&lt;=FinReleve),1,0))</f>
        <v/>
      </c>
      <c r="P2003" s="6" t="str">
        <f>IF($D2003="","",IF(AND($L2003="Crédit",OR(IFERROR(INDEX('Paramètres'!$O:$O,MATCH($D2003,'Paramètres'!$M:$M,0))&amp;"","")&lt;&gt;"",ISNUMBER(SEARCH("remboursement",IFERROR(INDEX('Paramètres'!$N:$N,MATCH($D2003,'Paramètres'!$M:$M,0))&amp;"",""))))),1,0))</f>
        <v/>
      </c>
      <c r="Q2003" s="6" t="str">
        <f>IF($K2003="","",IF(ISNUMBER(SEARCH("transfert-interne",IFERROR(INDEX('Paramètres'!$N:$N,MATCH($D2003,'Paramètres'!$M:$M,0))&amp;"",""))),0,IF($L2003="Débit",$K2003,IF($P2003=1,-$K2003,0))))</f>
        <v/>
      </c>
      <c r="R2003" s="6" t="str">
        <f>IF($K2003="","",IF($L2003="Crédit",$K2003,-$K2003))</f>
        <v/>
      </c>
      <c r="S2003" s="6" t="str">
        <f>IF($C2003="","",IFERROR(INDEX('Paramètres'!$H:$H,MATCH($C2003,'Paramètres'!$D:$D,0))&amp;"",""))</f>
        <v/>
      </c>
      <c r="T2003" s="6" t="str">
        <f>IF($K2003="","",IF($S2003="",0,IF(ISNUMBER(SEARCH("apport-exterieur",IFERROR(INDEX('Paramètres'!$N:$N,MATCH($D2003,'Paramètres'!$M:$M,0))&amp;"",""))),0,IF(OR(IFERROR(INDEX('Paramètres'!$I:$I,MATCH($C2003,'Paramètres'!$D:$D,0))&amp;"","")="Les deux",IFERROR(INDEX('Paramètres'!$I:$I,MATCH($C2003,'Paramètres'!$D:$D,0))&amp;"","")=IF($P2003=1,"Débit",$L2003)),-IF($P2003=1,-$K2003,$K2003),0))))</f>
        <v/>
      </c>
      <c r="U2003" s="6" t="str">
        <f>IF($K2003="","",IF(ISNUMBER(SEARCH("sortie-epargne",IFERROR(INDEX('Paramètres'!$N:$N,MATCH($D2003,'Paramètres'!$M:$M,0))&amp;"",""))),$K2003,0))</f>
        <v/>
      </c>
      <c r="V2003" s="6" t="str">
        <f>IF(AND($A2003&lt;&gt;"",$O2003=1,$L2003="Débit",N($Q2003)&gt;0,$A2003&gt;=Visualisation!$B$1,$A2003&lt;Visualisation!$D$1),MAX($V$1:V2002)+1,"")</f>
        <v/>
      </c>
    </row>
    <row r="2004" spans="1:22" x14ac:dyDescent="0.25">
      <c r="A2004" s="9"/>
      <c r="E2004" s="10"/>
      <c r="K2004" s="11" t="str">
        <f>IF($E2004="","",ROUND($E2004*IF(ISNA(MATCH($C2004,'Paramètres'!$D:$D,0)),1,IF(INDEX('Paramètres'!$J:$J,MATCH($C2004,'Paramètres'!$D:$D,0))="",1,INDEX('Paramètres'!$J:$J,MATCH($C2004,'Paramètres'!$D:$D,0)))),2))</f>
        <v/>
      </c>
      <c r="L2004" s="6" t="str">
        <f>IF($D2004="","",IF($F2004&lt;&gt;"",$F2004,IF(ISNA(MATCH($D2004,'Paramètres'!$M:$M,0)),"⚠ Type inconnu",IFERROR(INDEX('Paramètres'!$P:$P,MATCH($D2004,'Paramètres'!$M:$M,0))&amp;"",""))))</f>
        <v/>
      </c>
      <c r="M2004" s="6" t="str">
        <f>IF($D2004="","",IF(ISNA(MATCH($D2004,'Paramètres'!$M:$M,0)),"⚠ Type inconnu",IF($L2004="Crédit","",IFERROR(INDEX('Paramètres'!$O:$O,MATCH($D2004,'Paramètres'!$M:$M,0))&amp;"",""))))</f>
        <v/>
      </c>
      <c r="N2004" s="6" t="str">
        <f>IF($D2004="","",IFERROR(INDEX('Paramètres'!$Q:$Q,MATCH($D2004,'Paramètres'!$M:$M,0))&amp;"",""))</f>
        <v/>
      </c>
      <c r="O2004" s="6" t="str">
        <f>IF($A2004="","",IF(OR($J2004&lt;&gt;"x",$A2004&lt;=FinReleve),1,0))</f>
        <v/>
      </c>
      <c r="P2004" s="6" t="str">
        <f>IF($D2004="","",IF(AND($L2004="Crédit",OR(IFERROR(INDEX('Paramètres'!$O:$O,MATCH($D2004,'Paramètres'!$M:$M,0))&amp;"","")&lt;&gt;"",ISNUMBER(SEARCH("remboursement",IFERROR(INDEX('Paramètres'!$N:$N,MATCH($D2004,'Paramètres'!$M:$M,0))&amp;"",""))))),1,0))</f>
        <v/>
      </c>
      <c r="Q2004" s="6" t="str">
        <f>IF($K2004="","",IF(ISNUMBER(SEARCH("transfert-interne",IFERROR(INDEX('Paramètres'!$N:$N,MATCH($D2004,'Paramètres'!$M:$M,0))&amp;"",""))),0,IF($L2004="Débit",$K2004,IF($P2004=1,-$K2004,0))))</f>
        <v/>
      </c>
      <c r="R2004" s="6" t="str">
        <f>IF($K2004="","",IF($L2004="Crédit",$K2004,-$K2004))</f>
        <v/>
      </c>
      <c r="S2004" s="6" t="str">
        <f>IF($C2004="","",IFERROR(INDEX('Paramètres'!$H:$H,MATCH($C2004,'Paramètres'!$D:$D,0))&amp;"",""))</f>
        <v/>
      </c>
      <c r="T2004" s="6" t="str">
        <f>IF($K2004="","",IF($S2004="",0,IF(ISNUMBER(SEARCH("apport-exterieur",IFERROR(INDEX('Paramètres'!$N:$N,MATCH($D2004,'Paramètres'!$M:$M,0))&amp;"",""))),0,IF(OR(IFERROR(INDEX('Paramètres'!$I:$I,MATCH($C2004,'Paramètres'!$D:$D,0))&amp;"","")="Les deux",IFERROR(INDEX('Paramètres'!$I:$I,MATCH($C2004,'Paramètres'!$D:$D,0))&amp;"","")=IF($P2004=1,"Débit",$L2004)),-IF($P2004=1,-$K2004,$K2004),0))))</f>
        <v/>
      </c>
      <c r="U2004" s="6" t="str">
        <f>IF($K2004="","",IF(ISNUMBER(SEARCH("sortie-epargne",IFERROR(INDEX('Paramètres'!$N:$N,MATCH($D2004,'Paramètres'!$M:$M,0))&amp;"",""))),$K2004,0))</f>
        <v/>
      </c>
      <c r="V2004" s="6" t="str">
        <f>IF(AND($A2004&lt;&gt;"",$O2004=1,$L2004="Débit",N($Q2004)&gt;0,$A2004&gt;=Visualisation!$B$1,$A2004&lt;Visualisation!$D$1),MAX($V$1:V2003)+1,"")</f>
        <v/>
      </c>
    </row>
    <row r="2005" spans="1:22" x14ac:dyDescent="0.25">
      <c r="A2005" s="9"/>
      <c r="E2005" s="10"/>
      <c r="K2005" s="11" t="str">
        <f>IF($E2005="","",ROUND($E2005*IF(ISNA(MATCH($C2005,'Paramètres'!$D:$D,0)),1,IF(INDEX('Paramètres'!$J:$J,MATCH($C2005,'Paramètres'!$D:$D,0))="",1,INDEX('Paramètres'!$J:$J,MATCH($C2005,'Paramètres'!$D:$D,0)))),2))</f>
        <v/>
      </c>
      <c r="L2005" s="6" t="str">
        <f>IF($D2005="","",IF($F2005&lt;&gt;"",$F2005,IF(ISNA(MATCH($D2005,'Paramètres'!$M:$M,0)),"⚠ Type inconnu",IFERROR(INDEX('Paramètres'!$P:$P,MATCH($D2005,'Paramètres'!$M:$M,0))&amp;"",""))))</f>
        <v/>
      </c>
      <c r="M2005" s="6" t="str">
        <f>IF($D2005="","",IF(ISNA(MATCH($D2005,'Paramètres'!$M:$M,0)),"⚠ Type inconnu",IF($L2005="Crédit","",IFERROR(INDEX('Paramètres'!$O:$O,MATCH($D2005,'Paramètres'!$M:$M,0))&amp;"",""))))</f>
        <v/>
      </c>
      <c r="N2005" s="6" t="str">
        <f>IF($D2005="","",IFERROR(INDEX('Paramètres'!$Q:$Q,MATCH($D2005,'Paramètres'!$M:$M,0))&amp;"",""))</f>
        <v/>
      </c>
      <c r="O2005" s="6" t="str">
        <f>IF($A2005="","",IF(OR($J2005&lt;&gt;"x",$A2005&lt;=FinReleve),1,0))</f>
        <v/>
      </c>
      <c r="P2005" s="6" t="str">
        <f>IF($D2005="","",IF(AND($L2005="Crédit",OR(IFERROR(INDEX('Paramètres'!$O:$O,MATCH($D2005,'Paramètres'!$M:$M,0))&amp;"","")&lt;&gt;"",ISNUMBER(SEARCH("remboursement",IFERROR(INDEX('Paramètres'!$N:$N,MATCH($D2005,'Paramètres'!$M:$M,0))&amp;"",""))))),1,0))</f>
        <v/>
      </c>
      <c r="Q2005" s="6" t="str">
        <f>IF($K2005="","",IF(ISNUMBER(SEARCH("transfert-interne",IFERROR(INDEX('Paramètres'!$N:$N,MATCH($D2005,'Paramètres'!$M:$M,0))&amp;"",""))),0,IF($L2005="Débit",$K2005,IF($P2005=1,-$K2005,0))))</f>
        <v/>
      </c>
      <c r="R2005" s="6" t="str">
        <f>IF($K2005="","",IF($L2005="Crédit",$K2005,-$K2005))</f>
        <v/>
      </c>
      <c r="S2005" s="6" t="str">
        <f>IF($C2005="","",IFERROR(INDEX('Paramètres'!$H:$H,MATCH($C2005,'Paramètres'!$D:$D,0))&amp;"",""))</f>
        <v/>
      </c>
      <c r="T2005" s="6" t="str">
        <f>IF($K2005="","",IF($S2005="",0,IF(ISNUMBER(SEARCH("apport-exterieur",IFERROR(INDEX('Paramètres'!$N:$N,MATCH($D2005,'Paramètres'!$M:$M,0))&amp;"",""))),0,IF(OR(IFERROR(INDEX('Paramètres'!$I:$I,MATCH($C2005,'Paramètres'!$D:$D,0))&amp;"","")="Les deux",IFERROR(INDEX('Paramètres'!$I:$I,MATCH($C2005,'Paramètres'!$D:$D,0))&amp;"","")=IF($P2005=1,"Débit",$L2005)),-IF($P2005=1,-$K2005,$K2005),0))))</f>
        <v/>
      </c>
      <c r="U2005" s="6" t="str">
        <f>IF($K2005="","",IF(ISNUMBER(SEARCH("sortie-epargne",IFERROR(INDEX('Paramètres'!$N:$N,MATCH($D2005,'Paramètres'!$M:$M,0))&amp;"",""))),$K2005,0))</f>
        <v/>
      </c>
      <c r="V2005" s="6" t="str">
        <f>IF(AND($A2005&lt;&gt;"",$O2005=1,$L2005="Débit",N($Q2005)&gt;0,$A2005&gt;=Visualisation!$B$1,$A2005&lt;Visualisation!$D$1),MAX($V$1:V2004)+1,"")</f>
        <v/>
      </c>
    </row>
    <row r="2006" spans="1:22" x14ac:dyDescent="0.25">
      <c r="A2006" s="9"/>
      <c r="E2006" s="10"/>
      <c r="K2006" s="11" t="str">
        <f>IF($E2006="","",ROUND($E2006*IF(ISNA(MATCH($C2006,'Paramètres'!$D:$D,0)),1,IF(INDEX('Paramètres'!$J:$J,MATCH($C2006,'Paramètres'!$D:$D,0))="",1,INDEX('Paramètres'!$J:$J,MATCH($C2006,'Paramètres'!$D:$D,0)))),2))</f>
        <v/>
      </c>
      <c r="L2006" s="6" t="str">
        <f>IF($D2006="","",IF($F2006&lt;&gt;"",$F2006,IF(ISNA(MATCH($D2006,'Paramètres'!$M:$M,0)),"⚠ Type inconnu",IFERROR(INDEX('Paramètres'!$P:$P,MATCH($D2006,'Paramètres'!$M:$M,0))&amp;"",""))))</f>
        <v/>
      </c>
      <c r="M2006" s="6" t="str">
        <f>IF($D2006="","",IF(ISNA(MATCH($D2006,'Paramètres'!$M:$M,0)),"⚠ Type inconnu",IF($L2006="Crédit","",IFERROR(INDEX('Paramètres'!$O:$O,MATCH($D2006,'Paramètres'!$M:$M,0))&amp;"",""))))</f>
        <v/>
      </c>
      <c r="N2006" s="6" t="str">
        <f>IF($D2006="","",IFERROR(INDEX('Paramètres'!$Q:$Q,MATCH($D2006,'Paramètres'!$M:$M,0))&amp;"",""))</f>
        <v/>
      </c>
      <c r="O2006" s="6" t="str">
        <f>IF($A2006="","",IF(OR($J2006&lt;&gt;"x",$A2006&lt;=FinReleve),1,0))</f>
        <v/>
      </c>
      <c r="P2006" s="6" t="str">
        <f>IF($D2006="","",IF(AND($L2006="Crédit",OR(IFERROR(INDEX('Paramètres'!$O:$O,MATCH($D2006,'Paramètres'!$M:$M,0))&amp;"","")&lt;&gt;"",ISNUMBER(SEARCH("remboursement",IFERROR(INDEX('Paramètres'!$N:$N,MATCH($D2006,'Paramètres'!$M:$M,0))&amp;"",""))))),1,0))</f>
        <v/>
      </c>
      <c r="Q2006" s="6" t="str">
        <f>IF($K2006="","",IF(ISNUMBER(SEARCH("transfert-interne",IFERROR(INDEX('Paramètres'!$N:$N,MATCH($D2006,'Paramètres'!$M:$M,0))&amp;"",""))),0,IF($L2006="Débit",$K2006,IF($P2006=1,-$K2006,0))))</f>
        <v/>
      </c>
      <c r="R2006" s="6" t="str">
        <f>IF($K2006="","",IF($L2006="Crédit",$K2006,-$K2006))</f>
        <v/>
      </c>
      <c r="S2006" s="6" t="str">
        <f>IF($C2006="","",IFERROR(INDEX('Paramètres'!$H:$H,MATCH($C2006,'Paramètres'!$D:$D,0))&amp;"",""))</f>
        <v/>
      </c>
      <c r="T2006" s="6" t="str">
        <f>IF($K2006="","",IF($S2006="",0,IF(ISNUMBER(SEARCH("apport-exterieur",IFERROR(INDEX('Paramètres'!$N:$N,MATCH($D2006,'Paramètres'!$M:$M,0))&amp;"",""))),0,IF(OR(IFERROR(INDEX('Paramètres'!$I:$I,MATCH($C2006,'Paramètres'!$D:$D,0))&amp;"","")="Les deux",IFERROR(INDEX('Paramètres'!$I:$I,MATCH($C2006,'Paramètres'!$D:$D,0))&amp;"","")=IF($P2006=1,"Débit",$L2006)),-IF($P2006=1,-$K2006,$K2006),0))))</f>
        <v/>
      </c>
      <c r="U2006" s="6" t="str">
        <f>IF($K2006="","",IF(ISNUMBER(SEARCH("sortie-epargne",IFERROR(INDEX('Paramètres'!$N:$N,MATCH($D2006,'Paramètres'!$M:$M,0))&amp;"",""))),$K2006,0))</f>
        <v/>
      </c>
      <c r="V2006" s="6" t="str">
        <f>IF(AND($A2006&lt;&gt;"",$O2006=1,$L2006="Débit",N($Q2006)&gt;0,$A2006&gt;=Visualisation!$B$1,$A2006&lt;Visualisation!$D$1),MAX($V$1:V2005)+1,"")</f>
        <v/>
      </c>
    </row>
    <row r="2007" spans="1:22" x14ac:dyDescent="0.25">
      <c r="A2007" s="9"/>
      <c r="E2007" s="10"/>
      <c r="K2007" s="11" t="str">
        <f>IF($E2007="","",ROUND($E2007*IF(ISNA(MATCH($C2007,'Paramètres'!$D:$D,0)),1,IF(INDEX('Paramètres'!$J:$J,MATCH($C2007,'Paramètres'!$D:$D,0))="",1,INDEX('Paramètres'!$J:$J,MATCH($C2007,'Paramètres'!$D:$D,0)))),2))</f>
        <v/>
      </c>
      <c r="L2007" s="6" t="str">
        <f>IF($D2007="","",IF($F2007&lt;&gt;"",$F2007,IF(ISNA(MATCH($D2007,'Paramètres'!$M:$M,0)),"⚠ Type inconnu",IFERROR(INDEX('Paramètres'!$P:$P,MATCH($D2007,'Paramètres'!$M:$M,0))&amp;"",""))))</f>
        <v/>
      </c>
      <c r="M2007" s="6" t="str">
        <f>IF($D2007="","",IF(ISNA(MATCH($D2007,'Paramètres'!$M:$M,0)),"⚠ Type inconnu",IF($L2007="Crédit","",IFERROR(INDEX('Paramètres'!$O:$O,MATCH($D2007,'Paramètres'!$M:$M,0))&amp;"",""))))</f>
        <v/>
      </c>
      <c r="N2007" s="6" t="str">
        <f>IF($D2007="","",IFERROR(INDEX('Paramètres'!$Q:$Q,MATCH($D2007,'Paramètres'!$M:$M,0))&amp;"",""))</f>
        <v/>
      </c>
      <c r="O2007" s="6" t="str">
        <f>IF($A2007="","",IF(OR($J2007&lt;&gt;"x",$A2007&lt;=FinReleve),1,0))</f>
        <v/>
      </c>
      <c r="P2007" s="6" t="str">
        <f>IF($D2007="","",IF(AND($L2007="Crédit",OR(IFERROR(INDEX('Paramètres'!$O:$O,MATCH($D2007,'Paramètres'!$M:$M,0))&amp;"","")&lt;&gt;"",ISNUMBER(SEARCH("remboursement",IFERROR(INDEX('Paramètres'!$N:$N,MATCH($D2007,'Paramètres'!$M:$M,0))&amp;"",""))))),1,0))</f>
        <v/>
      </c>
      <c r="Q2007" s="6" t="str">
        <f>IF($K2007="","",IF(ISNUMBER(SEARCH("transfert-interne",IFERROR(INDEX('Paramètres'!$N:$N,MATCH($D2007,'Paramètres'!$M:$M,0))&amp;"",""))),0,IF($L2007="Débit",$K2007,IF($P2007=1,-$K2007,0))))</f>
        <v/>
      </c>
      <c r="R2007" s="6" t="str">
        <f>IF($K2007="","",IF($L2007="Crédit",$K2007,-$K2007))</f>
        <v/>
      </c>
      <c r="S2007" s="6" t="str">
        <f>IF($C2007="","",IFERROR(INDEX('Paramètres'!$H:$H,MATCH($C2007,'Paramètres'!$D:$D,0))&amp;"",""))</f>
        <v/>
      </c>
      <c r="T2007" s="6" t="str">
        <f>IF($K2007="","",IF($S2007="",0,IF(ISNUMBER(SEARCH("apport-exterieur",IFERROR(INDEX('Paramètres'!$N:$N,MATCH($D2007,'Paramètres'!$M:$M,0))&amp;"",""))),0,IF(OR(IFERROR(INDEX('Paramètres'!$I:$I,MATCH($C2007,'Paramètres'!$D:$D,0))&amp;"","")="Les deux",IFERROR(INDEX('Paramètres'!$I:$I,MATCH($C2007,'Paramètres'!$D:$D,0))&amp;"","")=IF($P2007=1,"Débit",$L2007)),-IF($P2007=1,-$K2007,$K2007),0))))</f>
        <v/>
      </c>
      <c r="U2007" s="6" t="str">
        <f>IF($K2007="","",IF(ISNUMBER(SEARCH("sortie-epargne",IFERROR(INDEX('Paramètres'!$N:$N,MATCH($D2007,'Paramètres'!$M:$M,0))&amp;"",""))),$K2007,0))</f>
        <v/>
      </c>
      <c r="V2007" s="6" t="str">
        <f>IF(AND($A2007&lt;&gt;"",$O2007=1,$L2007="Débit",N($Q2007)&gt;0,$A2007&gt;=Visualisation!$B$1,$A2007&lt;Visualisation!$D$1),MAX($V$1:V2006)+1,"")</f>
        <v/>
      </c>
    </row>
    <row r="2008" spans="1:22" x14ac:dyDescent="0.25">
      <c r="A2008" s="9"/>
      <c r="E2008" s="10"/>
      <c r="K2008" s="11" t="str">
        <f>IF($E2008="","",ROUND($E2008*IF(ISNA(MATCH($C2008,'Paramètres'!$D:$D,0)),1,IF(INDEX('Paramètres'!$J:$J,MATCH($C2008,'Paramètres'!$D:$D,0))="",1,INDEX('Paramètres'!$J:$J,MATCH($C2008,'Paramètres'!$D:$D,0)))),2))</f>
        <v/>
      </c>
      <c r="L2008" s="6" t="str">
        <f>IF($D2008="","",IF($F2008&lt;&gt;"",$F2008,IF(ISNA(MATCH($D2008,'Paramètres'!$M:$M,0)),"⚠ Type inconnu",IFERROR(INDEX('Paramètres'!$P:$P,MATCH($D2008,'Paramètres'!$M:$M,0))&amp;"",""))))</f>
        <v/>
      </c>
      <c r="M2008" s="6" t="str">
        <f>IF($D2008="","",IF(ISNA(MATCH($D2008,'Paramètres'!$M:$M,0)),"⚠ Type inconnu",IF($L2008="Crédit","",IFERROR(INDEX('Paramètres'!$O:$O,MATCH($D2008,'Paramètres'!$M:$M,0))&amp;"",""))))</f>
        <v/>
      </c>
      <c r="N2008" s="6" t="str">
        <f>IF($D2008="","",IFERROR(INDEX('Paramètres'!$Q:$Q,MATCH($D2008,'Paramètres'!$M:$M,0))&amp;"",""))</f>
        <v/>
      </c>
      <c r="O2008" s="6" t="str">
        <f>IF($A2008="","",IF(OR($J2008&lt;&gt;"x",$A2008&lt;=FinReleve),1,0))</f>
        <v/>
      </c>
      <c r="P2008" s="6" t="str">
        <f>IF($D2008="","",IF(AND($L2008="Crédit",OR(IFERROR(INDEX('Paramètres'!$O:$O,MATCH($D2008,'Paramètres'!$M:$M,0))&amp;"","")&lt;&gt;"",ISNUMBER(SEARCH("remboursement",IFERROR(INDEX('Paramètres'!$N:$N,MATCH($D2008,'Paramètres'!$M:$M,0))&amp;"",""))))),1,0))</f>
        <v/>
      </c>
      <c r="Q2008" s="6" t="str">
        <f>IF($K2008="","",IF(ISNUMBER(SEARCH("transfert-interne",IFERROR(INDEX('Paramètres'!$N:$N,MATCH($D2008,'Paramètres'!$M:$M,0))&amp;"",""))),0,IF($L2008="Débit",$K2008,IF($P2008=1,-$K2008,0))))</f>
        <v/>
      </c>
      <c r="R2008" s="6" t="str">
        <f>IF($K2008="","",IF($L2008="Crédit",$K2008,-$K2008))</f>
        <v/>
      </c>
      <c r="S2008" s="6" t="str">
        <f>IF($C2008="","",IFERROR(INDEX('Paramètres'!$H:$H,MATCH($C2008,'Paramètres'!$D:$D,0))&amp;"",""))</f>
        <v/>
      </c>
      <c r="T2008" s="6" t="str">
        <f>IF($K2008="","",IF($S2008="",0,IF(ISNUMBER(SEARCH("apport-exterieur",IFERROR(INDEX('Paramètres'!$N:$N,MATCH($D2008,'Paramètres'!$M:$M,0))&amp;"",""))),0,IF(OR(IFERROR(INDEX('Paramètres'!$I:$I,MATCH($C2008,'Paramètres'!$D:$D,0))&amp;"","")="Les deux",IFERROR(INDEX('Paramètres'!$I:$I,MATCH($C2008,'Paramètres'!$D:$D,0))&amp;"","")=IF($P2008=1,"Débit",$L2008)),-IF($P2008=1,-$K2008,$K2008),0))))</f>
        <v/>
      </c>
      <c r="U2008" s="6" t="str">
        <f>IF($K2008="","",IF(ISNUMBER(SEARCH("sortie-epargne",IFERROR(INDEX('Paramètres'!$N:$N,MATCH($D2008,'Paramètres'!$M:$M,0))&amp;"",""))),$K2008,0))</f>
        <v/>
      </c>
      <c r="V2008" s="6" t="str">
        <f>IF(AND($A2008&lt;&gt;"",$O2008=1,$L2008="Débit",N($Q2008)&gt;0,$A2008&gt;=Visualisation!$B$1,$A2008&lt;Visualisation!$D$1),MAX($V$1:V2007)+1,"")</f>
        <v/>
      </c>
    </row>
    <row r="2009" spans="1:22" x14ac:dyDescent="0.25">
      <c r="A2009" s="9"/>
      <c r="E2009" s="10"/>
      <c r="K2009" s="11" t="str">
        <f>IF($E2009="","",ROUND($E2009*IF(ISNA(MATCH($C2009,'Paramètres'!$D:$D,0)),1,IF(INDEX('Paramètres'!$J:$J,MATCH($C2009,'Paramètres'!$D:$D,0))="",1,INDEX('Paramètres'!$J:$J,MATCH($C2009,'Paramètres'!$D:$D,0)))),2))</f>
        <v/>
      </c>
      <c r="L2009" s="6" t="str">
        <f>IF($D2009="","",IF($F2009&lt;&gt;"",$F2009,IF(ISNA(MATCH($D2009,'Paramètres'!$M:$M,0)),"⚠ Type inconnu",IFERROR(INDEX('Paramètres'!$P:$P,MATCH($D2009,'Paramètres'!$M:$M,0))&amp;"",""))))</f>
        <v/>
      </c>
      <c r="M2009" s="6" t="str">
        <f>IF($D2009="","",IF(ISNA(MATCH($D2009,'Paramètres'!$M:$M,0)),"⚠ Type inconnu",IF($L2009="Crédit","",IFERROR(INDEX('Paramètres'!$O:$O,MATCH($D2009,'Paramètres'!$M:$M,0))&amp;"",""))))</f>
        <v/>
      </c>
      <c r="N2009" s="6" t="str">
        <f>IF($D2009="","",IFERROR(INDEX('Paramètres'!$Q:$Q,MATCH($D2009,'Paramètres'!$M:$M,0))&amp;"",""))</f>
        <v/>
      </c>
      <c r="O2009" s="6" t="str">
        <f>IF($A2009="","",IF(OR($J2009&lt;&gt;"x",$A2009&lt;=FinReleve),1,0))</f>
        <v/>
      </c>
      <c r="P2009" s="6" t="str">
        <f>IF($D2009="","",IF(AND($L2009="Crédit",OR(IFERROR(INDEX('Paramètres'!$O:$O,MATCH($D2009,'Paramètres'!$M:$M,0))&amp;"","")&lt;&gt;"",ISNUMBER(SEARCH("remboursement",IFERROR(INDEX('Paramètres'!$N:$N,MATCH($D2009,'Paramètres'!$M:$M,0))&amp;"",""))))),1,0))</f>
        <v/>
      </c>
      <c r="Q2009" s="6" t="str">
        <f>IF($K2009="","",IF(ISNUMBER(SEARCH("transfert-interne",IFERROR(INDEX('Paramètres'!$N:$N,MATCH($D2009,'Paramètres'!$M:$M,0))&amp;"",""))),0,IF($L2009="Débit",$K2009,IF($P2009=1,-$K2009,0))))</f>
        <v/>
      </c>
      <c r="R2009" s="6" t="str">
        <f>IF($K2009="","",IF($L2009="Crédit",$K2009,-$K2009))</f>
        <v/>
      </c>
      <c r="S2009" s="6" t="str">
        <f>IF($C2009="","",IFERROR(INDEX('Paramètres'!$H:$H,MATCH($C2009,'Paramètres'!$D:$D,0))&amp;"",""))</f>
        <v/>
      </c>
      <c r="T2009" s="6" t="str">
        <f>IF($K2009="","",IF($S2009="",0,IF(ISNUMBER(SEARCH("apport-exterieur",IFERROR(INDEX('Paramètres'!$N:$N,MATCH($D2009,'Paramètres'!$M:$M,0))&amp;"",""))),0,IF(OR(IFERROR(INDEX('Paramètres'!$I:$I,MATCH($C2009,'Paramètres'!$D:$D,0))&amp;"","")="Les deux",IFERROR(INDEX('Paramètres'!$I:$I,MATCH($C2009,'Paramètres'!$D:$D,0))&amp;"","")=IF($P2009=1,"Débit",$L2009)),-IF($P2009=1,-$K2009,$K2009),0))))</f>
        <v/>
      </c>
      <c r="U2009" s="6" t="str">
        <f>IF($K2009="","",IF(ISNUMBER(SEARCH("sortie-epargne",IFERROR(INDEX('Paramètres'!$N:$N,MATCH($D2009,'Paramètres'!$M:$M,0))&amp;"",""))),$K2009,0))</f>
        <v/>
      </c>
      <c r="V2009" s="6" t="str">
        <f>IF(AND($A2009&lt;&gt;"",$O2009=1,$L2009="Débit",N($Q2009)&gt;0,$A2009&gt;=Visualisation!$B$1,$A2009&lt;Visualisation!$D$1),MAX($V$1:V2008)+1,"")</f>
        <v/>
      </c>
    </row>
    <row r="2010" spans="1:22" x14ac:dyDescent="0.25">
      <c r="A2010" s="9"/>
      <c r="E2010" s="10"/>
      <c r="K2010" s="11" t="str">
        <f>IF($E2010="","",ROUND($E2010*IF(ISNA(MATCH($C2010,'Paramètres'!$D:$D,0)),1,IF(INDEX('Paramètres'!$J:$J,MATCH($C2010,'Paramètres'!$D:$D,0))="",1,INDEX('Paramètres'!$J:$J,MATCH($C2010,'Paramètres'!$D:$D,0)))),2))</f>
        <v/>
      </c>
      <c r="L2010" s="6" t="str">
        <f>IF($D2010="","",IF($F2010&lt;&gt;"",$F2010,IF(ISNA(MATCH($D2010,'Paramètres'!$M:$M,0)),"⚠ Type inconnu",IFERROR(INDEX('Paramètres'!$P:$P,MATCH($D2010,'Paramètres'!$M:$M,0))&amp;"",""))))</f>
        <v/>
      </c>
      <c r="M2010" s="6" t="str">
        <f>IF($D2010="","",IF(ISNA(MATCH($D2010,'Paramètres'!$M:$M,0)),"⚠ Type inconnu",IF($L2010="Crédit","",IFERROR(INDEX('Paramètres'!$O:$O,MATCH($D2010,'Paramètres'!$M:$M,0))&amp;"",""))))</f>
        <v/>
      </c>
      <c r="N2010" s="6" t="str">
        <f>IF($D2010="","",IFERROR(INDEX('Paramètres'!$Q:$Q,MATCH($D2010,'Paramètres'!$M:$M,0))&amp;"",""))</f>
        <v/>
      </c>
      <c r="O2010" s="6" t="str">
        <f>IF($A2010="","",IF(OR($J2010&lt;&gt;"x",$A2010&lt;=FinReleve),1,0))</f>
        <v/>
      </c>
      <c r="P2010" s="6" t="str">
        <f>IF($D2010="","",IF(AND($L2010="Crédit",OR(IFERROR(INDEX('Paramètres'!$O:$O,MATCH($D2010,'Paramètres'!$M:$M,0))&amp;"","")&lt;&gt;"",ISNUMBER(SEARCH("remboursement",IFERROR(INDEX('Paramètres'!$N:$N,MATCH($D2010,'Paramètres'!$M:$M,0))&amp;"",""))))),1,0))</f>
        <v/>
      </c>
      <c r="Q2010" s="6" t="str">
        <f>IF($K2010="","",IF(ISNUMBER(SEARCH("transfert-interne",IFERROR(INDEX('Paramètres'!$N:$N,MATCH($D2010,'Paramètres'!$M:$M,0))&amp;"",""))),0,IF($L2010="Débit",$K2010,IF($P2010=1,-$K2010,0))))</f>
        <v/>
      </c>
      <c r="R2010" s="6" t="str">
        <f>IF($K2010="","",IF($L2010="Crédit",$K2010,-$K2010))</f>
        <v/>
      </c>
      <c r="S2010" s="6" t="str">
        <f>IF($C2010="","",IFERROR(INDEX('Paramètres'!$H:$H,MATCH($C2010,'Paramètres'!$D:$D,0))&amp;"",""))</f>
        <v/>
      </c>
      <c r="T2010" s="6" t="str">
        <f>IF($K2010="","",IF($S2010="",0,IF(ISNUMBER(SEARCH("apport-exterieur",IFERROR(INDEX('Paramètres'!$N:$N,MATCH($D2010,'Paramètres'!$M:$M,0))&amp;"",""))),0,IF(OR(IFERROR(INDEX('Paramètres'!$I:$I,MATCH($C2010,'Paramètres'!$D:$D,0))&amp;"","")="Les deux",IFERROR(INDEX('Paramètres'!$I:$I,MATCH($C2010,'Paramètres'!$D:$D,0))&amp;"","")=IF($P2010=1,"Débit",$L2010)),-IF($P2010=1,-$K2010,$K2010),0))))</f>
        <v/>
      </c>
      <c r="U2010" s="6" t="str">
        <f>IF($K2010="","",IF(ISNUMBER(SEARCH("sortie-epargne",IFERROR(INDEX('Paramètres'!$N:$N,MATCH($D2010,'Paramètres'!$M:$M,0))&amp;"",""))),$K2010,0))</f>
        <v/>
      </c>
      <c r="V2010" s="6" t="str">
        <f>IF(AND($A2010&lt;&gt;"",$O2010=1,$L2010="Débit",N($Q2010)&gt;0,$A2010&gt;=Visualisation!$B$1,$A2010&lt;Visualisation!$D$1),MAX($V$1:V2009)+1,"")</f>
        <v/>
      </c>
    </row>
    <row r="2011" spans="1:22" x14ac:dyDescent="0.25">
      <c r="A2011" s="9"/>
      <c r="E2011" s="10"/>
      <c r="K2011" s="11" t="str">
        <f>IF($E2011="","",ROUND($E2011*IF(ISNA(MATCH($C2011,'Paramètres'!$D:$D,0)),1,IF(INDEX('Paramètres'!$J:$J,MATCH($C2011,'Paramètres'!$D:$D,0))="",1,INDEX('Paramètres'!$J:$J,MATCH($C2011,'Paramètres'!$D:$D,0)))),2))</f>
        <v/>
      </c>
      <c r="L2011" s="6" t="str">
        <f>IF($D2011="","",IF($F2011&lt;&gt;"",$F2011,IF(ISNA(MATCH($D2011,'Paramètres'!$M:$M,0)),"⚠ Type inconnu",IFERROR(INDEX('Paramètres'!$P:$P,MATCH($D2011,'Paramètres'!$M:$M,0))&amp;"",""))))</f>
        <v/>
      </c>
      <c r="M2011" s="6" t="str">
        <f>IF($D2011="","",IF(ISNA(MATCH($D2011,'Paramètres'!$M:$M,0)),"⚠ Type inconnu",IF($L2011="Crédit","",IFERROR(INDEX('Paramètres'!$O:$O,MATCH($D2011,'Paramètres'!$M:$M,0))&amp;"",""))))</f>
        <v/>
      </c>
      <c r="N2011" s="6" t="str">
        <f>IF($D2011="","",IFERROR(INDEX('Paramètres'!$Q:$Q,MATCH($D2011,'Paramètres'!$M:$M,0))&amp;"",""))</f>
        <v/>
      </c>
      <c r="O2011" s="6" t="str">
        <f>IF($A2011="","",IF(OR($J2011&lt;&gt;"x",$A2011&lt;=FinReleve),1,0))</f>
        <v/>
      </c>
      <c r="P2011" s="6" t="str">
        <f>IF($D2011="","",IF(AND($L2011="Crédit",OR(IFERROR(INDEX('Paramètres'!$O:$O,MATCH($D2011,'Paramètres'!$M:$M,0))&amp;"","")&lt;&gt;"",ISNUMBER(SEARCH("remboursement",IFERROR(INDEX('Paramètres'!$N:$N,MATCH($D2011,'Paramètres'!$M:$M,0))&amp;"",""))))),1,0))</f>
        <v/>
      </c>
      <c r="Q2011" s="6" t="str">
        <f>IF($K2011="","",IF(ISNUMBER(SEARCH("transfert-interne",IFERROR(INDEX('Paramètres'!$N:$N,MATCH($D2011,'Paramètres'!$M:$M,0))&amp;"",""))),0,IF($L2011="Débit",$K2011,IF($P2011=1,-$K2011,0))))</f>
        <v/>
      </c>
      <c r="R2011" s="6" t="str">
        <f>IF($K2011="","",IF($L2011="Crédit",$K2011,-$K2011))</f>
        <v/>
      </c>
      <c r="S2011" s="6" t="str">
        <f>IF($C2011="","",IFERROR(INDEX('Paramètres'!$H:$H,MATCH($C2011,'Paramètres'!$D:$D,0))&amp;"",""))</f>
        <v/>
      </c>
      <c r="T2011" s="6" t="str">
        <f>IF($K2011="","",IF($S2011="",0,IF(ISNUMBER(SEARCH("apport-exterieur",IFERROR(INDEX('Paramètres'!$N:$N,MATCH($D2011,'Paramètres'!$M:$M,0))&amp;"",""))),0,IF(OR(IFERROR(INDEX('Paramètres'!$I:$I,MATCH($C2011,'Paramètres'!$D:$D,0))&amp;"","")="Les deux",IFERROR(INDEX('Paramètres'!$I:$I,MATCH($C2011,'Paramètres'!$D:$D,0))&amp;"","")=IF($P2011=1,"Débit",$L2011)),-IF($P2011=1,-$K2011,$K2011),0))))</f>
        <v/>
      </c>
      <c r="U2011" s="6" t="str">
        <f>IF($K2011="","",IF(ISNUMBER(SEARCH("sortie-epargne",IFERROR(INDEX('Paramètres'!$N:$N,MATCH($D2011,'Paramètres'!$M:$M,0))&amp;"",""))),$K2011,0))</f>
        <v/>
      </c>
      <c r="V2011" s="6" t="str">
        <f>IF(AND($A2011&lt;&gt;"",$O2011=1,$L2011="Débit",N($Q2011)&gt;0,$A2011&gt;=Visualisation!$B$1,$A2011&lt;Visualisation!$D$1),MAX($V$1:V2010)+1,"")</f>
        <v/>
      </c>
    </row>
    <row r="2012" spans="1:22" x14ac:dyDescent="0.25">
      <c r="A2012" s="9"/>
      <c r="E2012" s="10"/>
      <c r="K2012" s="11" t="str">
        <f>IF($E2012="","",ROUND($E2012*IF(ISNA(MATCH($C2012,'Paramètres'!$D:$D,0)),1,IF(INDEX('Paramètres'!$J:$J,MATCH($C2012,'Paramètres'!$D:$D,0))="",1,INDEX('Paramètres'!$J:$J,MATCH($C2012,'Paramètres'!$D:$D,0)))),2))</f>
        <v/>
      </c>
      <c r="L2012" s="6" t="str">
        <f>IF($D2012="","",IF($F2012&lt;&gt;"",$F2012,IF(ISNA(MATCH($D2012,'Paramètres'!$M:$M,0)),"⚠ Type inconnu",IFERROR(INDEX('Paramètres'!$P:$P,MATCH($D2012,'Paramètres'!$M:$M,0))&amp;"",""))))</f>
        <v/>
      </c>
      <c r="M2012" s="6" t="str">
        <f>IF($D2012="","",IF(ISNA(MATCH($D2012,'Paramètres'!$M:$M,0)),"⚠ Type inconnu",IF($L2012="Crédit","",IFERROR(INDEX('Paramètres'!$O:$O,MATCH($D2012,'Paramètres'!$M:$M,0))&amp;"",""))))</f>
        <v/>
      </c>
      <c r="N2012" s="6" t="str">
        <f>IF($D2012="","",IFERROR(INDEX('Paramètres'!$Q:$Q,MATCH($D2012,'Paramètres'!$M:$M,0))&amp;"",""))</f>
        <v/>
      </c>
      <c r="O2012" s="6" t="str">
        <f>IF($A2012="","",IF(OR($J2012&lt;&gt;"x",$A2012&lt;=FinReleve),1,0))</f>
        <v/>
      </c>
      <c r="P2012" s="6" t="str">
        <f>IF($D2012="","",IF(AND($L2012="Crédit",OR(IFERROR(INDEX('Paramètres'!$O:$O,MATCH($D2012,'Paramètres'!$M:$M,0))&amp;"","")&lt;&gt;"",ISNUMBER(SEARCH("remboursement",IFERROR(INDEX('Paramètres'!$N:$N,MATCH($D2012,'Paramètres'!$M:$M,0))&amp;"",""))))),1,0))</f>
        <v/>
      </c>
      <c r="Q2012" s="6" t="str">
        <f>IF($K2012="","",IF(ISNUMBER(SEARCH("transfert-interne",IFERROR(INDEX('Paramètres'!$N:$N,MATCH($D2012,'Paramètres'!$M:$M,0))&amp;"",""))),0,IF($L2012="Débit",$K2012,IF($P2012=1,-$K2012,0))))</f>
        <v/>
      </c>
      <c r="R2012" s="6" t="str">
        <f>IF($K2012="","",IF($L2012="Crédit",$K2012,-$K2012))</f>
        <v/>
      </c>
      <c r="S2012" s="6" t="str">
        <f>IF($C2012="","",IFERROR(INDEX('Paramètres'!$H:$H,MATCH($C2012,'Paramètres'!$D:$D,0))&amp;"",""))</f>
        <v/>
      </c>
      <c r="T2012" s="6" t="str">
        <f>IF($K2012="","",IF($S2012="",0,IF(ISNUMBER(SEARCH("apport-exterieur",IFERROR(INDEX('Paramètres'!$N:$N,MATCH($D2012,'Paramètres'!$M:$M,0))&amp;"",""))),0,IF(OR(IFERROR(INDEX('Paramètres'!$I:$I,MATCH($C2012,'Paramètres'!$D:$D,0))&amp;"","")="Les deux",IFERROR(INDEX('Paramètres'!$I:$I,MATCH($C2012,'Paramètres'!$D:$D,0))&amp;"","")=IF($P2012=1,"Débit",$L2012)),-IF($P2012=1,-$K2012,$K2012),0))))</f>
        <v/>
      </c>
      <c r="U2012" s="6" t="str">
        <f>IF($K2012="","",IF(ISNUMBER(SEARCH("sortie-epargne",IFERROR(INDEX('Paramètres'!$N:$N,MATCH($D2012,'Paramètres'!$M:$M,0))&amp;"",""))),$K2012,0))</f>
        <v/>
      </c>
      <c r="V2012" s="6" t="str">
        <f>IF(AND($A2012&lt;&gt;"",$O2012=1,$L2012="Débit",N($Q2012)&gt;0,$A2012&gt;=Visualisation!$B$1,$A2012&lt;Visualisation!$D$1),MAX($V$1:V2011)+1,"")</f>
        <v/>
      </c>
    </row>
    <row r="2013" spans="1:22" x14ac:dyDescent="0.25">
      <c r="A2013" s="9"/>
      <c r="E2013" s="10"/>
      <c r="K2013" s="11" t="str">
        <f>IF($E2013="","",ROUND($E2013*IF(ISNA(MATCH($C2013,'Paramètres'!$D:$D,0)),1,IF(INDEX('Paramètres'!$J:$J,MATCH($C2013,'Paramètres'!$D:$D,0))="",1,INDEX('Paramètres'!$J:$J,MATCH($C2013,'Paramètres'!$D:$D,0)))),2))</f>
        <v/>
      </c>
      <c r="L2013" s="6" t="str">
        <f>IF($D2013="","",IF($F2013&lt;&gt;"",$F2013,IF(ISNA(MATCH($D2013,'Paramètres'!$M:$M,0)),"⚠ Type inconnu",IFERROR(INDEX('Paramètres'!$P:$P,MATCH($D2013,'Paramètres'!$M:$M,0))&amp;"",""))))</f>
        <v/>
      </c>
      <c r="M2013" s="6" t="str">
        <f>IF($D2013="","",IF(ISNA(MATCH($D2013,'Paramètres'!$M:$M,0)),"⚠ Type inconnu",IF($L2013="Crédit","",IFERROR(INDEX('Paramètres'!$O:$O,MATCH($D2013,'Paramètres'!$M:$M,0))&amp;"",""))))</f>
        <v/>
      </c>
      <c r="N2013" s="6" t="str">
        <f>IF($D2013="","",IFERROR(INDEX('Paramètres'!$Q:$Q,MATCH($D2013,'Paramètres'!$M:$M,0))&amp;"",""))</f>
        <v/>
      </c>
      <c r="O2013" s="6" t="str">
        <f>IF($A2013="","",IF(OR($J2013&lt;&gt;"x",$A2013&lt;=FinReleve),1,0))</f>
        <v/>
      </c>
      <c r="P2013" s="6" t="str">
        <f>IF($D2013="","",IF(AND($L2013="Crédit",OR(IFERROR(INDEX('Paramètres'!$O:$O,MATCH($D2013,'Paramètres'!$M:$M,0))&amp;"","")&lt;&gt;"",ISNUMBER(SEARCH("remboursement",IFERROR(INDEX('Paramètres'!$N:$N,MATCH($D2013,'Paramètres'!$M:$M,0))&amp;"",""))))),1,0))</f>
        <v/>
      </c>
      <c r="Q2013" s="6" t="str">
        <f>IF($K2013="","",IF(ISNUMBER(SEARCH("transfert-interne",IFERROR(INDEX('Paramètres'!$N:$N,MATCH($D2013,'Paramètres'!$M:$M,0))&amp;"",""))),0,IF($L2013="Débit",$K2013,IF($P2013=1,-$K2013,0))))</f>
        <v/>
      </c>
      <c r="R2013" s="6" t="str">
        <f>IF($K2013="","",IF($L2013="Crédit",$K2013,-$K2013))</f>
        <v/>
      </c>
      <c r="S2013" s="6" t="str">
        <f>IF($C2013="","",IFERROR(INDEX('Paramètres'!$H:$H,MATCH($C2013,'Paramètres'!$D:$D,0))&amp;"",""))</f>
        <v/>
      </c>
      <c r="T2013" s="6" t="str">
        <f>IF($K2013="","",IF($S2013="",0,IF(ISNUMBER(SEARCH("apport-exterieur",IFERROR(INDEX('Paramètres'!$N:$N,MATCH($D2013,'Paramètres'!$M:$M,0))&amp;"",""))),0,IF(OR(IFERROR(INDEX('Paramètres'!$I:$I,MATCH($C2013,'Paramètres'!$D:$D,0))&amp;"","")="Les deux",IFERROR(INDEX('Paramètres'!$I:$I,MATCH($C2013,'Paramètres'!$D:$D,0))&amp;"","")=IF($P2013=1,"Débit",$L2013)),-IF($P2013=1,-$K2013,$K2013),0))))</f>
        <v/>
      </c>
      <c r="U2013" s="6" t="str">
        <f>IF($K2013="","",IF(ISNUMBER(SEARCH("sortie-epargne",IFERROR(INDEX('Paramètres'!$N:$N,MATCH($D2013,'Paramètres'!$M:$M,0))&amp;"",""))),$K2013,0))</f>
        <v/>
      </c>
      <c r="V2013" s="6" t="str">
        <f>IF(AND($A2013&lt;&gt;"",$O2013=1,$L2013="Débit",N($Q2013)&gt;0,$A2013&gt;=Visualisation!$B$1,$A2013&lt;Visualisation!$D$1),MAX($V$1:V2012)+1,"")</f>
        <v/>
      </c>
    </row>
    <row r="2014" spans="1:22" x14ac:dyDescent="0.25">
      <c r="A2014" s="9"/>
      <c r="E2014" s="10"/>
      <c r="K2014" s="11" t="str">
        <f>IF($E2014="","",ROUND($E2014*IF(ISNA(MATCH($C2014,'Paramètres'!$D:$D,0)),1,IF(INDEX('Paramètres'!$J:$J,MATCH($C2014,'Paramètres'!$D:$D,0))="",1,INDEX('Paramètres'!$J:$J,MATCH($C2014,'Paramètres'!$D:$D,0)))),2))</f>
        <v/>
      </c>
      <c r="L2014" s="6" t="str">
        <f>IF($D2014="","",IF($F2014&lt;&gt;"",$F2014,IF(ISNA(MATCH($D2014,'Paramètres'!$M:$M,0)),"⚠ Type inconnu",IFERROR(INDEX('Paramètres'!$P:$P,MATCH($D2014,'Paramètres'!$M:$M,0))&amp;"",""))))</f>
        <v/>
      </c>
      <c r="M2014" s="6" t="str">
        <f>IF($D2014="","",IF(ISNA(MATCH($D2014,'Paramètres'!$M:$M,0)),"⚠ Type inconnu",IF($L2014="Crédit","",IFERROR(INDEX('Paramètres'!$O:$O,MATCH($D2014,'Paramètres'!$M:$M,0))&amp;"",""))))</f>
        <v/>
      </c>
      <c r="N2014" s="6" t="str">
        <f>IF($D2014="","",IFERROR(INDEX('Paramètres'!$Q:$Q,MATCH($D2014,'Paramètres'!$M:$M,0))&amp;"",""))</f>
        <v/>
      </c>
      <c r="O2014" s="6" t="str">
        <f>IF($A2014="","",IF(OR($J2014&lt;&gt;"x",$A2014&lt;=FinReleve),1,0))</f>
        <v/>
      </c>
      <c r="P2014" s="6" t="str">
        <f>IF($D2014="","",IF(AND($L2014="Crédit",OR(IFERROR(INDEX('Paramètres'!$O:$O,MATCH($D2014,'Paramètres'!$M:$M,0))&amp;"","")&lt;&gt;"",ISNUMBER(SEARCH("remboursement",IFERROR(INDEX('Paramètres'!$N:$N,MATCH($D2014,'Paramètres'!$M:$M,0))&amp;"",""))))),1,0))</f>
        <v/>
      </c>
      <c r="Q2014" s="6" t="str">
        <f>IF($K2014="","",IF(ISNUMBER(SEARCH("transfert-interne",IFERROR(INDEX('Paramètres'!$N:$N,MATCH($D2014,'Paramètres'!$M:$M,0))&amp;"",""))),0,IF($L2014="Débit",$K2014,IF($P2014=1,-$K2014,0))))</f>
        <v/>
      </c>
      <c r="R2014" s="6" t="str">
        <f>IF($K2014="","",IF($L2014="Crédit",$K2014,-$K2014))</f>
        <v/>
      </c>
      <c r="S2014" s="6" t="str">
        <f>IF($C2014="","",IFERROR(INDEX('Paramètres'!$H:$H,MATCH($C2014,'Paramètres'!$D:$D,0))&amp;"",""))</f>
        <v/>
      </c>
      <c r="T2014" s="6" t="str">
        <f>IF($K2014="","",IF($S2014="",0,IF(ISNUMBER(SEARCH("apport-exterieur",IFERROR(INDEX('Paramètres'!$N:$N,MATCH($D2014,'Paramètres'!$M:$M,0))&amp;"",""))),0,IF(OR(IFERROR(INDEX('Paramètres'!$I:$I,MATCH($C2014,'Paramètres'!$D:$D,0))&amp;"","")="Les deux",IFERROR(INDEX('Paramètres'!$I:$I,MATCH($C2014,'Paramètres'!$D:$D,0))&amp;"","")=IF($P2014=1,"Débit",$L2014)),-IF($P2014=1,-$K2014,$K2014),0))))</f>
        <v/>
      </c>
      <c r="U2014" s="6" t="str">
        <f>IF($K2014="","",IF(ISNUMBER(SEARCH("sortie-epargne",IFERROR(INDEX('Paramètres'!$N:$N,MATCH($D2014,'Paramètres'!$M:$M,0))&amp;"",""))),$K2014,0))</f>
        <v/>
      </c>
      <c r="V2014" s="6" t="str">
        <f>IF(AND($A2014&lt;&gt;"",$O2014=1,$L2014="Débit",N($Q2014)&gt;0,$A2014&gt;=Visualisation!$B$1,$A2014&lt;Visualisation!$D$1),MAX($V$1:V2013)+1,"")</f>
        <v/>
      </c>
    </row>
    <row r="2015" spans="1:22" x14ac:dyDescent="0.25">
      <c r="A2015" s="9"/>
      <c r="E2015" s="10"/>
      <c r="K2015" s="11" t="str">
        <f>IF($E2015="","",ROUND($E2015*IF(ISNA(MATCH($C2015,'Paramètres'!$D:$D,0)),1,IF(INDEX('Paramètres'!$J:$J,MATCH($C2015,'Paramètres'!$D:$D,0))="",1,INDEX('Paramètres'!$J:$J,MATCH($C2015,'Paramètres'!$D:$D,0)))),2))</f>
        <v/>
      </c>
      <c r="L2015" s="6" t="str">
        <f>IF($D2015="","",IF($F2015&lt;&gt;"",$F2015,IF(ISNA(MATCH($D2015,'Paramètres'!$M:$M,0)),"⚠ Type inconnu",IFERROR(INDEX('Paramètres'!$P:$P,MATCH($D2015,'Paramètres'!$M:$M,0))&amp;"",""))))</f>
        <v/>
      </c>
      <c r="M2015" s="6" t="str">
        <f>IF($D2015="","",IF(ISNA(MATCH($D2015,'Paramètres'!$M:$M,0)),"⚠ Type inconnu",IF($L2015="Crédit","",IFERROR(INDEX('Paramètres'!$O:$O,MATCH($D2015,'Paramètres'!$M:$M,0))&amp;"",""))))</f>
        <v/>
      </c>
      <c r="N2015" s="6" t="str">
        <f>IF($D2015="","",IFERROR(INDEX('Paramètres'!$Q:$Q,MATCH($D2015,'Paramètres'!$M:$M,0))&amp;"",""))</f>
        <v/>
      </c>
      <c r="O2015" s="6" t="str">
        <f>IF($A2015="","",IF(OR($J2015&lt;&gt;"x",$A2015&lt;=FinReleve),1,0))</f>
        <v/>
      </c>
      <c r="P2015" s="6" t="str">
        <f>IF($D2015="","",IF(AND($L2015="Crédit",OR(IFERROR(INDEX('Paramètres'!$O:$O,MATCH($D2015,'Paramètres'!$M:$M,0))&amp;"","")&lt;&gt;"",ISNUMBER(SEARCH("remboursement",IFERROR(INDEX('Paramètres'!$N:$N,MATCH($D2015,'Paramètres'!$M:$M,0))&amp;"",""))))),1,0))</f>
        <v/>
      </c>
      <c r="Q2015" s="6" t="str">
        <f>IF($K2015="","",IF(ISNUMBER(SEARCH("transfert-interne",IFERROR(INDEX('Paramètres'!$N:$N,MATCH($D2015,'Paramètres'!$M:$M,0))&amp;"",""))),0,IF($L2015="Débit",$K2015,IF($P2015=1,-$K2015,0))))</f>
        <v/>
      </c>
      <c r="R2015" s="6" t="str">
        <f>IF($K2015="","",IF($L2015="Crédit",$K2015,-$K2015))</f>
        <v/>
      </c>
      <c r="S2015" s="6" t="str">
        <f>IF($C2015="","",IFERROR(INDEX('Paramètres'!$H:$H,MATCH($C2015,'Paramètres'!$D:$D,0))&amp;"",""))</f>
        <v/>
      </c>
      <c r="T2015" s="6" t="str">
        <f>IF($K2015="","",IF($S2015="",0,IF(ISNUMBER(SEARCH("apport-exterieur",IFERROR(INDEX('Paramètres'!$N:$N,MATCH($D2015,'Paramètres'!$M:$M,0))&amp;"",""))),0,IF(OR(IFERROR(INDEX('Paramètres'!$I:$I,MATCH($C2015,'Paramètres'!$D:$D,0))&amp;"","")="Les deux",IFERROR(INDEX('Paramètres'!$I:$I,MATCH($C2015,'Paramètres'!$D:$D,0))&amp;"","")=IF($P2015=1,"Débit",$L2015)),-IF($P2015=1,-$K2015,$K2015),0))))</f>
        <v/>
      </c>
      <c r="U2015" s="6" t="str">
        <f>IF($K2015="","",IF(ISNUMBER(SEARCH("sortie-epargne",IFERROR(INDEX('Paramètres'!$N:$N,MATCH($D2015,'Paramètres'!$M:$M,0))&amp;"",""))),$K2015,0))</f>
        <v/>
      </c>
      <c r="V2015" s="6" t="str">
        <f>IF(AND($A2015&lt;&gt;"",$O2015=1,$L2015="Débit",N($Q2015)&gt;0,$A2015&gt;=Visualisation!$B$1,$A2015&lt;Visualisation!$D$1),MAX($V$1:V2014)+1,"")</f>
        <v/>
      </c>
    </row>
    <row r="2016" spans="1:22" x14ac:dyDescent="0.25">
      <c r="A2016" s="9"/>
      <c r="E2016" s="10"/>
      <c r="K2016" s="11" t="str">
        <f>IF($E2016="","",ROUND($E2016*IF(ISNA(MATCH($C2016,'Paramètres'!$D:$D,0)),1,IF(INDEX('Paramètres'!$J:$J,MATCH($C2016,'Paramètres'!$D:$D,0))="",1,INDEX('Paramètres'!$J:$J,MATCH($C2016,'Paramètres'!$D:$D,0)))),2))</f>
        <v/>
      </c>
      <c r="L2016" s="6" t="str">
        <f>IF($D2016="","",IF($F2016&lt;&gt;"",$F2016,IF(ISNA(MATCH($D2016,'Paramètres'!$M:$M,0)),"⚠ Type inconnu",IFERROR(INDEX('Paramètres'!$P:$P,MATCH($D2016,'Paramètres'!$M:$M,0))&amp;"",""))))</f>
        <v/>
      </c>
      <c r="M2016" s="6" t="str">
        <f>IF($D2016="","",IF(ISNA(MATCH($D2016,'Paramètres'!$M:$M,0)),"⚠ Type inconnu",IF($L2016="Crédit","",IFERROR(INDEX('Paramètres'!$O:$O,MATCH($D2016,'Paramètres'!$M:$M,0))&amp;"",""))))</f>
        <v/>
      </c>
      <c r="N2016" s="6" t="str">
        <f>IF($D2016="","",IFERROR(INDEX('Paramètres'!$Q:$Q,MATCH($D2016,'Paramètres'!$M:$M,0))&amp;"",""))</f>
        <v/>
      </c>
      <c r="O2016" s="6" t="str">
        <f>IF($A2016="","",IF(OR($J2016&lt;&gt;"x",$A2016&lt;=FinReleve),1,0))</f>
        <v/>
      </c>
      <c r="P2016" s="6" t="str">
        <f>IF($D2016="","",IF(AND($L2016="Crédit",OR(IFERROR(INDEX('Paramètres'!$O:$O,MATCH($D2016,'Paramètres'!$M:$M,0))&amp;"","")&lt;&gt;"",ISNUMBER(SEARCH("remboursement",IFERROR(INDEX('Paramètres'!$N:$N,MATCH($D2016,'Paramètres'!$M:$M,0))&amp;"",""))))),1,0))</f>
        <v/>
      </c>
      <c r="Q2016" s="6" t="str">
        <f>IF($K2016="","",IF(ISNUMBER(SEARCH("transfert-interne",IFERROR(INDEX('Paramètres'!$N:$N,MATCH($D2016,'Paramètres'!$M:$M,0))&amp;"",""))),0,IF($L2016="Débit",$K2016,IF($P2016=1,-$K2016,0))))</f>
        <v/>
      </c>
      <c r="R2016" s="6" t="str">
        <f>IF($K2016="","",IF($L2016="Crédit",$K2016,-$K2016))</f>
        <v/>
      </c>
      <c r="S2016" s="6" t="str">
        <f>IF($C2016="","",IFERROR(INDEX('Paramètres'!$H:$H,MATCH($C2016,'Paramètres'!$D:$D,0))&amp;"",""))</f>
        <v/>
      </c>
      <c r="T2016" s="6" t="str">
        <f>IF($K2016="","",IF($S2016="",0,IF(ISNUMBER(SEARCH("apport-exterieur",IFERROR(INDEX('Paramètres'!$N:$N,MATCH($D2016,'Paramètres'!$M:$M,0))&amp;"",""))),0,IF(OR(IFERROR(INDEX('Paramètres'!$I:$I,MATCH($C2016,'Paramètres'!$D:$D,0))&amp;"","")="Les deux",IFERROR(INDEX('Paramètres'!$I:$I,MATCH($C2016,'Paramètres'!$D:$D,0))&amp;"","")=IF($P2016=1,"Débit",$L2016)),-IF($P2016=1,-$K2016,$K2016),0))))</f>
        <v/>
      </c>
      <c r="U2016" s="6" t="str">
        <f>IF($K2016="","",IF(ISNUMBER(SEARCH("sortie-epargne",IFERROR(INDEX('Paramètres'!$N:$N,MATCH($D2016,'Paramètres'!$M:$M,0))&amp;"",""))),$K2016,0))</f>
        <v/>
      </c>
      <c r="V2016" s="6" t="str">
        <f>IF(AND($A2016&lt;&gt;"",$O2016=1,$L2016="Débit",N($Q2016)&gt;0,$A2016&gt;=Visualisation!$B$1,$A2016&lt;Visualisation!$D$1),MAX($V$1:V2015)+1,"")</f>
        <v/>
      </c>
    </row>
    <row r="2017" spans="1:22" x14ac:dyDescent="0.25">
      <c r="A2017" s="9"/>
      <c r="E2017" s="10"/>
      <c r="K2017" s="11" t="str">
        <f>IF($E2017="","",ROUND($E2017*IF(ISNA(MATCH($C2017,'Paramètres'!$D:$D,0)),1,IF(INDEX('Paramètres'!$J:$J,MATCH($C2017,'Paramètres'!$D:$D,0))="",1,INDEX('Paramètres'!$J:$J,MATCH($C2017,'Paramètres'!$D:$D,0)))),2))</f>
        <v/>
      </c>
      <c r="L2017" s="6" t="str">
        <f>IF($D2017="","",IF($F2017&lt;&gt;"",$F2017,IF(ISNA(MATCH($D2017,'Paramètres'!$M:$M,0)),"⚠ Type inconnu",IFERROR(INDEX('Paramètres'!$P:$P,MATCH($D2017,'Paramètres'!$M:$M,0))&amp;"",""))))</f>
        <v/>
      </c>
      <c r="M2017" s="6" t="str">
        <f>IF($D2017="","",IF(ISNA(MATCH($D2017,'Paramètres'!$M:$M,0)),"⚠ Type inconnu",IF($L2017="Crédit","",IFERROR(INDEX('Paramètres'!$O:$O,MATCH($D2017,'Paramètres'!$M:$M,0))&amp;"",""))))</f>
        <v/>
      </c>
      <c r="N2017" s="6" t="str">
        <f>IF($D2017="","",IFERROR(INDEX('Paramètres'!$Q:$Q,MATCH($D2017,'Paramètres'!$M:$M,0))&amp;"",""))</f>
        <v/>
      </c>
      <c r="O2017" s="6" t="str">
        <f>IF($A2017="","",IF(OR($J2017&lt;&gt;"x",$A2017&lt;=FinReleve),1,0))</f>
        <v/>
      </c>
      <c r="P2017" s="6" t="str">
        <f>IF($D2017="","",IF(AND($L2017="Crédit",OR(IFERROR(INDEX('Paramètres'!$O:$O,MATCH($D2017,'Paramètres'!$M:$M,0))&amp;"","")&lt;&gt;"",ISNUMBER(SEARCH("remboursement",IFERROR(INDEX('Paramètres'!$N:$N,MATCH($D2017,'Paramètres'!$M:$M,0))&amp;"",""))))),1,0))</f>
        <v/>
      </c>
      <c r="Q2017" s="6" t="str">
        <f>IF($K2017="","",IF(ISNUMBER(SEARCH("transfert-interne",IFERROR(INDEX('Paramètres'!$N:$N,MATCH($D2017,'Paramètres'!$M:$M,0))&amp;"",""))),0,IF($L2017="Débit",$K2017,IF($P2017=1,-$K2017,0))))</f>
        <v/>
      </c>
      <c r="R2017" s="6" t="str">
        <f>IF($K2017="","",IF($L2017="Crédit",$K2017,-$K2017))</f>
        <v/>
      </c>
      <c r="S2017" s="6" t="str">
        <f>IF($C2017="","",IFERROR(INDEX('Paramètres'!$H:$H,MATCH($C2017,'Paramètres'!$D:$D,0))&amp;"",""))</f>
        <v/>
      </c>
      <c r="T2017" s="6" t="str">
        <f>IF($K2017="","",IF($S2017="",0,IF(ISNUMBER(SEARCH("apport-exterieur",IFERROR(INDEX('Paramètres'!$N:$N,MATCH($D2017,'Paramètres'!$M:$M,0))&amp;"",""))),0,IF(OR(IFERROR(INDEX('Paramètres'!$I:$I,MATCH($C2017,'Paramètres'!$D:$D,0))&amp;"","")="Les deux",IFERROR(INDEX('Paramètres'!$I:$I,MATCH($C2017,'Paramètres'!$D:$D,0))&amp;"","")=IF($P2017=1,"Débit",$L2017)),-IF($P2017=1,-$K2017,$K2017),0))))</f>
        <v/>
      </c>
      <c r="U2017" s="6" t="str">
        <f>IF($K2017="","",IF(ISNUMBER(SEARCH("sortie-epargne",IFERROR(INDEX('Paramètres'!$N:$N,MATCH($D2017,'Paramètres'!$M:$M,0))&amp;"",""))),$K2017,0))</f>
        <v/>
      </c>
      <c r="V2017" s="6" t="str">
        <f>IF(AND($A2017&lt;&gt;"",$O2017=1,$L2017="Débit",N($Q2017)&gt;0,$A2017&gt;=Visualisation!$B$1,$A2017&lt;Visualisation!$D$1),MAX($V$1:V2016)+1,"")</f>
        <v/>
      </c>
    </row>
    <row r="2018" spans="1:22" x14ac:dyDescent="0.25">
      <c r="A2018" s="9"/>
      <c r="E2018" s="10"/>
      <c r="K2018" s="11" t="str">
        <f>IF($E2018="","",ROUND($E2018*IF(ISNA(MATCH($C2018,'Paramètres'!$D:$D,0)),1,IF(INDEX('Paramètres'!$J:$J,MATCH($C2018,'Paramètres'!$D:$D,0))="",1,INDEX('Paramètres'!$J:$J,MATCH($C2018,'Paramètres'!$D:$D,0)))),2))</f>
        <v/>
      </c>
      <c r="L2018" s="6" t="str">
        <f>IF($D2018="","",IF($F2018&lt;&gt;"",$F2018,IF(ISNA(MATCH($D2018,'Paramètres'!$M:$M,0)),"⚠ Type inconnu",IFERROR(INDEX('Paramètres'!$P:$P,MATCH($D2018,'Paramètres'!$M:$M,0))&amp;"",""))))</f>
        <v/>
      </c>
      <c r="M2018" s="6" t="str">
        <f>IF($D2018="","",IF(ISNA(MATCH($D2018,'Paramètres'!$M:$M,0)),"⚠ Type inconnu",IF($L2018="Crédit","",IFERROR(INDEX('Paramètres'!$O:$O,MATCH($D2018,'Paramètres'!$M:$M,0))&amp;"",""))))</f>
        <v/>
      </c>
      <c r="N2018" s="6" t="str">
        <f>IF($D2018="","",IFERROR(INDEX('Paramètres'!$Q:$Q,MATCH($D2018,'Paramètres'!$M:$M,0))&amp;"",""))</f>
        <v/>
      </c>
      <c r="O2018" s="6" t="str">
        <f>IF($A2018="","",IF(OR($J2018&lt;&gt;"x",$A2018&lt;=FinReleve),1,0))</f>
        <v/>
      </c>
      <c r="P2018" s="6" t="str">
        <f>IF($D2018="","",IF(AND($L2018="Crédit",OR(IFERROR(INDEX('Paramètres'!$O:$O,MATCH($D2018,'Paramètres'!$M:$M,0))&amp;"","")&lt;&gt;"",ISNUMBER(SEARCH("remboursement",IFERROR(INDEX('Paramètres'!$N:$N,MATCH($D2018,'Paramètres'!$M:$M,0))&amp;"",""))))),1,0))</f>
        <v/>
      </c>
      <c r="Q2018" s="6" t="str">
        <f>IF($K2018="","",IF(ISNUMBER(SEARCH("transfert-interne",IFERROR(INDEX('Paramètres'!$N:$N,MATCH($D2018,'Paramètres'!$M:$M,0))&amp;"",""))),0,IF($L2018="Débit",$K2018,IF($P2018=1,-$K2018,0))))</f>
        <v/>
      </c>
      <c r="R2018" s="6" t="str">
        <f>IF($K2018="","",IF($L2018="Crédit",$K2018,-$K2018))</f>
        <v/>
      </c>
      <c r="S2018" s="6" t="str">
        <f>IF($C2018="","",IFERROR(INDEX('Paramètres'!$H:$H,MATCH($C2018,'Paramètres'!$D:$D,0))&amp;"",""))</f>
        <v/>
      </c>
      <c r="T2018" s="6" t="str">
        <f>IF($K2018="","",IF($S2018="",0,IF(ISNUMBER(SEARCH("apport-exterieur",IFERROR(INDEX('Paramètres'!$N:$N,MATCH($D2018,'Paramètres'!$M:$M,0))&amp;"",""))),0,IF(OR(IFERROR(INDEX('Paramètres'!$I:$I,MATCH($C2018,'Paramètres'!$D:$D,0))&amp;"","")="Les deux",IFERROR(INDEX('Paramètres'!$I:$I,MATCH($C2018,'Paramètres'!$D:$D,0))&amp;"","")=IF($P2018=1,"Débit",$L2018)),-IF($P2018=1,-$K2018,$K2018),0))))</f>
        <v/>
      </c>
      <c r="U2018" s="6" t="str">
        <f>IF($K2018="","",IF(ISNUMBER(SEARCH("sortie-epargne",IFERROR(INDEX('Paramètres'!$N:$N,MATCH($D2018,'Paramètres'!$M:$M,0))&amp;"",""))),$K2018,0))</f>
        <v/>
      </c>
      <c r="V2018" s="6" t="str">
        <f>IF(AND($A2018&lt;&gt;"",$O2018=1,$L2018="Débit",N($Q2018)&gt;0,$A2018&gt;=Visualisation!$B$1,$A2018&lt;Visualisation!$D$1),MAX($V$1:V2017)+1,"")</f>
        <v/>
      </c>
    </row>
    <row r="2019" spans="1:22" x14ac:dyDescent="0.25">
      <c r="A2019" s="9"/>
      <c r="E2019" s="10"/>
      <c r="K2019" s="11" t="str">
        <f>IF($E2019="","",ROUND($E2019*IF(ISNA(MATCH($C2019,'Paramètres'!$D:$D,0)),1,IF(INDEX('Paramètres'!$J:$J,MATCH($C2019,'Paramètres'!$D:$D,0))="",1,INDEX('Paramètres'!$J:$J,MATCH($C2019,'Paramètres'!$D:$D,0)))),2))</f>
        <v/>
      </c>
      <c r="L2019" s="6" t="str">
        <f>IF($D2019="","",IF($F2019&lt;&gt;"",$F2019,IF(ISNA(MATCH($D2019,'Paramètres'!$M:$M,0)),"⚠ Type inconnu",IFERROR(INDEX('Paramètres'!$P:$P,MATCH($D2019,'Paramètres'!$M:$M,0))&amp;"",""))))</f>
        <v/>
      </c>
      <c r="M2019" s="6" t="str">
        <f>IF($D2019="","",IF(ISNA(MATCH($D2019,'Paramètres'!$M:$M,0)),"⚠ Type inconnu",IF($L2019="Crédit","",IFERROR(INDEX('Paramètres'!$O:$O,MATCH($D2019,'Paramètres'!$M:$M,0))&amp;"",""))))</f>
        <v/>
      </c>
      <c r="N2019" s="6" t="str">
        <f>IF($D2019="","",IFERROR(INDEX('Paramètres'!$Q:$Q,MATCH($D2019,'Paramètres'!$M:$M,0))&amp;"",""))</f>
        <v/>
      </c>
      <c r="O2019" s="6" t="str">
        <f>IF($A2019="","",IF(OR($J2019&lt;&gt;"x",$A2019&lt;=FinReleve),1,0))</f>
        <v/>
      </c>
      <c r="P2019" s="6" t="str">
        <f>IF($D2019="","",IF(AND($L2019="Crédit",OR(IFERROR(INDEX('Paramètres'!$O:$O,MATCH($D2019,'Paramètres'!$M:$M,0))&amp;"","")&lt;&gt;"",ISNUMBER(SEARCH("remboursement",IFERROR(INDEX('Paramètres'!$N:$N,MATCH($D2019,'Paramètres'!$M:$M,0))&amp;"",""))))),1,0))</f>
        <v/>
      </c>
      <c r="Q2019" s="6" t="str">
        <f>IF($K2019="","",IF(ISNUMBER(SEARCH("transfert-interne",IFERROR(INDEX('Paramètres'!$N:$N,MATCH($D2019,'Paramètres'!$M:$M,0))&amp;"",""))),0,IF($L2019="Débit",$K2019,IF($P2019=1,-$K2019,0))))</f>
        <v/>
      </c>
      <c r="R2019" s="6" t="str">
        <f>IF($K2019="","",IF($L2019="Crédit",$K2019,-$K2019))</f>
        <v/>
      </c>
      <c r="S2019" s="6" t="str">
        <f>IF($C2019="","",IFERROR(INDEX('Paramètres'!$H:$H,MATCH($C2019,'Paramètres'!$D:$D,0))&amp;"",""))</f>
        <v/>
      </c>
      <c r="T2019" s="6" t="str">
        <f>IF($K2019="","",IF($S2019="",0,IF(ISNUMBER(SEARCH("apport-exterieur",IFERROR(INDEX('Paramètres'!$N:$N,MATCH($D2019,'Paramètres'!$M:$M,0))&amp;"",""))),0,IF(OR(IFERROR(INDEX('Paramètres'!$I:$I,MATCH($C2019,'Paramètres'!$D:$D,0))&amp;"","")="Les deux",IFERROR(INDEX('Paramètres'!$I:$I,MATCH($C2019,'Paramètres'!$D:$D,0))&amp;"","")=IF($P2019=1,"Débit",$L2019)),-IF($P2019=1,-$K2019,$K2019),0))))</f>
        <v/>
      </c>
      <c r="U2019" s="6" t="str">
        <f>IF($K2019="","",IF(ISNUMBER(SEARCH("sortie-epargne",IFERROR(INDEX('Paramètres'!$N:$N,MATCH($D2019,'Paramètres'!$M:$M,0))&amp;"",""))),$K2019,0))</f>
        <v/>
      </c>
      <c r="V2019" s="6" t="str">
        <f>IF(AND($A2019&lt;&gt;"",$O2019=1,$L2019="Débit",N($Q2019)&gt;0,$A2019&gt;=Visualisation!$B$1,$A2019&lt;Visualisation!$D$1),MAX($V$1:V2018)+1,"")</f>
        <v/>
      </c>
    </row>
    <row r="2020" spans="1:22" x14ac:dyDescent="0.25">
      <c r="A2020" s="9"/>
      <c r="E2020" s="10"/>
      <c r="K2020" s="11" t="str">
        <f>IF($E2020="","",ROUND($E2020*IF(ISNA(MATCH($C2020,'Paramètres'!$D:$D,0)),1,IF(INDEX('Paramètres'!$J:$J,MATCH($C2020,'Paramètres'!$D:$D,0))="",1,INDEX('Paramètres'!$J:$J,MATCH($C2020,'Paramètres'!$D:$D,0)))),2))</f>
        <v/>
      </c>
      <c r="L2020" s="6" t="str">
        <f>IF($D2020="","",IF($F2020&lt;&gt;"",$F2020,IF(ISNA(MATCH($D2020,'Paramètres'!$M:$M,0)),"⚠ Type inconnu",IFERROR(INDEX('Paramètres'!$P:$P,MATCH($D2020,'Paramètres'!$M:$M,0))&amp;"",""))))</f>
        <v/>
      </c>
      <c r="M2020" s="6" t="str">
        <f>IF($D2020="","",IF(ISNA(MATCH($D2020,'Paramètres'!$M:$M,0)),"⚠ Type inconnu",IF($L2020="Crédit","",IFERROR(INDEX('Paramètres'!$O:$O,MATCH($D2020,'Paramètres'!$M:$M,0))&amp;"",""))))</f>
        <v/>
      </c>
      <c r="N2020" s="6" t="str">
        <f>IF($D2020="","",IFERROR(INDEX('Paramètres'!$Q:$Q,MATCH($D2020,'Paramètres'!$M:$M,0))&amp;"",""))</f>
        <v/>
      </c>
      <c r="O2020" s="6" t="str">
        <f>IF($A2020="","",IF(OR($J2020&lt;&gt;"x",$A2020&lt;=FinReleve),1,0))</f>
        <v/>
      </c>
      <c r="P2020" s="6" t="str">
        <f>IF($D2020="","",IF(AND($L2020="Crédit",OR(IFERROR(INDEX('Paramètres'!$O:$O,MATCH($D2020,'Paramètres'!$M:$M,0))&amp;"","")&lt;&gt;"",ISNUMBER(SEARCH("remboursement",IFERROR(INDEX('Paramètres'!$N:$N,MATCH($D2020,'Paramètres'!$M:$M,0))&amp;"",""))))),1,0))</f>
        <v/>
      </c>
      <c r="Q2020" s="6" t="str">
        <f>IF($K2020="","",IF(ISNUMBER(SEARCH("transfert-interne",IFERROR(INDEX('Paramètres'!$N:$N,MATCH($D2020,'Paramètres'!$M:$M,0))&amp;"",""))),0,IF($L2020="Débit",$K2020,IF($P2020=1,-$K2020,0))))</f>
        <v/>
      </c>
      <c r="R2020" s="6" t="str">
        <f>IF($K2020="","",IF($L2020="Crédit",$K2020,-$K2020))</f>
        <v/>
      </c>
      <c r="S2020" s="6" t="str">
        <f>IF($C2020="","",IFERROR(INDEX('Paramètres'!$H:$H,MATCH($C2020,'Paramètres'!$D:$D,0))&amp;"",""))</f>
        <v/>
      </c>
      <c r="T2020" s="6" t="str">
        <f>IF($K2020="","",IF($S2020="",0,IF(ISNUMBER(SEARCH("apport-exterieur",IFERROR(INDEX('Paramètres'!$N:$N,MATCH($D2020,'Paramètres'!$M:$M,0))&amp;"",""))),0,IF(OR(IFERROR(INDEX('Paramètres'!$I:$I,MATCH($C2020,'Paramètres'!$D:$D,0))&amp;"","")="Les deux",IFERROR(INDEX('Paramètres'!$I:$I,MATCH($C2020,'Paramètres'!$D:$D,0))&amp;"","")=IF($P2020=1,"Débit",$L2020)),-IF($P2020=1,-$K2020,$K2020),0))))</f>
        <v/>
      </c>
      <c r="U2020" s="6" t="str">
        <f>IF($K2020="","",IF(ISNUMBER(SEARCH("sortie-epargne",IFERROR(INDEX('Paramètres'!$N:$N,MATCH($D2020,'Paramètres'!$M:$M,0))&amp;"",""))),$K2020,0))</f>
        <v/>
      </c>
      <c r="V2020" s="6" t="str">
        <f>IF(AND($A2020&lt;&gt;"",$O2020=1,$L2020="Débit",N($Q2020)&gt;0,$A2020&gt;=Visualisation!$B$1,$A2020&lt;Visualisation!$D$1),MAX($V$1:V2019)+1,"")</f>
        <v/>
      </c>
    </row>
    <row r="2021" spans="1:22" x14ac:dyDescent="0.25">
      <c r="A2021" s="9"/>
      <c r="E2021" s="10"/>
      <c r="K2021" s="11" t="str">
        <f>IF($E2021="","",ROUND($E2021*IF(ISNA(MATCH($C2021,'Paramètres'!$D:$D,0)),1,IF(INDEX('Paramètres'!$J:$J,MATCH($C2021,'Paramètres'!$D:$D,0))="",1,INDEX('Paramètres'!$J:$J,MATCH($C2021,'Paramètres'!$D:$D,0)))),2))</f>
        <v/>
      </c>
      <c r="L2021" s="6" t="str">
        <f>IF($D2021="","",IF($F2021&lt;&gt;"",$F2021,IF(ISNA(MATCH($D2021,'Paramètres'!$M:$M,0)),"⚠ Type inconnu",IFERROR(INDEX('Paramètres'!$P:$P,MATCH($D2021,'Paramètres'!$M:$M,0))&amp;"",""))))</f>
        <v/>
      </c>
      <c r="M2021" s="6" t="str">
        <f>IF($D2021="","",IF(ISNA(MATCH($D2021,'Paramètres'!$M:$M,0)),"⚠ Type inconnu",IF($L2021="Crédit","",IFERROR(INDEX('Paramètres'!$O:$O,MATCH($D2021,'Paramètres'!$M:$M,0))&amp;"",""))))</f>
        <v/>
      </c>
      <c r="N2021" s="6" t="str">
        <f>IF($D2021="","",IFERROR(INDEX('Paramètres'!$Q:$Q,MATCH($D2021,'Paramètres'!$M:$M,0))&amp;"",""))</f>
        <v/>
      </c>
      <c r="O2021" s="6" t="str">
        <f>IF($A2021="","",IF(OR($J2021&lt;&gt;"x",$A2021&lt;=FinReleve),1,0))</f>
        <v/>
      </c>
      <c r="P2021" s="6" t="str">
        <f>IF($D2021="","",IF(AND($L2021="Crédit",OR(IFERROR(INDEX('Paramètres'!$O:$O,MATCH($D2021,'Paramètres'!$M:$M,0))&amp;"","")&lt;&gt;"",ISNUMBER(SEARCH("remboursement",IFERROR(INDEX('Paramètres'!$N:$N,MATCH($D2021,'Paramètres'!$M:$M,0))&amp;"",""))))),1,0))</f>
        <v/>
      </c>
      <c r="Q2021" s="6" t="str">
        <f>IF($K2021="","",IF(ISNUMBER(SEARCH("transfert-interne",IFERROR(INDEX('Paramètres'!$N:$N,MATCH($D2021,'Paramètres'!$M:$M,0))&amp;"",""))),0,IF($L2021="Débit",$K2021,IF($P2021=1,-$K2021,0))))</f>
        <v/>
      </c>
      <c r="R2021" s="6" t="str">
        <f>IF($K2021="","",IF($L2021="Crédit",$K2021,-$K2021))</f>
        <v/>
      </c>
      <c r="S2021" s="6" t="str">
        <f>IF($C2021="","",IFERROR(INDEX('Paramètres'!$H:$H,MATCH($C2021,'Paramètres'!$D:$D,0))&amp;"",""))</f>
        <v/>
      </c>
      <c r="T2021" s="6" t="str">
        <f>IF($K2021="","",IF($S2021="",0,IF(ISNUMBER(SEARCH("apport-exterieur",IFERROR(INDEX('Paramètres'!$N:$N,MATCH($D2021,'Paramètres'!$M:$M,0))&amp;"",""))),0,IF(OR(IFERROR(INDEX('Paramètres'!$I:$I,MATCH($C2021,'Paramètres'!$D:$D,0))&amp;"","")="Les deux",IFERROR(INDEX('Paramètres'!$I:$I,MATCH($C2021,'Paramètres'!$D:$D,0))&amp;"","")=IF($P2021=1,"Débit",$L2021)),-IF($P2021=1,-$K2021,$K2021),0))))</f>
        <v/>
      </c>
      <c r="U2021" s="6" t="str">
        <f>IF($K2021="","",IF(ISNUMBER(SEARCH("sortie-epargne",IFERROR(INDEX('Paramètres'!$N:$N,MATCH($D2021,'Paramètres'!$M:$M,0))&amp;"",""))),$K2021,0))</f>
        <v/>
      </c>
      <c r="V2021" s="6" t="str">
        <f>IF(AND($A2021&lt;&gt;"",$O2021=1,$L2021="Débit",N($Q2021)&gt;0,$A2021&gt;=Visualisation!$B$1,$A2021&lt;Visualisation!$D$1),MAX($V$1:V2020)+1,"")</f>
        <v/>
      </c>
    </row>
    <row r="2022" spans="1:22" x14ac:dyDescent="0.25">
      <c r="A2022" s="9"/>
      <c r="E2022" s="10"/>
      <c r="K2022" s="11" t="str">
        <f>IF($E2022="","",ROUND($E2022*IF(ISNA(MATCH($C2022,'Paramètres'!$D:$D,0)),1,IF(INDEX('Paramètres'!$J:$J,MATCH($C2022,'Paramètres'!$D:$D,0))="",1,INDEX('Paramètres'!$J:$J,MATCH($C2022,'Paramètres'!$D:$D,0)))),2))</f>
        <v/>
      </c>
      <c r="L2022" s="6" t="str">
        <f>IF($D2022="","",IF($F2022&lt;&gt;"",$F2022,IF(ISNA(MATCH($D2022,'Paramètres'!$M:$M,0)),"⚠ Type inconnu",IFERROR(INDEX('Paramètres'!$P:$P,MATCH($D2022,'Paramètres'!$M:$M,0))&amp;"",""))))</f>
        <v/>
      </c>
      <c r="M2022" s="6" t="str">
        <f>IF($D2022="","",IF(ISNA(MATCH($D2022,'Paramètres'!$M:$M,0)),"⚠ Type inconnu",IF($L2022="Crédit","",IFERROR(INDEX('Paramètres'!$O:$O,MATCH($D2022,'Paramètres'!$M:$M,0))&amp;"",""))))</f>
        <v/>
      </c>
      <c r="N2022" s="6" t="str">
        <f>IF($D2022="","",IFERROR(INDEX('Paramètres'!$Q:$Q,MATCH($D2022,'Paramètres'!$M:$M,0))&amp;"",""))</f>
        <v/>
      </c>
      <c r="O2022" s="6" t="str">
        <f>IF($A2022="","",IF(OR($J2022&lt;&gt;"x",$A2022&lt;=FinReleve),1,0))</f>
        <v/>
      </c>
      <c r="P2022" s="6" t="str">
        <f>IF($D2022="","",IF(AND($L2022="Crédit",OR(IFERROR(INDEX('Paramètres'!$O:$O,MATCH($D2022,'Paramètres'!$M:$M,0))&amp;"","")&lt;&gt;"",ISNUMBER(SEARCH("remboursement",IFERROR(INDEX('Paramètres'!$N:$N,MATCH($D2022,'Paramètres'!$M:$M,0))&amp;"",""))))),1,0))</f>
        <v/>
      </c>
      <c r="Q2022" s="6" t="str">
        <f>IF($K2022="","",IF(ISNUMBER(SEARCH("transfert-interne",IFERROR(INDEX('Paramètres'!$N:$N,MATCH($D2022,'Paramètres'!$M:$M,0))&amp;"",""))),0,IF($L2022="Débit",$K2022,IF($P2022=1,-$K2022,0))))</f>
        <v/>
      </c>
      <c r="R2022" s="6" t="str">
        <f>IF($K2022="","",IF($L2022="Crédit",$K2022,-$K2022))</f>
        <v/>
      </c>
      <c r="S2022" s="6" t="str">
        <f>IF($C2022="","",IFERROR(INDEX('Paramètres'!$H:$H,MATCH($C2022,'Paramètres'!$D:$D,0))&amp;"",""))</f>
        <v/>
      </c>
      <c r="T2022" s="6" t="str">
        <f>IF($K2022="","",IF($S2022="",0,IF(ISNUMBER(SEARCH("apport-exterieur",IFERROR(INDEX('Paramètres'!$N:$N,MATCH($D2022,'Paramètres'!$M:$M,0))&amp;"",""))),0,IF(OR(IFERROR(INDEX('Paramètres'!$I:$I,MATCH($C2022,'Paramètres'!$D:$D,0))&amp;"","")="Les deux",IFERROR(INDEX('Paramètres'!$I:$I,MATCH($C2022,'Paramètres'!$D:$D,0))&amp;"","")=IF($P2022=1,"Débit",$L2022)),-IF($P2022=1,-$K2022,$K2022),0))))</f>
        <v/>
      </c>
      <c r="U2022" s="6" t="str">
        <f>IF($K2022="","",IF(ISNUMBER(SEARCH("sortie-epargne",IFERROR(INDEX('Paramètres'!$N:$N,MATCH($D2022,'Paramètres'!$M:$M,0))&amp;"",""))),$K2022,0))</f>
        <v/>
      </c>
      <c r="V2022" s="6" t="str">
        <f>IF(AND($A2022&lt;&gt;"",$O2022=1,$L2022="Débit",N($Q2022)&gt;0,$A2022&gt;=Visualisation!$B$1,$A2022&lt;Visualisation!$D$1),MAX($V$1:V2021)+1,"")</f>
        <v/>
      </c>
    </row>
    <row r="2023" spans="1:22" x14ac:dyDescent="0.25">
      <c r="A2023" s="9"/>
      <c r="E2023" s="10"/>
      <c r="K2023" s="11" t="str">
        <f>IF($E2023="","",ROUND($E2023*IF(ISNA(MATCH($C2023,'Paramètres'!$D:$D,0)),1,IF(INDEX('Paramètres'!$J:$J,MATCH($C2023,'Paramètres'!$D:$D,0))="",1,INDEX('Paramètres'!$J:$J,MATCH($C2023,'Paramètres'!$D:$D,0)))),2))</f>
        <v/>
      </c>
      <c r="L2023" s="6" t="str">
        <f>IF($D2023="","",IF($F2023&lt;&gt;"",$F2023,IF(ISNA(MATCH($D2023,'Paramètres'!$M:$M,0)),"⚠ Type inconnu",IFERROR(INDEX('Paramètres'!$P:$P,MATCH($D2023,'Paramètres'!$M:$M,0))&amp;"",""))))</f>
        <v/>
      </c>
      <c r="M2023" s="6" t="str">
        <f>IF($D2023="","",IF(ISNA(MATCH($D2023,'Paramètres'!$M:$M,0)),"⚠ Type inconnu",IF($L2023="Crédit","",IFERROR(INDEX('Paramètres'!$O:$O,MATCH($D2023,'Paramètres'!$M:$M,0))&amp;"",""))))</f>
        <v/>
      </c>
      <c r="N2023" s="6" t="str">
        <f>IF($D2023="","",IFERROR(INDEX('Paramètres'!$Q:$Q,MATCH($D2023,'Paramètres'!$M:$M,0))&amp;"",""))</f>
        <v/>
      </c>
      <c r="O2023" s="6" t="str">
        <f>IF($A2023="","",IF(OR($J2023&lt;&gt;"x",$A2023&lt;=FinReleve),1,0))</f>
        <v/>
      </c>
      <c r="P2023" s="6" t="str">
        <f>IF($D2023="","",IF(AND($L2023="Crédit",OR(IFERROR(INDEX('Paramètres'!$O:$O,MATCH($D2023,'Paramètres'!$M:$M,0))&amp;"","")&lt;&gt;"",ISNUMBER(SEARCH("remboursement",IFERROR(INDEX('Paramètres'!$N:$N,MATCH($D2023,'Paramètres'!$M:$M,0))&amp;"",""))))),1,0))</f>
        <v/>
      </c>
      <c r="Q2023" s="6" t="str">
        <f>IF($K2023="","",IF(ISNUMBER(SEARCH("transfert-interne",IFERROR(INDEX('Paramètres'!$N:$N,MATCH($D2023,'Paramètres'!$M:$M,0))&amp;"",""))),0,IF($L2023="Débit",$K2023,IF($P2023=1,-$K2023,0))))</f>
        <v/>
      </c>
      <c r="R2023" s="6" t="str">
        <f>IF($K2023="","",IF($L2023="Crédit",$K2023,-$K2023))</f>
        <v/>
      </c>
      <c r="S2023" s="6" t="str">
        <f>IF($C2023="","",IFERROR(INDEX('Paramètres'!$H:$H,MATCH($C2023,'Paramètres'!$D:$D,0))&amp;"",""))</f>
        <v/>
      </c>
      <c r="T2023" s="6" t="str">
        <f>IF($K2023="","",IF($S2023="",0,IF(ISNUMBER(SEARCH("apport-exterieur",IFERROR(INDEX('Paramètres'!$N:$N,MATCH($D2023,'Paramètres'!$M:$M,0))&amp;"",""))),0,IF(OR(IFERROR(INDEX('Paramètres'!$I:$I,MATCH($C2023,'Paramètres'!$D:$D,0))&amp;"","")="Les deux",IFERROR(INDEX('Paramètres'!$I:$I,MATCH($C2023,'Paramètres'!$D:$D,0))&amp;"","")=IF($P2023=1,"Débit",$L2023)),-IF($P2023=1,-$K2023,$K2023),0))))</f>
        <v/>
      </c>
      <c r="U2023" s="6" t="str">
        <f>IF($K2023="","",IF(ISNUMBER(SEARCH("sortie-epargne",IFERROR(INDEX('Paramètres'!$N:$N,MATCH($D2023,'Paramètres'!$M:$M,0))&amp;"",""))),$K2023,0))</f>
        <v/>
      </c>
      <c r="V2023" s="6" t="str">
        <f>IF(AND($A2023&lt;&gt;"",$O2023=1,$L2023="Débit",N($Q2023)&gt;0,$A2023&gt;=Visualisation!$B$1,$A2023&lt;Visualisation!$D$1),MAX($V$1:V2022)+1,"")</f>
        <v/>
      </c>
    </row>
    <row r="2024" spans="1:22" x14ac:dyDescent="0.25">
      <c r="A2024" s="9"/>
      <c r="E2024" s="10"/>
      <c r="K2024" s="11" t="str">
        <f>IF($E2024="","",ROUND($E2024*IF(ISNA(MATCH($C2024,'Paramètres'!$D:$D,0)),1,IF(INDEX('Paramètres'!$J:$J,MATCH($C2024,'Paramètres'!$D:$D,0))="",1,INDEX('Paramètres'!$J:$J,MATCH($C2024,'Paramètres'!$D:$D,0)))),2))</f>
        <v/>
      </c>
      <c r="L2024" s="6" t="str">
        <f>IF($D2024="","",IF($F2024&lt;&gt;"",$F2024,IF(ISNA(MATCH($D2024,'Paramètres'!$M:$M,0)),"⚠ Type inconnu",IFERROR(INDEX('Paramètres'!$P:$P,MATCH($D2024,'Paramètres'!$M:$M,0))&amp;"",""))))</f>
        <v/>
      </c>
      <c r="M2024" s="6" t="str">
        <f>IF($D2024="","",IF(ISNA(MATCH($D2024,'Paramètres'!$M:$M,0)),"⚠ Type inconnu",IF($L2024="Crédit","",IFERROR(INDEX('Paramètres'!$O:$O,MATCH($D2024,'Paramètres'!$M:$M,0))&amp;"",""))))</f>
        <v/>
      </c>
      <c r="N2024" s="6" t="str">
        <f>IF($D2024="","",IFERROR(INDEX('Paramètres'!$Q:$Q,MATCH($D2024,'Paramètres'!$M:$M,0))&amp;"",""))</f>
        <v/>
      </c>
      <c r="O2024" s="6" t="str">
        <f>IF($A2024="","",IF(OR($J2024&lt;&gt;"x",$A2024&lt;=FinReleve),1,0))</f>
        <v/>
      </c>
      <c r="P2024" s="6" t="str">
        <f>IF($D2024="","",IF(AND($L2024="Crédit",OR(IFERROR(INDEX('Paramètres'!$O:$O,MATCH($D2024,'Paramètres'!$M:$M,0))&amp;"","")&lt;&gt;"",ISNUMBER(SEARCH("remboursement",IFERROR(INDEX('Paramètres'!$N:$N,MATCH($D2024,'Paramètres'!$M:$M,0))&amp;"",""))))),1,0))</f>
        <v/>
      </c>
      <c r="Q2024" s="6" t="str">
        <f>IF($K2024="","",IF(ISNUMBER(SEARCH("transfert-interne",IFERROR(INDEX('Paramètres'!$N:$N,MATCH($D2024,'Paramètres'!$M:$M,0))&amp;"",""))),0,IF($L2024="Débit",$K2024,IF($P2024=1,-$K2024,0))))</f>
        <v/>
      </c>
      <c r="R2024" s="6" t="str">
        <f>IF($K2024="","",IF($L2024="Crédit",$K2024,-$K2024))</f>
        <v/>
      </c>
      <c r="S2024" s="6" t="str">
        <f>IF($C2024="","",IFERROR(INDEX('Paramètres'!$H:$H,MATCH($C2024,'Paramètres'!$D:$D,0))&amp;"",""))</f>
        <v/>
      </c>
      <c r="T2024" s="6" t="str">
        <f>IF($K2024="","",IF($S2024="",0,IF(ISNUMBER(SEARCH("apport-exterieur",IFERROR(INDEX('Paramètres'!$N:$N,MATCH($D2024,'Paramètres'!$M:$M,0))&amp;"",""))),0,IF(OR(IFERROR(INDEX('Paramètres'!$I:$I,MATCH($C2024,'Paramètres'!$D:$D,0))&amp;"","")="Les deux",IFERROR(INDEX('Paramètres'!$I:$I,MATCH($C2024,'Paramètres'!$D:$D,0))&amp;"","")=IF($P2024=1,"Débit",$L2024)),-IF($P2024=1,-$K2024,$K2024),0))))</f>
        <v/>
      </c>
      <c r="U2024" s="6" t="str">
        <f>IF($K2024="","",IF(ISNUMBER(SEARCH("sortie-epargne",IFERROR(INDEX('Paramètres'!$N:$N,MATCH($D2024,'Paramètres'!$M:$M,0))&amp;"",""))),$K2024,0))</f>
        <v/>
      </c>
      <c r="V2024" s="6" t="str">
        <f>IF(AND($A2024&lt;&gt;"",$O2024=1,$L2024="Débit",N($Q2024)&gt;0,$A2024&gt;=Visualisation!$B$1,$A2024&lt;Visualisation!$D$1),MAX($V$1:V2023)+1,"")</f>
        <v/>
      </c>
    </row>
    <row r="2025" spans="1:22" x14ac:dyDescent="0.25">
      <c r="A2025" s="9"/>
      <c r="E2025" s="10"/>
      <c r="K2025" s="11" t="str">
        <f>IF($E2025="","",ROUND($E2025*IF(ISNA(MATCH($C2025,'Paramètres'!$D:$D,0)),1,IF(INDEX('Paramètres'!$J:$J,MATCH($C2025,'Paramètres'!$D:$D,0))="",1,INDEX('Paramètres'!$J:$J,MATCH($C2025,'Paramètres'!$D:$D,0)))),2))</f>
        <v/>
      </c>
      <c r="L2025" s="6" t="str">
        <f>IF($D2025="","",IF($F2025&lt;&gt;"",$F2025,IF(ISNA(MATCH($D2025,'Paramètres'!$M:$M,0)),"⚠ Type inconnu",IFERROR(INDEX('Paramètres'!$P:$P,MATCH($D2025,'Paramètres'!$M:$M,0))&amp;"",""))))</f>
        <v/>
      </c>
      <c r="M2025" s="6" t="str">
        <f>IF($D2025="","",IF(ISNA(MATCH($D2025,'Paramètres'!$M:$M,0)),"⚠ Type inconnu",IF($L2025="Crédit","",IFERROR(INDEX('Paramètres'!$O:$O,MATCH($D2025,'Paramètres'!$M:$M,0))&amp;"",""))))</f>
        <v/>
      </c>
      <c r="N2025" s="6" t="str">
        <f>IF($D2025="","",IFERROR(INDEX('Paramètres'!$Q:$Q,MATCH($D2025,'Paramètres'!$M:$M,0))&amp;"",""))</f>
        <v/>
      </c>
      <c r="O2025" s="6" t="str">
        <f>IF($A2025="","",IF(OR($J2025&lt;&gt;"x",$A2025&lt;=FinReleve),1,0))</f>
        <v/>
      </c>
      <c r="P2025" s="6" t="str">
        <f>IF($D2025="","",IF(AND($L2025="Crédit",OR(IFERROR(INDEX('Paramètres'!$O:$O,MATCH($D2025,'Paramètres'!$M:$M,0))&amp;"","")&lt;&gt;"",ISNUMBER(SEARCH("remboursement",IFERROR(INDEX('Paramètres'!$N:$N,MATCH($D2025,'Paramètres'!$M:$M,0))&amp;"",""))))),1,0))</f>
        <v/>
      </c>
      <c r="Q2025" s="6" t="str">
        <f>IF($K2025="","",IF(ISNUMBER(SEARCH("transfert-interne",IFERROR(INDEX('Paramètres'!$N:$N,MATCH($D2025,'Paramètres'!$M:$M,0))&amp;"",""))),0,IF($L2025="Débit",$K2025,IF($P2025=1,-$K2025,0))))</f>
        <v/>
      </c>
      <c r="R2025" s="6" t="str">
        <f>IF($K2025="","",IF($L2025="Crédit",$K2025,-$K2025))</f>
        <v/>
      </c>
      <c r="S2025" s="6" t="str">
        <f>IF($C2025="","",IFERROR(INDEX('Paramètres'!$H:$H,MATCH($C2025,'Paramètres'!$D:$D,0))&amp;"",""))</f>
        <v/>
      </c>
      <c r="T2025" s="6" t="str">
        <f>IF($K2025="","",IF($S2025="",0,IF(ISNUMBER(SEARCH("apport-exterieur",IFERROR(INDEX('Paramètres'!$N:$N,MATCH($D2025,'Paramètres'!$M:$M,0))&amp;"",""))),0,IF(OR(IFERROR(INDEX('Paramètres'!$I:$I,MATCH($C2025,'Paramètres'!$D:$D,0))&amp;"","")="Les deux",IFERROR(INDEX('Paramètres'!$I:$I,MATCH($C2025,'Paramètres'!$D:$D,0))&amp;"","")=IF($P2025=1,"Débit",$L2025)),-IF($P2025=1,-$K2025,$K2025),0))))</f>
        <v/>
      </c>
      <c r="U2025" s="6" t="str">
        <f>IF($K2025="","",IF(ISNUMBER(SEARCH("sortie-epargne",IFERROR(INDEX('Paramètres'!$N:$N,MATCH($D2025,'Paramètres'!$M:$M,0))&amp;"",""))),$K2025,0))</f>
        <v/>
      </c>
      <c r="V2025" s="6" t="str">
        <f>IF(AND($A2025&lt;&gt;"",$O2025=1,$L2025="Débit",N($Q2025)&gt;0,$A2025&gt;=Visualisation!$B$1,$A2025&lt;Visualisation!$D$1),MAX($V$1:V2024)+1,"")</f>
        <v/>
      </c>
    </row>
    <row r="2026" spans="1:22" x14ac:dyDescent="0.25">
      <c r="A2026" s="9"/>
      <c r="E2026" s="10"/>
      <c r="K2026" s="11" t="str">
        <f>IF($E2026="","",ROUND($E2026*IF(ISNA(MATCH($C2026,'Paramètres'!$D:$D,0)),1,IF(INDEX('Paramètres'!$J:$J,MATCH($C2026,'Paramètres'!$D:$D,0))="",1,INDEX('Paramètres'!$J:$J,MATCH($C2026,'Paramètres'!$D:$D,0)))),2))</f>
        <v/>
      </c>
      <c r="L2026" s="6" t="str">
        <f>IF($D2026="","",IF($F2026&lt;&gt;"",$F2026,IF(ISNA(MATCH($D2026,'Paramètres'!$M:$M,0)),"⚠ Type inconnu",IFERROR(INDEX('Paramètres'!$P:$P,MATCH($D2026,'Paramètres'!$M:$M,0))&amp;"",""))))</f>
        <v/>
      </c>
      <c r="M2026" s="6" t="str">
        <f>IF($D2026="","",IF(ISNA(MATCH($D2026,'Paramètres'!$M:$M,0)),"⚠ Type inconnu",IF($L2026="Crédit","",IFERROR(INDEX('Paramètres'!$O:$O,MATCH($D2026,'Paramètres'!$M:$M,0))&amp;"",""))))</f>
        <v/>
      </c>
      <c r="N2026" s="6" t="str">
        <f>IF($D2026="","",IFERROR(INDEX('Paramètres'!$Q:$Q,MATCH($D2026,'Paramètres'!$M:$M,0))&amp;"",""))</f>
        <v/>
      </c>
      <c r="O2026" s="6" t="str">
        <f>IF($A2026="","",IF(OR($J2026&lt;&gt;"x",$A2026&lt;=FinReleve),1,0))</f>
        <v/>
      </c>
      <c r="P2026" s="6" t="str">
        <f>IF($D2026="","",IF(AND($L2026="Crédit",OR(IFERROR(INDEX('Paramètres'!$O:$O,MATCH($D2026,'Paramètres'!$M:$M,0))&amp;"","")&lt;&gt;"",ISNUMBER(SEARCH("remboursement",IFERROR(INDEX('Paramètres'!$N:$N,MATCH($D2026,'Paramètres'!$M:$M,0))&amp;"",""))))),1,0))</f>
        <v/>
      </c>
      <c r="Q2026" s="6" t="str">
        <f>IF($K2026="","",IF(ISNUMBER(SEARCH("transfert-interne",IFERROR(INDEX('Paramètres'!$N:$N,MATCH($D2026,'Paramètres'!$M:$M,0))&amp;"",""))),0,IF($L2026="Débit",$K2026,IF($P2026=1,-$K2026,0))))</f>
        <v/>
      </c>
      <c r="R2026" s="6" t="str">
        <f>IF($K2026="","",IF($L2026="Crédit",$K2026,-$K2026))</f>
        <v/>
      </c>
      <c r="S2026" s="6" t="str">
        <f>IF($C2026="","",IFERROR(INDEX('Paramètres'!$H:$H,MATCH($C2026,'Paramètres'!$D:$D,0))&amp;"",""))</f>
        <v/>
      </c>
      <c r="T2026" s="6" t="str">
        <f>IF($K2026="","",IF($S2026="",0,IF(ISNUMBER(SEARCH("apport-exterieur",IFERROR(INDEX('Paramètres'!$N:$N,MATCH($D2026,'Paramètres'!$M:$M,0))&amp;"",""))),0,IF(OR(IFERROR(INDEX('Paramètres'!$I:$I,MATCH($C2026,'Paramètres'!$D:$D,0))&amp;"","")="Les deux",IFERROR(INDEX('Paramètres'!$I:$I,MATCH($C2026,'Paramètres'!$D:$D,0))&amp;"","")=IF($P2026=1,"Débit",$L2026)),-IF($P2026=1,-$K2026,$K2026),0))))</f>
        <v/>
      </c>
      <c r="U2026" s="6" t="str">
        <f>IF($K2026="","",IF(ISNUMBER(SEARCH("sortie-epargne",IFERROR(INDEX('Paramètres'!$N:$N,MATCH($D2026,'Paramètres'!$M:$M,0))&amp;"",""))),$K2026,0))</f>
        <v/>
      </c>
      <c r="V2026" s="6" t="str">
        <f>IF(AND($A2026&lt;&gt;"",$O2026=1,$L2026="Débit",N($Q2026)&gt;0,$A2026&gt;=Visualisation!$B$1,$A2026&lt;Visualisation!$D$1),MAX($V$1:V2025)+1,"")</f>
        <v/>
      </c>
    </row>
    <row r="2027" spans="1:22" x14ac:dyDescent="0.25">
      <c r="A2027" s="9"/>
      <c r="E2027" s="10"/>
      <c r="K2027" s="11" t="str">
        <f>IF($E2027="","",ROUND($E2027*IF(ISNA(MATCH($C2027,'Paramètres'!$D:$D,0)),1,IF(INDEX('Paramètres'!$J:$J,MATCH($C2027,'Paramètres'!$D:$D,0))="",1,INDEX('Paramètres'!$J:$J,MATCH($C2027,'Paramètres'!$D:$D,0)))),2))</f>
        <v/>
      </c>
      <c r="L2027" s="6" t="str">
        <f>IF($D2027="","",IF($F2027&lt;&gt;"",$F2027,IF(ISNA(MATCH($D2027,'Paramètres'!$M:$M,0)),"⚠ Type inconnu",IFERROR(INDEX('Paramètres'!$P:$P,MATCH($D2027,'Paramètres'!$M:$M,0))&amp;"",""))))</f>
        <v/>
      </c>
      <c r="M2027" s="6" t="str">
        <f>IF($D2027="","",IF(ISNA(MATCH($D2027,'Paramètres'!$M:$M,0)),"⚠ Type inconnu",IF($L2027="Crédit","",IFERROR(INDEX('Paramètres'!$O:$O,MATCH($D2027,'Paramètres'!$M:$M,0))&amp;"",""))))</f>
        <v/>
      </c>
      <c r="N2027" s="6" t="str">
        <f>IF($D2027="","",IFERROR(INDEX('Paramètres'!$Q:$Q,MATCH($D2027,'Paramètres'!$M:$M,0))&amp;"",""))</f>
        <v/>
      </c>
      <c r="O2027" s="6" t="str">
        <f>IF($A2027="","",IF(OR($J2027&lt;&gt;"x",$A2027&lt;=FinReleve),1,0))</f>
        <v/>
      </c>
      <c r="P2027" s="6" t="str">
        <f>IF($D2027="","",IF(AND($L2027="Crédit",OR(IFERROR(INDEX('Paramètres'!$O:$O,MATCH($D2027,'Paramètres'!$M:$M,0))&amp;"","")&lt;&gt;"",ISNUMBER(SEARCH("remboursement",IFERROR(INDEX('Paramètres'!$N:$N,MATCH($D2027,'Paramètres'!$M:$M,0))&amp;"",""))))),1,0))</f>
        <v/>
      </c>
      <c r="Q2027" s="6" t="str">
        <f>IF($K2027="","",IF(ISNUMBER(SEARCH("transfert-interne",IFERROR(INDEX('Paramètres'!$N:$N,MATCH($D2027,'Paramètres'!$M:$M,0))&amp;"",""))),0,IF($L2027="Débit",$K2027,IF($P2027=1,-$K2027,0))))</f>
        <v/>
      </c>
      <c r="R2027" s="6" t="str">
        <f>IF($K2027="","",IF($L2027="Crédit",$K2027,-$K2027))</f>
        <v/>
      </c>
      <c r="S2027" s="6" t="str">
        <f>IF($C2027="","",IFERROR(INDEX('Paramètres'!$H:$H,MATCH($C2027,'Paramètres'!$D:$D,0))&amp;"",""))</f>
        <v/>
      </c>
      <c r="T2027" s="6" t="str">
        <f>IF($K2027="","",IF($S2027="",0,IF(ISNUMBER(SEARCH("apport-exterieur",IFERROR(INDEX('Paramètres'!$N:$N,MATCH($D2027,'Paramètres'!$M:$M,0))&amp;"",""))),0,IF(OR(IFERROR(INDEX('Paramètres'!$I:$I,MATCH($C2027,'Paramètres'!$D:$D,0))&amp;"","")="Les deux",IFERROR(INDEX('Paramètres'!$I:$I,MATCH($C2027,'Paramètres'!$D:$D,0))&amp;"","")=IF($P2027=1,"Débit",$L2027)),-IF($P2027=1,-$K2027,$K2027),0))))</f>
        <v/>
      </c>
      <c r="U2027" s="6" t="str">
        <f>IF($K2027="","",IF(ISNUMBER(SEARCH("sortie-epargne",IFERROR(INDEX('Paramètres'!$N:$N,MATCH($D2027,'Paramètres'!$M:$M,0))&amp;"",""))),$K2027,0))</f>
        <v/>
      </c>
      <c r="V2027" s="6" t="str">
        <f>IF(AND($A2027&lt;&gt;"",$O2027=1,$L2027="Débit",N($Q2027)&gt;0,$A2027&gt;=Visualisation!$B$1,$A2027&lt;Visualisation!$D$1),MAX($V$1:V2026)+1,"")</f>
        <v/>
      </c>
    </row>
    <row r="2028" spans="1:22" x14ac:dyDescent="0.25">
      <c r="A2028" s="9"/>
      <c r="E2028" s="10"/>
      <c r="K2028" s="11" t="str">
        <f>IF($E2028="","",ROUND($E2028*IF(ISNA(MATCH($C2028,'Paramètres'!$D:$D,0)),1,IF(INDEX('Paramètres'!$J:$J,MATCH($C2028,'Paramètres'!$D:$D,0))="",1,INDEX('Paramètres'!$J:$J,MATCH($C2028,'Paramètres'!$D:$D,0)))),2))</f>
        <v/>
      </c>
      <c r="L2028" s="6" t="str">
        <f>IF($D2028="","",IF($F2028&lt;&gt;"",$F2028,IF(ISNA(MATCH($D2028,'Paramètres'!$M:$M,0)),"⚠ Type inconnu",IFERROR(INDEX('Paramètres'!$P:$P,MATCH($D2028,'Paramètres'!$M:$M,0))&amp;"",""))))</f>
        <v/>
      </c>
      <c r="M2028" s="6" t="str">
        <f>IF($D2028="","",IF(ISNA(MATCH($D2028,'Paramètres'!$M:$M,0)),"⚠ Type inconnu",IF($L2028="Crédit","",IFERROR(INDEX('Paramètres'!$O:$O,MATCH($D2028,'Paramètres'!$M:$M,0))&amp;"",""))))</f>
        <v/>
      </c>
      <c r="N2028" s="6" t="str">
        <f>IF($D2028="","",IFERROR(INDEX('Paramètres'!$Q:$Q,MATCH($D2028,'Paramètres'!$M:$M,0))&amp;"",""))</f>
        <v/>
      </c>
      <c r="O2028" s="6" t="str">
        <f>IF($A2028="","",IF(OR($J2028&lt;&gt;"x",$A2028&lt;=FinReleve),1,0))</f>
        <v/>
      </c>
      <c r="P2028" s="6" t="str">
        <f>IF($D2028="","",IF(AND($L2028="Crédit",OR(IFERROR(INDEX('Paramètres'!$O:$O,MATCH($D2028,'Paramètres'!$M:$M,0))&amp;"","")&lt;&gt;"",ISNUMBER(SEARCH("remboursement",IFERROR(INDEX('Paramètres'!$N:$N,MATCH($D2028,'Paramètres'!$M:$M,0))&amp;"",""))))),1,0))</f>
        <v/>
      </c>
      <c r="Q2028" s="6" t="str">
        <f>IF($K2028="","",IF(ISNUMBER(SEARCH("transfert-interne",IFERROR(INDEX('Paramètres'!$N:$N,MATCH($D2028,'Paramètres'!$M:$M,0))&amp;"",""))),0,IF($L2028="Débit",$K2028,IF($P2028=1,-$K2028,0))))</f>
        <v/>
      </c>
      <c r="R2028" s="6" t="str">
        <f>IF($K2028="","",IF($L2028="Crédit",$K2028,-$K2028))</f>
        <v/>
      </c>
      <c r="S2028" s="6" t="str">
        <f>IF($C2028="","",IFERROR(INDEX('Paramètres'!$H:$H,MATCH($C2028,'Paramètres'!$D:$D,0))&amp;"",""))</f>
        <v/>
      </c>
      <c r="T2028" s="6" t="str">
        <f>IF($K2028="","",IF($S2028="",0,IF(ISNUMBER(SEARCH("apport-exterieur",IFERROR(INDEX('Paramètres'!$N:$N,MATCH($D2028,'Paramètres'!$M:$M,0))&amp;"",""))),0,IF(OR(IFERROR(INDEX('Paramètres'!$I:$I,MATCH($C2028,'Paramètres'!$D:$D,0))&amp;"","")="Les deux",IFERROR(INDEX('Paramètres'!$I:$I,MATCH($C2028,'Paramètres'!$D:$D,0))&amp;"","")=IF($P2028=1,"Débit",$L2028)),-IF($P2028=1,-$K2028,$K2028),0))))</f>
        <v/>
      </c>
      <c r="U2028" s="6" t="str">
        <f>IF($K2028="","",IF(ISNUMBER(SEARCH("sortie-epargne",IFERROR(INDEX('Paramètres'!$N:$N,MATCH($D2028,'Paramètres'!$M:$M,0))&amp;"",""))),$K2028,0))</f>
        <v/>
      </c>
      <c r="V2028" s="6" t="str">
        <f>IF(AND($A2028&lt;&gt;"",$O2028=1,$L2028="Débit",N($Q2028)&gt;0,$A2028&gt;=Visualisation!$B$1,$A2028&lt;Visualisation!$D$1),MAX($V$1:V2027)+1,"")</f>
        <v/>
      </c>
    </row>
    <row r="2029" spans="1:22" x14ac:dyDescent="0.25">
      <c r="A2029" s="9"/>
      <c r="E2029" s="10"/>
      <c r="K2029" s="11" t="str">
        <f>IF($E2029="","",ROUND($E2029*IF(ISNA(MATCH($C2029,'Paramètres'!$D:$D,0)),1,IF(INDEX('Paramètres'!$J:$J,MATCH($C2029,'Paramètres'!$D:$D,0))="",1,INDEX('Paramètres'!$J:$J,MATCH($C2029,'Paramètres'!$D:$D,0)))),2))</f>
        <v/>
      </c>
      <c r="L2029" s="6" t="str">
        <f>IF($D2029="","",IF($F2029&lt;&gt;"",$F2029,IF(ISNA(MATCH($D2029,'Paramètres'!$M:$M,0)),"⚠ Type inconnu",IFERROR(INDEX('Paramètres'!$P:$P,MATCH($D2029,'Paramètres'!$M:$M,0))&amp;"",""))))</f>
        <v/>
      </c>
      <c r="M2029" s="6" t="str">
        <f>IF($D2029="","",IF(ISNA(MATCH($D2029,'Paramètres'!$M:$M,0)),"⚠ Type inconnu",IF($L2029="Crédit","",IFERROR(INDEX('Paramètres'!$O:$O,MATCH($D2029,'Paramètres'!$M:$M,0))&amp;"",""))))</f>
        <v/>
      </c>
      <c r="N2029" s="6" t="str">
        <f>IF($D2029="","",IFERROR(INDEX('Paramètres'!$Q:$Q,MATCH($D2029,'Paramètres'!$M:$M,0))&amp;"",""))</f>
        <v/>
      </c>
      <c r="O2029" s="6" t="str">
        <f>IF($A2029="","",IF(OR($J2029&lt;&gt;"x",$A2029&lt;=FinReleve),1,0))</f>
        <v/>
      </c>
      <c r="P2029" s="6" t="str">
        <f>IF($D2029="","",IF(AND($L2029="Crédit",OR(IFERROR(INDEX('Paramètres'!$O:$O,MATCH($D2029,'Paramètres'!$M:$M,0))&amp;"","")&lt;&gt;"",ISNUMBER(SEARCH("remboursement",IFERROR(INDEX('Paramètres'!$N:$N,MATCH($D2029,'Paramètres'!$M:$M,0))&amp;"",""))))),1,0))</f>
        <v/>
      </c>
      <c r="Q2029" s="6" t="str">
        <f>IF($K2029="","",IF(ISNUMBER(SEARCH("transfert-interne",IFERROR(INDEX('Paramètres'!$N:$N,MATCH($D2029,'Paramètres'!$M:$M,0))&amp;"",""))),0,IF($L2029="Débit",$K2029,IF($P2029=1,-$K2029,0))))</f>
        <v/>
      </c>
      <c r="R2029" s="6" t="str">
        <f>IF($K2029="","",IF($L2029="Crédit",$K2029,-$K2029))</f>
        <v/>
      </c>
      <c r="S2029" s="6" t="str">
        <f>IF($C2029="","",IFERROR(INDEX('Paramètres'!$H:$H,MATCH($C2029,'Paramètres'!$D:$D,0))&amp;"",""))</f>
        <v/>
      </c>
      <c r="T2029" s="6" t="str">
        <f>IF($K2029="","",IF($S2029="",0,IF(ISNUMBER(SEARCH("apport-exterieur",IFERROR(INDEX('Paramètres'!$N:$N,MATCH($D2029,'Paramètres'!$M:$M,0))&amp;"",""))),0,IF(OR(IFERROR(INDEX('Paramètres'!$I:$I,MATCH($C2029,'Paramètres'!$D:$D,0))&amp;"","")="Les deux",IFERROR(INDEX('Paramètres'!$I:$I,MATCH($C2029,'Paramètres'!$D:$D,0))&amp;"","")=IF($P2029=1,"Débit",$L2029)),-IF($P2029=1,-$K2029,$K2029),0))))</f>
        <v/>
      </c>
      <c r="U2029" s="6" t="str">
        <f>IF($K2029="","",IF(ISNUMBER(SEARCH("sortie-epargne",IFERROR(INDEX('Paramètres'!$N:$N,MATCH($D2029,'Paramètres'!$M:$M,0))&amp;"",""))),$K2029,0))</f>
        <v/>
      </c>
      <c r="V2029" s="6" t="str">
        <f>IF(AND($A2029&lt;&gt;"",$O2029=1,$L2029="Débit",N($Q2029)&gt;0,$A2029&gt;=Visualisation!$B$1,$A2029&lt;Visualisation!$D$1),MAX($V$1:V2028)+1,"")</f>
        <v/>
      </c>
    </row>
    <row r="2030" spans="1:22" x14ac:dyDescent="0.25">
      <c r="A2030" s="9"/>
      <c r="E2030" s="10"/>
      <c r="K2030" s="11" t="str">
        <f>IF($E2030="","",ROUND($E2030*IF(ISNA(MATCH($C2030,'Paramètres'!$D:$D,0)),1,IF(INDEX('Paramètres'!$J:$J,MATCH($C2030,'Paramètres'!$D:$D,0))="",1,INDEX('Paramètres'!$J:$J,MATCH($C2030,'Paramètres'!$D:$D,0)))),2))</f>
        <v/>
      </c>
      <c r="L2030" s="6" t="str">
        <f>IF($D2030="","",IF($F2030&lt;&gt;"",$F2030,IF(ISNA(MATCH($D2030,'Paramètres'!$M:$M,0)),"⚠ Type inconnu",IFERROR(INDEX('Paramètres'!$P:$P,MATCH($D2030,'Paramètres'!$M:$M,0))&amp;"",""))))</f>
        <v/>
      </c>
      <c r="M2030" s="6" t="str">
        <f>IF($D2030="","",IF(ISNA(MATCH($D2030,'Paramètres'!$M:$M,0)),"⚠ Type inconnu",IF($L2030="Crédit","",IFERROR(INDEX('Paramètres'!$O:$O,MATCH($D2030,'Paramètres'!$M:$M,0))&amp;"",""))))</f>
        <v/>
      </c>
      <c r="N2030" s="6" t="str">
        <f>IF($D2030="","",IFERROR(INDEX('Paramètres'!$Q:$Q,MATCH($D2030,'Paramètres'!$M:$M,0))&amp;"",""))</f>
        <v/>
      </c>
      <c r="O2030" s="6" t="str">
        <f>IF($A2030="","",IF(OR($J2030&lt;&gt;"x",$A2030&lt;=FinReleve),1,0))</f>
        <v/>
      </c>
      <c r="P2030" s="6" t="str">
        <f>IF($D2030="","",IF(AND($L2030="Crédit",OR(IFERROR(INDEX('Paramètres'!$O:$O,MATCH($D2030,'Paramètres'!$M:$M,0))&amp;"","")&lt;&gt;"",ISNUMBER(SEARCH("remboursement",IFERROR(INDEX('Paramètres'!$N:$N,MATCH($D2030,'Paramètres'!$M:$M,0))&amp;"",""))))),1,0))</f>
        <v/>
      </c>
      <c r="Q2030" s="6" t="str">
        <f>IF($K2030="","",IF(ISNUMBER(SEARCH("transfert-interne",IFERROR(INDEX('Paramètres'!$N:$N,MATCH($D2030,'Paramètres'!$M:$M,0))&amp;"",""))),0,IF($L2030="Débit",$K2030,IF($P2030=1,-$K2030,0))))</f>
        <v/>
      </c>
      <c r="R2030" s="6" t="str">
        <f>IF($K2030="","",IF($L2030="Crédit",$K2030,-$K2030))</f>
        <v/>
      </c>
      <c r="S2030" s="6" t="str">
        <f>IF($C2030="","",IFERROR(INDEX('Paramètres'!$H:$H,MATCH($C2030,'Paramètres'!$D:$D,0))&amp;"",""))</f>
        <v/>
      </c>
      <c r="T2030" s="6" t="str">
        <f>IF($K2030="","",IF($S2030="",0,IF(ISNUMBER(SEARCH("apport-exterieur",IFERROR(INDEX('Paramètres'!$N:$N,MATCH($D2030,'Paramètres'!$M:$M,0))&amp;"",""))),0,IF(OR(IFERROR(INDEX('Paramètres'!$I:$I,MATCH($C2030,'Paramètres'!$D:$D,0))&amp;"","")="Les deux",IFERROR(INDEX('Paramètres'!$I:$I,MATCH($C2030,'Paramètres'!$D:$D,0))&amp;"","")=IF($P2030=1,"Débit",$L2030)),-IF($P2030=1,-$K2030,$K2030),0))))</f>
        <v/>
      </c>
      <c r="U2030" s="6" t="str">
        <f>IF($K2030="","",IF(ISNUMBER(SEARCH("sortie-epargne",IFERROR(INDEX('Paramètres'!$N:$N,MATCH($D2030,'Paramètres'!$M:$M,0))&amp;"",""))),$K2030,0))</f>
        <v/>
      </c>
      <c r="V2030" s="6" t="str">
        <f>IF(AND($A2030&lt;&gt;"",$O2030=1,$L2030="Débit",N($Q2030)&gt;0,$A2030&gt;=Visualisation!$B$1,$A2030&lt;Visualisation!$D$1),MAX($V$1:V2029)+1,"")</f>
        <v/>
      </c>
    </row>
    <row r="2031" spans="1:22" x14ac:dyDescent="0.25">
      <c r="A2031" s="9"/>
      <c r="E2031" s="10"/>
      <c r="K2031" s="11" t="str">
        <f>IF($E2031="","",ROUND($E2031*IF(ISNA(MATCH($C2031,'Paramètres'!$D:$D,0)),1,IF(INDEX('Paramètres'!$J:$J,MATCH($C2031,'Paramètres'!$D:$D,0))="",1,INDEX('Paramètres'!$J:$J,MATCH($C2031,'Paramètres'!$D:$D,0)))),2))</f>
        <v/>
      </c>
      <c r="L2031" s="6" t="str">
        <f>IF($D2031="","",IF($F2031&lt;&gt;"",$F2031,IF(ISNA(MATCH($D2031,'Paramètres'!$M:$M,0)),"⚠ Type inconnu",IFERROR(INDEX('Paramètres'!$P:$P,MATCH($D2031,'Paramètres'!$M:$M,0))&amp;"",""))))</f>
        <v/>
      </c>
      <c r="M2031" s="6" t="str">
        <f>IF($D2031="","",IF(ISNA(MATCH($D2031,'Paramètres'!$M:$M,0)),"⚠ Type inconnu",IF($L2031="Crédit","",IFERROR(INDEX('Paramètres'!$O:$O,MATCH($D2031,'Paramètres'!$M:$M,0))&amp;"",""))))</f>
        <v/>
      </c>
      <c r="N2031" s="6" t="str">
        <f>IF($D2031="","",IFERROR(INDEX('Paramètres'!$Q:$Q,MATCH($D2031,'Paramètres'!$M:$M,0))&amp;"",""))</f>
        <v/>
      </c>
      <c r="O2031" s="6" t="str">
        <f>IF($A2031="","",IF(OR($J2031&lt;&gt;"x",$A2031&lt;=FinReleve),1,0))</f>
        <v/>
      </c>
      <c r="P2031" s="6" t="str">
        <f>IF($D2031="","",IF(AND($L2031="Crédit",OR(IFERROR(INDEX('Paramètres'!$O:$O,MATCH($D2031,'Paramètres'!$M:$M,0))&amp;"","")&lt;&gt;"",ISNUMBER(SEARCH("remboursement",IFERROR(INDEX('Paramètres'!$N:$N,MATCH($D2031,'Paramètres'!$M:$M,0))&amp;"",""))))),1,0))</f>
        <v/>
      </c>
      <c r="Q2031" s="6" t="str">
        <f>IF($K2031="","",IF(ISNUMBER(SEARCH("transfert-interne",IFERROR(INDEX('Paramètres'!$N:$N,MATCH($D2031,'Paramètres'!$M:$M,0))&amp;"",""))),0,IF($L2031="Débit",$K2031,IF($P2031=1,-$K2031,0))))</f>
        <v/>
      </c>
      <c r="R2031" s="6" t="str">
        <f>IF($K2031="","",IF($L2031="Crédit",$K2031,-$K2031))</f>
        <v/>
      </c>
      <c r="S2031" s="6" t="str">
        <f>IF($C2031="","",IFERROR(INDEX('Paramètres'!$H:$H,MATCH($C2031,'Paramètres'!$D:$D,0))&amp;"",""))</f>
        <v/>
      </c>
      <c r="T2031" s="6" t="str">
        <f>IF($K2031="","",IF($S2031="",0,IF(ISNUMBER(SEARCH("apport-exterieur",IFERROR(INDEX('Paramètres'!$N:$N,MATCH($D2031,'Paramètres'!$M:$M,0))&amp;"",""))),0,IF(OR(IFERROR(INDEX('Paramètres'!$I:$I,MATCH($C2031,'Paramètres'!$D:$D,0))&amp;"","")="Les deux",IFERROR(INDEX('Paramètres'!$I:$I,MATCH($C2031,'Paramètres'!$D:$D,0))&amp;"","")=IF($P2031=1,"Débit",$L2031)),-IF($P2031=1,-$K2031,$K2031),0))))</f>
        <v/>
      </c>
      <c r="U2031" s="6" t="str">
        <f>IF($K2031="","",IF(ISNUMBER(SEARCH("sortie-epargne",IFERROR(INDEX('Paramètres'!$N:$N,MATCH($D2031,'Paramètres'!$M:$M,0))&amp;"",""))),$K2031,0))</f>
        <v/>
      </c>
      <c r="V2031" s="6" t="str">
        <f>IF(AND($A2031&lt;&gt;"",$O2031=1,$L2031="Débit",N($Q2031)&gt;0,$A2031&gt;=Visualisation!$B$1,$A2031&lt;Visualisation!$D$1),MAX($V$1:V2030)+1,"")</f>
        <v/>
      </c>
    </row>
    <row r="2032" spans="1:22" x14ac:dyDescent="0.25">
      <c r="A2032" s="9"/>
      <c r="E2032" s="10"/>
      <c r="K2032" s="11" t="str">
        <f>IF($E2032="","",ROUND($E2032*IF(ISNA(MATCH($C2032,'Paramètres'!$D:$D,0)),1,IF(INDEX('Paramètres'!$J:$J,MATCH($C2032,'Paramètres'!$D:$D,0))="",1,INDEX('Paramètres'!$J:$J,MATCH($C2032,'Paramètres'!$D:$D,0)))),2))</f>
        <v/>
      </c>
      <c r="L2032" s="6" t="str">
        <f>IF($D2032="","",IF($F2032&lt;&gt;"",$F2032,IF(ISNA(MATCH($D2032,'Paramètres'!$M:$M,0)),"⚠ Type inconnu",IFERROR(INDEX('Paramètres'!$P:$P,MATCH($D2032,'Paramètres'!$M:$M,0))&amp;"",""))))</f>
        <v/>
      </c>
      <c r="M2032" s="6" t="str">
        <f>IF($D2032="","",IF(ISNA(MATCH($D2032,'Paramètres'!$M:$M,0)),"⚠ Type inconnu",IF($L2032="Crédit","",IFERROR(INDEX('Paramètres'!$O:$O,MATCH($D2032,'Paramètres'!$M:$M,0))&amp;"",""))))</f>
        <v/>
      </c>
      <c r="N2032" s="6" t="str">
        <f>IF($D2032="","",IFERROR(INDEX('Paramètres'!$Q:$Q,MATCH($D2032,'Paramètres'!$M:$M,0))&amp;"",""))</f>
        <v/>
      </c>
      <c r="O2032" s="6" t="str">
        <f>IF($A2032="","",IF(OR($J2032&lt;&gt;"x",$A2032&lt;=FinReleve),1,0))</f>
        <v/>
      </c>
      <c r="P2032" s="6" t="str">
        <f>IF($D2032="","",IF(AND($L2032="Crédit",OR(IFERROR(INDEX('Paramètres'!$O:$O,MATCH($D2032,'Paramètres'!$M:$M,0))&amp;"","")&lt;&gt;"",ISNUMBER(SEARCH("remboursement",IFERROR(INDEX('Paramètres'!$N:$N,MATCH($D2032,'Paramètres'!$M:$M,0))&amp;"",""))))),1,0))</f>
        <v/>
      </c>
      <c r="Q2032" s="6" t="str">
        <f>IF($K2032="","",IF(ISNUMBER(SEARCH("transfert-interne",IFERROR(INDEX('Paramètres'!$N:$N,MATCH($D2032,'Paramètres'!$M:$M,0))&amp;"",""))),0,IF($L2032="Débit",$K2032,IF($P2032=1,-$K2032,0))))</f>
        <v/>
      </c>
      <c r="R2032" s="6" t="str">
        <f>IF($K2032="","",IF($L2032="Crédit",$K2032,-$K2032))</f>
        <v/>
      </c>
      <c r="S2032" s="6" t="str">
        <f>IF($C2032="","",IFERROR(INDEX('Paramètres'!$H:$H,MATCH($C2032,'Paramètres'!$D:$D,0))&amp;"",""))</f>
        <v/>
      </c>
      <c r="T2032" s="6" t="str">
        <f>IF($K2032="","",IF($S2032="",0,IF(ISNUMBER(SEARCH("apport-exterieur",IFERROR(INDEX('Paramètres'!$N:$N,MATCH($D2032,'Paramètres'!$M:$M,0))&amp;"",""))),0,IF(OR(IFERROR(INDEX('Paramètres'!$I:$I,MATCH($C2032,'Paramètres'!$D:$D,0))&amp;"","")="Les deux",IFERROR(INDEX('Paramètres'!$I:$I,MATCH($C2032,'Paramètres'!$D:$D,0))&amp;"","")=IF($P2032=1,"Débit",$L2032)),-IF($P2032=1,-$K2032,$K2032),0))))</f>
        <v/>
      </c>
      <c r="U2032" s="6" t="str">
        <f>IF($K2032="","",IF(ISNUMBER(SEARCH("sortie-epargne",IFERROR(INDEX('Paramètres'!$N:$N,MATCH($D2032,'Paramètres'!$M:$M,0))&amp;"",""))),$K2032,0))</f>
        <v/>
      </c>
      <c r="V2032" s="6" t="str">
        <f>IF(AND($A2032&lt;&gt;"",$O2032=1,$L2032="Débit",N($Q2032)&gt;0,$A2032&gt;=Visualisation!$B$1,$A2032&lt;Visualisation!$D$1),MAX($V$1:V2031)+1,"")</f>
        <v/>
      </c>
    </row>
    <row r="2033" spans="1:22" x14ac:dyDescent="0.25">
      <c r="A2033" s="9"/>
      <c r="E2033" s="10"/>
      <c r="K2033" s="11" t="str">
        <f>IF($E2033="","",ROUND($E2033*IF(ISNA(MATCH($C2033,'Paramètres'!$D:$D,0)),1,IF(INDEX('Paramètres'!$J:$J,MATCH($C2033,'Paramètres'!$D:$D,0))="",1,INDEX('Paramètres'!$J:$J,MATCH($C2033,'Paramètres'!$D:$D,0)))),2))</f>
        <v/>
      </c>
      <c r="L2033" s="6" t="str">
        <f>IF($D2033="","",IF($F2033&lt;&gt;"",$F2033,IF(ISNA(MATCH($D2033,'Paramètres'!$M:$M,0)),"⚠ Type inconnu",IFERROR(INDEX('Paramètres'!$P:$P,MATCH($D2033,'Paramètres'!$M:$M,0))&amp;"",""))))</f>
        <v/>
      </c>
      <c r="M2033" s="6" t="str">
        <f>IF($D2033="","",IF(ISNA(MATCH($D2033,'Paramètres'!$M:$M,0)),"⚠ Type inconnu",IF($L2033="Crédit","",IFERROR(INDEX('Paramètres'!$O:$O,MATCH($D2033,'Paramètres'!$M:$M,0))&amp;"",""))))</f>
        <v/>
      </c>
      <c r="N2033" s="6" t="str">
        <f>IF($D2033="","",IFERROR(INDEX('Paramètres'!$Q:$Q,MATCH($D2033,'Paramètres'!$M:$M,0))&amp;"",""))</f>
        <v/>
      </c>
      <c r="O2033" s="6" t="str">
        <f>IF($A2033="","",IF(OR($J2033&lt;&gt;"x",$A2033&lt;=FinReleve),1,0))</f>
        <v/>
      </c>
      <c r="P2033" s="6" t="str">
        <f>IF($D2033="","",IF(AND($L2033="Crédit",OR(IFERROR(INDEX('Paramètres'!$O:$O,MATCH($D2033,'Paramètres'!$M:$M,0))&amp;"","")&lt;&gt;"",ISNUMBER(SEARCH("remboursement",IFERROR(INDEX('Paramètres'!$N:$N,MATCH($D2033,'Paramètres'!$M:$M,0))&amp;"",""))))),1,0))</f>
        <v/>
      </c>
      <c r="Q2033" s="6" t="str">
        <f>IF($K2033="","",IF(ISNUMBER(SEARCH("transfert-interne",IFERROR(INDEX('Paramètres'!$N:$N,MATCH($D2033,'Paramètres'!$M:$M,0))&amp;"",""))),0,IF($L2033="Débit",$K2033,IF($P2033=1,-$K2033,0))))</f>
        <v/>
      </c>
      <c r="R2033" s="6" t="str">
        <f>IF($K2033="","",IF($L2033="Crédit",$K2033,-$K2033))</f>
        <v/>
      </c>
      <c r="S2033" s="6" t="str">
        <f>IF($C2033="","",IFERROR(INDEX('Paramètres'!$H:$H,MATCH($C2033,'Paramètres'!$D:$D,0))&amp;"",""))</f>
        <v/>
      </c>
      <c r="T2033" s="6" t="str">
        <f>IF($K2033="","",IF($S2033="",0,IF(ISNUMBER(SEARCH("apport-exterieur",IFERROR(INDEX('Paramètres'!$N:$N,MATCH($D2033,'Paramètres'!$M:$M,0))&amp;"",""))),0,IF(OR(IFERROR(INDEX('Paramètres'!$I:$I,MATCH($C2033,'Paramètres'!$D:$D,0))&amp;"","")="Les deux",IFERROR(INDEX('Paramètres'!$I:$I,MATCH($C2033,'Paramètres'!$D:$D,0))&amp;"","")=IF($P2033=1,"Débit",$L2033)),-IF($P2033=1,-$K2033,$K2033),0))))</f>
        <v/>
      </c>
      <c r="U2033" s="6" t="str">
        <f>IF($K2033="","",IF(ISNUMBER(SEARCH("sortie-epargne",IFERROR(INDEX('Paramètres'!$N:$N,MATCH($D2033,'Paramètres'!$M:$M,0))&amp;"",""))),$K2033,0))</f>
        <v/>
      </c>
      <c r="V2033" s="6" t="str">
        <f>IF(AND($A2033&lt;&gt;"",$O2033=1,$L2033="Débit",N($Q2033)&gt;0,$A2033&gt;=Visualisation!$B$1,$A2033&lt;Visualisation!$D$1),MAX($V$1:V2032)+1,"")</f>
        <v/>
      </c>
    </row>
    <row r="2034" spans="1:22" x14ac:dyDescent="0.25">
      <c r="A2034" s="9"/>
      <c r="E2034" s="10"/>
      <c r="K2034" s="11" t="str">
        <f>IF($E2034="","",ROUND($E2034*IF(ISNA(MATCH($C2034,'Paramètres'!$D:$D,0)),1,IF(INDEX('Paramètres'!$J:$J,MATCH($C2034,'Paramètres'!$D:$D,0))="",1,INDEX('Paramètres'!$J:$J,MATCH($C2034,'Paramètres'!$D:$D,0)))),2))</f>
        <v/>
      </c>
      <c r="L2034" s="6" t="str">
        <f>IF($D2034="","",IF($F2034&lt;&gt;"",$F2034,IF(ISNA(MATCH($D2034,'Paramètres'!$M:$M,0)),"⚠ Type inconnu",IFERROR(INDEX('Paramètres'!$P:$P,MATCH($D2034,'Paramètres'!$M:$M,0))&amp;"",""))))</f>
        <v/>
      </c>
      <c r="M2034" s="6" t="str">
        <f>IF($D2034="","",IF(ISNA(MATCH($D2034,'Paramètres'!$M:$M,0)),"⚠ Type inconnu",IF($L2034="Crédit","",IFERROR(INDEX('Paramètres'!$O:$O,MATCH($D2034,'Paramètres'!$M:$M,0))&amp;"",""))))</f>
        <v/>
      </c>
      <c r="N2034" s="6" t="str">
        <f>IF($D2034="","",IFERROR(INDEX('Paramètres'!$Q:$Q,MATCH($D2034,'Paramètres'!$M:$M,0))&amp;"",""))</f>
        <v/>
      </c>
      <c r="O2034" s="6" t="str">
        <f>IF($A2034="","",IF(OR($J2034&lt;&gt;"x",$A2034&lt;=FinReleve),1,0))</f>
        <v/>
      </c>
      <c r="P2034" s="6" t="str">
        <f>IF($D2034="","",IF(AND($L2034="Crédit",OR(IFERROR(INDEX('Paramètres'!$O:$O,MATCH($D2034,'Paramètres'!$M:$M,0))&amp;"","")&lt;&gt;"",ISNUMBER(SEARCH("remboursement",IFERROR(INDEX('Paramètres'!$N:$N,MATCH($D2034,'Paramètres'!$M:$M,0))&amp;"",""))))),1,0))</f>
        <v/>
      </c>
      <c r="Q2034" s="6" t="str">
        <f>IF($K2034="","",IF(ISNUMBER(SEARCH("transfert-interne",IFERROR(INDEX('Paramètres'!$N:$N,MATCH($D2034,'Paramètres'!$M:$M,0))&amp;"",""))),0,IF($L2034="Débit",$K2034,IF($P2034=1,-$K2034,0))))</f>
        <v/>
      </c>
      <c r="R2034" s="6" t="str">
        <f>IF($K2034="","",IF($L2034="Crédit",$K2034,-$K2034))</f>
        <v/>
      </c>
      <c r="S2034" s="6" t="str">
        <f>IF($C2034="","",IFERROR(INDEX('Paramètres'!$H:$H,MATCH($C2034,'Paramètres'!$D:$D,0))&amp;"",""))</f>
        <v/>
      </c>
      <c r="T2034" s="6" t="str">
        <f>IF($K2034="","",IF($S2034="",0,IF(ISNUMBER(SEARCH("apport-exterieur",IFERROR(INDEX('Paramètres'!$N:$N,MATCH($D2034,'Paramètres'!$M:$M,0))&amp;"",""))),0,IF(OR(IFERROR(INDEX('Paramètres'!$I:$I,MATCH($C2034,'Paramètres'!$D:$D,0))&amp;"","")="Les deux",IFERROR(INDEX('Paramètres'!$I:$I,MATCH($C2034,'Paramètres'!$D:$D,0))&amp;"","")=IF($P2034=1,"Débit",$L2034)),-IF($P2034=1,-$K2034,$K2034),0))))</f>
        <v/>
      </c>
      <c r="U2034" s="6" t="str">
        <f>IF($K2034="","",IF(ISNUMBER(SEARCH("sortie-epargne",IFERROR(INDEX('Paramètres'!$N:$N,MATCH($D2034,'Paramètres'!$M:$M,0))&amp;"",""))),$K2034,0))</f>
        <v/>
      </c>
      <c r="V2034" s="6" t="str">
        <f>IF(AND($A2034&lt;&gt;"",$O2034=1,$L2034="Débit",N($Q2034)&gt;0,$A2034&gt;=Visualisation!$B$1,$A2034&lt;Visualisation!$D$1),MAX($V$1:V2033)+1,"")</f>
        <v/>
      </c>
    </row>
    <row r="2035" spans="1:22" x14ac:dyDescent="0.25">
      <c r="A2035" s="9"/>
      <c r="E2035" s="10"/>
      <c r="K2035" s="11" t="str">
        <f>IF($E2035="","",ROUND($E2035*IF(ISNA(MATCH($C2035,'Paramètres'!$D:$D,0)),1,IF(INDEX('Paramètres'!$J:$J,MATCH($C2035,'Paramètres'!$D:$D,0))="",1,INDEX('Paramètres'!$J:$J,MATCH($C2035,'Paramètres'!$D:$D,0)))),2))</f>
        <v/>
      </c>
      <c r="L2035" s="6" t="str">
        <f>IF($D2035="","",IF($F2035&lt;&gt;"",$F2035,IF(ISNA(MATCH($D2035,'Paramètres'!$M:$M,0)),"⚠ Type inconnu",IFERROR(INDEX('Paramètres'!$P:$P,MATCH($D2035,'Paramètres'!$M:$M,0))&amp;"",""))))</f>
        <v/>
      </c>
      <c r="M2035" s="6" t="str">
        <f>IF($D2035="","",IF(ISNA(MATCH($D2035,'Paramètres'!$M:$M,0)),"⚠ Type inconnu",IF($L2035="Crédit","",IFERROR(INDEX('Paramètres'!$O:$O,MATCH($D2035,'Paramètres'!$M:$M,0))&amp;"",""))))</f>
        <v/>
      </c>
      <c r="N2035" s="6" t="str">
        <f>IF($D2035="","",IFERROR(INDEX('Paramètres'!$Q:$Q,MATCH($D2035,'Paramètres'!$M:$M,0))&amp;"",""))</f>
        <v/>
      </c>
      <c r="O2035" s="6" t="str">
        <f>IF($A2035="","",IF(OR($J2035&lt;&gt;"x",$A2035&lt;=FinReleve),1,0))</f>
        <v/>
      </c>
      <c r="P2035" s="6" t="str">
        <f>IF($D2035="","",IF(AND($L2035="Crédit",OR(IFERROR(INDEX('Paramètres'!$O:$O,MATCH($D2035,'Paramètres'!$M:$M,0))&amp;"","")&lt;&gt;"",ISNUMBER(SEARCH("remboursement",IFERROR(INDEX('Paramètres'!$N:$N,MATCH($D2035,'Paramètres'!$M:$M,0))&amp;"",""))))),1,0))</f>
        <v/>
      </c>
      <c r="Q2035" s="6" t="str">
        <f>IF($K2035="","",IF(ISNUMBER(SEARCH("transfert-interne",IFERROR(INDEX('Paramètres'!$N:$N,MATCH($D2035,'Paramètres'!$M:$M,0))&amp;"",""))),0,IF($L2035="Débit",$K2035,IF($P2035=1,-$K2035,0))))</f>
        <v/>
      </c>
      <c r="R2035" s="6" t="str">
        <f>IF($K2035="","",IF($L2035="Crédit",$K2035,-$K2035))</f>
        <v/>
      </c>
      <c r="S2035" s="6" t="str">
        <f>IF($C2035="","",IFERROR(INDEX('Paramètres'!$H:$H,MATCH($C2035,'Paramètres'!$D:$D,0))&amp;"",""))</f>
        <v/>
      </c>
      <c r="T2035" s="6" t="str">
        <f>IF($K2035="","",IF($S2035="",0,IF(ISNUMBER(SEARCH("apport-exterieur",IFERROR(INDEX('Paramètres'!$N:$N,MATCH($D2035,'Paramètres'!$M:$M,0))&amp;"",""))),0,IF(OR(IFERROR(INDEX('Paramètres'!$I:$I,MATCH($C2035,'Paramètres'!$D:$D,0))&amp;"","")="Les deux",IFERROR(INDEX('Paramètres'!$I:$I,MATCH($C2035,'Paramètres'!$D:$D,0))&amp;"","")=IF($P2035=1,"Débit",$L2035)),-IF($P2035=1,-$K2035,$K2035),0))))</f>
        <v/>
      </c>
      <c r="U2035" s="6" t="str">
        <f>IF($K2035="","",IF(ISNUMBER(SEARCH("sortie-epargne",IFERROR(INDEX('Paramètres'!$N:$N,MATCH($D2035,'Paramètres'!$M:$M,0))&amp;"",""))),$K2035,0))</f>
        <v/>
      </c>
      <c r="V2035" s="6" t="str">
        <f>IF(AND($A2035&lt;&gt;"",$O2035=1,$L2035="Débit",N($Q2035)&gt;0,$A2035&gt;=Visualisation!$B$1,$A2035&lt;Visualisation!$D$1),MAX($V$1:V2034)+1,"")</f>
        <v/>
      </c>
    </row>
    <row r="2036" spans="1:22" x14ac:dyDescent="0.25">
      <c r="A2036" s="9"/>
      <c r="E2036" s="10"/>
      <c r="K2036" s="11" t="str">
        <f>IF($E2036="","",ROUND($E2036*IF(ISNA(MATCH($C2036,'Paramètres'!$D:$D,0)),1,IF(INDEX('Paramètres'!$J:$J,MATCH($C2036,'Paramètres'!$D:$D,0))="",1,INDEX('Paramètres'!$J:$J,MATCH($C2036,'Paramètres'!$D:$D,0)))),2))</f>
        <v/>
      </c>
      <c r="L2036" s="6" t="str">
        <f>IF($D2036="","",IF($F2036&lt;&gt;"",$F2036,IF(ISNA(MATCH($D2036,'Paramètres'!$M:$M,0)),"⚠ Type inconnu",IFERROR(INDEX('Paramètres'!$P:$P,MATCH($D2036,'Paramètres'!$M:$M,0))&amp;"",""))))</f>
        <v/>
      </c>
      <c r="M2036" s="6" t="str">
        <f>IF($D2036="","",IF(ISNA(MATCH($D2036,'Paramètres'!$M:$M,0)),"⚠ Type inconnu",IF($L2036="Crédit","",IFERROR(INDEX('Paramètres'!$O:$O,MATCH($D2036,'Paramètres'!$M:$M,0))&amp;"",""))))</f>
        <v/>
      </c>
      <c r="N2036" s="6" t="str">
        <f>IF($D2036="","",IFERROR(INDEX('Paramètres'!$Q:$Q,MATCH($D2036,'Paramètres'!$M:$M,0))&amp;"",""))</f>
        <v/>
      </c>
      <c r="O2036" s="6" t="str">
        <f>IF($A2036="","",IF(OR($J2036&lt;&gt;"x",$A2036&lt;=FinReleve),1,0))</f>
        <v/>
      </c>
      <c r="P2036" s="6" t="str">
        <f>IF($D2036="","",IF(AND($L2036="Crédit",OR(IFERROR(INDEX('Paramètres'!$O:$O,MATCH($D2036,'Paramètres'!$M:$M,0))&amp;"","")&lt;&gt;"",ISNUMBER(SEARCH("remboursement",IFERROR(INDEX('Paramètres'!$N:$N,MATCH($D2036,'Paramètres'!$M:$M,0))&amp;"",""))))),1,0))</f>
        <v/>
      </c>
      <c r="Q2036" s="6" t="str">
        <f>IF($K2036="","",IF(ISNUMBER(SEARCH("transfert-interne",IFERROR(INDEX('Paramètres'!$N:$N,MATCH($D2036,'Paramètres'!$M:$M,0))&amp;"",""))),0,IF($L2036="Débit",$K2036,IF($P2036=1,-$K2036,0))))</f>
        <v/>
      </c>
      <c r="R2036" s="6" t="str">
        <f>IF($K2036="","",IF($L2036="Crédit",$K2036,-$K2036))</f>
        <v/>
      </c>
      <c r="S2036" s="6" t="str">
        <f>IF($C2036="","",IFERROR(INDEX('Paramètres'!$H:$H,MATCH($C2036,'Paramètres'!$D:$D,0))&amp;"",""))</f>
        <v/>
      </c>
      <c r="T2036" s="6" t="str">
        <f>IF($K2036="","",IF($S2036="",0,IF(ISNUMBER(SEARCH("apport-exterieur",IFERROR(INDEX('Paramètres'!$N:$N,MATCH($D2036,'Paramètres'!$M:$M,0))&amp;"",""))),0,IF(OR(IFERROR(INDEX('Paramètres'!$I:$I,MATCH($C2036,'Paramètres'!$D:$D,0))&amp;"","")="Les deux",IFERROR(INDEX('Paramètres'!$I:$I,MATCH($C2036,'Paramètres'!$D:$D,0))&amp;"","")=IF($P2036=1,"Débit",$L2036)),-IF($P2036=1,-$K2036,$K2036),0))))</f>
        <v/>
      </c>
      <c r="U2036" s="6" t="str">
        <f>IF($K2036="","",IF(ISNUMBER(SEARCH("sortie-epargne",IFERROR(INDEX('Paramètres'!$N:$N,MATCH($D2036,'Paramètres'!$M:$M,0))&amp;"",""))),$K2036,0))</f>
        <v/>
      </c>
      <c r="V2036" s="6" t="str">
        <f>IF(AND($A2036&lt;&gt;"",$O2036=1,$L2036="Débit",N($Q2036)&gt;0,$A2036&gt;=Visualisation!$B$1,$A2036&lt;Visualisation!$D$1),MAX($V$1:V2035)+1,"")</f>
        <v/>
      </c>
    </row>
    <row r="2037" spans="1:22" x14ac:dyDescent="0.25">
      <c r="A2037" s="9"/>
      <c r="E2037" s="10"/>
      <c r="K2037" s="11" t="str">
        <f>IF($E2037="","",ROUND($E2037*IF(ISNA(MATCH($C2037,'Paramètres'!$D:$D,0)),1,IF(INDEX('Paramètres'!$J:$J,MATCH($C2037,'Paramètres'!$D:$D,0))="",1,INDEX('Paramètres'!$J:$J,MATCH($C2037,'Paramètres'!$D:$D,0)))),2))</f>
        <v/>
      </c>
      <c r="L2037" s="6" t="str">
        <f>IF($D2037="","",IF($F2037&lt;&gt;"",$F2037,IF(ISNA(MATCH($D2037,'Paramètres'!$M:$M,0)),"⚠ Type inconnu",IFERROR(INDEX('Paramètres'!$P:$P,MATCH($D2037,'Paramètres'!$M:$M,0))&amp;"",""))))</f>
        <v/>
      </c>
      <c r="M2037" s="6" t="str">
        <f>IF($D2037="","",IF(ISNA(MATCH($D2037,'Paramètres'!$M:$M,0)),"⚠ Type inconnu",IF($L2037="Crédit","",IFERROR(INDEX('Paramètres'!$O:$O,MATCH($D2037,'Paramètres'!$M:$M,0))&amp;"",""))))</f>
        <v/>
      </c>
      <c r="N2037" s="6" t="str">
        <f>IF($D2037="","",IFERROR(INDEX('Paramètres'!$Q:$Q,MATCH($D2037,'Paramètres'!$M:$M,0))&amp;"",""))</f>
        <v/>
      </c>
      <c r="O2037" s="6" t="str">
        <f>IF($A2037="","",IF(OR($J2037&lt;&gt;"x",$A2037&lt;=FinReleve),1,0))</f>
        <v/>
      </c>
      <c r="P2037" s="6" t="str">
        <f>IF($D2037="","",IF(AND($L2037="Crédit",OR(IFERROR(INDEX('Paramètres'!$O:$O,MATCH($D2037,'Paramètres'!$M:$M,0))&amp;"","")&lt;&gt;"",ISNUMBER(SEARCH("remboursement",IFERROR(INDEX('Paramètres'!$N:$N,MATCH($D2037,'Paramètres'!$M:$M,0))&amp;"",""))))),1,0))</f>
        <v/>
      </c>
      <c r="Q2037" s="6" t="str">
        <f>IF($K2037="","",IF(ISNUMBER(SEARCH("transfert-interne",IFERROR(INDEX('Paramètres'!$N:$N,MATCH($D2037,'Paramètres'!$M:$M,0))&amp;"",""))),0,IF($L2037="Débit",$K2037,IF($P2037=1,-$K2037,0))))</f>
        <v/>
      </c>
      <c r="R2037" s="6" t="str">
        <f>IF($K2037="","",IF($L2037="Crédit",$K2037,-$K2037))</f>
        <v/>
      </c>
      <c r="S2037" s="6" t="str">
        <f>IF($C2037="","",IFERROR(INDEX('Paramètres'!$H:$H,MATCH($C2037,'Paramètres'!$D:$D,0))&amp;"",""))</f>
        <v/>
      </c>
      <c r="T2037" s="6" t="str">
        <f>IF($K2037="","",IF($S2037="",0,IF(ISNUMBER(SEARCH("apport-exterieur",IFERROR(INDEX('Paramètres'!$N:$N,MATCH($D2037,'Paramètres'!$M:$M,0))&amp;"",""))),0,IF(OR(IFERROR(INDEX('Paramètres'!$I:$I,MATCH($C2037,'Paramètres'!$D:$D,0))&amp;"","")="Les deux",IFERROR(INDEX('Paramètres'!$I:$I,MATCH($C2037,'Paramètres'!$D:$D,0))&amp;"","")=IF($P2037=1,"Débit",$L2037)),-IF($P2037=1,-$K2037,$K2037),0))))</f>
        <v/>
      </c>
      <c r="U2037" s="6" t="str">
        <f>IF($K2037="","",IF(ISNUMBER(SEARCH("sortie-epargne",IFERROR(INDEX('Paramètres'!$N:$N,MATCH($D2037,'Paramètres'!$M:$M,0))&amp;"",""))),$K2037,0))</f>
        <v/>
      </c>
      <c r="V2037" s="6" t="str">
        <f>IF(AND($A2037&lt;&gt;"",$O2037=1,$L2037="Débit",N($Q2037)&gt;0,$A2037&gt;=Visualisation!$B$1,$A2037&lt;Visualisation!$D$1),MAX($V$1:V2036)+1,"")</f>
        <v/>
      </c>
    </row>
    <row r="2038" spans="1:22" x14ac:dyDescent="0.25">
      <c r="A2038" s="9"/>
      <c r="E2038" s="10"/>
      <c r="K2038" s="11" t="str">
        <f>IF($E2038="","",ROUND($E2038*IF(ISNA(MATCH($C2038,'Paramètres'!$D:$D,0)),1,IF(INDEX('Paramètres'!$J:$J,MATCH($C2038,'Paramètres'!$D:$D,0))="",1,INDEX('Paramètres'!$J:$J,MATCH($C2038,'Paramètres'!$D:$D,0)))),2))</f>
        <v/>
      </c>
      <c r="L2038" s="6" t="str">
        <f>IF($D2038="","",IF($F2038&lt;&gt;"",$F2038,IF(ISNA(MATCH($D2038,'Paramètres'!$M:$M,0)),"⚠ Type inconnu",IFERROR(INDEX('Paramètres'!$P:$P,MATCH($D2038,'Paramètres'!$M:$M,0))&amp;"",""))))</f>
        <v/>
      </c>
      <c r="M2038" s="6" t="str">
        <f>IF($D2038="","",IF(ISNA(MATCH($D2038,'Paramètres'!$M:$M,0)),"⚠ Type inconnu",IF($L2038="Crédit","",IFERROR(INDEX('Paramètres'!$O:$O,MATCH($D2038,'Paramètres'!$M:$M,0))&amp;"",""))))</f>
        <v/>
      </c>
      <c r="N2038" s="6" t="str">
        <f>IF($D2038="","",IFERROR(INDEX('Paramètres'!$Q:$Q,MATCH($D2038,'Paramètres'!$M:$M,0))&amp;"",""))</f>
        <v/>
      </c>
      <c r="O2038" s="6" t="str">
        <f>IF($A2038="","",IF(OR($J2038&lt;&gt;"x",$A2038&lt;=FinReleve),1,0))</f>
        <v/>
      </c>
      <c r="P2038" s="6" t="str">
        <f>IF($D2038="","",IF(AND($L2038="Crédit",OR(IFERROR(INDEX('Paramètres'!$O:$O,MATCH($D2038,'Paramètres'!$M:$M,0))&amp;"","")&lt;&gt;"",ISNUMBER(SEARCH("remboursement",IFERROR(INDEX('Paramètres'!$N:$N,MATCH($D2038,'Paramètres'!$M:$M,0))&amp;"",""))))),1,0))</f>
        <v/>
      </c>
      <c r="Q2038" s="6" t="str">
        <f>IF($K2038="","",IF(ISNUMBER(SEARCH("transfert-interne",IFERROR(INDEX('Paramètres'!$N:$N,MATCH($D2038,'Paramètres'!$M:$M,0))&amp;"",""))),0,IF($L2038="Débit",$K2038,IF($P2038=1,-$K2038,0))))</f>
        <v/>
      </c>
      <c r="R2038" s="6" t="str">
        <f>IF($K2038="","",IF($L2038="Crédit",$K2038,-$K2038))</f>
        <v/>
      </c>
      <c r="S2038" s="6" t="str">
        <f>IF($C2038="","",IFERROR(INDEX('Paramètres'!$H:$H,MATCH($C2038,'Paramètres'!$D:$D,0))&amp;"",""))</f>
        <v/>
      </c>
      <c r="T2038" s="6" t="str">
        <f>IF($K2038="","",IF($S2038="",0,IF(ISNUMBER(SEARCH("apport-exterieur",IFERROR(INDEX('Paramètres'!$N:$N,MATCH($D2038,'Paramètres'!$M:$M,0))&amp;"",""))),0,IF(OR(IFERROR(INDEX('Paramètres'!$I:$I,MATCH($C2038,'Paramètres'!$D:$D,0))&amp;"","")="Les deux",IFERROR(INDEX('Paramètres'!$I:$I,MATCH($C2038,'Paramètres'!$D:$D,0))&amp;"","")=IF($P2038=1,"Débit",$L2038)),-IF($P2038=1,-$K2038,$K2038),0))))</f>
        <v/>
      </c>
      <c r="U2038" s="6" t="str">
        <f>IF($K2038="","",IF(ISNUMBER(SEARCH("sortie-epargne",IFERROR(INDEX('Paramètres'!$N:$N,MATCH($D2038,'Paramètres'!$M:$M,0))&amp;"",""))),$K2038,0))</f>
        <v/>
      </c>
      <c r="V2038" s="6" t="str">
        <f>IF(AND($A2038&lt;&gt;"",$O2038=1,$L2038="Débit",N($Q2038)&gt;0,$A2038&gt;=Visualisation!$B$1,$A2038&lt;Visualisation!$D$1),MAX($V$1:V2037)+1,"")</f>
        <v/>
      </c>
    </row>
    <row r="2039" spans="1:22" x14ac:dyDescent="0.25">
      <c r="A2039" s="9"/>
      <c r="E2039" s="10"/>
      <c r="K2039" s="11" t="str">
        <f>IF($E2039="","",ROUND($E2039*IF(ISNA(MATCH($C2039,'Paramètres'!$D:$D,0)),1,IF(INDEX('Paramètres'!$J:$J,MATCH($C2039,'Paramètres'!$D:$D,0))="",1,INDEX('Paramètres'!$J:$J,MATCH($C2039,'Paramètres'!$D:$D,0)))),2))</f>
        <v/>
      </c>
      <c r="L2039" s="6" t="str">
        <f>IF($D2039="","",IF($F2039&lt;&gt;"",$F2039,IF(ISNA(MATCH($D2039,'Paramètres'!$M:$M,0)),"⚠ Type inconnu",IFERROR(INDEX('Paramètres'!$P:$P,MATCH($D2039,'Paramètres'!$M:$M,0))&amp;"",""))))</f>
        <v/>
      </c>
      <c r="M2039" s="6" t="str">
        <f>IF($D2039="","",IF(ISNA(MATCH($D2039,'Paramètres'!$M:$M,0)),"⚠ Type inconnu",IF($L2039="Crédit","",IFERROR(INDEX('Paramètres'!$O:$O,MATCH($D2039,'Paramètres'!$M:$M,0))&amp;"",""))))</f>
        <v/>
      </c>
      <c r="N2039" s="6" t="str">
        <f>IF($D2039="","",IFERROR(INDEX('Paramètres'!$Q:$Q,MATCH($D2039,'Paramètres'!$M:$M,0))&amp;"",""))</f>
        <v/>
      </c>
      <c r="O2039" s="6" t="str">
        <f>IF($A2039="","",IF(OR($J2039&lt;&gt;"x",$A2039&lt;=FinReleve),1,0))</f>
        <v/>
      </c>
      <c r="P2039" s="6" t="str">
        <f>IF($D2039="","",IF(AND($L2039="Crédit",OR(IFERROR(INDEX('Paramètres'!$O:$O,MATCH($D2039,'Paramètres'!$M:$M,0))&amp;"","")&lt;&gt;"",ISNUMBER(SEARCH("remboursement",IFERROR(INDEX('Paramètres'!$N:$N,MATCH($D2039,'Paramètres'!$M:$M,0))&amp;"",""))))),1,0))</f>
        <v/>
      </c>
      <c r="Q2039" s="6" t="str">
        <f>IF($K2039="","",IF(ISNUMBER(SEARCH("transfert-interne",IFERROR(INDEX('Paramètres'!$N:$N,MATCH($D2039,'Paramètres'!$M:$M,0))&amp;"",""))),0,IF($L2039="Débit",$K2039,IF($P2039=1,-$K2039,0))))</f>
        <v/>
      </c>
      <c r="R2039" s="6" t="str">
        <f>IF($K2039="","",IF($L2039="Crédit",$K2039,-$K2039))</f>
        <v/>
      </c>
      <c r="S2039" s="6" t="str">
        <f>IF($C2039="","",IFERROR(INDEX('Paramètres'!$H:$H,MATCH($C2039,'Paramètres'!$D:$D,0))&amp;"",""))</f>
        <v/>
      </c>
      <c r="T2039" s="6" t="str">
        <f>IF($K2039="","",IF($S2039="",0,IF(ISNUMBER(SEARCH("apport-exterieur",IFERROR(INDEX('Paramètres'!$N:$N,MATCH($D2039,'Paramètres'!$M:$M,0))&amp;"",""))),0,IF(OR(IFERROR(INDEX('Paramètres'!$I:$I,MATCH($C2039,'Paramètres'!$D:$D,0))&amp;"","")="Les deux",IFERROR(INDEX('Paramètres'!$I:$I,MATCH($C2039,'Paramètres'!$D:$D,0))&amp;"","")=IF($P2039=1,"Débit",$L2039)),-IF($P2039=1,-$K2039,$K2039),0))))</f>
        <v/>
      </c>
      <c r="U2039" s="6" t="str">
        <f>IF($K2039="","",IF(ISNUMBER(SEARCH("sortie-epargne",IFERROR(INDEX('Paramètres'!$N:$N,MATCH($D2039,'Paramètres'!$M:$M,0))&amp;"",""))),$K2039,0))</f>
        <v/>
      </c>
      <c r="V2039" s="6" t="str">
        <f>IF(AND($A2039&lt;&gt;"",$O2039=1,$L2039="Débit",N($Q2039)&gt;0,$A2039&gt;=Visualisation!$B$1,$A2039&lt;Visualisation!$D$1),MAX($V$1:V2038)+1,"")</f>
        <v/>
      </c>
    </row>
    <row r="2040" spans="1:22" x14ac:dyDescent="0.25">
      <c r="A2040" s="9"/>
      <c r="E2040" s="10"/>
      <c r="K2040" s="11" t="str">
        <f>IF($E2040="","",ROUND($E2040*IF(ISNA(MATCH($C2040,'Paramètres'!$D:$D,0)),1,IF(INDEX('Paramètres'!$J:$J,MATCH($C2040,'Paramètres'!$D:$D,0))="",1,INDEX('Paramètres'!$J:$J,MATCH($C2040,'Paramètres'!$D:$D,0)))),2))</f>
        <v/>
      </c>
      <c r="L2040" s="6" t="str">
        <f>IF($D2040="","",IF($F2040&lt;&gt;"",$F2040,IF(ISNA(MATCH($D2040,'Paramètres'!$M:$M,0)),"⚠ Type inconnu",IFERROR(INDEX('Paramètres'!$P:$P,MATCH($D2040,'Paramètres'!$M:$M,0))&amp;"",""))))</f>
        <v/>
      </c>
      <c r="M2040" s="6" t="str">
        <f>IF($D2040="","",IF(ISNA(MATCH($D2040,'Paramètres'!$M:$M,0)),"⚠ Type inconnu",IF($L2040="Crédit","",IFERROR(INDEX('Paramètres'!$O:$O,MATCH($D2040,'Paramètres'!$M:$M,0))&amp;"",""))))</f>
        <v/>
      </c>
      <c r="N2040" s="6" t="str">
        <f>IF($D2040="","",IFERROR(INDEX('Paramètres'!$Q:$Q,MATCH($D2040,'Paramètres'!$M:$M,0))&amp;"",""))</f>
        <v/>
      </c>
      <c r="O2040" s="6" t="str">
        <f>IF($A2040="","",IF(OR($J2040&lt;&gt;"x",$A2040&lt;=FinReleve),1,0))</f>
        <v/>
      </c>
      <c r="P2040" s="6" t="str">
        <f>IF($D2040="","",IF(AND($L2040="Crédit",OR(IFERROR(INDEX('Paramètres'!$O:$O,MATCH($D2040,'Paramètres'!$M:$M,0))&amp;"","")&lt;&gt;"",ISNUMBER(SEARCH("remboursement",IFERROR(INDEX('Paramètres'!$N:$N,MATCH($D2040,'Paramètres'!$M:$M,0))&amp;"",""))))),1,0))</f>
        <v/>
      </c>
      <c r="Q2040" s="6" t="str">
        <f>IF($K2040="","",IF(ISNUMBER(SEARCH("transfert-interne",IFERROR(INDEX('Paramètres'!$N:$N,MATCH($D2040,'Paramètres'!$M:$M,0))&amp;"",""))),0,IF($L2040="Débit",$K2040,IF($P2040=1,-$K2040,0))))</f>
        <v/>
      </c>
      <c r="R2040" s="6" t="str">
        <f>IF($K2040="","",IF($L2040="Crédit",$K2040,-$K2040))</f>
        <v/>
      </c>
      <c r="S2040" s="6" t="str">
        <f>IF($C2040="","",IFERROR(INDEX('Paramètres'!$H:$H,MATCH($C2040,'Paramètres'!$D:$D,0))&amp;"",""))</f>
        <v/>
      </c>
      <c r="T2040" s="6" t="str">
        <f>IF($K2040="","",IF($S2040="",0,IF(ISNUMBER(SEARCH("apport-exterieur",IFERROR(INDEX('Paramètres'!$N:$N,MATCH($D2040,'Paramètres'!$M:$M,0))&amp;"",""))),0,IF(OR(IFERROR(INDEX('Paramètres'!$I:$I,MATCH($C2040,'Paramètres'!$D:$D,0))&amp;"","")="Les deux",IFERROR(INDEX('Paramètres'!$I:$I,MATCH($C2040,'Paramètres'!$D:$D,0))&amp;"","")=IF($P2040=1,"Débit",$L2040)),-IF($P2040=1,-$K2040,$K2040),0))))</f>
        <v/>
      </c>
      <c r="U2040" s="6" t="str">
        <f>IF($K2040="","",IF(ISNUMBER(SEARCH("sortie-epargne",IFERROR(INDEX('Paramètres'!$N:$N,MATCH($D2040,'Paramètres'!$M:$M,0))&amp;"",""))),$K2040,0))</f>
        <v/>
      </c>
      <c r="V2040" s="6" t="str">
        <f>IF(AND($A2040&lt;&gt;"",$O2040=1,$L2040="Débit",N($Q2040)&gt;0,$A2040&gt;=Visualisation!$B$1,$A2040&lt;Visualisation!$D$1),MAX($V$1:V2039)+1,"")</f>
        <v/>
      </c>
    </row>
    <row r="2041" spans="1:22" x14ac:dyDescent="0.25">
      <c r="A2041" s="9"/>
      <c r="E2041" s="10"/>
      <c r="K2041" s="11" t="str">
        <f>IF($E2041="","",ROUND($E2041*IF(ISNA(MATCH($C2041,'Paramètres'!$D:$D,0)),1,IF(INDEX('Paramètres'!$J:$J,MATCH($C2041,'Paramètres'!$D:$D,0))="",1,INDEX('Paramètres'!$J:$J,MATCH($C2041,'Paramètres'!$D:$D,0)))),2))</f>
        <v/>
      </c>
      <c r="L2041" s="6" t="str">
        <f>IF($D2041="","",IF($F2041&lt;&gt;"",$F2041,IF(ISNA(MATCH($D2041,'Paramètres'!$M:$M,0)),"⚠ Type inconnu",IFERROR(INDEX('Paramètres'!$P:$P,MATCH($D2041,'Paramètres'!$M:$M,0))&amp;"",""))))</f>
        <v/>
      </c>
      <c r="M2041" s="6" t="str">
        <f>IF($D2041="","",IF(ISNA(MATCH($D2041,'Paramètres'!$M:$M,0)),"⚠ Type inconnu",IF($L2041="Crédit","",IFERROR(INDEX('Paramètres'!$O:$O,MATCH($D2041,'Paramètres'!$M:$M,0))&amp;"",""))))</f>
        <v/>
      </c>
      <c r="N2041" s="6" t="str">
        <f>IF($D2041="","",IFERROR(INDEX('Paramètres'!$Q:$Q,MATCH($D2041,'Paramètres'!$M:$M,0))&amp;"",""))</f>
        <v/>
      </c>
      <c r="O2041" s="6" t="str">
        <f>IF($A2041="","",IF(OR($J2041&lt;&gt;"x",$A2041&lt;=FinReleve),1,0))</f>
        <v/>
      </c>
      <c r="P2041" s="6" t="str">
        <f>IF($D2041="","",IF(AND($L2041="Crédit",OR(IFERROR(INDEX('Paramètres'!$O:$O,MATCH($D2041,'Paramètres'!$M:$M,0))&amp;"","")&lt;&gt;"",ISNUMBER(SEARCH("remboursement",IFERROR(INDEX('Paramètres'!$N:$N,MATCH($D2041,'Paramètres'!$M:$M,0))&amp;"",""))))),1,0))</f>
        <v/>
      </c>
      <c r="Q2041" s="6" t="str">
        <f>IF($K2041="","",IF(ISNUMBER(SEARCH("transfert-interne",IFERROR(INDEX('Paramètres'!$N:$N,MATCH($D2041,'Paramètres'!$M:$M,0))&amp;"",""))),0,IF($L2041="Débit",$K2041,IF($P2041=1,-$K2041,0))))</f>
        <v/>
      </c>
      <c r="R2041" s="6" t="str">
        <f>IF($K2041="","",IF($L2041="Crédit",$K2041,-$K2041))</f>
        <v/>
      </c>
      <c r="S2041" s="6" t="str">
        <f>IF($C2041="","",IFERROR(INDEX('Paramètres'!$H:$H,MATCH($C2041,'Paramètres'!$D:$D,0))&amp;"",""))</f>
        <v/>
      </c>
      <c r="T2041" s="6" t="str">
        <f>IF($K2041="","",IF($S2041="",0,IF(ISNUMBER(SEARCH("apport-exterieur",IFERROR(INDEX('Paramètres'!$N:$N,MATCH($D2041,'Paramètres'!$M:$M,0))&amp;"",""))),0,IF(OR(IFERROR(INDEX('Paramètres'!$I:$I,MATCH($C2041,'Paramètres'!$D:$D,0))&amp;"","")="Les deux",IFERROR(INDEX('Paramètres'!$I:$I,MATCH($C2041,'Paramètres'!$D:$D,0))&amp;"","")=IF($P2041=1,"Débit",$L2041)),-IF($P2041=1,-$K2041,$K2041),0))))</f>
        <v/>
      </c>
      <c r="U2041" s="6" t="str">
        <f>IF($K2041="","",IF(ISNUMBER(SEARCH("sortie-epargne",IFERROR(INDEX('Paramètres'!$N:$N,MATCH($D2041,'Paramètres'!$M:$M,0))&amp;"",""))),$K2041,0))</f>
        <v/>
      </c>
      <c r="V2041" s="6" t="str">
        <f>IF(AND($A2041&lt;&gt;"",$O2041=1,$L2041="Débit",N($Q2041)&gt;0,$A2041&gt;=Visualisation!$B$1,$A2041&lt;Visualisation!$D$1),MAX($V$1:V2040)+1,"")</f>
        <v/>
      </c>
    </row>
    <row r="2042" spans="1:22" x14ac:dyDescent="0.25">
      <c r="A2042" s="9"/>
      <c r="E2042" s="10"/>
      <c r="K2042" s="11" t="str">
        <f>IF($E2042="","",ROUND($E2042*IF(ISNA(MATCH($C2042,'Paramètres'!$D:$D,0)),1,IF(INDEX('Paramètres'!$J:$J,MATCH($C2042,'Paramètres'!$D:$D,0))="",1,INDEX('Paramètres'!$J:$J,MATCH($C2042,'Paramètres'!$D:$D,0)))),2))</f>
        <v/>
      </c>
      <c r="L2042" s="6" t="str">
        <f>IF($D2042="","",IF($F2042&lt;&gt;"",$F2042,IF(ISNA(MATCH($D2042,'Paramètres'!$M:$M,0)),"⚠ Type inconnu",IFERROR(INDEX('Paramètres'!$P:$P,MATCH($D2042,'Paramètres'!$M:$M,0))&amp;"",""))))</f>
        <v/>
      </c>
      <c r="M2042" s="6" t="str">
        <f>IF($D2042="","",IF(ISNA(MATCH($D2042,'Paramètres'!$M:$M,0)),"⚠ Type inconnu",IF($L2042="Crédit","",IFERROR(INDEX('Paramètres'!$O:$O,MATCH($D2042,'Paramètres'!$M:$M,0))&amp;"",""))))</f>
        <v/>
      </c>
      <c r="N2042" s="6" t="str">
        <f>IF($D2042="","",IFERROR(INDEX('Paramètres'!$Q:$Q,MATCH($D2042,'Paramètres'!$M:$M,0))&amp;"",""))</f>
        <v/>
      </c>
      <c r="O2042" s="6" t="str">
        <f>IF($A2042="","",IF(OR($J2042&lt;&gt;"x",$A2042&lt;=FinReleve),1,0))</f>
        <v/>
      </c>
      <c r="P2042" s="6" t="str">
        <f>IF($D2042="","",IF(AND($L2042="Crédit",OR(IFERROR(INDEX('Paramètres'!$O:$O,MATCH($D2042,'Paramètres'!$M:$M,0))&amp;"","")&lt;&gt;"",ISNUMBER(SEARCH("remboursement",IFERROR(INDEX('Paramètres'!$N:$N,MATCH($D2042,'Paramètres'!$M:$M,0))&amp;"",""))))),1,0))</f>
        <v/>
      </c>
      <c r="Q2042" s="6" t="str">
        <f>IF($K2042="","",IF(ISNUMBER(SEARCH("transfert-interne",IFERROR(INDEX('Paramètres'!$N:$N,MATCH($D2042,'Paramètres'!$M:$M,0))&amp;"",""))),0,IF($L2042="Débit",$K2042,IF($P2042=1,-$K2042,0))))</f>
        <v/>
      </c>
      <c r="R2042" s="6" t="str">
        <f>IF($K2042="","",IF($L2042="Crédit",$K2042,-$K2042))</f>
        <v/>
      </c>
      <c r="S2042" s="6" t="str">
        <f>IF($C2042="","",IFERROR(INDEX('Paramètres'!$H:$H,MATCH($C2042,'Paramètres'!$D:$D,0))&amp;"",""))</f>
        <v/>
      </c>
      <c r="T2042" s="6" t="str">
        <f>IF($K2042="","",IF($S2042="",0,IF(ISNUMBER(SEARCH("apport-exterieur",IFERROR(INDEX('Paramètres'!$N:$N,MATCH($D2042,'Paramètres'!$M:$M,0))&amp;"",""))),0,IF(OR(IFERROR(INDEX('Paramètres'!$I:$I,MATCH($C2042,'Paramètres'!$D:$D,0))&amp;"","")="Les deux",IFERROR(INDEX('Paramètres'!$I:$I,MATCH($C2042,'Paramètres'!$D:$D,0))&amp;"","")=IF($P2042=1,"Débit",$L2042)),-IF($P2042=1,-$K2042,$K2042),0))))</f>
        <v/>
      </c>
      <c r="U2042" s="6" t="str">
        <f>IF($K2042="","",IF(ISNUMBER(SEARCH("sortie-epargne",IFERROR(INDEX('Paramètres'!$N:$N,MATCH($D2042,'Paramètres'!$M:$M,0))&amp;"",""))),$K2042,0))</f>
        <v/>
      </c>
      <c r="V2042" s="6" t="str">
        <f>IF(AND($A2042&lt;&gt;"",$O2042=1,$L2042="Débit",N($Q2042)&gt;0,$A2042&gt;=Visualisation!$B$1,$A2042&lt;Visualisation!$D$1),MAX($V$1:V2041)+1,"")</f>
        <v/>
      </c>
    </row>
    <row r="2043" spans="1:22" x14ac:dyDescent="0.25">
      <c r="A2043" s="9"/>
      <c r="E2043" s="10"/>
      <c r="K2043" s="11" t="str">
        <f>IF($E2043="","",ROUND($E2043*IF(ISNA(MATCH($C2043,'Paramètres'!$D:$D,0)),1,IF(INDEX('Paramètres'!$J:$J,MATCH($C2043,'Paramètres'!$D:$D,0))="",1,INDEX('Paramètres'!$J:$J,MATCH($C2043,'Paramètres'!$D:$D,0)))),2))</f>
        <v/>
      </c>
      <c r="L2043" s="6" t="str">
        <f>IF($D2043="","",IF($F2043&lt;&gt;"",$F2043,IF(ISNA(MATCH($D2043,'Paramètres'!$M:$M,0)),"⚠ Type inconnu",IFERROR(INDEX('Paramètres'!$P:$P,MATCH($D2043,'Paramètres'!$M:$M,0))&amp;"",""))))</f>
        <v/>
      </c>
      <c r="M2043" s="6" t="str">
        <f>IF($D2043="","",IF(ISNA(MATCH($D2043,'Paramètres'!$M:$M,0)),"⚠ Type inconnu",IF($L2043="Crédit","",IFERROR(INDEX('Paramètres'!$O:$O,MATCH($D2043,'Paramètres'!$M:$M,0))&amp;"",""))))</f>
        <v/>
      </c>
      <c r="N2043" s="6" t="str">
        <f>IF($D2043="","",IFERROR(INDEX('Paramètres'!$Q:$Q,MATCH($D2043,'Paramètres'!$M:$M,0))&amp;"",""))</f>
        <v/>
      </c>
      <c r="O2043" s="6" t="str">
        <f>IF($A2043="","",IF(OR($J2043&lt;&gt;"x",$A2043&lt;=FinReleve),1,0))</f>
        <v/>
      </c>
      <c r="P2043" s="6" t="str">
        <f>IF($D2043="","",IF(AND($L2043="Crédit",OR(IFERROR(INDEX('Paramètres'!$O:$O,MATCH($D2043,'Paramètres'!$M:$M,0))&amp;"","")&lt;&gt;"",ISNUMBER(SEARCH("remboursement",IFERROR(INDEX('Paramètres'!$N:$N,MATCH($D2043,'Paramètres'!$M:$M,0))&amp;"",""))))),1,0))</f>
        <v/>
      </c>
      <c r="Q2043" s="6" t="str">
        <f>IF($K2043="","",IF(ISNUMBER(SEARCH("transfert-interne",IFERROR(INDEX('Paramètres'!$N:$N,MATCH($D2043,'Paramètres'!$M:$M,0))&amp;"",""))),0,IF($L2043="Débit",$K2043,IF($P2043=1,-$K2043,0))))</f>
        <v/>
      </c>
      <c r="R2043" s="6" t="str">
        <f>IF($K2043="","",IF($L2043="Crédit",$K2043,-$K2043))</f>
        <v/>
      </c>
      <c r="S2043" s="6" t="str">
        <f>IF($C2043="","",IFERROR(INDEX('Paramètres'!$H:$H,MATCH($C2043,'Paramètres'!$D:$D,0))&amp;"",""))</f>
        <v/>
      </c>
      <c r="T2043" s="6" t="str">
        <f>IF($K2043="","",IF($S2043="",0,IF(ISNUMBER(SEARCH("apport-exterieur",IFERROR(INDEX('Paramètres'!$N:$N,MATCH($D2043,'Paramètres'!$M:$M,0))&amp;"",""))),0,IF(OR(IFERROR(INDEX('Paramètres'!$I:$I,MATCH($C2043,'Paramètres'!$D:$D,0))&amp;"","")="Les deux",IFERROR(INDEX('Paramètres'!$I:$I,MATCH($C2043,'Paramètres'!$D:$D,0))&amp;"","")=IF($P2043=1,"Débit",$L2043)),-IF($P2043=1,-$K2043,$K2043),0))))</f>
        <v/>
      </c>
      <c r="U2043" s="6" t="str">
        <f>IF($K2043="","",IF(ISNUMBER(SEARCH("sortie-epargne",IFERROR(INDEX('Paramètres'!$N:$N,MATCH($D2043,'Paramètres'!$M:$M,0))&amp;"",""))),$K2043,0))</f>
        <v/>
      </c>
      <c r="V2043" s="6" t="str">
        <f>IF(AND($A2043&lt;&gt;"",$O2043=1,$L2043="Débit",N($Q2043)&gt;0,$A2043&gt;=Visualisation!$B$1,$A2043&lt;Visualisation!$D$1),MAX($V$1:V2042)+1,"")</f>
        <v/>
      </c>
    </row>
    <row r="2044" spans="1:22" x14ac:dyDescent="0.25">
      <c r="A2044" s="9"/>
      <c r="E2044" s="10"/>
      <c r="K2044" s="11" t="str">
        <f>IF($E2044="","",ROUND($E2044*IF(ISNA(MATCH($C2044,'Paramètres'!$D:$D,0)),1,IF(INDEX('Paramètres'!$J:$J,MATCH($C2044,'Paramètres'!$D:$D,0))="",1,INDEX('Paramètres'!$J:$J,MATCH($C2044,'Paramètres'!$D:$D,0)))),2))</f>
        <v/>
      </c>
      <c r="L2044" s="6" t="str">
        <f>IF($D2044="","",IF($F2044&lt;&gt;"",$F2044,IF(ISNA(MATCH($D2044,'Paramètres'!$M:$M,0)),"⚠ Type inconnu",IFERROR(INDEX('Paramètres'!$P:$P,MATCH($D2044,'Paramètres'!$M:$M,0))&amp;"",""))))</f>
        <v/>
      </c>
      <c r="M2044" s="6" t="str">
        <f>IF($D2044="","",IF(ISNA(MATCH($D2044,'Paramètres'!$M:$M,0)),"⚠ Type inconnu",IF($L2044="Crédit","",IFERROR(INDEX('Paramètres'!$O:$O,MATCH($D2044,'Paramètres'!$M:$M,0))&amp;"",""))))</f>
        <v/>
      </c>
      <c r="N2044" s="6" t="str">
        <f>IF($D2044="","",IFERROR(INDEX('Paramètres'!$Q:$Q,MATCH($D2044,'Paramètres'!$M:$M,0))&amp;"",""))</f>
        <v/>
      </c>
      <c r="O2044" s="6" t="str">
        <f>IF($A2044="","",IF(OR($J2044&lt;&gt;"x",$A2044&lt;=FinReleve),1,0))</f>
        <v/>
      </c>
      <c r="P2044" s="6" t="str">
        <f>IF($D2044="","",IF(AND($L2044="Crédit",OR(IFERROR(INDEX('Paramètres'!$O:$O,MATCH($D2044,'Paramètres'!$M:$M,0))&amp;"","")&lt;&gt;"",ISNUMBER(SEARCH("remboursement",IFERROR(INDEX('Paramètres'!$N:$N,MATCH($D2044,'Paramètres'!$M:$M,0))&amp;"",""))))),1,0))</f>
        <v/>
      </c>
      <c r="Q2044" s="6" t="str">
        <f>IF($K2044="","",IF(ISNUMBER(SEARCH("transfert-interne",IFERROR(INDEX('Paramètres'!$N:$N,MATCH($D2044,'Paramètres'!$M:$M,0))&amp;"",""))),0,IF($L2044="Débit",$K2044,IF($P2044=1,-$K2044,0))))</f>
        <v/>
      </c>
      <c r="R2044" s="6" t="str">
        <f>IF($K2044="","",IF($L2044="Crédit",$K2044,-$K2044))</f>
        <v/>
      </c>
      <c r="S2044" s="6" t="str">
        <f>IF($C2044="","",IFERROR(INDEX('Paramètres'!$H:$H,MATCH($C2044,'Paramètres'!$D:$D,0))&amp;"",""))</f>
        <v/>
      </c>
      <c r="T2044" s="6" t="str">
        <f>IF($K2044="","",IF($S2044="",0,IF(ISNUMBER(SEARCH("apport-exterieur",IFERROR(INDEX('Paramètres'!$N:$N,MATCH($D2044,'Paramètres'!$M:$M,0))&amp;"",""))),0,IF(OR(IFERROR(INDEX('Paramètres'!$I:$I,MATCH($C2044,'Paramètres'!$D:$D,0))&amp;"","")="Les deux",IFERROR(INDEX('Paramètres'!$I:$I,MATCH($C2044,'Paramètres'!$D:$D,0))&amp;"","")=IF($P2044=1,"Débit",$L2044)),-IF($P2044=1,-$K2044,$K2044),0))))</f>
        <v/>
      </c>
      <c r="U2044" s="6" t="str">
        <f>IF($K2044="","",IF(ISNUMBER(SEARCH("sortie-epargne",IFERROR(INDEX('Paramètres'!$N:$N,MATCH($D2044,'Paramètres'!$M:$M,0))&amp;"",""))),$K2044,0))</f>
        <v/>
      </c>
      <c r="V2044" s="6" t="str">
        <f>IF(AND($A2044&lt;&gt;"",$O2044=1,$L2044="Débit",N($Q2044)&gt;0,$A2044&gt;=Visualisation!$B$1,$A2044&lt;Visualisation!$D$1),MAX($V$1:V2043)+1,"")</f>
        <v/>
      </c>
    </row>
    <row r="2045" spans="1:22" x14ac:dyDescent="0.25">
      <c r="A2045" s="9"/>
      <c r="E2045" s="10"/>
      <c r="K2045" s="11" t="str">
        <f>IF($E2045="","",ROUND($E2045*IF(ISNA(MATCH($C2045,'Paramètres'!$D:$D,0)),1,IF(INDEX('Paramètres'!$J:$J,MATCH($C2045,'Paramètres'!$D:$D,0))="",1,INDEX('Paramètres'!$J:$J,MATCH($C2045,'Paramètres'!$D:$D,0)))),2))</f>
        <v/>
      </c>
      <c r="L2045" s="6" t="str">
        <f>IF($D2045="","",IF($F2045&lt;&gt;"",$F2045,IF(ISNA(MATCH($D2045,'Paramètres'!$M:$M,0)),"⚠ Type inconnu",IFERROR(INDEX('Paramètres'!$P:$P,MATCH($D2045,'Paramètres'!$M:$M,0))&amp;"",""))))</f>
        <v/>
      </c>
      <c r="M2045" s="6" t="str">
        <f>IF($D2045="","",IF(ISNA(MATCH($D2045,'Paramètres'!$M:$M,0)),"⚠ Type inconnu",IF($L2045="Crédit","",IFERROR(INDEX('Paramètres'!$O:$O,MATCH($D2045,'Paramètres'!$M:$M,0))&amp;"",""))))</f>
        <v/>
      </c>
      <c r="N2045" s="6" t="str">
        <f>IF($D2045="","",IFERROR(INDEX('Paramètres'!$Q:$Q,MATCH($D2045,'Paramètres'!$M:$M,0))&amp;"",""))</f>
        <v/>
      </c>
      <c r="O2045" s="6" t="str">
        <f>IF($A2045="","",IF(OR($J2045&lt;&gt;"x",$A2045&lt;=FinReleve),1,0))</f>
        <v/>
      </c>
      <c r="P2045" s="6" t="str">
        <f>IF($D2045="","",IF(AND($L2045="Crédit",OR(IFERROR(INDEX('Paramètres'!$O:$O,MATCH($D2045,'Paramètres'!$M:$M,0))&amp;"","")&lt;&gt;"",ISNUMBER(SEARCH("remboursement",IFERROR(INDEX('Paramètres'!$N:$N,MATCH($D2045,'Paramètres'!$M:$M,0))&amp;"",""))))),1,0))</f>
        <v/>
      </c>
      <c r="Q2045" s="6" t="str">
        <f>IF($K2045="","",IF(ISNUMBER(SEARCH("transfert-interne",IFERROR(INDEX('Paramètres'!$N:$N,MATCH($D2045,'Paramètres'!$M:$M,0))&amp;"",""))),0,IF($L2045="Débit",$K2045,IF($P2045=1,-$K2045,0))))</f>
        <v/>
      </c>
      <c r="R2045" s="6" t="str">
        <f>IF($K2045="","",IF($L2045="Crédit",$K2045,-$K2045))</f>
        <v/>
      </c>
      <c r="S2045" s="6" t="str">
        <f>IF($C2045="","",IFERROR(INDEX('Paramètres'!$H:$H,MATCH($C2045,'Paramètres'!$D:$D,0))&amp;"",""))</f>
        <v/>
      </c>
      <c r="T2045" s="6" t="str">
        <f>IF($K2045="","",IF($S2045="",0,IF(ISNUMBER(SEARCH("apport-exterieur",IFERROR(INDEX('Paramètres'!$N:$N,MATCH($D2045,'Paramètres'!$M:$M,0))&amp;"",""))),0,IF(OR(IFERROR(INDEX('Paramètres'!$I:$I,MATCH($C2045,'Paramètres'!$D:$D,0))&amp;"","")="Les deux",IFERROR(INDEX('Paramètres'!$I:$I,MATCH($C2045,'Paramètres'!$D:$D,0))&amp;"","")=IF($P2045=1,"Débit",$L2045)),-IF($P2045=1,-$K2045,$K2045),0))))</f>
        <v/>
      </c>
      <c r="U2045" s="6" t="str">
        <f>IF($K2045="","",IF(ISNUMBER(SEARCH("sortie-epargne",IFERROR(INDEX('Paramètres'!$N:$N,MATCH($D2045,'Paramètres'!$M:$M,0))&amp;"",""))),$K2045,0))</f>
        <v/>
      </c>
      <c r="V2045" s="6" t="str">
        <f>IF(AND($A2045&lt;&gt;"",$O2045=1,$L2045="Débit",N($Q2045)&gt;0,$A2045&gt;=Visualisation!$B$1,$A2045&lt;Visualisation!$D$1),MAX($V$1:V2044)+1,"")</f>
        <v/>
      </c>
    </row>
    <row r="2046" spans="1:22" x14ac:dyDescent="0.25">
      <c r="A2046" s="9"/>
      <c r="E2046" s="10"/>
      <c r="K2046" s="11" t="str">
        <f>IF($E2046="","",ROUND($E2046*IF(ISNA(MATCH($C2046,'Paramètres'!$D:$D,0)),1,IF(INDEX('Paramètres'!$J:$J,MATCH($C2046,'Paramètres'!$D:$D,0))="",1,INDEX('Paramètres'!$J:$J,MATCH($C2046,'Paramètres'!$D:$D,0)))),2))</f>
        <v/>
      </c>
      <c r="L2046" s="6" t="str">
        <f>IF($D2046="","",IF($F2046&lt;&gt;"",$F2046,IF(ISNA(MATCH($D2046,'Paramètres'!$M:$M,0)),"⚠ Type inconnu",IFERROR(INDEX('Paramètres'!$P:$P,MATCH($D2046,'Paramètres'!$M:$M,0))&amp;"",""))))</f>
        <v/>
      </c>
      <c r="M2046" s="6" t="str">
        <f>IF($D2046="","",IF(ISNA(MATCH($D2046,'Paramètres'!$M:$M,0)),"⚠ Type inconnu",IF($L2046="Crédit","",IFERROR(INDEX('Paramètres'!$O:$O,MATCH($D2046,'Paramètres'!$M:$M,0))&amp;"",""))))</f>
        <v/>
      </c>
      <c r="N2046" s="6" t="str">
        <f>IF($D2046="","",IFERROR(INDEX('Paramètres'!$Q:$Q,MATCH($D2046,'Paramètres'!$M:$M,0))&amp;"",""))</f>
        <v/>
      </c>
      <c r="O2046" s="6" t="str">
        <f>IF($A2046="","",IF(OR($J2046&lt;&gt;"x",$A2046&lt;=FinReleve),1,0))</f>
        <v/>
      </c>
      <c r="P2046" s="6" t="str">
        <f>IF($D2046="","",IF(AND($L2046="Crédit",OR(IFERROR(INDEX('Paramètres'!$O:$O,MATCH($D2046,'Paramètres'!$M:$M,0))&amp;"","")&lt;&gt;"",ISNUMBER(SEARCH("remboursement",IFERROR(INDEX('Paramètres'!$N:$N,MATCH($D2046,'Paramètres'!$M:$M,0))&amp;"",""))))),1,0))</f>
        <v/>
      </c>
      <c r="Q2046" s="6" t="str">
        <f>IF($K2046="","",IF(ISNUMBER(SEARCH("transfert-interne",IFERROR(INDEX('Paramètres'!$N:$N,MATCH($D2046,'Paramètres'!$M:$M,0))&amp;"",""))),0,IF($L2046="Débit",$K2046,IF($P2046=1,-$K2046,0))))</f>
        <v/>
      </c>
      <c r="R2046" s="6" t="str">
        <f>IF($K2046="","",IF($L2046="Crédit",$K2046,-$K2046))</f>
        <v/>
      </c>
      <c r="S2046" s="6" t="str">
        <f>IF($C2046="","",IFERROR(INDEX('Paramètres'!$H:$H,MATCH($C2046,'Paramètres'!$D:$D,0))&amp;"",""))</f>
        <v/>
      </c>
      <c r="T2046" s="6" t="str">
        <f>IF($K2046="","",IF($S2046="",0,IF(ISNUMBER(SEARCH("apport-exterieur",IFERROR(INDEX('Paramètres'!$N:$N,MATCH($D2046,'Paramètres'!$M:$M,0))&amp;"",""))),0,IF(OR(IFERROR(INDEX('Paramètres'!$I:$I,MATCH($C2046,'Paramètres'!$D:$D,0))&amp;"","")="Les deux",IFERROR(INDEX('Paramètres'!$I:$I,MATCH($C2046,'Paramètres'!$D:$D,0))&amp;"","")=IF($P2046=1,"Débit",$L2046)),-IF($P2046=1,-$K2046,$K2046),0))))</f>
        <v/>
      </c>
      <c r="U2046" s="6" t="str">
        <f>IF($K2046="","",IF(ISNUMBER(SEARCH("sortie-epargne",IFERROR(INDEX('Paramètres'!$N:$N,MATCH($D2046,'Paramètres'!$M:$M,0))&amp;"",""))),$K2046,0))</f>
        <v/>
      </c>
      <c r="V2046" s="6" t="str">
        <f>IF(AND($A2046&lt;&gt;"",$O2046=1,$L2046="Débit",N($Q2046)&gt;0,$A2046&gt;=Visualisation!$B$1,$A2046&lt;Visualisation!$D$1),MAX($V$1:V2045)+1,"")</f>
        <v/>
      </c>
    </row>
    <row r="2047" spans="1:22" x14ac:dyDescent="0.25">
      <c r="A2047" s="9"/>
      <c r="E2047" s="10"/>
      <c r="K2047" s="11" t="str">
        <f>IF($E2047="","",ROUND($E2047*IF(ISNA(MATCH($C2047,'Paramètres'!$D:$D,0)),1,IF(INDEX('Paramètres'!$J:$J,MATCH($C2047,'Paramètres'!$D:$D,0))="",1,INDEX('Paramètres'!$J:$J,MATCH($C2047,'Paramètres'!$D:$D,0)))),2))</f>
        <v/>
      </c>
      <c r="L2047" s="6" t="str">
        <f>IF($D2047="","",IF($F2047&lt;&gt;"",$F2047,IF(ISNA(MATCH($D2047,'Paramètres'!$M:$M,0)),"⚠ Type inconnu",IFERROR(INDEX('Paramètres'!$P:$P,MATCH($D2047,'Paramètres'!$M:$M,0))&amp;"",""))))</f>
        <v/>
      </c>
      <c r="M2047" s="6" t="str">
        <f>IF($D2047="","",IF(ISNA(MATCH($D2047,'Paramètres'!$M:$M,0)),"⚠ Type inconnu",IF($L2047="Crédit","",IFERROR(INDEX('Paramètres'!$O:$O,MATCH($D2047,'Paramètres'!$M:$M,0))&amp;"",""))))</f>
        <v/>
      </c>
      <c r="N2047" s="6" t="str">
        <f>IF($D2047="","",IFERROR(INDEX('Paramètres'!$Q:$Q,MATCH($D2047,'Paramètres'!$M:$M,0))&amp;"",""))</f>
        <v/>
      </c>
      <c r="O2047" s="6" t="str">
        <f>IF($A2047="","",IF(OR($J2047&lt;&gt;"x",$A2047&lt;=FinReleve),1,0))</f>
        <v/>
      </c>
      <c r="P2047" s="6" t="str">
        <f>IF($D2047="","",IF(AND($L2047="Crédit",OR(IFERROR(INDEX('Paramètres'!$O:$O,MATCH($D2047,'Paramètres'!$M:$M,0))&amp;"","")&lt;&gt;"",ISNUMBER(SEARCH("remboursement",IFERROR(INDEX('Paramètres'!$N:$N,MATCH($D2047,'Paramètres'!$M:$M,0))&amp;"",""))))),1,0))</f>
        <v/>
      </c>
      <c r="Q2047" s="6" t="str">
        <f>IF($K2047="","",IF(ISNUMBER(SEARCH("transfert-interne",IFERROR(INDEX('Paramètres'!$N:$N,MATCH($D2047,'Paramètres'!$M:$M,0))&amp;"",""))),0,IF($L2047="Débit",$K2047,IF($P2047=1,-$K2047,0))))</f>
        <v/>
      </c>
      <c r="R2047" s="6" t="str">
        <f>IF($K2047="","",IF($L2047="Crédit",$K2047,-$K2047))</f>
        <v/>
      </c>
      <c r="S2047" s="6" t="str">
        <f>IF($C2047="","",IFERROR(INDEX('Paramètres'!$H:$H,MATCH($C2047,'Paramètres'!$D:$D,0))&amp;"",""))</f>
        <v/>
      </c>
      <c r="T2047" s="6" t="str">
        <f>IF($K2047="","",IF($S2047="",0,IF(ISNUMBER(SEARCH("apport-exterieur",IFERROR(INDEX('Paramètres'!$N:$N,MATCH($D2047,'Paramètres'!$M:$M,0))&amp;"",""))),0,IF(OR(IFERROR(INDEX('Paramètres'!$I:$I,MATCH($C2047,'Paramètres'!$D:$D,0))&amp;"","")="Les deux",IFERROR(INDEX('Paramètres'!$I:$I,MATCH($C2047,'Paramètres'!$D:$D,0))&amp;"","")=IF($P2047=1,"Débit",$L2047)),-IF($P2047=1,-$K2047,$K2047),0))))</f>
        <v/>
      </c>
      <c r="U2047" s="6" t="str">
        <f>IF($K2047="","",IF(ISNUMBER(SEARCH("sortie-epargne",IFERROR(INDEX('Paramètres'!$N:$N,MATCH($D2047,'Paramètres'!$M:$M,0))&amp;"",""))),$K2047,0))</f>
        <v/>
      </c>
      <c r="V2047" s="6" t="str">
        <f>IF(AND($A2047&lt;&gt;"",$O2047=1,$L2047="Débit",N($Q2047)&gt;0,$A2047&gt;=Visualisation!$B$1,$A2047&lt;Visualisation!$D$1),MAX($V$1:V2046)+1,"")</f>
        <v/>
      </c>
    </row>
    <row r="2048" spans="1:22" x14ac:dyDescent="0.25">
      <c r="A2048" s="9"/>
      <c r="E2048" s="10"/>
      <c r="K2048" s="11" t="str">
        <f>IF($E2048="","",ROUND($E2048*IF(ISNA(MATCH($C2048,'Paramètres'!$D:$D,0)),1,IF(INDEX('Paramètres'!$J:$J,MATCH($C2048,'Paramètres'!$D:$D,0))="",1,INDEX('Paramètres'!$J:$J,MATCH($C2048,'Paramètres'!$D:$D,0)))),2))</f>
        <v/>
      </c>
      <c r="L2048" s="6" t="str">
        <f>IF($D2048="","",IF($F2048&lt;&gt;"",$F2048,IF(ISNA(MATCH($D2048,'Paramètres'!$M:$M,0)),"⚠ Type inconnu",IFERROR(INDEX('Paramètres'!$P:$P,MATCH($D2048,'Paramètres'!$M:$M,0))&amp;"",""))))</f>
        <v/>
      </c>
      <c r="M2048" s="6" t="str">
        <f>IF($D2048="","",IF(ISNA(MATCH($D2048,'Paramètres'!$M:$M,0)),"⚠ Type inconnu",IF($L2048="Crédit","",IFERROR(INDEX('Paramètres'!$O:$O,MATCH($D2048,'Paramètres'!$M:$M,0))&amp;"",""))))</f>
        <v/>
      </c>
      <c r="N2048" s="6" t="str">
        <f>IF($D2048="","",IFERROR(INDEX('Paramètres'!$Q:$Q,MATCH($D2048,'Paramètres'!$M:$M,0))&amp;"",""))</f>
        <v/>
      </c>
      <c r="O2048" s="6" t="str">
        <f>IF($A2048="","",IF(OR($J2048&lt;&gt;"x",$A2048&lt;=FinReleve),1,0))</f>
        <v/>
      </c>
      <c r="P2048" s="6" t="str">
        <f>IF($D2048="","",IF(AND($L2048="Crédit",OR(IFERROR(INDEX('Paramètres'!$O:$O,MATCH($D2048,'Paramètres'!$M:$M,0))&amp;"","")&lt;&gt;"",ISNUMBER(SEARCH("remboursement",IFERROR(INDEX('Paramètres'!$N:$N,MATCH($D2048,'Paramètres'!$M:$M,0))&amp;"",""))))),1,0))</f>
        <v/>
      </c>
      <c r="Q2048" s="6" t="str">
        <f>IF($K2048="","",IF(ISNUMBER(SEARCH("transfert-interne",IFERROR(INDEX('Paramètres'!$N:$N,MATCH($D2048,'Paramètres'!$M:$M,0))&amp;"",""))),0,IF($L2048="Débit",$K2048,IF($P2048=1,-$K2048,0))))</f>
        <v/>
      </c>
      <c r="R2048" s="6" t="str">
        <f>IF($K2048="","",IF($L2048="Crédit",$K2048,-$K2048))</f>
        <v/>
      </c>
      <c r="S2048" s="6" t="str">
        <f>IF($C2048="","",IFERROR(INDEX('Paramètres'!$H:$H,MATCH($C2048,'Paramètres'!$D:$D,0))&amp;"",""))</f>
        <v/>
      </c>
      <c r="T2048" s="6" t="str">
        <f>IF($K2048="","",IF($S2048="",0,IF(ISNUMBER(SEARCH("apport-exterieur",IFERROR(INDEX('Paramètres'!$N:$N,MATCH($D2048,'Paramètres'!$M:$M,0))&amp;"",""))),0,IF(OR(IFERROR(INDEX('Paramètres'!$I:$I,MATCH($C2048,'Paramètres'!$D:$D,0))&amp;"","")="Les deux",IFERROR(INDEX('Paramètres'!$I:$I,MATCH($C2048,'Paramètres'!$D:$D,0))&amp;"","")=IF($P2048=1,"Débit",$L2048)),-IF($P2048=1,-$K2048,$K2048),0))))</f>
        <v/>
      </c>
      <c r="U2048" s="6" t="str">
        <f>IF($K2048="","",IF(ISNUMBER(SEARCH("sortie-epargne",IFERROR(INDEX('Paramètres'!$N:$N,MATCH($D2048,'Paramètres'!$M:$M,0))&amp;"",""))),$K2048,0))</f>
        <v/>
      </c>
      <c r="V2048" s="6" t="str">
        <f>IF(AND($A2048&lt;&gt;"",$O2048=1,$L2048="Débit",N($Q2048)&gt;0,$A2048&gt;=Visualisation!$B$1,$A2048&lt;Visualisation!$D$1),MAX($V$1:V2047)+1,"")</f>
        <v/>
      </c>
    </row>
    <row r="2049" spans="1:22" x14ac:dyDescent="0.25">
      <c r="A2049" s="9"/>
      <c r="E2049" s="10"/>
      <c r="K2049" s="11" t="str">
        <f>IF($E2049="","",ROUND($E2049*IF(ISNA(MATCH($C2049,'Paramètres'!$D:$D,0)),1,IF(INDEX('Paramètres'!$J:$J,MATCH($C2049,'Paramètres'!$D:$D,0))="",1,INDEX('Paramètres'!$J:$J,MATCH($C2049,'Paramètres'!$D:$D,0)))),2))</f>
        <v/>
      </c>
      <c r="L2049" s="6" t="str">
        <f>IF($D2049="","",IF($F2049&lt;&gt;"",$F2049,IF(ISNA(MATCH($D2049,'Paramètres'!$M:$M,0)),"⚠ Type inconnu",IFERROR(INDEX('Paramètres'!$P:$P,MATCH($D2049,'Paramètres'!$M:$M,0))&amp;"",""))))</f>
        <v/>
      </c>
      <c r="M2049" s="6" t="str">
        <f>IF($D2049="","",IF(ISNA(MATCH($D2049,'Paramètres'!$M:$M,0)),"⚠ Type inconnu",IF($L2049="Crédit","",IFERROR(INDEX('Paramètres'!$O:$O,MATCH($D2049,'Paramètres'!$M:$M,0))&amp;"",""))))</f>
        <v/>
      </c>
      <c r="N2049" s="6" t="str">
        <f>IF($D2049="","",IFERROR(INDEX('Paramètres'!$Q:$Q,MATCH($D2049,'Paramètres'!$M:$M,0))&amp;"",""))</f>
        <v/>
      </c>
      <c r="O2049" s="6" t="str">
        <f>IF($A2049="","",IF(OR($J2049&lt;&gt;"x",$A2049&lt;=FinReleve),1,0))</f>
        <v/>
      </c>
      <c r="P2049" s="6" t="str">
        <f>IF($D2049="","",IF(AND($L2049="Crédit",OR(IFERROR(INDEX('Paramètres'!$O:$O,MATCH($D2049,'Paramètres'!$M:$M,0))&amp;"","")&lt;&gt;"",ISNUMBER(SEARCH("remboursement",IFERROR(INDEX('Paramètres'!$N:$N,MATCH($D2049,'Paramètres'!$M:$M,0))&amp;"",""))))),1,0))</f>
        <v/>
      </c>
      <c r="Q2049" s="6" t="str">
        <f>IF($K2049="","",IF(ISNUMBER(SEARCH("transfert-interne",IFERROR(INDEX('Paramètres'!$N:$N,MATCH($D2049,'Paramètres'!$M:$M,0))&amp;"",""))),0,IF($L2049="Débit",$K2049,IF($P2049=1,-$K2049,0))))</f>
        <v/>
      </c>
      <c r="R2049" s="6" t="str">
        <f>IF($K2049="","",IF($L2049="Crédit",$K2049,-$K2049))</f>
        <v/>
      </c>
      <c r="S2049" s="6" t="str">
        <f>IF($C2049="","",IFERROR(INDEX('Paramètres'!$H:$H,MATCH($C2049,'Paramètres'!$D:$D,0))&amp;"",""))</f>
        <v/>
      </c>
      <c r="T2049" s="6" t="str">
        <f>IF($K2049="","",IF($S2049="",0,IF(ISNUMBER(SEARCH("apport-exterieur",IFERROR(INDEX('Paramètres'!$N:$N,MATCH($D2049,'Paramètres'!$M:$M,0))&amp;"",""))),0,IF(OR(IFERROR(INDEX('Paramètres'!$I:$I,MATCH($C2049,'Paramètres'!$D:$D,0))&amp;"","")="Les deux",IFERROR(INDEX('Paramètres'!$I:$I,MATCH($C2049,'Paramètres'!$D:$D,0))&amp;"","")=IF($P2049=1,"Débit",$L2049)),-IF($P2049=1,-$K2049,$K2049),0))))</f>
        <v/>
      </c>
      <c r="U2049" s="6" t="str">
        <f>IF($K2049="","",IF(ISNUMBER(SEARCH("sortie-epargne",IFERROR(INDEX('Paramètres'!$N:$N,MATCH($D2049,'Paramètres'!$M:$M,0))&amp;"",""))),$K2049,0))</f>
        <v/>
      </c>
      <c r="V2049" s="6" t="str">
        <f>IF(AND($A2049&lt;&gt;"",$O2049=1,$L2049="Débit",N($Q2049)&gt;0,$A2049&gt;=Visualisation!$B$1,$A2049&lt;Visualisation!$D$1),MAX($V$1:V2048)+1,"")</f>
        <v/>
      </c>
    </row>
    <row r="2050" spans="1:22" x14ac:dyDescent="0.25">
      <c r="A2050" s="9"/>
      <c r="E2050" s="10"/>
      <c r="K2050" s="11" t="str">
        <f>IF($E2050="","",ROUND($E2050*IF(ISNA(MATCH($C2050,'Paramètres'!$D:$D,0)),1,IF(INDEX('Paramètres'!$J:$J,MATCH($C2050,'Paramètres'!$D:$D,0))="",1,INDEX('Paramètres'!$J:$J,MATCH($C2050,'Paramètres'!$D:$D,0)))),2))</f>
        <v/>
      </c>
      <c r="L2050" s="6" t="str">
        <f>IF($D2050="","",IF($F2050&lt;&gt;"",$F2050,IF(ISNA(MATCH($D2050,'Paramètres'!$M:$M,0)),"⚠ Type inconnu",IFERROR(INDEX('Paramètres'!$P:$P,MATCH($D2050,'Paramètres'!$M:$M,0))&amp;"",""))))</f>
        <v/>
      </c>
      <c r="M2050" s="6" t="str">
        <f>IF($D2050="","",IF(ISNA(MATCH($D2050,'Paramètres'!$M:$M,0)),"⚠ Type inconnu",IF($L2050="Crédit","",IFERROR(INDEX('Paramètres'!$O:$O,MATCH($D2050,'Paramètres'!$M:$M,0))&amp;"",""))))</f>
        <v/>
      </c>
      <c r="N2050" s="6" t="str">
        <f>IF($D2050="","",IFERROR(INDEX('Paramètres'!$Q:$Q,MATCH($D2050,'Paramètres'!$M:$M,0))&amp;"",""))</f>
        <v/>
      </c>
      <c r="O2050" s="6" t="str">
        <f>IF($A2050="","",IF(OR($J2050&lt;&gt;"x",$A2050&lt;=FinReleve),1,0))</f>
        <v/>
      </c>
      <c r="P2050" s="6" t="str">
        <f>IF($D2050="","",IF(AND($L2050="Crédit",OR(IFERROR(INDEX('Paramètres'!$O:$O,MATCH($D2050,'Paramètres'!$M:$M,0))&amp;"","")&lt;&gt;"",ISNUMBER(SEARCH("remboursement",IFERROR(INDEX('Paramètres'!$N:$N,MATCH($D2050,'Paramètres'!$M:$M,0))&amp;"",""))))),1,0))</f>
        <v/>
      </c>
      <c r="Q2050" s="6" t="str">
        <f>IF($K2050="","",IF(ISNUMBER(SEARCH("transfert-interne",IFERROR(INDEX('Paramètres'!$N:$N,MATCH($D2050,'Paramètres'!$M:$M,0))&amp;"",""))),0,IF($L2050="Débit",$K2050,IF($P2050=1,-$K2050,0))))</f>
        <v/>
      </c>
      <c r="R2050" s="6" t="str">
        <f>IF($K2050="","",IF($L2050="Crédit",$K2050,-$K2050))</f>
        <v/>
      </c>
      <c r="S2050" s="6" t="str">
        <f>IF($C2050="","",IFERROR(INDEX('Paramètres'!$H:$H,MATCH($C2050,'Paramètres'!$D:$D,0))&amp;"",""))</f>
        <v/>
      </c>
      <c r="T2050" s="6" t="str">
        <f>IF($K2050="","",IF($S2050="",0,IF(ISNUMBER(SEARCH("apport-exterieur",IFERROR(INDEX('Paramètres'!$N:$N,MATCH($D2050,'Paramètres'!$M:$M,0))&amp;"",""))),0,IF(OR(IFERROR(INDEX('Paramètres'!$I:$I,MATCH($C2050,'Paramètres'!$D:$D,0))&amp;"","")="Les deux",IFERROR(INDEX('Paramètres'!$I:$I,MATCH($C2050,'Paramètres'!$D:$D,0))&amp;"","")=IF($P2050=1,"Débit",$L2050)),-IF($P2050=1,-$K2050,$K2050),0))))</f>
        <v/>
      </c>
      <c r="U2050" s="6" t="str">
        <f>IF($K2050="","",IF(ISNUMBER(SEARCH("sortie-epargne",IFERROR(INDEX('Paramètres'!$N:$N,MATCH($D2050,'Paramètres'!$M:$M,0))&amp;"",""))),$K2050,0))</f>
        <v/>
      </c>
      <c r="V2050" s="6" t="str">
        <f>IF(AND($A2050&lt;&gt;"",$O2050=1,$L2050="Débit",N($Q2050)&gt;0,$A2050&gt;=Visualisation!$B$1,$A2050&lt;Visualisation!$D$1),MAX($V$1:V2049)+1,"")</f>
        <v/>
      </c>
    </row>
    <row r="2051" spans="1:22" x14ac:dyDescent="0.25">
      <c r="A2051" s="9"/>
      <c r="E2051" s="10"/>
      <c r="K2051" s="11" t="str">
        <f>IF($E2051="","",ROUND($E2051*IF(ISNA(MATCH($C2051,'Paramètres'!$D:$D,0)),1,IF(INDEX('Paramètres'!$J:$J,MATCH($C2051,'Paramètres'!$D:$D,0))="",1,INDEX('Paramètres'!$J:$J,MATCH($C2051,'Paramètres'!$D:$D,0)))),2))</f>
        <v/>
      </c>
      <c r="L2051" s="6" t="str">
        <f>IF($D2051="","",IF($F2051&lt;&gt;"",$F2051,IF(ISNA(MATCH($D2051,'Paramètres'!$M:$M,0)),"⚠ Type inconnu",IFERROR(INDEX('Paramètres'!$P:$P,MATCH($D2051,'Paramètres'!$M:$M,0))&amp;"",""))))</f>
        <v/>
      </c>
      <c r="M2051" s="6" t="str">
        <f>IF($D2051="","",IF(ISNA(MATCH($D2051,'Paramètres'!$M:$M,0)),"⚠ Type inconnu",IF($L2051="Crédit","",IFERROR(INDEX('Paramètres'!$O:$O,MATCH($D2051,'Paramètres'!$M:$M,0))&amp;"",""))))</f>
        <v/>
      </c>
      <c r="N2051" s="6" t="str">
        <f>IF($D2051="","",IFERROR(INDEX('Paramètres'!$Q:$Q,MATCH($D2051,'Paramètres'!$M:$M,0))&amp;"",""))</f>
        <v/>
      </c>
      <c r="O2051" s="6" t="str">
        <f>IF($A2051="","",IF(OR($J2051&lt;&gt;"x",$A2051&lt;=FinReleve),1,0))</f>
        <v/>
      </c>
      <c r="P2051" s="6" t="str">
        <f>IF($D2051="","",IF(AND($L2051="Crédit",OR(IFERROR(INDEX('Paramètres'!$O:$O,MATCH($D2051,'Paramètres'!$M:$M,0))&amp;"","")&lt;&gt;"",ISNUMBER(SEARCH("remboursement",IFERROR(INDEX('Paramètres'!$N:$N,MATCH($D2051,'Paramètres'!$M:$M,0))&amp;"",""))))),1,0))</f>
        <v/>
      </c>
      <c r="Q2051" s="6" t="str">
        <f>IF($K2051="","",IF(ISNUMBER(SEARCH("transfert-interne",IFERROR(INDEX('Paramètres'!$N:$N,MATCH($D2051,'Paramètres'!$M:$M,0))&amp;"",""))),0,IF($L2051="Débit",$K2051,IF($P2051=1,-$K2051,0))))</f>
        <v/>
      </c>
      <c r="R2051" s="6" t="str">
        <f>IF($K2051="","",IF($L2051="Crédit",$K2051,-$K2051))</f>
        <v/>
      </c>
      <c r="S2051" s="6" t="str">
        <f>IF($C2051="","",IFERROR(INDEX('Paramètres'!$H:$H,MATCH($C2051,'Paramètres'!$D:$D,0))&amp;"",""))</f>
        <v/>
      </c>
      <c r="T2051" s="6" t="str">
        <f>IF($K2051="","",IF($S2051="",0,IF(ISNUMBER(SEARCH("apport-exterieur",IFERROR(INDEX('Paramètres'!$N:$N,MATCH($D2051,'Paramètres'!$M:$M,0))&amp;"",""))),0,IF(OR(IFERROR(INDEX('Paramètres'!$I:$I,MATCH($C2051,'Paramètres'!$D:$D,0))&amp;"","")="Les deux",IFERROR(INDEX('Paramètres'!$I:$I,MATCH($C2051,'Paramètres'!$D:$D,0))&amp;"","")=IF($P2051=1,"Débit",$L2051)),-IF($P2051=1,-$K2051,$K2051),0))))</f>
        <v/>
      </c>
      <c r="U2051" s="6" t="str">
        <f>IF($K2051="","",IF(ISNUMBER(SEARCH("sortie-epargne",IFERROR(INDEX('Paramètres'!$N:$N,MATCH($D2051,'Paramètres'!$M:$M,0))&amp;"",""))),$K2051,0))</f>
        <v/>
      </c>
      <c r="V2051" s="6" t="str">
        <f>IF(AND($A2051&lt;&gt;"",$O2051=1,$L2051="Débit",N($Q2051)&gt;0,$A2051&gt;=Visualisation!$B$1,$A2051&lt;Visualisation!$D$1),MAX($V$1:V2050)+1,"")</f>
        <v/>
      </c>
    </row>
    <row r="2052" spans="1:22" x14ac:dyDescent="0.25">
      <c r="A2052" s="9"/>
      <c r="E2052" s="10"/>
      <c r="K2052" s="11" t="str">
        <f>IF($E2052="","",ROUND($E2052*IF(ISNA(MATCH($C2052,'Paramètres'!$D:$D,0)),1,IF(INDEX('Paramètres'!$J:$J,MATCH($C2052,'Paramètres'!$D:$D,0))="",1,INDEX('Paramètres'!$J:$J,MATCH($C2052,'Paramètres'!$D:$D,0)))),2))</f>
        <v/>
      </c>
      <c r="L2052" s="6" t="str">
        <f>IF($D2052="","",IF($F2052&lt;&gt;"",$F2052,IF(ISNA(MATCH($D2052,'Paramètres'!$M:$M,0)),"⚠ Type inconnu",IFERROR(INDEX('Paramètres'!$P:$P,MATCH($D2052,'Paramètres'!$M:$M,0))&amp;"",""))))</f>
        <v/>
      </c>
      <c r="M2052" s="6" t="str">
        <f>IF($D2052="","",IF(ISNA(MATCH($D2052,'Paramètres'!$M:$M,0)),"⚠ Type inconnu",IF($L2052="Crédit","",IFERROR(INDEX('Paramètres'!$O:$O,MATCH($D2052,'Paramètres'!$M:$M,0))&amp;"",""))))</f>
        <v/>
      </c>
      <c r="N2052" s="6" t="str">
        <f>IF($D2052="","",IFERROR(INDEX('Paramètres'!$Q:$Q,MATCH($D2052,'Paramètres'!$M:$M,0))&amp;"",""))</f>
        <v/>
      </c>
      <c r="O2052" s="6" t="str">
        <f>IF($A2052="","",IF(OR($J2052&lt;&gt;"x",$A2052&lt;=FinReleve),1,0))</f>
        <v/>
      </c>
      <c r="P2052" s="6" t="str">
        <f>IF($D2052="","",IF(AND($L2052="Crédit",OR(IFERROR(INDEX('Paramètres'!$O:$O,MATCH($D2052,'Paramètres'!$M:$M,0))&amp;"","")&lt;&gt;"",ISNUMBER(SEARCH("remboursement",IFERROR(INDEX('Paramètres'!$N:$N,MATCH($D2052,'Paramètres'!$M:$M,0))&amp;"",""))))),1,0))</f>
        <v/>
      </c>
      <c r="Q2052" s="6" t="str">
        <f>IF($K2052="","",IF(ISNUMBER(SEARCH("transfert-interne",IFERROR(INDEX('Paramètres'!$N:$N,MATCH($D2052,'Paramètres'!$M:$M,0))&amp;"",""))),0,IF($L2052="Débit",$K2052,IF($P2052=1,-$K2052,0))))</f>
        <v/>
      </c>
      <c r="R2052" s="6" t="str">
        <f>IF($K2052="","",IF($L2052="Crédit",$K2052,-$K2052))</f>
        <v/>
      </c>
      <c r="S2052" s="6" t="str">
        <f>IF($C2052="","",IFERROR(INDEX('Paramètres'!$H:$H,MATCH($C2052,'Paramètres'!$D:$D,0))&amp;"",""))</f>
        <v/>
      </c>
      <c r="T2052" s="6" t="str">
        <f>IF($K2052="","",IF($S2052="",0,IF(ISNUMBER(SEARCH("apport-exterieur",IFERROR(INDEX('Paramètres'!$N:$N,MATCH($D2052,'Paramètres'!$M:$M,0))&amp;"",""))),0,IF(OR(IFERROR(INDEX('Paramètres'!$I:$I,MATCH($C2052,'Paramètres'!$D:$D,0))&amp;"","")="Les deux",IFERROR(INDEX('Paramètres'!$I:$I,MATCH($C2052,'Paramètres'!$D:$D,0))&amp;"","")=IF($P2052=1,"Débit",$L2052)),-IF($P2052=1,-$K2052,$K2052),0))))</f>
        <v/>
      </c>
      <c r="U2052" s="6" t="str">
        <f>IF($K2052="","",IF(ISNUMBER(SEARCH("sortie-epargne",IFERROR(INDEX('Paramètres'!$N:$N,MATCH($D2052,'Paramètres'!$M:$M,0))&amp;"",""))),$K2052,0))</f>
        <v/>
      </c>
      <c r="V2052" s="6" t="str">
        <f>IF(AND($A2052&lt;&gt;"",$O2052=1,$L2052="Débit",N($Q2052)&gt;0,$A2052&gt;=Visualisation!$B$1,$A2052&lt;Visualisation!$D$1),MAX($V$1:V2051)+1,"")</f>
        <v/>
      </c>
    </row>
    <row r="2053" spans="1:22" x14ac:dyDescent="0.25">
      <c r="A2053" s="9"/>
      <c r="E2053" s="10"/>
      <c r="K2053" s="11" t="str">
        <f>IF($E2053="","",ROUND($E2053*IF(ISNA(MATCH($C2053,'Paramètres'!$D:$D,0)),1,IF(INDEX('Paramètres'!$J:$J,MATCH($C2053,'Paramètres'!$D:$D,0))="",1,INDEX('Paramètres'!$J:$J,MATCH($C2053,'Paramètres'!$D:$D,0)))),2))</f>
        <v/>
      </c>
      <c r="L2053" s="6" t="str">
        <f>IF($D2053="","",IF($F2053&lt;&gt;"",$F2053,IF(ISNA(MATCH($D2053,'Paramètres'!$M:$M,0)),"⚠ Type inconnu",IFERROR(INDEX('Paramètres'!$P:$P,MATCH($D2053,'Paramètres'!$M:$M,0))&amp;"",""))))</f>
        <v/>
      </c>
      <c r="M2053" s="6" t="str">
        <f>IF($D2053="","",IF(ISNA(MATCH($D2053,'Paramètres'!$M:$M,0)),"⚠ Type inconnu",IF($L2053="Crédit","",IFERROR(INDEX('Paramètres'!$O:$O,MATCH($D2053,'Paramètres'!$M:$M,0))&amp;"",""))))</f>
        <v/>
      </c>
      <c r="N2053" s="6" t="str">
        <f>IF($D2053="","",IFERROR(INDEX('Paramètres'!$Q:$Q,MATCH($D2053,'Paramètres'!$M:$M,0))&amp;"",""))</f>
        <v/>
      </c>
      <c r="O2053" s="6" t="str">
        <f>IF($A2053="","",IF(OR($J2053&lt;&gt;"x",$A2053&lt;=FinReleve),1,0))</f>
        <v/>
      </c>
      <c r="P2053" s="6" t="str">
        <f>IF($D2053="","",IF(AND($L2053="Crédit",OR(IFERROR(INDEX('Paramètres'!$O:$O,MATCH($D2053,'Paramètres'!$M:$M,0))&amp;"","")&lt;&gt;"",ISNUMBER(SEARCH("remboursement",IFERROR(INDEX('Paramètres'!$N:$N,MATCH($D2053,'Paramètres'!$M:$M,0))&amp;"",""))))),1,0))</f>
        <v/>
      </c>
      <c r="Q2053" s="6" t="str">
        <f>IF($K2053="","",IF(ISNUMBER(SEARCH("transfert-interne",IFERROR(INDEX('Paramètres'!$N:$N,MATCH($D2053,'Paramètres'!$M:$M,0))&amp;"",""))),0,IF($L2053="Débit",$K2053,IF($P2053=1,-$K2053,0))))</f>
        <v/>
      </c>
      <c r="R2053" s="6" t="str">
        <f>IF($K2053="","",IF($L2053="Crédit",$K2053,-$K2053))</f>
        <v/>
      </c>
      <c r="S2053" s="6" t="str">
        <f>IF($C2053="","",IFERROR(INDEX('Paramètres'!$H:$H,MATCH($C2053,'Paramètres'!$D:$D,0))&amp;"",""))</f>
        <v/>
      </c>
      <c r="T2053" s="6" t="str">
        <f>IF($K2053="","",IF($S2053="",0,IF(ISNUMBER(SEARCH("apport-exterieur",IFERROR(INDEX('Paramètres'!$N:$N,MATCH($D2053,'Paramètres'!$M:$M,0))&amp;"",""))),0,IF(OR(IFERROR(INDEX('Paramètres'!$I:$I,MATCH($C2053,'Paramètres'!$D:$D,0))&amp;"","")="Les deux",IFERROR(INDEX('Paramètres'!$I:$I,MATCH($C2053,'Paramètres'!$D:$D,0))&amp;"","")=IF($P2053=1,"Débit",$L2053)),-IF($P2053=1,-$K2053,$K2053),0))))</f>
        <v/>
      </c>
      <c r="U2053" s="6" t="str">
        <f>IF($K2053="","",IF(ISNUMBER(SEARCH("sortie-epargne",IFERROR(INDEX('Paramètres'!$N:$N,MATCH($D2053,'Paramètres'!$M:$M,0))&amp;"",""))),$K2053,0))</f>
        <v/>
      </c>
      <c r="V2053" s="6" t="str">
        <f>IF(AND($A2053&lt;&gt;"",$O2053=1,$L2053="Débit",N($Q2053)&gt;0,$A2053&gt;=Visualisation!$B$1,$A2053&lt;Visualisation!$D$1),MAX($V$1:V2052)+1,"")</f>
        <v/>
      </c>
    </row>
    <row r="2054" spans="1:22" x14ac:dyDescent="0.25">
      <c r="A2054" s="9"/>
      <c r="E2054" s="10"/>
      <c r="K2054" s="11" t="str">
        <f>IF($E2054="","",ROUND($E2054*IF(ISNA(MATCH($C2054,'Paramètres'!$D:$D,0)),1,IF(INDEX('Paramètres'!$J:$J,MATCH($C2054,'Paramètres'!$D:$D,0))="",1,INDEX('Paramètres'!$J:$J,MATCH($C2054,'Paramètres'!$D:$D,0)))),2))</f>
        <v/>
      </c>
      <c r="L2054" s="6" t="str">
        <f>IF($D2054="","",IF($F2054&lt;&gt;"",$F2054,IF(ISNA(MATCH($D2054,'Paramètres'!$M:$M,0)),"⚠ Type inconnu",IFERROR(INDEX('Paramètres'!$P:$P,MATCH($D2054,'Paramètres'!$M:$M,0))&amp;"",""))))</f>
        <v/>
      </c>
      <c r="M2054" s="6" t="str">
        <f>IF($D2054="","",IF(ISNA(MATCH($D2054,'Paramètres'!$M:$M,0)),"⚠ Type inconnu",IF($L2054="Crédit","",IFERROR(INDEX('Paramètres'!$O:$O,MATCH($D2054,'Paramètres'!$M:$M,0))&amp;"",""))))</f>
        <v/>
      </c>
      <c r="N2054" s="6" t="str">
        <f>IF($D2054="","",IFERROR(INDEX('Paramètres'!$Q:$Q,MATCH($D2054,'Paramètres'!$M:$M,0))&amp;"",""))</f>
        <v/>
      </c>
      <c r="O2054" s="6" t="str">
        <f>IF($A2054="","",IF(OR($J2054&lt;&gt;"x",$A2054&lt;=FinReleve),1,0))</f>
        <v/>
      </c>
      <c r="P2054" s="6" t="str">
        <f>IF($D2054="","",IF(AND($L2054="Crédit",OR(IFERROR(INDEX('Paramètres'!$O:$O,MATCH($D2054,'Paramètres'!$M:$M,0))&amp;"","")&lt;&gt;"",ISNUMBER(SEARCH("remboursement",IFERROR(INDEX('Paramètres'!$N:$N,MATCH($D2054,'Paramètres'!$M:$M,0))&amp;"",""))))),1,0))</f>
        <v/>
      </c>
      <c r="Q2054" s="6" t="str">
        <f>IF($K2054="","",IF(ISNUMBER(SEARCH("transfert-interne",IFERROR(INDEX('Paramètres'!$N:$N,MATCH($D2054,'Paramètres'!$M:$M,0))&amp;"",""))),0,IF($L2054="Débit",$K2054,IF($P2054=1,-$K2054,0))))</f>
        <v/>
      </c>
      <c r="R2054" s="6" t="str">
        <f>IF($K2054="","",IF($L2054="Crédit",$K2054,-$K2054))</f>
        <v/>
      </c>
      <c r="S2054" s="6" t="str">
        <f>IF($C2054="","",IFERROR(INDEX('Paramètres'!$H:$H,MATCH($C2054,'Paramètres'!$D:$D,0))&amp;"",""))</f>
        <v/>
      </c>
      <c r="T2054" s="6" t="str">
        <f>IF($K2054="","",IF($S2054="",0,IF(ISNUMBER(SEARCH("apport-exterieur",IFERROR(INDEX('Paramètres'!$N:$N,MATCH($D2054,'Paramètres'!$M:$M,0))&amp;"",""))),0,IF(OR(IFERROR(INDEX('Paramètres'!$I:$I,MATCH($C2054,'Paramètres'!$D:$D,0))&amp;"","")="Les deux",IFERROR(INDEX('Paramètres'!$I:$I,MATCH($C2054,'Paramètres'!$D:$D,0))&amp;"","")=IF($P2054=1,"Débit",$L2054)),-IF($P2054=1,-$K2054,$K2054),0))))</f>
        <v/>
      </c>
      <c r="U2054" s="6" t="str">
        <f>IF($K2054="","",IF(ISNUMBER(SEARCH("sortie-epargne",IFERROR(INDEX('Paramètres'!$N:$N,MATCH($D2054,'Paramètres'!$M:$M,0))&amp;"",""))),$K2054,0))</f>
        <v/>
      </c>
      <c r="V2054" s="6" t="str">
        <f>IF(AND($A2054&lt;&gt;"",$O2054=1,$L2054="Débit",N($Q2054)&gt;0,$A2054&gt;=Visualisation!$B$1,$A2054&lt;Visualisation!$D$1),MAX($V$1:V2053)+1,"")</f>
        <v/>
      </c>
    </row>
    <row r="2055" spans="1:22" x14ac:dyDescent="0.25">
      <c r="A2055" s="9"/>
      <c r="E2055" s="10"/>
      <c r="K2055" s="11" t="str">
        <f>IF($E2055="","",ROUND($E2055*IF(ISNA(MATCH($C2055,'Paramètres'!$D:$D,0)),1,IF(INDEX('Paramètres'!$J:$J,MATCH($C2055,'Paramètres'!$D:$D,0))="",1,INDEX('Paramètres'!$J:$J,MATCH($C2055,'Paramètres'!$D:$D,0)))),2))</f>
        <v/>
      </c>
      <c r="L2055" s="6" t="str">
        <f>IF($D2055="","",IF($F2055&lt;&gt;"",$F2055,IF(ISNA(MATCH($D2055,'Paramètres'!$M:$M,0)),"⚠ Type inconnu",IFERROR(INDEX('Paramètres'!$P:$P,MATCH($D2055,'Paramètres'!$M:$M,0))&amp;"",""))))</f>
        <v/>
      </c>
      <c r="M2055" s="6" t="str">
        <f>IF($D2055="","",IF(ISNA(MATCH($D2055,'Paramètres'!$M:$M,0)),"⚠ Type inconnu",IF($L2055="Crédit","",IFERROR(INDEX('Paramètres'!$O:$O,MATCH($D2055,'Paramètres'!$M:$M,0))&amp;"",""))))</f>
        <v/>
      </c>
      <c r="N2055" s="6" t="str">
        <f>IF($D2055="","",IFERROR(INDEX('Paramètres'!$Q:$Q,MATCH($D2055,'Paramètres'!$M:$M,0))&amp;"",""))</f>
        <v/>
      </c>
      <c r="O2055" s="6" t="str">
        <f>IF($A2055="","",IF(OR($J2055&lt;&gt;"x",$A2055&lt;=FinReleve),1,0))</f>
        <v/>
      </c>
      <c r="P2055" s="6" t="str">
        <f>IF($D2055="","",IF(AND($L2055="Crédit",OR(IFERROR(INDEX('Paramètres'!$O:$O,MATCH($D2055,'Paramètres'!$M:$M,0))&amp;"","")&lt;&gt;"",ISNUMBER(SEARCH("remboursement",IFERROR(INDEX('Paramètres'!$N:$N,MATCH($D2055,'Paramètres'!$M:$M,0))&amp;"",""))))),1,0))</f>
        <v/>
      </c>
      <c r="Q2055" s="6" t="str">
        <f>IF($K2055="","",IF(ISNUMBER(SEARCH("transfert-interne",IFERROR(INDEX('Paramètres'!$N:$N,MATCH($D2055,'Paramètres'!$M:$M,0))&amp;"",""))),0,IF($L2055="Débit",$K2055,IF($P2055=1,-$K2055,0))))</f>
        <v/>
      </c>
      <c r="R2055" s="6" t="str">
        <f>IF($K2055="","",IF($L2055="Crédit",$K2055,-$K2055))</f>
        <v/>
      </c>
      <c r="S2055" s="6" t="str">
        <f>IF($C2055="","",IFERROR(INDEX('Paramètres'!$H:$H,MATCH($C2055,'Paramètres'!$D:$D,0))&amp;"",""))</f>
        <v/>
      </c>
      <c r="T2055" s="6" t="str">
        <f>IF($K2055="","",IF($S2055="",0,IF(ISNUMBER(SEARCH("apport-exterieur",IFERROR(INDEX('Paramètres'!$N:$N,MATCH($D2055,'Paramètres'!$M:$M,0))&amp;"",""))),0,IF(OR(IFERROR(INDEX('Paramètres'!$I:$I,MATCH($C2055,'Paramètres'!$D:$D,0))&amp;"","")="Les deux",IFERROR(INDEX('Paramètres'!$I:$I,MATCH($C2055,'Paramètres'!$D:$D,0))&amp;"","")=IF($P2055=1,"Débit",$L2055)),-IF($P2055=1,-$K2055,$K2055),0))))</f>
        <v/>
      </c>
      <c r="U2055" s="6" t="str">
        <f>IF($K2055="","",IF(ISNUMBER(SEARCH("sortie-epargne",IFERROR(INDEX('Paramètres'!$N:$N,MATCH($D2055,'Paramètres'!$M:$M,0))&amp;"",""))),$K2055,0))</f>
        <v/>
      </c>
      <c r="V2055" s="6" t="str">
        <f>IF(AND($A2055&lt;&gt;"",$O2055=1,$L2055="Débit",N($Q2055)&gt;0,$A2055&gt;=Visualisation!$B$1,$A2055&lt;Visualisation!$D$1),MAX($V$1:V2054)+1,"")</f>
        <v/>
      </c>
    </row>
    <row r="2056" spans="1:22" x14ac:dyDescent="0.25">
      <c r="A2056" s="9"/>
      <c r="E2056" s="10"/>
      <c r="K2056" s="11" t="str">
        <f>IF($E2056="","",ROUND($E2056*IF(ISNA(MATCH($C2056,'Paramètres'!$D:$D,0)),1,IF(INDEX('Paramètres'!$J:$J,MATCH($C2056,'Paramètres'!$D:$D,0))="",1,INDEX('Paramètres'!$J:$J,MATCH($C2056,'Paramètres'!$D:$D,0)))),2))</f>
        <v/>
      </c>
      <c r="L2056" s="6" t="str">
        <f>IF($D2056="","",IF($F2056&lt;&gt;"",$F2056,IF(ISNA(MATCH($D2056,'Paramètres'!$M:$M,0)),"⚠ Type inconnu",IFERROR(INDEX('Paramètres'!$P:$P,MATCH($D2056,'Paramètres'!$M:$M,0))&amp;"",""))))</f>
        <v/>
      </c>
      <c r="M2056" s="6" t="str">
        <f>IF($D2056="","",IF(ISNA(MATCH($D2056,'Paramètres'!$M:$M,0)),"⚠ Type inconnu",IF($L2056="Crédit","",IFERROR(INDEX('Paramètres'!$O:$O,MATCH($D2056,'Paramètres'!$M:$M,0))&amp;"",""))))</f>
        <v/>
      </c>
      <c r="N2056" s="6" t="str">
        <f>IF($D2056="","",IFERROR(INDEX('Paramètres'!$Q:$Q,MATCH($D2056,'Paramètres'!$M:$M,0))&amp;"",""))</f>
        <v/>
      </c>
      <c r="O2056" s="6" t="str">
        <f>IF($A2056="","",IF(OR($J2056&lt;&gt;"x",$A2056&lt;=FinReleve),1,0))</f>
        <v/>
      </c>
      <c r="P2056" s="6" t="str">
        <f>IF($D2056="","",IF(AND($L2056="Crédit",OR(IFERROR(INDEX('Paramètres'!$O:$O,MATCH($D2056,'Paramètres'!$M:$M,0))&amp;"","")&lt;&gt;"",ISNUMBER(SEARCH("remboursement",IFERROR(INDEX('Paramètres'!$N:$N,MATCH($D2056,'Paramètres'!$M:$M,0))&amp;"",""))))),1,0))</f>
        <v/>
      </c>
      <c r="Q2056" s="6" t="str">
        <f>IF($K2056="","",IF(ISNUMBER(SEARCH("transfert-interne",IFERROR(INDEX('Paramètres'!$N:$N,MATCH($D2056,'Paramètres'!$M:$M,0))&amp;"",""))),0,IF($L2056="Débit",$K2056,IF($P2056=1,-$K2056,0))))</f>
        <v/>
      </c>
      <c r="R2056" s="6" t="str">
        <f>IF($K2056="","",IF($L2056="Crédit",$K2056,-$K2056))</f>
        <v/>
      </c>
      <c r="S2056" s="6" t="str">
        <f>IF($C2056="","",IFERROR(INDEX('Paramètres'!$H:$H,MATCH($C2056,'Paramètres'!$D:$D,0))&amp;"",""))</f>
        <v/>
      </c>
      <c r="T2056" s="6" t="str">
        <f>IF($K2056="","",IF($S2056="",0,IF(ISNUMBER(SEARCH("apport-exterieur",IFERROR(INDEX('Paramètres'!$N:$N,MATCH($D2056,'Paramètres'!$M:$M,0))&amp;"",""))),0,IF(OR(IFERROR(INDEX('Paramètres'!$I:$I,MATCH($C2056,'Paramètres'!$D:$D,0))&amp;"","")="Les deux",IFERROR(INDEX('Paramètres'!$I:$I,MATCH($C2056,'Paramètres'!$D:$D,0))&amp;"","")=IF($P2056=1,"Débit",$L2056)),-IF($P2056=1,-$K2056,$K2056),0))))</f>
        <v/>
      </c>
      <c r="U2056" s="6" t="str">
        <f>IF($K2056="","",IF(ISNUMBER(SEARCH("sortie-epargne",IFERROR(INDEX('Paramètres'!$N:$N,MATCH($D2056,'Paramètres'!$M:$M,0))&amp;"",""))),$K2056,0))</f>
        <v/>
      </c>
      <c r="V2056" s="6" t="str">
        <f>IF(AND($A2056&lt;&gt;"",$O2056=1,$L2056="Débit",N($Q2056)&gt;0,$A2056&gt;=Visualisation!$B$1,$A2056&lt;Visualisation!$D$1),MAX($V$1:V2055)+1,"")</f>
        <v/>
      </c>
    </row>
    <row r="2057" spans="1:22" x14ac:dyDescent="0.25">
      <c r="A2057" s="9"/>
      <c r="E2057" s="10"/>
      <c r="K2057" s="11" t="str">
        <f>IF($E2057="","",ROUND($E2057*IF(ISNA(MATCH($C2057,'Paramètres'!$D:$D,0)),1,IF(INDEX('Paramètres'!$J:$J,MATCH($C2057,'Paramètres'!$D:$D,0))="",1,INDEX('Paramètres'!$J:$J,MATCH($C2057,'Paramètres'!$D:$D,0)))),2))</f>
        <v/>
      </c>
      <c r="L2057" s="6" t="str">
        <f>IF($D2057="","",IF($F2057&lt;&gt;"",$F2057,IF(ISNA(MATCH($D2057,'Paramètres'!$M:$M,0)),"⚠ Type inconnu",IFERROR(INDEX('Paramètres'!$P:$P,MATCH($D2057,'Paramètres'!$M:$M,0))&amp;"",""))))</f>
        <v/>
      </c>
      <c r="M2057" s="6" t="str">
        <f>IF($D2057="","",IF(ISNA(MATCH($D2057,'Paramètres'!$M:$M,0)),"⚠ Type inconnu",IF($L2057="Crédit","",IFERROR(INDEX('Paramètres'!$O:$O,MATCH($D2057,'Paramètres'!$M:$M,0))&amp;"",""))))</f>
        <v/>
      </c>
      <c r="N2057" s="6" t="str">
        <f>IF($D2057="","",IFERROR(INDEX('Paramètres'!$Q:$Q,MATCH($D2057,'Paramètres'!$M:$M,0))&amp;"",""))</f>
        <v/>
      </c>
      <c r="O2057" s="6" t="str">
        <f>IF($A2057="","",IF(OR($J2057&lt;&gt;"x",$A2057&lt;=FinReleve),1,0))</f>
        <v/>
      </c>
      <c r="P2057" s="6" t="str">
        <f>IF($D2057="","",IF(AND($L2057="Crédit",OR(IFERROR(INDEX('Paramètres'!$O:$O,MATCH($D2057,'Paramètres'!$M:$M,0))&amp;"","")&lt;&gt;"",ISNUMBER(SEARCH("remboursement",IFERROR(INDEX('Paramètres'!$N:$N,MATCH($D2057,'Paramètres'!$M:$M,0))&amp;"",""))))),1,0))</f>
        <v/>
      </c>
      <c r="Q2057" s="6" t="str">
        <f>IF($K2057="","",IF(ISNUMBER(SEARCH("transfert-interne",IFERROR(INDEX('Paramètres'!$N:$N,MATCH($D2057,'Paramètres'!$M:$M,0))&amp;"",""))),0,IF($L2057="Débit",$K2057,IF($P2057=1,-$K2057,0))))</f>
        <v/>
      </c>
      <c r="R2057" s="6" t="str">
        <f>IF($K2057="","",IF($L2057="Crédit",$K2057,-$K2057))</f>
        <v/>
      </c>
      <c r="S2057" s="6" t="str">
        <f>IF($C2057="","",IFERROR(INDEX('Paramètres'!$H:$H,MATCH($C2057,'Paramètres'!$D:$D,0))&amp;"",""))</f>
        <v/>
      </c>
      <c r="T2057" s="6" t="str">
        <f>IF($K2057="","",IF($S2057="",0,IF(ISNUMBER(SEARCH("apport-exterieur",IFERROR(INDEX('Paramètres'!$N:$N,MATCH($D2057,'Paramètres'!$M:$M,0))&amp;"",""))),0,IF(OR(IFERROR(INDEX('Paramètres'!$I:$I,MATCH($C2057,'Paramètres'!$D:$D,0))&amp;"","")="Les deux",IFERROR(INDEX('Paramètres'!$I:$I,MATCH($C2057,'Paramètres'!$D:$D,0))&amp;"","")=IF($P2057=1,"Débit",$L2057)),-IF($P2057=1,-$K2057,$K2057),0))))</f>
        <v/>
      </c>
      <c r="U2057" s="6" t="str">
        <f>IF($K2057="","",IF(ISNUMBER(SEARCH("sortie-epargne",IFERROR(INDEX('Paramètres'!$N:$N,MATCH($D2057,'Paramètres'!$M:$M,0))&amp;"",""))),$K2057,0))</f>
        <v/>
      </c>
      <c r="V2057" s="6" t="str">
        <f>IF(AND($A2057&lt;&gt;"",$O2057=1,$L2057="Débit",N($Q2057)&gt;0,$A2057&gt;=Visualisation!$B$1,$A2057&lt;Visualisation!$D$1),MAX($V$1:V2056)+1,"")</f>
        <v/>
      </c>
    </row>
    <row r="2058" spans="1:22" x14ac:dyDescent="0.25">
      <c r="A2058" s="9"/>
      <c r="E2058" s="10"/>
      <c r="K2058" s="11" t="str">
        <f>IF($E2058="","",ROUND($E2058*IF(ISNA(MATCH($C2058,'Paramètres'!$D:$D,0)),1,IF(INDEX('Paramètres'!$J:$J,MATCH($C2058,'Paramètres'!$D:$D,0))="",1,INDEX('Paramètres'!$J:$J,MATCH($C2058,'Paramètres'!$D:$D,0)))),2))</f>
        <v/>
      </c>
      <c r="L2058" s="6" t="str">
        <f>IF($D2058="","",IF($F2058&lt;&gt;"",$F2058,IF(ISNA(MATCH($D2058,'Paramètres'!$M:$M,0)),"⚠ Type inconnu",IFERROR(INDEX('Paramètres'!$P:$P,MATCH($D2058,'Paramètres'!$M:$M,0))&amp;"",""))))</f>
        <v/>
      </c>
      <c r="M2058" s="6" t="str">
        <f>IF($D2058="","",IF(ISNA(MATCH($D2058,'Paramètres'!$M:$M,0)),"⚠ Type inconnu",IF($L2058="Crédit","",IFERROR(INDEX('Paramètres'!$O:$O,MATCH($D2058,'Paramètres'!$M:$M,0))&amp;"",""))))</f>
        <v/>
      </c>
      <c r="N2058" s="6" t="str">
        <f>IF($D2058="","",IFERROR(INDEX('Paramètres'!$Q:$Q,MATCH($D2058,'Paramètres'!$M:$M,0))&amp;"",""))</f>
        <v/>
      </c>
      <c r="O2058" s="6" t="str">
        <f>IF($A2058="","",IF(OR($J2058&lt;&gt;"x",$A2058&lt;=FinReleve),1,0))</f>
        <v/>
      </c>
      <c r="P2058" s="6" t="str">
        <f>IF($D2058="","",IF(AND($L2058="Crédit",OR(IFERROR(INDEX('Paramètres'!$O:$O,MATCH($D2058,'Paramètres'!$M:$M,0))&amp;"","")&lt;&gt;"",ISNUMBER(SEARCH("remboursement",IFERROR(INDEX('Paramètres'!$N:$N,MATCH($D2058,'Paramètres'!$M:$M,0))&amp;"",""))))),1,0))</f>
        <v/>
      </c>
      <c r="Q2058" s="6" t="str">
        <f>IF($K2058="","",IF(ISNUMBER(SEARCH("transfert-interne",IFERROR(INDEX('Paramètres'!$N:$N,MATCH($D2058,'Paramètres'!$M:$M,0))&amp;"",""))),0,IF($L2058="Débit",$K2058,IF($P2058=1,-$K2058,0))))</f>
        <v/>
      </c>
      <c r="R2058" s="6" t="str">
        <f>IF($K2058="","",IF($L2058="Crédit",$K2058,-$K2058))</f>
        <v/>
      </c>
      <c r="S2058" s="6" t="str">
        <f>IF($C2058="","",IFERROR(INDEX('Paramètres'!$H:$H,MATCH($C2058,'Paramètres'!$D:$D,0))&amp;"",""))</f>
        <v/>
      </c>
      <c r="T2058" s="6" t="str">
        <f>IF($K2058="","",IF($S2058="",0,IF(ISNUMBER(SEARCH("apport-exterieur",IFERROR(INDEX('Paramètres'!$N:$N,MATCH($D2058,'Paramètres'!$M:$M,0))&amp;"",""))),0,IF(OR(IFERROR(INDEX('Paramètres'!$I:$I,MATCH($C2058,'Paramètres'!$D:$D,0))&amp;"","")="Les deux",IFERROR(INDEX('Paramètres'!$I:$I,MATCH($C2058,'Paramètres'!$D:$D,0))&amp;"","")=IF($P2058=1,"Débit",$L2058)),-IF($P2058=1,-$K2058,$K2058),0))))</f>
        <v/>
      </c>
      <c r="U2058" s="6" t="str">
        <f>IF($K2058="","",IF(ISNUMBER(SEARCH("sortie-epargne",IFERROR(INDEX('Paramètres'!$N:$N,MATCH($D2058,'Paramètres'!$M:$M,0))&amp;"",""))),$K2058,0))</f>
        <v/>
      </c>
      <c r="V2058" s="6" t="str">
        <f>IF(AND($A2058&lt;&gt;"",$O2058=1,$L2058="Débit",N($Q2058)&gt;0,$A2058&gt;=Visualisation!$B$1,$A2058&lt;Visualisation!$D$1),MAX($V$1:V2057)+1,"")</f>
        <v/>
      </c>
    </row>
    <row r="2059" spans="1:22" x14ac:dyDescent="0.25">
      <c r="A2059" s="9"/>
      <c r="E2059" s="10"/>
      <c r="K2059" s="11" t="str">
        <f>IF($E2059="","",ROUND($E2059*IF(ISNA(MATCH($C2059,'Paramètres'!$D:$D,0)),1,IF(INDEX('Paramètres'!$J:$J,MATCH($C2059,'Paramètres'!$D:$D,0))="",1,INDEX('Paramètres'!$J:$J,MATCH($C2059,'Paramètres'!$D:$D,0)))),2))</f>
        <v/>
      </c>
      <c r="L2059" s="6" t="str">
        <f>IF($D2059="","",IF($F2059&lt;&gt;"",$F2059,IF(ISNA(MATCH($D2059,'Paramètres'!$M:$M,0)),"⚠ Type inconnu",IFERROR(INDEX('Paramètres'!$P:$P,MATCH($D2059,'Paramètres'!$M:$M,0))&amp;"",""))))</f>
        <v/>
      </c>
      <c r="M2059" s="6" t="str">
        <f>IF($D2059="","",IF(ISNA(MATCH($D2059,'Paramètres'!$M:$M,0)),"⚠ Type inconnu",IF($L2059="Crédit","",IFERROR(INDEX('Paramètres'!$O:$O,MATCH($D2059,'Paramètres'!$M:$M,0))&amp;"",""))))</f>
        <v/>
      </c>
      <c r="N2059" s="6" t="str">
        <f>IF($D2059="","",IFERROR(INDEX('Paramètres'!$Q:$Q,MATCH($D2059,'Paramètres'!$M:$M,0))&amp;"",""))</f>
        <v/>
      </c>
      <c r="O2059" s="6" t="str">
        <f>IF($A2059="","",IF(OR($J2059&lt;&gt;"x",$A2059&lt;=FinReleve),1,0))</f>
        <v/>
      </c>
      <c r="P2059" s="6" t="str">
        <f>IF($D2059="","",IF(AND($L2059="Crédit",OR(IFERROR(INDEX('Paramètres'!$O:$O,MATCH($D2059,'Paramètres'!$M:$M,0))&amp;"","")&lt;&gt;"",ISNUMBER(SEARCH("remboursement",IFERROR(INDEX('Paramètres'!$N:$N,MATCH($D2059,'Paramètres'!$M:$M,0))&amp;"",""))))),1,0))</f>
        <v/>
      </c>
      <c r="Q2059" s="6" t="str">
        <f>IF($K2059="","",IF(ISNUMBER(SEARCH("transfert-interne",IFERROR(INDEX('Paramètres'!$N:$N,MATCH($D2059,'Paramètres'!$M:$M,0))&amp;"",""))),0,IF($L2059="Débit",$K2059,IF($P2059=1,-$K2059,0))))</f>
        <v/>
      </c>
      <c r="R2059" s="6" t="str">
        <f>IF($K2059="","",IF($L2059="Crédit",$K2059,-$K2059))</f>
        <v/>
      </c>
      <c r="S2059" s="6" t="str">
        <f>IF($C2059="","",IFERROR(INDEX('Paramètres'!$H:$H,MATCH($C2059,'Paramètres'!$D:$D,0))&amp;"",""))</f>
        <v/>
      </c>
      <c r="T2059" s="6" t="str">
        <f>IF($K2059="","",IF($S2059="",0,IF(ISNUMBER(SEARCH("apport-exterieur",IFERROR(INDEX('Paramètres'!$N:$N,MATCH($D2059,'Paramètres'!$M:$M,0))&amp;"",""))),0,IF(OR(IFERROR(INDEX('Paramètres'!$I:$I,MATCH($C2059,'Paramètres'!$D:$D,0))&amp;"","")="Les deux",IFERROR(INDEX('Paramètres'!$I:$I,MATCH($C2059,'Paramètres'!$D:$D,0))&amp;"","")=IF($P2059=1,"Débit",$L2059)),-IF($P2059=1,-$K2059,$K2059),0))))</f>
        <v/>
      </c>
      <c r="U2059" s="6" t="str">
        <f>IF($K2059="","",IF(ISNUMBER(SEARCH("sortie-epargne",IFERROR(INDEX('Paramètres'!$N:$N,MATCH($D2059,'Paramètres'!$M:$M,0))&amp;"",""))),$K2059,0))</f>
        <v/>
      </c>
      <c r="V2059" s="6" t="str">
        <f>IF(AND($A2059&lt;&gt;"",$O2059=1,$L2059="Débit",N($Q2059)&gt;0,$A2059&gt;=Visualisation!$B$1,$A2059&lt;Visualisation!$D$1),MAX($V$1:V2058)+1,"")</f>
        <v/>
      </c>
    </row>
    <row r="2060" spans="1:22" x14ac:dyDescent="0.25">
      <c r="A2060" s="9"/>
      <c r="E2060" s="10"/>
      <c r="K2060" s="11" t="str">
        <f>IF($E2060="","",ROUND($E2060*IF(ISNA(MATCH($C2060,'Paramètres'!$D:$D,0)),1,IF(INDEX('Paramètres'!$J:$J,MATCH($C2060,'Paramètres'!$D:$D,0))="",1,INDEX('Paramètres'!$J:$J,MATCH($C2060,'Paramètres'!$D:$D,0)))),2))</f>
        <v/>
      </c>
      <c r="L2060" s="6" t="str">
        <f>IF($D2060="","",IF($F2060&lt;&gt;"",$F2060,IF(ISNA(MATCH($D2060,'Paramètres'!$M:$M,0)),"⚠ Type inconnu",IFERROR(INDEX('Paramètres'!$P:$P,MATCH($D2060,'Paramètres'!$M:$M,0))&amp;"",""))))</f>
        <v/>
      </c>
      <c r="M2060" s="6" t="str">
        <f>IF($D2060="","",IF(ISNA(MATCH($D2060,'Paramètres'!$M:$M,0)),"⚠ Type inconnu",IF($L2060="Crédit","",IFERROR(INDEX('Paramètres'!$O:$O,MATCH($D2060,'Paramètres'!$M:$M,0))&amp;"",""))))</f>
        <v/>
      </c>
      <c r="N2060" s="6" t="str">
        <f>IF($D2060="","",IFERROR(INDEX('Paramètres'!$Q:$Q,MATCH($D2060,'Paramètres'!$M:$M,0))&amp;"",""))</f>
        <v/>
      </c>
      <c r="O2060" s="6" t="str">
        <f>IF($A2060="","",IF(OR($J2060&lt;&gt;"x",$A2060&lt;=FinReleve),1,0))</f>
        <v/>
      </c>
      <c r="P2060" s="6" t="str">
        <f>IF($D2060="","",IF(AND($L2060="Crédit",OR(IFERROR(INDEX('Paramètres'!$O:$O,MATCH($D2060,'Paramètres'!$M:$M,0))&amp;"","")&lt;&gt;"",ISNUMBER(SEARCH("remboursement",IFERROR(INDEX('Paramètres'!$N:$N,MATCH($D2060,'Paramètres'!$M:$M,0))&amp;"",""))))),1,0))</f>
        <v/>
      </c>
      <c r="Q2060" s="6" t="str">
        <f>IF($K2060="","",IF(ISNUMBER(SEARCH("transfert-interne",IFERROR(INDEX('Paramètres'!$N:$N,MATCH($D2060,'Paramètres'!$M:$M,0))&amp;"",""))),0,IF($L2060="Débit",$K2060,IF($P2060=1,-$K2060,0))))</f>
        <v/>
      </c>
      <c r="R2060" s="6" t="str">
        <f>IF($K2060="","",IF($L2060="Crédit",$K2060,-$K2060))</f>
        <v/>
      </c>
      <c r="S2060" s="6" t="str">
        <f>IF($C2060="","",IFERROR(INDEX('Paramètres'!$H:$H,MATCH($C2060,'Paramètres'!$D:$D,0))&amp;"",""))</f>
        <v/>
      </c>
      <c r="T2060" s="6" t="str">
        <f>IF($K2060="","",IF($S2060="",0,IF(ISNUMBER(SEARCH("apport-exterieur",IFERROR(INDEX('Paramètres'!$N:$N,MATCH($D2060,'Paramètres'!$M:$M,0))&amp;"",""))),0,IF(OR(IFERROR(INDEX('Paramètres'!$I:$I,MATCH($C2060,'Paramètres'!$D:$D,0))&amp;"","")="Les deux",IFERROR(INDEX('Paramètres'!$I:$I,MATCH($C2060,'Paramètres'!$D:$D,0))&amp;"","")=IF($P2060=1,"Débit",$L2060)),-IF($P2060=1,-$K2060,$K2060),0))))</f>
        <v/>
      </c>
      <c r="U2060" s="6" t="str">
        <f>IF($K2060="","",IF(ISNUMBER(SEARCH("sortie-epargne",IFERROR(INDEX('Paramètres'!$N:$N,MATCH($D2060,'Paramètres'!$M:$M,0))&amp;"",""))),$K2060,0))</f>
        <v/>
      </c>
      <c r="V2060" s="6" t="str">
        <f>IF(AND($A2060&lt;&gt;"",$O2060=1,$L2060="Débit",N($Q2060)&gt;0,$A2060&gt;=Visualisation!$B$1,$A2060&lt;Visualisation!$D$1),MAX($V$1:V2059)+1,"")</f>
        <v/>
      </c>
    </row>
    <row r="2061" spans="1:22" x14ac:dyDescent="0.25">
      <c r="A2061" s="9"/>
      <c r="E2061" s="10"/>
      <c r="K2061" s="11" t="str">
        <f>IF($E2061="","",ROUND($E2061*IF(ISNA(MATCH($C2061,'Paramètres'!$D:$D,0)),1,IF(INDEX('Paramètres'!$J:$J,MATCH($C2061,'Paramètres'!$D:$D,0))="",1,INDEX('Paramètres'!$J:$J,MATCH($C2061,'Paramètres'!$D:$D,0)))),2))</f>
        <v/>
      </c>
      <c r="L2061" s="6" t="str">
        <f>IF($D2061="","",IF($F2061&lt;&gt;"",$F2061,IF(ISNA(MATCH($D2061,'Paramètres'!$M:$M,0)),"⚠ Type inconnu",IFERROR(INDEX('Paramètres'!$P:$P,MATCH($D2061,'Paramètres'!$M:$M,0))&amp;"",""))))</f>
        <v/>
      </c>
      <c r="M2061" s="6" t="str">
        <f>IF($D2061="","",IF(ISNA(MATCH($D2061,'Paramètres'!$M:$M,0)),"⚠ Type inconnu",IF($L2061="Crédit","",IFERROR(INDEX('Paramètres'!$O:$O,MATCH($D2061,'Paramètres'!$M:$M,0))&amp;"",""))))</f>
        <v/>
      </c>
      <c r="N2061" s="6" t="str">
        <f>IF($D2061="","",IFERROR(INDEX('Paramètres'!$Q:$Q,MATCH($D2061,'Paramètres'!$M:$M,0))&amp;"",""))</f>
        <v/>
      </c>
      <c r="O2061" s="6" t="str">
        <f>IF($A2061="","",IF(OR($J2061&lt;&gt;"x",$A2061&lt;=FinReleve),1,0))</f>
        <v/>
      </c>
      <c r="P2061" s="6" t="str">
        <f>IF($D2061="","",IF(AND($L2061="Crédit",OR(IFERROR(INDEX('Paramètres'!$O:$O,MATCH($D2061,'Paramètres'!$M:$M,0))&amp;"","")&lt;&gt;"",ISNUMBER(SEARCH("remboursement",IFERROR(INDEX('Paramètres'!$N:$N,MATCH($D2061,'Paramètres'!$M:$M,0))&amp;"",""))))),1,0))</f>
        <v/>
      </c>
      <c r="Q2061" s="6" t="str">
        <f>IF($K2061="","",IF(ISNUMBER(SEARCH("transfert-interne",IFERROR(INDEX('Paramètres'!$N:$N,MATCH($D2061,'Paramètres'!$M:$M,0))&amp;"",""))),0,IF($L2061="Débit",$K2061,IF($P2061=1,-$K2061,0))))</f>
        <v/>
      </c>
      <c r="R2061" s="6" t="str">
        <f>IF($K2061="","",IF($L2061="Crédit",$K2061,-$K2061))</f>
        <v/>
      </c>
      <c r="S2061" s="6" t="str">
        <f>IF($C2061="","",IFERROR(INDEX('Paramètres'!$H:$H,MATCH($C2061,'Paramètres'!$D:$D,0))&amp;"",""))</f>
        <v/>
      </c>
      <c r="T2061" s="6" t="str">
        <f>IF($K2061="","",IF($S2061="",0,IF(ISNUMBER(SEARCH("apport-exterieur",IFERROR(INDEX('Paramètres'!$N:$N,MATCH($D2061,'Paramètres'!$M:$M,0))&amp;"",""))),0,IF(OR(IFERROR(INDEX('Paramètres'!$I:$I,MATCH($C2061,'Paramètres'!$D:$D,0))&amp;"","")="Les deux",IFERROR(INDEX('Paramètres'!$I:$I,MATCH($C2061,'Paramètres'!$D:$D,0))&amp;"","")=IF($P2061=1,"Débit",$L2061)),-IF($P2061=1,-$K2061,$K2061),0))))</f>
        <v/>
      </c>
      <c r="U2061" s="6" t="str">
        <f>IF($K2061="","",IF(ISNUMBER(SEARCH("sortie-epargne",IFERROR(INDEX('Paramètres'!$N:$N,MATCH($D2061,'Paramètres'!$M:$M,0))&amp;"",""))),$K2061,0))</f>
        <v/>
      </c>
      <c r="V2061" s="6" t="str">
        <f>IF(AND($A2061&lt;&gt;"",$O2061=1,$L2061="Débit",N($Q2061)&gt;0,$A2061&gt;=Visualisation!$B$1,$A2061&lt;Visualisation!$D$1),MAX($V$1:V2060)+1,"")</f>
        <v/>
      </c>
    </row>
    <row r="2062" spans="1:22" x14ac:dyDescent="0.25">
      <c r="A2062" s="9"/>
      <c r="E2062" s="10"/>
      <c r="K2062" s="11" t="str">
        <f>IF($E2062="","",ROUND($E2062*IF(ISNA(MATCH($C2062,'Paramètres'!$D:$D,0)),1,IF(INDEX('Paramètres'!$J:$J,MATCH($C2062,'Paramètres'!$D:$D,0))="",1,INDEX('Paramètres'!$J:$J,MATCH($C2062,'Paramètres'!$D:$D,0)))),2))</f>
        <v/>
      </c>
      <c r="L2062" s="6" t="str">
        <f>IF($D2062="","",IF($F2062&lt;&gt;"",$F2062,IF(ISNA(MATCH($D2062,'Paramètres'!$M:$M,0)),"⚠ Type inconnu",IFERROR(INDEX('Paramètres'!$P:$P,MATCH($D2062,'Paramètres'!$M:$M,0))&amp;"",""))))</f>
        <v/>
      </c>
      <c r="M2062" s="6" t="str">
        <f>IF($D2062="","",IF(ISNA(MATCH($D2062,'Paramètres'!$M:$M,0)),"⚠ Type inconnu",IF($L2062="Crédit","",IFERROR(INDEX('Paramètres'!$O:$O,MATCH($D2062,'Paramètres'!$M:$M,0))&amp;"",""))))</f>
        <v/>
      </c>
      <c r="N2062" s="6" t="str">
        <f>IF($D2062="","",IFERROR(INDEX('Paramètres'!$Q:$Q,MATCH($D2062,'Paramètres'!$M:$M,0))&amp;"",""))</f>
        <v/>
      </c>
      <c r="O2062" s="6" t="str">
        <f>IF($A2062="","",IF(OR($J2062&lt;&gt;"x",$A2062&lt;=FinReleve),1,0))</f>
        <v/>
      </c>
      <c r="P2062" s="6" t="str">
        <f>IF($D2062="","",IF(AND($L2062="Crédit",OR(IFERROR(INDEX('Paramètres'!$O:$O,MATCH($D2062,'Paramètres'!$M:$M,0))&amp;"","")&lt;&gt;"",ISNUMBER(SEARCH("remboursement",IFERROR(INDEX('Paramètres'!$N:$N,MATCH($D2062,'Paramètres'!$M:$M,0))&amp;"",""))))),1,0))</f>
        <v/>
      </c>
      <c r="Q2062" s="6" t="str">
        <f>IF($K2062="","",IF(ISNUMBER(SEARCH("transfert-interne",IFERROR(INDEX('Paramètres'!$N:$N,MATCH($D2062,'Paramètres'!$M:$M,0))&amp;"",""))),0,IF($L2062="Débit",$K2062,IF($P2062=1,-$K2062,0))))</f>
        <v/>
      </c>
      <c r="R2062" s="6" t="str">
        <f>IF($K2062="","",IF($L2062="Crédit",$K2062,-$K2062))</f>
        <v/>
      </c>
      <c r="S2062" s="6" t="str">
        <f>IF($C2062="","",IFERROR(INDEX('Paramètres'!$H:$H,MATCH($C2062,'Paramètres'!$D:$D,0))&amp;"",""))</f>
        <v/>
      </c>
      <c r="T2062" s="6" t="str">
        <f>IF($K2062="","",IF($S2062="",0,IF(ISNUMBER(SEARCH("apport-exterieur",IFERROR(INDEX('Paramètres'!$N:$N,MATCH($D2062,'Paramètres'!$M:$M,0))&amp;"",""))),0,IF(OR(IFERROR(INDEX('Paramètres'!$I:$I,MATCH($C2062,'Paramètres'!$D:$D,0))&amp;"","")="Les deux",IFERROR(INDEX('Paramètres'!$I:$I,MATCH($C2062,'Paramètres'!$D:$D,0))&amp;"","")=IF($P2062=1,"Débit",$L2062)),-IF($P2062=1,-$K2062,$K2062),0))))</f>
        <v/>
      </c>
      <c r="U2062" s="6" t="str">
        <f>IF($K2062="","",IF(ISNUMBER(SEARCH("sortie-epargne",IFERROR(INDEX('Paramètres'!$N:$N,MATCH($D2062,'Paramètres'!$M:$M,0))&amp;"",""))),$K2062,0))</f>
        <v/>
      </c>
      <c r="V2062" s="6" t="str">
        <f>IF(AND($A2062&lt;&gt;"",$O2062=1,$L2062="Débit",N($Q2062)&gt;0,$A2062&gt;=Visualisation!$B$1,$A2062&lt;Visualisation!$D$1),MAX($V$1:V2061)+1,"")</f>
        <v/>
      </c>
    </row>
    <row r="2063" spans="1:22" x14ac:dyDescent="0.25">
      <c r="A2063" s="9"/>
      <c r="E2063" s="10"/>
      <c r="K2063" s="11" t="str">
        <f>IF($E2063="","",ROUND($E2063*IF(ISNA(MATCH($C2063,'Paramètres'!$D:$D,0)),1,IF(INDEX('Paramètres'!$J:$J,MATCH($C2063,'Paramètres'!$D:$D,0))="",1,INDEX('Paramètres'!$J:$J,MATCH($C2063,'Paramètres'!$D:$D,0)))),2))</f>
        <v/>
      </c>
      <c r="L2063" s="6" t="str">
        <f>IF($D2063="","",IF($F2063&lt;&gt;"",$F2063,IF(ISNA(MATCH($D2063,'Paramètres'!$M:$M,0)),"⚠ Type inconnu",IFERROR(INDEX('Paramètres'!$P:$P,MATCH($D2063,'Paramètres'!$M:$M,0))&amp;"",""))))</f>
        <v/>
      </c>
      <c r="M2063" s="6" t="str">
        <f>IF($D2063="","",IF(ISNA(MATCH($D2063,'Paramètres'!$M:$M,0)),"⚠ Type inconnu",IF($L2063="Crédit","",IFERROR(INDEX('Paramètres'!$O:$O,MATCH($D2063,'Paramètres'!$M:$M,0))&amp;"",""))))</f>
        <v/>
      </c>
      <c r="N2063" s="6" t="str">
        <f>IF($D2063="","",IFERROR(INDEX('Paramètres'!$Q:$Q,MATCH($D2063,'Paramètres'!$M:$M,0))&amp;"",""))</f>
        <v/>
      </c>
      <c r="O2063" s="6" t="str">
        <f>IF($A2063="","",IF(OR($J2063&lt;&gt;"x",$A2063&lt;=FinReleve),1,0))</f>
        <v/>
      </c>
      <c r="P2063" s="6" t="str">
        <f>IF($D2063="","",IF(AND($L2063="Crédit",OR(IFERROR(INDEX('Paramètres'!$O:$O,MATCH($D2063,'Paramètres'!$M:$M,0))&amp;"","")&lt;&gt;"",ISNUMBER(SEARCH("remboursement",IFERROR(INDEX('Paramètres'!$N:$N,MATCH($D2063,'Paramètres'!$M:$M,0))&amp;"",""))))),1,0))</f>
        <v/>
      </c>
      <c r="Q2063" s="6" t="str">
        <f>IF($K2063="","",IF(ISNUMBER(SEARCH("transfert-interne",IFERROR(INDEX('Paramètres'!$N:$N,MATCH($D2063,'Paramètres'!$M:$M,0))&amp;"",""))),0,IF($L2063="Débit",$K2063,IF($P2063=1,-$K2063,0))))</f>
        <v/>
      </c>
      <c r="R2063" s="6" t="str">
        <f>IF($K2063="","",IF($L2063="Crédit",$K2063,-$K2063))</f>
        <v/>
      </c>
      <c r="S2063" s="6" t="str">
        <f>IF($C2063="","",IFERROR(INDEX('Paramètres'!$H:$H,MATCH($C2063,'Paramètres'!$D:$D,0))&amp;"",""))</f>
        <v/>
      </c>
      <c r="T2063" s="6" t="str">
        <f>IF($K2063="","",IF($S2063="",0,IF(ISNUMBER(SEARCH("apport-exterieur",IFERROR(INDEX('Paramètres'!$N:$N,MATCH($D2063,'Paramètres'!$M:$M,0))&amp;"",""))),0,IF(OR(IFERROR(INDEX('Paramètres'!$I:$I,MATCH($C2063,'Paramètres'!$D:$D,0))&amp;"","")="Les deux",IFERROR(INDEX('Paramètres'!$I:$I,MATCH($C2063,'Paramètres'!$D:$D,0))&amp;"","")=IF($P2063=1,"Débit",$L2063)),-IF($P2063=1,-$K2063,$K2063),0))))</f>
        <v/>
      </c>
      <c r="U2063" s="6" t="str">
        <f>IF($K2063="","",IF(ISNUMBER(SEARCH("sortie-epargne",IFERROR(INDEX('Paramètres'!$N:$N,MATCH($D2063,'Paramètres'!$M:$M,0))&amp;"",""))),$K2063,0))</f>
        <v/>
      </c>
      <c r="V2063" s="6" t="str">
        <f>IF(AND($A2063&lt;&gt;"",$O2063=1,$L2063="Débit",N($Q2063)&gt;0,$A2063&gt;=Visualisation!$B$1,$A2063&lt;Visualisation!$D$1),MAX($V$1:V2062)+1,"")</f>
        <v/>
      </c>
    </row>
    <row r="2064" spans="1:22" x14ac:dyDescent="0.25">
      <c r="A2064" s="9"/>
      <c r="E2064" s="10"/>
      <c r="K2064" s="11" t="str">
        <f>IF($E2064="","",ROUND($E2064*IF(ISNA(MATCH($C2064,'Paramètres'!$D:$D,0)),1,IF(INDEX('Paramètres'!$J:$J,MATCH($C2064,'Paramètres'!$D:$D,0))="",1,INDEX('Paramètres'!$J:$J,MATCH($C2064,'Paramètres'!$D:$D,0)))),2))</f>
        <v/>
      </c>
      <c r="L2064" s="6" t="str">
        <f>IF($D2064="","",IF($F2064&lt;&gt;"",$F2064,IF(ISNA(MATCH($D2064,'Paramètres'!$M:$M,0)),"⚠ Type inconnu",IFERROR(INDEX('Paramètres'!$P:$P,MATCH($D2064,'Paramètres'!$M:$M,0))&amp;"",""))))</f>
        <v/>
      </c>
      <c r="M2064" s="6" t="str">
        <f>IF($D2064="","",IF(ISNA(MATCH($D2064,'Paramètres'!$M:$M,0)),"⚠ Type inconnu",IF($L2064="Crédit","",IFERROR(INDEX('Paramètres'!$O:$O,MATCH($D2064,'Paramètres'!$M:$M,0))&amp;"",""))))</f>
        <v/>
      </c>
      <c r="N2064" s="6" t="str">
        <f>IF($D2064="","",IFERROR(INDEX('Paramètres'!$Q:$Q,MATCH($D2064,'Paramètres'!$M:$M,0))&amp;"",""))</f>
        <v/>
      </c>
      <c r="O2064" s="6" t="str">
        <f>IF($A2064="","",IF(OR($J2064&lt;&gt;"x",$A2064&lt;=FinReleve),1,0))</f>
        <v/>
      </c>
      <c r="P2064" s="6" t="str">
        <f>IF($D2064="","",IF(AND($L2064="Crédit",OR(IFERROR(INDEX('Paramètres'!$O:$O,MATCH($D2064,'Paramètres'!$M:$M,0))&amp;"","")&lt;&gt;"",ISNUMBER(SEARCH("remboursement",IFERROR(INDEX('Paramètres'!$N:$N,MATCH($D2064,'Paramètres'!$M:$M,0))&amp;"",""))))),1,0))</f>
        <v/>
      </c>
      <c r="Q2064" s="6" t="str">
        <f>IF($K2064="","",IF(ISNUMBER(SEARCH("transfert-interne",IFERROR(INDEX('Paramètres'!$N:$N,MATCH($D2064,'Paramètres'!$M:$M,0))&amp;"",""))),0,IF($L2064="Débit",$K2064,IF($P2064=1,-$K2064,0))))</f>
        <v/>
      </c>
      <c r="R2064" s="6" t="str">
        <f>IF($K2064="","",IF($L2064="Crédit",$K2064,-$K2064))</f>
        <v/>
      </c>
      <c r="S2064" s="6" t="str">
        <f>IF($C2064="","",IFERROR(INDEX('Paramètres'!$H:$H,MATCH($C2064,'Paramètres'!$D:$D,0))&amp;"",""))</f>
        <v/>
      </c>
      <c r="T2064" s="6" t="str">
        <f>IF($K2064="","",IF($S2064="",0,IF(ISNUMBER(SEARCH("apport-exterieur",IFERROR(INDEX('Paramètres'!$N:$N,MATCH($D2064,'Paramètres'!$M:$M,0))&amp;"",""))),0,IF(OR(IFERROR(INDEX('Paramètres'!$I:$I,MATCH($C2064,'Paramètres'!$D:$D,0))&amp;"","")="Les deux",IFERROR(INDEX('Paramètres'!$I:$I,MATCH($C2064,'Paramètres'!$D:$D,0))&amp;"","")=IF($P2064=1,"Débit",$L2064)),-IF($P2064=1,-$K2064,$K2064),0))))</f>
        <v/>
      </c>
      <c r="U2064" s="6" t="str">
        <f>IF($K2064="","",IF(ISNUMBER(SEARCH("sortie-epargne",IFERROR(INDEX('Paramètres'!$N:$N,MATCH($D2064,'Paramètres'!$M:$M,0))&amp;"",""))),$K2064,0))</f>
        <v/>
      </c>
      <c r="V2064" s="6" t="str">
        <f>IF(AND($A2064&lt;&gt;"",$O2064=1,$L2064="Débit",N($Q2064)&gt;0,$A2064&gt;=Visualisation!$B$1,$A2064&lt;Visualisation!$D$1),MAX($V$1:V2063)+1,"")</f>
        <v/>
      </c>
    </row>
    <row r="2065" spans="1:22" x14ac:dyDescent="0.25">
      <c r="A2065" s="9"/>
      <c r="E2065" s="10"/>
      <c r="K2065" s="11" t="str">
        <f>IF($E2065="","",ROUND($E2065*IF(ISNA(MATCH($C2065,'Paramètres'!$D:$D,0)),1,IF(INDEX('Paramètres'!$J:$J,MATCH($C2065,'Paramètres'!$D:$D,0))="",1,INDEX('Paramètres'!$J:$J,MATCH($C2065,'Paramètres'!$D:$D,0)))),2))</f>
        <v/>
      </c>
      <c r="L2065" s="6" t="str">
        <f>IF($D2065="","",IF($F2065&lt;&gt;"",$F2065,IF(ISNA(MATCH($D2065,'Paramètres'!$M:$M,0)),"⚠ Type inconnu",IFERROR(INDEX('Paramètres'!$P:$P,MATCH($D2065,'Paramètres'!$M:$M,0))&amp;"",""))))</f>
        <v/>
      </c>
      <c r="M2065" s="6" t="str">
        <f>IF($D2065="","",IF(ISNA(MATCH($D2065,'Paramètres'!$M:$M,0)),"⚠ Type inconnu",IF($L2065="Crédit","",IFERROR(INDEX('Paramètres'!$O:$O,MATCH($D2065,'Paramètres'!$M:$M,0))&amp;"",""))))</f>
        <v/>
      </c>
      <c r="N2065" s="6" t="str">
        <f>IF($D2065="","",IFERROR(INDEX('Paramètres'!$Q:$Q,MATCH($D2065,'Paramètres'!$M:$M,0))&amp;"",""))</f>
        <v/>
      </c>
      <c r="O2065" s="6" t="str">
        <f>IF($A2065="","",IF(OR($J2065&lt;&gt;"x",$A2065&lt;=FinReleve),1,0))</f>
        <v/>
      </c>
      <c r="P2065" s="6" t="str">
        <f>IF($D2065="","",IF(AND($L2065="Crédit",OR(IFERROR(INDEX('Paramètres'!$O:$O,MATCH($D2065,'Paramètres'!$M:$M,0))&amp;"","")&lt;&gt;"",ISNUMBER(SEARCH("remboursement",IFERROR(INDEX('Paramètres'!$N:$N,MATCH($D2065,'Paramètres'!$M:$M,0))&amp;"",""))))),1,0))</f>
        <v/>
      </c>
      <c r="Q2065" s="6" t="str">
        <f>IF($K2065="","",IF(ISNUMBER(SEARCH("transfert-interne",IFERROR(INDEX('Paramètres'!$N:$N,MATCH($D2065,'Paramètres'!$M:$M,0))&amp;"",""))),0,IF($L2065="Débit",$K2065,IF($P2065=1,-$K2065,0))))</f>
        <v/>
      </c>
      <c r="R2065" s="6" t="str">
        <f>IF($K2065="","",IF($L2065="Crédit",$K2065,-$K2065))</f>
        <v/>
      </c>
      <c r="S2065" s="6" t="str">
        <f>IF($C2065="","",IFERROR(INDEX('Paramètres'!$H:$H,MATCH($C2065,'Paramètres'!$D:$D,0))&amp;"",""))</f>
        <v/>
      </c>
      <c r="T2065" s="6" t="str">
        <f>IF($K2065="","",IF($S2065="",0,IF(ISNUMBER(SEARCH("apport-exterieur",IFERROR(INDEX('Paramètres'!$N:$N,MATCH($D2065,'Paramètres'!$M:$M,0))&amp;"",""))),0,IF(OR(IFERROR(INDEX('Paramètres'!$I:$I,MATCH($C2065,'Paramètres'!$D:$D,0))&amp;"","")="Les deux",IFERROR(INDEX('Paramètres'!$I:$I,MATCH($C2065,'Paramètres'!$D:$D,0))&amp;"","")=IF($P2065=1,"Débit",$L2065)),-IF($P2065=1,-$K2065,$K2065),0))))</f>
        <v/>
      </c>
      <c r="U2065" s="6" t="str">
        <f>IF($K2065="","",IF(ISNUMBER(SEARCH("sortie-epargne",IFERROR(INDEX('Paramètres'!$N:$N,MATCH($D2065,'Paramètres'!$M:$M,0))&amp;"",""))),$K2065,0))</f>
        <v/>
      </c>
      <c r="V2065" s="6" t="str">
        <f>IF(AND($A2065&lt;&gt;"",$O2065=1,$L2065="Débit",N($Q2065)&gt;0,$A2065&gt;=Visualisation!$B$1,$A2065&lt;Visualisation!$D$1),MAX($V$1:V2064)+1,"")</f>
        <v/>
      </c>
    </row>
    <row r="2066" spans="1:22" x14ac:dyDescent="0.25">
      <c r="A2066" s="9"/>
      <c r="E2066" s="10"/>
      <c r="K2066" s="11" t="str">
        <f>IF($E2066="","",ROUND($E2066*IF(ISNA(MATCH($C2066,'Paramètres'!$D:$D,0)),1,IF(INDEX('Paramètres'!$J:$J,MATCH($C2066,'Paramètres'!$D:$D,0))="",1,INDEX('Paramètres'!$J:$J,MATCH($C2066,'Paramètres'!$D:$D,0)))),2))</f>
        <v/>
      </c>
      <c r="L2066" s="6" t="str">
        <f>IF($D2066="","",IF($F2066&lt;&gt;"",$F2066,IF(ISNA(MATCH($D2066,'Paramètres'!$M:$M,0)),"⚠ Type inconnu",IFERROR(INDEX('Paramètres'!$P:$P,MATCH($D2066,'Paramètres'!$M:$M,0))&amp;"",""))))</f>
        <v/>
      </c>
      <c r="M2066" s="6" t="str">
        <f>IF($D2066="","",IF(ISNA(MATCH($D2066,'Paramètres'!$M:$M,0)),"⚠ Type inconnu",IF($L2066="Crédit","",IFERROR(INDEX('Paramètres'!$O:$O,MATCH($D2066,'Paramètres'!$M:$M,0))&amp;"",""))))</f>
        <v/>
      </c>
      <c r="N2066" s="6" t="str">
        <f>IF($D2066="","",IFERROR(INDEX('Paramètres'!$Q:$Q,MATCH($D2066,'Paramètres'!$M:$M,0))&amp;"",""))</f>
        <v/>
      </c>
      <c r="O2066" s="6" t="str">
        <f>IF($A2066="","",IF(OR($J2066&lt;&gt;"x",$A2066&lt;=FinReleve),1,0))</f>
        <v/>
      </c>
      <c r="P2066" s="6" t="str">
        <f>IF($D2066="","",IF(AND($L2066="Crédit",OR(IFERROR(INDEX('Paramètres'!$O:$O,MATCH($D2066,'Paramètres'!$M:$M,0))&amp;"","")&lt;&gt;"",ISNUMBER(SEARCH("remboursement",IFERROR(INDEX('Paramètres'!$N:$N,MATCH($D2066,'Paramètres'!$M:$M,0))&amp;"",""))))),1,0))</f>
        <v/>
      </c>
      <c r="Q2066" s="6" t="str">
        <f>IF($K2066="","",IF(ISNUMBER(SEARCH("transfert-interne",IFERROR(INDEX('Paramètres'!$N:$N,MATCH($D2066,'Paramètres'!$M:$M,0))&amp;"",""))),0,IF($L2066="Débit",$K2066,IF($P2066=1,-$K2066,0))))</f>
        <v/>
      </c>
      <c r="R2066" s="6" t="str">
        <f>IF($K2066="","",IF($L2066="Crédit",$K2066,-$K2066))</f>
        <v/>
      </c>
      <c r="S2066" s="6" t="str">
        <f>IF($C2066="","",IFERROR(INDEX('Paramètres'!$H:$H,MATCH($C2066,'Paramètres'!$D:$D,0))&amp;"",""))</f>
        <v/>
      </c>
      <c r="T2066" s="6" t="str">
        <f>IF($K2066="","",IF($S2066="",0,IF(ISNUMBER(SEARCH("apport-exterieur",IFERROR(INDEX('Paramètres'!$N:$N,MATCH($D2066,'Paramètres'!$M:$M,0))&amp;"",""))),0,IF(OR(IFERROR(INDEX('Paramètres'!$I:$I,MATCH($C2066,'Paramètres'!$D:$D,0))&amp;"","")="Les deux",IFERROR(INDEX('Paramètres'!$I:$I,MATCH($C2066,'Paramètres'!$D:$D,0))&amp;"","")=IF($P2066=1,"Débit",$L2066)),-IF($P2066=1,-$K2066,$K2066),0))))</f>
        <v/>
      </c>
      <c r="U2066" s="6" t="str">
        <f>IF($K2066="","",IF(ISNUMBER(SEARCH("sortie-epargne",IFERROR(INDEX('Paramètres'!$N:$N,MATCH($D2066,'Paramètres'!$M:$M,0))&amp;"",""))),$K2066,0))</f>
        <v/>
      </c>
      <c r="V2066" s="6" t="str">
        <f>IF(AND($A2066&lt;&gt;"",$O2066=1,$L2066="Débit",N($Q2066)&gt;0,$A2066&gt;=Visualisation!$B$1,$A2066&lt;Visualisation!$D$1),MAX($V$1:V2065)+1,"")</f>
        <v/>
      </c>
    </row>
    <row r="2067" spans="1:22" x14ac:dyDescent="0.25">
      <c r="A2067" s="9"/>
      <c r="E2067" s="10"/>
      <c r="K2067" s="11" t="str">
        <f>IF($E2067="","",ROUND($E2067*IF(ISNA(MATCH($C2067,'Paramètres'!$D:$D,0)),1,IF(INDEX('Paramètres'!$J:$J,MATCH($C2067,'Paramètres'!$D:$D,0))="",1,INDEX('Paramètres'!$J:$J,MATCH($C2067,'Paramètres'!$D:$D,0)))),2))</f>
        <v/>
      </c>
      <c r="L2067" s="6" t="str">
        <f>IF($D2067="","",IF($F2067&lt;&gt;"",$F2067,IF(ISNA(MATCH($D2067,'Paramètres'!$M:$M,0)),"⚠ Type inconnu",IFERROR(INDEX('Paramètres'!$P:$P,MATCH($D2067,'Paramètres'!$M:$M,0))&amp;"",""))))</f>
        <v/>
      </c>
      <c r="M2067" s="6" t="str">
        <f>IF($D2067="","",IF(ISNA(MATCH($D2067,'Paramètres'!$M:$M,0)),"⚠ Type inconnu",IF($L2067="Crédit","",IFERROR(INDEX('Paramètres'!$O:$O,MATCH($D2067,'Paramètres'!$M:$M,0))&amp;"",""))))</f>
        <v/>
      </c>
      <c r="N2067" s="6" t="str">
        <f>IF($D2067="","",IFERROR(INDEX('Paramètres'!$Q:$Q,MATCH($D2067,'Paramètres'!$M:$M,0))&amp;"",""))</f>
        <v/>
      </c>
      <c r="O2067" s="6" t="str">
        <f>IF($A2067="","",IF(OR($J2067&lt;&gt;"x",$A2067&lt;=FinReleve),1,0))</f>
        <v/>
      </c>
      <c r="P2067" s="6" t="str">
        <f>IF($D2067="","",IF(AND($L2067="Crédit",OR(IFERROR(INDEX('Paramètres'!$O:$O,MATCH($D2067,'Paramètres'!$M:$M,0))&amp;"","")&lt;&gt;"",ISNUMBER(SEARCH("remboursement",IFERROR(INDEX('Paramètres'!$N:$N,MATCH($D2067,'Paramètres'!$M:$M,0))&amp;"",""))))),1,0))</f>
        <v/>
      </c>
      <c r="Q2067" s="6" t="str">
        <f>IF($K2067="","",IF(ISNUMBER(SEARCH("transfert-interne",IFERROR(INDEX('Paramètres'!$N:$N,MATCH($D2067,'Paramètres'!$M:$M,0))&amp;"",""))),0,IF($L2067="Débit",$K2067,IF($P2067=1,-$K2067,0))))</f>
        <v/>
      </c>
      <c r="R2067" s="6" t="str">
        <f>IF($K2067="","",IF($L2067="Crédit",$K2067,-$K2067))</f>
        <v/>
      </c>
      <c r="S2067" s="6" t="str">
        <f>IF($C2067="","",IFERROR(INDEX('Paramètres'!$H:$H,MATCH($C2067,'Paramètres'!$D:$D,0))&amp;"",""))</f>
        <v/>
      </c>
      <c r="T2067" s="6" t="str">
        <f>IF($K2067="","",IF($S2067="",0,IF(ISNUMBER(SEARCH("apport-exterieur",IFERROR(INDEX('Paramètres'!$N:$N,MATCH($D2067,'Paramètres'!$M:$M,0))&amp;"",""))),0,IF(OR(IFERROR(INDEX('Paramètres'!$I:$I,MATCH($C2067,'Paramètres'!$D:$D,0))&amp;"","")="Les deux",IFERROR(INDEX('Paramètres'!$I:$I,MATCH($C2067,'Paramètres'!$D:$D,0))&amp;"","")=IF($P2067=1,"Débit",$L2067)),-IF($P2067=1,-$K2067,$K2067),0))))</f>
        <v/>
      </c>
      <c r="U2067" s="6" t="str">
        <f>IF($K2067="","",IF(ISNUMBER(SEARCH("sortie-epargne",IFERROR(INDEX('Paramètres'!$N:$N,MATCH($D2067,'Paramètres'!$M:$M,0))&amp;"",""))),$K2067,0))</f>
        <v/>
      </c>
      <c r="V2067" s="6" t="str">
        <f>IF(AND($A2067&lt;&gt;"",$O2067=1,$L2067="Débit",N($Q2067)&gt;0,$A2067&gt;=Visualisation!$B$1,$A2067&lt;Visualisation!$D$1),MAX($V$1:V2066)+1,"")</f>
        <v/>
      </c>
    </row>
    <row r="2068" spans="1:22" x14ac:dyDescent="0.25">
      <c r="A2068" s="9"/>
      <c r="E2068" s="10"/>
      <c r="K2068" s="11" t="str">
        <f>IF($E2068="","",ROUND($E2068*IF(ISNA(MATCH($C2068,'Paramètres'!$D:$D,0)),1,IF(INDEX('Paramètres'!$J:$J,MATCH($C2068,'Paramètres'!$D:$D,0))="",1,INDEX('Paramètres'!$J:$J,MATCH($C2068,'Paramètres'!$D:$D,0)))),2))</f>
        <v/>
      </c>
      <c r="L2068" s="6" t="str">
        <f>IF($D2068="","",IF($F2068&lt;&gt;"",$F2068,IF(ISNA(MATCH($D2068,'Paramètres'!$M:$M,0)),"⚠ Type inconnu",IFERROR(INDEX('Paramètres'!$P:$P,MATCH($D2068,'Paramètres'!$M:$M,0))&amp;"",""))))</f>
        <v/>
      </c>
      <c r="M2068" s="6" t="str">
        <f>IF($D2068="","",IF(ISNA(MATCH($D2068,'Paramètres'!$M:$M,0)),"⚠ Type inconnu",IF($L2068="Crédit","",IFERROR(INDEX('Paramètres'!$O:$O,MATCH($D2068,'Paramètres'!$M:$M,0))&amp;"",""))))</f>
        <v/>
      </c>
      <c r="N2068" s="6" t="str">
        <f>IF($D2068="","",IFERROR(INDEX('Paramètres'!$Q:$Q,MATCH($D2068,'Paramètres'!$M:$M,0))&amp;"",""))</f>
        <v/>
      </c>
      <c r="O2068" s="6" t="str">
        <f>IF($A2068="","",IF(OR($J2068&lt;&gt;"x",$A2068&lt;=FinReleve),1,0))</f>
        <v/>
      </c>
      <c r="P2068" s="6" t="str">
        <f>IF($D2068="","",IF(AND($L2068="Crédit",OR(IFERROR(INDEX('Paramètres'!$O:$O,MATCH($D2068,'Paramètres'!$M:$M,0))&amp;"","")&lt;&gt;"",ISNUMBER(SEARCH("remboursement",IFERROR(INDEX('Paramètres'!$N:$N,MATCH($D2068,'Paramètres'!$M:$M,0))&amp;"",""))))),1,0))</f>
        <v/>
      </c>
      <c r="Q2068" s="6" t="str">
        <f>IF($K2068="","",IF(ISNUMBER(SEARCH("transfert-interne",IFERROR(INDEX('Paramètres'!$N:$N,MATCH($D2068,'Paramètres'!$M:$M,0))&amp;"",""))),0,IF($L2068="Débit",$K2068,IF($P2068=1,-$K2068,0))))</f>
        <v/>
      </c>
      <c r="R2068" s="6" t="str">
        <f>IF($K2068="","",IF($L2068="Crédit",$K2068,-$K2068))</f>
        <v/>
      </c>
      <c r="S2068" s="6" t="str">
        <f>IF($C2068="","",IFERROR(INDEX('Paramètres'!$H:$H,MATCH($C2068,'Paramètres'!$D:$D,0))&amp;"",""))</f>
        <v/>
      </c>
      <c r="T2068" s="6" t="str">
        <f>IF($K2068="","",IF($S2068="",0,IF(ISNUMBER(SEARCH("apport-exterieur",IFERROR(INDEX('Paramètres'!$N:$N,MATCH($D2068,'Paramètres'!$M:$M,0))&amp;"",""))),0,IF(OR(IFERROR(INDEX('Paramètres'!$I:$I,MATCH($C2068,'Paramètres'!$D:$D,0))&amp;"","")="Les deux",IFERROR(INDEX('Paramètres'!$I:$I,MATCH($C2068,'Paramètres'!$D:$D,0))&amp;"","")=IF($P2068=1,"Débit",$L2068)),-IF($P2068=1,-$K2068,$K2068),0))))</f>
        <v/>
      </c>
      <c r="U2068" s="6" t="str">
        <f>IF($K2068="","",IF(ISNUMBER(SEARCH("sortie-epargne",IFERROR(INDEX('Paramètres'!$N:$N,MATCH($D2068,'Paramètres'!$M:$M,0))&amp;"",""))),$K2068,0))</f>
        <v/>
      </c>
      <c r="V2068" s="6" t="str">
        <f>IF(AND($A2068&lt;&gt;"",$O2068=1,$L2068="Débit",N($Q2068)&gt;0,$A2068&gt;=Visualisation!$B$1,$A2068&lt;Visualisation!$D$1),MAX($V$1:V2067)+1,"")</f>
        <v/>
      </c>
    </row>
    <row r="2069" spans="1:22" x14ac:dyDescent="0.25">
      <c r="A2069" s="9"/>
      <c r="E2069" s="10"/>
      <c r="K2069" s="11" t="str">
        <f>IF($E2069="","",ROUND($E2069*IF(ISNA(MATCH($C2069,'Paramètres'!$D:$D,0)),1,IF(INDEX('Paramètres'!$J:$J,MATCH($C2069,'Paramètres'!$D:$D,0))="",1,INDEX('Paramètres'!$J:$J,MATCH($C2069,'Paramètres'!$D:$D,0)))),2))</f>
        <v/>
      </c>
      <c r="L2069" s="6" t="str">
        <f>IF($D2069="","",IF($F2069&lt;&gt;"",$F2069,IF(ISNA(MATCH($D2069,'Paramètres'!$M:$M,0)),"⚠ Type inconnu",IFERROR(INDEX('Paramètres'!$P:$P,MATCH($D2069,'Paramètres'!$M:$M,0))&amp;"",""))))</f>
        <v/>
      </c>
      <c r="M2069" s="6" t="str">
        <f>IF($D2069="","",IF(ISNA(MATCH($D2069,'Paramètres'!$M:$M,0)),"⚠ Type inconnu",IF($L2069="Crédit","",IFERROR(INDEX('Paramètres'!$O:$O,MATCH($D2069,'Paramètres'!$M:$M,0))&amp;"",""))))</f>
        <v/>
      </c>
      <c r="N2069" s="6" t="str">
        <f>IF($D2069="","",IFERROR(INDEX('Paramètres'!$Q:$Q,MATCH($D2069,'Paramètres'!$M:$M,0))&amp;"",""))</f>
        <v/>
      </c>
      <c r="O2069" s="6" t="str">
        <f>IF($A2069="","",IF(OR($J2069&lt;&gt;"x",$A2069&lt;=FinReleve),1,0))</f>
        <v/>
      </c>
      <c r="P2069" s="6" t="str">
        <f>IF($D2069="","",IF(AND($L2069="Crédit",OR(IFERROR(INDEX('Paramètres'!$O:$O,MATCH($D2069,'Paramètres'!$M:$M,0))&amp;"","")&lt;&gt;"",ISNUMBER(SEARCH("remboursement",IFERROR(INDEX('Paramètres'!$N:$N,MATCH($D2069,'Paramètres'!$M:$M,0))&amp;"",""))))),1,0))</f>
        <v/>
      </c>
      <c r="Q2069" s="6" t="str">
        <f>IF($K2069="","",IF(ISNUMBER(SEARCH("transfert-interne",IFERROR(INDEX('Paramètres'!$N:$N,MATCH($D2069,'Paramètres'!$M:$M,0))&amp;"",""))),0,IF($L2069="Débit",$K2069,IF($P2069=1,-$K2069,0))))</f>
        <v/>
      </c>
      <c r="R2069" s="6" t="str">
        <f>IF($K2069="","",IF($L2069="Crédit",$K2069,-$K2069))</f>
        <v/>
      </c>
      <c r="S2069" s="6" t="str">
        <f>IF($C2069="","",IFERROR(INDEX('Paramètres'!$H:$H,MATCH($C2069,'Paramètres'!$D:$D,0))&amp;"",""))</f>
        <v/>
      </c>
      <c r="T2069" s="6" t="str">
        <f>IF($K2069="","",IF($S2069="",0,IF(ISNUMBER(SEARCH("apport-exterieur",IFERROR(INDEX('Paramètres'!$N:$N,MATCH($D2069,'Paramètres'!$M:$M,0))&amp;"",""))),0,IF(OR(IFERROR(INDEX('Paramètres'!$I:$I,MATCH($C2069,'Paramètres'!$D:$D,0))&amp;"","")="Les deux",IFERROR(INDEX('Paramètres'!$I:$I,MATCH($C2069,'Paramètres'!$D:$D,0))&amp;"","")=IF($P2069=1,"Débit",$L2069)),-IF($P2069=1,-$K2069,$K2069),0))))</f>
        <v/>
      </c>
      <c r="U2069" s="6" t="str">
        <f>IF($K2069="","",IF(ISNUMBER(SEARCH("sortie-epargne",IFERROR(INDEX('Paramètres'!$N:$N,MATCH($D2069,'Paramètres'!$M:$M,0))&amp;"",""))),$K2069,0))</f>
        <v/>
      </c>
      <c r="V2069" s="6" t="str">
        <f>IF(AND($A2069&lt;&gt;"",$O2069=1,$L2069="Débit",N($Q2069)&gt;0,$A2069&gt;=Visualisation!$B$1,$A2069&lt;Visualisation!$D$1),MAX($V$1:V2068)+1,"")</f>
        <v/>
      </c>
    </row>
    <row r="2070" spans="1:22" x14ac:dyDescent="0.25">
      <c r="A2070" s="9"/>
      <c r="E2070" s="10"/>
      <c r="K2070" s="11" t="str">
        <f>IF($E2070="","",ROUND($E2070*IF(ISNA(MATCH($C2070,'Paramètres'!$D:$D,0)),1,IF(INDEX('Paramètres'!$J:$J,MATCH($C2070,'Paramètres'!$D:$D,0))="",1,INDEX('Paramètres'!$J:$J,MATCH($C2070,'Paramètres'!$D:$D,0)))),2))</f>
        <v/>
      </c>
      <c r="L2070" s="6" t="str">
        <f>IF($D2070="","",IF($F2070&lt;&gt;"",$F2070,IF(ISNA(MATCH($D2070,'Paramètres'!$M:$M,0)),"⚠ Type inconnu",IFERROR(INDEX('Paramètres'!$P:$P,MATCH($D2070,'Paramètres'!$M:$M,0))&amp;"",""))))</f>
        <v/>
      </c>
      <c r="M2070" s="6" t="str">
        <f>IF($D2070="","",IF(ISNA(MATCH($D2070,'Paramètres'!$M:$M,0)),"⚠ Type inconnu",IF($L2070="Crédit","",IFERROR(INDEX('Paramètres'!$O:$O,MATCH($D2070,'Paramètres'!$M:$M,0))&amp;"",""))))</f>
        <v/>
      </c>
      <c r="N2070" s="6" t="str">
        <f>IF($D2070="","",IFERROR(INDEX('Paramètres'!$Q:$Q,MATCH($D2070,'Paramètres'!$M:$M,0))&amp;"",""))</f>
        <v/>
      </c>
      <c r="O2070" s="6" t="str">
        <f>IF($A2070="","",IF(OR($J2070&lt;&gt;"x",$A2070&lt;=FinReleve),1,0))</f>
        <v/>
      </c>
      <c r="P2070" s="6" t="str">
        <f>IF($D2070="","",IF(AND($L2070="Crédit",OR(IFERROR(INDEX('Paramètres'!$O:$O,MATCH($D2070,'Paramètres'!$M:$M,0))&amp;"","")&lt;&gt;"",ISNUMBER(SEARCH("remboursement",IFERROR(INDEX('Paramètres'!$N:$N,MATCH($D2070,'Paramètres'!$M:$M,0))&amp;"",""))))),1,0))</f>
        <v/>
      </c>
      <c r="Q2070" s="6" t="str">
        <f>IF($K2070="","",IF(ISNUMBER(SEARCH("transfert-interne",IFERROR(INDEX('Paramètres'!$N:$N,MATCH($D2070,'Paramètres'!$M:$M,0))&amp;"",""))),0,IF($L2070="Débit",$K2070,IF($P2070=1,-$K2070,0))))</f>
        <v/>
      </c>
      <c r="R2070" s="6" t="str">
        <f>IF($K2070="","",IF($L2070="Crédit",$K2070,-$K2070))</f>
        <v/>
      </c>
      <c r="S2070" s="6" t="str">
        <f>IF($C2070="","",IFERROR(INDEX('Paramètres'!$H:$H,MATCH($C2070,'Paramètres'!$D:$D,0))&amp;"",""))</f>
        <v/>
      </c>
      <c r="T2070" s="6" t="str">
        <f>IF($K2070="","",IF($S2070="",0,IF(ISNUMBER(SEARCH("apport-exterieur",IFERROR(INDEX('Paramètres'!$N:$N,MATCH($D2070,'Paramètres'!$M:$M,0))&amp;"",""))),0,IF(OR(IFERROR(INDEX('Paramètres'!$I:$I,MATCH($C2070,'Paramètres'!$D:$D,0))&amp;"","")="Les deux",IFERROR(INDEX('Paramètres'!$I:$I,MATCH($C2070,'Paramètres'!$D:$D,0))&amp;"","")=IF($P2070=1,"Débit",$L2070)),-IF($P2070=1,-$K2070,$K2070),0))))</f>
        <v/>
      </c>
      <c r="U2070" s="6" t="str">
        <f>IF($K2070="","",IF(ISNUMBER(SEARCH("sortie-epargne",IFERROR(INDEX('Paramètres'!$N:$N,MATCH($D2070,'Paramètres'!$M:$M,0))&amp;"",""))),$K2070,0))</f>
        <v/>
      </c>
      <c r="V2070" s="6" t="str">
        <f>IF(AND($A2070&lt;&gt;"",$O2070=1,$L2070="Débit",N($Q2070)&gt;0,$A2070&gt;=Visualisation!$B$1,$A2070&lt;Visualisation!$D$1),MAX($V$1:V2069)+1,"")</f>
        <v/>
      </c>
    </row>
    <row r="2071" spans="1:22" x14ac:dyDescent="0.25">
      <c r="A2071" s="9"/>
      <c r="E2071" s="10"/>
      <c r="K2071" s="11" t="str">
        <f>IF($E2071="","",ROUND($E2071*IF(ISNA(MATCH($C2071,'Paramètres'!$D:$D,0)),1,IF(INDEX('Paramètres'!$J:$J,MATCH($C2071,'Paramètres'!$D:$D,0))="",1,INDEX('Paramètres'!$J:$J,MATCH($C2071,'Paramètres'!$D:$D,0)))),2))</f>
        <v/>
      </c>
      <c r="L2071" s="6" t="str">
        <f>IF($D2071="","",IF($F2071&lt;&gt;"",$F2071,IF(ISNA(MATCH($D2071,'Paramètres'!$M:$M,0)),"⚠ Type inconnu",IFERROR(INDEX('Paramètres'!$P:$P,MATCH($D2071,'Paramètres'!$M:$M,0))&amp;"",""))))</f>
        <v/>
      </c>
      <c r="M2071" s="6" t="str">
        <f>IF($D2071="","",IF(ISNA(MATCH($D2071,'Paramètres'!$M:$M,0)),"⚠ Type inconnu",IF($L2071="Crédit","",IFERROR(INDEX('Paramètres'!$O:$O,MATCH($D2071,'Paramètres'!$M:$M,0))&amp;"",""))))</f>
        <v/>
      </c>
      <c r="N2071" s="6" t="str">
        <f>IF($D2071="","",IFERROR(INDEX('Paramètres'!$Q:$Q,MATCH($D2071,'Paramètres'!$M:$M,0))&amp;"",""))</f>
        <v/>
      </c>
      <c r="O2071" s="6" t="str">
        <f>IF($A2071="","",IF(OR($J2071&lt;&gt;"x",$A2071&lt;=FinReleve),1,0))</f>
        <v/>
      </c>
      <c r="P2071" s="6" t="str">
        <f>IF($D2071="","",IF(AND($L2071="Crédit",OR(IFERROR(INDEX('Paramètres'!$O:$O,MATCH($D2071,'Paramètres'!$M:$M,0))&amp;"","")&lt;&gt;"",ISNUMBER(SEARCH("remboursement",IFERROR(INDEX('Paramètres'!$N:$N,MATCH($D2071,'Paramètres'!$M:$M,0))&amp;"",""))))),1,0))</f>
        <v/>
      </c>
      <c r="Q2071" s="6" t="str">
        <f>IF($K2071="","",IF(ISNUMBER(SEARCH("transfert-interne",IFERROR(INDEX('Paramètres'!$N:$N,MATCH($D2071,'Paramètres'!$M:$M,0))&amp;"",""))),0,IF($L2071="Débit",$K2071,IF($P2071=1,-$K2071,0))))</f>
        <v/>
      </c>
      <c r="R2071" s="6" t="str">
        <f>IF($K2071="","",IF($L2071="Crédit",$K2071,-$K2071))</f>
        <v/>
      </c>
      <c r="S2071" s="6" t="str">
        <f>IF($C2071="","",IFERROR(INDEX('Paramètres'!$H:$H,MATCH($C2071,'Paramètres'!$D:$D,0))&amp;"",""))</f>
        <v/>
      </c>
      <c r="T2071" s="6" t="str">
        <f>IF($K2071="","",IF($S2071="",0,IF(ISNUMBER(SEARCH("apport-exterieur",IFERROR(INDEX('Paramètres'!$N:$N,MATCH($D2071,'Paramètres'!$M:$M,0))&amp;"",""))),0,IF(OR(IFERROR(INDEX('Paramètres'!$I:$I,MATCH($C2071,'Paramètres'!$D:$D,0))&amp;"","")="Les deux",IFERROR(INDEX('Paramètres'!$I:$I,MATCH($C2071,'Paramètres'!$D:$D,0))&amp;"","")=IF($P2071=1,"Débit",$L2071)),-IF($P2071=1,-$K2071,$K2071),0))))</f>
        <v/>
      </c>
      <c r="U2071" s="6" t="str">
        <f>IF($K2071="","",IF(ISNUMBER(SEARCH("sortie-epargne",IFERROR(INDEX('Paramètres'!$N:$N,MATCH($D2071,'Paramètres'!$M:$M,0))&amp;"",""))),$K2071,0))</f>
        <v/>
      </c>
      <c r="V2071" s="6" t="str">
        <f>IF(AND($A2071&lt;&gt;"",$O2071=1,$L2071="Débit",N($Q2071)&gt;0,$A2071&gt;=Visualisation!$B$1,$A2071&lt;Visualisation!$D$1),MAX($V$1:V2070)+1,"")</f>
        <v/>
      </c>
    </row>
    <row r="2072" spans="1:22" x14ac:dyDescent="0.25">
      <c r="A2072" s="9"/>
      <c r="E2072" s="10"/>
      <c r="K2072" s="11" t="str">
        <f>IF($E2072="","",ROUND($E2072*IF(ISNA(MATCH($C2072,'Paramètres'!$D:$D,0)),1,IF(INDEX('Paramètres'!$J:$J,MATCH($C2072,'Paramètres'!$D:$D,0))="",1,INDEX('Paramètres'!$J:$J,MATCH($C2072,'Paramètres'!$D:$D,0)))),2))</f>
        <v/>
      </c>
      <c r="L2072" s="6" t="str">
        <f>IF($D2072="","",IF($F2072&lt;&gt;"",$F2072,IF(ISNA(MATCH($D2072,'Paramètres'!$M:$M,0)),"⚠ Type inconnu",IFERROR(INDEX('Paramètres'!$P:$P,MATCH($D2072,'Paramètres'!$M:$M,0))&amp;"",""))))</f>
        <v/>
      </c>
      <c r="M2072" s="6" t="str">
        <f>IF($D2072="","",IF(ISNA(MATCH($D2072,'Paramètres'!$M:$M,0)),"⚠ Type inconnu",IF($L2072="Crédit","",IFERROR(INDEX('Paramètres'!$O:$O,MATCH($D2072,'Paramètres'!$M:$M,0))&amp;"",""))))</f>
        <v/>
      </c>
      <c r="N2072" s="6" t="str">
        <f>IF($D2072="","",IFERROR(INDEX('Paramètres'!$Q:$Q,MATCH($D2072,'Paramètres'!$M:$M,0))&amp;"",""))</f>
        <v/>
      </c>
      <c r="O2072" s="6" t="str">
        <f>IF($A2072="","",IF(OR($J2072&lt;&gt;"x",$A2072&lt;=FinReleve),1,0))</f>
        <v/>
      </c>
      <c r="P2072" s="6" t="str">
        <f>IF($D2072="","",IF(AND($L2072="Crédit",OR(IFERROR(INDEX('Paramètres'!$O:$O,MATCH($D2072,'Paramètres'!$M:$M,0))&amp;"","")&lt;&gt;"",ISNUMBER(SEARCH("remboursement",IFERROR(INDEX('Paramètres'!$N:$N,MATCH($D2072,'Paramètres'!$M:$M,0))&amp;"",""))))),1,0))</f>
        <v/>
      </c>
      <c r="Q2072" s="6" t="str">
        <f>IF($K2072="","",IF(ISNUMBER(SEARCH("transfert-interne",IFERROR(INDEX('Paramètres'!$N:$N,MATCH($D2072,'Paramètres'!$M:$M,0))&amp;"",""))),0,IF($L2072="Débit",$K2072,IF($P2072=1,-$K2072,0))))</f>
        <v/>
      </c>
      <c r="R2072" s="6" t="str">
        <f>IF($K2072="","",IF($L2072="Crédit",$K2072,-$K2072))</f>
        <v/>
      </c>
      <c r="S2072" s="6" t="str">
        <f>IF($C2072="","",IFERROR(INDEX('Paramètres'!$H:$H,MATCH($C2072,'Paramètres'!$D:$D,0))&amp;"",""))</f>
        <v/>
      </c>
      <c r="T2072" s="6" t="str">
        <f>IF($K2072="","",IF($S2072="",0,IF(ISNUMBER(SEARCH("apport-exterieur",IFERROR(INDEX('Paramètres'!$N:$N,MATCH($D2072,'Paramètres'!$M:$M,0))&amp;"",""))),0,IF(OR(IFERROR(INDEX('Paramètres'!$I:$I,MATCH($C2072,'Paramètres'!$D:$D,0))&amp;"","")="Les deux",IFERROR(INDEX('Paramètres'!$I:$I,MATCH($C2072,'Paramètres'!$D:$D,0))&amp;"","")=IF($P2072=1,"Débit",$L2072)),-IF($P2072=1,-$K2072,$K2072),0))))</f>
        <v/>
      </c>
      <c r="U2072" s="6" t="str">
        <f>IF($K2072="","",IF(ISNUMBER(SEARCH("sortie-epargne",IFERROR(INDEX('Paramètres'!$N:$N,MATCH($D2072,'Paramètres'!$M:$M,0))&amp;"",""))),$K2072,0))</f>
        <v/>
      </c>
      <c r="V2072" s="6" t="str">
        <f>IF(AND($A2072&lt;&gt;"",$O2072=1,$L2072="Débit",N($Q2072)&gt;0,$A2072&gt;=Visualisation!$B$1,$A2072&lt;Visualisation!$D$1),MAX($V$1:V2071)+1,"")</f>
        <v/>
      </c>
    </row>
    <row r="2073" spans="1:22" x14ac:dyDescent="0.25">
      <c r="A2073" s="9"/>
      <c r="E2073" s="10"/>
      <c r="K2073" s="11" t="str">
        <f>IF($E2073="","",ROUND($E2073*IF(ISNA(MATCH($C2073,'Paramètres'!$D:$D,0)),1,IF(INDEX('Paramètres'!$J:$J,MATCH($C2073,'Paramètres'!$D:$D,0))="",1,INDEX('Paramètres'!$J:$J,MATCH($C2073,'Paramètres'!$D:$D,0)))),2))</f>
        <v/>
      </c>
      <c r="L2073" s="6" t="str">
        <f>IF($D2073="","",IF($F2073&lt;&gt;"",$F2073,IF(ISNA(MATCH($D2073,'Paramètres'!$M:$M,0)),"⚠ Type inconnu",IFERROR(INDEX('Paramètres'!$P:$P,MATCH($D2073,'Paramètres'!$M:$M,0))&amp;"",""))))</f>
        <v/>
      </c>
      <c r="M2073" s="6" t="str">
        <f>IF($D2073="","",IF(ISNA(MATCH($D2073,'Paramètres'!$M:$M,0)),"⚠ Type inconnu",IF($L2073="Crédit","",IFERROR(INDEX('Paramètres'!$O:$O,MATCH($D2073,'Paramètres'!$M:$M,0))&amp;"",""))))</f>
        <v/>
      </c>
      <c r="N2073" s="6" t="str">
        <f>IF($D2073="","",IFERROR(INDEX('Paramètres'!$Q:$Q,MATCH($D2073,'Paramètres'!$M:$M,0))&amp;"",""))</f>
        <v/>
      </c>
      <c r="O2073" s="6" t="str">
        <f>IF($A2073="","",IF(OR($J2073&lt;&gt;"x",$A2073&lt;=FinReleve),1,0))</f>
        <v/>
      </c>
      <c r="P2073" s="6" t="str">
        <f>IF($D2073="","",IF(AND($L2073="Crédit",OR(IFERROR(INDEX('Paramètres'!$O:$O,MATCH($D2073,'Paramètres'!$M:$M,0))&amp;"","")&lt;&gt;"",ISNUMBER(SEARCH("remboursement",IFERROR(INDEX('Paramètres'!$N:$N,MATCH($D2073,'Paramètres'!$M:$M,0))&amp;"",""))))),1,0))</f>
        <v/>
      </c>
      <c r="Q2073" s="6" t="str">
        <f>IF($K2073="","",IF(ISNUMBER(SEARCH("transfert-interne",IFERROR(INDEX('Paramètres'!$N:$N,MATCH($D2073,'Paramètres'!$M:$M,0))&amp;"",""))),0,IF($L2073="Débit",$K2073,IF($P2073=1,-$K2073,0))))</f>
        <v/>
      </c>
      <c r="R2073" s="6" t="str">
        <f>IF($K2073="","",IF($L2073="Crédit",$K2073,-$K2073))</f>
        <v/>
      </c>
      <c r="S2073" s="6" t="str">
        <f>IF($C2073="","",IFERROR(INDEX('Paramètres'!$H:$H,MATCH($C2073,'Paramètres'!$D:$D,0))&amp;"",""))</f>
        <v/>
      </c>
      <c r="T2073" s="6" t="str">
        <f>IF($K2073="","",IF($S2073="",0,IF(ISNUMBER(SEARCH("apport-exterieur",IFERROR(INDEX('Paramètres'!$N:$N,MATCH($D2073,'Paramètres'!$M:$M,0))&amp;"",""))),0,IF(OR(IFERROR(INDEX('Paramètres'!$I:$I,MATCH($C2073,'Paramètres'!$D:$D,0))&amp;"","")="Les deux",IFERROR(INDEX('Paramètres'!$I:$I,MATCH($C2073,'Paramètres'!$D:$D,0))&amp;"","")=IF($P2073=1,"Débit",$L2073)),-IF($P2073=1,-$K2073,$K2073),0))))</f>
        <v/>
      </c>
      <c r="U2073" s="6" t="str">
        <f>IF($K2073="","",IF(ISNUMBER(SEARCH("sortie-epargne",IFERROR(INDEX('Paramètres'!$N:$N,MATCH($D2073,'Paramètres'!$M:$M,0))&amp;"",""))),$K2073,0))</f>
        <v/>
      </c>
      <c r="V2073" s="6" t="str">
        <f>IF(AND($A2073&lt;&gt;"",$O2073=1,$L2073="Débit",N($Q2073)&gt;0,$A2073&gt;=Visualisation!$B$1,$A2073&lt;Visualisation!$D$1),MAX($V$1:V2072)+1,"")</f>
        <v/>
      </c>
    </row>
    <row r="2074" spans="1:22" x14ac:dyDescent="0.25">
      <c r="A2074" s="9"/>
      <c r="E2074" s="10"/>
      <c r="K2074" s="11" t="str">
        <f>IF($E2074="","",ROUND($E2074*IF(ISNA(MATCH($C2074,'Paramètres'!$D:$D,0)),1,IF(INDEX('Paramètres'!$J:$J,MATCH($C2074,'Paramètres'!$D:$D,0))="",1,INDEX('Paramètres'!$J:$J,MATCH($C2074,'Paramètres'!$D:$D,0)))),2))</f>
        <v/>
      </c>
      <c r="L2074" s="6" t="str">
        <f>IF($D2074="","",IF($F2074&lt;&gt;"",$F2074,IF(ISNA(MATCH($D2074,'Paramètres'!$M:$M,0)),"⚠ Type inconnu",IFERROR(INDEX('Paramètres'!$P:$P,MATCH($D2074,'Paramètres'!$M:$M,0))&amp;"",""))))</f>
        <v/>
      </c>
      <c r="M2074" s="6" t="str">
        <f>IF($D2074="","",IF(ISNA(MATCH($D2074,'Paramètres'!$M:$M,0)),"⚠ Type inconnu",IF($L2074="Crédit","",IFERROR(INDEX('Paramètres'!$O:$O,MATCH($D2074,'Paramètres'!$M:$M,0))&amp;"",""))))</f>
        <v/>
      </c>
      <c r="N2074" s="6" t="str">
        <f>IF($D2074="","",IFERROR(INDEX('Paramètres'!$Q:$Q,MATCH($D2074,'Paramètres'!$M:$M,0))&amp;"",""))</f>
        <v/>
      </c>
      <c r="O2074" s="6" t="str">
        <f>IF($A2074="","",IF(OR($J2074&lt;&gt;"x",$A2074&lt;=FinReleve),1,0))</f>
        <v/>
      </c>
      <c r="P2074" s="6" t="str">
        <f>IF($D2074="","",IF(AND($L2074="Crédit",OR(IFERROR(INDEX('Paramètres'!$O:$O,MATCH($D2074,'Paramètres'!$M:$M,0))&amp;"","")&lt;&gt;"",ISNUMBER(SEARCH("remboursement",IFERROR(INDEX('Paramètres'!$N:$N,MATCH($D2074,'Paramètres'!$M:$M,0))&amp;"",""))))),1,0))</f>
        <v/>
      </c>
      <c r="Q2074" s="6" t="str">
        <f>IF($K2074="","",IF(ISNUMBER(SEARCH("transfert-interne",IFERROR(INDEX('Paramètres'!$N:$N,MATCH($D2074,'Paramètres'!$M:$M,0))&amp;"",""))),0,IF($L2074="Débit",$K2074,IF($P2074=1,-$K2074,0))))</f>
        <v/>
      </c>
      <c r="R2074" s="6" t="str">
        <f>IF($K2074="","",IF($L2074="Crédit",$K2074,-$K2074))</f>
        <v/>
      </c>
      <c r="S2074" s="6" t="str">
        <f>IF($C2074="","",IFERROR(INDEX('Paramètres'!$H:$H,MATCH($C2074,'Paramètres'!$D:$D,0))&amp;"",""))</f>
        <v/>
      </c>
      <c r="T2074" s="6" t="str">
        <f>IF($K2074="","",IF($S2074="",0,IF(ISNUMBER(SEARCH("apport-exterieur",IFERROR(INDEX('Paramètres'!$N:$N,MATCH($D2074,'Paramètres'!$M:$M,0))&amp;"",""))),0,IF(OR(IFERROR(INDEX('Paramètres'!$I:$I,MATCH($C2074,'Paramètres'!$D:$D,0))&amp;"","")="Les deux",IFERROR(INDEX('Paramètres'!$I:$I,MATCH($C2074,'Paramètres'!$D:$D,0))&amp;"","")=IF($P2074=1,"Débit",$L2074)),-IF($P2074=1,-$K2074,$K2074),0))))</f>
        <v/>
      </c>
      <c r="U2074" s="6" t="str">
        <f>IF($K2074="","",IF(ISNUMBER(SEARCH("sortie-epargne",IFERROR(INDEX('Paramètres'!$N:$N,MATCH($D2074,'Paramètres'!$M:$M,0))&amp;"",""))),$K2074,0))</f>
        <v/>
      </c>
      <c r="V2074" s="6" t="str">
        <f>IF(AND($A2074&lt;&gt;"",$O2074=1,$L2074="Débit",N($Q2074)&gt;0,$A2074&gt;=Visualisation!$B$1,$A2074&lt;Visualisation!$D$1),MAX($V$1:V2073)+1,"")</f>
        <v/>
      </c>
    </row>
    <row r="2075" spans="1:22" x14ac:dyDescent="0.25">
      <c r="A2075" s="9"/>
      <c r="E2075" s="10"/>
      <c r="K2075" s="11" t="str">
        <f>IF($E2075="","",ROUND($E2075*IF(ISNA(MATCH($C2075,'Paramètres'!$D:$D,0)),1,IF(INDEX('Paramètres'!$J:$J,MATCH($C2075,'Paramètres'!$D:$D,0))="",1,INDEX('Paramètres'!$J:$J,MATCH($C2075,'Paramètres'!$D:$D,0)))),2))</f>
        <v/>
      </c>
      <c r="L2075" s="6" t="str">
        <f>IF($D2075="","",IF($F2075&lt;&gt;"",$F2075,IF(ISNA(MATCH($D2075,'Paramètres'!$M:$M,0)),"⚠ Type inconnu",IFERROR(INDEX('Paramètres'!$P:$P,MATCH($D2075,'Paramètres'!$M:$M,0))&amp;"",""))))</f>
        <v/>
      </c>
      <c r="M2075" s="6" t="str">
        <f>IF($D2075="","",IF(ISNA(MATCH($D2075,'Paramètres'!$M:$M,0)),"⚠ Type inconnu",IF($L2075="Crédit","",IFERROR(INDEX('Paramètres'!$O:$O,MATCH($D2075,'Paramètres'!$M:$M,0))&amp;"",""))))</f>
        <v/>
      </c>
      <c r="N2075" s="6" t="str">
        <f>IF($D2075="","",IFERROR(INDEX('Paramètres'!$Q:$Q,MATCH($D2075,'Paramètres'!$M:$M,0))&amp;"",""))</f>
        <v/>
      </c>
      <c r="O2075" s="6" t="str">
        <f>IF($A2075="","",IF(OR($J2075&lt;&gt;"x",$A2075&lt;=FinReleve),1,0))</f>
        <v/>
      </c>
      <c r="P2075" s="6" t="str">
        <f>IF($D2075="","",IF(AND($L2075="Crédit",OR(IFERROR(INDEX('Paramètres'!$O:$O,MATCH($D2075,'Paramètres'!$M:$M,0))&amp;"","")&lt;&gt;"",ISNUMBER(SEARCH("remboursement",IFERROR(INDEX('Paramètres'!$N:$N,MATCH($D2075,'Paramètres'!$M:$M,0))&amp;"",""))))),1,0))</f>
        <v/>
      </c>
      <c r="Q2075" s="6" t="str">
        <f>IF($K2075="","",IF(ISNUMBER(SEARCH("transfert-interne",IFERROR(INDEX('Paramètres'!$N:$N,MATCH($D2075,'Paramètres'!$M:$M,0))&amp;"",""))),0,IF($L2075="Débit",$K2075,IF($P2075=1,-$K2075,0))))</f>
        <v/>
      </c>
      <c r="R2075" s="6" t="str">
        <f>IF($K2075="","",IF($L2075="Crédit",$K2075,-$K2075))</f>
        <v/>
      </c>
      <c r="S2075" s="6" t="str">
        <f>IF($C2075="","",IFERROR(INDEX('Paramètres'!$H:$H,MATCH($C2075,'Paramètres'!$D:$D,0))&amp;"",""))</f>
        <v/>
      </c>
      <c r="T2075" s="6" t="str">
        <f>IF($K2075="","",IF($S2075="",0,IF(ISNUMBER(SEARCH("apport-exterieur",IFERROR(INDEX('Paramètres'!$N:$N,MATCH($D2075,'Paramètres'!$M:$M,0))&amp;"",""))),0,IF(OR(IFERROR(INDEX('Paramètres'!$I:$I,MATCH($C2075,'Paramètres'!$D:$D,0))&amp;"","")="Les deux",IFERROR(INDEX('Paramètres'!$I:$I,MATCH($C2075,'Paramètres'!$D:$D,0))&amp;"","")=IF($P2075=1,"Débit",$L2075)),-IF($P2075=1,-$K2075,$K2075),0))))</f>
        <v/>
      </c>
      <c r="U2075" s="6" t="str">
        <f>IF($K2075="","",IF(ISNUMBER(SEARCH("sortie-epargne",IFERROR(INDEX('Paramètres'!$N:$N,MATCH($D2075,'Paramètres'!$M:$M,0))&amp;"",""))),$K2075,0))</f>
        <v/>
      </c>
      <c r="V2075" s="6" t="str">
        <f>IF(AND($A2075&lt;&gt;"",$O2075=1,$L2075="Débit",N($Q2075)&gt;0,$A2075&gt;=Visualisation!$B$1,$A2075&lt;Visualisation!$D$1),MAX($V$1:V2074)+1,"")</f>
        <v/>
      </c>
    </row>
    <row r="2076" spans="1:22" x14ac:dyDescent="0.25">
      <c r="A2076" s="9"/>
      <c r="E2076" s="10"/>
      <c r="K2076" s="11" t="str">
        <f>IF($E2076="","",ROUND($E2076*IF(ISNA(MATCH($C2076,'Paramètres'!$D:$D,0)),1,IF(INDEX('Paramètres'!$J:$J,MATCH($C2076,'Paramètres'!$D:$D,0))="",1,INDEX('Paramètres'!$J:$J,MATCH($C2076,'Paramètres'!$D:$D,0)))),2))</f>
        <v/>
      </c>
      <c r="L2076" s="6" t="str">
        <f>IF($D2076="","",IF($F2076&lt;&gt;"",$F2076,IF(ISNA(MATCH($D2076,'Paramètres'!$M:$M,0)),"⚠ Type inconnu",IFERROR(INDEX('Paramètres'!$P:$P,MATCH($D2076,'Paramètres'!$M:$M,0))&amp;"",""))))</f>
        <v/>
      </c>
      <c r="M2076" s="6" t="str">
        <f>IF($D2076="","",IF(ISNA(MATCH($D2076,'Paramètres'!$M:$M,0)),"⚠ Type inconnu",IF($L2076="Crédit","",IFERROR(INDEX('Paramètres'!$O:$O,MATCH($D2076,'Paramètres'!$M:$M,0))&amp;"",""))))</f>
        <v/>
      </c>
      <c r="N2076" s="6" t="str">
        <f>IF($D2076="","",IFERROR(INDEX('Paramètres'!$Q:$Q,MATCH($D2076,'Paramètres'!$M:$M,0))&amp;"",""))</f>
        <v/>
      </c>
      <c r="O2076" s="6" t="str">
        <f>IF($A2076="","",IF(OR($J2076&lt;&gt;"x",$A2076&lt;=FinReleve),1,0))</f>
        <v/>
      </c>
      <c r="P2076" s="6" t="str">
        <f>IF($D2076="","",IF(AND($L2076="Crédit",OR(IFERROR(INDEX('Paramètres'!$O:$O,MATCH($D2076,'Paramètres'!$M:$M,0))&amp;"","")&lt;&gt;"",ISNUMBER(SEARCH("remboursement",IFERROR(INDEX('Paramètres'!$N:$N,MATCH($D2076,'Paramètres'!$M:$M,0))&amp;"",""))))),1,0))</f>
        <v/>
      </c>
      <c r="Q2076" s="6" t="str">
        <f>IF($K2076="","",IF(ISNUMBER(SEARCH("transfert-interne",IFERROR(INDEX('Paramètres'!$N:$N,MATCH($D2076,'Paramètres'!$M:$M,0))&amp;"",""))),0,IF($L2076="Débit",$K2076,IF($P2076=1,-$K2076,0))))</f>
        <v/>
      </c>
      <c r="R2076" s="6" t="str">
        <f>IF($K2076="","",IF($L2076="Crédit",$K2076,-$K2076))</f>
        <v/>
      </c>
      <c r="S2076" s="6" t="str">
        <f>IF($C2076="","",IFERROR(INDEX('Paramètres'!$H:$H,MATCH($C2076,'Paramètres'!$D:$D,0))&amp;"",""))</f>
        <v/>
      </c>
      <c r="T2076" s="6" t="str">
        <f>IF($K2076="","",IF($S2076="",0,IF(ISNUMBER(SEARCH("apport-exterieur",IFERROR(INDEX('Paramètres'!$N:$N,MATCH($D2076,'Paramètres'!$M:$M,0))&amp;"",""))),0,IF(OR(IFERROR(INDEX('Paramètres'!$I:$I,MATCH($C2076,'Paramètres'!$D:$D,0))&amp;"","")="Les deux",IFERROR(INDEX('Paramètres'!$I:$I,MATCH($C2076,'Paramètres'!$D:$D,0))&amp;"","")=IF($P2076=1,"Débit",$L2076)),-IF($P2076=1,-$K2076,$K2076),0))))</f>
        <v/>
      </c>
      <c r="U2076" s="6" t="str">
        <f>IF($K2076="","",IF(ISNUMBER(SEARCH("sortie-epargne",IFERROR(INDEX('Paramètres'!$N:$N,MATCH($D2076,'Paramètres'!$M:$M,0))&amp;"",""))),$K2076,0))</f>
        <v/>
      </c>
      <c r="V2076" s="6" t="str">
        <f>IF(AND($A2076&lt;&gt;"",$O2076=1,$L2076="Débit",N($Q2076)&gt;0,$A2076&gt;=Visualisation!$B$1,$A2076&lt;Visualisation!$D$1),MAX($V$1:V2075)+1,"")</f>
        <v/>
      </c>
    </row>
    <row r="2077" spans="1:22" x14ac:dyDescent="0.25">
      <c r="A2077" s="9"/>
      <c r="E2077" s="10"/>
      <c r="K2077" s="11" t="str">
        <f>IF($E2077="","",ROUND($E2077*IF(ISNA(MATCH($C2077,'Paramètres'!$D:$D,0)),1,IF(INDEX('Paramètres'!$J:$J,MATCH($C2077,'Paramètres'!$D:$D,0))="",1,INDEX('Paramètres'!$J:$J,MATCH($C2077,'Paramètres'!$D:$D,0)))),2))</f>
        <v/>
      </c>
      <c r="L2077" s="6" t="str">
        <f>IF($D2077="","",IF($F2077&lt;&gt;"",$F2077,IF(ISNA(MATCH($D2077,'Paramètres'!$M:$M,0)),"⚠ Type inconnu",IFERROR(INDEX('Paramètres'!$P:$P,MATCH($D2077,'Paramètres'!$M:$M,0))&amp;"",""))))</f>
        <v/>
      </c>
      <c r="M2077" s="6" t="str">
        <f>IF($D2077="","",IF(ISNA(MATCH($D2077,'Paramètres'!$M:$M,0)),"⚠ Type inconnu",IF($L2077="Crédit","",IFERROR(INDEX('Paramètres'!$O:$O,MATCH($D2077,'Paramètres'!$M:$M,0))&amp;"",""))))</f>
        <v/>
      </c>
      <c r="N2077" s="6" t="str">
        <f>IF($D2077="","",IFERROR(INDEX('Paramètres'!$Q:$Q,MATCH($D2077,'Paramètres'!$M:$M,0))&amp;"",""))</f>
        <v/>
      </c>
      <c r="O2077" s="6" t="str">
        <f>IF($A2077="","",IF(OR($J2077&lt;&gt;"x",$A2077&lt;=FinReleve),1,0))</f>
        <v/>
      </c>
      <c r="P2077" s="6" t="str">
        <f>IF($D2077="","",IF(AND($L2077="Crédit",OR(IFERROR(INDEX('Paramètres'!$O:$O,MATCH($D2077,'Paramètres'!$M:$M,0))&amp;"","")&lt;&gt;"",ISNUMBER(SEARCH("remboursement",IFERROR(INDEX('Paramètres'!$N:$N,MATCH($D2077,'Paramètres'!$M:$M,0))&amp;"",""))))),1,0))</f>
        <v/>
      </c>
      <c r="Q2077" s="6" t="str">
        <f>IF($K2077="","",IF(ISNUMBER(SEARCH("transfert-interne",IFERROR(INDEX('Paramètres'!$N:$N,MATCH($D2077,'Paramètres'!$M:$M,0))&amp;"",""))),0,IF($L2077="Débit",$K2077,IF($P2077=1,-$K2077,0))))</f>
        <v/>
      </c>
      <c r="R2077" s="6" t="str">
        <f>IF($K2077="","",IF($L2077="Crédit",$K2077,-$K2077))</f>
        <v/>
      </c>
      <c r="S2077" s="6" t="str">
        <f>IF($C2077="","",IFERROR(INDEX('Paramètres'!$H:$H,MATCH($C2077,'Paramètres'!$D:$D,0))&amp;"",""))</f>
        <v/>
      </c>
      <c r="T2077" s="6" t="str">
        <f>IF($K2077="","",IF($S2077="",0,IF(ISNUMBER(SEARCH("apport-exterieur",IFERROR(INDEX('Paramètres'!$N:$N,MATCH($D2077,'Paramètres'!$M:$M,0))&amp;"",""))),0,IF(OR(IFERROR(INDEX('Paramètres'!$I:$I,MATCH($C2077,'Paramètres'!$D:$D,0))&amp;"","")="Les deux",IFERROR(INDEX('Paramètres'!$I:$I,MATCH($C2077,'Paramètres'!$D:$D,0))&amp;"","")=IF($P2077=1,"Débit",$L2077)),-IF($P2077=1,-$K2077,$K2077),0))))</f>
        <v/>
      </c>
      <c r="U2077" s="6" t="str">
        <f>IF($K2077="","",IF(ISNUMBER(SEARCH("sortie-epargne",IFERROR(INDEX('Paramètres'!$N:$N,MATCH($D2077,'Paramètres'!$M:$M,0))&amp;"",""))),$K2077,0))</f>
        <v/>
      </c>
      <c r="V2077" s="6" t="str">
        <f>IF(AND($A2077&lt;&gt;"",$O2077=1,$L2077="Débit",N($Q2077)&gt;0,$A2077&gt;=Visualisation!$B$1,$A2077&lt;Visualisation!$D$1),MAX($V$1:V2076)+1,"")</f>
        <v/>
      </c>
    </row>
    <row r="2078" spans="1:22" x14ac:dyDescent="0.25">
      <c r="A2078" s="9"/>
      <c r="E2078" s="10"/>
      <c r="K2078" s="11" t="str">
        <f>IF($E2078="","",ROUND($E2078*IF(ISNA(MATCH($C2078,'Paramètres'!$D:$D,0)),1,IF(INDEX('Paramètres'!$J:$J,MATCH($C2078,'Paramètres'!$D:$D,0))="",1,INDEX('Paramètres'!$J:$J,MATCH($C2078,'Paramètres'!$D:$D,0)))),2))</f>
        <v/>
      </c>
      <c r="L2078" s="6" t="str">
        <f>IF($D2078="","",IF($F2078&lt;&gt;"",$F2078,IF(ISNA(MATCH($D2078,'Paramètres'!$M:$M,0)),"⚠ Type inconnu",IFERROR(INDEX('Paramètres'!$P:$P,MATCH($D2078,'Paramètres'!$M:$M,0))&amp;"",""))))</f>
        <v/>
      </c>
      <c r="M2078" s="6" t="str">
        <f>IF($D2078="","",IF(ISNA(MATCH($D2078,'Paramètres'!$M:$M,0)),"⚠ Type inconnu",IF($L2078="Crédit","",IFERROR(INDEX('Paramètres'!$O:$O,MATCH($D2078,'Paramètres'!$M:$M,0))&amp;"",""))))</f>
        <v/>
      </c>
      <c r="N2078" s="6" t="str">
        <f>IF($D2078="","",IFERROR(INDEX('Paramètres'!$Q:$Q,MATCH($D2078,'Paramètres'!$M:$M,0))&amp;"",""))</f>
        <v/>
      </c>
      <c r="O2078" s="6" t="str">
        <f>IF($A2078="","",IF(OR($J2078&lt;&gt;"x",$A2078&lt;=FinReleve),1,0))</f>
        <v/>
      </c>
      <c r="P2078" s="6" t="str">
        <f>IF($D2078="","",IF(AND($L2078="Crédit",OR(IFERROR(INDEX('Paramètres'!$O:$O,MATCH($D2078,'Paramètres'!$M:$M,0))&amp;"","")&lt;&gt;"",ISNUMBER(SEARCH("remboursement",IFERROR(INDEX('Paramètres'!$N:$N,MATCH($D2078,'Paramètres'!$M:$M,0))&amp;"",""))))),1,0))</f>
        <v/>
      </c>
      <c r="Q2078" s="6" t="str">
        <f>IF($K2078="","",IF(ISNUMBER(SEARCH("transfert-interne",IFERROR(INDEX('Paramètres'!$N:$N,MATCH($D2078,'Paramètres'!$M:$M,0))&amp;"",""))),0,IF($L2078="Débit",$K2078,IF($P2078=1,-$K2078,0))))</f>
        <v/>
      </c>
      <c r="R2078" s="6" t="str">
        <f>IF($K2078="","",IF($L2078="Crédit",$K2078,-$K2078))</f>
        <v/>
      </c>
      <c r="S2078" s="6" t="str">
        <f>IF($C2078="","",IFERROR(INDEX('Paramètres'!$H:$H,MATCH($C2078,'Paramètres'!$D:$D,0))&amp;"",""))</f>
        <v/>
      </c>
      <c r="T2078" s="6" t="str">
        <f>IF($K2078="","",IF($S2078="",0,IF(ISNUMBER(SEARCH("apport-exterieur",IFERROR(INDEX('Paramètres'!$N:$N,MATCH($D2078,'Paramètres'!$M:$M,0))&amp;"",""))),0,IF(OR(IFERROR(INDEX('Paramètres'!$I:$I,MATCH($C2078,'Paramètres'!$D:$D,0))&amp;"","")="Les deux",IFERROR(INDEX('Paramètres'!$I:$I,MATCH($C2078,'Paramètres'!$D:$D,0))&amp;"","")=IF($P2078=1,"Débit",$L2078)),-IF($P2078=1,-$K2078,$K2078),0))))</f>
        <v/>
      </c>
      <c r="U2078" s="6" t="str">
        <f>IF($K2078="","",IF(ISNUMBER(SEARCH("sortie-epargne",IFERROR(INDEX('Paramètres'!$N:$N,MATCH($D2078,'Paramètres'!$M:$M,0))&amp;"",""))),$K2078,0))</f>
        <v/>
      </c>
      <c r="V2078" s="6" t="str">
        <f>IF(AND($A2078&lt;&gt;"",$O2078=1,$L2078="Débit",N($Q2078)&gt;0,$A2078&gt;=Visualisation!$B$1,$A2078&lt;Visualisation!$D$1),MAX($V$1:V2077)+1,"")</f>
        <v/>
      </c>
    </row>
    <row r="2079" spans="1:22" x14ac:dyDescent="0.25">
      <c r="A2079" s="9"/>
      <c r="E2079" s="10"/>
      <c r="K2079" s="11" t="str">
        <f>IF($E2079="","",ROUND($E2079*IF(ISNA(MATCH($C2079,'Paramètres'!$D:$D,0)),1,IF(INDEX('Paramètres'!$J:$J,MATCH($C2079,'Paramètres'!$D:$D,0))="",1,INDEX('Paramètres'!$J:$J,MATCH($C2079,'Paramètres'!$D:$D,0)))),2))</f>
        <v/>
      </c>
      <c r="L2079" s="6" t="str">
        <f>IF($D2079="","",IF($F2079&lt;&gt;"",$F2079,IF(ISNA(MATCH($D2079,'Paramètres'!$M:$M,0)),"⚠ Type inconnu",IFERROR(INDEX('Paramètres'!$P:$P,MATCH($D2079,'Paramètres'!$M:$M,0))&amp;"",""))))</f>
        <v/>
      </c>
      <c r="M2079" s="6" t="str">
        <f>IF($D2079="","",IF(ISNA(MATCH($D2079,'Paramètres'!$M:$M,0)),"⚠ Type inconnu",IF($L2079="Crédit","",IFERROR(INDEX('Paramètres'!$O:$O,MATCH($D2079,'Paramètres'!$M:$M,0))&amp;"",""))))</f>
        <v/>
      </c>
      <c r="N2079" s="6" t="str">
        <f>IF($D2079="","",IFERROR(INDEX('Paramètres'!$Q:$Q,MATCH($D2079,'Paramètres'!$M:$M,0))&amp;"",""))</f>
        <v/>
      </c>
      <c r="O2079" s="6" t="str">
        <f>IF($A2079="","",IF(OR($J2079&lt;&gt;"x",$A2079&lt;=FinReleve),1,0))</f>
        <v/>
      </c>
      <c r="P2079" s="6" t="str">
        <f>IF($D2079="","",IF(AND($L2079="Crédit",OR(IFERROR(INDEX('Paramètres'!$O:$O,MATCH($D2079,'Paramètres'!$M:$M,0))&amp;"","")&lt;&gt;"",ISNUMBER(SEARCH("remboursement",IFERROR(INDEX('Paramètres'!$N:$N,MATCH($D2079,'Paramètres'!$M:$M,0))&amp;"",""))))),1,0))</f>
        <v/>
      </c>
      <c r="Q2079" s="6" t="str">
        <f>IF($K2079="","",IF(ISNUMBER(SEARCH("transfert-interne",IFERROR(INDEX('Paramètres'!$N:$N,MATCH($D2079,'Paramètres'!$M:$M,0))&amp;"",""))),0,IF($L2079="Débit",$K2079,IF($P2079=1,-$K2079,0))))</f>
        <v/>
      </c>
      <c r="R2079" s="6" t="str">
        <f>IF($K2079="","",IF($L2079="Crédit",$K2079,-$K2079))</f>
        <v/>
      </c>
      <c r="S2079" s="6" t="str">
        <f>IF($C2079="","",IFERROR(INDEX('Paramètres'!$H:$H,MATCH($C2079,'Paramètres'!$D:$D,0))&amp;"",""))</f>
        <v/>
      </c>
      <c r="T2079" s="6" t="str">
        <f>IF($K2079="","",IF($S2079="",0,IF(ISNUMBER(SEARCH("apport-exterieur",IFERROR(INDEX('Paramètres'!$N:$N,MATCH($D2079,'Paramètres'!$M:$M,0))&amp;"",""))),0,IF(OR(IFERROR(INDEX('Paramètres'!$I:$I,MATCH($C2079,'Paramètres'!$D:$D,0))&amp;"","")="Les deux",IFERROR(INDEX('Paramètres'!$I:$I,MATCH($C2079,'Paramètres'!$D:$D,0))&amp;"","")=IF($P2079=1,"Débit",$L2079)),-IF($P2079=1,-$K2079,$K2079),0))))</f>
        <v/>
      </c>
      <c r="U2079" s="6" t="str">
        <f>IF($K2079="","",IF(ISNUMBER(SEARCH("sortie-epargne",IFERROR(INDEX('Paramètres'!$N:$N,MATCH($D2079,'Paramètres'!$M:$M,0))&amp;"",""))),$K2079,0))</f>
        <v/>
      </c>
      <c r="V2079" s="6" t="str">
        <f>IF(AND($A2079&lt;&gt;"",$O2079=1,$L2079="Débit",N($Q2079)&gt;0,$A2079&gt;=Visualisation!$B$1,$A2079&lt;Visualisation!$D$1),MAX($V$1:V2078)+1,"")</f>
        <v/>
      </c>
    </row>
    <row r="2080" spans="1:22" x14ac:dyDescent="0.25">
      <c r="A2080" s="9"/>
      <c r="E2080" s="10"/>
      <c r="K2080" s="11" t="str">
        <f>IF($E2080="","",ROUND($E2080*IF(ISNA(MATCH($C2080,'Paramètres'!$D:$D,0)),1,IF(INDEX('Paramètres'!$J:$J,MATCH($C2080,'Paramètres'!$D:$D,0))="",1,INDEX('Paramètres'!$J:$J,MATCH($C2080,'Paramètres'!$D:$D,0)))),2))</f>
        <v/>
      </c>
      <c r="L2080" s="6" t="str">
        <f>IF($D2080="","",IF($F2080&lt;&gt;"",$F2080,IF(ISNA(MATCH($D2080,'Paramètres'!$M:$M,0)),"⚠ Type inconnu",IFERROR(INDEX('Paramètres'!$P:$P,MATCH($D2080,'Paramètres'!$M:$M,0))&amp;"",""))))</f>
        <v/>
      </c>
      <c r="M2080" s="6" t="str">
        <f>IF($D2080="","",IF(ISNA(MATCH($D2080,'Paramètres'!$M:$M,0)),"⚠ Type inconnu",IF($L2080="Crédit","",IFERROR(INDEX('Paramètres'!$O:$O,MATCH($D2080,'Paramètres'!$M:$M,0))&amp;"",""))))</f>
        <v/>
      </c>
      <c r="N2080" s="6" t="str">
        <f>IF($D2080="","",IFERROR(INDEX('Paramètres'!$Q:$Q,MATCH($D2080,'Paramètres'!$M:$M,0))&amp;"",""))</f>
        <v/>
      </c>
      <c r="O2080" s="6" t="str">
        <f>IF($A2080="","",IF(OR($J2080&lt;&gt;"x",$A2080&lt;=FinReleve),1,0))</f>
        <v/>
      </c>
      <c r="P2080" s="6" t="str">
        <f>IF($D2080="","",IF(AND($L2080="Crédit",OR(IFERROR(INDEX('Paramètres'!$O:$O,MATCH($D2080,'Paramètres'!$M:$M,0))&amp;"","")&lt;&gt;"",ISNUMBER(SEARCH("remboursement",IFERROR(INDEX('Paramètres'!$N:$N,MATCH($D2080,'Paramètres'!$M:$M,0))&amp;"",""))))),1,0))</f>
        <v/>
      </c>
      <c r="Q2080" s="6" t="str">
        <f>IF($K2080="","",IF(ISNUMBER(SEARCH("transfert-interne",IFERROR(INDEX('Paramètres'!$N:$N,MATCH($D2080,'Paramètres'!$M:$M,0))&amp;"",""))),0,IF($L2080="Débit",$K2080,IF($P2080=1,-$K2080,0))))</f>
        <v/>
      </c>
      <c r="R2080" s="6" t="str">
        <f>IF($K2080="","",IF($L2080="Crédit",$K2080,-$K2080))</f>
        <v/>
      </c>
      <c r="S2080" s="6" t="str">
        <f>IF($C2080="","",IFERROR(INDEX('Paramètres'!$H:$H,MATCH($C2080,'Paramètres'!$D:$D,0))&amp;"",""))</f>
        <v/>
      </c>
      <c r="T2080" s="6" t="str">
        <f>IF($K2080="","",IF($S2080="",0,IF(ISNUMBER(SEARCH("apport-exterieur",IFERROR(INDEX('Paramètres'!$N:$N,MATCH($D2080,'Paramètres'!$M:$M,0))&amp;"",""))),0,IF(OR(IFERROR(INDEX('Paramètres'!$I:$I,MATCH($C2080,'Paramètres'!$D:$D,0))&amp;"","")="Les deux",IFERROR(INDEX('Paramètres'!$I:$I,MATCH($C2080,'Paramètres'!$D:$D,0))&amp;"","")=IF($P2080=1,"Débit",$L2080)),-IF($P2080=1,-$K2080,$K2080),0))))</f>
        <v/>
      </c>
      <c r="U2080" s="6" t="str">
        <f>IF($K2080="","",IF(ISNUMBER(SEARCH("sortie-epargne",IFERROR(INDEX('Paramètres'!$N:$N,MATCH($D2080,'Paramètres'!$M:$M,0))&amp;"",""))),$K2080,0))</f>
        <v/>
      </c>
      <c r="V2080" s="6" t="str">
        <f>IF(AND($A2080&lt;&gt;"",$O2080=1,$L2080="Débit",N($Q2080)&gt;0,$A2080&gt;=Visualisation!$B$1,$A2080&lt;Visualisation!$D$1),MAX($V$1:V2079)+1,"")</f>
        <v/>
      </c>
    </row>
    <row r="2081" spans="1:22" x14ac:dyDescent="0.25">
      <c r="A2081" s="9"/>
      <c r="E2081" s="10"/>
      <c r="K2081" s="11" t="str">
        <f>IF($E2081="","",ROUND($E2081*IF(ISNA(MATCH($C2081,'Paramètres'!$D:$D,0)),1,IF(INDEX('Paramètres'!$J:$J,MATCH($C2081,'Paramètres'!$D:$D,0))="",1,INDEX('Paramètres'!$J:$J,MATCH($C2081,'Paramètres'!$D:$D,0)))),2))</f>
        <v/>
      </c>
      <c r="L2081" s="6" t="str">
        <f>IF($D2081="","",IF($F2081&lt;&gt;"",$F2081,IF(ISNA(MATCH($D2081,'Paramètres'!$M:$M,0)),"⚠ Type inconnu",IFERROR(INDEX('Paramètres'!$P:$P,MATCH($D2081,'Paramètres'!$M:$M,0))&amp;"",""))))</f>
        <v/>
      </c>
      <c r="M2081" s="6" t="str">
        <f>IF($D2081="","",IF(ISNA(MATCH($D2081,'Paramètres'!$M:$M,0)),"⚠ Type inconnu",IF($L2081="Crédit","",IFERROR(INDEX('Paramètres'!$O:$O,MATCH($D2081,'Paramètres'!$M:$M,0))&amp;"",""))))</f>
        <v/>
      </c>
      <c r="N2081" s="6" t="str">
        <f>IF($D2081="","",IFERROR(INDEX('Paramètres'!$Q:$Q,MATCH($D2081,'Paramètres'!$M:$M,0))&amp;"",""))</f>
        <v/>
      </c>
      <c r="O2081" s="6" t="str">
        <f>IF($A2081="","",IF(OR($J2081&lt;&gt;"x",$A2081&lt;=FinReleve),1,0))</f>
        <v/>
      </c>
      <c r="P2081" s="6" t="str">
        <f>IF($D2081="","",IF(AND($L2081="Crédit",OR(IFERROR(INDEX('Paramètres'!$O:$O,MATCH($D2081,'Paramètres'!$M:$M,0))&amp;"","")&lt;&gt;"",ISNUMBER(SEARCH("remboursement",IFERROR(INDEX('Paramètres'!$N:$N,MATCH($D2081,'Paramètres'!$M:$M,0))&amp;"",""))))),1,0))</f>
        <v/>
      </c>
      <c r="Q2081" s="6" t="str">
        <f>IF($K2081="","",IF(ISNUMBER(SEARCH("transfert-interne",IFERROR(INDEX('Paramètres'!$N:$N,MATCH($D2081,'Paramètres'!$M:$M,0))&amp;"",""))),0,IF($L2081="Débit",$K2081,IF($P2081=1,-$K2081,0))))</f>
        <v/>
      </c>
      <c r="R2081" s="6" t="str">
        <f>IF($K2081="","",IF($L2081="Crédit",$K2081,-$K2081))</f>
        <v/>
      </c>
      <c r="S2081" s="6" t="str">
        <f>IF($C2081="","",IFERROR(INDEX('Paramètres'!$H:$H,MATCH($C2081,'Paramètres'!$D:$D,0))&amp;"",""))</f>
        <v/>
      </c>
      <c r="T2081" s="6" t="str">
        <f>IF($K2081="","",IF($S2081="",0,IF(ISNUMBER(SEARCH("apport-exterieur",IFERROR(INDEX('Paramètres'!$N:$N,MATCH($D2081,'Paramètres'!$M:$M,0))&amp;"",""))),0,IF(OR(IFERROR(INDEX('Paramètres'!$I:$I,MATCH($C2081,'Paramètres'!$D:$D,0))&amp;"","")="Les deux",IFERROR(INDEX('Paramètres'!$I:$I,MATCH($C2081,'Paramètres'!$D:$D,0))&amp;"","")=IF($P2081=1,"Débit",$L2081)),-IF($P2081=1,-$K2081,$K2081),0))))</f>
        <v/>
      </c>
      <c r="U2081" s="6" t="str">
        <f>IF($K2081="","",IF(ISNUMBER(SEARCH("sortie-epargne",IFERROR(INDEX('Paramètres'!$N:$N,MATCH($D2081,'Paramètres'!$M:$M,0))&amp;"",""))),$K2081,0))</f>
        <v/>
      </c>
      <c r="V2081" s="6" t="str">
        <f>IF(AND($A2081&lt;&gt;"",$O2081=1,$L2081="Débit",N($Q2081)&gt;0,$A2081&gt;=Visualisation!$B$1,$A2081&lt;Visualisation!$D$1),MAX($V$1:V2080)+1,"")</f>
        <v/>
      </c>
    </row>
    <row r="2082" spans="1:22" x14ac:dyDescent="0.25">
      <c r="A2082" s="9"/>
      <c r="E2082" s="10"/>
      <c r="K2082" s="11" t="str">
        <f>IF($E2082="","",ROUND($E2082*IF(ISNA(MATCH($C2082,'Paramètres'!$D:$D,0)),1,IF(INDEX('Paramètres'!$J:$J,MATCH($C2082,'Paramètres'!$D:$D,0))="",1,INDEX('Paramètres'!$J:$J,MATCH($C2082,'Paramètres'!$D:$D,0)))),2))</f>
        <v/>
      </c>
      <c r="L2082" s="6" t="str">
        <f>IF($D2082="","",IF($F2082&lt;&gt;"",$F2082,IF(ISNA(MATCH($D2082,'Paramètres'!$M:$M,0)),"⚠ Type inconnu",IFERROR(INDEX('Paramètres'!$P:$P,MATCH($D2082,'Paramètres'!$M:$M,0))&amp;"",""))))</f>
        <v/>
      </c>
      <c r="M2082" s="6" t="str">
        <f>IF($D2082="","",IF(ISNA(MATCH($D2082,'Paramètres'!$M:$M,0)),"⚠ Type inconnu",IF($L2082="Crédit","",IFERROR(INDEX('Paramètres'!$O:$O,MATCH($D2082,'Paramètres'!$M:$M,0))&amp;"",""))))</f>
        <v/>
      </c>
      <c r="N2082" s="6" t="str">
        <f>IF($D2082="","",IFERROR(INDEX('Paramètres'!$Q:$Q,MATCH($D2082,'Paramètres'!$M:$M,0))&amp;"",""))</f>
        <v/>
      </c>
      <c r="O2082" s="6" t="str">
        <f>IF($A2082="","",IF(OR($J2082&lt;&gt;"x",$A2082&lt;=FinReleve),1,0))</f>
        <v/>
      </c>
      <c r="P2082" s="6" t="str">
        <f>IF($D2082="","",IF(AND($L2082="Crédit",OR(IFERROR(INDEX('Paramètres'!$O:$O,MATCH($D2082,'Paramètres'!$M:$M,0))&amp;"","")&lt;&gt;"",ISNUMBER(SEARCH("remboursement",IFERROR(INDEX('Paramètres'!$N:$N,MATCH($D2082,'Paramètres'!$M:$M,0))&amp;"",""))))),1,0))</f>
        <v/>
      </c>
      <c r="Q2082" s="6" t="str">
        <f>IF($K2082="","",IF(ISNUMBER(SEARCH("transfert-interne",IFERROR(INDEX('Paramètres'!$N:$N,MATCH($D2082,'Paramètres'!$M:$M,0))&amp;"",""))),0,IF($L2082="Débit",$K2082,IF($P2082=1,-$K2082,0))))</f>
        <v/>
      </c>
      <c r="R2082" s="6" t="str">
        <f>IF($K2082="","",IF($L2082="Crédit",$K2082,-$K2082))</f>
        <v/>
      </c>
      <c r="S2082" s="6" t="str">
        <f>IF($C2082="","",IFERROR(INDEX('Paramètres'!$H:$H,MATCH($C2082,'Paramètres'!$D:$D,0))&amp;"",""))</f>
        <v/>
      </c>
      <c r="T2082" s="6" t="str">
        <f>IF($K2082="","",IF($S2082="",0,IF(ISNUMBER(SEARCH("apport-exterieur",IFERROR(INDEX('Paramètres'!$N:$N,MATCH($D2082,'Paramètres'!$M:$M,0))&amp;"",""))),0,IF(OR(IFERROR(INDEX('Paramètres'!$I:$I,MATCH($C2082,'Paramètres'!$D:$D,0))&amp;"","")="Les deux",IFERROR(INDEX('Paramètres'!$I:$I,MATCH($C2082,'Paramètres'!$D:$D,0))&amp;"","")=IF($P2082=1,"Débit",$L2082)),-IF($P2082=1,-$K2082,$K2082),0))))</f>
        <v/>
      </c>
      <c r="U2082" s="6" t="str">
        <f>IF($K2082="","",IF(ISNUMBER(SEARCH("sortie-epargne",IFERROR(INDEX('Paramètres'!$N:$N,MATCH($D2082,'Paramètres'!$M:$M,0))&amp;"",""))),$K2082,0))</f>
        <v/>
      </c>
      <c r="V2082" s="6" t="str">
        <f>IF(AND($A2082&lt;&gt;"",$O2082=1,$L2082="Débit",N($Q2082)&gt;0,$A2082&gt;=Visualisation!$B$1,$A2082&lt;Visualisation!$D$1),MAX($V$1:V2081)+1,"")</f>
        <v/>
      </c>
    </row>
    <row r="2083" spans="1:22" x14ac:dyDescent="0.25">
      <c r="A2083" s="9"/>
      <c r="E2083" s="10"/>
      <c r="K2083" s="11" t="str">
        <f>IF($E2083="","",ROUND($E2083*IF(ISNA(MATCH($C2083,'Paramètres'!$D:$D,0)),1,IF(INDEX('Paramètres'!$J:$J,MATCH($C2083,'Paramètres'!$D:$D,0))="",1,INDEX('Paramètres'!$J:$J,MATCH($C2083,'Paramètres'!$D:$D,0)))),2))</f>
        <v/>
      </c>
      <c r="L2083" s="6" t="str">
        <f>IF($D2083="","",IF($F2083&lt;&gt;"",$F2083,IF(ISNA(MATCH($D2083,'Paramètres'!$M:$M,0)),"⚠ Type inconnu",IFERROR(INDEX('Paramètres'!$P:$P,MATCH($D2083,'Paramètres'!$M:$M,0))&amp;"",""))))</f>
        <v/>
      </c>
      <c r="M2083" s="6" t="str">
        <f>IF($D2083="","",IF(ISNA(MATCH($D2083,'Paramètres'!$M:$M,0)),"⚠ Type inconnu",IF($L2083="Crédit","",IFERROR(INDEX('Paramètres'!$O:$O,MATCH($D2083,'Paramètres'!$M:$M,0))&amp;"",""))))</f>
        <v/>
      </c>
      <c r="N2083" s="6" t="str">
        <f>IF($D2083="","",IFERROR(INDEX('Paramètres'!$Q:$Q,MATCH($D2083,'Paramètres'!$M:$M,0))&amp;"",""))</f>
        <v/>
      </c>
      <c r="O2083" s="6" t="str">
        <f>IF($A2083="","",IF(OR($J2083&lt;&gt;"x",$A2083&lt;=FinReleve),1,0))</f>
        <v/>
      </c>
      <c r="P2083" s="6" t="str">
        <f>IF($D2083="","",IF(AND($L2083="Crédit",OR(IFERROR(INDEX('Paramètres'!$O:$O,MATCH($D2083,'Paramètres'!$M:$M,0))&amp;"","")&lt;&gt;"",ISNUMBER(SEARCH("remboursement",IFERROR(INDEX('Paramètres'!$N:$N,MATCH($D2083,'Paramètres'!$M:$M,0))&amp;"",""))))),1,0))</f>
        <v/>
      </c>
      <c r="Q2083" s="6" t="str">
        <f>IF($K2083="","",IF(ISNUMBER(SEARCH("transfert-interne",IFERROR(INDEX('Paramètres'!$N:$N,MATCH($D2083,'Paramètres'!$M:$M,0))&amp;"",""))),0,IF($L2083="Débit",$K2083,IF($P2083=1,-$K2083,0))))</f>
        <v/>
      </c>
      <c r="R2083" s="6" t="str">
        <f>IF($K2083="","",IF($L2083="Crédit",$K2083,-$K2083))</f>
        <v/>
      </c>
      <c r="S2083" s="6" t="str">
        <f>IF($C2083="","",IFERROR(INDEX('Paramètres'!$H:$H,MATCH($C2083,'Paramètres'!$D:$D,0))&amp;"",""))</f>
        <v/>
      </c>
      <c r="T2083" s="6" t="str">
        <f>IF($K2083="","",IF($S2083="",0,IF(ISNUMBER(SEARCH("apport-exterieur",IFERROR(INDEX('Paramètres'!$N:$N,MATCH($D2083,'Paramètres'!$M:$M,0))&amp;"",""))),0,IF(OR(IFERROR(INDEX('Paramètres'!$I:$I,MATCH($C2083,'Paramètres'!$D:$D,0))&amp;"","")="Les deux",IFERROR(INDEX('Paramètres'!$I:$I,MATCH($C2083,'Paramètres'!$D:$D,0))&amp;"","")=IF($P2083=1,"Débit",$L2083)),-IF($P2083=1,-$K2083,$K2083),0))))</f>
        <v/>
      </c>
      <c r="U2083" s="6" t="str">
        <f>IF($K2083="","",IF(ISNUMBER(SEARCH("sortie-epargne",IFERROR(INDEX('Paramètres'!$N:$N,MATCH($D2083,'Paramètres'!$M:$M,0))&amp;"",""))),$K2083,0))</f>
        <v/>
      </c>
      <c r="V2083" s="6" t="str">
        <f>IF(AND($A2083&lt;&gt;"",$O2083=1,$L2083="Débit",N($Q2083)&gt;0,$A2083&gt;=Visualisation!$B$1,$A2083&lt;Visualisation!$D$1),MAX($V$1:V2082)+1,"")</f>
        <v/>
      </c>
    </row>
    <row r="2084" spans="1:22" x14ac:dyDescent="0.25">
      <c r="A2084" s="9"/>
      <c r="E2084" s="10"/>
      <c r="K2084" s="11" t="str">
        <f>IF($E2084="","",ROUND($E2084*IF(ISNA(MATCH($C2084,'Paramètres'!$D:$D,0)),1,IF(INDEX('Paramètres'!$J:$J,MATCH($C2084,'Paramètres'!$D:$D,0))="",1,INDEX('Paramètres'!$J:$J,MATCH($C2084,'Paramètres'!$D:$D,0)))),2))</f>
        <v/>
      </c>
      <c r="L2084" s="6" t="str">
        <f>IF($D2084="","",IF($F2084&lt;&gt;"",$F2084,IF(ISNA(MATCH($D2084,'Paramètres'!$M:$M,0)),"⚠ Type inconnu",IFERROR(INDEX('Paramètres'!$P:$P,MATCH($D2084,'Paramètres'!$M:$M,0))&amp;"",""))))</f>
        <v/>
      </c>
      <c r="M2084" s="6" t="str">
        <f>IF($D2084="","",IF(ISNA(MATCH($D2084,'Paramètres'!$M:$M,0)),"⚠ Type inconnu",IF($L2084="Crédit","",IFERROR(INDEX('Paramètres'!$O:$O,MATCH($D2084,'Paramètres'!$M:$M,0))&amp;"",""))))</f>
        <v/>
      </c>
      <c r="N2084" s="6" t="str">
        <f>IF($D2084="","",IFERROR(INDEX('Paramètres'!$Q:$Q,MATCH($D2084,'Paramètres'!$M:$M,0))&amp;"",""))</f>
        <v/>
      </c>
      <c r="O2084" s="6" t="str">
        <f>IF($A2084="","",IF(OR($J2084&lt;&gt;"x",$A2084&lt;=FinReleve),1,0))</f>
        <v/>
      </c>
      <c r="P2084" s="6" t="str">
        <f>IF($D2084="","",IF(AND($L2084="Crédit",OR(IFERROR(INDEX('Paramètres'!$O:$O,MATCH($D2084,'Paramètres'!$M:$M,0))&amp;"","")&lt;&gt;"",ISNUMBER(SEARCH("remboursement",IFERROR(INDEX('Paramètres'!$N:$N,MATCH($D2084,'Paramètres'!$M:$M,0))&amp;"",""))))),1,0))</f>
        <v/>
      </c>
      <c r="Q2084" s="6" t="str">
        <f>IF($K2084="","",IF(ISNUMBER(SEARCH("transfert-interne",IFERROR(INDEX('Paramètres'!$N:$N,MATCH($D2084,'Paramètres'!$M:$M,0))&amp;"",""))),0,IF($L2084="Débit",$K2084,IF($P2084=1,-$K2084,0))))</f>
        <v/>
      </c>
      <c r="R2084" s="6" t="str">
        <f>IF($K2084="","",IF($L2084="Crédit",$K2084,-$K2084))</f>
        <v/>
      </c>
      <c r="S2084" s="6" t="str">
        <f>IF($C2084="","",IFERROR(INDEX('Paramètres'!$H:$H,MATCH($C2084,'Paramètres'!$D:$D,0))&amp;"",""))</f>
        <v/>
      </c>
      <c r="T2084" s="6" t="str">
        <f>IF($K2084="","",IF($S2084="",0,IF(ISNUMBER(SEARCH("apport-exterieur",IFERROR(INDEX('Paramètres'!$N:$N,MATCH($D2084,'Paramètres'!$M:$M,0))&amp;"",""))),0,IF(OR(IFERROR(INDEX('Paramètres'!$I:$I,MATCH($C2084,'Paramètres'!$D:$D,0))&amp;"","")="Les deux",IFERROR(INDEX('Paramètres'!$I:$I,MATCH($C2084,'Paramètres'!$D:$D,0))&amp;"","")=IF($P2084=1,"Débit",$L2084)),-IF($P2084=1,-$K2084,$K2084),0))))</f>
        <v/>
      </c>
      <c r="U2084" s="6" t="str">
        <f>IF($K2084="","",IF(ISNUMBER(SEARCH("sortie-epargne",IFERROR(INDEX('Paramètres'!$N:$N,MATCH($D2084,'Paramètres'!$M:$M,0))&amp;"",""))),$K2084,0))</f>
        <v/>
      </c>
      <c r="V2084" s="6" t="str">
        <f>IF(AND($A2084&lt;&gt;"",$O2084=1,$L2084="Débit",N($Q2084)&gt;0,$A2084&gt;=Visualisation!$B$1,$A2084&lt;Visualisation!$D$1),MAX($V$1:V2083)+1,"")</f>
        <v/>
      </c>
    </row>
    <row r="2085" spans="1:22" x14ac:dyDescent="0.25">
      <c r="A2085" s="9"/>
      <c r="E2085" s="10"/>
      <c r="K2085" s="11" t="str">
        <f>IF($E2085="","",ROUND($E2085*IF(ISNA(MATCH($C2085,'Paramètres'!$D:$D,0)),1,IF(INDEX('Paramètres'!$J:$J,MATCH($C2085,'Paramètres'!$D:$D,0))="",1,INDEX('Paramètres'!$J:$J,MATCH($C2085,'Paramètres'!$D:$D,0)))),2))</f>
        <v/>
      </c>
      <c r="L2085" s="6" t="str">
        <f>IF($D2085="","",IF($F2085&lt;&gt;"",$F2085,IF(ISNA(MATCH($D2085,'Paramètres'!$M:$M,0)),"⚠ Type inconnu",IFERROR(INDEX('Paramètres'!$P:$P,MATCH($D2085,'Paramètres'!$M:$M,0))&amp;"",""))))</f>
        <v/>
      </c>
      <c r="M2085" s="6" t="str">
        <f>IF($D2085="","",IF(ISNA(MATCH($D2085,'Paramètres'!$M:$M,0)),"⚠ Type inconnu",IF($L2085="Crédit","",IFERROR(INDEX('Paramètres'!$O:$O,MATCH($D2085,'Paramètres'!$M:$M,0))&amp;"",""))))</f>
        <v/>
      </c>
      <c r="N2085" s="6" t="str">
        <f>IF($D2085="","",IFERROR(INDEX('Paramètres'!$Q:$Q,MATCH($D2085,'Paramètres'!$M:$M,0))&amp;"",""))</f>
        <v/>
      </c>
      <c r="O2085" s="6" t="str">
        <f>IF($A2085="","",IF(OR($J2085&lt;&gt;"x",$A2085&lt;=FinReleve),1,0))</f>
        <v/>
      </c>
      <c r="P2085" s="6" t="str">
        <f>IF($D2085="","",IF(AND($L2085="Crédit",OR(IFERROR(INDEX('Paramètres'!$O:$O,MATCH($D2085,'Paramètres'!$M:$M,0))&amp;"","")&lt;&gt;"",ISNUMBER(SEARCH("remboursement",IFERROR(INDEX('Paramètres'!$N:$N,MATCH($D2085,'Paramètres'!$M:$M,0))&amp;"",""))))),1,0))</f>
        <v/>
      </c>
      <c r="Q2085" s="6" t="str">
        <f>IF($K2085="","",IF(ISNUMBER(SEARCH("transfert-interne",IFERROR(INDEX('Paramètres'!$N:$N,MATCH($D2085,'Paramètres'!$M:$M,0))&amp;"",""))),0,IF($L2085="Débit",$K2085,IF($P2085=1,-$K2085,0))))</f>
        <v/>
      </c>
      <c r="R2085" s="6" t="str">
        <f>IF($K2085="","",IF($L2085="Crédit",$K2085,-$K2085))</f>
        <v/>
      </c>
      <c r="S2085" s="6" t="str">
        <f>IF($C2085="","",IFERROR(INDEX('Paramètres'!$H:$H,MATCH($C2085,'Paramètres'!$D:$D,0))&amp;"",""))</f>
        <v/>
      </c>
      <c r="T2085" s="6" t="str">
        <f>IF($K2085="","",IF($S2085="",0,IF(ISNUMBER(SEARCH("apport-exterieur",IFERROR(INDEX('Paramètres'!$N:$N,MATCH($D2085,'Paramètres'!$M:$M,0))&amp;"",""))),0,IF(OR(IFERROR(INDEX('Paramètres'!$I:$I,MATCH($C2085,'Paramètres'!$D:$D,0))&amp;"","")="Les deux",IFERROR(INDEX('Paramètres'!$I:$I,MATCH($C2085,'Paramètres'!$D:$D,0))&amp;"","")=IF($P2085=1,"Débit",$L2085)),-IF($P2085=1,-$K2085,$K2085),0))))</f>
        <v/>
      </c>
      <c r="U2085" s="6" t="str">
        <f>IF($K2085="","",IF(ISNUMBER(SEARCH("sortie-epargne",IFERROR(INDEX('Paramètres'!$N:$N,MATCH($D2085,'Paramètres'!$M:$M,0))&amp;"",""))),$K2085,0))</f>
        <v/>
      </c>
      <c r="V2085" s="6" t="str">
        <f>IF(AND($A2085&lt;&gt;"",$O2085=1,$L2085="Débit",N($Q2085)&gt;0,$A2085&gt;=Visualisation!$B$1,$A2085&lt;Visualisation!$D$1),MAX($V$1:V2084)+1,"")</f>
        <v/>
      </c>
    </row>
    <row r="2086" spans="1:22" x14ac:dyDescent="0.25">
      <c r="A2086" s="9"/>
      <c r="E2086" s="10"/>
      <c r="K2086" s="11" t="str">
        <f>IF($E2086="","",ROUND($E2086*IF(ISNA(MATCH($C2086,'Paramètres'!$D:$D,0)),1,IF(INDEX('Paramètres'!$J:$J,MATCH($C2086,'Paramètres'!$D:$D,0))="",1,INDEX('Paramètres'!$J:$J,MATCH($C2086,'Paramètres'!$D:$D,0)))),2))</f>
        <v/>
      </c>
      <c r="L2086" s="6" t="str">
        <f>IF($D2086="","",IF($F2086&lt;&gt;"",$F2086,IF(ISNA(MATCH($D2086,'Paramètres'!$M:$M,0)),"⚠ Type inconnu",IFERROR(INDEX('Paramètres'!$P:$P,MATCH($D2086,'Paramètres'!$M:$M,0))&amp;"",""))))</f>
        <v/>
      </c>
      <c r="M2086" s="6" t="str">
        <f>IF($D2086="","",IF(ISNA(MATCH($D2086,'Paramètres'!$M:$M,0)),"⚠ Type inconnu",IF($L2086="Crédit","",IFERROR(INDEX('Paramètres'!$O:$O,MATCH($D2086,'Paramètres'!$M:$M,0))&amp;"",""))))</f>
        <v/>
      </c>
      <c r="N2086" s="6" t="str">
        <f>IF($D2086="","",IFERROR(INDEX('Paramètres'!$Q:$Q,MATCH($D2086,'Paramètres'!$M:$M,0))&amp;"",""))</f>
        <v/>
      </c>
      <c r="O2086" s="6" t="str">
        <f>IF($A2086="","",IF(OR($J2086&lt;&gt;"x",$A2086&lt;=FinReleve),1,0))</f>
        <v/>
      </c>
      <c r="P2086" s="6" t="str">
        <f>IF($D2086="","",IF(AND($L2086="Crédit",OR(IFERROR(INDEX('Paramètres'!$O:$O,MATCH($D2086,'Paramètres'!$M:$M,0))&amp;"","")&lt;&gt;"",ISNUMBER(SEARCH("remboursement",IFERROR(INDEX('Paramètres'!$N:$N,MATCH($D2086,'Paramètres'!$M:$M,0))&amp;"",""))))),1,0))</f>
        <v/>
      </c>
      <c r="Q2086" s="6" t="str">
        <f>IF($K2086="","",IF(ISNUMBER(SEARCH("transfert-interne",IFERROR(INDEX('Paramètres'!$N:$N,MATCH($D2086,'Paramètres'!$M:$M,0))&amp;"",""))),0,IF($L2086="Débit",$K2086,IF($P2086=1,-$K2086,0))))</f>
        <v/>
      </c>
      <c r="R2086" s="6" t="str">
        <f>IF($K2086="","",IF($L2086="Crédit",$K2086,-$K2086))</f>
        <v/>
      </c>
      <c r="S2086" s="6" t="str">
        <f>IF($C2086="","",IFERROR(INDEX('Paramètres'!$H:$H,MATCH($C2086,'Paramètres'!$D:$D,0))&amp;"",""))</f>
        <v/>
      </c>
      <c r="T2086" s="6" t="str">
        <f>IF($K2086="","",IF($S2086="",0,IF(ISNUMBER(SEARCH("apport-exterieur",IFERROR(INDEX('Paramètres'!$N:$N,MATCH($D2086,'Paramètres'!$M:$M,0))&amp;"",""))),0,IF(OR(IFERROR(INDEX('Paramètres'!$I:$I,MATCH($C2086,'Paramètres'!$D:$D,0))&amp;"","")="Les deux",IFERROR(INDEX('Paramètres'!$I:$I,MATCH($C2086,'Paramètres'!$D:$D,0))&amp;"","")=IF($P2086=1,"Débit",$L2086)),-IF($P2086=1,-$K2086,$K2086),0))))</f>
        <v/>
      </c>
      <c r="U2086" s="6" t="str">
        <f>IF($K2086="","",IF(ISNUMBER(SEARCH("sortie-epargne",IFERROR(INDEX('Paramètres'!$N:$N,MATCH($D2086,'Paramètres'!$M:$M,0))&amp;"",""))),$K2086,0))</f>
        <v/>
      </c>
      <c r="V2086" s="6" t="str">
        <f>IF(AND($A2086&lt;&gt;"",$O2086=1,$L2086="Débit",N($Q2086)&gt;0,$A2086&gt;=Visualisation!$B$1,$A2086&lt;Visualisation!$D$1),MAX($V$1:V2085)+1,"")</f>
        <v/>
      </c>
    </row>
    <row r="2087" spans="1:22" x14ac:dyDescent="0.25">
      <c r="A2087" s="9"/>
      <c r="E2087" s="10"/>
      <c r="K2087" s="11" t="str">
        <f>IF($E2087="","",ROUND($E2087*IF(ISNA(MATCH($C2087,'Paramètres'!$D:$D,0)),1,IF(INDEX('Paramètres'!$J:$J,MATCH($C2087,'Paramètres'!$D:$D,0))="",1,INDEX('Paramètres'!$J:$J,MATCH($C2087,'Paramètres'!$D:$D,0)))),2))</f>
        <v/>
      </c>
      <c r="L2087" s="6" t="str">
        <f>IF($D2087="","",IF($F2087&lt;&gt;"",$F2087,IF(ISNA(MATCH($D2087,'Paramètres'!$M:$M,0)),"⚠ Type inconnu",IFERROR(INDEX('Paramètres'!$P:$P,MATCH($D2087,'Paramètres'!$M:$M,0))&amp;"",""))))</f>
        <v/>
      </c>
      <c r="M2087" s="6" t="str">
        <f>IF($D2087="","",IF(ISNA(MATCH($D2087,'Paramètres'!$M:$M,0)),"⚠ Type inconnu",IF($L2087="Crédit","",IFERROR(INDEX('Paramètres'!$O:$O,MATCH($D2087,'Paramètres'!$M:$M,0))&amp;"",""))))</f>
        <v/>
      </c>
      <c r="N2087" s="6" t="str">
        <f>IF($D2087="","",IFERROR(INDEX('Paramètres'!$Q:$Q,MATCH($D2087,'Paramètres'!$M:$M,0))&amp;"",""))</f>
        <v/>
      </c>
      <c r="O2087" s="6" t="str">
        <f>IF($A2087="","",IF(OR($J2087&lt;&gt;"x",$A2087&lt;=FinReleve),1,0))</f>
        <v/>
      </c>
      <c r="P2087" s="6" t="str">
        <f>IF($D2087="","",IF(AND($L2087="Crédit",OR(IFERROR(INDEX('Paramètres'!$O:$O,MATCH($D2087,'Paramètres'!$M:$M,0))&amp;"","")&lt;&gt;"",ISNUMBER(SEARCH("remboursement",IFERROR(INDEX('Paramètres'!$N:$N,MATCH($D2087,'Paramètres'!$M:$M,0))&amp;"",""))))),1,0))</f>
        <v/>
      </c>
      <c r="Q2087" s="6" t="str">
        <f>IF($K2087="","",IF(ISNUMBER(SEARCH("transfert-interne",IFERROR(INDEX('Paramètres'!$N:$N,MATCH($D2087,'Paramètres'!$M:$M,0))&amp;"",""))),0,IF($L2087="Débit",$K2087,IF($P2087=1,-$K2087,0))))</f>
        <v/>
      </c>
      <c r="R2087" s="6" t="str">
        <f>IF($K2087="","",IF($L2087="Crédit",$K2087,-$K2087))</f>
        <v/>
      </c>
      <c r="S2087" s="6" t="str">
        <f>IF($C2087="","",IFERROR(INDEX('Paramètres'!$H:$H,MATCH($C2087,'Paramètres'!$D:$D,0))&amp;"",""))</f>
        <v/>
      </c>
      <c r="T2087" s="6" t="str">
        <f>IF($K2087="","",IF($S2087="",0,IF(ISNUMBER(SEARCH("apport-exterieur",IFERROR(INDEX('Paramètres'!$N:$N,MATCH($D2087,'Paramètres'!$M:$M,0))&amp;"",""))),0,IF(OR(IFERROR(INDEX('Paramètres'!$I:$I,MATCH($C2087,'Paramètres'!$D:$D,0))&amp;"","")="Les deux",IFERROR(INDEX('Paramètres'!$I:$I,MATCH($C2087,'Paramètres'!$D:$D,0))&amp;"","")=IF($P2087=1,"Débit",$L2087)),-IF($P2087=1,-$K2087,$K2087),0))))</f>
        <v/>
      </c>
      <c r="U2087" s="6" t="str">
        <f>IF($K2087="","",IF(ISNUMBER(SEARCH("sortie-epargne",IFERROR(INDEX('Paramètres'!$N:$N,MATCH($D2087,'Paramètres'!$M:$M,0))&amp;"",""))),$K2087,0))</f>
        <v/>
      </c>
      <c r="V2087" s="6" t="str">
        <f>IF(AND($A2087&lt;&gt;"",$O2087=1,$L2087="Débit",N($Q2087)&gt;0,$A2087&gt;=Visualisation!$B$1,$A2087&lt;Visualisation!$D$1),MAX($V$1:V2086)+1,"")</f>
        <v/>
      </c>
    </row>
    <row r="2088" spans="1:22" x14ac:dyDescent="0.25">
      <c r="A2088" s="9"/>
      <c r="E2088" s="10"/>
      <c r="K2088" s="11" t="str">
        <f>IF($E2088="","",ROUND($E2088*IF(ISNA(MATCH($C2088,'Paramètres'!$D:$D,0)),1,IF(INDEX('Paramètres'!$J:$J,MATCH($C2088,'Paramètres'!$D:$D,0))="",1,INDEX('Paramètres'!$J:$J,MATCH($C2088,'Paramètres'!$D:$D,0)))),2))</f>
        <v/>
      </c>
      <c r="L2088" s="6" t="str">
        <f>IF($D2088="","",IF($F2088&lt;&gt;"",$F2088,IF(ISNA(MATCH($D2088,'Paramètres'!$M:$M,0)),"⚠ Type inconnu",IFERROR(INDEX('Paramètres'!$P:$P,MATCH($D2088,'Paramètres'!$M:$M,0))&amp;"",""))))</f>
        <v/>
      </c>
      <c r="M2088" s="6" t="str">
        <f>IF($D2088="","",IF(ISNA(MATCH($D2088,'Paramètres'!$M:$M,0)),"⚠ Type inconnu",IF($L2088="Crédit","",IFERROR(INDEX('Paramètres'!$O:$O,MATCH($D2088,'Paramètres'!$M:$M,0))&amp;"",""))))</f>
        <v/>
      </c>
      <c r="N2088" s="6" t="str">
        <f>IF($D2088="","",IFERROR(INDEX('Paramètres'!$Q:$Q,MATCH($D2088,'Paramètres'!$M:$M,0))&amp;"",""))</f>
        <v/>
      </c>
      <c r="O2088" s="6" t="str">
        <f>IF($A2088="","",IF(OR($J2088&lt;&gt;"x",$A2088&lt;=FinReleve),1,0))</f>
        <v/>
      </c>
      <c r="P2088" s="6" t="str">
        <f>IF($D2088="","",IF(AND($L2088="Crédit",OR(IFERROR(INDEX('Paramètres'!$O:$O,MATCH($D2088,'Paramètres'!$M:$M,0))&amp;"","")&lt;&gt;"",ISNUMBER(SEARCH("remboursement",IFERROR(INDEX('Paramètres'!$N:$N,MATCH($D2088,'Paramètres'!$M:$M,0))&amp;"",""))))),1,0))</f>
        <v/>
      </c>
      <c r="Q2088" s="6" t="str">
        <f>IF($K2088="","",IF(ISNUMBER(SEARCH("transfert-interne",IFERROR(INDEX('Paramètres'!$N:$N,MATCH($D2088,'Paramètres'!$M:$M,0))&amp;"",""))),0,IF($L2088="Débit",$K2088,IF($P2088=1,-$K2088,0))))</f>
        <v/>
      </c>
      <c r="R2088" s="6" t="str">
        <f>IF($K2088="","",IF($L2088="Crédit",$K2088,-$K2088))</f>
        <v/>
      </c>
      <c r="S2088" s="6" t="str">
        <f>IF($C2088="","",IFERROR(INDEX('Paramètres'!$H:$H,MATCH($C2088,'Paramètres'!$D:$D,0))&amp;"",""))</f>
        <v/>
      </c>
      <c r="T2088" s="6" t="str">
        <f>IF($K2088="","",IF($S2088="",0,IF(ISNUMBER(SEARCH("apport-exterieur",IFERROR(INDEX('Paramètres'!$N:$N,MATCH($D2088,'Paramètres'!$M:$M,0))&amp;"",""))),0,IF(OR(IFERROR(INDEX('Paramètres'!$I:$I,MATCH($C2088,'Paramètres'!$D:$D,0))&amp;"","")="Les deux",IFERROR(INDEX('Paramètres'!$I:$I,MATCH($C2088,'Paramètres'!$D:$D,0))&amp;"","")=IF($P2088=1,"Débit",$L2088)),-IF($P2088=1,-$K2088,$K2088),0))))</f>
        <v/>
      </c>
      <c r="U2088" s="6" t="str">
        <f>IF($K2088="","",IF(ISNUMBER(SEARCH("sortie-epargne",IFERROR(INDEX('Paramètres'!$N:$N,MATCH($D2088,'Paramètres'!$M:$M,0))&amp;"",""))),$K2088,0))</f>
        <v/>
      </c>
      <c r="V2088" s="6" t="str">
        <f>IF(AND($A2088&lt;&gt;"",$O2088=1,$L2088="Débit",N($Q2088)&gt;0,$A2088&gt;=Visualisation!$B$1,$A2088&lt;Visualisation!$D$1),MAX($V$1:V2087)+1,"")</f>
        <v/>
      </c>
    </row>
    <row r="2089" spans="1:22" x14ac:dyDescent="0.25">
      <c r="A2089" s="9"/>
      <c r="E2089" s="10"/>
      <c r="K2089" s="11" t="str">
        <f>IF($E2089="","",ROUND($E2089*IF(ISNA(MATCH($C2089,'Paramètres'!$D:$D,0)),1,IF(INDEX('Paramètres'!$J:$J,MATCH($C2089,'Paramètres'!$D:$D,0))="",1,INDEX('Paramètres'!$J:$J,MATCH($C2089,'Paramètres'!$D:$D,0)))),2))</f>
        <v/>
      </c>
      <c r="L2089" s="6" t="str">
        <f>IF($D2089="","",IF($F2089&lt;&gt;"",$F2089,IF(ISNA(MATCH($D2089,'Paramètres'!$M:$M,0)),"⚠ Type inconnu",IFERROR(INDEX('Paramètres'!$P:$P,MATCH($D2089,'Paramètres'!$M:$M,0))&amp;"",""))))</f>
        <v/>
      </c>
      <c r="M2089" s="6" t="str">
        <f>IF($D2089="","",IF(ISNA(MATCH($D2089,'Paramètres'!$M:$M,0)),"⚠ Type inconnu",IF($L2089="Crédit","",IFERROR(INDEX('Paramètres'!$O:$O,MATCH($D2089,'Paramètres'!$M:$M,0))&amp;"",""))))</f>
        <v/>
      </c>
      <c r="N2089" s="6" t="str">
        <f>IF($D2089="","",IFERROR(INDEX('Paramètres'!$Q:$Q,MATCH($D2089,'Paramètres'!$M:$M,0))&amp;"",""))</f>
        <v/>
      </c>
      <c r="O2089" s="6" t="str">
        <f>IF($A2089="","",IF(OR($J2089&lt;&gt;"x",$A2089&lt;=FinReleve),1,0))</f>
        <v/>
      </c>
      <c r="P2089" s="6" t="str">
        <f>IF($D2089="","",IF(AND($L2089="Crédit",OR(IFERROR(INDEX('Paramètres'!$O:$O,MATCH($D2089,'Paramètres'!$M:$M,0))&amp;"","")&lt;&gt;"",ISNUMBER(SEARCH("remboursement",IFERROR(INDEX('Paramètres'!$N:$N,MATCH($D2089,'Paramètres'!$M:$M,0))&amp;"",""))))),1,0))</f>
        <v/>
      </c>
      <c r="Q2089" s="6" t="str">
        <f>IF($K2089="","",IF(ISNUMBER(SEARCH("transfert-interne",IFERROR(INDEX('Paramètres'!$N:$N,MATCH($D2089,'Paramètres'!$M:$M,0))&amp;"",""))),0,IF($L2089="Débit",$K2089,IF($P2089=1,-$K2089,0))))</f>
        <v/>
      </c>
      <c r="R2089" s="6" t="str">
        <f>IF($K2089="","",IF($L2089="Crédit",$K2089,-$K2089))</f>
        <v/>
      </c>
      <c r="S2089" s="6" t="str">
        <f>IF($C2089="","",IFERROR(INDEX('Paramètres'!$H:$H,MATCH($C2089,'Paramètres'!$D:$D,0))&amp;"",""))</f>
        <v/>
      </c>
      <c r="T2089" s="6" t="str">
        <f>IF($K2089="","",IF($S2089="",0,IF(ISNUMBER(SEARCH("apport-exterieur",IFERROR(INDEX('Paramètres'!$N:$N,MATCH($D2089,'Paramètres'!$M:$M,0))&amp;"",""))),0,IF(OR(IFERROR(INDEX('Paramètres'!$I:$I,MATCH($C2089,'Paramètres'!$D:$D,0))&amp;"","")="Les deux",IFERROR(INDEX('Paramètres'!$I:$I,MATCH($C2089,'Paramètres'!$D:$D,0))&amp;"","")=IF($P2089=1,"Débit",$L2089)),-IF($P2089=1,-$K2089,$K2089),0))))</f>
        <v/>
      </c>
      <c r="U2089" s="6" t="str">
        <f>IF($K2089="","",IF(ISNUMBER(SEARCH("sortie-epargne",IFERROR(INDEX('Paramètres'!$N:$N,MATCH($D2089,'Paramètres'!$M:$M,0))&amp;"",""))),$K2089,0))</f>
        <v/>
      </c>
      <c r="V2089" s="6" t="str">
        <f>IF(AND($A2089&lt;&gt;"",$O2089=1,$L2089="Débit",N($Q2089)&gt;0,$A2089&gt;=Visualisation!$B$1,$A2089&lt;Visualisation!$D$1),MAX($V$1:V2088)+1,"")</f>
        <v/>
      </c>
    </row>
    <row r="2090" spans="1:22" x14ac:dyDescent="0.25">
      <c r="A2090" s="9"/>
      <c r="E2090" s="10"/>
      <c r="K2090" s="11" t="str">
        <f>IF($E2090="","",ROUND($E2090*IF(ISNA(MATCH($C2090,'Paramètres'!$D:$D,0)),1,IF(INDEX('Paramètres'!$J:$J,MATCH($C2090,'Paramètres'!$D:$D,0))="",1,INDEX('Paramètres'!$J:$J,MATCH($C2090,'Paramètres'!$D:$D,0)))),2))</f>
        <v/>
      </c>
      <c r="L2090" s="6" t="str">
        <f>IF($D2090="","",IF($F2090&lt;&gt;"",$F2090,IF(ISNA(MATCH($D2090,'Paramètres'!$M:$M,0)),"⚠ Type inconnu",IFERROR(INDEX('Paramètres'!$P:$P,MATCH($D2090,'Paramètres'!$M:$M,0))&amp;"",""))))</f>
        <v/>
      </c>
      <c r="M2090" s="6" t="str">
        <f>IF($D2090="","",IF(ISNA(MATCH($D2090,'Paramètres'!$M:$M,0)),"⚠ Type inconnu",IF($L2090="Crédit","",IFERROR(INDEX('Paramètres'!$O:$O,MATCH($D2090,'Paramètres'!$M:$M,0))&amp;"",""))))</f>
        <v/>
      </c>
      <c r="N2090" s="6" t="str">
        <f>IF($D2090="","",IFERROR(INDEX('Paramètres'!$Q:$Q,MATCH($D2090,'Paramètres'!$M:$M,0))&amp;"",""))</f>
        <v/>
      </c>
      <c r="O2090" s="6" t="str">
        <f>IF($A2090="","",IF(OR($J2090&lt;&gt;"x",$A2090&lt;=FinReleve),1,0))</f>
        <v/>
      </c>
      <c r="P2090" s="6" t="str">
        <f>IF($D2090="","",IF(AND($L2090="Crédit",OR(IFERROR(INDEX('Paramètres'!$O:$O,MATCH($D2090,'Paramètres'!$M:$M,0))&amp;"","")&lt;&gt;"",ISNUMBER(SEARCH("remboursement",IFERROR(INDEX('Paramètres'!$N:$N,MATCH($D2090,'Paramètres'!$M:$M,0))&amp;"",""))))),1,0))</f>
        <v/>
      </c>
      <c r="Q2090" s="6" t="str">
        <f>IF($K2090="","",IF(ISNUMBER(SEARCH("transfert-interne",IFERROR(INDEX('Paramètres'!$N:$N,MATCH($D2090,'Paramètres'!$M:$M,0))&amp;"",""))),0,IF($L2090="Débit",$K2090,IF($P2090=1,-$K2090,0))))</f>
        <v/>
      </c>
      <c r="R2090" s="6" t="str">
        <f>IF($K2090="","",IF($L2090="Crédit",$K2090,-$K2090))</f>
        <v/>
      </c>
      <c r="S2090" s="6" t="str">
        <f>IF($C2090="","",IFERROR(INDEX('Paramètres'!$H:$H,MATCH($C2090,'Paramètres'!$D:$D,0))&amp;"",""))</f>
        <v/>
      </c>
      <c r="T2090" s="6" t="str">
        <f>IF($K2090="","",IF($S2090="",0,IF(ISNUMBER(SEARCH("apport-exterieur",IFERROR(INDEX('Paramètres'!$N:$N,MATCH($D2090,'Paramètres'!$M:$M,0))&amp;"",""))),0,IF(OR(IFERROR(INDEX('Paramètres'!$I:$I,MATCH($C2090,'Paramètres'!$D:$D,0))&amp;"","")="Les deux",IFERROR(INDEX('Paramètres'!$I:$I,MATCH($C2090,'Paramètres'!$D:$D,0))&amp;"","")=IF($P2090=1,"Débit",$L2090)),-IF($P2090=1,-$K2090,$K2090),0))))</f>
        <v/>
      </c>
      <c r="U2090" s="6" t="str">
        <f>IF($K2090="","",IF(ISNUMBER(SEARCH("sortie-epargne",IFERROR(INDEX('Paramètres'!$N:$N,MATCH($D2090,'Paramètres'!$M:$M,0))&amp;"",""))),$K2090,0))</f>
        <v/>
      </c>
      <c r="V2090" s="6" t="str">
        <f>IF(AND($A2090&lt;&gt;"",$O2090=1,$L2090="Débit",N($Q2090)&gt;0,$A2090&gt;=Visualisation!$B$1,$A2090&lt;Visualisation!$D$1),MAX($V$1:V2089)+1,"")</f>
        <v/>
      </c>
    </row>
    <row r="2091" spans="1:22" x14ac:dyDescent="0.25">
      <c r="A2091" s="9"/>
      <c r="E2091" s="10"/>
      <c r="K2091" s="11" t="str">
        <f>IF($E2091="","",ROUND($E2091*IF(ISNA(MATCH($C2091,'Paramètres'!$D:$D,0)),1,IF(INDEX('Paramètres'!$J:$J,MATCH($C2091,'Paramètres'!$D:$D,0))="",1,INDEX('Paramètres'!$J:$J,MATCH($C2091,'Paramètres'!$D:$D,0)))),2))</f>
        <v/>
      </c>
      <c r="L2091" s="6" t="str">
        <f>IF($D2091="","",IF($F2091&lt;&gt;"",$F2091,IF(ISNA(MATCH($D2091,'Paramètres'!$M:$M,0)),"⚠ Type inconnu",IFERROR(INDEX('Paramètres'!$P:$P,MATCH($D2091,'Paramètres'!$M:$M,0))&amp;"",""))))</f>
        <v/>
      </c>
      <c r="M2091" s="6" t="str">
        <f>IF($D2091="","",IF(ISNA(MATCH($D2091,'Paramètres'!$M:$M,0)),"⚠ Type inconnu",IF($L2091="Crédit","",IFERROR(INDEX('Paramètres'!$O:$O,MATCH($D2091,'Paramètres'!$M:$M,0))&amp;"",""))))</f>
        <v/>
      </c>
      <c r="N2091" s="6" t="str">
        <f>IF($D2091="","",IFERROR(INDEX('Paramètres'!$Q:$Q,MATCH($D2091,'Paramètres'!$M:$M,0))&amp;"",""))</f>
        <v/>
      </c>
      <c r="O2091" s="6" t="str">
        <f>IF($A2091="","",IF(OR($J2091&lt;&gt;"x",$A2091&lt;=FinReleve),1,0))</f>
        <v/>
      </c>
      <c r="P2091" s="6" t="str">
        <f>IF($D2091="","",IF(AND($L2091="Crédit",OR(IFERROR(INDEX('Paramètres'!$O:$O,MATCH($D2091,'Paramètres'!$M:$M,0))&amp;"","")&lt;&gt;"",ISNUMBER(SEARCH("remboursement",IFERROR(INDEX('Paramètres'!$N:$N,MATCH($D2091,'Paramètres'!$M:$M,0))&amp;"",""))))),1,0))</f>
        <v/>
      </c>
      <c r="Q2091" s="6" t="str">
        <f>IF($K2091="","",IF(ISNUMBER(SEARCH("transfert-interne",IFERROR(INDEX('Paramètres'!$N:$N,MATCH($D2091,'Paramètres'!$M:$M,0))&amp;"",""))),0,IF($L2091="Débit",$K2091,IF($P2091=1,-$K2091,0))))</f>
        <v/>
      </c>
      <c r="R2091" s="6" t="str">
        <f>IF($K2091="","",IF($L2091="Crédit",$K2091,-$K2091))</f>
        <v/>
      </c>
      <c r="S2091" s="6" t="str">
        <f>IF($C2091="","",IFERROR(INDEX('Paramètres'!$H:$H,MATCH($C2091,'Paramètres'!$D:$D,0))&amp;"",""))</f>
        <v/>
      </c>
      <c r="T2091" s="6" t="str">
        <f>IF($K2091="","",IF($S2091="",0,IF(ISNUMBER(SEARCH("apport-exterieur",IFERROR(INDEX('Paramètres'!$N:$N,MATCH($D2091,'Paramètres'!$M:$M,0))&amp;"",""))),0,IF(OR(IFERROR(INDEX('Paramètres'!$I:$I,MATCH($C2091,'Paramètres'!$D:$D,0))&amp;"","")="Les deux",IFERROR(INDEX('Paramètres'!$I:$I,MATCH($C2091,'Paramètres'!$D:$D,0))&amp;"","")=IF($P2091=1,"Débit",$L2091)),-IF($P2091=1,-$K2091,$K2091),0))))</f>
        <v/>
      </c>
      <c r="U2091" s="6" t="str">
        <f>IF($K2091="","",IF(ISNUMBER(SEARCH("sortie-epargne",IFERROR(INDEX('Paramètres'!$N:$N,MATCH($D2091,'Paramètres'!$M:$M,0))&amp;"",""))),$K2091,0))</f>
        <v/>
      </c>
      <c r="V2091" s="6" t="str">
        <f>IF(AND($A2091&lt;&gt;"",$O2091=1,$L2091="Débit",N($Q2091)&gt;0,$A2091&gt;=Visualisation!$B$1,$A2091&lt;Visualisation!$D$1),MAX($V$1:V2090)+1,"")</f>
        <v/>
      </c>
    </row>
    <row r="2092" spans="1:22" x14ac:dyDescent="0.25">
      <c r="A2092" s="9"/>
      <c r="E2092" s="10"/>
      <c r="K2092" s="11" t="str">
        <f>IF($E2092="","",ROUND($E2092*IF(ISNA(MATCH($C2092,'Paramètres'!$D:$D,0)),1,IF(INDEX('Paramètres'!$J:$J,MATCH($C2092,'Paramètres'!$D:$D,0))="",1,INDEX('Paramètres'!$J:$J,MATCH($C2092,'Paramètres'!$D:$D,0)))),2))</f>
        <v/>
      </c>
      <c r="L2092" s="6" t="str">
        <f>IF($D2092="","",IF($F2092&lt;&gt;"",$F2092,IF(ISNA(MATCH($D2092,'Paramètres'!$M:$M,0)),"⚠ Type inconnu",IFERROR(INDEX('Paramètres'!$P:$P,MATCH($D2092,'Paramètres'!$M:$M,0))&amp;"",""))))</f>
        <v/>
      </c>
      <c r="M2092" s="6" t="str">
        <f>IF($D2092="","",IF(ISNA(MATCH($D2092,'Paramètres'!$M:$M,0)),"⚠ Type inconnu",IF($L2092="Crédit","",IFERROR(INDEX('Paramètres'!$O:$O,MATCH($D2092,'Paramètres'!$M:$M,0))&amp;"",""))))</f>
        <v/>
      </c>
      <c r="N2092" s="6" t="str">
        <f>IF($D2092="","",IFERROR(INDEX('Paramètres'!$Q:$Q,MATCH($D2092,'Paramètres'!$M:$M,0))&amp;"",""))</f>
        <v/>
      </c>
      <c r="O2092" s="6" t="str">
        <f>IF($A2092="","",IF(OR($J2092&lt;&gt;"x",$A2092&lt;=FinReleve),1,0))</f>
        <v/>
      </c>
      <c r="P2092" s="6" t="str">
        <f>IF($D2092="","",IF(AND($L2092="Crédit",OR(IFERROR(INDEX('Paramètres'!$O:$O,MATCH($D2092,'Paramètres'!$M:$M,0))&amp;"","")&lt;&gt;"",ISNUMBER(SEARCH("remboursement",IFERROR(INDEX('Paramètres'!$N:$N,MATCH($D2092,'Paramètres'!$M:$M,0))&amp;"",""))))),1,0))</f>
        <v/>
      </c>
      <c r="Q2092" s="6" t="str">
        <f>IF($K2092="","",IF(ISNUMBER(SEARCH("transfert-interne",IFERROR(INDEX('Paramètres'!$N:$N,MATCH($D2092,'Paramètres'!$M:$M,0))&amp;"",""))),0,IF($L2092="Débit",$K2092,IF($P2092=1,-$K2092,0))))</f>
        <v/>
      </c>
      <c r="R2092" s="6" t="str">
        <f>IF($K2092="","",IF($L2092="Crédit",$K2092,-$K2092))</f>
        <v/>
      </c>
      <c r="S2092" s="6" t="str">
        <f>IF($C2092="","",IFERROR(INDEX('Paramètres'!$H:$H,MATCH($C2092,'Paramètres'!$D:$D,0))&amp;"",""))</f>
        <v/>
      </c>
      <c r="T2092" s="6" t="str">
        <f>IF($K2092="","",IF($S2092="",0,IF(ISNUMBER(SEARCH("apport-exterieur",IFERROR(INDEX('Paramètres'!$N:$N,MATCH($D2092,'Paramètres'!$M:$M,0))&amp;"",""))),0,IF(OR(IFERROR(INDEX('Paramètres'!$I:$I,MATCH($C2092,'Paramètres'!$D:$D,0))&amp;"","")="Les deux",IFERROR(INDEX('Paramètres'!$I:$I,MATCH($C2092,'Paramètres'!$D:$D,0))&amp;"","")=IF($P2092=1,"Débit",$L2092)),-IF($P2092=1,-$K2092,$K2092),0))))</f>
        <v/>
      </c>
      <c r="U2092" s="6" t="str">
        <f>IF($K2092="","",IF(ISNUMBER(SEARCH("sortie-epargne",IFERROR(INDEX('Paramètres'!$N:$N,MATCH($D2092,'Paramètres'!$M:$M,0))&amp;"",""))),$K2092,0))</f>
        <v/>
      </c>
      <c r="V2092" s="6" t="str">
        <f>IF(AND($A2092&lt;&gt;"",$O2092=1,$L2092="Débit",N($Q2092)&gt;0,$A2092&gt;=Visualisation!$B$1,$A2092&lt;Visualisation!$D$1),MAX($V$1:V2091)+1,"")</f>
        <v/>
      </c>
    </row>
    <row r="2093" spans="1:22" x14ac:dyDescent="0.25">
      <c r="A2093" s="9"/>
      <c r="E2093" s="10"/>
      <c r="K2093" s="11" t="str">
        <f>IF($E2093="","",ROUND($E2093*IF(ISNA(MATCH($C2093,'Paramètres'!$D:$D,0)),1,IF(INDEX('Paramètres'!$J:$J,MATCH($C2093,'Paramètres'!$D:$D,0))="",1,INDEX('Paramètres'!$J:$J,MATCH($C2093,'Paramètres'!$D:$D,0)))),2))</f>
        <v/>
      </c>
      <c r="L2093" s="6" t="str">
        <f>IF($D2093="","",IF($F2093&lt;&gt;"",$F2093,IF(ISNA(MATCH($D2093,'Paramètres'!$M:$M,0)),"⚠ Type inconnu",IFERROR(INDEX('Paramètres'!$P:$P,MATCH($D2093,'Paramètres'!$M:$M,0))&amp;"",""))))</f>
        <v/>
      </c>
      <c r="M2093" s="6" t="str">
        <f>IF($D2093="","",IF(ISNA(MATCH($D2093,'Paramètres'!$M:$M,0)),"⚠ Type inconnu",IF($L2093="Crédit","",IFERROR(INDEX('Paramètres'!$O:$O,MATCH($D2093,'Paramètres'!$M:$M,0))&amp;"",""))))</f>
        <v/>
      </c>
      <c r="N2093" s="6" t="str">
        <f>IF($D2093="","",IFERROR(INDEX('Paramètres'!$Q:$Q,MATCH($D2093,'Paramètres'!$M:$M,0))&amp;"",""))</f>
        <v/>
      </c>
      <c r="O2093" s="6" t="str">
        <f>IF($A2093="","",IF(OR($J2093&lt;&gt;"x",$A2093&lt;=FinReleve),1,0))</f>
        <v/>
      </c>
      <c r="P2093" s="6" t="str">
        <f>IF($D2093="","",IF(AND($L2093="Crédit",OR(IFERROR(INDEX('Paramètres'!$O:$O,MATCH($D2093,'Paramètres'!$M:$M,0))&amp;"","")&lt;&gt;"",ISNUMBER(SEARCH("remboursement",IFERROR(INDEX('Paramètres'!$N:$N,MATCH($D2093,'Paramètres'!$M:$M,0))&amp;"",""))))),1,0))</f>
        <v/>
      </c>
      <c r="Q2093" s="6" t="str">
        <f>IF($K2093="","",IF(ISNUMBER(SEARCH("transfert-interne",IFERROR(INDEX('Paramètres'!$N:$N,MATCH($D2093,'Paramètres'!$M:$M,0))&amp;"",""))),0,IF($L2093="Débit",$K2093,IF($P2093=1,-$K2093,0))))</f>
        <v/>
      </c>
      <c r="R2093" s="6" t="str">
        <f>IF($K2093="","",IF($L2093="Crédit",$K2093,-$K2093))</f>
        <v/>
      </c>
      <c r="S2093" s="6" t="str">
        <f>IF($C2093="","",IFERROR(INDEX('Paramètres'!$H:$H,MATCH($C2093,'Paramètres'!$D:$D,0))&amp;"",""))</f>
        <v/>
      </c>
      <c r="T2093" s="6" t="str">
        <f>IF($K2093="","",IF($S2093="",0,IF(ISNUMBER(SEARCH("apport-exterieur",IFERROR(INDEX('Paramètres'!$N:$N,MATCH($D2093,'Paramètres'!$M:$M,0))&amp;"",""))),0,IF(OR(IFERROR(INDEX('Paramètres'!$I:$I,MATCH($C2093,'Paramètres'!$D:$D,0))&amp;"","")="Les deux",IFERROR(INDEX('Paramètres'!$I:$I,MATCH($C2093,'Paramètres'!$D:$D,0))&amp;"","")=IF($P2093=1,"Débit",$L2093)),-IF($P2093=1,-$K2093,$K2093),0))))</f>
        <v/>
      </c>
      <c r="U2093" s="6" t="str">
        <f>IF($K2093="","",IF(ISNUMBER(SEARCH("sortie-epargne",IFERROR(INDEX('Paramètres'!$N:$N,MATCH($D2093,'Paramètres'!$M:$M,0))&amp;"",""))),$K2093,0))</f>
        <v/>
      </c>
      <c r="V2093" s="6" t="str">
        <f>IF(AND($A2093&lt;&gt;"",$O2093=1,$L2093="Débit",N($Q2093)&gt;0,$A2093&gt;=Visualisation!$B$1,$A2093&lt;Visualisation!$D$1),MAX($V$1:V2092)+1,"")</f>
        <v/>
      </c>
    </row>
    <row r="2094" spans="1:22" x14ac:dyDescent="0.25">
      <c r="A2094" s="9"/>
      <c r="E2094" s="10"/>
      <c r="K2094" s="11" t="str">
        <f>IF($E2094="","",ROUND($E2094*IF(ISNA(MATCH($C2094,'Paramètres'!$D:$D,0)),1,IF(INDEX('Paramètres'!$J:$J,MATCH($C2094,'Paramètres'!$D:$D,0))="",1,INDEX('Paramètres'!$J:$J,MATCH($C2094,'Paramètres'!$D:$D,0)))),2))</f>
        <v/>
      </c>
      <c r="L2094" s="6" t="str">
        <f>IF($D2094="","",IF($F2094&lt;&gt;"",$F2094,IF(ISNA(MATCH($D2094,'Paramètres'!$M:$M,0)),"⚠ Type inconnu",IFERROR(INDEX('Paramètres'!$P:$P,MATCH($D2094,'Paramètres'!$M:$M,0))&amp;"",""))))</f>
        <v/>
      </c>
      <c r="M2094" s="6" t="str">
        <f>IF($D2094="","",IF(ISNA(MATCH($D2094,'Paramètres'!$M:$M,0)),"⚠ Type inconnu",IF($L2094="Crédit","",IFERROR(INDEX('Paramètres'!$O:$O,MATCH($D2094,'Paramètres'!$M:$M,0))&amp;"",""))))</f>
        <v/>
      </c>
      <c r="N2094" s="6" t="str">
        <f>IF($D2094="","",IFERROR(INDEX('Paramètres'!$Q:$Q,MATCH($D2094,'Paramètres'!$M:$M,0))&amp;"",""))</f>
        <v/>
      </c>
      <c r="O2094" s="6" t="str">
        <f>IF($A2094="","",IF(OR($J2094&lt;&gt;"x",$A2094&lt;=FinReleve),1,0))</f>
        <v/>
      </c>
      <c r="P2094" s="6" t="str">
        <f>IF($D2094="","",IF(AND($L2094="Crédit",OR(IFERROR(INDEX('Paramètres'!$O:$O,MATCH($D2094,'Paramètres'!$M:$M,0))&amp;"","")&lt;&gt;"",ISNUMBER(SEARCH("remboursement",IFERROR(INDEX('Paramètres'!$N:$N,MATCH($D2094,'Paramètres'!$M:$M,0))&amp;"",""))))),1,0))</f>
        <v/>
      </c>
      <c r="Q2094" s="6" t="str">
        <f>IF($K2094="","",IF(ISNUMBER(SEARCH("transfert-interne",IFERROR(INDEX('Paramètres'!$N:$N,MATCH($D2094,'Paramètres'!$M:$M,0))&amp;"",""))),0,IF($L2094="Débit",$K2094,IF($P2094=1,-$K2094,0))))</f>
        <v/>
      </c>
      <c r="R2094" s="6" t="str">
        <f>IF($K2094="","",IF($L2094="Crédit",$K2094,-$K2094))</f>
        <v/>
      </c>
      <c r="S2094" s="6" t="str">
        <f>IF($C2094="","",IFERROR(INDEX('Paramètres'!$H:$H,MATCH($C2094,'Paramètres'!$D:$D,0))&amp;"",""))</f>
        <v/>
      </c>
      <c r="T2094" s="6" t="str">
        <f>IF($K2094="","",IF($S2094="",0,IF(ISNUMBER(SEARCH("apport-exterieur",IFERROR(INDEX('Paramètres'!$N:$N,MATCH($D2094,'Paramètres'!$M:$M,0))&amp;"",""))),0,IF(OR(IFERROR(INDEX('Paramètres'!$I:$I,MATCH($C2094,'Paramètres'!$D:$D,0))&amp;"","")="Les deux",IFERROR(INDEX('Paramètres'!$I:$I,MATCH($C2094,'Paramètres'!$D:$D,0))&amp;"","")=IF($P2094=1,"Débit",$L2094)),-IF($P2094=1,-$K2094,$K2094),0))))</f>
        <v/>
      </c>
      <c r="U2094" s="6" t="str">
        <f>IF($K2094="","",IF(ISNUMBER(SEARCH("sortie-epargne",IFERROR(INDEX('Paramètres'!$N:$N,MATCH($D2094,'Paramètres'!$M:$M,0))&amp;"",""))),$K2094,0))</f>
        <v/>
      </c>
      <c r="V2094" s="6" t="str">
        <f>IF(AND($A2094&lt;&gt;"",$O2094=1,$L2094="Débit",N($Q2094)&gt;0,$A2094&gt;=Visualisation!$B$1,$A2094&lt;Visualisation!$D$1),MAX($V$1:V2093)+1,"")</f>
        <v/>
      </c>
    </row>
    <row r="2095" spans="1:22" x14ac:dyDescent="0.25">
      <c r="A2095" s="9"/>
      <c r="E2095" s="10"/>
      <c r="K2095" s="11" t="str">
        <f>IF($E2095="","",ROUND($E2095*IF(ISNA(MATCH($C2095,'Paramètres'!$D:$D,0)),1,IF(INDEX('Paramètres'!$J:$J,MATCH($C2095,'Paramètres'!$D:$D,0))="",1,INDEX('Paramètres'!$J:$J,MATCH($C2095,'Paramètres'!$D:$D,0)))),2))</f>
        <v/>
      </c>
      <c r="L2095" s="6" t="str">
        <f>IF($D2095="","",IF($F2095&lt;&gt;"",$F2095,IF(ISNA(MATCH($D2095,'Paramètres'!$M:$M,0)),"⚠ Type inconnu",IFERROR(INDEX('Paramètres'!$P:$P,MATCH($D2095,'Paramètres'!$M:$M,0))&amp;"",""))))</f>
        <v/>
      </c>
      <c r="M2095" s="6" t="str">
        <f>IF($D2095="","",IF(ISNA(MATCH($D2095,'Paramètres'!$M:$M,0)),"⚠ Type inconnu",IF($L2095="Crédit","",IFERROR(INDEX('Paramètres'!$O:$O,MATCH($D2095,'Paramètres'!$M:$M,0))&amp;"",""))))</f>
        <v/>
      </c>
      <c r="N2095" s="6" t="str">
        <f>IF($D2095="","",IFERROR(INDEX('Paramètres'!$Q:$Q,MATCH($D2095,'Paramètres'!$M:$M,0))&amp;"",""))</f>
        <v/>
      </c>
      <c r="O2095" s="6" t="str">
        <f>IF($A2095="","",IF(OR($J2095&lt;&gt;"x",$A2095&lt;=FinReleve),1,0))</f>
        <v/>
      </c>
      <c r="P2095" s="6" t="str">
        <f>IF($D2095="","",IF(AND($L2095="Crédit",OR(IFERROR(INDEX('Paramètres'!$O:$O,MATCH($D2095,'Paramètres'!$M:$M,0))&amp;"","")&lt;&gt;"",ISNUMBER(SEARCH("remboursement",IFERROR(INDEX('Paramètres'!$N:$N,MATCH($D2095,'Paramètres'!$M:$M,0))&amp;"",""))))),1,0))</f>
        <v/>
      </c>
      <c r="Q2095" s="6" t="str">
        <f>IF($K2095="","",IF(ISNUMBER(SEARCH("transfert-interne",IFERROR(INDEX('Paramètres'!$N:$N,MATCH($D2095,'Paramètres'!$M:$M,0))&amp;"",""))),0,IF($L2095="Débit",$K2095,IF($P2095=1,-$K2095,0))))</f>
        <v/>
      </c>
      <c r="R2095" s="6" t="str">
        <f>IF($K2095="","",IF($L2095="Crédit",$K2095,-$K2095))</f>
        <v/>
      </c>
      <c r="S2095" s="6" t="str">
        <f>IF($C2095="","",IFERROR(INDEX('Paramètres'!$H:$H,MATCH($C2095,'Paramètres'!$D:$D,0))&amp;"",""))</f>
        <v/>
      </c>
      <c r="T2095" s="6" t="str">
        <f>IF($K2095="","",IF($S2095="",0,IF(ISNUMBER(SEARCH("apport-exterieur",IFERROR(INDEX('Paramètres'!$N:$N,MATCH($D2095,'Paramètres'!$M:$M,0))&amp;"",""))),0,IF(OR(IFERROR(INDEX('Paramètres'!$I:$I,MATCH($C2095,'Paramètres'!$D:$D,0))&amp;"","")="Les deux",IFERROR(INDEX('Paramètres'!$I:$I,MATCH($C2095,'Paramètres'!$D:$D,0))&amp;"","")=IF($P2095=1,"Débit",$L2095)),-IF($P2095=1,-$K2095,$K2095),0))))</f>
        <v/>
      </c>
      <c r="U2095" s="6" t="str">
        <f>IF($K2095="","",IF(ISNUMBER(SEARCH("sortie-epargne",IFERROR(INDEX('Paramètres'!$N:$N,MATCH($D2095,'Paramètres'!$M:$M,0))&amp;"",""))),$K2095,0))</f>
        <v/>
      </c>
      <c r="V2095" s="6" t="str">
        <f>IF(AND($A2095&lt;&gt;"",$O2095=1,$L2095="Débit",N($Q2095)&gt;0,$A2095&gt;=Visualisation!$B$1,$A2095&lt;Visualisation!$D$1),MAX($V$1:V2094)+1,"")</f>
        <v/>
      </c>
    </row>
    <row r="2096" spans="1:22" x14ac:dyDescent="0.25">
      <c r="A2096" s="9"/>
      <c r="E2096" s="10"/>
      <c r="K2096" s="11" t="str">
        <f>IF($E2096="","",ROUND($E2096*IF(ISNA(MATCH($C2096,'Paramètres'!$D:$D,0)),1,IF(INDEX('Paramètres'!$J:$J,MATCH($C2096,'Paramètres'!$D:$D,0))="",1,INDEX('Paramètres'!$J:$J,MATCH($C2096,'Paramètres'!$D:$D,0)))),2))</f>
        <v/>
      </c>
      <c r="L2096" s="6" t="str">
        <f>IF($D2096="","",IF($F2096&lt;&gt;"",$F2096,IF(ISNA(MATCH($D2096,'Paramètres'!$M:$M,0)),"⚠ Type inconnu",IFERROR(INDEX('Paramètres'!$P:$P,MATCH($D2096,'Paramètres'!$M:$M,0))&amp;"",""))))</f>
        <v/>
      </c>
      <c r="M2096" s="6" t="str">
        <f>IF($D2096="","",IF(ISNA(MATCH($D2096,'Paramètres'!$M:$M,0)),"⚠ Type inconnu",IF($L2096="Crédit","",IFERROR(INDEX('Paramètres'!$O:$O,MATCH($D2096,'Paramètres'!$M:$M,0))&amp;"",""))))</f>
        <v/>
      </c>
      <c r="N2096" s="6" t="str">
        <f>IF($D2096="","",IFERROR(INDEX('Paramètres'!$Q:$Q,MATCH($D2096,'Paramètres'!$M:$M,0))&amp;"",""))</f>
        <v/>
      </c>
      <c r="O2096" s="6" t="str">
        <f>IF($A2096="","",IF(OR($J2096&lt;&gt;"x",$A2096&lt;=FinReleve),1,0))</f>
        <v/>
      </c>
      <c r="P2096" s="6" t="str">
        <f>IF($D2096="","",IF(AND($L2096="Crédit",OR(IFERROR(INDEX('Paramètres'!$O:$O,MATCH($D2096,'Paramètres'!$M:$M,0))&amp;"","")&lt;&gt;"",ISNUMBER(SEARCH("remboursement",IFERROR(INDEX('Paramètres'!$N:$N,MATCH($D2096,'Paramètres'!$M:$M,0))&amp;"",""))))),1,0))</f>
        <v/>
      </c>
      <c r="Q2096" s="6" t="str">
        <f>IF($K2096="","",IF(ISNUMBER(SEARCH("transfert-interne",IFERROR(INDEX('Paramètres'!$N:$N,MATCH($D2096,'Paramètres'!$M:$M,0))&amp;"",""))),0,IF($L2096="Débit",$K2096,IF($P2096=1,-$K2096,0))))</f>
        <v/>
      </c>
      <c r="R2096" s="6" t="str">
        <f>IF($K2096="","",IF($L2096="Crédit",$K2096,-$K2096))</f>
        <v/>
      </c>
      <c r="S2096" s="6" t="str">
        <f>IF($C2096="","",IFERROR(INDEX('Paramètres'!$H:$H,MATCH($C2096,'Paramètres'!$D:$D,0))&amp;"",""))</f>
        <v/>
      </c>
      <c r="T2096" s="6" t="str">
        <f>IF($K2096="","",IF($S2096="",0,IF(ISNUMBER(SEARCH("apport-exterieur",IFERROR(INDEX('Paramètres'!$N:$N,MATCH($D2096,'Paramètres'!$M:$M,0))&amp;"",""))),0,IF(OR(IFERROR(INDEX('Paramètres'!$I:$I,MATCH($C2096,'Paramètres'!$D:$D,0))&amp;"","")="Les deux",IFERROR(INDEX('Paramètres'!$I:$I,MATCH($C2096,'Paramètres'!$D:$D,0))&amp;"","")=IF($P2096=1,"Débit",$L2096)),-IF($P2096=1,-$K2096,$K2096),0))))</f>
        <v/>
      </c>
      <c r="U2096" s="6" t="str">
        <f>IF($K2096="","",IF(ISNUMBER(SEARCH("sortie-epargne",IFERROR(INDEX('Paramètres'!$N:$N,MATCH($D2096,'Paramètres'!$M:$M,0))&amp;"",""))),$K2096,0))</f>
        <v/>
      </c>
      <c r="V2096" s="6" t="str">
        <f>IF(AND($A2096&lt;&gt;"",$O2096=1,$L2096="Débit",N($Q2096)&gt;0,$A2096&gt;=Visualisation!$B$1,$A2096&lt;Visualisation!$D$1),MAX($V$1:V2095)+1,"")</f>
        <v/>
      </c>
    </row>
    <row r="2097" spans="1:22" x14ac:dyDescent="0.25">
      <c r="A2097" s="9"/>
      <c r="E2097" s="10"/>
      <c r="K2097" s="11" t="str">
        <f>IF($E2097="","",ROUND($E2097*IF(ISNA(MATCH($C2097,'Paramètres'!$D:$D,0)),1,IF(INDEX('Paramètres'!$J:$J,MATCH($C2097,'Paramètres'!$D:$D,0))="",1,INDEX('Paramètres'!$J:$J,MATCH($C2097,'Paramètres'!$D:$D,0)))),2))</f>
        <v/>
      </c>
      <c r="L2097" s="6" t="str">
        <f>IF($D2097="","",IF($F2097&lt;&gt;"",$F2097,IF(ISNA(MATCH($D2097,'Paramètres'!$M:$M,0)),"⚠ Type inconnu",IFERROR(INDEX('Paramètres'!$P:$P,MATCH($D2097,'Paramètres'!$M:$M,0))&amp;"",""))))</f>
        <v/>
      </c>
      <c r="M2097" s="6" t="str">
        <f>IF($D2097="","",IF(ISNA(MATCH($D2097,'Paramètres'!$M:$M,0)),"⚠ Type inconnu",IF($L2097="Crédit","",IFERROR(INDEX('Paramètres'!$O:$O,MATCH($D2097,'Paramètres'!$M:$M,0))&amp;"",""))))</f>
        <v/>
      </c>
      <c r="N2097" s="6" t="str">
        <f>IF($D2097="","",IFERROR(INDEX('Paramètres'!$Q:$Q,MATCH($D2097,'Paramètres'!$M:$M,0))&amp;"",""))</f>
        <v/>
      </c>
      <c r="O2097" s="6" t="str">
        <f>IF($A2097="","",IF(OR($J2097&lt;&gt;"x",$A2097&lt;=FinReleve),1,0))</f>
        <v/>
      </c>
      <c r="P2097" s="6" t="str">
        <f>IF($D2097="","",IF(AND($L2097="Crédit",OR(IFERROR(INDEX('Paramètres'!$O:$O,MATCH($D2097,'Paramètres'!$M:$M,0))&amp;"","")&lt;&gt;"",ISNUMBER(SEARCH("remboursement",IFERROR(INDEX('Paramètres'!$N:$N,MATCH($D2097,'Paramètres'!$M:$M,0))&amp;"",""))))),1,0))</f>
        <v/>
      </c>
      <c r="Q2097" s="6" t="str">
        <f>IF($K2097="","",IF(ISNUMBER(SEARCH("transfert-interne",IFERROR(INDEX('Paramètres'!$N:$N,MATCH($D2097,'Paramètres'!$M:$M,0))&amp;"",""))),0,IF($L2097="Débit",$K2097,IF($P2097=1,-$K2097,0))))</f>
        <v/>
      </c>
      <c r="R2097" s="6" t="str">
        <f>IF($K2097="","",IF($L2097="Crédit",$K2097,-$K2097))</f>
        <v/>
      </c>
      <c r="S2097" s="6" t="str">
        <f>IF($C2097="","",IFERROR(INDEX('Paramètres'!$H:$H,MATCH($C2097,'Paramètres'!$D:$D,0))&amp;"",""))</f>
        <v/>
      </c>
      <c r="T2097" s="6" t="str">
        <f>IF($K2097="","",IF($S2097="",0,IF(ISNUMBER(SEARCH("apport-exterieur",IFERROR(INDEX('Paramètres'!$N:$N,MATCH($D2097,'Paramètres'!$M:$M,0))&amp;"",""))),0,IF(OR(IFERROR(INDEX('Paramètres'!$I:$I,MATCH($C2097,'Paramètres'!$D:$D,0))&amp;"","")="Les deux",IFERROR(INDEX('Paramètres'!$I:$I,MATCH($C2097,'Paramètres'!$D:$D,0))&amp;"","")=IF($P2097=1,"Débit",$L2097)),-IF($P2097=1,-$K2097,$K2097),0))))</f>
        <v/>
      </c>
      <c r="U2097" s="6" t="str">
        <f>IF($K2097="","",IF(ISNUMBER(SEARCH("sortie-epargne",IFERROR(INDEX('Paramètres'!$N:$N,MATCH($D2097,'Paramètres'!$M:$M,0))&amp;"",""))),$K2097,0))</f>
        <v/>
      </c>
      <c r="V2097" s="6" t="str">
        <f>IF(AND($A2097&lt;&gt;"",$O2097=1,$L2097="Débit",N($Q2097)&gt;0,$A2097&gt;=Visualisation!$B$1,$A2097&lt;Visualisation!$D$1),MAX($V$1:V2096)+1,"")</f>
        <v/>
      </c>
    </row>
    <row r="2098" spans="1:22" x14ac:dyDescent="0.25">
      <c r="A2098" s="9"/>
      <c r="E2098" s="10"/>
      <c r="K2098" s="11" t="str">
        <f>IF($E2098="","",ROUND($E2098*IF(ISNA(MATCH($C2098,'Paramètres'!$D:$D,0)),1,IF(INDEX('Paramètres'!$J:$J,MATCH($C2098,'Paramètres'!$D:$D,0))="",1,INDEX('Paramètres'!$J:$J,MATCH($C2098,'Paramètres'!$D:$D,0)))),2))</f>
        <v/>
      </c>
      <c r="L2098" s="6" t="str">
        <f>IF($D2098="","",IF($F2098&lt;&gt;"",$F2098,IF(ISNA(MATCH($D2098,'Paramètres'!$M:$M,0)),"⚠ Type inconnu",IFERROR(INDEX('Paramètres'!$P:$P,MATCH($D2098,'Paramètres'!$M:$M,0))&amp;"",""))))</f>
        <v/>
      </c>
      <c r="M2098" s="6" t="str">
        <f>IF($D2098="","",IF(ISNA(MATCH($D2098,'Paramètres'!$M:$M,0)),"⚠ Type inconnu",IF($L2098="Crédit","",IFERROR(INDEX('Paramètres'!$O:$O,MATCH($D2098,'Paramètres'!$M:$M,0))&amp;"",""))))</f>
        <v/>
      </c>
      <c r="N2098" s="6" t="str">
        <f>IF($D2098="","",IFERROR(INDEX('Paramètres'!$Q:$Q,MATCH($D2098,'Paramètres'!$M:$M,0))&amp;"",""))</f>
        <v/>
      </c>
      <c r="O2098" s="6" t="str">
        <f>IF($A2098="","",IF(OR($J2098&lt;&gt;"x",$A2098&lt;=FinReleve),1,0))</f>
        <v/>
      </c>
      <c r="P2098" s="6" t="str">
        <f>IF($D2098="","",IF(AND($L2098="Crédit",OR(IFERROR(INDEX('Paramètres'!$O:$O,MATCH($D2098,'Paramètres'!$M:$M,0))&amp;"","")&lt;&gt;"",ISNUMBER(SEARCH("remboursement",IFERROR(INDEX('Paramètres'!$N:$N,MATCH($D2098,'Paramètres'!$M:$M,0))&amp;"",""))))),1,0))</f>
        <v/>
      </c>
      <c r="Q2098" s="6" t="str">
        <f>IF($K2098="","",IF(ISNUMBER(SEARCH("transfert-interne",IFERROR(INDEX('Paramètres'!$N:$N,MATCH($D2098,'Paramètres'!$M:$M,0))&amp;"",""))),0,IF($L2098="Débit",$K2098,IF($P2098=1,-$K2098,0))))</f>
        <v/>
      </c>
      <c r="R2098" s="6" t="str">
        <f>IF($K2098="","",IF($L2098="Crédit",$K2098,-$K2098))</f>
        <v/>
      </c>
      <c r="S2098" s="6" t="str">
        <f>IF($C2098="","",IFERROR(INDEX('Paramètres'!$H:$H,MATCH($C2098,'Paramètres'!$D:$D,0))&amp;"",""))</f>
        <v/>
      </c>
      <c r="T2098" s="6" t="str">
        <f>IF($K2098="","",IF($S2098="",0,IF(ISNUMBER(SEARCH("apport-exterieur",IFERROR(INDEX('Paramètres'!$N:$N,MATCH($D2098,'Paramètres'!$M:$M,0))&amp;"",""))),0,IF(OR(IFERROR(INDEX('Paramètres'!$I:$I,MATCH($C2098,'Paramètres'!$D:$D,0))&amp;"","")="Les deux",IFERROR(INDEX('Paramètres'!$I:$I,MATCH($C2098,'Paramètres'!$D:$D,0))&amp;"","")=IF($P2098=1,"Débit",$L2098)),-IF($P2098=1,-$K2098,$K2098),0))))</f>
        <v/>
      </c>
      <c r="U2098" s="6" t="str">
        <f>IF($K2098="","",IF(ISNUMBER(SEARCH("sortie-epargne",IFERROR(INDEX('Paramètres'!$N:$N,MATCH($D2098,'Paramètres'!$M:$M,0))&amp;"",""))),$K2098,0))</f>
        <v/>
      </c>
      <c r="V2098" s="6" t="str">
        <f>IF(AND($A2098&lt;&gt;"",$O2098=1,$L2098="Débit",N($Q2098)&gt;0,$A2098&gt;=Visualisation!$B$1,$A2098&lt;Visualisation!$D$1),MAX($V$1:V2097)+1,"")</f>
        <v/>
      </c>
    </row>
    <row r="2099" spans="1:22" x14ac:dyDescent="0.25">
      <c r="A2099" s="9"/>
      <c r="E2099" s="10"/>
      <c r="K2099" s="11" t="str">
        <f>IF($E2099="","",ROUND($E2099*IF(ISNA(MATCH($C2099,'Paramètres'!$D:$D,0)),1,IF(INDEX('Paramètres'!$J:$J,MATCH($C2099,'Paramètres'!$D:$D,0))="",1,INDEX('Paramètres'!$J:$J,MATCH($C2099,'Paramètres'!$D:$D,0)))),2))</f>
        <v/>
      </c>
      <c r="L2099" s="6" t="str">
        <f>IF($D2099="","",IF($F2099&lt;&gt;"",$F2099,IF(ISNA(MATCH($D2099,'Paramètres'!$M:$M,0)),"⚠ Type inconnu",IFERROR(INDEX('Paramètres'!$P:$P,MATCH($D2099,'Paramètres'!$M:$M,0))&amp;"",""))))</f>
        <v/>
      </c>
      <c r="M2099" s="6" t="str">
        <f>IF($D2099="","",IF(ISNA(MATCH($D2099,'Paramètres'!$M:$M,0)),"⚠ Type inconnu",IF($L2099="Crédit","",IFERROR(INDEX('Paramètres'!$O:$O,MATCH($D2099,'Paramètres'!$M:$M,0))&amp;"",""))))</f>
        <v/>
      </c>
      <c r="N2099" s="6" t="str">
        <f>IF($D2099="","",IFERROR(INDEX('Paramètres'!$Q:$Q,MATCH($D2099,'Paramètres'!$M:$M,0))&amp;"",""))</f>
        <v/>
      </c>
      <c r="O2099" s="6" t="str">
        <f>IF($A2099="","",IF(OR($J2099&lt;&gt;"x",$A2099&lt;=FinReleve),1,0))</f>
        <v/>
      </c>
      <c r="P2099" s="6" t="str">
        <f>IF($D2099="","",IF(AND($L2099="Crédit",OR(IFERROR(INDEX('Paramètres'!$O:$O,MATCH($D2099,'Paramètres'!$M:$M,0))&amp;"","")&lt;&gt;"",ISNUMBER(SEARCH("remboursement",IFERROR(INDEX('Paramètres'!$N:$N,MATCH($D2099,'Paramètres'!$M:$M,0))&amp;"",""))))),1,0))</f>
        <v/>
      </c>
      <c r="Q2099" s="6" t="str">
        <f>IF($K2099="","",IF(ISNUMBER(SEARCH("transfert-interne",IFERROR(INDEX('Paramètres'!$N:$N,MATCH($D2099,'Paramètres'!$M:$M,0))&amp;"",""))),0,IF($L2099="Débit",$K2099,IF($P2099=1,-$K2099,0))))</f>
        <v/>
      </c>
      <c r="R2099" s="6" t="str">
        <f>IF($K2099="","",IF($L2099="Crédit",$K2099,-$K2099))</f>
        <v/>
      </c>
      <c r="S2099" s="6" t="str">
        <f>IF($C2099="","",IFERROR(INDEX('Paramètres'!$H:$H,MATCH($C2099,'Paramètres'!$D:$D,0))&amp;"",""))</f>
        <v/>
      </c>
      <c r="T2099" s="6" t="str">
        <f>IF($K2099="","",IF($S2099="",0,IF(ISNUMBER(SEARCH("apport-exterieur",IFERROR(INDEX('Paramètres'!$N:$N,MATCH($D2099,'Paramètres'!$M:$M,0))&amp;"",""))),0,IF(OR(IFERROR(INDEX('Paramètres'!$I:$I,MATCH($C2099,'Paramètres'!$D:$D,0))&amp;"","")="Les deux",IFERROR(INDEX('Paramètres'!$I:$I,MATCH($C2099,'Paramètres'!$D:$D,0))&amp;"","")=IF($P2099=1,"Débit",$L2099)),-IF($P2099=1,-$K2099,$K2099),0))))</f>
        <v/>
      </c>
      <c r="U2099" s="6" t="str">
        <f>IF($K2099="","",IF(ISNUMBER(SEARCH("sortie-epargne",IFERROR(INDEX('Paramètres'!$N:$N,MATCH($D2099,'Paramètres'!$M:$M,0))&amp;"",""))),$K2099,0))</f>
        <v/>
      </c>
      <c r="V2099" s="6" t="str">
        <f>IF(AND($A2099&lt;&gt;"",$O2099=1,$L2099="Débit",N($Q2099)&gt;0,$A2099&gt;=Visualisation!$B$1,$A2099&lt;Visualisation!$D$1),MAX($V$1:V2098)+1,"")</f>
        <v/>
      </c>
    </row>
    <row r="2100" spans="1:22" x14ac:dyDescent="0.25">
      <c r="A2100" s="9"/>
      <c r="E2100" s="10"/>
      <c r="K2100" s="11" t="str">
        <f>IF($E2100="","",ROUND($E2100*IF(ISNA(MATCH($C2100,'Paramètres'!$D:$D,0)),1,IF(INDEX('Paramètres'!$J:$J,MATCH($C2100,'Paramètres'!$D:$D,0))="",1,INDEX('Paramètres'!$J:$J,MATCH($C2100,'Paramètres'!$D:$D,0)))),2))</f>
        <v/>
      </c>
      <c r="L2100" s="6" t="str">
        <f>IF($D2100="","",IF($F2100&lt;&gt;"",$F2100,IF(ISNA(MATCH($D2100,'Paramètres'!$M:$M,0)),"⚠ Type inconnu",IFERROR(INDEX('Paramètres'!$P:$P,MATCH($D2100,'Paramètres'!$M:$M,0))&amp;"",""))))</f>
        <v/>
      </c>
      <c r="M2100" s="6" t="str">
        <f>IF($D2100="","",IF(ISNA(MATCH($D2100,'Paramètres'!$M:$M,0)),"⚠ Type inconnu",IF($L2100="Crédit","",IFERROR(INDEX('Paramètres'!$O:$O,MATCH($D2100,'Paramètres'!$M:$M,0))&amp;"",""))))</f>
        <v/>
      </c>
      <c r="N2100" s="6" t="str">
        <f>IF($D2100="","",IFERROR(INDEX('Paramètres'!$Q:$Q,MATCH($D2100,'Paramètres'!$M:$M,0))&amp;"",""))</f>
        <v/>
      </c>
      <c r="O2100" s="6" t="str">
        <f>IF($A2100="","",IF(OR($J2100&lt;&gt;"x",$A2100&lt;=FinReleve),1,0))</f>
        <v/>
      </c>
      <c r="P2100" s="6" t="str">
        <f>IF($D2100="","",IF(AND($L2100="Crédit",OR(IFERROR(INDEX('Paramètres'!$O:$O,MATCH($D2100,'Paramètres'!$M:$M,0))&amp;"","")&lt;&gt;"",ISNUMBER(SEARCH("remboursement",IFERROR(INDEX('Paramètres'!$N:$N,MATCH($D2100,'Paramètres'!$M:$M,0))&amp;"",""))))),1,0))</f>
        <v/>
      </c>
      <c r="Q2100" s="6" t="str">
        <f>IF($K2100="","",IF(ISNUMBER(SEARCH("transfert-interne",IFERROR(INDEX('Paramètres'!$N:$N,MATCH($D2100,'Paramètres'!$M:$M,0))&amp;"",""))),0,IF($L2100="Débit",$K2100,IF($P2100=1,-$K2100,0))))</f>
        <v/>
      </c>
      <c r="R2100" s="6" t="str">
        <f>IF($K2100="","",IF($L2100="Crédit",$K2100,-$K2100))</f>
        <v/>
      </c>
      <c r="S2100" s="6" t="str">
        <f>IF($C2100="","",IFERROR(INDEX('Paramètres'!$H:$H,MATCH($C2100,'Paramètres'!$D:$D,0))&amp;"",""))</f>
        <v/>
      </c>
      <c r="T2100" s="6" t="str">
        <f>IF($K2100="","",IF($S2100="",0,IF(ISNUMBER(SEARCH("apport-exterieur",IFERROR(INDEX('Paramètres'!$N:$N,MATCH($D2100,'Paramètres'!$M:$M,0))&amp;"",""))),0,IF(OR(IFERROR(INDEX('Paramètres'!$I:$I,MATCH($C2100,'Paramètres'!$D:$D,0))&amp;"","")="Les deux",IFERROR(INDEX('Paramètres'!$I:$I,MATCH($C2100,'Paramètres'!$D:$D,0))&amp;"","")=IF($P2100=1,"Débit",$L2100)),-IF($P2100=1,-$K2100,$K2100),0))))</f>
        <v/>
      </c>
      <c r="U2100" s="6" t="str">
        <f>IF($K2100="","",IF(ISNUMBER(SEARCH("sortie-epargne",IFERROR(INDEX('Paramètres'!$N:$N,MATCH($D2100,'Paramètres'!$M:$M,0))&amp;"",""))),$K2100,0))</f>
        <v/>
      </c>
      <c r="V2100" s="6" t="str">
        <f>IF(AND($A2100&lt;&gt;"",$O2100=1,$L2100="Débit",N($Q2100)&gt;0,$A2100&gt;=Visualisation!$B$1,$A2100&lt;Visualisation!$D$1),MAX($V$1:V2099)+1,"")</f>
        <v/>
      </c>
    </row>
    <row r="2101" spans="1:22" x14ac:dyDescent="0.25">
      <c r="A2101" s="9"/>
      <c r="E2101" s="10"/>
      <c r="K2101" s="11" t="str">
        <f>IF($E2101="","",ROUND($E2101*IF(ISNA(MATCH($C2101,'Paramètres'!$D:$D,0)),1,IF(INDEX('Paramètres'!$J:$J,MATCH($C2101,'Paramètres'!$D:$D,0))="",1,INDEX('Paramètres'!$J:$J,MATCH($C2101,'Paramètres'!$D:$D,0)))),2))</f>
        <v/>
      </c>
      <c r="L2101" s="6" t="str">
        <f>IF($D2101="","",IF($F2101&lt;&gt;"",$F2101,IF(ISNA(MATCH($D2101,'Paramètres'!$M:$M,0)),"⚠ Type inconnu",IFERROR(INDEX('Paramètres'!$P:$P,MATCH($D2101,'Paramètres'!$M:$M,0))&amp;"",""))))</f>
        <v/>
      </c>
      <c r="M2101" s="6" t="str">
        <f>IF($D2101="","",IF(ISNA(MATCH($D2101,'Paramètres'!$M:$M,0)),"⚠ Type inconnu",IF($L2101="Crédit","",IFERROR(INDEX('Paramètres'!$O:$O,MATCH($D2101,'Paramètres'!$M:$M,0))&amp;"",""))))</f>
        <v/>
      </c>
      <c r="N2101" s="6" t="str">
        <f>IF($D2101="","",IFERROR(INDEX('Paramètres'!$Q:$Q,MATCH($D2101,'Paramètres'!$M:$M,0))&amp;"",""))</f>
        <v/>
      </c>
      <c r="O2101" s="6" t="str">
        <f>IF($A2101="","",IF(OR($J2101&lt;&gt;"x",$A2101&lt;=FinReleve),1,0))</f>
        <v/>
      </c>
      <c r="P2101" s="6" t="str">
        <f>IF($D2101="","",IF(AND($L2101="Crédit",OR(IFERROR(INDEX('Paramètres'!$O:$O,MATCH($D2101,'Paramètres'!$M:$M,0))&amp;"","")&lt;&gt;"",ISNUMBER(SEARCH("remboursement",IFERROR(INDEX('Paramètres'!$N:$N,MATCH($D2101,'Paramètres'!$M:$M,0))&amp;"",""))))),1,0))</f>
        <v/>
      </c>
      <c r="Q2101" s="6" t="str">
        <f>IF($K2101="","",IF(ISNUMBER(SEARCH("transfert-interne",IFERROR(INDEX('Paramètres'!$N:$N,MATCH($D2101,'Paramètres'!$M:$M,0))&amp;"",""))),0,IF($L2101="Débit",$K2101,IF($P2101=1,-$K2101,0))))</f>
        <v/>
      </c>
      <c r="R2101" s="6" t="str">
        <f>IF($K2101="","",IF($L2101="Crédit",$K2101,-$K2101))</f>
        <v/>
      </c>
      <c r="S2101" s="6" t="str">
        <f>IF($C2101="","",IFERROR(INDEX('Paramètres'!$H:$H,MATCH($C2101,'Paramètres'!$D:$D,0))&amp;"",""))</f>
        <v/>
      </c>
      <c r="T2101" s="6" t="str">
        <f>IF($K2101="","",IF($S2101="",0,IF(ISNUMBER(SEARCH("apport-exterieur",IFERROR(INDEX('Paramètres'!$N:$N,MATCH($D2101,'Paramètres'!$M:$M,0))&amp;"",""))),0,IF(OR(IFERROR(INDEX('Paramètres'!$I:$I,MATCH($C2101,'Paramètres'!$D:$D,0))&amp;"","")="Les deux",IFERROR(INDEX('Paramètres'!$I:$I,MATCH($C2101,'Paramètres'!$D:$D,0))&amp;"","")=IF($P2101=1,"Débit",$L2101)),-IF($P2101=1,-$K2101,$K2101),0))))</f>
        <v/>
      </c>
      <c r="U2101" s="6" t="str">
        <f>IF($K2101="","",IF(ISNUMBER(SEARCH("sortie-epargne",IFERROR(INDEX('Paramètres'!$N:$N,MATCH($D2101,'Paramètres'!$M:$M,0))&amp;"",""))),$K2101,0))</f>
        <v/>
      </c>
      <c r="V2101" s="6" t="str">
        <f>IF(AND($A2101&lt;&gt;"",$O2101=1,$L2101="Débit",N($Q2101)&gt;0,$A2101&gt;=Visualisation!$B$1,$A2101&lt;Visualisation!$D$1),MAX($V$1:V2100)+1,"")</f>
        <v/>
      </c>
    </row>
    <row r="2102" spans="1:22" x14ac:dyDescent="0.25">
      <c r="A2102" s="9"/>
      <c r="E2102" s="10"/>
      <c r="K2102" s="11" t="str">
        <f>IF($E2102="","",ROUND($E2102*IF(ISNA(MATCH($C2102,'Paramètres'!$D:$D,0)),1,IF(INDEX('Paramètres'!$J:$J,MATCH($C2102,'Paramètres'!$D:$D,0))="",1,INDEX('Paramètres'!$J:$J,MATCH($C2102,'Paramètres'!$D:$D,0)))),2))</f>
        <v/>
      </c>
      <c r="L2102" s="6" t="str">
        <f>IF($D2102="","",IF($F2102&lt;&gt;"",$F2102,IF(ISNA(MATCH($D2102,'Paramètres'!$M:$M,0)),"⚠ Type inconnu",IFERROR(INDEX('Paramètres'!$P:$P,MATCH($D2102,'Paramètres'!$M:$M,0))&amp;"",""))))</f>
        <v/>
      </c>
      <c r="M2102" s="6" t="str">
        <f>IF($D2102="","",IF(ISNA(MATCH($D2102,'Paramètres'!$M:$M,0)),"⚠ Type inconnu",IF($L2102="Crédit","",IFERROR(INDEX('Paramètres'!$O:$O,MATCH($D2102,'Paramètres'!$M:$M,0))&amp;"",""))))</f>
        <v/>
      </c>
      <c r="N2102" s="6" t="str">
        <f>IF($D2102="","",IFERROR(INDEX('Paramètres'!$Q:$Q,MATCH($D2102,'Paramètres'!$M:$M,0))&amp;"",""))</f>
        <v/>
      </c>
      <c r="O2102" s="6" t="str">
        <f>IF($A2102="","",IF(OR($J2102&lt;&gt;"x",$A2102&lt;=FinReleve),1,0))</f>
        <v/>
      </c>
      <c r="P2102" s="6" t="str">
        <f>IF($D2102="","",IF(AND($L2102="Crédit",OR(IFERROR(INDEX('Paramètres'!$O:$O,MATCH($D2102,'Paramètres'!$M:$M,0))&amp;"","")&lt;&gt;"",ISNUMBER(SEARCH("remboursement",IFERROR(INDEX('Paramètres'!$N:$N,MATCH($D2102,'Paramètres'!$M:$M,0))&amp;"",""))))),1,0))</f>
        <v/>
      </c>
      <c r="Q2102" s="6" t="str">
        <f>IF($K2102="","",IF(ISNUMBER(SEARCH("transfert-interne",IFERROR(INDEX('Paramètres'!$N:$N,MATCH($D2102,'Paramètres'!$M:$M,0))&amp;"",""))),0,IF($L2102="Débit",$K2102,IF($P2102=1,-$K2102,0))))</f>
        <v/>
      </c>
      <c r="R2102" s="6" t="str">
        <f>IF($K2102="","",IF($L2102="Crédit",$K2102,-$K2102))</f>
        <v/>
      </c>
      <c r="S2102" s="6" t="str">
        <f>IF($C2102="","",IFERROR(INDEX('Paramètres'!$H:$H,MATCH($C2102,'Paramètres'!$D:$D,0))&amp;"",""))</f>
        <v/>
      </c>
      <c r="T2102" s="6" t="str">
        <f>IF($K2102="","",IF($S2102="",0,IF(ISNUMBER(SEARCH("apport-exterieur",IFERROR(INDEX('Paramètres'!$N:$N,MATCH($D2102,'Paramètres'!$M:$M,0))&amp;"",""))),0,IF(OR(IFERROR(INDEX('Paramètres'!$I:$I,MATCH($C2102,'Paramètres'!$D:$D,0))&amp;"","")="Les deux",IFERROR(INDEX('Paramètres'!$I:$I,MATCH($C2102,'Paramètres'!$D:$D,0))&amp;"","")=IF($P2102=1,"Débit",$L2102)),-IF($P2102=1,-$K2102,$K2102),0))))</f>
        <v/>
      </c>
      <c r="U2102" s="6" t="str">
        <f>IF($K2102="","",IF(ISNUMBER(SEARCH("sortie-epargne",IFERROR(INDEX('Paramètres'!$N:$N,MATCH($D2102,'Paramètres'!$M:$M,0))&amp;"",""))),$K2102,0))</f>
        <v/>
      </c>
      <c r="V2102" s="6" t="str">
        <f>IF(AND($A2102&lt;&gt;"",$O2102=1,$L2102="Débit",N($Q2102)&gt;0,$A2102&gt;=Visualisation!$B$1,$A2102&lt;Visualisation!$D$1),MAX($V$1:V2101)+1,"")</f>
        <v/>
      </c>
    </row>
    <row r="2103" spans="1:22" x14ac:dyDescent="0.25">
      <c r="A2103" s="9"/>
      <c r="E2103" s="10"/>
      <c r="K2103" s="11" t="str">
        <f>IF($E2103="","",ROUND($E2103*IF(ISNA(MATCH($C2103,'Paramètres'!$D:$D,0)),1,IF(INDEX('Paramètres'!$J:$J,MATCH($C2103,'Paramètres'!$D:$D,0))="",1,INDEX('Paramètres'!$J:$J,MATCH($C2103,'Paramètres'!$D:$D,0)))),2))</f>
        <v/>
      </c>
      <c r="L2103" s="6" t="str">
        <f>IF($D2103="","",IF($F2103&lt;&gt;"",$F2103,IF(ISNA(MATCH($D2103,'Paramètres'!$M:$M,0)),"⚠ Type inconnu",IFERROR(INDEX('Paramètres'!$P:$P,MATCH($D2103,'Paramètres'!$M:$M,0))&amp;"",""))))</f>
        <v/>
      </c>
      <c r="M2103" s="6" t="str">
        <f>IF($D2103="","",IF(ISNA(MATCH($D2103,'Paramètres'!$M:$M,0)),"⚠ Type inconnu",IF($L2103="Crédit","",IFERROR(INDEX('Paramètres'!$O:$O,MATCH($D2103,'Paramètres'!$M:$M,0))&amp;"",""))))</f>
        <v/>
      </c>
      <c r="N2103" s="6" t="str">
        <f>IF($D2103="","",IFERROR(INDEX('Paramètres'!$Q:$Q,MATCH($D2103,'Paramètres'!$M:$M,0))&amp;"",""))</f>
        <v/>
      </c>
      <c r="O2103" s="6" t="str">
        <f>IF($A2103="","",IF(OR($J2103&lt;&gt;"x",$A2103&lt;=FinReleve),1,0))</f>
        <v/>
      </c>
      <c r="P2103" s="6" t="str">
        <f>IF($D2103="","",IF(AND($L2103="Crédit",OR(IFERROR(INDEX('Paramètres'!$O:$O,MATCH($D2103,'Paramètres'!$M:$M,0))&amp;"","")&lt;&gt;"",ISNUMBER(SEARCH("remboursement",IFERROR(INDEX('Paramètres'!$N:$N,MATCH($D2103,'Paramètres'!$M:$M,0))&amp;"",""))))),1,0))</f>
        <v/>
      </c>
      <c r="Q2103" s="6" t="str">
        <f>IF($K2103="","",IF(ISNUMBER(SEARCH("transfert-interne",IFERROR(INDEX('Paramètres'!$N:$N,MATCH($D2103,'Paramètres'!$M:$M,0))&amp;"",""))),0,IF($L2103="Débit",$K2103,IF($P2103=1,-$K2103,0))))</f>
        <v/>
      </c>
      <c r="R2103" s="6" t="str">
        <f>IF($K2103="","",IF($L2103="Crédit",$K2103,-$K2103))</f>
        <v/>
      </c>
      <c r="S2103" s="6" t="str">
        <f>IF($C2103="","",IFERROR(INDEX('Paramètres'!$H:$H,MATCH($C2103,'Paramètres'!$D:$D,0))&amp;"",""))</f>
        <v/>
      </c>
      <c r="T2103" s="6" t="str">
        <f>IF($K2103="","",IF($S2103="",0,IF(ISNUMBER(SEARCH("apport-exterieur",IFERROR(INDEX('Paramètres'!$N:$N,MATCH($D2103,'Paramètres'!$M:$M,0))&amp;"",""))),0,IF(OR(IFERROR(INDEX('Paramètres'!$I:$I,MATCH($C2103,'Paramètres'!$D:$D,0))&amp;"","")="Les deux",IFERROR(INDEX('Paramètres'!$I:$I,MATCH($C2103,'Paramètres'!$D:$D,0))&amp;"","")=IF($P2103=1,"Débit",$L2103)),-IF($P2103=1,-$K2103,$K2103),0))))</f>
        <v/>
      </c>
      <c r="U2103" s="6" t="str">
        <f>IF($K2103="","",IF(ISNUMBER(SEARCH("sortie-epargne",IFERROR(INDEX('Paramètres'!$N:$N,MATCH($D2103,'Paramètres'!$M:$M,0))&amp;"",""))),$K2103,0))</f>
        <v/>
      </c>
      <c r="V2103" s="6" t="str">
        <f>IF(AND($A2103&lt;&gt;"",$O2103=1,$L2103="Débit",N($Q2103)&gt;0,$A2103&gt;=Visualisation!$B$1,$A2103&lt;Visualisation!$D$1),MAX($V$1:V2102)+1,"")</f>
        <v/>
      </c>
    </row>
    <row r="2104" spans="1:22" x14ac:dyDescent="0.25">
      <c r="A2104" s="9"/>
      <c r="E2104" s="10"/>
      <c r="K2104" s="11" t="str">
        <f>IF($E2104="","",ROUND($E2104*IF(ISNA(MATCH($C2104,'Paramètres'!$D:$D,0)),1,IF(INDEX('Paramètres'!$J:$J,MATCH($C2104,'Paramètres'!$D:$D,0))="",1,INDEX('Paramètres'!$J:$J,MATCH($C2104,'Paramètres'!$D:$D,0)))),2))</f>
        <v/>
      </c>
      <c r="L2104" s="6" t="str">
        <f>IF($D2104="","",IF($F2104&lt;&gt;"",$F2104,IF(ISNA(MATCH($D2104,'Paramètres'!$M:$M,0)),"⚠ Type inconnu",IFERROR(INDEX('Paramètres'!$P:$P,MATCH($D2104,'Paramètres'!$M:$M,0))&amp;"",""))))</f>
        <v/>
      </c>
      <c r="M2104" s="6" t="str">
        <f>IF($D2104="","",IF(ISNA(MATCH($D2104,'Paramètres'!$M:$M,0)),"⚠ Type inconnu",IF($L2104="Crédit","",IFERROR(INDEX('Paramètres'!$O:$O,MATCH($D2104,'Paramètres'!$M:$M,0))&amp;"",""))))</f>
        <v/>
      </c>
      <c r="N2104" s="6" t="str">
        <f>IF($D2104="","",IFERROR(INDEX('Paramètres'!$Q:$Q,MATCH($D2104,'Paramètres'!$M:$M,0))&amp;"",""))</f>
        <v/>
      </c>
      <c r="O2104" s="6" t="str">
        <f>IF($A2104="","",IF(OR($J2104&lt;&gt;"x",$A2104&lt;=FinReleve),1,0))</f>
        <v/>
      </c>
      <c r="P2104" s="6" t="str">
        <f>IF($D2104="","",IF(AND($L2104="Crédit",OR(IFERROR(INDEX('Paramètres'!$O:$O,MATCH($D2104,'Paramètres'!$M:$M,0))&amp;"","")&lt;&gt;"",ISNUMBER(SEARCH("remboursement",IFERROR(INDEX('Paramètres'!$N:$N,MATCH($D2104,'Paramètres'!$M:$M,0))&amp;"",""))))),1,0))</f>
        <v/>
      </c>
      <c r="Q2104" s="6" t="str">
        <f>IF($K2104="","",IF(ISNUMBER(SEARCH("transfert-interne",IFERROR(INDEX('Paramètres'!$N:$N,MATCH($D2104,'Paramètres'!$M:$M,0))&amp;"",""))),0,IF($L2104="Débit",$K2104,IF($P2104=1,-$K2104,0))))</f>
        <v/>
      </c>
      <c r="R2104" s="6" t="str">
        <f>IF($K2104="","",IF($L2104="Crédit",$K2104,-$K2104))</f>
        <v/>
      </c>
      <c r="S2104" s="6" t="str">
        <f>IF($C2104="","",IFERROR(INDEX('Paramètres'!$H:$H,MATCH($C2104,'Paramètres'!$D:$D,0))&amp;"",""))</f>
        <v/>
      </c>
      <c r="T2104" s="6" t="str">
        <f>IF($K2104="","",IF($S2104="",0,IF(ISNUMBER(SEARCH("apport-exterieur",IFERROR(INDEX('Paramètres'!$N:$N,MATCH($D2104,'Paramètres'!$M:$M,0))&amp;"",""))),0,IF(OR(IFERROR(INDEX('Paramètres'!$I:$I,MATCH($C2104,'Paramètres'!$D:$D,0))&amp;"","")="Les deux",IFERROR(INDEX('Paramètres'!$I:$I,MATCH($C2104,'Paramètres'!$D:$D,0))&amp;"","")=IF($P2104=1,"Débit",$L2104)),-IF($P2104=1,-$K2104,$K2104),0))))</f>
        <v/>
      </c>
      <c r="U2104" s="6" t="str">
        <f>IF($K2104="","",IF(ISNUMBER(SEARCH("sortie-epargne",IFERROR(INDEX('Paramètres'!$N:$N,MATCH($D2104,'Paramètres'!$M:$M,0))&amp;"",""))),$K2104,0))</f>
        <v/>
      </c>
      <c r="V2104" s="6" t="str">
        <f>IF(AND($A2104&lt;&gt;"",$O2104=1,$L2104="Débit",N($Q2104)&gt;0,$A2104&gt;=Visualisation!$B$1,$A2104&lt;Visualisation!$D$1),MAX($V$1:V2103)+1,"")</f>
        <v/>
      </c>
    </row>
    <row r="2105" spans="1:22" x14ac:dyDescent="0.25">
      <c r="A2105" s="9"/>
      <c r="E2105" s="10"/>
      <c r="K2105" s="11" t="str">
        <f>IF($E2105="","",ROUND($E2105*IF(ISNA(MATCH($C2105,'Paramètres'!$D:$D,0)),1,IF(INDEX('Paramètres'!$J:$J,MATCH($C2105,'Paramètres'!$D:$D,0))="",1,INDEX('Paramètres'!$J:$J,MATCH($C2105,'Paramètres'!$D:$D,0)))),2))</f>
        <v/>
      </c>
      <c r="L2105" s="6" t="str">
        <f>IF($D2105="","",IF($F2105&lt;&gt;"",$F2105,IF(ISNA(MATCH($D2105,'Paramètres'!$M:$M,0)),"⚠ Type inconnu",IFERROR(INDEX('Paramètres'!$P:$P,MATCH($D2105,'Paramètres'!$M:$M,0))&amp;"",""))))</f>
        <v/>
      </c>
      <c r="M2105" s="6" t="str">
        <f>IF($D2105="","",IF(ISNA(MATCH($D2105,'Paramètres'!$M:$M,0)),"⚠ Type inconnu",IF($L2105="Crédit","",IFERROR(INDEX('Paramètres'!$O:$O,MATCH($D2105,'Paramètres'!$M:$M,0))&amp;"",""))))</f>
        <v/>
      </c>
      <c r="N2105" s="6" t="str">
        <f>IF($D2105="","",IFERROR(INDEX('Paramètres'!$Q:$Q,MATCH($D2105,'Paramètres'!$M:$M,0))&amp;"",""))</f>
        <v/>
      </c>
      <c r="O2105" s="6" t="str">
        <f>IF($A2105="","",IF(OR($J2105&lt;&gt;"x",$A2105&lt;=FinReleve),1,0))</f>
        <v/>
      </c>
      <c r="P2105" s="6" t="str">
        <f>IF($D2105="","",IF(AND($L2105="Crédit",OR(IFERROR(INDEX('Paramètres'!$O:$O,MATCH($D2105,'Paramètres'!$M:$M,0))&amp;"","")&lt;&gt;"",ISNUMBER(SEARCH("remboursement",IFERROR(INDEX('Paramètres'!$N:$N,MATCH($D2105,'Paramètres'!$M:$M,0))&amp;"",""))))),1,0))</f>
        <v/>
      </c>
      <c r="Q2105" s="6" t="str">
        <f>IF($K2105="","",IF(ISNUMBER(SEARCH("transfert-interne",IFERROR(INDEX('Paramètres'!$N:$N,MATCH($D2105,'Paramètres'!$M:$M,0))&amp;"",""))),0,IF($L2105="Débit",$K2105,IF($P2105=1,-$K2105,0))))</f>
        <v/>
      </c>
      <c r="R2105" s="6" t="str">
        <f>IF($K2105="","",IF($L2105="Crédit",$K2105,-$K2105))</f>
        <v/>
      </c>
      <c r="S2105" s="6" t="str">
        <f>IF($C2105="","",IFERROR(INDEX('Paramètres'!$H:$H,MATCH($C2105,'Paramètres'!$D:$D,0))&amp;"",""))</f>
        <v/>
      </c>
      <c r="T2105" s="6" t="str">
        <f>IF($K2105="","",IF($S2105="",0,IF(ISNUMBER(SEARCH("apport-exterieur",IFERROR(INDEX('Paramètres'!$N:$N,MATCH($D2105,'Paramètres'!$M:$M,0))&amp;"",""))),0,IF(OR(IFERROR(INDEX('Paramètres'!$I:$I,MATCH($C2105,'Paramètres'!$D:$D,0))&amp;"","")="Les deux",IFERROR(INDEX('Paramètres'!$I:$I,MATCH($C2105,'Paramètres'!$D:$D,0))&amp;"","")=IF($P2105=1,"Débit",$L2105)),-IF($P2105=1,-$K2105,$K2105),0))))</f>
        <v/>
      </c>
      <c r="U2105" s="6" t="str">
        <f>IF($K2105="","",IF(ISNUMBER(SEARCH("sortie-epargne",IFERROR(INDEX('Paramètres'!$N:$N,MATCH($D2105,'Paramètres'!$M:$M,0))&amp;"",""))),$K2105,0))</f>
        <v/>
      </c>
      <c r="V2105" s="6" t="str">
        <f>IF(AND($A2105&lt;&gt;"",$O2105=1,$L2105="Débit",N($Q2105)&gt;0,$A2105&gt;=Visualisation!$B$1,$A2105&lt;Visualisation!$D$1),MAX($V$1:V2104)+1,"")</f>
        <v/>
      </c>
    </row>
    <row r="2106" spans="1:22" x14ac:dyDescent="0.25">
      <c r="A2106" s="9"/>
      <c r="E2106" s="10"/>
      <c r="K2106" s="11" t="str">
        <f>IF($E2106="","",ROUND($E2106*IF(ISNA(MATCH($C2106,'Paramètres'!$D:$D,0)),1,IF(INDEX('Paramètres'!$J:$J,MATCH($C2106,'Paramètres'!$D:$D,0))="",1,INDEX('Paramètres'!$J:$J,MATCH($C2106,'Paramètres'!$D:$D,0)))),2))</f>
        <v/>
      </c>
      <c r="L2106" s="6" t="str">
        <f>IF($D2106="","",IF($F2106&lt;&gt;"",$F2106,IF(ISNA(MATCH($D2106,'Paramètres'!$M:$M,0)),"⚠ Type inconnu",IFERROR(INDEX('Paramètres'!$P:$P,MATCH($D2106,'Paramètres'!$M:$M,0))&amp;"",""))))</f>
        <v/>
      </c>
      <c r="M2106" s="6" t="str">
        <f>IF($D2106="","",IF(ISNA(MATCH($D2106,'Paramètres'!$M:$M,0)),"⚠ Type inconnu",IF($L2106="Crédit","",IFERROR(INDEX('Paramètres'!$O:$O,MATCH($D2106,'Paramètres'!$M:$M,0))&amp;"",""))))</f>
        <v/>
      </c>
      <c r="N2106" s="6" t="str">
        <f>IF($D2106="","",IFERROR(INDEX('Paramètres'!$Q:$Q,MATCH($D2106,'Paramètres'!$M:$M,0))&amp;"",""))</f>
        <v/>
      </c>
      <c r="O2106" s="6" t="str">
        <f>IF($A2106="","",IF(OR($J2106&lt;&gt;"x",$A2106&lt;=FinReleve),1,0))</f>
        <v/>
      </c>
      <c r="P2106" s="6" t="str">
        <f>IF($D2106="","",IF(AND($L2106="Crédit",OR(IFERROR(INDEX('Paramètres'!$O:$O,MATCH($D2106,'Paramètres'!$M:$M,0))&amp;"","")&lt;&gt;"",ISNUMBER(SEARCH("remboursement",IFERROR(INDEX('Paramètres'!$N:$N,MATCH($D2106,'Paramètres'!$M:$M,0))&amp;"",""))))),1,0))</f>
        <v/>
      </c>
      <c r="Q2106" s="6" t="str">
        <f>IF($K2106="","",IF(ISNUMBER(SEARCH("transfert-interne",IFERROR(INDEX('Paramètres'!$N:$N,MATCH($D2106,'Paramètres'!$M:$M,0))&amp;"",""))),0,IF($L2106="Débit",$K2106,IF($P2106=1,-$K2106,0))))</f>
        <v/>
      </c>
      <c r="R2106" s="6" t="str">
        <f>IF($K2106="","",IF($L2106="Crédit",$K2106,-$K2106))</f>
        <v/>
      </c>
      <c r="S2106" s="6" t="str">
        <f>IF($C2106="","",IFERROR(INDEX('Paramètres'!$H:$H,MATCH($C2106,'Paramètres'!$D:$D,0))&amp;"",""))</f>
        <v/>
      </c>
      <c r="T2106" s="6" t="str">
        <f>IF($K2106="","",IF($S2106="",0,IF(ISNUMBER(SEARCH("apport-exterieur",IFERROR(INDEX('Paramètres'!$N:$N,MATCH($D2106,'Paramètres'!$M:$M,0))&amp;"",""))),0,IF(OR(IFERROR(INDEX('Paramètres'!$I:$I,MATCH($C2106,'Paramètres'!$D:$D,0))&amp;"","")="Les deux",IFERROR(INDEX('Paramètres'!$I:$I,MATCH($C2106,'Paramètres'!$D:$D,0))&amp;"","")=IF($P2106=1,"Débit",$L2106)),-IF($P2106=1,-$K2106,$K2106),0))))</f>
        <v/>
      </c>
      <c r="U2106" s="6" t="str">
        <f>IF($K2106="","",IF(ISNUMBER(SEARCH("sortie-epargne",IFERROR(INDEX('Paramètres'!$N:$N,MATCH($D2106,'Paramètres'!$M:$M,0))&amp;"",""))),$K2106,0))</f>
        <v/>
      </c>
      <c r="V2106" s="6" t="str">
        <f>IF(AND($A2106&lt;&gt;"",$O2106=1,$L2106="Débit",N($Q2106)&gt;0,$A2106&gt;=Visualisation!$B$1,$A2106&lt;Visualisation!$D$1),MAX($V$1:V2105)+1,"")</f>
        <v/>
      </c>
    </row>
    <row r="2107" spans="1:22" x14ac:dyDescent="0.25">
      <c r="A2107" s="9"/>
      <c r="E2107" s="10"/>
      <c r="K2107" s="11" t="str">
        <f>IF($E2107="","",ROUND($E2107*IF(ISNA(MATCH($C2107,'Paramètres'!$D:$D,0)),1,IF(INDEX('Paramètres'!$J:$J,MATCH($C2107,'Paramètres'!$D:$D,0))="",1,INDEX('Paramètres'!$J:$J,MATCH($C2107,'Paramètres'!$D:$D,0)))),2))</f>
        <v/>
      </c>
      <c r="L2107" s="6" t="str">
        <f>IF($D2107="","",IF($F2107&lt;&gt;"",$F2107,IF(ISNA(MATCH($D2107,'Paramètres'!$M:$M,0)),"⚠ Type inconnu",IFERROR(INDEX('Paramètres'!$P:$P,MATCH($D2107,'Paramètres'!$M:$M,0))&amp;"",""))))</f>
        <v/>
      </c>
      <c r="M2107" s="6" t="str">
        <f>IF($D2107="","",IF(ISNA(MATCH($D2107,'Paramètres'!$M:$M,0)),"⚠ Type inconnu",IF($L2107="Crédit","",IFERROR(INDEX('Paramètres'!$O:$O,MATCH($D2107,'Paramètres'!$M:$M,0))&amp;"",""))))</f>
        <v/>
      </c>
      <c r="N2107" s="6" t="str">
        <f>IF($D2107="","",IFERROR(INDEX('Paramètres'!$Q:$Q,MATCH($D2107,'Paramètres'!$M:$M,0))&amp;"",""))</f>
        <v/>
      </c>
      <c r="O2107" s="6" t="str">
        <f>IF($A2107="","",IF(OR($J2107&lt;&gt;"x",$A2107&lt;=FinReleve),1,0))</f>
        <v/>
      </c>
      <c r="P2107" s="6" t="str">
        <f>IF($D2107="","",IF(AND($L2107="Crédit",OR(IFERROR(INDEX('Paramètres'!$O:$O,MATCH($D2107,'Paramètres'!$M:$M,0))&amp;"","")&lt;&gt;"",ISNUMBER(SEARCH("remboursement",IFERROR(INDEX('Paramètres'!$N:$N,MATCH($D2107,'Paramètres'!$M:$M,0))&amp;"",""))))),1,0))</f>
        <v/>
      </c>
      <c r="Q2107" s="6" t="str">
        <f>IF($K2107="","",IF(ISNUMBER(SEARCH("transfert-interne",IFERROR(INDEX('Paramètres'!$N:$N,MATCH($D2107,'Paramètres'!$M:$M,0))&amp;"",""))),0,IF($L2107="Débit",$K2107,IF($P2107=1,-$K2107,0))))</f>
        <v/>
      </c>
      <c r="R2107" s="6" t="str">
        <f>IF($K2107="","",IF($L2107="Crédit",$K2107,-$K2107))</f>
        <v/>
      </c>
      <c r="S2107" s="6" t="str">
        <f>IF($C2107="","",IFERROR(INDEX('Paramètres'!$H:$H,MATCH($C2107,'Paramètres'!$D:$D,0))&amp;"",""))</f>
        <v/>
      </c>
      <c r="T2107" s="6" t="str">
        <f>IF($K2107="","",IF($S2107="",0,IF(ISNUMBER(SEARCH("apport-exterieur",IFERROR(INDEX('Paramètres'!$N:$N,MATCH($D2107,'Paramètres'!$M:$M,0))&amp;"",""))),0,IF(OR(IFERROR(INDEX('Paramètres'!$I:$I,MATCH($C2107,'Paramètres'!$D:$D,0))&amp;"","")="Les deux",IFERROR(INDEX('Paramètres'!$I:$I,MATCH($C2107,'Paramètres'!$D:$D,0))&amp;"","")=IF($P2107=1,"Débit",$L2107)),-IF($P2107=1,-$K2107,$K2107),0))))</f>
        <v/>
      </c>
      <c r="U2107" s="6" t="str">
        <f>IF($K2107="","",IF(ISNUMBER(SEARCH("sortie-epargne",IFERROR(INDEX('Paramètres'!$N:$N,MATCH($D2107,'Paramètres'!$M:$M,0))&amp;"",""))),$K2107,0))</f>
        <v/>
      </c>
      <c r="V2107" s="6" t="str">
        <f>IF(AND($A2107&lt;&gt;"",$O2107=1,$L2107="Débit",N($Q2107)&gt;0,$A2107&gt;=Visualisation!$B$1,$A2107&lt;Visualisation!$D$1),MAX($V$1:V2106)+1,"")</f>
        <v/>
      </c>
    </row>
    <row r="2108" spans="1:22" x14ac:dyDescent="0.25">
      <c r="A2108" s="9"/>
      <c r="E2108" s="10"/>
      <c r="K2108" s="11" t="str">
        <f>IF($E2108="","",ROUND($E2108*IF(ISNA(MATCH($C2108,'Paramètres'!$D:$D,0)),1,IF(INDEX('Paramètres'!$J:$J,MATCH($C2108,'Paramètres'!$D:$D,0))="",1,INDEX('Paramètres'!$J:$J,MATCH($C2108,'Paramètres'!$D:$D,0)))),2))</f>
        <v/>
      </c>
      <c r="L2108" s="6" t="str">
        <f>IF($D2108="","",IF($F2108&lt;&gt;"",$F2108,IF(ISNA(MATCH($D2108,'Paramètres'!$M:$M,0)),"⚠ Type inconnu",IFERROR(INDEX('Paramètres'!$P:$P,MATCH($D2108,'Paramètres'!$M:$M,0))&amp;"",""))))</f>
        <v/>
      </c>
      <c r="M2108" s="6" t="str">
        <f>IF($D2108="","",IF(ISNA(MATCH($D2108,'Paramètres'!$M:$M,0)),"⚠ Type inconnu",IF($L2108="Crédit","",IFERROR(INDEX('Paramètres'!$O:$O,MATCH($D2108,'Paramètres'!$M:$M,0))&amp;"",""))))</f>
        <v/>
      </c>
      <c r="N2108" s="6" t="str">
        <f>IF($D2108="","",IFERROR(INDEX('Paramètres'!$Q:$Q,MATCH($D2108,'Paramètres'!$M:$M,0))&amp;"",""))</f>
        <v/>
      </c>
      <c r="O2108" s="6" t="str">
        <f>IF($A2108="","",IF(OR($J2108&lt;&gt;"x",$A2108&lt;=FinReleve),1,0))</f>
        <v/>
      </c>
      <c r="P2108" s="6" t="str">
        <f>IF($D2108="","",IF(AND($L2108="Crédit",OR(IFERROR(INDEX('Paramètres'!$O:$O,MATCH($D2108,'Paramètres'!$M:$M,0))&amp;"","")&lt;&gt;"",ISNUMBER(SEARCH("remboursement",IFERROR(INDEX('Paramètres'!$N:$N,MATCH($D2108,'Paramètres'!$M:$M,0))&amp;"",""))))),1,0))</f>
        <v/>
      </c>
      <c r="Q2108" s="6" t="str">
        <f>IF($K2108="","",IF(ISNUMBER(SEARCH("transfert-interne",IFERROR(INDEX('Paramètres'!$N:$N,MATCH($D2108,'Paramètres'!$M:$M,0))&amp;"",""))),0,IF($L2108="Débit",$K2108,IF($P2108=1,-$K2108,0))))</f>
        <v/>
      </c>
      <c r="R2108" s="6" t="str">
        <f>IF($K2108="","",IF($L2108="Crédit",$K2108,-$K2108))</f>
        <v/>
      </c>
      <c r="S2108" s="6" t="str">
        <f>IF($C2108="","",IFERROR(INDEX('Paramètres'!$H:$H,MATCH($C2108,'Paramètres'!$D:$D,0))&amp;"",""))</f>
        <v/>
      </c>
      <c r="T2108" s="6" t="str">
        <f>IF($K2108="","",IF($S2108="",0,IF(ISNUMBER(SEARCH("apport-exterieur",IFERROR(INDEX('Paramètres'!$N:$N,MATCH($D2108,'Paramètres'!$M:$M,0))&amp;"",""))),0,IF(OR(IFERROR(INDEX('Paramètres'!$I:$I,MATCH($C2108,'Paramètres'!$D:$D,0))&amp;"","")="Les deux",IFERROR(INDEX('Paramètres'!$I:$I,MATCH($C2108,'Paramètres'!$D:$D,0))&amp;"","")=IF($P2108=1,"Débit",$L2108)),-IF($P2108=1,-$K2108,$K2108),0))))</f>
        <v/>
      </c>
      <c r="U2108" s="6" t="str">
        <f>IF($K2108="","",IF(ISNUMBER(SEARCH("sortie-epargne",IFERROR(INDEX('Paramètres'!$N:$N,MATCH($D2108,'Paramètres'!$M:$M,0))&amp;"",""))),$K2108,0))</f>
        <v/>
      </c>
      <c r="V2108" s="6" t="str">
        <f>IF(AND($A2108&lt;&gt;"",$O2108=1,$L2108="Débit",N($Q2108)&gt;0,$A2108&gt;=Visualisation!$B$1,$A2108&lt;Visualisation!$D$1),MAX($V$1:V2107)+1,"")</f>
        <v/>
      </c>
    </row>
    <row r="2109" spans="1:22" x14ac:dyDescent="0.25">
      <c r="A2109" s="9"/>
      <c r="E2109" s="10"/>
      <c r="K2109" s="11" t="str">
        <f>IF($E2109="","",ROUND($E2109*IF(ISNA(MATCH($C2109,'Paramètres'!$D:$D,0)),1,IF(INDEX('Paramètres'!$J:$J,MATCH($C2109,'Paramètres'!$D:$D,0))="",1,INDEX('Paramètres'!$J:$J,MATCH($C2109,'Paramètres'!$D:$D,0)))),2))</f>
        <v/>
      </c>
      <c r="L2109" s="6" t="str">
        <f>IF($D2109="","",IF($F2109&lt;&gt;"",$F2109,IF(ISNA(MATCH($D2109,'Paramètres'!$M:$M,0)),"⚠ Type inconnu",IFERROR(INDEX('Paramètres'!$P:$P,MATCH($D2109,'Paramètres'!$M:$M,0))&amp;"",""))))</f>
        <v/>
      </c>
      <c r="M2109" s="6" t="str">
        <f>IF($D2109="","",IF(ISNA(MATCH($D2109,'Paramètres'!$M:$M,0)),"⚠ Type inconnu",IF($L2109="Crédit","",IFERROR(INDEX('Paramètres'!$O:$O,MATCH($D2109,'Paramètres'!$M:$M,0))&amp;"",""))))</f>
        <v/>
      </c>
      <c r="N2109" s="6" t="str">
        <f>IF($D2109="","",IFERROR(INDEX('Paramètres'!$Q:$Q,MATCH($D2109,'Paramètres'!$M:$M,0))&amp;"",""))</f>
        <v/>
      </c>
      <c r="O2109" s="6" t="str">
        <f>IF($A2109="","",IF(OR($J2109&lt;&gt;"x",$A2109&lt;=FinReleve),1,0))</f>
        <v/>
      </c>
      <c r="P2109" s="6" t="str">
        <f>IF($D2109="","",IF(AND($L2109="Crédit",OR(IFERROR(INDEX('Paramètres'!$O:$O,MATCH($D2109,'Paramètres'!$M:$M,0))&amp;"","")&lt;&gt;"",ISNUMBER(SEARCH("remboursement",IFERROR(INDEX('Paramètres'!$N:$N,MATCH($D2109,'Paramètres'!$M:$M,0))&amp;"",""))))),1,0))</f>
        <v/>
      </c>
      <c r="Q2109" s="6" t="str">
        <f>IF($K2109="","",IF(ISNUMBER(SEARCH("transfert-interne",IFERROR(INDEX('Paramètres'!$N:$N,MATCH($D2109,'Paramètres'!$M:$M,0))&amp;"",""))),0,IF($L2109="Débit",$K2109,IF($P2109=1,-$K2109,0))))</f>
        <v/>
      </c>
      <c r="R2109" s="6" t="str">
        <f>IF($K2109="","",IF($L2109="Crédit",$K2109,-$K2109))</f>
        <v/>
      </c>
      <c r="S2109" s="6" t="str">
        <f>IF($C2109="","",IFERROR(INDEX('Paramètres'!$H:$H,MATCH($C2109,'Paramètres'!$D:$D,0))&amp;"",""))</f>
        <v/>
      </c>
      <c r="T2109" s="6" t="str">
        <f>IF($K2109="","",IF($S2109="",0,IF(ISNUMBER(SEARCH("apport-exterieur",IFERROR(INDEX('Paramètres'!$N:$N,MATCH($D2109,'Paramètres'!$M:$M,0))&amp;"",""))),0,IF(OR(IFERROR(INDEX('Paramètres'!$I:$I,MATCH($C2109,'Paramètres'!$D:$D,0))&amp;"","")="Les deux",IFERROR(INDEX('Paramètres'!$I:$I,MATCH($C2109,'Paramètres'!$D:$D,0))&amp;"","")=IF($P2109=1,"Débit",$L2109)),-IF($P2109=1,-$K2109,$K2109),0))))</f>
        <v/>
      </c>
      <c r="U2109" s="6" t="str">
        <f>IF($K2109="","",IF(ISNUMBER(SEARCH("sortie-epargne",IFERROR(INDEX('Paramètres'!$N:$N,MATCH($D2109,'Paramètres'!$M:$M,0))&amp;"",""))),$K2109,0))</f>
        <v/>
      </c>
      <c r="V2109" s="6" t="str">
        <f>IF(AND($A2109&lt;&gt;"",$O2109=1,$L2109="Débit",N($Q2109)&gt;0,$A2109&gt;=Visualisation!$B$1,$A2109&lt;Visualisation!$D$1),MAX($V$1:V2108)+1,"")</f>
        <v/>
      </c>
    </row>
    <row r="2110" spans="1:22" x14ac:dyDescent="0.25">
      <c r="A2110" s="9"/>
      <c r="E2110" s="10"/>
      <c r="K2110" s="11" t="str">
        <f>IF($E2110="","",ROUND($E2110*IF(ISNA(MATCH($C2110,'Paramètres'!$D:$D,0)),1,IF(INDEX('Paramètres'!$J:$J,MATCH($C2110,'Paramètres'!$D:$D,0))="",1,INDEX('Paramètres'!$J:$J,MATCH($C2110,'Paramètres'!$D:$D,0)))),2))</f>
        <v/>
      </c>
      <c r="L2110" s="6" t="str">
        <f>IF($D2110="","",IF($F2110&lt;&gt;"",$F2110,IF(ISNA(MATCH($D2110,'Paramètres'!$M:$M,0)),"⚠ Type inconnu",IFERROR(INDEX('Paramètres'!$P:$P,MATCH($D2110,'Paramètres'!$M:$M,0))&amp;"",""))))</f>
        <v/>
      </c>
      <c r="M2110" s="6" t="str">
        <f>IF($D2110="","",IF(ISNA(MATCH($D2110,'Paramètres'!$M:$M,0)),"⚠ Type inconnu",IF($L2110="Crédit","",IFERROR(INDEX('Paramètres'!$O:$O,MATCH($D2110,'Paramètres'!$M:$M,0))&amp;"",""))))</f>
        <v/>
      </c>
      <c r="N2110" s="6" t="str">
        <f>IF($D2110="","",IFERROR(INDEX('Paramètres'!$Q:$Q,MATCH($D2110,'Paramètres'!$M:$M,0))&amp;"",""))</f>
        <v/>
      </c>
      <c r="O2110" s="6" t="str">
        <f>IF($A2110="","",IF(OR($J2110&lt;&gt;"x",$A2110&lt;=FinReleve),1,0))</f>
        <v/>
      </c>
      <c r="P2110" s="6" t="str">
        <f>IF($D2110="","",IF(AND($L2110="Crédit",OR(IFERROR(INDEX('Paramètres'!$O:$O,MATCH($D2110,'Paramètres'!$M:$M,0))&amp;"","")&lt;&gt;"",ISNUMBER(SEARCH("remboursement",IFERROR(INDEX('Paramètres'!$N:$N,MATCH($D2110,'Paramètres'!$M:$M,0))&amp;"",""))))),1,0))</f>
        <v/>
      </c>
      <c r="Q2110" s="6" t="str">
        <f>IF($K2110="","",IF(ISNUMBER(SEARCH("transfert-interne",IFERROR(INDEX('Paramètres'!$N:$N,MATCH($D2110,'Paramètres'!$M:$M,0))&amp;"",""))),0,IF($L2110="Débit",$K2110,IF($P2110=1,-$K2110,0))))</f>
        <v/>
      </c>
      <c r="R2110" s="6" t="str">
        <f>IF($K2110="","",IF($L2110="Crédit",$K2110,-$K2110))</f>
        <v/>
      </c>
      <c r="S2110" s="6" t="str">
        <f>IF($C2110="","",IFERROR(INDEX('Paramètres'!$H:$H,MATCH($C2110,'Paramètres'!$D:$D,0))&amp;"",""))</f>
        <v/>
      </c>
      <c r="T2110" s="6" t="str">
        <f>IF($K2110="","",IF($S2110="",0,IF(ISNUMBER(SEARCH("apport-exterieur",IFERROR(INDEX('Paramètres'!$N:$N,MATCH($D2110,'Paramètres'!$M:$M,0))&amp;"",""))),0,IF(OR(IFERROR(INDEX('Paramètres'!$I:$I,MATCH($C2110,'Paramètres'!$D:$D,0))&amp;"","")="Les deux",IFERROR(INDEX('Paramètres'!$I:$I,MATCH($C2110,'Paramètres'!$D:$D,0))&amp;"","")=IF($P2110=1,"Débit",$L2110)),-IF($P2110=1,-$K2110,$K2110),0))))</f>
        <v/>
      </c>
      <c r="U2110" s="6" t="str">
        <f>IF($K2110="","",IF(ISNUMBER(SEARCH("sortie-epargne",IFERROR(INDEX('Paramètres'!$N:$N,MATCH($D2110,'Paramètres'!$M:$M,0))&amp;"",""))),$K2110,0))</f>
        <v/>
      </c>
      <c r="V2110" s="6" t="str">
        <f>IF(AND($A2110&lt;&gt;"",$O2110=1,$L2110="Débit",N($Q2110)&gt;0,$A2110&gt;=Visualisation!$B$1,$A2110&lt;Visualisation!$D$1),MAX($V$1:V2109)+1,"")</f>
        <v/>
      </c>
    </row>
    <row r="2111" spans="1:22" x14ac:dyDescent="0.25">
      <c r="A2111" s="9"/>
      <c r="E2111" s="10"/>
      <c r="K2111" s="11" t="str">
        <f>IF($E2111="","",ROUND($E2111*IF(ISNA(MATCH($C2111,'Paramètres'!$D:$D,0)),1,IF(INDEX('Paramètres'!$J:$J,MATCH($C2111,'Paramètres'!$D:$D,0))="",1,INDEX('Paramètres'!$J:$J,MATCH($C2111,'Paramètres'!$D:$D,0)))),2))</f>
        <v/>
      </c>
      <c r="L2111" s="6" t="str">
        <f>IF($D2111="","",IF($F2111&lt;&gt;"",$F2111,IF(ISNA(MATCH($D2111,'Paramètres'!$M:$M,0)),"⚠ Type inconnu",IFERROR(INDEX('Paramètres'!$P:$P,MATCH($D2111,'Paramètres'!$M:$M,0))&amp;"",""))))</f>
        <v/>
      </c>
      <c r="M2111" s="6" t="str">
        <f>IF($D2111="","",IF(ISNA(MATCH($D2111,'Paramètres'!$M:$M,0)),"⚠ Type inconnu",IF($L2111="Crédit","",IFERROR(INDEX('Paramètres'!$O:$O,MATCH($D2111,'Paramètres'!$M:$M,0))&amp;"",""))))</f>
        <v/>
      </c>
      <c r="N2111" s="6" t="str">
        <f>IF($D2111="","",IFERROR(INDEX('Paramètres'!$Q:$Q,MATCH($D2111,'Paramètres'!$M:$M,0))&amp;"",""))</f>
        <v/>
      </c>
      <c r="O2111" s="6" t="str">
        <f>IF($A2111="","",IF(OR($J2111&lt;&gt;"x",$A2111&lt;=FinReleve),1,0))</f>
        <v/>
      </c>
      <c r="P2111" s="6" t="str">
        <f>IF($D2111="","",IF(AND($L2111="Crédit",OR(IFERROR(INDEX('Paramètres'!$O:$O,MATCH($D2111,'Paramètres'!$M:$M,0))&amp;"","")&lt;&gt;"",ISNUMBER(SEARCH("remboursement",IFERROR(INDEX('Paramètres'!$N:$N,MATCH($D2111,'Paramètres'!$M:$M,0))&amp;"",""))))),1,0))</f>
        <v/>
      </c>
      <c r="Q2111" s="6" t="str">
        <f>IF($K2111="","",IF(ISNUMBER(SEARCH("transfert-interne",IFERROR(INDEX('Paramètres'!$N:$N,MATCH($D2111,'Paramètres'!$M:$M,0))&amp;"",""))),0,IF($L2111="Débit",$K2111,IF($P2111=1,-$K2111,0))))</f>
        <v/>
      </c>
      <c r="R2111" s="6" t="str">
        <f>IF($K2111="","",IF($L2111="Crédit",$K2111,-$K2111))</f>
        <v/>
      </c>
      <c r="S2111" s="6" t="str">
        <f>IF($C2111="","",IFERROR(INDEX('Paramètres'!$H:$H,MATCH($C2111,'Paramètres'!$D:$D,0))&amp;"",""))</f>
        <v/>
      </c>
      <c r="T2111" s="6" t="str">
        <f>IF($K2111="","",IF($S2111="",0,IF(ISNUMBER(SEARCH("apport-exterieur",IFERROR(INDEX('Paramètres'!$N:$N,MATCH($D2111,'Paramètres'!$M:$M,0))&amp;"",""))),0,IF(OR(IFERROR(INDEX('Paramètres'!$I:$I,MATCH($C2111,'Paramètres'!$D:$D,0))&amp;"","")="Les deux",IFERROR(INDEX('Paramètres'!$I:$I,MATCH($C2111,'Paramètres'!$D:$D,0))&amp;"","")=IF($P2111=1,"Débit",$L2111)),-IF($P2111=1,-$K2111,$K2111),0))))</f>
        <v/>
      </c>
      <c r="U2111" s="6" t="str">
        <f>IF($K2111="","",IF(ISNUMBER(SEARCH("sortie-epargne",IFERROR(INDEX('Paramètres'!$N:$N,MATCH($D2111,'Paramètres'!$M:$M,0))&amp;"",""))),$K2111,0))</f>
        <v/>
      </c>
      <c r="V2111" s="6" t="str">
        <f>IF(AND($A2111&lt;&gt;"",$O2111=1,$L2111="Débit",N($Q2111)&gt;0,$A2111&gt;=Visualisation!$B$1,$A2111&lt;Visualisation!$D$1),MAX($V$1:V2110)+1,"")</f>
        <v/>
      </c>
    </row>
    <row r="2112" spans="1:22" x14ac:dyDescent="0.25">
      <c r="A2112" s="9"/>
      <c r="E2112" s="10"/>
      <c r="K2112" s="11" t="str">
        <f>IF($E2112="","",ROUND($E2112*IF(ISNA(MATCH($C2112,'Paramètres'!$D:$D,0)),1,IF(INDEX('Paramètres'!$J:$J,MATCH($C2112,'Paramètres'!$D:$D,0))="",1,INDEX('Paramètres'!$J:$J,MATCH($C2112,'Paramètres'!$D:$D,0)))),2))</f>
        <v/>
      </c>
      <c r="L2112" s="6" t="str">
        <f>IF($D2112="","",IF($F2112&lt;&gt;"",$F2112,IF(ISNA(MATCH($D2112,'Paramètres'!$M:$M,0)),"⚠ Type inconnu",IFERROR(INDEX('Paramètres'!$P:$P,MATCH($D2112,'Paramètres'!$M:$M,0))&amp;"",""))))</f>
        <v/>
      </c>
      <c r="M2112" s="6" t="str">
        <f>IF($D2112="","",IF(ISNA(MATCH($D2112,'Paramètres'!$M:$M,0)),"⚠ Type inconnu",IF($L2112="Crédit","",IFERROR(INDEX('Paramètres'!$O:$O,MATCH($D2112,'Paramètres'!$M:$M,0))&amp;"",""))))</f>
        <v/>
      </c>
      <c r="N2112" s="6" t="str">
        <f>IF($D2112="","",IFERROR(INDEX('Paramètres'!$Q:$Q,MATCH($D2112,'Paramètres'!$M:$M,0))&amp;"",""))</f>
        <v/>
      </c>
      <c r="O2112" s="6" t="str">
        <f>IF($A2112="","",IF(OR($J2112&lt;&gt;"x",$A2112&lt;=FinReleve),1,0))</f>
        <v/>
      </c>
      <c r="P2112" s="6" t="str">
        <f>IF($D2112="","",IF(AND($L2112="Crédit",OR(IFERROR(INDEX('Paramètres'!$O:$O,MATCH($D2112,'Paramètres'!$M:$M,0))&amp;"","")&lt;&gt;"",ISNUMBER(SEARCH("remboursement",IFERROR(INDEX('Paramètres'!$N:$N,MATCH($D2112,'Paramètres'!$M:$M,0))&amp;"",""))))),1,0))</f>
        <v/>
      </c>
      <c r="Q2112" s="6" t="str">
        <f>IF($K2112="","",IF(ISNUMBER(SEARCH("transfert-interne",IFERROR(INDEX('Paramètres'!$N:$N,MATCH($D2112,'Paramètres'!$M:$M,0))&amp;"",""))),0,IF($L2112="Débit",$K2112,IF($P2112=1,-$K2112,0))))</f>
        <v/>
      </c>
      <c r="R2112" s="6" t="str">
        <f>IF($K2112="","",IF($L2112="Crédit",$K2112,-$K2112))</f>
        <v/>
      </c>
      <c r="S2112" s="6" t="str">
        <f>IF($C2112="","",IFERROR(INDEX('Paramètres'!$H:$H,MATCH($C2112,'Paramètres'!$D:$D,0))&amp;"",""))</f>
        <v/>
      </c>
      <c r="T2112" s="6" t="str">
        <f>IF($K2112="","",IF($S2112="",0,IF(ISNUMBER(SEARCH("apport-exterieur",IFERROR(INDEX('Paramètres'!$N:$N,MATCH($D2112,'Paramètres'!$M:$M,0))&amp;"",""))),0,IF(OR(IFERROR(INDEX('Paramètres'!$I:$I,MATCH($C2112,'Paramètres'!$D:$D,0))&amp;"","")="Les deux",IFERROR(INDEX('Paramètres'!$I:$I,MATCH($C2112,'Paramètres'!$D:$D,0))&amp;"","")=IF($P2112=1,"Débit",$L2112)),-IF($P2112=1,-$K2112,$K2112),0))))</f>
        <v/>
      </c>
      <c r="U2112" s="6" t="str">
        <f>IF($K2112="","",IF(ISNUMBER(SEARCH("sortie-epargne",IFERROR(INDEX('Paramètres'!$N:$N,MATCH($D2112,'Paramètres'!$M:$M,0))&amp;"",""))),$K2112,0))</f>
        <v/>
      </c>
      <c r="V2112" s="6" t="str">
        <f>IF(AND($A2112&lt;&gt;"",$O2112=1,$L2112="Débit",N($Q2112)&gt;0,$A2112&gt;=Visualisation!$B$1,$A2112&lt;Visualisation!$D$1),MAX($V$1:V2111)+1,"")</f>
        <v/>
      </c>
    </row>
    <row r="2113" spans="1:22" x14ac:dyDescent="0.25">
      <c r="A2113" s="9"/>
      <c r="E2113" s="10"/>
      <c r="K2113" s="11" t="str">
        <f>IF($E2113="","",ROUND($E2113*IF(ISNA(MATCH($C2113,'Paramètres'!$D:$D,0)),1,IF(INDEX('Paramètres'!$J:$J,MATCH($C2113,'Paramètres'!$D:$D,0))="",1,INDEX('Paramètres'!$J:$J,MATCH($C2113,'Paramètres'!$D:$D,0)))),2))</f>
        <v/>
      </c>
      <c r="L2113" s="6" t="str">
        <f>IF($D2113="","",IF($F2113&lt;&gt;"",$F2113,IF(ISNA(MATCH($D2113,'Paramètres'!$M:$M,0)),"⚠ Type inconnu",IFERROR(INDEX('Paramètres'!$P:$P,MATCH($D2113,'Paramètres'!$M:$M,0))&amp;"",""))))</f>
        <v/>
      </c>
      <c r="M2113" s="6" t="str">
        <f>IF($D2113="","",IF(ISNA(MATCH($D2113,'Paramètres'!$M:$M,0)),"⚠ Type inconnu",IF($L2113="Crédit","",IFERROR(INDEX('Paramètres'!$O:$O,MATCH($D2113,'Paramètres'!$M:$M,0))&amp;"",""))))</f>
        <v/>
      </c>
      <c r="N2113" s="6" t="str">
        <f>IF($D2113="","",IFERROR(INDEX('Paramètres'!$Q:$Q,MATCH($D2113,'Paramètres'!$M:$M,0))&amp;"",""))</f>
        <v/>
      </c>
      <c r="O2113" s="6" t="str">
        <f>IF($A2113="","",IF(OR($J2113&lt;&gt;"x",$A2113&lt;=FinReleve),1,0))</f>
        <v/>
      </c>
      <c r="P2113" s="6" t="str">
        <f>IF($D2113="","",IF(AND($L2113="Crédit",OR(IFERROR(INDEX('Paramètres'!$O:$O,MATCH($D2113,'Paramètres'!$M:$M,0))&amp;"","")&lt;&gt;"",ISNUMBER(SEARCH("remboursement",IFERROR(INDEX('Paramètres'!$N:$N,MATCH($D2113,'Paramètres'!$M:$M,0))&amp;"",""))))),1,0))</f>
        <v/>
      </c>
      <c r="Q2113" s="6" t="str">
        <f>IF($K2113="","",IF(ISNUMBER(SEARCH("transfert-interne",IFERROR(INDEX('Paramètres'!$N:$N,MATCH($D2113,'Paramètres'!$M:$M,0))&amp;"",""))),0,IF($L2113="Débit",$K2113,IF($P2113=1,-$K2113,0))))</f>
        <v/>
      </c>
      <c r="R2113" s="6" t="str">
        <f>IF($K2113="","",IF($L2113="Crédit",$K2113,-$K2113))</f>
        <v/>
      </c>
      <c r="S2113" s="6" t="str">
        <f>IF($C2113="","",IFERROR(INDEX('Paramètres'!$H:$H,MATCH($C2113,'Paramètres'!$D:$D,0))&amp;"",""))</f>
        <v/>
      </c>
      <c r="T2113" s="6" t="str">
        <f>IF($K2113="","",IF($S2113="",0,IF(ISNUMBER(SEARCH("apport-exterieur",IFERROR(INDEX('Paramètres'!$N:$N,MATCH($D2113,'Paramètres'!$M:$M,0))&amp;"",""))),0,IF(OR(IFERROR(INDEX('Paramètres'!$I:$I,MATCH($C2113,'Paramètres'!$D:$D,0))&amp;"","")="Les deux",IFERROR(INDEX('Paramètres'!$I:$I,MATCH($C2113,'Paramètres'!$D:$D,0))&amp;"","")=IF($P2113=1,"Débit",$L2113)),-IF($P2113=1,-$K2113,$K2113),0))))</f>
        <v/>
      </c>
      <c r="U2113" s="6" t="str">
        <f>IF($K2113="","",IF(ISNUMBER(SEARCH("sortie-epargne",IFERROR(INDEX('Paramètres'!$N:$N,MATCH($D2113,'Paramètres'!$M:$M,0))&amp;"",""))),$K2113,0))</f>
        <v/>
      </c>
      <c r="V2113" s="6" t="str">
        <f>IF(AND($A2113&lt;&gt;"",$O2113=1,$L2113="Débit",N($Q2113)&gt;0,$A2113&gt;=Visualisation!$B$1,$A2113&lt;Visualisation!$D$1),MAX($V$1:V2112)+1,"")</f>
        <v/>
      </c>
    </row>
    <row r="2114" spans="1:22" x14ac:dyDescent="0.25">
      <c r="A2114" s="9"/>
      <c r="E2114" s="10"/>
      <c r="K2114" s="11" t="str">
        <f>IF($E2114="","",ROUND($E2114*IF(ISNA(MATCH($C2114,'Paramètres'!$D:$D,0)),1,IF(INDEX('Paramètres'!$J:$J,MATCH($C2114,'Paramètres'!$D:$D,0))="",1,INDEX('Paramètres'!$J:$J,MATCH($C2114,'Paramètres'!$D:$D,0)))),2))</f>
        <v/>
      </c>
      <c r="L2114" s="6" t="str">
        <f>IF($D2114="","",IF($F2114&lt;&gt;"",$F2114,IF(ISNA(MATCH($D2114,'Paramètres'!$M:$M,0)),"⚠ Type inconnu",IFERROR(INDEX('Paramètres'!$P:$P,MATCH($D2114,'Paramètres'!$M:$M,0))&amp;"",""))))</f>
        <v/>
      </c>
      <c r="M2114" s="6" t="str">
        <f>IF($D2114="","",IF(ISNA(MATCH($D2114,'Paramètres'!$M:$M,0)),"⚠ Type inconnu",IF($L2114="Crédit","",IFERROR(INDEX('Paramètres'!$O:$O,MATCH($D2114,'Paramètres'!$M:$M,0))&amp;"",""))))</f>
        <v/>
      </c>
      <c r="N2114" s="6" t="str">
        <f>IF($D2114="","",IFERROR(INDEX('Paramètres'!$Q:$Q,MATCH($D2114,'Paramètres'!$M:$M,0))&amp;"",""))</f>
        <v/>
      </c>
      <c r="O2114" s="6" t="str">
        <f>IF($A2114="","",IF(OR($J2114&lt;&gt;"x",$A2114&lt;=FinReleve),1,0))</f>
        <v/>
      </c>
      <c r="P2114" s="6" t="str">
        <f>IF($D2114="","",IF(AND($L2114="Crédit",OR(IFERROR(INDEX('Paramètres'!$O:$O,MATCH($D2114,'Paramètres'!$M:$M,0))&amp;"","")&lt;&gt;"",ISNUMBER(SEARCH("remboursement",IFERROR(INDEX('Paramètres'!$N:$N,MATCH($D2114,'Paramètres'!$M:$M,0))&amp;"",""))))),1,0))</f>
        <v/>
      </c>
      <c r="Q2114" s="6" t="str">
        <f>IF($K2114="","",IF(ISNUMBER(SEARCH("transfert-interne",IFERROR(INDEX('Paramètres'!$N:$N,MATCH($D2114,'Paramètres'!$M:$M,0))&amp;"",""))),0,IF($L2114="Débit",$K2114,IF($P2114=1,-$K2114,0))))</f>
        <v/>
      </c>
      <c r="R2114" s="6" t="str">
        <f>IF($K2114="","",IF($L2114="Crédit",$K2114,-$K2114))</f>
        <v/>
      </c>
      <c r="S2114" s="6" t="str">
        <f>IF($C2114="","",IFERROR(INDEX('Paramètres'!$H:$H,MATCH($C2114,'Paramètres'!$D:$D,0))&amp;"",""))</f>
        <v/>
      </c>
      <c r="T2114" s="6" t="str">
        <f>IF($K2114="","",IF($S2114="",0,IF(ISNUMBER(SEARCH("apport-exterieur",IFERROR(INDEX('Paramètres'!$N:$N,MATCH($D2114,'Paramètres'!$M:$M,0))&amp;"",""))),0,IF(OR(IFERROR(INDEX('Paramètres'!$I:$I,MATCH($C2114,'Paramètres'!$D:$D,0))&amp;"","")="Les deux",IFERROR(INDEX('Paramètres'!$I:$I,MATCH($C2114,'Paramètres'!$D:$D,0))&amp;"","")=IF($P2114=1,"Débit",$L2114)),-IF($P2114=1,-$K2114,$K2114),0))))</f>
        <v/>
      </c>
      <c r="U2114" s="6" t="str">
        <f>IF($K2114="","",IF(ISNUMBER(SEARCH("sortie-epargne",IFERROR(INDEX('Paramètres'!$N:$N,MATCH($D2114,'Paramètres'!$M:$M,0))&amp;"",""))),$K2114,0))</f>
        <v/>
      </c>
      <c r="V2114" s="6" t="str">
        <f>IF(AND($A2114&lt;&gt;"",$O2114=1,$L2114="Débit",N($Q2114)&gt;0,$A2114&gt;=Visualisation!$B$1,$A2114&lt;Visualisation!$D$1),MAX($V$1:V2113)+1,"")</f>
        <v/>
      </c>
    </row>
    <row r="2115" spans="1:22" x14ac:dyDescent="0.25">
      <c r="A2115" s="9"/>
      <c r="E2115" s="10"/>
      <c r="K2115" s="11" t="str">
        <f>IF($E2115="","",ROUND($E2115*IF(ISNA(MATCH($C2115,'Paramètres'!$D:$D,0)),1,IF(INDEX('Paramètres'!$J:$J,MATCH($C2115,'Paramètres'!$D:$D,0))="",1,INDEX('Paramètres'!$J:$J,MATCH($C2115,'Paramètres'!$D:$D,0)))),2))</f>
        <v/>
      </c>
      <c r="L2115" s="6" t="str">
        <f>IF($D2115="","",IF($F2115&lt;&gt;"",$F2115,IF(ISNA(MATCH($D2115,'Paramètres'!$M:$M,0)),"⚠ Type inconnu",IFERROR(INDEX('Paramètres'!$P:$P,MATCH($D2115,'Paramètres'!$M:$M,0))&amp;"",""))))</f>
        <v/>
      </c>
      <c r="M2115" s="6" t="str">
        <f>IF($D2115="","",IF(ISNA(MATCH($D2115,'Paramètres'!$M:$M,0)),"⚠ Type inconnu",IF($L2115="Crédit","",IFERROR(INDEX('Paramètres'!$O:$O,MATCH($D2115,'Paramètres'!$M:$M,0))&amp;"",""))))</f>
        <v/>
      </c>
      <c r="N2115" s="6" t="str">
        <f>IF($D2115="","",IFERROR(INDEX('Paramètres'!$Q:$Q,MATCH($D2115,'Paramètres'!$M:$M,0))&amp;"",""))</f>
        <v/>
      </c>
      <c r="O2115" s="6" t="str">
        <f>IF($A2115="","",IF(OR($J2115&lt;&gt;"x",$A2115&lt;=FinReleve),1,0))</f>
        <v/>
      </c>
      <c r="P2115" s="6" t="str">
        <f>IF($D2115="","",IF(AND($L2115="Crédit",OR(IFERROR(INDEX('Paramètres'!$O:$O,MATCH($D2115,'Paramètres'!$M:$M,0))&amp;"","")&lt;&gt;"",ISNUMBER(SEARCH("remboursement",IFERROR(INDEX('Paramètres'!$N:$N,MATCH($D2115,'Paramètres'!$M:$M,0))&amp;"",""))))),1,0))</f>
        <v/>
      </c>
      <c r="Q2115" s="6" t="str">
        <f>IF($K2115="","",IF(ISNUMBER(SEARCH("transfert-interne",IFERROR(INDEX('Paramètres'!$N:$N,MATCH($D2115,'Paramètres'!$M:$M,0))&amp;"",""))),0,IF($L2115="Débit",$K2115,IF($P2115=1,-$K2115,0))))</f>
        <v/>
      </c>
      <c r="R2115" s="6" t="str">
        <f>IF($K2115="","",IF($L2115="Crédit",$K2115,-$K2115))</f>
        <v/>
      </c>
      <c r="S2115" s="6" t="str">
        <f>IF($C2115="","",IFERROR(INDEX('Paramètres'!$H:$H,MATCH($C2115,'Paramètres'!$D:$D,0))&amp;"",""))</f>
        <v/>
      </c>
      <c r="T2115" s="6" t="str">
        <f>IF($K2115="","",IF($S2115="",0,IF(ISNUMBER(SEARCH("apport-exterieur",IFERROR(INDEX('Paramètres'!$N:$N,MATCH($D2115,'Paramètres'!$M:$M,0))&amp;"",""))),0,IF(OR(IFERROR(INDEX('Paramètres'!$I:$I,MATCH($C2115,'Paramètres'!$D:$D,0))&amp;"","")="Les deux",IFERROR(INDEX('Paramètres'!$I:$I,MATCH($C2115,'Paramètres'!$D:$D,0))&amp;"","")=IF($P2115=1,"Débit",$L2115)),-IF($P2115=1,-$K2115,$K2115),0))))</f>
        <v/>
      </c>
      <c r="U2115" s="6" t="str">
        <f>IF($K2115="","",IF(ISNUMBER(SEARCH("sortie-epargne",IFERROR(INDEX('Paramètres'!$N:$N,MATCH($D2115,'Paramètres'!$M:$M,0))&amp;"",""))),$K2115,0))</f>
        <v/>
      </c>
      <c r="V2115" s="6" t="str">
        <f>IF(AND($A2115&lt;&gt;"",$O2115=1,$L2115="Débit",N($Q2115)&gt;0,$A2115&gt;=Visualisation!$B$1,$A2115&lt;Visualisation!$D$1),MAX($V$1:V2114)+1,"")</f>
        <v/>
      </c>
    </row>
    <row r="2116" spans="1:22" x14ac:dyDescent="0.25">
      <c r="A2116" s="9"/>
      <c r="E2116" s="10"/>
      <c r="K2116" s="11" t="str">
        <f>IF($E2116="","",ROUND($E2116*IF(ISNA(MATCH($C2116,'Paramètres'!$D:$D,0)),1,IF(INDEX('Paramètres'!$J:$J,MATCH($C2116,'Paramètres'!$D:$D,0))="",1,INDEX('Paramètres'!$J:$J,MATCH($C2116,'Paramètres'!$D:$D,0)))),2))</f>
        <v/>
      </c>
      <c r="L2116" s="6" t="str">
        <f>IF($D2116="","",IF($F2116&lt;&gt;"",$F2116,IF(ISNA(MATCH($D2116,'Paramètres'!$M:$M,0)),"⚠ Type inconnu",IFERROR(INDEX('Paramètres'!$P:$P,MATCH($D2116,'Paramètres'!$M:$M,0))&amp;"",""))))</f>
        <v/>
      </c>
      <c r="M2116" s="6" t="str">
        <f>IF($D2116="","",IF(ISNA(MATCH($D2116,'Paramètres'!$M:$M,0)),"⚠ Type inconnu",IF($L2116="Crédit","",IFERROR(INDEX('Paramètres'!$O:$O,MATCH($D2116,'Paramètres'!$M:$M,0))&amp;"",""))))</f>
        <v/>
      </c>
      <c r="N2116" s="6" t="str">
        <f>IF($D2116="","",IFERROR(INDEX('Paramètres'!$Q:$Q,MATCH($D2116,'Paramètres'!$M:$M,0))&amp;"",""))</f>
        <v/>
      </c>
      <c r="O2116" s="6" t="str">
        <f>IF($A2116="","",IF(OR($J2116&lt;&gt;"x",$A2116&lt;=FinReleve),1,0))</f>
        <v/>
      </c>
      <c r="P2116" s="6" t="str">
        <f>IF($D2116="","",IF(AND($L2116="Crédit",OR(IFERROR(INDEX('Paramètres'!$O:$O,MATCH($D2116,'Paramètres'!$M:$M,0))&amp;"","")&lt;&gt;"",ISNUMBER(SEARCH("remboursement",IFERROR(INDEX('Paramètres'!$N:$N,MATCH($D2116,'Paramètres'!$M:$M,0))&amp;"",""))))),1,0))</f>
        <v/>
      </c>
      <c r="Q2116" s="6" t="str">
        <f>IF($K2116="","",IF(ISNUMBER(SEARCH("transfert-interne",IFERROR(INDEX('Paramètres'!$N:$N,MATCH($D2116,'Paramètres'!$M:$M,0))&amp;"",""))),0,IF($L2116="Débit",$K2116,IF($P2116=1,-$K2116,0))))</f>
        <v/>
      </c>
      <c r="R2116" s="6" t="str">
        <f>IF($K2116="","",IF($L2116="Crédit",$K2116,-$K2116))</f>
        <v/>
      </c>
      <c r="S2116" s="6" t="str">
        <f>IF($C2116="","",IFERROR(INDEX('Paramètres'!$H:$H,MATCH($C2116,'Paramètres'!$D:$D,0))&amp;"",""))</f>
        <v/>
      </c>
      <c r="T2116" s="6" t="str">
        <f>IF($K2116="","",IF($S2116="",0,IF(ISNUMBER(SEARCH("apport-exterieur",IFERROR(INDEX('Paramètres'!$N:$N,MATCH($D2116,'Paramètres'!$M:$M,0))&amp;"",""))),0,IF(OR(IFERROR(INDEX('Paramètres'!$I:$I,MATCH($C2116,'Paramètres'!$D:$D,0))&amp;"","")="Les deux",IFERROR(INDEX('Paramètres'!$I:$I,MATCH($C2116,'Paramètres'!$D:$D,0))&amp;"","")=IF($P2116=1,"Débit",$L2116)),-IF($P2116=1,-$K2116,$K2116),0))))</f>
        <v/>
      </c>
      <c r="U2116" s="6" t="str">
        <f>IF($K2116="","",IF(ISNUMBER(SEARCH("sortie-epargne",IFERROR(INDEX('Paramètres'!$N:$N,MATCH($D2116,'Paramètres'!$M:$M,0))&amp;"",""))),$K2116,0))</f>
        <v/>
      </c>
      <c r="V2116" s="6" t="str">
        <f>IF(AND($A2116&lt;&gt;"",$O2116=1,$L2116="Débit",N($Q2116)&gt;0,$A2116&gt;=Visualisation!$B$1,$A2116&lt;Visualisation!$D$1),MAX($V$1:V2115)+1,"")</f>
        <v/>
      </c>
    </row>
    <row r="2117" spans="1:22" x14ac:dyDescent="0.25">
      <c r="A2117" s="9"/>
      <c r="E2117" s="10"/>
      <c r="K2117" s="11" t="str">
        <f>IF($E2117="","",ROUND($E2117*IF(ISNA(MATCH($C2117,'Paramètres'!$D:$D,0)),1,IF(INDEX('Paramètres'!$J:$J,MATCH($C2117,'Paramètres'!$D:$D,0))="",1,INDEX('Paramètres'!$J:$J,MATCH($C2117,'Paramètres'!$D:$D,0)))),2))</f>
        <v/>
      </c>
      <c r="L2117" s="6" t="str">
        <f>IF($D2117="","",IF($F2117&lt;&gt;"",$F2117,IF(ISNA(MATCH($D2117,'Paramètres'!$M:$M,0)),"⚠ Type inconnu",IFERROR(INDEX('Paramètres'!$P:$P,MATCH($D2117,'Paramètres'!$M:$M,0))&amp;"",""))))</f>
        <v/>
      </c>
      <c r="M2117" s="6" t="str">
        <f>IF($D2117="","",IF(ISNA(MATCH($D2117,'Paramètres'!$M:$M,0)),"⚠ Type inconnu",IF($L2117="Crédit","",IFERROR(INDEX('Paramètres'!$O:$O,MATCH($D2117,'Paramètres'!$M:$M,0))&amp;"",""))))</f>
        <v/>
      </c>
      <c r="N2117" s="6" t="str">
        <f>IF($D2117="","",IFERROR(INDEX('Paramètres'!$Q:$Q,MATCH($D2117,'Paramètres'!$M:$M,0))&amp;"",""))</f>
        <v/>
      </c>
      <c r="O2117" s="6" t="str">
        <f>IF($A2117="","",IF(OR($J2117&lt;&gt;"x",$A2117&lt;=FinReleve),1,0))</f>
        <v/>
      </c>
      <c r="P2117" s="6" t="str">
        <f>IF($D2117="","",IF(AND($L2117="Crédit",OR(IFERROR(INDEX('Paramètres'!$O:$O,MATCH($D2117,'Paramètres'!$M:$M,0))&amp;"","")&lt;&gt;"",ISNUMBER(SEARCH("remboursement",IFERROR(INDEX('Paramètres'!$N:$N,MATCH($D2117,'Paramètres'!$M:$M,0))&amp;"",""))))),1,0))</f>
        <v/>
      </c>
      <c r="Q2117" s="6" t="str">
        <f>IF($K2117="","",IF(ISNUMBER(SEARCH("transfert-interne",IFERROR(INDEX('Paramètres'!$N:$N,MATCH($D2117,'Paramètres'!$M:$M,0))&amp;"",""))),0,IF($L2117="Débit",$K2117,IF($P2117=1,-$K2117,0))))</f>
        <v/>
      </c>
      <c r="R2117" s="6" t="str">
        <f>IF($K2117="","",IF($L2117="Crédit",$K2117,-$K2117))</f>
        <v/>
      </c>
      <c r="S2117" s="6" t="str">
        <f>IF($C2117="","",IFERROR(INDEX('Paramètres'!$H:$H,MATCH($C2117,'Paramètres'!$D:$D,0))&amp;"",""))</f>
        <v/>
      </c>
      <c r="T2117" s="6" t="str">
        <f>IF($K2117="","",IF($S2117="",0,IF(ISNUMBER(SEARCH("apport-exterieur",IFERROR(INDEX('Paramètres'!$N:$N,MATCH($D2117,'Paramètres'!$M:$M,0))&amp;"",""))),0,IF(OR(IFERROR(INDEX('Paramètres'!$I:$I,MATCH($C2117,'Paramètres'!$D:$D,0))&amp;"","")="Les deux",IFERROR(INDEX('Paramètres'!$I:$I,MATCH($C2117,'Paramètres'!$D:$D,0))&amp;"","")=IF($P2117=1,"Débit",$L2117)),-IF($P2117=1,-$K2117,$K2117),0))))</f>
        <v/>
      </c>
      <c r="U2117" s="6" t="str">
        <f>IF($K2117="","",IF(ISNUMBER(SEARCH("sortie-epargne",IFERROR(INDEX('Paramètres'!$N:$N,MATCH($D2117,'Paramètres'!$M:$M,0))&amp;"",""))),$K2117,0))</f>
        <v/>
      </c>
      <c r="V2117" s="6" t="str">
        <f>IF(AND($A2117&lt;&gt;"",$O2117=1,$L2117="Débit",N($Q2117)&gt;0,$A2117&gt;=Visualisation!$B$1,$A2117&lt;Visualisation!$D$1),MAX($V$1:V2116)+1,"")</f>
        <v/>
      </c>
    </row>
    <row r="2118" spans="1:22" x14ac:dyDescent="0.25">
      <c r="A2118" s="9"/>
      <c r="E2118" s="10"/>
      <c r="K2118" s="11" t="str">
        <f>IF($E2118="","",ROUND($E2118*IF(ISNA(MATCH($C2118,'Paramètres'!$D:$D,0)),1,IF(INDEX('Paramètres'!$J:$J,MATCH($C2118,'Paramètres'!$D:$D,0))="",1,INDEX('Paramètres'!$J:$J,MATCH($C2118,'Paramètres'!$D:$D,0)))),2))</f>
        <v/>
      </c>
      <c r="L2118" s="6" t="str">
        <f>IF($D2118="","",IF($F2118&lt;&gt;"",$F2118,IF(ISNA(MATCH($D2118,'Paramètres'!$M:$M,0)),"⚠ Type inconnu",IFERROR(INDEX('Paramètres'!$P:$P,MATCH($D2118,'Paramètres'!$M:$M,0))&amp;"",""))))</f>
        <v/>
      </c>
      <c r="M2118" s="6" t="str">
        <f>IF($D2118="","",IF(ISNA(MATCH($D2118,'Paramètres'!$M:$M,0)),"⚠ Type inconnu",IF($L2118="Crédit","",IFERROR(INDEX('Paramètres'!$O:$O,MATCH($D2118,'Paramètres'!$M:$M,0))&amp;"",""))))</f>
        <v/>
      </c>
      <c r="N2118" s="6" t="str">
        <f>IF($D2118="","",IFERROR(INDEX('Paramètres'!$Q:$Q,MATCH($D2118,'Paramètres'!$M:$M,0))&amp;"",""))</f>
        <v/>
      </c>
      <c r="O2118" s="6" t="str">
        <f>IF($A2118="","",IF(OR($J2118&lt;&gt;"x",$A2118&lt;=FinReleve),1,0))</f>
        <v/>
      </c>
      <c r="P2118" s="6" t="str">
        <f>IF($D2118="","",IF(AND($L2118="Crédit",OR(IFERROR(INDEX('Paramètres'!$O:$O,MATCH($D2118,'Paramètres'!$M:$M,0))&amp;"","")&lt;&gt;"",ISNUMBER(SEARCH("remboursement",IFERROR(INDEX('Paramètres'!$N:$N,MATCH($D2118,'Paramètres'!$M:$M,0))&amp;"",""))))),1,0))</f>
        <v/>
      </c>
      <c r="Q2118" s="6" t="str">
        <f>IF($K2118="","",IF(ISNUMBER(SEARCH("transfert-interne",IFERROR(INDEX('Paramètres'!$N:$N,MATCH($D2118,'Paramètres'!$M:$M,0))&amp;"",""))),0,IF($L2118="Débit",$K2118,IF($P2118=1,-$K2118,0))))</f>
        <v/>
      </c>
      <c r="R2118" s="6" t="str">
        <f>IF($K2118="","",IF($L2118="Crédit",$K2118,-$K2118))</f>
        <v/>
      </c>
      <c r="S2118" s="6" t="str">
        <f>IF($C2118="","",IFERROR(INDEX('Paramètres'!$H:$H,MATCH($C2118,'Paramètres'!$D:$D,0))&amp;"",""))</f>
        <v/>
      </c>
      <c r="T2118" s="6" t="str">
        <f>IF($K2118="","",IF($S2118="",0,IF(ISNUMBER(SEARCH("apport-exterieur",IFERROR(INDEX('Paramètres'!$N:$N,MATCH($D2118,'Paramètres'!$M:$M,0))&amp;"",""))),0,IF(OR(IFERROR(INDEX('Paramètres'!$I:$I,MATCH($C2118,'Paramètres'!$D:$D,0))&amp;"","")="Les deux",IFERROR(INDEX('Paramètres'!$I:$I,MATCH($C2118,'Paramètres'!$D:$D,0))&amp;"","")=IF($P2118=1,"Débit",$L2118)),-IF($P2118=1,-$K2118,$K2118),0))))</f>
        <v/>
      </c>
      <c r="U2118" s="6" t="str">
        <f>IF($K2118="","",IF(ISNUMBER(SEARCH("sortie-epargne",IFERROR(INDEX('Paramètres'!$N:$N,MATCH($D2118,'Paramètres'!$M:$M,0))&amp;"",""))),$K2118,0))</f>
        <v/>
      </c>
      <c r="V2118" s="6" t="str">
        <f>IF(AND($A2118&lt;&gt;"",$O2118=1,$L2118="Débit",N($Q2118)&gt;0,$A2118&gt;=Visualisation!$B$1,$A2118&lt;Visualisation!$D$1),MAX($V$1:V2117)+1,"")</f>
        <v/>
      </c>
    </row>
    <row r="2119" spans="1:22" x14ac:dyDescent="0.25">
      <c r="A2119" s="9"/>
      <c r="E2119" s="10"/>
      <c r="K2119" s="11" t="str">
        <f>IF($E2119="","",ROUND($E2119*IF(ISNA(MATCH($C2119,'Paramètres'!$D:$D,0)),1,IF(INDEX('Paramètres'!$J:$J,MATCH($C2119,'Paramètres'!$D:$D,0))="",1,INDEX('Paramètres'!$J:$J,MATCH($C2119,'Paramètres'!$D:$D,0)))),2))</f>
        <v/>
      </c>
      <c r="L2119" s="6" t="str">
        <f>IF($D2119="","",IF($F2119&lt;&gt;"",$F2119,IF(ISNA(MATCH($D2119,'Paramètres'!$M:$M,0)),"⚠ Type inconnu",IFERROR(INDEX('Paramètres'!$P:$P,MATCH($D2119,'Paramètres'!$M:$M,0))&amp;"",""))))</f>
        <v/>
      </c>
      <c r="M2119" s="6" t="str">
        <f>IF($D2119="","",IF(ISNA(MATCH($D2119,'Paramètres'!$M:$M,0)),"⚠ Type inconnu",IF($L2119="Crédit","",IFERROR(INDEX('Paramètres'!$O:$O,MATCH($D2119,'Paramètres'!$M:$M,0))&amp;"",""))))</f>
        <v/>
      </c>
      <c r="N2119" s="6" t="str">
        <f>IF($D2119="","",IFERROR(INDEX('Paramètres'!$Q:$Q,MATCH($D2119,'Paramètres'!$M:$M,0))&amp;"",""))</f>
        <v/>
      </c>
      <c r="O2119" s="6" t="str">
        <f>IF($A2119="","",IF(OR($J2119&lt;&gt;"x",$A2119&lt;=FinReleve),1,0))</f>
        <v/>
      </c>
      <c r="P2119" s="6" t="str">
        <f>IF($D2119="","",IF(AND($L2119="Crédit",OR(IFERROR(INDEX('Paramètres'!$O:$O,MATCH($D2119,'Paramètres'!$M:$M,0))&amp;"","")&lt;&gt;"",ISNUMBER(SEARCH("remboursement",IFERROR(INDEX('Paramètres'!$N:$N,MATCH($D2119,'Paramètres'!$M:$M,0))&amp;"",""))))),1,0))</f>
        <v/>
      </c>
      <c r="Q2119" s="6" t="str">
        <f>IF($K2119="","",IF(ISNUMBER(SEARCH("transfert-interne",IFERROR(INDEX('Paramètres'!$N:$N,MATCH($D2119,'Paramètres'!$M:$M,0))&amp;"",""))),0,IF($L2119="Débit",$K2119,IF($P2119=1,-$K2119,0))))</f>
        <v/>
      </c>
      <c r="R2119" s="6" t="str">
        <f>IF($K2119="","",IF($L2119="Crédit",$K2119,-$K2119))</f>
        <v/>
      </c>
      <c r="S2119" s="6" t="str">
        <f>IF($C2119="","",IFERROR(INDEX('Paramètres'!$H:$H,MATCH($C2119,'Paramètres'!$D:$D,0))&amp;"",""))</f>
        <v/>
      </c>
      <c r="T2119" s="6" t="str">
        <f>IF($K2119="","",IF($S2119="",0,IF(ISNUMBER(SEARCH("apport-exterieur",IFERROR(INDEX('Paramètres'!$N:$N,MATCH($D2119,'Paramètres'!$M:$M,0))&amp;"",""))),0,IF(OR(IFERROR(INDEX('Paramètres'!$I:$I,MATCH($C2119,'Paramètres'!$D:$D,0))&amp;"","")="Les deux",IFERROR(INDEX('Paramètres'!$I:$I,MATCH($C2119,'Paramètres'!$D:$D,0))&amp;"","")=IF($P2119=1,"Débit",$L2119)),-IF($P2119=1,-$K2119,$K2119),0))))</f>
        <v/>
      </c>
      <c r="U2119" s="6" t="str">
        <f>IF($K2119="","",IF(ISNUMBER(SEARCH("sortie-epargne",IFERROR(INDEX('Paramètres'!$N:$N,MATCH($D2119,'Paramètres'!$M:$M,0))&amp;"",""))),$K2119,0))</f>
        <v/>
      </c>
      <c r="V2119" s="6" t="str">
        <f>IF(AND($A2119&lt;&gt;"",$O2119=1,$L2119="Débit",N($Q2119)&gt;0,$A2119&gt;=Visualisation!$B$1,$A2119&lt;Visualisation!$D$1),MAX($V$1:V2118)+1,"")</f>
        <v/>
      </c>
    </row>
    <row r="2120" spans="1:22" x14ac:dyDescent="0.25">
      <c r="A2120" s="9"/>
      <c r="E2120" s="10"/>
      <c r="K2120" s="11" t="str">
        <f>IF($E2120="","",ROUND($E2120*IF(ISNA(MATCH($C2120,'Paramètres'!$D:$D,0)),1,IF(INDEX('Paramètres'!$J:$J,MATCH($C2120,'Paramètres'!$D:$D,0))="",1,INDEX('Paramètres'!$J:$J,MATCH($C2120,'Paramètres'!$D:$D,0)))),2))</f>
        <v/>
      </c>
      <c r="L2120" s="6" t="str">
        <f>IF($D2120="","",IF($F2120&lt;&gt;"",$F2120,IF(ISNA(MATCH($D2120,'Paramètres'!$M:$M,0)),"⚠ Type inconnu",IFERROR(INDEX('Paramètres'!$P:$P,MATCH($D2120,'Paramètres'!$M:$M,0))&amp;"",""))))</f>
        <v/>
      </c>
      <c r="M2120" s="6" t="str">
        <f>IF($D2120="","",IF(ISNA(MATCH($D2120,'Paramètres'!$M:$M,0)),"⚠ Type inconnu",IF($L2120="Crédit","",IFERROR(INDEX('Paramètres'!$O:$O,MATCH($D2120,'Paramètres'!$M:$M,0))&amp;"",""))))</f>
        <v/>
      </c>
      <c r="N2120" s="6" t="str">
        <f>IF($D2120="","",IFERROR(INDEX('Paramètres'!$Q:$Q,MATCH($D2120,'Paramètres'!$M:$M,0))&amp;"",""))</f>
        <v/>
      </c>
      <c r="O2120" s="6" t="str">
        <f>IF($A2120="","",IF(OR($J2120&lt;&gt;"x",$A2120&lt;=FinReleve),1,0))</f>
        <v/>
      </c>
      <c r="P2120" s="6" t="str">
        <f>IF($D2120="","",IF(AND($L2120="Crédit",OR(IFERROR(INDEX('Paramètres'!$O:$O,MATCH($D2120,'Paramètres'!$M:$M,0))&amp;"","")&lt;&gt;"",ISNUMBER(SEARCH("remboursement",IFERROR(INDEX('Paramètres'!$N:$N,MATCH($D2120,'Paramètres'!$M:$M,0))&amp;"",""))))),1,0))</f>
        <v/>
      </c>
      <c r="Q2120" s="6" t="str">
        <f>IF($K2120="","",IF(ISNUMBER(SEARCH("transfert-interne",IFERROR(INDEX('Paramètres'!$N:$N,MATCH($D2120,'Paramètres'!$M:$M,0))&amp;"",""))),0,IF($L2120="Débit",$K2120,IF($P2120=1,-$K2120,0))))</f>
        <v/>
      </c>
      <c r="R2120" s="6" t="str">
        <f>IF($K2120="","",IF($L2120="Crédit",$K2120,-$K2120))</f>
        <v/>
      </c>
      <c r="S2120" s="6" t="str">
        <f>IF($C2120="","",IFERROR(INDEX('Paramètres'!$H:$H,MATCH($C2120,'Paramètres'!$D:$D,0))&amp;"",""))</f>
        <v/>
      </c>
      <c r="T2120" s="6" t="str">
        <f>IF($K2120="","",IF($S2120="",0,IF(ISNUMBER(SEARCH("apport-exterieur",IFERROR(INDEX('Paramètres'!$N:$N,MATCH($D2120,'Paramètres'!$M:$M,0))&amp;"",""))),0,IF(OR(IFERROR(INDEX('Paramètres'!$I:$I,MATCH($C2120,'Paramètres'!$D:$D,0))&amp;"","")="Les deux",IFERROR(INDEX('Paramètres'!$I:$I,MATCH($C2120,'Paramètres'!$D:$D,0))&amp;"","")=IF($P2120=1,"Débit",$L2120)),-IF($P2120=1,-$K2120,$K2120),0))))</f>
        <v/>
      </c>
      <c r="U2120" s="6" t="str">
        <f>IF($K2120="","",IF(ISNUMBER(SEARCH("sortie-epargne",IFERROR(INDEX('Paramètres'!$N:$N,MATCH($D2120,'Paramètres'!$M:$M,0))&amp;"",""))),$K2120,0))</f>
        <v/>
      </c>
      <c r="V2120" s="6" t="str">
        <f>IF(AND($A2120&lt;&gt;"",$O2120=1,$L2120="Débit",N($Q2120)&gt;0,$A2120&gt;=Visualisation!$B$1,$A2120&lt;Visualisation!$D$1),MAX($V$1:V2119)+1,"")</f>
        <v/>
      </c>
    </row>
    <row r="2121" spans="1:22" x14ac:dyDescent="0.25">
      <c r="A2121" s="9"/>
      <c r="E2121" s="10"/>
      <c r="K2121" s="11" t="str">
        <f>IF($E2121="","",ROUND($E2121*IF(ISNA(MATCH($C2121,'Paramètres'!$D:$D,0)),1,IF(INDEX('Paramètres'!$J:$J,MATCH($C2121,'Paramètres'!$D:$D,0))="",1,INDEX('Paramètres'!$J:$J,MATCH($C2121,'Paramètres'!$D:$D,0)))),2))</f>
        <v/>
      </c>
      <c r="L2121" s="6" t="str">
        <f>IF($D2121="","",IF($F2121&lt;&gt;"",$F2121,IF(ISNA(MATCH($D2121,'Paramètres'!$M:$M,0)),"⚠ Type inconnu",IFERROR(INDEX('Paramètres'!$P:$P,MATCH($D2121,'Paramètres'!$M:$M,0))&amp;"",""))))</f>
        <v/>
      </c>
      <c r="M2121" s="6" t="str">
        <f>IF($D2121="","",IF(ISNA(MATCH($D2121,'Paramètres'!$M:$M,0)),"⚠ Type inconnu",IF($L2121="Crédit","",IFERROR(INDEX('Paramètres'!$O:$O,MATCH($D2121,'Paramètres'!$M:$M,0))&amp;"",""))))</f>
        <v/>
      </c>
      <c r="N2121" s="6" t="str">
        <f>IF($D2121="","",IFERROR(INDEX('Paramètres'!$Q:$Q,MATCH($D2121,'Paramètres'!$M:$M,0))&amp;"",""))</f>
        <v/>
      </c>
      <c r="O2121" s="6" t="str">
        <f>IF($A2121="","",IF(OR($J2121&lt;&gt;"x",$A2121&lt;=FinReleve),1,0))</f>
        <v/>
      </c>
      <c r="P2121" s="6" t="str">
        <f>IF($D2121="","",IF(AND($L2121="Crédit",OR(IFERROR(INDEX('Paramètres'!$O:$O,MATCH($D2121,'Paramètres'!$M:$M,0))&amp;"","")&lt;&gt;"",ISNUMBER(SEARCH("remboursement",IFERROR(INDEX('Paramètres'!$N:$N,MATCH($D2121,'Paramètres'!$M:$M,0))&amp;"",""))))),1,0))</f>
        <v/>
      </c>
      <c r="Q2121" s="6" t="str">
        <f>IF($K2121="","",IF(ISNUMBER(SEARCH("transfert-interne",IFERROR(INDEX('Paramètres'!$N:$N,MATCH($D2121,'Paramètres'!$M:$M,0))&amp;"",""))),0,IF($L2121="Débit",$K2121,IF($P2121=1,-$K2121,0))))</f>
        <v/>
      </c>
      <c r="R2121" s="6" t="str">
        <f>IF($K2121="","",IF($L2121="Crédit",$K2121,-$K2121))</f>
        <v/>
      </c>
      <c r="S2121" s="6" t="str">
        <f>IF($C2121="","",IFERROR(INDEX('Paramètres'!$H:$H,MATCH($C2121,'Paramètres'!$D:$D,0))&amp;"",""))</f>
        <v/>
      </c>
      <c r="T2121" s="6" t="str">
        <f>IF($K2121="","",IF($S2121="",0,IF(ISNUMBER(SEARCH("apport-exterieur",IFERROR(INDEX('Paramètres'!$N:$N,MATCH($D2121,'Paramètres'!$M:$M,0))&amp;"",""))),0,IF(OR(IFERROR(INDEX('Paramètres'!$I:$I,MATCH($C2121,'Paramètres'!$D:$D,0))&amp;"","")="Les deux",IFERROR(INDEX('Paramètres'!$I:$I,MATCH($C2121,'Paramètres'!$D:$D,0))&amp;"","")=IF($P2121=1,"Débit",$L2121)),-IF($P2121=1,-$K2121,$K2121),0))))</f>
        <v/>
      </c>
      <c r="U2121" s="6" t="str">
        <f>IF($K2121="","",IF(ISNUMBER(SEARCH("sortie-epargne",IFERROR(INDEX('Paramètres'!$N:$N,MATCH($D2121,'Paramètres'!$M:$M,0))&amp;"",""))),$K2121,0))</f>
        <v/>
      </c>
      <c r="V2121" s="6" t="str">
        <f>IF(AND($A2121&lt;&gt;"",$O2121=1,$L2121="Débit",N($Q2121)&gt;0,$A2121&gt;=Visualisation!$B$1,$A2121&lt;Visualisation!$D$1),MAX($V$1:V2120)+1,"")</f>
        <v/>
      </c>
    </row>
    <row r="2122" spans="1:22" x14ac:dyDescent="0.25">
      <c r="A2122" s="9"/>
      <c r="E2122" s="10"/>
      <c r="K2122" s="11" t="str">
        <f>IF($E2122="","",ROUND($E2122*IF(ISNA(MATCH($C2122,'Paramètres'!$D:$D,0)),1,IF(INDEX('Paramètres'!$J:$J,MATCH($C2122,'Paramètres'!$D:$D,0))="",1,INDEX('Paramètres'!$J:$J,MATCH($C2122,'Paramètres'!$D:$D,0)))),2))</f>
        <v/>
      </c>
      <c r="L2122" s="6" t="str">
        <f>IF($D2122="","",IF($F2122&lt;&gt;"",$F2122,IF(ISNA(MATCH($D2122,'Paramètres'!$M:$M,0)),"⚠ Type inconnu",IFERROR(INDEX('Paramètres'!$P:$P,MATCH($D2122,'Paramètres'!$M:$M,0))&amp;"",""))))</f>
        <v/>
      </c>
      <c r="M2122" s="6" t="str">
        <f>IF($D2122="","",IF(ISNA(MATCH($D2122,'Paramètres'!$M:$M,0)),"⚠ Type inconnu",IF($L2122="Crédit","",IFERROR(INDEX('Paramètres'!$O:$O,MATCH($D2122,'Paramètres'!$M:$M,0))&amp;"",""))))</f>
        <v/>
      </c>
      <c r="N2122" s="6" t="str">
        <f>IF($D2122="","",IFERROR(INDEX('Paramètres'!$Q:$Q,MATCH($D2122,'Paramètres'!$M:$M,0))&amp;"",""))</f>
        <v/>
      </c>
      <c r="O2122" s="6" t="str">
        <f>IF($A2122="","",IF(OR($J2122&lt;&gt;"x",$A2122&lt;=FinReleve),1,0))</f>
        <v/>
      </c>
      <c r="P2122" s="6" t="str">
        <f>IF($D2122="","",IF(AND($L2122="Crédit",OR(IFERROR(INDEX('Paramètres'!$O:$O,MATCH($D2122,'Paramètres'!$M:$M,0))&amp;"","")&lt;&gt;"",ISNUMBER(SEARCH("remboursement",IFERROR(INDEX('Paramètres'!$N:$N,MATCH($D2122,'Paramètres'!$M:$M,0))&amp;"",""))))),1,0))</f>
        <v/>
      </c>
      <c r="Q2122" s="6" t="str">
        <f>IF($K2122="","",IF(ISNUMBER(SEARCH("transfert-interne",IFERROR(INDEX('Paramètres'!$N:$N,MATCH($D2122,'Paramètres'!$M:$M,0))&amp;"",""))),0,IF($L2122="Débit",$K2122,IF($P2122=1,-$K2122,0))))</f>
        <v/>
      </c>
      <c r="R2122" s="6" t="str">
        <f>IF($K2122="","",IF($L2122="Crédit",$K2122,-$K2122))</f>
        <v/>
      </c>
      <c r="S2122" s="6" t="str">
        <f>IF($C2122="","",IFERROR(INDEX('Paramètres'!$H:$H,MATCH($C2122,'Paramètres'!$D:$D,0))&amp;"",""))</f>
        <v/>
      </c>
      <c r="T2122" s="6" t="str">
        <f>IF($K2122="","",IF($S2122="",0,IF(ISNUMBER(SEARCH("apport-exterieur",IFERROR(INDEX('Paramètres'!$N:$N,MATCH($D2122,'Paramètres'!$M:$M,0))&amp;"",""))),0,IF(OR(IFERROR(INDEX('Paramètres'!$I:$I,MATCH($C2122,'Paramètres'!$D:$D,0))&amp;"","")="Les deux",IFERROR(INDEX('Paramètres'!$I:$I,MATCH($C2122,'Paramètres'!$D:$D,0))&amp;"","")=IF($P2122=1,"Débit",$L2122)),-IF($P2122=1,-$K2122,$K2122),0))))</f>
        <v/>
      </c>
      <c r="U2122" s="6" t="str">
        <f>IF($K2122="","",IF(ISNUMBER(SEARCH("sortie-epargne",IFERROR(INDEX('Paramètres'!$N:$N,MATCH($D2122,'Paramètres'!$M:$M,0))&amp;"",""))),$K2122,0))</f>
        <v/>
      </c>
      <c r="V2122" s="6" t="str">
        <f>IF(AND($A2122&lt;&gt;"",$O2122=1,$L2122="Débit",N($Q2122)&gt;0,$A2122&gt;=Visualisation!$B$1,$A2122&lt;Visualisation!$D$1),MAX($V$1:V2121)+1,"")</f>
        <v/>
      </c>
    </row>
    <row r="2123" spans="1:22" x14ac:dyDescent="0.25">
      <c r="A2123" s="9"/>
      <c r="E2123" s="10"/>
      <c r="K2123" s="11" t="str">
        <f>IF($E2123="","",ROUND($E2123*IF(ISNA(MATCH($C2123,'Paramètres'!$D:$D,0)),1,IF(INDEX('Paramètres'!$J:$J,MATCH($C2123,'Paramètres'!$D:$D,0))="",1,INDEX('Paramètres'!$J:$J,MATCH($C2123,'Paramètres'!$D:$D,0)))),2))</f>
        <v/>
      </c>
      <c r="L2123" s="6" t="str">
        <f>IF($D2123="","",IF($F2123&lt;&gt;"",$F2123,IF(ISNA(MATCH($D2123,'Paramètres'!$M:$M,0)),"⚠ Type inconnu",IFERROR(INDEX('Paramètres'!$P:$P,MATCH($D2123,'Paramètres'!$M:$M,0))&amp;"",""))))</f>
        <v/>
      </c>
      <c r="M2123" s="6" t="str">
        <f>IF($D2123="","",IF(ISNA(MATCH($D2123,'Paramètres'!$M:$M,0)),"⚠ Type inconnu",IF($L2123="Crédit","",IFERROR(INDEX('Paramètres'!$O:$O,MATCH($D2123,'Paramètres'!$M:$M,0))&amp;"",""))))</f>
        <v/>
      </c>
      <c r="N2123" s="6" t="str">
        <f>IF($D2123="","",IFERROR(INDEX('Paramètres'!$Q:$Q,MATCH($D2123,'Paramètres'!$M:$M,0))&amp;"",""))</f>
        <v/>
      </c>
      <c r="O2123" s="6" t="str">
        <f>IF($A2123="","",IF(OR($J2123&lt;&gt;"x",$A2123&lt;=FinReleve),1,0))</f>
        <v/>
      </c>
      <c r="P2123" s="6" t="str">
        <f>IF($D2123="","",IF(AND($L2123="Crédit",OR(IFERROR(INDEX('Paramètres'!$O:$O,MATCH($D2123,'Paramètres'!$M:$M,0))&amp;"","")&lt;&gt;"",ISNUMBER(SEARCH("remboursement",IFERROR(INDEX('Paramètres'!$N:$N,MATCH($D2123,'Paramètres'!$M:$M,0))&amp;"",""))))),1,0))</f>
        <v/>
      </c>
      <c r="Q2123" s="6" t="str">
        <f>IF($K2123="","",IF(ISNUMBER(SEARCH("transfert-interne",IFERROR(INDEX('Paramètres'!$N:$N,MATCH($D2123,'Paramètres'!$M:$M,0))&amp;"",""))),0,IF($L2123="Débit",$K2123,IF($P2123=1,-$K2123,0))))</f>
        <v/>
      </c>
      <c r="R2123" s="6" t="str">
        <f>IF($K2123="","",IF($L2123="Crédit",$K2123,-$K2123))</f>
        <v/>
      </c>
      <c r="S2123" s="6" t="str">
        <f>IF($C2123="","",IFERROR(INDEX('Paramètres'!$H:$H,MATCH($C2123,'Paramètres'!$D:$D,0))&amp;"",""))</f>
        <v/>
      </c>
      <c r="T2123" s="6" t="str">
        <f>IF($K2123="","",IF($S2123="",0,IF(ISNUMBER(SEARCH("apport-exterieur",IFERROR(INDEX('Paramètres'!$N:$N,MATCH($D2123,'Paramètres'!$M:$M,0))&amp;"",""))),0,IF(OR(IFERROR(INDEX('Paramètres'!$I:$I,MATCH($C2123,'Paramètres'!$D:$D,0))&amp;"","")="Les deux",IFERROR(INDEX('Paramètres'!$I:$I,MATCH($C2123,'Paramètres'!$D:$D,0))&amp;"","")=IF($P2123=1,"Débit",$L2123)),-IF($P2123=1,-$K2123,$K2123),0))))</f>
        <v/>
      </c>
      <c r="U2123" s="6" t="str">
        <f>IF($K2123="","",IF(ISNUMBER(SEARCH("sortie-epargne",IFERROR(INDEX('Paramètres'!$N:$N,MATCH($D2123,'Paramètres'!$M:$M,0))&amp;"",""))),$K2123,0))</f>
        <v/>
      </c>
      <c r="V2123" s="6" t="str">
        <f>IF(AND($A2123&lt;&gt;"",$O2123=1,$L2123="Débit",N($Q2123)&gt;0,$A2123&gt;=Visualisation!$B$1,$A2123&lt;Visualisation!$D$1),MAX($V$1:V2122)+1,"")</f>
        <v/>
      </c>
    </row>
    <row r="2124" spans="1:22" x14ac:dyDescent="0.25">
      <c r="A2124" s="9"/>
      <c r="E2124" s="10"/>
      <c r="K2124" s="11" t="str">
        <f>IF($E2124="","",ROUND($E2124*IF(ISNA(MATCH($C2124,'Paramètres'!$D:$D,0)),1,IF(INDEX('Paramètres'!$J:$J,MATCH($C2124,'Paramètres'!$D:$D,0))="",1,INDEX('Paramètres'!$J:$J,MATCH($C2124,'Paramètres'!$D:$D,0)))),2))</f>
        <v/>
      </c>
      <c r="L2124" s="6" t="str">
        <f>IF($D2124="","",IF($F2124&lt;&gt;"",$F2124,IF(ISNA(MATCH($D2124,'Paramètres'!$M:$M,0)),"⚠ Type inconnu",IFERROR(INDEX('Paramètres'!$P:$P,MATCH($D2124,'Paramètres'!$M:$M,0))&amp;"",""))))</f>
        <v/>
      </c>
      <c r="M2124" s="6" t="str">
        <f>IF($D2124="","",IF(ISNA(MATCH($D2124,'Paramètres'!$M:$M,0)),"⚠ Type inconnu",IF($L2124="Crédit","",IFERROR(INDEX('Paramètres'!$O:$O,MATCH($D2124,'Paramètres'!$M:$M,0))&amp;"",""))))</f>
        <v/>
      </c>
      <c r="N2124" s="6" t="str">
        <f>IF($D2124="","",IFERROR(INDEX('Paramètres'!$Q:$Q,MATCH($D2124,'Paramètres'!$M:$M,0))&amp;"",""))</f>
        <v/>
      </c>
      <c r="O2124" s="6" t="str">
        <f>IF($A2124="","",IF(OR($J2124&lt;&gt;"x",$A2124&lt;=FinReleve),1,0))</f>
        <v/>
      </c>
      <c r="P2124" s="6" t="str">
        <f>IF($D2124="","",IF(AND($L2124="Crédit",OR(IFERROR(INDEX('Paramètres'!$O:$O,MATCH($D2124,'Paramètres'!$M:$M,0))&amp;"","")&lt;&gt;"",ISNUMBER(SEARCH("remboursement",IFERROR(INDEX('Paramètres'!$N:$N,MATCH($D2124,'Paramètres'!$M:$M,0))&amp;"",""))))),1,0))</f>
        <v/>
      </c>
      <c r="Q2124" s="6" t="str">
        <f>IF($K2124="","",IF(ISNUMBER(SEARCH("transfert-interne",IFERROR(INDEX('Paramètres'!$N:$N,MATCH($D2124,'Paramètres'!$M:$M,0))&amp;"",""))),0,IF($L2124="Débit",$K2124,IF($P2124=1,-$K2124,0))))</f>
        <v/>
      </c>
      <c r="R2124" s="6" t="str">
        <f>IF($K2124="","",IF($L2124="Crédit",$K2124,-$K2124))</f>
        <v/>
      </c>
      <c r="S2124" s="6" t="str">
        <f>IF($C2124="","",IFERROR(INDEX('Paramètres'!$H:$H,MATCH($C2124,'Paramètres'!$D:$D,0))&amp;"",""))</f>
        <v/>
      </c>
      <c r="T2124" s="6" t="str">
        <f>IF($K2124="","",IF($S2124="",0,IF(ISNUMBER(SEARCH("apport-exterieur",IFERROR(INDEX('Paramètres'!$N:$N,MATCH($D2124,'Paramètres'!$M:$M,0))&amp;"",""))),0,IF(OR(IFERROR(INDEX('Paramètres'!$I:$I,MATCH($C2124,'Paramètres'!$D:$D,0))&amp;"","")="Les deux",IFERROR(INDEX('Paramètres'!$I:$I,MATCH($C2124,'Paramètres'!$D:$D,0))&amp;"","")=IF($P2124=1,"Débit",$L2124)),-IF($P2124=1,-$K2124,$K2124),0))))</f>
        <v/>
      </c>
      <c r="U2124" s="6" t="str">
        <f>IF($K2124="","",IF(ISNUMBER(SEARCH("sortie-epargne",IFERROR(INDEX('Paramètres'!$N:$N,MATCH($D2124,'Paramètres'!$M:$M,0))&amp;"",""))),$K2124,0))</f>
        <v/>
      </c>
      <c r="V2124" s="6" t="str">
        <f>IF(AND($A2124&lt;&gt;"",$O2124=1,$L2124="Débit",N($Q2124)&gt;0,$A2124&gt;=Visualisation!$B$1,$A2124&lt;Visualisation!$D$1),MAX($V$1:V2123)+1,"")</f>
        <v/>
      </c>
    </row>
    <row r="2125" spans="1:22" x14ac:dyDescent="0.25">
      <c r="A2125" s="9"/>
      <c r="E2125" s="10"/>
      <c r="K2125" s="11" t="str">
        <f>IF($E2125="","",ROUND($E2125*IF(ISNA(MATCH($C2125,'Paramètres'!$D:$D,0)),1,IF(INDEX('Paramètres'!$J:$J,MATCH($C2125,'Paramètres'!$D:$D,0))="",1,INDEX('Paramètres'!$J:$J,MATCH($C2125,'Paramètres'!$D:$D,0)))),2))</f>
        <v/>
      </c>
      <c r="L2125" s="6" t="str">
        <f>IF($D2125="","",IF($F2125&lt;&gt;"",$F2125,IF(ISNA(MATCH($D2125,'Paramètres'!$M:$M,0)),"⚠ Type inconnu",IFERROR(INDEX('Paramètres'!$P:$P,MATCH($D2125,'Paramètres'!$M:$M,0))&amp;"",""))))</f>
        <v/>
      </c>
      <c r="M2125" s="6" t="str">
        <f>IF($D2125="","",IF(ISNA(MATCH($D2125,'Paramètres'!$M:$M,0)),"⚠ Type inconnu",IF($L2125="Crédit","",IFERROR(INDEX('Paramètres'!$O:$O,MATCH($D2125,'Paramètres'!$M:$M,0))&amp;"",""))))</f>
        <v/>
      </c>
      <c r="N2125" s="6" t="str">
        <f>IF($D2125="","",IFERROR(INDEX('Paramètres'!$Q:$Q,MATCH($D2125,'Paramètres'!$M:$M,0))&amp;"",""))</f>
        <v/>
      </c>
      <c r="O2125" s="6" t="str">
        <f>IF($A2125="","",IF(OR($J2125&lt;&gt;"x",$A2125&lt;=FinReleve),1,0))</f>
        <v/>
      </c>
      <c r="P2125" s="6" t="str">
        <f>IF($D2125="","",IF(AND($L2125="Crédit",OR(IFERROR(INDEX('Paramètres'!$O:$O,MATCH($D2125,'Paramètres'!$M:$M,0))&amp;"","")&lt;&gt;"",ISNUMBER(SEARCH("remboursement",IFERROR(INDEX('Paramètres'!$N:$N,MATCH($D2125,'Paramètres'!$M:$M,0))&amp;"",""))))),1,0))</f>
        <v/>
      </c>
      <c r="Q2125" s="6" t="str">
        <f>IF($K2125="","",IF(ISNUMBER(SEARCH("transfert-interne",IFERROR(INDEX('Paramètres'!$N:$N,MATCH($D2125,'Paramètres'!$M:$M,0))&amp;"",""))),0,IF($L2125="Débit",$K2125,IF($P2125=1,-$K2125,0))))</f>
        <v/>
      </c>
      <c r="R2125" s="6" t="str">
        <f>IF($K2125="","",IF($L2125="Crédit",$K2125,-$K2125))</f>
        <v/>
      </c>
      <c r="S2125" s="6" t="str">
        <f>IF($C2125="","",IFERROR(INDEX('Paramètres'!$H:$H,MATCH($C2125,'Paramètres'!$D:$D,0))&amp;"",""))</f>
        <v/>
      </c>
      <c r="T2125" s="6" t="str">
        <f>IF($K2125="","",IF($S2125="",0,IF(ISNUMBER(SEARCH("apport-exterieur",IFERROR(INDEX('Paramètres'!$N:$N,MATCH($D2125,'Paramètres'!$M:$M,0))&amp;"",""))),0,IF(OR(IFERROR(INDEX('Paramètres'!$I:$I,MATCH($C2125,'Paramètres'!$D:$D,0))&amp;"","")="Les deux",IFERROR(INDEX('Paramètres'!$I:$I,MATCH($C2125,'Paramètres'!$D:$D,0))&amp;"","")=IF($P2125=1,"Débit",$L2125)),-IF($P2125=1,-$K2125,$K2125),0))))</f>
        <v/>
      </c>
      <c r="U2125" s="6" t="str">
        <f>IF($K2125="","",IF(ISNUMBER(SEARCH("sortie-epargne",IFERROR(INDEX('Paramètres'!$N:$N,MATCH($D2125,'Paramètres'!$M:$M,0))&amp;"",""))),$K2125,0))</f>
        <v/>
      </c>
      <c r="V2125" s="6" t="str">
        <f>IF(AND($A2125&lt;&gt;"",$O2125=1,$L2125="Débit",N($Q2125)&gt;0,$A2125&gt;=Visualisation!$B$1,$A2125&lt;Visualisation!$D$1),MAX($V$1:V2124)+1,"")</f>
        <v/>
      </c>
    </row>
    <row r="2126" spans="1:22" x14ac:dyDescent="0.25">
      <c r="A2126" s="9"/>
      <c r="E2126" s="10"/>
      <c r="K2126" s="11" t="str">
        <f>IF($E2126="","",ROUND($E2126*IF(ISNA(MATCH($C2126,'Paramètres'!$D:$D,0)),1,IF(INDEX('Paramètres'!$J:$J,MATCH($C2126,'Paramètres'!$D:$D,0))="",1,INDEX('Paramètres'!$J:$J,MATCH($C2126,'Paramètres'!$D:$D,0)))),2))</f>
        <v/>
      </c>
      <c r="L2126" s="6" t="str">
        <f>IF($D2126="","",IF($F2126&lt;&gt;"",$F2126,IF(ISNA(MATCH($D2126,'Paramètres'!$M:$M,0)),"⚠ Type inconnu",IFERROR(INDEX('Paramètres'!$P:$P,MATCH($D2126,'Paramètres'!$M:$M,0))&amp;"",""))))</f>
        <v/>
      </c>
      <c r="M2126" s="6" t="str">
        <f>IF($D2126="","",IF(ISNA(MATCH($D2126,'Paramètres'!$M:$M,0)),"⚠ Type inconnu",IF($L2126="Crédit","",IFERROR(INDEX('Paramètres'!$O:$O,MATCH($D2126,'Paramètres'!$M:$M,0))&amp;"",""))))</f>
        <v/>
      </c>
      <c r="N2126" s="6" t="str">
        <f>IF($D2126="","",IFERROR(INDEX('Paramètres'!$Q:$Q,MATCH($D2126,'Paramètres'!$M:$M,0))&amp;"",""))</f>
        <v/>
      </c>
      <c r="O2126" s="6" t="str">
        <f>IF($A2126="","",IF(OR($J2126&lt;&gt;"x",$A2126&lt;=FinReleve),1,0))</f>
        <v/>
      </c>
      <c r="P2126" s="6" t="str">
        <f>IF($D2126="","",IF(AND($L2126="Crédit",OR(IFERROR(INDEX('Paramètres'!$O:$O,MATCH($D2126,'Paramètres'!$M:$M,0))&amp;"","")&lt;&gt;"",ISNUMBER(SEARCH("remboursement",IFERROR(INDEX('Paramètres'!$N:$N,MATCH($D2126,'Paramètres'!$M:$M,0))&amp;"",""))))),1,0))</f>
        <v/>
      </c>
      <c r="Q2126" s="6" t="str">
        <f>IF($K2126="","",IF(ISNUMBER(SEARCH("transfert-interne",IFERROR(INDEX('Paramètres'!$N:$N,MATCH($D2126,'Paramètres'!$M:$M,0))&amp;"",""))),0,IF($L2126="Débit",$K2126,IF($P2126=1,-$K2126,0))))</f>
        <v/>
      </c>
      <c r="R2126" s="6" t="str">
        <f>IF($K2126="","",IF($L2126="Crédit",$K2126,-$K2126))</f>
        <v/>
      </c>
      <c r="S2126" s="6" t="str">
        <f>IF($C2126="","",IFERROR(INDEX('Paramètres'!$H:$H,MATCH($C2126,'Paramètres'!$D:$D,0))&amp;"",""))</f>
        <v/>
      </c>
      <c r="T2126" s="6" t="str">
        <f>IF($K2126="","",IF($S2126="",0,IF(ISNUMBER(SEARCH("apport-exterieur",IFERROR(INDEX('Paramètres'!$N:$N,MATCH($D2126,'Paramètres'!$M:$M,0))&amp;"",""))),0,IF(OR(IFERROR(INDEX('Paramètres'!$I:$I,MATCH($C2126,'Paramètres'!$D:$D,0))&amp;"","")="Les deux",IFERROR(INDEX('Paramètres'!$I:$I,MATCH($C2126,'Paramètres'!$D:$D,0))&amp;"","")=IF($P2126=1,"Débit",$L2126)),-IF($P2126=1,-$K2126,$K2126),0))))</f>
        <v/>
      </c>
      <c r="U2126" s="6" t="str">
        <f>IF($K2126="","",IF(ISNUMBER(SEARCH("sortie-epargne",IFERROR(INDEX('Paramètres'!$N:$N,MATCH($D2126,'Paramètres'!$M:$M,0))&amp;"",""))),$K2126,0))</f>
        <v/>
      </c>
      <c r="V2126" s="6" t="str">
        <f>IF(AND($A2126&lt;&gt;"",$O2126=1,$L2126="Débit",N($Q2126)&gt;0,$A2126&gt;=Visualisation!$B$1,$A2126&lt;Visualisation!$D$1),MAX($V$1:V2125)+1,"")</f>
        <v/>
      </c>
    </row>
    <row r="2127" spans="1:22" x14ac:dyDescent="0.25">
      <c r="A2127" s="9"/>
      <c r="E2127" s="10"/>
      <c r="K2127" s="11" t="str">
        <f>IF($E2127="","",ROUND($E2127*IF(ISNA(MATCH($C2127,'Paramètres'!$D:$D,0)),1,IF(INDEX('Paramètres'!$J:$J,MATCH($C2127,'Paramètres'!$D:$D,0))="",1,INDEX('Paramètres'!$J:$J,MATCH($C2127,'Paramètres'!$D:$D,0)))),2))</f>
        <v/>
      </c>
      <c r="L2127" s="6" t="str">
        <f>IF($D2127="","",IF($F2127&lt;&gt;"",$F2127,IF(ISNA(MATCH($D2127,'Paramètres'!$M:$M,0)),"⚠ Type inconnu",IFERROR(INDEX('Paramètres'!$P:$P,MATCH($D2127,'Paramètres'!$M:$M,0))&amp;"",""))))</f>
        <v/>
      </c>
      <c r="M2127" s="6" t="str">
        <f>IF($D2127="","",IF(ISNA(MATCH($D2127,'Paramètres'!$M:$M,0)),"⚠ Type inconnu",IF($L2127="Crédit","",IFERROR(INDEX('Paramètres'!$O:$O,MATCH($D2127,'Paramètres'!$M:$M,0))&amp;"",""))))</f>
        <v/>
      </c>
      <c r="N2127" s="6" t="str">
        <f>IF($D2127="","",IFERROR(INDEX('Paramètres'!$Q:$Q,MATCH($D2127,'Paramètres'!$M:$M,0))&amp;"",""))</f>
        <v/>
      </c>
      <c r="O2127" s="6" t="str">
        <f>IF($A2127="","",IF(OR($J2127&lt;&gt;"x",$A2127&lt;=FinReleve),1,0))</f>
        <v/>
      </c>
      <c r="P2127" s="6" t="str">
        <f>IF($D2127="","",IF(AND($L2127="Crédit",OR(IFERROR(INDEX('Paramètres'!$O:$O,MATCH($D2127,'Paramètres'!$M:$M,0))&amp;"","")&lt;&gt;"",ISNUMBER(SEARCH("remboursement",IFERROR(INDEX('Paramètres'!$N:$N,MATCH($D2127,'Paramètres'!$M:$M,0))&amp;"",""))))),1,0))</f>
        <v/>
      </c>
      <c r="Q2127" s="6" t="str">
        <f>IF($K2127="","",IF(ISNUMBER(SEARCH("transfert-interne",IFERROR(INDEX('Paramètres'!$N:$N,MATCH($D2127,'Paramètres'!$M:$M,0))&amp;"",""))),0,IF($L2127="Débit",$K2127,IF($P2127=1,-$K2127,0))))</f>
        <v/>
      </c>
      <c r="R2127" s="6" t="str">
        <f>IF($K2127="","",IF($L2127="Crédit",$K2127,-$K2127))</f>
        <v/>
      </c>
      <c r="S2127" s="6" t="str">
        <f>IF($C2127="","",IFERROR(INDEX('Paramètres'!$H:$H,MATCH($C2127,'Paramètres'!$D:$D,0))&amp;"",""))</f>
        <v/>
      </c>
      <c r="T2127" s="6" t="str">
        <f>IF($K2127="","",IF($S2127="",0,IF(ISNUMBER(SEARCH("apport-exterieur",IFERROR(INDEX('Paramètres'!$N:$N,MATCH($D2127,'Paramètres'!$M:$M,0))&amp;"",""))),0,IF(OR(IFERROR(INDEX('Paramètres'!$I:$I,MATCH($C2127,'Paramètres'!$D:$D,0))&amp;"","")="Les deux",IFERROR(INDEX('Paramètres'!$I:$I,MATCH($C2127,'Paramètres'!$D:$D,0))&amp;"","")=IF($P2127=1,"Débit",$L2127)),-IF($P2127=1,-$K2127,$K2127),0))))</f>
        <v/>
      </c>
      <c r="U2127" s="6" t="str">
        <f>IF($K2127="","",IF(ISNUMBER(SEARCH("sortie-epargne",IFERROR(INDEX('Paramètres'!$N:$N,MATCH($D2127,'Paramètres'!$M:$M,0))&amp;"",""))),$K2127,0))</f>
        <v/>
      </c>
      <c r="V2127" s="6" t="str">
        <f>IF(AND($A2127&lt;&gt;"",$O2127=1,$L2127="Débit",N($Q2127)&gt;0,$A2127&gt;=Visualisation!$B$1,$A2127&lt;Visualisation!$D$1),MAX($V$1:V2126)+1,"")</f>
        <v/>
      </c>
    </row>
    <row r="2128" spans="1:22" x14ac:dyDescent="0.25">
      <c r="A2128" s="9"/>
      <c r="E2128" s="10"/>
      <c r="K2128" s="11" t="str">
        <f>IF($E2128="","",ROUND($E2128*IF(ISNA(MATCH($C2128,'Paramètres'!$D:$D,0)),1,IF(INDEX('Paramètres'!$J:$J,MATCH($C2128,'Paramètres'!$D:$D,0))="",1,INDEX('Paramètres'!$J:$J,MATCH($C2128,'Paramètres'!$D:$D,0)))),2))</f>
        <v/>
      </c>
      <c r="L2128" s="6" t="str">
        <f>IF($D2128="","",IF($F2128&lt;&gt;"",$F2128,IF(ISNA(MATCH($D2128,'Paramètres'!$M:$M,0)),"⚠ Type inconnu",IFERROR(INDEX('Paramètres'!$P:$P,MATCH($D2128,'Paramètres'!$M:$M,0))&amp;"",""))))</f>
        <v/>
      </c>
      <c r="M2128" s="6" t="str">
        <f>IF($D2128="","",IF(ISNA(MATCH($D2128,'Paramètres'!$M:$M,0)),"⚠ Type inconnu",IF($L2128="Crédit","",IFERROR(INDEX('Paramètres'!$O:$O,MATCH($D2128,'Paramètres'!$M:$M,0))&amp;"",""))))</f>
        <v/>
      </c>
      <c r="N2128" s="6" t="str">
        <f>IF($D2128="","",IFERROR(INDEX('Paramètres'!$Q:$Q,MATCH($D2128,'Paramètres'!$M:$M,0))&amp;"",""))</f>
        <v/>
      </c>
      <c r="O2128" s="6" t="str">
        <f>IF($A2128="","",IF(OR($J2128&lt;&gt;"x",$A2128&lt;=FinReleve),1,0))</f>
        <v/>
      </c>
      <c r="P2128" s="6" t="str">
        <f>IF($D2128="","",IF(AND($L2128="Crédit",OR(IFERROR(INDEX('Paramètres'!$O:$O,MATCH($D2128,'Paramètres'!$M:$M,0))&amp;"","")&lt;&gt;"",ISNUMBER(SEARCH("remboursement",IFERROR(INDEX('Paramètres'!$N:$N,MATCH($D2128,'Paramètres'!$M:$M,0))&amp;"",""))))),1,0))</f>
        <v/>
      </c>
      <c r="Q2128" s="6" t="str">
        <f>IF($K2128="","",IF(ISNUMBER(SEARCH("transfert-interne",IFERROR(INDEX('Paramètres'!$N:$N,MATCH($D2128,'Paramètres'!$M:$M,0))&amp;"",""))),0,IF($L2128="Débit",$K2128,IF($P2128=1,-$K2128,0))))</f>
        <v/>
      </c>
      <c r="R2128" s="6" t="str">
        <f>IF($K2128="","",IF($L2128="Crédit",$K2128,-$K2128))</f>
        <v/>
      </c>
      <c r="S2128" s="6" t="str">
        <f>IF($C2128="","",IFERROR(INDEX('Paramètres'!$H:$H,MATCH($C2128,'Paramètres'!$D:$D,0))&amp;"",""))</f>
        <v/>
      </c>
      <c r="T2128" s="6" t="str">
        <f>IF($K2128="","",IF($S2128="",0,IF(ISNUMBER(SEARCH("apport-exterieur",IFERROR(INDEX('Paramètres'!$N:$N,MATCH($D2128,'Paramètres'!$M:$M,0))&amp;"",""))),0,IF(OR(IFERROR(INDEX('Paramètres'!$I:$I,MATCH($C2128,'Paramètres'!$D:$D,0))&amp;"","")="Les deux",IFERROR(INDEX('Paramètres'!$I:$I,MATCH($C2128,'Paramètres'!$D:$D,0))&amp;"","")=IF($P2128=1,"Débit",$L2128)),-IF($P2128=1,-$K2128,$K2128),0))))</f>
        <v/>
      </c>
      <c r="U2128" s="6" t="str">
        <f>IF($K2128="","",IF(ISNUMBER(SEARCH("sortie-epargne",IFERROR(INDEX('Paramètres'!$N:$N,MATCH($D2128,'Paramètres'!$M:$M,0))&amp;"",""))),$K2128,0))</f>
        <v/>
      </c>
      <c r="V2128" s="6" t="str">
        <f>IF(AND($A2128&lt;&gt;"",$O2128=1,$L2128="Débit",N($Q2128)&gt;0,$A2128&gt;=Visualisation!$B$1,$A2128&lt;Visualisation!$D$1),MAX($V$1:V2127)+1,"")</f>
        <v/>
      </c>
    </row>
    <row r="2129" spans="1:22" x14ac:dyDescent="0.25">
      <c r="A2129" s="9"/>
      <c r="E2129" s="10"/>
      <c r="K2129" s="11" t="str">
        <f>IF($E2129="","",ROUND($E2129*IF(ISNA(MATCH($C2129,'Paramètres'!$D:$D,0)),1,IF(INDEX('Paramètres'!$J:$J,MATCH($C2129,'Paramètres'!$D:$D,0))="",1,INDEX('Paramètres'!$J:$J,MATCH($C2129,'Paramètres'!$D:$D,0)))),2))</f>
        <v/>
      </c>
      <c r="L2129" s="6" t="str">
        <f>IF($D2129="","",IF($F2129&lt;&gt;"",$F2129,IF(ISNA(MATCH($D2129,'Paramètres'!$M:$M,0)),"⚠ Type inconnu",IFERROR(INDEX('Paramètres'!$P:$P,MATCH($D2129,'Paramètres'!$M:$M,0))&amp;"",""))))</f>
        <v/>
      </c>
      <c r="M2129" s="6" t="str">
        <f>IF($D2129="","",IF(ISNA(MATCH($D2129,'Paramètres'!$M:$M,0)),"⚠ Type inconnu",IF($L2129="Crédit","",IFERROR(INDEX('Paramètres'!$O:$O,MATCH($D2129,'Paramètres'!$M:$M,0))&amp;"",""))))</f>
        <v/>
      </c>
      <c r="N2129" s="6" t="str">
        <f>IF($D2129="","",IFERROR(INDEX('Paramètres'!$Q:$Q,MATCH($D2129,'Paramètres'!$M:$M,0))&amp;"",""))</f>
        <v/>
      </c>
      <c r="O2129" s="6" t="str">
        <f>IF($A2129="","",IF(OR($J2129&lt;&gt;"x",$A2129&lt;=FinReleve),1,0))</f>
        <v/>
      </c>
      <c r="P2129" s="6" t="str">
        <f>IF($D2129="","",IF(AND($L2129="Crédit",OR(IFERROR(INDEX('Paramètres'!$O:$O,MATCH($D2129,'Paramètres'!$M:$M,0))&amp;"","")&lt;&gt;"",ISNUMBER(SEARCH("remboursement",IFERROR(INDEX('Paramètres'!$N:$N,MATCH($D2129,'Paramètres'!$M:$M,0))&amp;"",""))))),1,0))</f>
        <v/>
      </c>
      <c r="Q2129" s="6" t="str">
        <f>IF($K2129="","",IF(ISNUMBER(SEARCH("transfert-interne",IFERROR(INDEX('Paramètres'!$N:$N,MATCH($D2129,'Paramètres'!$M:$M,0))&amp;"",""))),0,IF($L2129="Débit",$K2129,IF($P2129=1,-$K2129,0))))</f>
        <v/>
      </c>
      <c r="R2129" s="6" t="str">
        <f>IF($K2129="","",IF($L2129="Crédit",$K2129,-$K2129))</f>
        <v/>
      </c>
      <c r="S2129" s="6" t="str">
        <f>IF($C2129="","",IFERROR(INDEX('Paramètres'!$H:$H,MATCH($C2129,'Paramètres'!$D:$D,0))&amp;"",""))</f>
        <v/>
      </c>
      <c r="T2129" s="6" t="str">
        <f>IF($K2129="","",IF($S2129="",0,IF(ISNUMBER(SEARCH("apport-exterieur",IFERROR(INDEX('Paramètres'!$N:$N,MATCH($D2129,'Paramètres'!$M:$M,0))&amp;"",""))),0,IF(OR(IFERROR(INDEX('Paramètres'!$I:$I,MATCH($C2129,'Paramètres'!$D:$D,0))&amp;"","")="Les deux",IFERROR(INDEX('Paramètres'!$I:$I,MATCH($C2129,'Paramètres'!$D:$D,0))&amp;"","")=IF($P2129=1,"Débit",$L2129)),-IF($P2129=1,-$K2129,$K2129),0))))</f>
        <v/>
      </c>
      <c r="U2129" s="6" t="str">
        <f>IF($K2129="","",IF(ISNUMBER(SEARCH("sortie-epargne",IFERROR(INDEX('Paramètres'!$N:$N,MATCH($D2129,'Paramètres'!$M:$M,0))&amp;"",""))),$K2129,0))</f>
        <v/>
      </c>
      <c r="V2129" s="6" t="str">
        <f>IF(AND($A2129&lt;&gt;"",$O2129=1,$L2129="Débit",N($Q2129)&gt;0,$A2129&gt;=Visualisation!$B$1,$A2129&lt;Visualisation!$D$1),MAX($V$1:V2128)+1,"")</f>
        <v/>
      </c>
    </row>
    <row r="2130" spans="1:22" x14ac:dyDescent="0.25">
      <c r="A2130" s="9"/>
      <c r="E2130" s="10"/>
      <c r="K2130" s="11" t="str">
        <f>IF($E2130="","",ROUND($E2130*IF(ISNA(MATCH($C2130,'Paramètres'!$D:$D,0)),1,IF(INDEX('Paramètres'!$J:$J,MATCH($C2130,'Paramètres'!$D:$D,0))="",1,INDEX('Paramètres'!$J:$J,MATCH($C2130,'Paramètres'!$D:$D,0)))),2))</f>
        <v/>
      </c>
      <c r="L2130" s="6" t="str">
        <f>IF($D2130="","",IF($F2130&lt;&gt;"",$F2130,IF(ISNA(MATCH($D2130,'Paramètres'!$M:$M,0)),"⚠ Type inconnu",IFERROR(INDEX('Paramètres'!$P:$P,MATCH($D2130,'Paramètres'!$M:$M,0))&amp;"",""))))</f>
        <v/>
      </c>
      <c r="M2130" s="6" t="str">
        <f>IF($D2130="","",IF(ISNA(MATCH($D2130,'Paramètres'!$M:$M,0)),"⚠ Type inconnu",IF($L2130="Crédit","",IFERROR(INDEX('Paramètres'!$O:$O,MATCH($D2130,'Paramètres'!$M:$M,0))&amp;"",""))))</f>
        <v/>
      </c>
      <c r="N2130" s="6" t="str">
        <f>IF($D2130="","",IFERROR(INDEX('Paramètres'!$Q:$Q,MATCH($D2130,'Paramètres'!$M:$M,0))&amp;"",""))</f>
        <v/>
      </c>
      <c r="O2130" s="6" t="str">
        <f>IF($A2130="","",IF(OR($J2130&lt;&gt;"x",$A2130&lt;=FinReleve),1,0))</f>
        <v/>
      </c>
      <c r="P2130" s="6" t="str">
        <f>IF($D2130="","",IF(AND($L2130="Crédit",OR(IFERROR(INDEX('Paramètres'!$O:$O,MATCH($D2130,'Paramètres'!$M:$M,0))&amp;"","")&lt;&gt;"",ISNUMBER(SEARCH("remboursement",IFERROR(INDEX('Paramètres'!$N:$N,MATCH($D2130,'Paramètres'!$M:$M,0))&amp;"",""))))),1,0))</f>
        <v/>
      </c>
      <c r="Q2130" s="6" t="str">
        <f>IF($K2130="","",IF(ISNUMBER(SEARCH("transfert-interne",IFERROR(INDEX('Paramètres'!$N:$N,MATCH($D2130,'Paramètres'!$M:$M,0))&amp;"",""))),0,IF($L2130="Débit",$K2130,IF($P2130=1,-$K2130,0))))</f>
        <v/>
      </c>
      <c r="R2130" s="6" t="str">
        <f>IF($K2130="","",IF($L2130="Crédit",$K2130,-$K2130))</f>
        <v/>
      </c>
      <c r="S2130" s="6" t="str">
        <f>IF($C2130="","",IFERROR(INDEX('Paramètres'!$H:$H,MATCH($C2130,'Paramètres'!$D:$D,0))&amp;"",""))</f>
        <v/>
      </c>
      <c r="T2130" s="6" t="str">
        <f>IF($K2130="","",IF($S2130="",0,IF(ISNUMBER(SEARCH("apport-exterieur",IFERROR(INDEX('Paramètres'!$N:$N,MATCH($D2130,'Paramètres'!$M:$M,0))&amp;"",""))),0,IF(OR(IFERROR(INDEX('Paramètres'!$I:$I,MATCH($C2130,'Paramètres'!$D:$D,0))&amp;"","")="Les deux",IFERROR(INDEX('Paramètres'!$I:$I,MATCH($C2130,'Paramètres'!$D:$D,0))&amp;"","")=IF($P2130=1,"Débit",$L2130)),-IF($P2130=1,-$K2130,$K2130),0))))</f>
        <v/>
      </c>
      <c r="U2130" s="6" t="str">
        <f>IF($K2130="","",IF(ISNUMBER(SEARCH("sortie-epargne",IFERROR(INDEX('Paramètres'!$N:$N,MATCH($D2130,'Paramètres'!$M:$M,0))&amp;"",""))),$K2130,0))</f>
        <v/>
      </c>
      <c r="V2130" s="6" t="str">
        <f>IF(AND($A2130&lt;&gt;"",$O2130=1,$L2130="Débit",N($Q2130)&gt;0,$A2130&gt;=Visualisation!$B$1,$A2130&lt;Visualisation!$D$1),MAX($V$1:V2129)+1,"")</f>
        <v/>
      </c>
    </row>
    <row r="2131" spans="1:22" x14ac:dyDescent="0.25">
      <c r="A2131" s="9"/>
      <c r="E2131" s="10"/>
      <c r="K2131" s="11" t="str">
        <f>IF($E2131="","",ROUND($E2131*IF(ISNA(MATCH($C2131,'Paramètres'!$D:$D,0)),1,IF(INDEX('Paramètres'!$J:$J,MATCH($C2131,'Paramètres'!$D:$D,0))="",1,INDEX('Paramètres'!$J:$J,MATCH($C2131,'Paramètres'!$D:$D,0)))),2))</f>
        <v/>
      </c>
      <c r="L2131" s="6" t="str">
        <f>IF($D2131="","",IF($F2131&lt;&gt;"",$F2131,IF(ISNA(MATCH($D2131,'Paramètres'!$M:$M,0)),"⚠ Type inconnu",IFERROR(INDEX('Paramètres'!$P:$P,MATCH($D2131,'Paramètres'!$M:$M,0))&amp;"",""))))</f>
        <v/>
      </c>
      <c r="M2131" s="6" t="str">
        <f>IF($D2131="","",IF(ISNA(MATCH($D2131,'Paramètres'!$M:$M,0)),"⚠ Type inconnu",IF($L2131="Crédit","",IFERROR(INDEX('Paramètres'!$O:$O,MATCH($D2131,'Paramètres'!$M:$M,0))&amp;"",""))))</f>
        <v/>
      </c>
      <c r="N2131" s="6" t="str">
        <f>IF($D2131="","",IFERROR(INDEX('Paramètres'!$Q:$Q,MATCH($D2131,'Paramètres'!$M:$M,0))&amp;"",""))</f>
        <v/>
      </c>
      <c r="O2131" s="6" t="str">
        <f>IF($A2131="","",IF(OR($J2131&lt;&gt;"x",$A2131&lt;=FinReleve),1,0))</f>
        <v/>
      </c>
      <c r="P2131" s="6" t="str">
        <f>IF($D2131="","",IF(AND($L2131="Crédit",OR(IFERROR(INDEX('Paramètres'!$O:$O,MATCH($D2131,'Paramètres'!$M:$M,0))&amp;"","")&lt;&gt;"",ISNUMBER(SEARCH("remboursement",IFERROR(INDEX('Paramètres'!$N:$N,MATCH($D2131,'Paramètres'!$M:$M,0))&amp;"",""))))),1,0))</f>
        <v/>
      </c>
      <c r="Q2131" s="6" t="str">
        <f>IF($K2131="","",IF(ISNUMBER(SEARCH("transfert-interne",IFERROR(INDEX('Paramètres'!$N:$N,MATCH($D2131,'Paramètres'!$M:$M,0))&amp;"",""))),0,IF($L2131="Débit",$K2131,IF($P2131=1,-$K2131,0))))</f>
        <v/>
      </c>
      <c r="R2131" s="6" t="str">
        <f>IF($K2131="","",IF($L2131="Crédit",$K2131,-$K2131))</f>
        <v/>
      </c>
      <c r="S2131" s="6" t="str">
        <f>IF($C2131="","",IFERROR(INDEX('Paramètres'!$H:$H,MATCH($C2131,'Paramètres'!$D:$D,0))&amp;"",""))</f>
        <v/>
      </c>
      <c r="T2131" s="6" t="str">
        <f>IF($K2131="","",IF($S2131="",0,IF(ISNUMBER(SEARCH("apport-exterieur",IFERROR(INDEX('Paramètres'!$N:$N,MATCH($D2131,'Paramètres'!$M:$M,0))&amp;"",""))),0,IF(OR(IFERROR(INDEX('Paramètres'!$I:$I,MATCH($C2131,'Paramètres'!$D:$D,0))&amp;"","")="Les deux",IFERROR(INDEX('Paramètres'!$I:$I,MATCH($C2131,'Paramètres'!$D:$D,0))&amp;"","")=IF($P2131=1,"Débit",$L2131)),-IF($P2131=1,-$K2131,$K2131),0))))</f>
        <v/>
      </c>
      <c r="U2131" s="6" t="str">
        <f>IF($K2131="","",IF(ISNUMBER(SEARCH("sortie-epargne",IFERROR(INDEX('Paramètres'!$N:$N,MATCH($D2131,'Paramètres'!$M:$M,0))&amp;"",""))),$K2131,0))</f>
        <v/>
      </c>
      <c r="V2131" s="6" t="str">
        <f>IF(AND($A2131&lt;&gt;"",$O2131=1,$L2131="Débit",N($Q2131)&gt;0,$A2131&gt;=Visualisation!$B$1,$A2131&lt;Visualisation!$D$1),MAX($V$1:V2130)+1,"")</f>
        <v/>
      </c>
    </row>
    <row r="2132" spans="1:22" x14ac:dyDescent="0.25">
      <c r="A2132" s="9"/>
      <c r="E2132" s="10"/>
      <c r="K2132" s="11" t="str">
        <f>IF($E2132="","",ROUND($E2132*IF(ISNA(MATCH($C2132,'Paramètres'!$D:$D,0)),1,IF(INDEX('Paramètres'!$J:$J,MATCH($C2132,'Paramètres'!$D:$D,0))="",1,INDEX('Paramètres'!$J:$J,MATCH($C2132,'Paramètres'!$D:$D,0)))),2))</f>
        <v/>
      </c>
      <c r="L2132" s="6" t="str">
        <f>IF($D2132="","",IF($F2132&lt;&gt;"",$F2132,IF(ISNA(MATCH($D2132,'Paramètres'!$M:$M,0)),"⚠ Type inconnu",IFERROR(INDEX('Paramètres'!$P:$P,MATCH($D2132,'Paramètres'!$M:$M,0))&amp;"",""))))</f>
        <v/>
      </c>
      <c r="M2132" s="6" t="str">
        <f>IF($D2132="","",IF(ISNA(MATCH($D2132,'Paramètres'!$M:$M,0)),"⚠ Type inconnu",IF($L2132="Crédit","",IFERROR(INDEX('Paramètres'!$O:$O,MATCH($D2132,'Paramètres'!$M:$M,0))&amp;"",""))))</f>
        <v/>
      </c>
      <c r="N2132" s="6" t="str">
        <f>IF($D2132="","",IFERROR(INDEX('Paramètres'!$Q:$Q,MATCH($D2132,'Paramètres'!$M:$M,0))&amp;"",""))</f>
        <v/>
      </c>
      <c r="O2132" s="6" t="str">
        <f>IF($A2132="","",IF(OR($J2132&lt;&gt;"x",$A2132&lt;=FinReleve),1,0))</f>
        <v/>
      </c>
      <c r="P2132" s="6" t="str">
        <f>IF($D2132="","",IF(AND($L2132="Crédit",OR(IFERROR(INDEX('Paramètres'!$O:$O,MATCH($D2132,'Paramètres'!$M:$M,0))&amp;"","")&lt;&gt;"",ISNUMBER(SEARCH("remboursement",IFERROR(INDEX('Paramètres'!$N:$N,MATCH($D2132,'Paramètres'!$M:$M,0))&amp;"",""))))),1,0))</f>
        <v/>
      </c>
      <c r="Q2132" s="6" t="str">
        <f>IF($K2132="","",IF(ISNUMBER(SEARCH("transfert-interne",IFERROR(INDEX('Paramètres'!$N:$N,MATCH($D2132,'Paramètres'!$M:$M,0))&amp;"",""))),0,IF($L2132="Débit",$K2132,IF($P2132=1,-$K2132,0))))</f>
        <v/>
      </c>
      <c r="R2132" s="6" t="str">
        <f>IF($K2132="","",IF($L2132="Crédit",$K2132,-$K2132))</f>
        <v/>
      </c>
      <c r="S2132" s="6" t="str">
        <f>IF($C2132="","",IFERROR(INDEX('Paramètres'!$H:$H,MATCH($C2132,'Paramètres'!$D:$D,0))&amp;"",""))</f>
        <v/>
      </c>
      <c r="T2132" s="6" t="str">
        <f>IF($K2132="","",IF($S2132="",0,IF(ISNUMBER(SEARCH("apport-exterieur",IFERROR(INDEX('Paramètres'!$N:$N,MATCH($D2132,'Paramètres'!$M:$M,0))&amp;"",""))),0,IF(OR(IFERROR(INDEX('Paramètres'!$I:$I,MATCH($C2132,'Paramètres'!$D:$D,0))&amp;"","")="Les deux",IFERROR(INDEX('Paramètres'!$I:$I,MATCH($C2132,'Paramètres'!$D:$D,0))&amp;"","")=IF($P2132=1,"Débit",$L2132)),-IF($P2132=1,-$K2132,$K2132),0))))</f>
        <v/>
      </c>
      <c r="U2132" s="6" t="str">
        <f>IF($K2132="","",IF(ISNUMBER(SEARCH("sortie-epargne",IFERROR(INDEX('Paramètres'!$N:$N,MATCH($D2132,'Paramètres'!$M:$M,0))&amp;"",""))),$K2132,0))</f>
        <v/>
      </c>
      <c r="V2132" s="6" t="str">
        <f>IF(AND($A2132&lt;&gt;"",$O2132=1,$L2132="Débit",N($Q2132)&gt;0,$A2132&gt;=Visualisation!$B$1,$A2132&lt;Visualisation!$D$1),MAX($V$1:V2131)+1,"")</f>
        <v/>
      </c>
    </row>
    <row r="2133" spans="1:22" x14ac:dyDescent="0.25">
      <c r="A2133" s="9"/>
      <c r="E2133" s="10"/>
      <c r="K2133" s="11" t="str">
        <f>IF($E2133="","",ROUND($E2133*IF(ISNA(MATCH($C2133,'Paramètres'!$D:$D,0)),1,IF(INDEX('Paramètres'!$J:$J,MATCH($C2133,'Paramètres'!$D:$D,0))="",1,INDEX('Paramètres'!$J:$J,MATCH($C2133,'Paramètres'!$D:$D,0)))),2))</f>
        <v/>
      </c>
      <c r="L2133" s="6" t="str">
        <f>IF($D2133="","",IF($F2133&lt;&gt;"",$F2133,IF(ISNA(MATCH($D2133,'Paramètres'!$M:$M,0)),"⚠ Type inconnu",IFERROR(INDEX('Paramètres'!$P:$P,MATCH($D2133,'Paramètres'!$M:$M,0))&amp;"",""))))</f>
        <v/>
      </c>
      <c r="M2133" s="6" t="str">
        <f>IF($D2133="","",IF(ISNA(MATCH($D2133,'Paramètres'!$M:$M,0)),"⚠ Type inconnu",IF($L2133="Crédit","",IFERROR(INDEX('Paramètres'!$O:$O,MATCH($D2133,'Paramètres'!$M:$M,0))&amp;"",""))))</f>
        <v/>
      </c>
      <c r="N2133" s="6" t="str">
        <f>IF($D2133="","",IFERROR(INDEX('Paramètres'!$Q:$Q,MATCH($D2133,'Paramètres'!$M:$M,0))&amp;"",""))</f>
        <v/>
      </c>
      <c r="O2133" s="6" t="str">
        <f>IF($A2133="","",IF(OR($J2133&lt;&gt;"x",$A2133&lt;=FinReleve),1,0))</f>
        <v/>
      </c>
      <c r="P2133" s="6" t="str">
        <f>IF($D2133="","",IF(AND($L2133="Crédit",OR(IFERROR(INDEX('Paramètres'!$O:$O,MATCH($D2133,'Paramètres'!$M:$M,0))&amp;"","")&lt;&gt;"",ISNUMBER(SEARCH("remboursement",IFERROR(INDEX('Paramètres'!$N:$N,MATCH($D2133,'Paramètres'!$M:$M,0))&amp;"",""))))),1,0))</f>
        <v/>
      </c>
      <c r="Q2133" s="6" t="str">
        <f>IF($K2133="","",IF(ISNUMBER(SEARCH("transfert-interne",IFERROR(INDEX('Paramètres'!$N:$N,MATCH($D2133,'Paramètres'!$M:$M,0))&amp;"",""))),0,IF($L2133="Débit",$K2133,IF($P2133=1,-$K2133,0))))</f>
        <v/>
      </c>
      <c r="R2133" s="6" t="str">
        <f>IF($K2133="","",IF($L2133="Crédit",$K2133,-$K2133))</f>
        <v/>
      </c>
      <c r="S2133" s="6" t="str">
        <f>IF($C2133="","",IFERROR(INDEX('Paramètres'!$H:$H,MATCH($C2133,'Paramètres'!$D:$D,0))&amp;"",""))</f>
        <v/>
      </c>
      <c r="T2133" s="6" t="str">
        <f>IF($K2133="","",IF($S2133="",0,IF(ISNUMBER(SEARCH("apport-exterieur",IFERROR(INDEX('Paramètres'!$N:$N,MATCH($D2133,'Paramètres'!$M:$M,0))&amp;"",""))),0,IF(OR(IFERROR(INDEX('Paramètres'!$I:$I,MATCH($C2133,'Paramètres'!$D:$D,0))&amp;"","")="Les deux",IFERROR(INDEX('Paramètres'!$I:$I,MATCH($C2133,'Paramètres'!$D:$D,0))&amp;"","")=IF($P2133=1,"Débit",$L2133)),-IF($P2133=1,-$K2133,$K2133),0))))</f>
        <v/>
      </c>
      <c r="U2133" s="6" t="str">
        <f>IF($K2133="","",IF(ISNUMBER(SEARCH("sortie-epargne",IFERROR(INDEX('Paramètres'!$N:$N,MATCH($D2133,'Paramètres'!$M:$M,0))&amp;"",""))),$K2133,0))</f>
        <v/>
      </c>
      <c r="V2133" s="6" t="str">
        <f>IF(AND($A2133&lt;&gt;"",$O2133=1,$L2133="Débit",N($Q2133)&gt;0,$A2133&gt;=Visualisation!$B$1,$A2133&lt;Visualisation!$D$1),MAX($V$1:V2132)+1,"")</f>
        <v/>
      </c>
    </row>
    <row r="2134" spans="1:22" x14ac:dyDescent="0.25">
      <c r="A2134" s="9"/>
      <c r="E2134" s="10"/>
      <c r="K2134" s="11" t="str">
        <f>IF($E2134="","",ROUND($E2134*IF(ISNA(MATCH($C2134,'Paramètres'!$D:$D,0)),1,IF(INDEX('Paramètres'!$J:$J,MATCH($C2134,'Paramètres'!$D:$D,0))="",1,INDEX('Paramètres'!$J:$J,MATCH($C2134,'Paramètres'!$D:$D,0)))),2))</f>
        <v/>
      </c>
      <c r="L2134" s="6" t="str">
        <f>IF($D2134="","",IF($F2134&lt;&gt;"",$F2134,IF(ISNA(MATCH($D2134,'Paramètres'!$M:$M,0)),"⚠ Type inconnu",IFERROR(INDEX('Paramètres'!$P:$P,MATCH($D2134,'Paramètres'!$M:$M,0))&amp;"",""))))</f>
        <v/>
      </c>
      <c r="M2134" s="6" t="str">
        <f>IF($D2134="","",IF(ISNA(MATCH($D2134,'Paramètres'!$M:$M,0)),"⚠ Type inconnu",IF($L2134="Crédit","",IFERROR(INDEX('Paramètres'!$O:$O,MATCH($D2134,'Paramètres'!$M:$M,0))&amp;"",""))))</f>
        <v/>
      </c>
      <c r="N2134" s="6" t="str">
        <f>IF($D2134="","",IFERROR(INDEX('Paramètres'!$Q:$Q,MATCH($D2134,'Paramètres'!$M:$M,0))&amp;"",""))</f>
        <v/>
      </c>
      <c r="O2134" s="6" t="str">
        <f>IF($A2134="","",IF(OR($J2134&lt;&gt;"x",$A2134&lt;=FinReleve),1,0))</f>
        <v/>
      </c>
      <c r="P2134" s="6" t="str">
        <f>IF($D2134="","",IF(AND($L2134="Crédit",OR(IFERROR(INDEX('Paramètres'!$O:$O,MATCH($D2134,'Paramètres'!$M:$M,0))&amp;"","")&lt;&gt;"",ISNUMBER(SEARCH("remboursement",IFERROR(INDEX('Paramètres'!$N:$N,MATCH($D2134,'Paramètres'!$M:$M,0))&amp;"",""))))),1,0))</f>
        <v/>
      </c>
      <c r="Q2134" s="6" t="str">
        <f>IF($K2134="","",IF(ISNUMBER(SEARCH("transfert-interne",IFERROR(INDEX('Paramètres'!$N:$N,MATCH($D2134,'Paramètres'!$M:$M,0))&amp;"",""))),0,IF($L2134="Débit",$K2134,IF($P2134=1,-$K2134,0))))</f>
        <v/>
      </c>
      <c r="R2134" s="6" t="str">
        <f>IF($K2134="","",IF($L2134="Crédit",$K2134,-$K2134))</f>
        <v/>
      </c>
      <c r="S2134" s="6" t="str">
        <f>IF($C2134="","",IFERROR(INDEX('Paramètres'!$H:$H,MATCH($C2134,'Paramètres'!$D:$D,0))&amp;"",""))</f>
        <v/>
      </c>
      <c r="T2134" s="6" t="str">
        <f>IF($K2134="","",IF($S2134="",0,IF(ISNUMBER(SEARCH("apport-exterieur",IFERROR(INDEX('Paramètres'!$N:$N,MATCH($D2134,'Paramètres'!$M:$M,0))&amp;"",""))),0,IF(OR(IFERROR(INDEX('Paramètres'!$I:$I,MATCH($C2134,'Paramètres'!$D:$D,0))&amp;"","")="Les deux",IFERROR(INDEX('Paramètres'!$I:$I,MATCH($C2134,'Paramètres'!$D:$D,0))&amp;"","")=IF($P2134=1,"Débit",$L2134)),-IF($P2134=1,-$K2134,$K2134),0))))</f>
        <v/>
      </c>
      <c r="U2134" s="6" t="str">
        <f>IF($K2134="","",IF(ISNUMBER(SEARCH("sortie-epargne",IFERROR(INDEX('Paramètres'!$N:$N,MATCH($D2134,'Paramètres'!$M:$M,0))&amp;"",""))),$K2134,0))</f>
        <v/>
      </c>
      <c r="V2134" s="6" t="str">
        <f>IF(AND($A2134&lt;&gt;"",$O2134=1,$L2134="Débit",N($Q2134)&gt;0,$A2134&gt;=Visualisation!$B$1,$A2134&lt;Visualisation!$D$1),MAX($V$1:V2133)+1,"")</f>
        <v/>
      </c>
    </row>
    <row r="2135" spans="1:22" x14ac:dyDescent="0.25">
      <c r="A2135" s="9"/>
      <c r="E2135" s="10"/>
      <c r="K2135" s="11" t="str">
        <f>IF($E2135="","",ROUND($E2135*IF(ISNA(MATCH($C2135,'Paramètres'!$D:$D,0)),1,IF(INDEX('Paramètres'!$J:$J,MATCH($C2135,'Paramètres'!$D:$D,0))="",1,INDEX('Paramètres'!$J:$J,MATCH($C2135,'Paramètres'!$D:$D,0)))),2))</f>
        <v/>
      </c>
      <c r="L2135" s="6" t="str">
        <f>IF($D2135="","",IF($F2135&lt;&gt;"",$F2135,IF(ISNA(MATCH($D2135,'Paramètres'!$M:$M,0)),"⚠ Type inconnu",IFERROR(INDEX('Paramètres'!$P:$P,MATCH($D2135,'Paramètres'!$M:$M,0))&amp;"",""))))</f>
        <v/>
      </c>
      <c r="M2135" s="6" t="str">
        <f>IF($D2135="","",IF(ISNA(MATCH($D2135,'Paramètres'!$M:$M,0)),"⚠ Type inconnu",IF($L2135="Crédit","",IFERROR(INDEX('Paramètres'!$O:$O,MATCH($D2135,'Paramètres'!$M:$M,0))&amp;"",""))))</f>
        <v/>
      </c>
      <c r="N2135" s="6" t="str">
        <f>IF($D2135="","",IFERROR(INDEX('Paramètres'!$Q:$Q,MATCH($D2135,'Paramètres'!$M:$M,0))&amp;"",""))</f>
        <v/>
      </c>
      <c r="O2135" s="6" t="str">
        <f>IF($A2135="","",IF(OR($J2135&lt;&gt;"x",$A2135&lt;=FinReleve),1,0))</f>
        <v/>
      </c>
      <c r="P2135" s="6" t="str">
        <f>IF($D2135="","",IF(AND($L2135="Crédit",OR(IFERROR(INDEX('Paramètres'!$O:$O,MATCH($D2135,'Paramètres'!$M:$M,0))&amp;"","")&lt;&gt;"",ISNUMBER(SEARCH("remboursement",IFERROR(INDEX('Paramètres'!$N:$N,MATCH($D2135,'Paramètres'!$M:$M,0))&amp;"",""))))),1,0))</f>
        <v/>
      </c>
      <c r="Q2135" s="6" t="str">
        <f>IF($K2135="","",IF(ISNUMBER(SEARCH("transfert-interne",IFERROR(INDEX('Paramètres'!$N:$N,MATCH($D2135,'Paramètres'!$M:$M,0))&amp;"",""))),0,IF($L2135="Débit",$K2135,IF($P2135=1,-$K2135,0))))</f>
        <v/>
      </c>
      <c r="R2135" s="6" t="str">
        <f>IF($K2135="","",IF($L2135="Crédit",$K2135,-$K2135))</f>
        <v/>
      </c>
      <c r="S2135" s="6" t="str">
        <f>IF($C2135="","",IFERROR(INDEX('Paramètres'!$H:$H,MATCH($C2135,'Paramètres'!$D:$D,0))&amp;"",""))</f>
        <v/>
      </c>
      <c r="T2135" s="6" t="str">
        <f>IF($K2135="","",IF($S2135="",0,IF(ISNUMBER(SEARCH("apport-exterieur",IFERROR(INDEX('Paramètres'!$N:$N,MATCH($D2135,'Paramètres'!$M:$M,0))&amp;"",""))),0,IF(OR(IFERROR(INDEX('Paramètres'!$I:$I,MATCH($C2135,'Paramètres'!$D:$D,0))&amp;"","")="Les deux",IFERROR(INDEX('Paramètres'!$I:$I,MATCH($C2135,'Paramètres'!$D:$D,0))&amp;"","")=IF($P2135=1,"Débit",$L2135)),-IF($P2135=1,-$K2135,$K2135),0))))</f>
        <v/>
      </c>
      <c r="U2135" s="6" t="str">
        <f>IF($K2135="","",IF(ISNUMBER(SEARCH("sortie-epargne",IFERROR(INDEX('Paramètres'!$N:$N,MATCH($D2135,'Paramètres'!$M:$M,0))&amp;"",""))),$K2135,0))</f>
        <v/>
      </c>
      <c r="V2135" s="6" t="str">
        <f>IF(AND($A2135&lt;&gt;"",$O2135=1,$L2135="Débit",N($Q2135)&gt;0,$A2135&gt;=Visualisation!$B$1,$A2135&lt;Visualisation!$D$1),MAX($V$1:V2134)+1,"")</f>
        <v/>
      </c>
    </row>
    <row r="2136" spans="1:22" x14ac:dyDescent="0.25">
      <c r="A2136" s="9"/>
      <c r="E2136" s="10"/>
      <c r="K2136" s="11" t="str">
        <f>IF($E2136="","",ROUND($E2136*IF(ISNA(MATCH($C2136,'Paramètres'!$D:$D,0)),1,IF(INDEX('Paramètres'!$J:$J,MATCH($C2136,'Paramètres'!$D:$D,0))="",1,INDEX('Paramètres'!$J:$J,MATCH($C2136,'Paramètres'!$D:$D,0)))),2))</f>
        <v/>
      </c>
      <c r="L2136" s="6" t="str">
        <f>IF($D2136="","",IF($F2136&lt;&gt;"",$F2136,IF(ISNA(MATCH($D2136,'Paramètres'!$M:$M,0)),"⚠ Type inconnu",IFERROR(INDEX('Paramètres'!$P:$P,MATCH($D2136,'Paramètres'!$M:$M,0))&amp;"",""))))</f>
        <v/>
      </c>
      <c r="M2136" s="6" t="str">
        <f>IF($D2136="","",IF(ISNA(MATCH($D2136,'Paramètres'!$M:$M,0)),"⚠ Type inconnu",IF($L2136="Crédit","",IFERROR(INDEX('Paramètres'!$O:$O,MATCH($D2136,'Paramètres'!$M:$M,0))&amp;"",""))))</f>
        <v/>
      </c>
      <c r="N2136" s="6" t="str">
        <f>IF($D2136="","",IFERROR(INDEX('Paramètres'!$Q:$Q,MATCH($D2136,'Paramètres'!$M:$M,0))&amp;"",""))</f>
        <v/>
      </c>
      <c r="O2136" s="6" t="str">
        <f>IF($A2136="","",IF(OR($J2136&lt;&gt;"x",$A2136&lt;=FinReleve),1,0))</f>
        <v/>
      </c>
      <c r="P2136" s="6" t="str">
        <f>IF($D2136="","",IF(AND($L2136="Crédit",OR(IFERROR(INDEX('Paramètres'!$O:$O,MATCH($D2136,'Paramètres'!$M:$M,0))&amp;"","")&lt;&gt;"",ISNUMBER(SEARCH("remboursement",IFERROR(INDEX('Paramètres'!$N:$N,MATCH($D2136,'Paramètres'!$M:$M,0))&amp;"",""))))),1,0))</f>
        <v/>
      </c>
      <c r="Q2136" s="6" t="str">
        <f>IF($K2136="","",IF(ISNUMBER(SEARCH("transfert-interne",IFERROR(INDEX('Paramètres'!$N:$N,MATCH($D2136,'Paramètres'!$M:$M,0))&amp;"",""))),0,IF($L2136="Débit",$K2136,IF($P2136=1,-$K2136,0))))</f>
        <v/>
      </c>
      <c r="R2136" s="6" t="str">
        <f>IF($K2136="","",IF($L2136="Crédit",$K2136,-$K2136))</f>
        <v/>
      </c>
      <c r="S2136" s="6" t="str">
        <f>IF($C2136="","",IFERROR(INDEX('Paramètres'!$H:$H,MATCH($C2136,'Paramètres'!$D:$D,0))&amp;"",""))</f>
        <v/>
      </c>
      <c r="T2136" s="6" t="str">
        <f>IF($K2136="","",IF($S2136="",0,IF(ISNUMBER(SEARCH("apport-exterieur",IFERROR(INDEX('Paramètres'!$N:$N,MATCH($D2136,'Paramètres'!$M:$M,0))&amp;"",""))),0,IF(OR(IFERROR(INDEX('Paramètres'!$I:$I,MATCH($C2136,'Paramètres'!$D:$D,0))&amp;"","")="Les deux",IFERROR(INDEX('Paramètres'!$I:$I,MATCH($C2136,'Paramètres'!$D:$D,0))&amp;"","")=IF($P2136=1,"Débit",$L2136)),-IF($P2136=1,-$K2136,$K2136),0))))</f>
        <v/>
      </c>
      <c r="U2136" s="6" t="str">
        <f>IF($K2136="","",IF(ISNUMBER(SEARCH("sortie-epargne",IFERROR(INDEX('Paramètres'!$N:$N,MATCH($D2136,'Paramètres'!$M:$M,0))&amp;"",""))),$K2136,0))</f>
        <v/>
      </c>
      <c r="V2136" s="6" t="str">
        <f>IF(AND($A2136&lt;&gt;"",$O2136=1,$L2136="Débit",N($Q2136)&gt;0,$A2136&gt;=Visualisation!$B$1,$A2136&lt;Visualisation!$D$1),MAX($V$1:V2135)+1,"")</f>
        <v/>
      </c>
    </row>
    <row r="2137" spans="1:22" x14ac:dyDescent="0.25">
      <c r="A2137" s="9"/>
      <c r="E2137" s="10"/>
      <c r="K2137" s="11" t="str">
        <f>IF($E2137="","",ROUND($E2137*IF(ISNA(MATCH($C2137,'Paramètres'!$D:$D,0)),1,IF(INDEX('Paramètres'!$J:$J,MATCH($C2137,'Paramètres'!$D:$D,0))="",1,INDEX('Paramètres'!$J:$J,MATCH($C2137,'Paramètres'!$D:$D,0)))),2))</f>
        <v/>
      </c>
      <c r="L2137" s="6" t="str">
        <f>IF($D2137="","",IF($F2137&lt;&gt;"",$F2137,IF(ISNA(MATCH($D2137,'Paramètres'!$M:$M,0)),"⚠ Type inconnu",IFERROR(INDEX('Paramètres'!$P:$P,MATCH($D2137,'Paramètres'!$M:$M,0))&amp;"",""))))</f>
        <v/>
      </c>
      <c r="M2137" s="6" t="str">
        <f>IF($D2137="","",IF(ISNA(MATCH($D2137,'Paramètres'!$M:$M,0)),"⚠ Type inconnu",IF($L2137="Crédit","",IFERROR(INDEX('Paramètres'!$O:$O,MATCH($D2137,'Paramètres'!$M:$M,0))&amp;"",""))))</f>
        <v/>
      </c>
      <c r="N2137" s="6" t="str">
        <f>IF($D2137="","",IFERROR(INDEX('Paramètres'!$Q:$Q,MATCH($D2137,'Paramètres'!$M:$M,0))&amp;"",""))</f>
        <v/>
      </c>
      <c r="O2137" s="6" t="str">
        <f>IF($A2137="","",IF(OR($J2137&lt;&gt;"x",$A2137&lt;=FinReleve),1,0))</f>
        <v/>
      </c>
      <c r="P2137" s="6" t="str">
        <f>IF($D2137="","",IF(AND($L2137="Crédit",OR(IFERROR(INDEX('Paramètres'!$O:$O,MATCH($D2137,'Paramètres'!$M:$M,0))&amp;"","")&lt;&gt;"",ISNUMBER(SEARCH("remboursement",IFERROR(INDEX('Paramètres'!$N:$N,MATCH($D2137,'Paramètres'!$M:$M,0))&amp;"",""))))),1,0))</f>
        <v/>
      </c>
      <c r="Q2137" s="6" t="str">
        <f>IF($K2137="","",IF(ISNUMBER(SEARCH("transfert-interne",IFERROR(INDEX('Paramètres'!$N:$N,MATCH($D2137,'Paramètres'!$M:$M,0))&amp;"",""))),0,IF($L2137="Débit",$K2137,IF($P2137=1,-$K2137,0))))</f>
        <v/>
      </c>
      <c r="R2137" s="6" t="str">
        <f>IF($K2137="","",IF($L2137="Crédit",$K2137,-$K2137))</f>
        <v/>
      </c>
      <c r="S2137" s="6" t="str">
        <f>IF($C2137="","",IFERROR(INDEX('Paramètres'!$H:$H,MATCH($C2137,'Paramètres'!$D:$D,0))&amp;"",""))</f>
        <v/>
      </c>
      <c r="T2137" s="6" t="str">
        <f>IF($K2137="","",IF($S2137="",0,IF(ISNUMBER(SEARCH("apport-exterieur",IFERROR(INDEX('Paramètres'!$N:$N,MATCH($D2137,'Paramètres'!$M:$M,0))&amp;"",""))),0,IF(OR(IFERROR(INDEX('Paramètres'!$I:$I,MATCH($C2137,'Paramètres'!$D:$D,0))&amp;"","")="Les deux",IFERROR(INDEX('Paramètres'!$I:$I,MATCH($C2137,'Paramètres'!$D:$D,0))&amp;"","")=IF($P2137=1,"Débit",$L2137)),-IF($P2137=1,-$K2137,$K2137),0))))</f>
        <v/>
      </c>
      <c r="U2137" s="6" t="str">
        <f>IF($K2137="","",IF(ISNUMBER(SEARCH("sortie-epargne",IFERROR(INDEX('Paramètres'!$N:$N,MATCH($D2137,'Paramètres'!$M:$M,0))&amp;"",""))),$K2137,0))</f>
        <v/>
      </c>
      <c r="V2137" s="6" t="str">
        <f>IF(AND($A2137&lt;&gt;"",$O2137=1,$L2137="Débit",N($Q2137)&gt;0,$A2137&gt;=Visualisation!$B$1,$A2137&lt;Visualisation!$D$1),MAX($V$1:V2136)+1,"")</f>
        <v/>
      </c>
    </row>
    <row r="2138" spans="1:22" x14ac:dyDescent="0.25">
      <c r="A2138" s="9"/>
      <c r="E2138" s="10"/>
      <c r="K2138" s="11" t="str">
        <f>IF($E2138="","",ROUND($E2138*IF(ISNA(MATCH($C2138,'Paramètres'!$D:$D,0)),1,IF(INDEX('Paramètres'!$J:$J,MATCH($C2138,'Paramètres'!$D:$D,0))="",1,INDEX('Paramètres'!$J:$J,MATCH($C2138,'Paramètres'!$D:$D,0)))),2))</f>
        <v/>
      </c>
      <c r="L2138" s="6" t="str">
        <f>IF($D2138="","",IF($F2138&lt;&gt;"",$F2138,IF(ISNA(MATCH($D2138,'Paramètres'!$M:$M,0)),"⚠ Type inconnu",IFERROR(INDEX('Paramètres'!$P:$P,MATCH($D2138,'Paramètres'!$M:$M,0))&amp;"",""))))</f>
        <v/>
      </c>
      <c r="M2138" s="6" t="str">
        <f>IF($D2138="","",IF(ISNA(MATCH($D2138,'Paramètres'!$M:$M,0)),"⚠ Type inconnu",IF($L2138="Crédit","",IFERROR(INDEX('Paramètres'!$O:$O,MATCH($D2138,'Paramètres'!$M:$M,0))&amp;"",""))))</f>
        <v/>
      </c>
      <c r="N2138" s="6" t="str">
        <f>IF($D2138="","",IFERROR(INDEX('Paramètres'!$Q:$Q,MATCH($D2138,'Paramètres'!$M:$M,0))&amp;"",""))</f>
        <v/>
      </c>
      <c r="O2138" s="6" t="str">
        <f>IF($A2138="","",IF(OR($J2138&lt;&gt;"x",$A2138&lt;=FinReleve),1,0))</f>
        <v/>
      </c>
      <c r="P2138" s="6" t="str">
        <f>IF($D2138="","",IF(AND($L2138="Crédit",OR(IFERROR(INDEX('Paramètres'!$O:$O,MATCH($D2138,'Paramètres'!$M:$M,0))&amp;"","")&lt;&gt;"",ISNUMBER(SEARCH("remboursement",IFERROR(INDEX('Paramètres'!$N:$N,MATCH($D2138,'Paramètres'!$M:$M,0))&amp;"",""))))),1,0))</f>
        <v/>
      </c>
      <c r="Q2138" s="6" t="str">
        <f>IF($K2138="","",IF(ISNUMBER(SEARCH("transfert-interne",IFERROR(INDEX('Paramètres'!$N:$N,MATCH($D2138,'Paramètres'!$M:$M,0))&amp;"",""))),0,IF($L2138="Débit",$K2138,IF($P2138=1,-$K2138,0))))</f>
        <v/>
      </c>
      <c r="R2138" s="6" t="str">
        <f>IF($K2138="","",IF($L2138="Crédit",$K2138,-$K2138))</f>
        <v/>
      </c>
      <c r="S2138" s="6" t="str">
        <f>IF($C2138="","",IFERROR(INDEX('Paramètres'!$H:$H,MATCH($C2138,'Paramètres'!$D:$D,0))&amp;"",""))</f>
        <v/>
      </c>
      <c r="T2138" s="6" t="str">
        <f>IF($K2138="","",IF($S2138="",0,IF(ISNUMBER(SEARCH("apport-exterieur",IFERROR(INDEX('Paramètres'!$N:$N,MATCH($D2138,'Paramètres'!$M:$M,0))&amp;"",""))),0,IF(OR(IFERROR(INDEX('Paramètres'!$I:$I,MATCH($C2138,'Paramètres'!$D:$D,0))&amp;"","")="Les deux",IFERROR(INDEX('Paramètres'!$I:$I,MATCH($C2138,'Paramètres'!$D:$D,0))&amp;"","")=IF($P2138=1,"Débit",$L2138)),-IF($P2138=1,-$K2138,$K2138),0))))</f>
        <v/>
      </c>
      <c r="U2138" s="6" t="str">
        <f>IF($K2138="","",IF(ISNUMBER(SEARCH("sortie-epargne",IFERROR(INDEX('Paramètres'!$N:$N,MATCH($D2138,'Paramètres'!$M:$M,0))&amp;"",""))),$K2138,0))</f>
        <v/>
      </c>
      <c r="V2138" s="6" t="str">
        <f>IF(AND($A2138&lt;&gt;"",$O2138=1,$L2138="Débit",N($Q2138)&gt;0,$A2138&gt;=Visualisation!$B$1,$A2138&lt;Visualisation!$D$1),MAX($V$1:V2137)+1,"")</f>
        <v/>
      </c>
    </row>
    <row r="2139" spans="1:22" x14ac:dyDescent="0.25">
      <c r="A2139" s="9"/>
      <c r="E2139" s="10"/>
      <c r="K2139" s="11" t="str">
        <f>IF($E2139="","",ROUND($E2139*IF(ISNA(MATCH($C2139,'Paramètres'!$D:$D,0)),1,IF(INDEX('Paramètres'!$J:$J,MATCH($C2139,'Paramètres'!$D:$D,0))="",1,INDEX('Paramètres'!$J:$J,MATCH($C2139,'Paramètres'!$D:$D,0)))),2))</f>
        <v/>
      </c>
      <c r="L2139" s="6" t="str">
        <f>IF($D2139="","",IF($F2139&lt;&gt;"",$F2139,IF(ISNA(MATCH($D2139,'Paramètres'!$M:$M,0)),"⚠ Type inconnu",IFERROR(INDEX('Paramètres'!$P:$P,MATCH($D2139,'Paramètres'!$M:$M,0))&amp;"",""))))</f>
        <v/>
      </c>
      <c r="M2139" s="6" t="str">
        <f>IF($D2139="","",IF(ISNA(MATCH($D2139,'Paramètres'!$M:$M,0)),"⚠ Type inconnu",IF($L2139="Crédit","",IFERROR(INDEX('Paramètres'!$O:$O,MATCH($D2139,'Paramètres'!$M:$M,0))&amp;"",""))))</f>
        <v/>
      </c>
      <c r="N2139" s="6" t="str">
        <f>IF($D2139="","",IFERROR(INDEX('Paramètres'!$Q:$Q,MATCH($D2139,'Paramètres'!$M:$M,0))&amp;"",""))</f>
        <v/>
      </c>
      <c r="O2139" s="6" t="str">
        <f>IF($A2139="","",IF(OR($J2139&lt;&gt;"x",$A2139&lt;=FinReleve),1,0))</f>
        <v/>
      </c>
      <c r="P2139" s="6" t="str">
        <f>IF($D2139="","",IF(AND($L2139="Crédit",OR(IFERROR(INDEX('Paramètres'!$O:$O,MATCH($D2139,'Paramètres'!$M:$M,0))&amp;"","")&lt;&gt;"",ISNUMBER(SEARCH("remboursement",IFERROR(INDEX('Paramètres'!$N:$N,MATCH($D2139,'Paramètres'!$M:$M,0))&amp;"",""))))),1,0))</f>
        <v/>
      </c>
      <c r="Q2139" s="6" t="str">
        <f>IF($K2139="","",IF(ISNUMBER(SEARCH("transfert-interne",IFERROR(INDEX('Paramètres'!$N:$N,MATCH($D2139,'Paramètres'!$M:$M,0))&amp;"",""))),0,IF($L2139="Débit",$K2139,IF($P2139=1,-$K2139,0))))</f>
        <v/>
      </c>
      <c r="R2139" s="6" t="str">
        <f>IF($K2139="","",IF($L2139="Crédit",$K2139,-$K2139))</f>
        <v/>
      </c>
      <c r="S2139" s="6" t="str">
        <f>IF($C2139="","",IFERROR(INDEX('Paramètres'!$H:$H,MATCH($C2139,'Paramètres'!$D:$D,0))&amp;"",""))</f>
        <v/>
      </c>
      <c r="T2139" s="6" t="str">
        <f>IF($K2139="","",IF($S2139="",0,IF(ISNUMBER(SEARCH("apport-exterieur",IFERROR(INDEX('Paramètres'!$N:$N,MATCH($D2139,'Paramètres'!$M:$M,0))&amp;"",""))),0,IF(OR(IFERROR(INDEX('Paramètres'!$I:$I,MATCH($C2139,'Paramètres'!$D:$D,0))&amp;"","")="Les deux",IFERROR(INDEX('Paramètres'!$I:$I,MATCH($C2139,'Paramètres'!$D:$D,0))&amp;"","")=IF($P2139=1,"Débit",$L2139)),-IF($P2139=1,-$K2139,$K2139),0))))</f>
        <v/>
      </c>
      <c r="U2139" s="6" t="str">
        <f>IF($K2139="","",IF(ISNUMBER(SEARCH("sortie-epargne",IFERROR(INDEX('Paramètres'!$N:$N,MATCH($D2139,'Paramètres'!$M:$M,0))&amp;"",""))),$K2139,0))</f>
        <v/>
      </c>
      <c r="V2139" s="6" t="str">
        <f>IF(AND($A2139&lt;&gt;"",$O2139=1,$L2139="Débit",N($Q2139)&gt;0,$A2139&gt;=Visualisation!$B$1,$A2139&lt;Visualisation!$D$1),MAX($V$1:V2138)+1,"")</f>
        <v/>
      </c>
    </row>
    <row r="2140" spans="1:22" x14ac:dyDescent="0.25">
      <c r="A2140" s="9"/>
      <c r="E2140" s="10"/>
      <c r="K2140" s="11" t="str">
        <f>IF($E2140="","",ROUND($E2140*IF(ISNA(MATCH($C2140,'Paramètres'!$D:$D,0)),1,IF(INDEX('Paramètres'!$J:$J,MATCH($C2140,'Paramètres'!$D:$D,0))="",1,INDEX('Paramètres'!$J:$J,MATCH($C2140,'Paramètres'!$D:$D,0)))),2))</f>
        <v/>
      </c>
      <c r="L2140" s="6" t="str">
        <f>IF($D2140="","",IF($F2140&lt;&gt;"",$F2140,IF(ISNA(MATCH($D2140,'Paramètres'!$M:$M,0)),"⚠ Type inconnu",IFERROR(INDEX('Paramètres'!$P:$P,MATCH($D2140,'Paramètres'!$M:$M,0))&amp;"",""))))</f>
        <v/>
      </c>
      <c r="M2140" s="6" t="str">
        <f>IF($D2140="","",IF(ISNA(MATCH($D2140,'Paramètres'!$M:$M,0)),"⚠ Type inconnu",IF($L2140="Crédit","",IFERROR(INDEX('Paramètres'!$O:$O,MATCH($D2140,'Paramètres'!$M:$M,0))&amp;"",""))))</f>
        <v/>
      </c>
      <c r="N2140" s="6" t="str">
        <f>IF($D2140="","",IFERROR(INDEX('Paramètres'!$Q:$Q,MATCH($D2140,'Paramètres'!$M:$M,0))&amp;"",""))</f>
        <v/>
      </c>
      <c r="O2140" s="6" t="str">
        <f>IF($A2140="","",IF(OR($J2140&lt;&gt;"x",$A2140&lt;=FinReleve),1,0))</f>
        <v/>
      </c>
      <c r="P2140" s="6" t="str">
        <f>IF($D2140="","",IF(AND($L2140="Crédit",OR(IFERROR(INDEX('Paramètres'!$O:$O,MATCH($D2140,'Paramètres'!$M:$M,0))&amp;"","")&lt;&gt;"",ISNUMBER(SEARCH("remboursement",IFERROR(INDEX('Paramètres'!$N:$N,MATCH($D2140,'Paramètres'!$M:$M,0))&amp;"",""))))),1,0))</f>
        <v/>
      </c>
      <c r="Q2140" s="6" t="str">
        <f>IF($K2140="","",IF(ISNUMBER(SEARCH("transfert-interne",IFERROR(INDEX('Paramètres'!$N:$N,MATCH($D2140,'Paramètres'!$M:$M,0))&amp;"",""))),0,IF($L2140="Débit",$K2140,IF($P2140=1,-$K2140,0))))</f>
        <v/>
      </c>
      <c r="R2140" s="6" t="str">
        <f>IF($K2140="","",IF($L2140="Crédit",$K2140,-$K2140))</f>
        <v/>
      </c>
      <c r="S2140" s="6" t="str">
        <f>IF($C2140="","",IFERROR(INDEX('Paramètres'!$H:$H,MATCH($C2140,'Paramètres'!$D:$D,0))&amp;"",""))</f>
        <v/>
      </c>
      <c r="T2140" s="6" t="str">
        <f>IF($K2140="","",IF($S2140="",0,IF(ISNUMBER(SEARCH("apport-exterieur",IFERROR(INDEX('Paramètres'!$N:$N,MATCH($D2140,'Paramètres'!$M:$M,0))&amp;"",""))),0,IF(OR(IFERROR(INDEX('Paramètres'!$I:$I,MATCH($C2140,'Paramètres'!$D:$D,0))&amp;"","")="Les deux",IFERROR(INDEX('Paramètres'!$I:$I,MATCH($C2140,'Paramètres'!$D:$D,0))&amp;"","")=IF($P2140=1,"Débit",$L2140)),-IF($P2140=1,-$K2140,$K2140),0))))</f>
        <v/>
      </c>
      <c r="U2140" s="6" t="str">
        <f>IF($K2140="","",IF(ISNUMBER(SEARCH("sortie-epargne",IFERROR(INDEX('Paramètres'!$N:$N,MATCH($D2140,'Paramètres'!$M:$M,0))&amp;"",""))),$K2140,0))</f>
        <v/>
      </c>
      <c r="V2140" s="6" t="str">
        <f>IF(AND($A2140&lt;&gt;"",$O2140=1,$L2140="Débit",N($Q2140)&gt;0,$A2140&gt;=Visualisation!$B$1,$A2140&lt;Visualisation!$D$1),MAX($V$1:V2139)+1,"")</f>
        <v/>
      </c>
    </row>
    <row r="2141" spans="1:22" x14ac:dyDescent="0.25">
      <c r="A2141" s="9"/>
      <c r="E2141" s="10"/>
      <c r="K2141" s="11" t="str">
        <f>IF($E2141="","",ROUND($E2141*IF(ISNA(MATCH($C2141,'Paramètres'!$D:$D,0)),1,IF(INDEX('Paramètres'!$J:$J,MATCH($C2141,'Paramètres'!$D:$D,0))="",1,INDEX('Paramètres'!$J:$J,MATCH($C2141,'Paramètres'!$D:$D,0)))),2))</f>
        <v/>
      </c>
      <c r="L2141" s="6" t="str">
        <f>IF($D2141="","",IF($F2141&lt;&gt;"",$F2141,IF(ISNA(MATCH($D2141,'Paramètres'!$M:$M,0)),"⚠ Type inconnu",IFERROR(INDEX('Paramètres'!$P:$P,MATCH($D2141,'Paramètres'!$M:$M,0))&amp;"",""))))</f>
        <v/>
      </c>
      <c r="M2141" s="6" t="str">
        <f>IF($D2141="","",IF(ISNA(MATCH($D2141,'Paramètres'!$M:$M,0)),"⚠ Type inconnu",IF($L2141="Crédit","",IFERROR(INDEX('Paramètres'!$O:$O,MATCH($D2141,'Paramètres'!$M:$M,0))&amp;"",""))))</f>
        <v/>
      </c>
      <c r="N2141" s="6" t="str">
        <f>IF($D2141="","",IFERROR(INDEX('Paramètres'!$Q:$Q,MATCH($D2141,'Paramètres'!$M:$M,0))&amp;"",""))</f>
        <v/>
      </c>
      <c r="O2141" s="6" t="str">
        <f>IF($A2141="","",IF(OR($J2141&lt;&gt;"x",$A2141&lt;=FinReleve),1,0))</f>
        <v/>
      </c>
      <c r="P2141" s="6" t="str">
        <f>IF($D2141="","",IF(AND($L2141="Crédit",OR(IFERROR(INDEX('Paramètres'!$O:$O,MATCH($D2141,'Paramètres'!$M:$M,0))&amp;"","")&lt;&gt;"",ISNUMBER(SEARCH("remboursement",IFERROR(INDEX('Paramètres'!$N:$N,MATCH($D2141,'Paramètres'!$M:$M,0))&amp;"",""))))),1,0))</f>
        <v/>
      </c>
      <c r="Q2141" s="6" t="str">
        <f>IF($K2141="","",IF(ISNUMBER(SEARCH("transfert-interne",IFERROR(INDEX('Paramètres'!$N:$N,MATCH($D2141,'Paramètres'!$M:$M,0))&amp;"",""))),0,IF($L2141="Débit",$K2141,IF($P2141=1,-$K2141,0))))</f>
        <v/>
      </c>
      <c r="R2141" s="6" t="str">
        <f>IF($K2141="","",IF($L2141="Crédit",$K2141,-$K2141))</f>
        <v/>
      </c>
      <c r="S2141" s="6" t="str">
        <f>IF($C2141="","",IFERROR(INDEX('Paramètres'!$H:$H,MATCH($C2141,'Paramètres'!$D:$D,0))&amp;"",""))</f>
        <v/>
      </c>
      <c r="T2141" s="6" t="str">
        <f>IF($K2141="","",IF($S2141="",0,IF(ISNUMBER(SEARCH("apport-exterieur",IFERROR(INDEX('Paramètres'!$N:$N,MATCH($D2141,'Paramètres'!$M:$M,0))&amp;"",""))),0,IF(OR(IFERROR(INDEX('Paramètres'!$I:$I,MATCH($C2141,'Paramètres'!$D:$D,0))&amp;"","")="Les deux",IFERROR(INDEX('Paramètres'!$I:$I,MATCH($C2141,'Paramètres'!$D:$D,0))&amp;"","")=IF($P2141=1,"Débit",$L2141)),-IF($P2141=1,-$K2141,$K2141),0))))</f>
        <v/>
      </c>
      <c r="U2141" s="6" t="str">
        <f>IF($K2141="","",IF(ISNUMBER(SEARCH("sortie-epargne",IFERROR(INDEX('Paramètres'!$N:$N,MATCH($D2141,'Paramètres'!$M:$M,0))&amp;"",""))),$K2141,0))</f>
        <v/>
      </c>
      <c r="V2141" s="6" t="str">
        <f>IF(AND($A2141&lt;&gt;"",$O2141=1,$L2141="Débit",N($Q2141)&gt;0,$A2141&gt;=Visualisation!$B$1,$A2141&lt;Visualisation!$D$1),MAX($V$1:V2140)+1,"")</f>
        <v/>
      </c>
    </row>
    <row r="2142" spans="1:22" x14ac:dyDescent="0.25">
      <c r="A2142" s="9"/>
      <c r="E2142" s="10"/>
      <c r="K2142" s="11" t="str">
        <f>IF($E2142="","",ROUND($E2142*IF(ISNA(MATCH($C2142,'Paramètres'!$D:$D,0)),1,IF(INDEX('Paramètres'!$J:$J,MATCH($C2142,'Paramètres'!$D:$D,0))="",1,INDEX('Paramètres'!$J:$J,MATCH($C2142,'Paramètres'!$D:$D,0)))),2))</f>
        <v/>
      </c>
      <c r="L2142" s="6" t="str">
        <f>IF($D2142="","",IF($F2142&lt;&gt;"",$F2142,IF(ISNA(MATCH($D2142,'Paramètres'!$M:$M,0)),"⚠ Type inconnu",IFERROR(INDEX('Paramètres'!$P:$P,MATCH($D2142,'Paramètres'!$M:$M,0))&amp;"",""))))</f>
        <v/>
      </c>
      <c r="M2142" s="6" t="str">
        <f>IF($D2142="","",IF(ISNA(MATCH($D2142,'Paramètres'!$M:$M,0)),"⚠ Type inconnu",IF($L2142="Crédit","",IFERROR(INDEX('Paramètres'!$O:$O,MATCH($D2142,'Paramètres'!$M:$M,0))&amp;"",""))))</f>
        <v/>
      </c>
      <c r="N2142" s="6" t="str">
        <f>IF($D2142="","",IFERROR(INDEX('Paramètres'!$Q:$Q,MATCH($D2142,'Paramètres'!$M:$M,0))&amp;"",""))</f>
        <v/>
      </c>
      <c r="O2142" s="6" t="str">
        <f>IF($A2142="","",IF(OR($J2142&lt;&gt;"x",$A2142&lt;=FinReleve),1,0))</f>
        <v/>
      </c>
      <c r="P2142" s="6" t="str">
        <f>IF($D2142="","",IF(AND($L2142="Crédit",OR(IFERROR(INDEX('Paramètres'!$O:$O,MATCH($D2142,'Paramètres'!$M:$M,0))&amp;"","")&lt;&gt;"",ISNUMBER(SEARCH("remboursement",IFERROR(INDEX('Paramètres'!$N:$N,MATCH($D2142,'Paramètres'!$M:$M,0))&amp;"",""))))),1,0))</f>
        <v/>
      </c>
      <c r="Q2142" s="6" t="str">
        <f>IF($K2142="","",IF(ISNUMBER(SEARCH("transfert-interne",IFERROR(INDEX('Paramètres'!$N:$N,MATCH($D2142,'Paramètres'!$M:$M,0))&amp;"",""))),0,IF($L2142="Débit",$K2142,IF($P2142=1,-$K2142,0))))</f>
        <v/>
      </c>
      <c r="R2142" s="6" t="str">
        <f>IF($K2142="","",IF($L2142="Crédit",$K2142,-$K2142))</f>
        <v/>
      </c>
      <c r="S2142" s="6" t="str">
        <f>IF($C2142="","",IFERROR(INDEX('Paramètres'!$H:$H,MATCH($C2142,'Paramètres'!$D:$D,0))&amp;"",""))</f>
        <v/>
      </c>
      <c r="T2142" s="6" t="str">
        <f>IF($K2142="","",IF($S2142="",0,IF(ISNUMBER(SEARCH("apport-exterieur",IFERROR(INDEX('Paramètres'!$N:$N,MATCH($D2142,'Paramètres'!$M:$M,0))&amp;"",""))),0,IF(OR(IFERROR(INDEX('Paramètres'!$I:$I,MATCH($C2142,'Paramètres'!$D:$D,0))&amp;"","")="Les deux",IFERROR(INDEX('Paramètres'!$I:$I,MATCH($C2142,'Paramètres'!$D:$D,0))&amp;"","")=IF($P2142=1,"Débit",$L2142)),-IF($P2142=1,-$K2142,$K2142),0))))</f>
        <v/>
      </c>
      <c r="U2142" s="6" t="str">
        <f>IF($K2142="","",IF(ISNUMBER(SEARCH("sortie-epargne",IFERROR(INDEX('Paramètres'!$N:$N,MATCH($D2142,'Paramètres'!$M:$M,0))&amp;"",""))),$K2142,0))</f>
        <v/>
      </c>
      <c r="V2142" s="6" t="str">
        <f>IF(AND($A2142&lt;&gt;"",$O2142=1,$L2142="Débit",N($Q2142)&gt;0,$A2142&gt;=Visualisation!$B$1,$A2142&lt;Visualisation!$D$1),MAX($V$1:V2141)+1,"")</f>
        <v/>
      </c>
    </row>
    <row r="2143" spans="1:22" x14ac:dyDescent="0.25">
      <c r="A2143" s="9"/>
      <c r="E2143" s="10"/>
      <c r="K2143" s="11" t="str">
        <f>IF($E2143="","",ROUND($E2143*IF(ISNA(MATCH($C2143,'Paramètres'!$D:$D,0)),1,IF(INDEX('Paramètres'!$J:$J,MATCH($C2143,'Paramètres'!$D:$D,0))="",1,INDEX('Paramètres'!$J:$J,MATCH($C2143,'Paramètres'!$D:$D,0)))),2))</f>
        <v/>
      </c>
      <c r="L2143" s="6" t="str">
        <f>IF($D2143="","",IF($F2143&lt;&gt;"",$F2143,IF(ISNA(MATCH($D2143,'Paramètres'!$M:$M,0)),"⚠ Type inconnu",IFERROR(INDEX('Paramètres'!$P:$P,MATCH($D2143,'Paramètres'!$M:$M,0))&amp;"",""))))</f>
        <v/>
      </c>
      <c r="M2143" s="6" t="str">
        <f>IF($D2143="","",IF(ISNA(MATCH($D2143,'Paramètres'!$M:$M,0)),"⚠ Type inconnu",IF($L2143="Crédit","",IFERROR(INDEX('Paramètres'!$O:$O,MATCH($D2143,'Paramètres'!$M:$M,0))&amp;"",""))))</f>
        <v/>
      </c>
      <c r="N2143" s="6" t="str">
        <f>IF($D2143="","",IFERROR(INDEX('Paramètres'!$Q:$Q,MATCH($D2143,'Paramètres'!$M:$M,0))&amp;"",""))</f>
        <v/>
      </c>
      <c r="O2143" s="6" t="str">
        <f>IF($A2143="","",IF(OR($J2143&lt;&gt;"x",$A2143&lt;=FinReleve),1,0))</f>
        <v/>
      </c>
      <c r="P2143" s="6" t="str">
        <f>IF($D2143="","",IF(AND($L2143="Crédit",OR(IFERROR(INDEX('Paramètres'!$O:$O,MATCH($D2143,'Paramètres'!$M:$M,0))&amp;"","")&lt;&gt;"",ISNUMBER(SEARCH("remboursement",IFERROR(INDEX('Paramètres'!$N:$N,MATCH($D2143,'Paramètres'!$M:$M,0))&amp;"",""))))),1,0))</f>
        <v/>
      </c>
      <c r="Q2143" s="6" t="str">
        <f>IF($K2143="","",IF(ISNUMBER(SEARCH("transfert-interne",IFERROR(INDEX('Paramètres'!$N:$N,MATCH($D2143,'Paramètres'!$M:$M,0))&amp;"",""))),0,IF($L2143="Débit",$K2143,IF($P2143=1,-$K2143,0))))</f>
        <v/>
      </c>
      <c r="R2143" s="6" t="str">
        <f>IF($K2143="","",IF($L2143="Crédit",$K2143,-$K2143))</f>
        <v/>
      </c>
      <c r="S2143" s="6" t="str">
        <f>IF($C2143="","",IFERROR(INDEX('Paramètres'!$H:$H,MATCH($C2143,'Paramètres'!$D:$D,0))&amp;"",""))</f>
        <v/>
      </c>
      <c r="T2143" s="6" t="str">
        <f>IF($K2143="","",IF($S2143="",0,IF(ISNUMBER(SEARCH("apport-exterieur",IFERROR(INDEX('Paramètres'!$N:$N,MATCH($D2143,'Paramètres'!$M:$M,0))&amp;"",""))),0,IF(OR(IFERROR(INDEX('Paramètres'!$I:$I,MATCH($C2143,'Paramètres'!$D:$D,0))&amp;"","")="Les deux",IFERROR(INDEX('Paramètres'!$I:$I,MATCH($C2143,'Paramètres'!$D:$D,0))&amp;"","")=IF($P2143=1,"Débit",$L2143)),-IF($P2143=1,-$K2143,$K2143),0))))</f>
        <v/>
      </c>
      <c r="U2143" s="6" t="str">
        <f>IF($K2143="","",IF(ISNUMBER(SEARCH("sortie-epargne",IFERROR(INDEX('Paramètres'!$N:$N,MATCH($D2143,'Paramètres'!$M:$M,0))&amp;"",""))),$K2143,0))</f>
        <v/>
      </c>
      <c r="V2143" s="6" t="str">
        <f>IF(AND($A2143&lt;&gt;"",$O2143=1,$L2143="Débit",N($Q2143)&gt;0,$A2143&gt;=Visualisation!$B$1,$A2143&lt;Visualisation!$D$1),MAX($V$1:V2142)+1,"")</f>
        <v/>
      </c>
    </row>
    <row r="2144" spans="1:22" x14ac:dyDescent="0.25">
      <c r="A2144" s="9"/>
      <c r="E2144" s="10"/>
      <c r="K2144" s="11" t="str">
        <f>IF($E2144="","",ROUND($E2144*IF(ISNA(MATCH($C2144,'Paramètres'!$D:$D,0)),1,IF(INDEX('Paramètres'!$J:$J,MATCH($C2144,'Paramètres'!$D:$D,0))="",1,INDEX('Paramètres'!$J:$J,MATCH($C2144,'Paramètres'!$D:$D,0)))),2))</f>
        <v/>
      </c>
      <c r="L2144" s="6" t="str">
        <f>IF($D2144="","",IF($F2144&lt;&gt;"",$F2144,IF(ISNA(MATCH($D2144,'Paramètres'!$M:$M,0)),"⚠ Type inconnu",IFERROR(INDEX('Paramètres'!$P:$P,MATCH($D2144,'Paramètres'!$M:$M,0))&amp;"",""))))</f>
        <v/>
      </c>
      <c r="M2144" s="6" t="str">
        <f>IF($D2144="","",IF(ISNA(MATCH($D2144,'Paramètres'!$M:$M,0)),"⚠ Type inconnu",IF($L2144="Crédit","",IFERROR(INDEX('Paramètres'!$O:$O,MATCH($D2144,'Paramètres'!$M:$M,0))&amp;"",""))))</f>
        <v/>
      </c>
      <c r="N2144" s="6" t="str">
        <f>IF($D2144="","",IFERROR(INDEX('Paramètres'!$Q:$Q,MATCH($D2144,'Paramètres'!$M:$M,0))&amp;"",""))</f>
        <v/>
      </c>
      <c r="O2144" s="6" t="str">
        <f>IF($A2144="","",IF(OR($J2144&lt;&gt;"x",$A2144&lt;=FinReleve),1,0))</f>
        <v/>
      </c>
      <c r="P2144" s="6" t="str">
        <f>IF($D2144="","",IF(AND($L2144="Crédit",OR(IFERROR(INDEX('Paramètres'!$O:$O,MATCH($D2144,'Paramètres'!$M:$M,0))&amp;"","")&lt;&gt;"",ISNUMBER(SEARCH("remboursement",IFERROR(INDEX('Paramètres'!$N:$N,MATCH($D2144,'Paramètres'!$M:$M,0))&amp;"",""))))),1,0))</f>
        <v/>
      </c>
      <c r="Q2144" s="6" t="str">
        <f>IF($K2144="","",IF(ISNUMBER(SEARCH("transfert-interne",IFERROR(INDEX('Paramètres'!$N:$N,MATCH($D2144,'Paramètres'!$M:$M,0))&amp;"",""))),0,IF($L2144="Débit",$K2144,IF($P2144=1,-$K2144,0))))</f>
        <v/>
      </c>
      <c r="R2144" s="6" t="str">
        <f>IF($K2144="","",IF($L2144="Crédit",$K2144,-$K2144))</f>
        <v/>
      </c>
      <c r="S2144" s="6" t="str">
        <f>IF($C2144="","",IFERROR(INDEX('Paramètres'!$H:$H,MATCH($C2144,'Paramètres'!$D:$D,0))&amp;"",""))</f>
        <v/>
      </c>
      <c r="T2144" s="6" t="str">
        <f>IF($K2144="","",IF($S2144="",0,IF(ISNUMBER(SEARCH("apport-exterieur",IFERROR(INDEX('Paramètres'!$N:$N,MATCH($D2144,'Paramètres'!$M:$M,0))&amp;"",""))),0,IF(OR(IFERROR(INDEX('Paramètres'!$I:$I,MATCH($C2144,'Paramètres'!$D:$D,0))&amp;"","")="Les deux",IFERROR(INDEX('Paramètres'!$I:$I,MATCH($C2144,'Paramètres'!$D:$D,0))&amp;"","")=IF($P2144=1,"Débit",$L2144)),-IF($P2144=1,-$K2144,$K2144),0))))</f>
        <v/>
      </c>
      <c r="U2144" s="6" t="str">
        <f>IF($K2144="","",IF(ISNUMBER(SEARCH("sortie-epargne",IFERROR(INDEX('Paramètres'!$N:$N,MATCH($D2144,'Paramètres'!$M:$M,0))&amp;"",""))),$K2144,0))</f>
        <v/>
      </c>
      <c r="V2144" s="6" t="str">
        <f>IF(AND($A2144&lt;&gt;"",$O2144=1,$L2144="Débit",N($Q2144)&gt;0,$A2144&gt;=Visualisation!$B$1,$A2144&lt;Visualisation!$D$1),MAX($V$1:V2143)+1,"")</f>
        <v/>
      </c>
    </row>
    <row r="2145" spans="1:22" x14ac:dyDescent="0.25">
      <c r="A2145" s="9"/>
      <c r="E2145" s="10"/>
      <c r="K2145" s="11" t="str">
        <f>IF($E2145="","",ROUND($E2145*IF(ISNA(MATCH($C2145,'Paramètres'!$D:$D,0)),1,IF(INDEX('Paramètres'!$J:$J,MATCH($C2145,'Paramètres'!$D:$D,0))="",1,INDEX('Paramètres'!$J:$J,MATCH($C2145,'Paramètres'!$D:$D,0)))),2))</f>
        <v/>
      </c>
      <c r="L2145" s="6" t="str">
        <f>IF($D2145="","",IF($F2145&lt;&gt;"",$F2145,IF(ISNA(MATCH($D2145,'Paramètres'!$M:$M,0)),"⚠ Type inconnu",IFERROR(INDEX('Paramètres'!$P:$P,MATCH($D2145,'Paramètres'!$M:$M,0))&amp;"",""))))</f>
        <v/>
      </c>
      <c r="M2145" s="6" t="str">
        <f>IF($D2145="","",IF(ISNA(MATCH($D2145,'Paramètres'!$M:$M,0)),"⚠ Type inconnu",IF($L2145="Crédit","",IFERROR(INDEX('Paramètres'!$O:$O,MATCH($D2145,'Paramètres'!$M:$M,0))&amp;"",""))))</f>
        <v/>
      </c>
      <c r="N2145" s="6" t="str">
        <f>IF($D2145="","",IFERROR(INDEX('Paramètres'!$Q:$Q,MATCH($D2145,'Paramètres'!$M:$M,0))&amp;"",""))</f>
        <v/>
      </c>
      <c r="O2145" s="6" t="str">
        <f>IF($A2145="","",IF(OR($J2145&lt;&gt;"x",$A2145&lt;=FinReleve),1,0))</f>
        <v/>
      </c>
      <c r="P2145" s="6" t="str">
        <f>IF($D2145="","",IF(AND($L2145="Crédit",OR(IFERROR(INDEX('Paramètres'!$O:$O,MATCH($D2145,'Paramètres'!$M:$M,0))&amp;"","")&lt;&gt;"",ISNUMBER(SEARCH("remboursement",IFERROR(INDEX('Paramètres'!$N:$N,MATCH($D2145,'Paramètres'!$M:$M,0))&amp;"",""))))),1,0))</f>
        <v/>
      </c>
      <c r="Q2145" s="6" t="str">
        <f>IF($K2145="","",IF(ISNUMBER(SEARCH("transfert-interne",IFERROR(INDEX('Paramètres'!$N:$N,MATCH($D2145,'Paramètres'!$M:$M,0))&amp;"",""))),0,IF($L2145="Débit",$K2145,IF($P2145=1,-$K2145,0))))</f>
        <v/>
      </c>
      <c r="R2145" s="6" t="str">
        <f>IF($K2145="","",IF($L2145="Crédit",$K2145,-$K2145))</f>
        <v/>
      </c>
      <c r="S2145" s="6" t="str">
        <f>IF($C2145="","",IFERROR(INDEX('Paramètres'!$H:$H,MATCH($C2145,'Paramètres'!$D:$D,0))&amp;"",""))</f>
        <v/>
      </c>
      <c r="T2145" s="6" t="str">
        <f>IF($K2145="","",IF($S2145="",0,IF(ISNUMBER(SEARCH("apport-exterieur",IFERROR(INDEX('Paramètres'!$N:$N,MATCH($D2145,'Paramètres'!$M:$M,0))&amp;"",""))),0,IF(OR(IFERROR(INDEX('Paramètres'!$I:$I,MATCH($C2145,'Paramètres'!$D:$D,0))&amp;"","")="Les deux",IFERROR(INDEX('Paramètres'!$I:$I,MATCH($C2145,'Paramètres'!$D:$D,0))&amp;"","")=IF($P2145=1,"Débit",$L2145)),-IF($P2145=1,-$K2145,$K2145),0))))</f>
        <v/>
      </c>
      <c r="U2145" s="6" t="str">
        <f>IF($K2145="","",IF(ISNUMBER(SEARCH("sortie-epargne",IFERROR(INDEX('Paramètres'!$N:$N,MATCH($D2145,'Paramètres'!$M:$M,0))&amp;"",""))),$K2145,0))</f>
        <v/>
      </c>
      <c r="V2145" s="6" t="str">
        <f>IF(AND($A2145&lt;&gt;"",$O2145=1,$L2145="Débit",N($Q2145)&gt;0,$A2145&gt;=Visualisation!$B$1,$A2145&lt;Visualisation!$D$1),MAX($V$1:V2144)+1,"")</f>
        <v/>
      </c>
    </row>
    <row r="2146" spans="1:22" x14ac:dyDescent="0.25">
      <c r="A2146" s="9"/>
      <c r="E2146" s="10"/>
      <c r="K2146" s="11" t="str">
        <f>IF($E2146="","",ROUND($E2146*IF(ISNA(MATCH($C2146,'Paramètres'!$D:$D,0)),1,IF(INDEX('Paramètres'!$J:$J,MATCH($C2146,'Paramètres'!$D:$D,0))="",1,INDEX('Paramètres'!$J:$J,MATCH($C2146,'Paramètres'!$D:$D,0)))),2))</f>
        <v/>
      </c>
      <c r="L2146" s="6" t="str">
        <f>IF($D2146="","",IF($F2146&lt;&gt;"",$F2146,IF(ISNA(MATCH($D2146,'Paramètres'!$M:$M,0)),"⚠ Type inconnu",IFERROR(INDEX('Paramètres'!$P:$P,MATCH($D2146,'Paramètres'!$M:$M,0))&amp;"",""))))</f>
        <v/>
      </c>
      <c r="M2146" s="6" t="str">
        <f>IF($D2146="","",IF(ISNA(MATCH($D2146,'Paramètres'!$M:$M,0)),"⚠ Type inconnu",IF($L2146="Crédit","",IFERROR(INDEX('Paramètres'!$O:$O,MATCH($D2146,'Paramètres'!$M:$M,0))&amp;"",""))))</f>
        <v/>
      </c>
      <c r="N2146" s="6" t="str">
        <f>IF($D2146="","",IFERROR(INDEX('Paramètres'!$Q:$Q,MATCH($D2146,'Paramètres'!$M:$M,0))&amp;"",""))</f>
        <v/>
      </c>
      <c r="O2146" s="6" t="str">
        <f>IF($A2146="","",IF(OR($J2146&lt;&gt;"x",$A2146&lt;=FinReleve),1,0))</f>
        <v/>
      </c>
      <c r="P2146" s="6" t="str">
        <f>IF($D2146="","",IF(AND($L2146="Crédit",OR(IFERROR(INDEX('Paramètres'!$O:$O,MATCH($D2146,'Paramètres'!$M:$M,0))&amp;"","")&lt;&gt;"",ISNUMBER(SEARCH("remboursement",IFERROR(INDEX('Paramètres'!$N:$N,MATCH($D2146,'Paramètres'!$M:$M,0))&amp;"",""))))),1,0))</f>
        <v/>
      </c>
      <c r="Q2146" s="6" t="str">
        <f>IF($K2146="","",IF(ISNUMBER(SEARCH("transfert-interne",IFERROR(INDEX('Paramètres'!$N:$N,MATCH($D2146,'Paramètres'!$M:$M,0))&amp;"",""))),0,IF($L2146="Débit",$K2146,IF($P2146=1,-$K2146,0))))</f>
        <v/>
      </c>
      <c r="R2146" s="6" t="str">
        <f>IF($K2146="","",IF($L2146="Crédit",$K2146,-$K2146))</f>
        <v/>
      </c>
      <c r="S2146" s="6" t="str">
        <f>IF($C2146="","",IFERROR(INDEX('Paramètres'!$H:$H,MATCH($C2146,'Paramètres'!$D:$D,0))&amp;"",""))</f>
        <v/>
      </c>
      <c r="T2146" s="6" t="str">
        <f>IF($K2146="","",IF($S2146="",0,IF(ISNUMBER(SEARCH("apport-exterieur",IFERROR(INDEX('Paramètres'!$N:$N,MATCH($D2146,'Paramètres'!$M:$M,0))&amp;"",""))),0,IF(OR(IFERROR(INDEX('Paramètres'!$I:$I,MATCH($C2146,'Paramètres'!$D:$D,0))&amp;"","")="Les deux",IFERROR(INDEX('Paramètres'!$I:$I,MATCH($C2146,'Paramètres'!$D:$D,0))&amp;"","")=IF($P2146=1,"Débit",$L2146)),-IF($P2146=1,-$K2146,$K2146),0))))</f>
        <v/>
      </c>
      <c r="U2146" s="6" t="str">
        <f>IF($K2146="","",IF(ISNUMBER(SEARCH("sortie-epargne",IFERROR(INDEX('Paramètres'!$N:$N,MATCH($D2146,'Paramètres'!$M:$M,0))&amp;"",""))),$K2146,0))</f>
        <v/>
      </c>
      <c r="V2146" s="6" t="str">
        <f>IF(AND($A2146&lt;&gt;"",$O2146=1,$L2146="Débit",N($Q2146)&gt;0,$A2146&gt;=Visualisation!$B$1,$A2146&lt;Visualisation!$D$1),MAX($V$1:V2145)+1,"")</f>
        <v/>
      </c>
    </row>
    <row r="2147" spans="1:22" x14ac:dyDescent="0.25">
      <c r="A2147" s="9"/>
      <c r="E2147" s="10"/>
      <c r="K2147" s="11" t="str">
        <f>IF($E2147="","",ROUND($E2147*IF(ISNA(MATCH($C2147,'Paramètres'!$D:$D,0)),1,IF(INDEX('Paramètres'!$J:$J,MATCH($C2147,'Paramètres'!$D:$D,0))="",1,INDEX('Paramètres'!$J:$J,MATCH($C2147,'Paramètres'!$D:$D,0)))),2))</f>
        <v/>
      </c>
      <c r="L2147" s="6" t="str">
        <f>IF($D2147="","",IF($F2147&lt;&gt;"",$F2147,IF(ISNA(MATCH($D2147,'Paramètres'!$M:$M,0)),"⚠ Type inconnu",IFERROR(INDEX('Paramètres'!$P:$P,MATCH($D2147,'Paramètres'!$M:$M,0))&amp;"",""))))</f>
        <v/>
      </c>
      <c r="M2147" s="6" t="str">
        <f>IF($D2147="","",IF(ISNA(MATCH($D2147,'Paramètres'!$M:$M,0)),"⚠ Type inconnu",IF($L2147="Crédit","",IFERROR(INDEX('Paramètres'!$O:$O,MATCH($D2147,'Paramètres'!$M:$M,0))&amp;"",""))))</f>
        <v/>
      </c>
      <c r="N2147" s="6" t="str">
        <f>IF($D2147="","",IFERROR(INDEX('Paramètres'!$Q:$Q,MATCH($D2147,'Paramètres'!$M:$M,0))&amp;"",""))</f>
        <v/>
      </c>
      <c r="O2147" s="6" t="str">
        <f>IF($A2147="","",IF(OR($J2147&lt;&gt;"x",$A2147&lt;=FinReleve),1,0))</f>
        <v/>
      </c>
      <c r="P2147" s="6" t="str">
        <f>IF($D2147="","",IF(AND($L2147="Crédit",OR(IFERROR(INDEX('Paramètres'!$O:$O,MATCH($D2147,'Paramètres'!$M:$M,0))&amp;"","")&lt;&gt;"",ISNUMBER(SEARCH("remboursement",IFERROR(INDEX('Paramètres'!$N:$N,MATCH($D2147,'Paramètres'!$M:$M,0))&amp;"",""))))),1,0))</f>
        <v/>
      </c>
      <c r="Q2147" s="6" t="str">
        <f>IF($K2147="","",IF(ISNUMBER(SEARCH("transfert-interne",IFERROR(INDEX('Paramètres'!$N:$N,MATCH($D2147,'Paramètres'!$M:$M,0))&amp;"",""))),0,IF($L2147="Débit",$K2147,IF($P2147=1,-$K2147,0))))</f>
        <v/>
      </c>
      <c r="R2147" s="6" t="str">
        <f>IF($K2147="","",IF($L2147="Crédit",$K2147,-$K2147))</f>
        <v/>
      </c>
      <c r="S2147" s="6" t="str">
        <f>IF($C2147="","",IFERROR(INDEX('Paramètres'!$H:$H,MATCH($C2147,'Paramètres'!$D:$D,0))&amp;"",""))</f>
        <v/>
      </c>
      <c r="T2147" s="6" t="str">
        <f>IF($K2147="","",IF($S2147="",0,IF(ISNUMBER(SEARCH("apport-exterieur",IFERROR(INDEX('Paramètres'!$N:$N,MATCH($D2147,'Paramètres'!$M:$M,0))&amp;"",""))),0,IF(OR(IFERROR(INDEX('Paramètres'!$I:$I,MATCH($C2147,'Paramètres'!$D:$D,0))&amp;"","")="Les deux",IFERROR(INDEX('Paramètres'!$I:$I,MATCH($C2147,'Paramètres'!$D:$D,0))&amp;"","")=IF($P2147=1,"Débit",$L2147)),-IF($P2147=1,-$K2147,$K2147),0))))</f>
        <v/>
      </c>
      <c r="U2147" s="6" t="str">
        <f>IF($K2147="","",IF(ISNUMBER(SEARCH("sortie-epargne",IFERROR(INDEX('Paramètres'!$N:$N,MATCH($D2147,'Paramètres'!$M:$M,0))&amp;"",""))),$K2147,0))</f>
        <v/>
      </c>
      <c r="V2147" s="6" t="str">
        <f>IF(AND($A2147&lt;&gt;"",$O2147=1,$L2147="Débit",N($Q2147)&gt;0,$A2147&gt;=Visualisation!$B$1,$A2147&lt;Visualisation!$D$1),MAX($V$1:V2146)+1,"")</f>
        <v/>
      </c>
    </row>
    <row r="2148" spans="1:22" x14ac:dyDescent="0.25">
      <c r="A2148" s="9"/>
      <c r="E2148" s="10"/>
      <c r="K2148" s="11" t="str">
        <f>IF($E2148="","",ROUND($E2148*IF(ISNA(MATCH($C2148,'Paramètres'!$D:$D,0)),1,IF(INDEX('Paramètres'!$J:$J,MATCH($C2148,'Paramètres'!$D:$D,0))="",1,INDEX('Paramètres'!$J:$J,MATCH($C2148,'Paramètres'!$D:$D,0)))),2))</f>
        <v/>
      </c>
      <c r="L2148" s="6" t="str">
        <f>IF($D2148="","",IF($F2148&lt;&gt;"",$F2148,IF(ISNA(MATCH($D2148,'Paramètres'!$M:$M,0)),"⚠ Type inconnu",IFERROR(INDEX('Paramètres'!$P:$P,MATCH($D2148,'Paramètres'!$M:$M,0))&amp;"",""))))</f>
        <v/>
      </c>
      <c r="M2148" s="6" t="str">
        <f>IF($D2148="","",IF(ISNA(MATCH($D2148,'Paramètres'!$M:$M,0)),"⚠ Type inconnu",IF($L2148="Crédit","",IFERROR(INDEX('Paramètres'!$O:$O,MATCH($D2148,'Paramètres'!$M:$M,0))&amp;"",""))))</f>
        <v/>
      </c>
      <c r="N2148" s="6" t="str">
        <f>IF($D2148="","",IFERROR(INDEX('Paramètres'!$Q:$Q,MATCH($D2148,'Paramètres'!$M:$M,0))&amp;"",""))</f>
        <v/>
      </c>
      <c r="O2148" s="6" t="str">
        <f>IF($A2148="","",IF(OR($J2148&lt;&gt;"x",$A2148&lt;=FinReleve),1,0))</f>
        <v/>
      </c>
      <c r="P2148" s="6" t="str">
        <f>IF($D2148="","",IF(AND($L2148="Crédit",OR(IFERROR(INDEX('Paramètres'!$O:$O,MATCH($D2148,'Paramètres'!$M:$M,0))&amp;"","")&lt;&gt;"",ISNUMBER(SEARCH("remboursement",IFERROR(INDEX('Paramètres'!$N:$N,MATCH($D2148,'Paramètres'!$M:$M,0))&amp;"",""))))),1,0))</f>
        <v/>
      </c>
      <c r="Q2148" s="6" t="str">
        <f>IF($K2148="","",IF(ISNUMBER(SEARCH("transfert-interne",IFERROR(INDEX('Paramètres'!$N:$N,MATCH($D2148,'Paramètres'!$M:$M,0))&amp;"",""))),0,IF($L2148="Débit",$K2148,IF($P2148=1,-$K2148,0))))</f>
        <v/>
      </c>
      <c r="R2148" s="6" t="str">
        <f>IF($K2148="","",IF($L2148="Crédit",$K2148,-$K2148))</f>
        <v/>
      </c>
      <c r="S2148" s="6" t="str">
        <f>IF($C2148="","",IFERROR(INDEX('Paramètres'!$H:$H,MATCH($C2148,'Paramètres'!$D:$D,0))&amp;"",""))</f>
        <v/>
      </c>
      <c r="T2148" s="6" t="str">
        <f>IF($K2148="","",IF($S2148="",0,IF(ISNUMBER(SEARCH("apport-exterieur",IFERROR(INDEX('Paramètres'!$N:$N,MATCH($D2148,'Paramètres'!$M:$M,0))&amp;"",""))),0,IF(OR(IFERROR(INDEX('Paramètres'!$I:$I,MATCH($C2148,'Paramètres'!$D:$D,0))&amp;"","")="Les deux",IFERROR(INDEX('Paramètres'!$I:$I,MATCH($C2148,'Paramètres'!$D:$D,0))&amp;"","")=IF($P2148=1,"Débit",$L2148)),-IF($P2148=1,-$K2148,$K2148),0))))</f>
        <v/>
      </c>
      <c r="U2148" s="6" t="str">
        <f>IF($K2148="","",IF(ISNUMBER(SEARCH("sortie-epargne",IFERROR(INDEX('Paramètres'!$N:$N,MATCH($D2148,'Paramètres'!$M:$M,0))&amp;"",""))),$K2148,0))</f>
        <v/>
      </c>
      <c r="V2148" s="6" t="str">
        <f>IF(AND($A2148&lt;&gt;"",$O2148=1,$L2148="Débit",N($Q2148)&gt;0,$A2148&gt;=Visualisation!$B$1,$A2148&lt;Visualisation!$D$1),MAX($V$1:V2147)+1,"")</f>
        <v/>
      </c>
    </row>
    <row r="2149" spans="1:22" x14ac:dyDescent="0.25">
      <c r="A2149" s="9"/>
      <c r="E2149" s="10"/>
      <c r="K2149" s="11" t="str">
        <f>IF($E2149="","",ROUND($E2149*IF(ISNA(MATCH($C2149,'Paramètres'!$D:$D,0)),1,IF(INDEX('Paramètres'!$J:$J,MATCH($C2149,'Paramètres'!$D:$D,0))="",1,INDEX('Paramètres'!$J:$J,MATCH($C2149,'Paramètres'!$D:$D,0)))),2))</f>
        <v/>
      </c>
      <c r="L2149" s="6" t="str">
        <f>IF($D2149="","",IF($F2149&lt;&gt;"",$F2149,IF(ISNA(MATCH($D2149,'Paramètres'!$M:$M,0)),"⚠ Type inconnu",IFERROR(INDEX('Paramètres'!$P:$P,MATCH($D2149,'Paramètres'!$M:$M,0))&amp;"",""))))</f>
        <v/>
      </c>
      <c r="M2149" s="6" t="str">
        <f>IF($D2149="","",IF(ISNA(MATCH($D2149,'Paramètres'!$M:$M,0)),"⚠ Type inconnu",IF($L2149="Crédit","",IFERROR(INDEX('Paramètres'!$O:$O,MATCH($D2149,'Paramètres'!$M:$M,0))&amp;"",""))))</f>
        <v/>
      </c>
      <c r="N2149" s="6" t="str">
        <f>IF($D2149="","",IFERROR(INDEX('Paramètres'!$Q:$Q,MATCH($D2149,'Paramètres'!$M:$M,0))&amp;"",""))</f>
        <v/>
      </c>
      <c r="O2149" s="6" t="str">
        <f>IF($A2149="","",IF(OR($J2149&lt;&gt;"x",$A2149&lt;=FinReleve),1,0))</f>
        <v/>
      </c>
      <c r="P2149" s="6" t="str">
        <f>IF($D2149="","",IF(AND($L2149="Crédit",OR(IFERROR(INDEX('Paramètres'!$O:$O,MATCH($D2149,'Paramètres'!$M:$M,0))&amp;"","")&lt;&gt;"",ISNUMBER(SEARCH("remboursement",IFERROR(INDEX('Paramètres'!$N:$N,MATCH($D2149,'Paramètres'!$M:$M,0))&amp;"",""))))),1,0))</f>
        <v/>
      </c>
      <c r="Q2149" s="6" t="str">
        <f>IF($K2149="","",IF(ISNUMBER(SEARCH("transfert-interne",IFERROR(INDEX('Paramètres'!$N:$N,MATCH($D2149,'Paramètres'!$M:$M,0))&amp;"",""))),0,IF($L2149="Débit",$K2149,IF($P2149=1,-$K2149,0))))</f>
        <v/>
      </c>
      <c r="R2149" s="6" t="str">
        <f>IF($K2149="","",IF($L2149="Crédit",$K2149,-$K2149))</f>
        <v/>
      </c>
      <c r="S2149" s="6" t="str">
        <f>IF($C2149="","",IFERROR(INDEX('Paramètres'!$H:$H,MATCH($C2149,'Paramètres'!$D:$D,0))&amp;"",""))</f>
        <v/>
      </c>
      <c r="T2149" s="6" t="str">
        <f>IF($K2149="","",IF($S2149="",0,IF(ISNUMBER(SEARCH("apport-exterieur",IFERROR(INDEX('Paramètres'!$N:$N,MATCH($D2149,'Paramètres'!$M:$M,0))&amp;"",""))),0,IF(OR(IFERROR(INDEX('Paramètres'!$I:$I,MATCH($C2149,'Paramètres'!$D:$D,0))&amp;"","")="Les deux",IFERROR(INDEX('Paramètres'!$I:$I,MATCH($C2149,'Paramètres'!$D:$D,0))&amp;"","")=IF($P2149=1,"Débit",$L2149)),-IF($P2149=1,-$K2149,$K2149),0))))</f>
        <v/>
      </c>
      <c r="U2149" s="6" t="str">
        <f>IF($K2149="","",IF(ISNUMBER(SEARCH("sortie-epargne",IFERROR(INDEX('Paramètres'!$N:$N,MATCH($D2149,'Paramètres'!$M:$M,0))&amp;"",""))),$K2149,0))</f>
        <v/>
      </c>
      <c r="V2149" s="6" t="str">
        <f>IF(AND($A2149&lt;&gt;"",$O2149=1,$L2149="Débit",N($Q2149)&gt;0,$A2149&gt;=Visualisation!$B$1,$A2149&lt;Visualisation!$D$1),MAX($V$1:V2148)+1,"")</f>
        <v/>
      </c>
    </row>
    <row r="2150" spans="1:22" x14ac:dyDescent="0.25">
      <c r="A2150" s="9"/>
      <c r="E2150" s="10"/>
      <c r="K2150" s="11" t="str">
        <f>IF($E2150="","",ROUND($E2150*IF(ISNA(MATCH($C2150,'Paramètres'!$D:$D,0)),1,IF(INDEX('Paramètres'!$J:$J,MATCH($C2150,'Paramètres'!$D:$D,0))="",1,INDEX('Paramètres'!$J:$J,MATCH($C2150,'Paramètres'!$D:$D,0)))),2))</f>
        <v/>
      </c>
      <c r="L2150" s="6" t="str">
        <f>IF($D2150="","",IF($F2150&lt;&gt;"",$F2150,IF(ISNA(MATCH($D2150,'Paramètres'!$M:$M,0)),"⚠ Type inconnu",IFERROR(INDEX('Paramètres'!$P:$P,MATCH($D2150,'Paramètres'!$M:$M,0))&amp;"",""))))</f>
        <v/>
      </c>
      <c r="M2150" s="6" t="str">
        <f>IF($D2150="","",IF(ISNA(MATCH($D2150,'Paramètres'!$M:$M,0)),"⚠ Type inconnu",IF($L2150="Crédit","",IFERROR(INDEX('Paramètres'!$O:$O,MATCH($D2150,'Paramètres'!$M:$M,0))&amp;"",""))))</f>
        <v/>
      </c>
      <c r="N2150" s="6" t="str">
        <f>IF($D2150="","",IFERROR(INDEX('Paramètres'!$Q:$Q,MATCH($D2150,'Paramètres'!$M:$M,0))&amp;"",""))</f>
        <v/>
      </c>
      <c r="O2150" s="6" t="str">
        <f>IF($A2150="","",IF(OR($J2150&lt;&gt;"x",$A2150&lt;=FinReleve),1,0))</f>
        <v/>
      </c>
      <c r="P2150" s="6" t="str">
        <f>IF($D2150="","",IF(AND($L2150="Crédit",OR(IFERROR(INDEX('Paramètres'!$O:$O,MATCH($D2150,'Paramètres'!$M:$M,0))&amp;"","")&lt;&gt;"",ISNUMBER(SEARCH("remboursement",IFERROR(INDEX('Paramètres'!$N:$N,MATCH($D2150,'Paramètres'!$M:$M,0))&amp;"",""))))),1,0))</f>
        <v/>
      </c>
      <c r="Q2150" s="6" t="str">
        <f>IF($K2150="","",IF(ISNUMBER(SEARCH("transfert-interne",IFERROR(INDEX('Paramètres'!$N:$N,MATCH($D2150,'Paramètres'!$M:$M,0))&amp;"",""))),0,IF($L2150="Débit",$K2150,IF($P2150=1,-$K2150,0))))</f>
        <v/>
      </c>
      <c r="R2150" s="6" t="str">
        <f>IF($K2150="","",IF($L2150="Crédit",$K2150,-$K2150))</f>
        <v/>
      </c>
      <c r="S2150" s="6" t="str">
        <f>IF($C2150="","",IFERROR(INDEX('Paramètres'!$H:$H,MATCH($C2150,'Paramètres'!$D:$D,0))&amp;"",""))</f>
        <v/>
      </c>
      <c r="T2150" s="6" t="str">
        <f>IF($K2150="","",IF($S2150="",0,IF(ISNUMBER(SEARCH("apport-exterieur",IFERROR(INDEX('Paramètres'!$N:$N,MATCH($D2150,'Paramètres'!$M:$M,0))&amp;"",""))),0,IF(OR(IFERROR(INDEX('Paramètres'!$I:$I,MATCH($C2150,'Paramètres'!$D:$D,0))&amp;"","")="Les deux",IFERROR(INDEX('Paramètres'!$I:$I,MATCH($C2150,'Paramètres'!$D:$D,0))&amp;"","")=IF($P2150=1,"Débit",$L2150)),-IF($P2150=1,-$K2150,$K2150),0))))</f>
        <v/>
      </c>
      <c r="U2150" s="6" t="str">
        <f>IF($K2150="","",IF(ISNUMBER(SEARCH("sortie-epargne",IFERROR(INDEX('Paramètres'!$N:$N,MATCH($D2150,'Paramètres'!$M:$M,0))&amp;"",""))),$K2150,0))</f>
        <v/>
      </c>
      <c r="V2150" s="6" t="str">
        <f>IF(AND($A2150&lt;&gt;"",$O2150=1,$L2150="Débit",N($Q2150)&gt;0,$A2150&gt;=Visualisation!$B$1,$A2150&lt;Visualisation!$D$1),MAX($V$1:V2149)+1,"")</f>
        <v/>
      </c>
    </row>
    <row r="2151" spans="1:22" x14ac:dyDescent="0.25">
      <c r="A2151" s="9"/>
      <c r="E2151" s="10"/>
      <c r="K2151" s="11" t="str">
        <f>IF($E2151="","",ROUND($E2151*IF(ISNA(MATCH($C2151,'Paramètres'!$D:$D,0)),1,IF(INDEX('Paramètres'!$J:$J,MATCH($C2151,'Paramètres'!$D:$D,0))="",1,INDEX('Paramètres'!$J:$J,MATCH($C2151,'Paramètres'!$D:$D,0)))),2))</f>
        <v/>
      </c>
      <c r="L2151" s="6" t="str">
        <f>IF($D2151="","",IF($F2151&lt;&gt;"",$F2151,IF(ISNA(MATCH($D2151,'Paramètres'!$M:$M,0)),"⚠ Type inconnu",IFERROR(INDEX('Paramètres'!$P:$P,MATCH($D2151,'Paramètres'!$M:$M,0))&amp;"",""))))</f>
        <v/>
      </c>
      <c r="M2151" s="6" t="str">
        <f>IF($D2151="","",IF(ISNA(MATCH($D2151,'Paramètres'!$M:$M,0)),"⚠ Type inconnu",IF($L2151="Crédit","",IFERROR(INDEX('Paramètres'!$O:$O,MATCH($D2151,'Paramètres'!$M:$M,0))&amp;"",""))))</f>
        <v/>
      </c>
      <c r="N2151" s="6" t="str">
        <f>IF($D2151="","",IFERROR(INDEX('Paramètres'!$Q:$Q,MATCH($D2151,'Paramètres'!$M:$M,0))&amp;"",""))</f>
        <v/>
      </c>
      <c r="O2151" s="6" t="str">
        <f>IF($A2151="","",IF(OR($J2151&lt;&gt;"x",$A2151&lt;=FinReleve),1,0))</f>
        <v/>
      </c>
      <c r="P2151" s="6" t="str">
        <f>IF($D2151="","",IF(AND($L2151="Crédit",OR(IFERROR(INDEX('Paramètres'!$O:$O,MATCH($D2151,'Paramètres'!$M:$M,0))&amp;"","")&lt;&gt;"",ISNUMBER(SEARCH("remboursement",IFERROR(INDEX('Paramètres'!$N:$N,MATCH($D2151,'Paramètres'!$M:$M,0))&amp;"",""))))),1,0))</f>
        <v/>
      </c>
      <c r="Q2151" s="6" t="str">
        <f>IF($K2151="","",IF(ISNUMBER(SEARCH("transfert-interne",IFERROR(INDEX('Paramètres'!$N:$N,MATCH($D2151,'Paramètres'!$M:$M,0))&amp;"",""))),0,IF($L2151="Débit",$K2151,IF($P2151=1,-$K2151,0))))</f>
        <v/>
      </c>
      <c r="R2151" s="6" t="str">
        <f>IF($K2151="","",IF($L2151="Crédit",$K2151,-$K2151))</f>
        <v/>
      </c>
      <c r="S2151" s="6" t="str">
        <f>IF($C2151="","",IFERROR(INDEX('Paramètres'!$H:$H,MATCH($C2151,'Paramètres'!$D:$D,0))&amp;"",""))</f>
        <v/>
      </c>
      <c r="T2151" s="6" t="str">
        <f>IF($K2151="","",IF($S2151="",0,IF(ISNUMBER(SEARCH("apport-exterieur",IFERROR(INDEX('Paramètres'!$N:$N,MATCH($D2151,'Paramètres'!$M:$M,0))&amp;"",""))),0,IF(OR(IFERROR(INDEX('Paramètres'!$I:$I,MATCH($C2151,'Paramètres'!$D:$D,0))&amp;"","")="Les deux",IFERROR(INDEX('Paramètres'!$I:$I,MATCH($C2151,'Paramètres'!$D:$D,0))&amp;"","")=IF($P2151=1,"Débit",$L2151)),-IF($P2151=1,-$K2151,$K2151),0))))</f>
        <v/>
      </c>
      <c r="U2151" s="6" t="str">
        <f>IF($K2151="","",IF(ISNUMBER(SEARCH("sortie-epargne",IFERROR(INDEX('Paramètres'!$N:$N,MATCH($D2151,'Paramètres'!$M:$M,0))&amp;"",""))),$K2151,0))</f>
        <v/>
      </c>
      <c r="V2151" s="6" t="str">
        <f>IF(AND($A2151&lt;&gt;"",$O2151=1,$L2151="Débit",N($Q2151)&gt;0,$A2151&gt;=Visualisation!$B$1,$A2151&lt;Visualisation!$D$1),MAX($V$1:V2150)+1,"")</f>
        <v/>
      </c>
    </row>
    <row r="2152" spans="1:22" x14ac:dyDescent="0.25">
      <c r="A2152" s="9"/>
      <c r="E2152" s="10"/>
      <c r="K2152" s="11" t="str">
        <f>IF($E2152="","",ROUND($E2152*IF(ISNA(MATCH($C2152,'Paramètres'!$D:$D,0)),1,IF(INDEX('Paramètres'!$J:$J,MATCH($C2152,'Paramètres'!$D:$D,0))="",1,INDEX('Paramètres'!$J:$J,MATCH($C2152,'Paramètres'!$D:$D,0)))),2))</f>
        <v/>
      </c>
      <c r="L2152" s="6" t="str">
        <f>IF($D2152="","",IF($F2152&lt;&gt;"",$F2152,IF(ISNA(MATCH($D2152,'Paramètres'!$M:$M,0)),"⚠ Type inconnu",IFERROR(INDEX('Paramètres'!$P:$P,MATCH($D2152,'Paramètres'!$M:$M,0))&amp;"",""))))</f>
        <v/>
      </c>
      <c r="M2152" s="6" t="str">
        <f>IF($D2152="","",IF(ISNA(MATCH($D2152,'Paramètres'!$M:$M,0)),"⚠ Type inconnu",IF($L2152="Crédit","",IFERROR(INDEX('Paramètres'!$O:$O,MATCH($D2152,'Paramètres'!$M:$M,0))&amp;"",""))))</f>
        <v/>
      </c>
      <c r="N2152" s="6" t="str">
        <f>IF($D2152="","",IFERROR(INDEX('Paramètres'!$Q:$Q,MATCH($D2152,'Paramètres'!$M:$M,0))&amp;"",""))</f>
        <v/>
      </c>
      <c r="O2152" s="6" t="str">
        <f>IF($A2152="","",IF(OR($J2152&lt;&gt;"x",$A2152&lt;=FinReleve),1,0))</f>
        <v/>
      </c>
      <c r="P2152" s="6" t="str">
        <f>IF($D2152="","",IF(AND($L2152="Crédit",OR(IFERROR(INDEX('Paramètres'!$O:$O,MATCH($D2152,'Paramètres'!$M:$M,0))&amp;"","")&lt;&gt;"",ISNUMBER(SEARCH("remboursement",IFERROR(INDEX('Paramètres'!$N:$N,MATCH($D2152,'Paramètres'!$M:$M,0))&amp;"",""))))),1,0))</f>
        <v/>
      </c>
      <c r="Q2152" s="6" t="str">
        <f>IF($K2152="","",IF(ISNUMBER(SEARCH("transfert-interne",IFERROR(INDEX('Paramètres'!$N:$N,MATCH($D2152,'Paramètres'!$M:$M,0))&amp;"",""))),0,IF($L2152="Débit",$K2152,IF($P2152=1,-$K2152,0))))</f>
        <v/>
      </c>
      <c r="R2152" s="6" t="str">
        <f>IF($K2152="","",IF($L2152="Crédit",$K2152,-$K2152))</f>
        <v/>
      </c>
      <c r="S2152" s="6" t="str">
        <f>IF($C2152="","",IFERROR(INDEX('Paramètres'!$H:$H,MATCH($C2152,'Paramètres'!$D:$D,0))&amp;"",""))</f>
        <v/>
      </c>
      <c r="T2152" s="6" t="str">
        <f>IF($K2152="","",IF($S2152="",0,IF(ISNUMBER(SEARCH("apport-exterieur",IFERROR(INDEX('Paramètres'!$N:$N,MATCH($D2152,'Paramètres'!$M:$M,0))&amp;"",""))),0,IF(OR(IFERROR(INDEX('Paramètres'!$I:$I,MATCH($C2152,'Paramètres'!$D:$D,0))&amp;"","")="Les deux",IFERROR(INDEX('Paramètres'!$I:$I,MATCH($C2152,'Paramètres'!$D:$D,0))&amp;"","")=IF($P2152=1,"Débit",$L2152)),-IF($P2152=1,-$K2152,$K2152),0))))</f>
        <v/>
      </c>
      <c r="U2152" s="6" t="str">
        <f>IF($K2152="","",IF(ISNUMBER(SEARCH("sortie-epargne",IFERROR(INDEX('Paramètres'!$N:$N,MATCH($D2152,'Paramètres'!$M:$M,0))&amp;"",""))),$K2152,0))</f>
        <v/>
      </c>
      <c r="V2152" s="6" t="str">
        <f>IF(AND($A2152&lt;&gt;"",$O2152=1,$L2152="Débit",N($Q2152)&gt;0,$A2152&gt;=Visualisation!$B$1,$A2152&lt;Visualisation!$D$1),MAX($V$1:V2151)+1,"")</f>
        <v/>
      </c>
    </row>
    <row r="2153" spans="1:22" x14ac:dyDescent="0.25">
      <c r="A2153" s="9"/>
      <c r="E2153" s="10"/>
      <c r="K2153" s="11" t="str">
        <f>IF($E2153="","",ROUND($E2153*IF(ISNA(MATCH($C2153,'Paramètres'!$D:$D,0)),1,IF(INDEX('Paramètres'!$J:$J,MATCH($C2153,'Paramètres'!$D:$D,0))="",1,INDEX('Paramètres'!$J:$J,MATCH($C2153,'Paramètres'!$D:$D,0)))),2))</f>
        <v/>
      </c>
      <c r="L2153" s="6" t="str">
        <f>IF($D2153="","",IF($F2153&lt;&gt;"",$F2153,IF(ISNA(MATCH($D2153,'Paramètres'!$M:$M,0)),"⚠ Type inconnu",IFERROR(INDEX('Paramètres'!$P:$P,MATCH($D2153,'Paramètres'!$M:$M,0))&amp;"",""))))</f>
        <v/>
      </c>
      <c r="M2153" s="6" t="str">
        <f>IF($D2153="","",IF(ISNA(MATCH($D2153,'Paramètres'!$M:$M,0)),"⚠ Type inconnu",IF($L2153="Crédit","",IFERROR(INDEX('Paramètres'!$O:$O,MATCH($D2153,'Paramètres'!$M:$M,0))&amp;"",""))))</f>
        <v/>
      </c>
      <c r="N2153" s="6" t="str">
        <f>IF($D2153="","",IFERROR(INDEX('Paramètres'!$Q:$Q,MATCH($D2153,'Paramètres'!$M:$M,0))&amp;"",""))</f>
        <v/>
      </c>
      <c r="O2153" s="6" t="str">
        <f>IF($A2153="","",IF(OR($J2153&lt;&gt;"x",$A2153&lt;=FinReleve),1,0))</f>
        <v/>
      </c>
      <c r="P2153" s="6" t="str">
        <f>IF($D2153="","",IF(AND($L2153="Crédit",OR(IFERROR(INDEX('Paramètres'!$O:$O,MATCH($D2153,'Paramètres'!$M:$M,0))&amp;"","")&lt;&gt;"",ISNUMBER(SEARCH("remboursement",IFERROR(INDEX('Paramètres'!$N:$N,MATCH($D2153,'Paramètres'!$M:$M,0))&amp;"",""))))),1,0))</f>
        <v/>
      </c>
      <c r="Q2153" s="6" t="str">
        <f>IF($K2153="","",IF(ISNUMBER(SEARCH("transfert-interne",IFERROR(INDEX('Paramètres'!$N:$N,MATCH($D2153,'Paramètres'!$M:$M,0))&amp;"",""))),0,IF($L2153="Débit",$K2153,IF($P2153=1,-$K2153,0))))</f>
        <v/>
      </c>
      <c r="R2153" s="6" t="str">
        <f>IF($K2153="","",IF($L2153="Crédit",$K2153,-$K2153))</f>
        <v/>
      </c>
      <c r="S2153" s="6" t="str">
        <f>IF($C2153="","",IFERROR(INDEX('Paramètres'!$H:$H,MATCH($C2153,'Paramètres'!$D:$D,0))&amp;"",""))</f>
        <v/>
      </c>
      <c r="T2153" s="6" t="str">
        <f>IF($K2153="","",IF($S2153="",0,IF(ISNUMBER(SEARCH("apport-exterieur",IFERROR(INDEX('Paramètres'!$N:$N,MATCH($D2153,'Paramètres'!$M:$M,0))&amp;"",""))),0,IF(OR(IFERROR(INDEX('Paramètres'!$I:$I,MATCH($C2153,'Paramètres'!$D:$D,0))&amp;"","")="Les deux",IFERROR(INDEX('Paramètres'!$I:$I,MATCH($C2153,'Paramètres'!$D:$D,0))&amp;"","")=IF($P2153=1,"Débit",$L2153)),-IF($P2153=1,-$K2153,$K2153),0))))</f>
        <v/>
      </c>
      <c r="U2153" s="6" t="str">
        <f>IF($K2153="","",IF(ISNUMBER(SEARCH("sortie-epargne",IFERROR(INDEX('Paramètres'!$N:$N,MATCH($D2153,'Paramètres'!$M:$M,0))&amp;"",""))),$K2153,0))</f>
        <v/>
      </c>
      <c r="V2153" s="6" t="str">
        <f>IF(AND($A2153&lt;&gt;"",$O2153=1,$L2153="Débit",N($Q2153)&gt;0,$A2153&gt;=Visualisation!$B$1,$A2153&lt;Visualisation!$D$1),MAX($V$1:V2152)+1,"")</f>
        <v/>
      </c>
    </row>
    <row r="2154" spans="1:22" x14ac:dyDescent="0.25">
      <c r="A2154" s="9"/>
      <c r="E2154" s="10"/>
      <c r="K2154" s="11" t="str">
        <f>IF($E2154="","",ROUND($E2154*IF(ISNA(MATCH($C2154,'Paramètres'!$D:$D,0)),1,IF(INDEX('Paramètres'!$J:$J,MATCH($C2154,'Paramètres'!$D:$D,0))="",1,INDEX('Paramètres'!$J:$J,MATCH($C2154,'Paramètres'!$D:$D,0)))),2))</f>
        <v/>
      </c>
      <c r="L2154" s="6" t="str">
        <f>IF($D2154="","",IF($F2154&lt;&gt;"",$F2154,IF(ISNA(MATCH($D2154,'Paramètres'!$M:$M,0)),"⚠ Type inconnu",IFERROR(INDEX('Paramètres'!$P:$P,MATCH($D2154,'Paramètres'!$M:$M,0))&amp;"",""))))</f>
        <v/>
      </c>
      <c r="M2154" s="6" t="str">
        <f>IF($D2154="","",IF(ISNA(MATCH($D2154,'Paramètres'!$M:$M,0)),"⚠ Type inconnu",IF($L2154="Crédit","",IFERROR(INDEX('Paramètres'!$O:$O,MATCH($D2154,'Paramètres'!$M:$M,0))&amp;"",""))))</f>
        <v/>
      </c>
      <c r="N2154" s="6" t="str">
        <f>IF($D2154="","",IFERROR(INDEX('Paramètres'!$Q:$Q,MATCH($D2154,'Paramètres'!$M:$M,0))&amp;"",""))</f>
        <v/>
      </c>
      <c r="O2154" s="6" t="str">
        <f>IF($A2154="","",IF(OR($J2154&lt;&gt;"x",$A2154&lt;=FinReleve),1,0))</f>
        <v/>
      </c>
      <c r="P2154" s="6" t="str">
        <f>IF($D2154="","",IF(AND($L2154="Crédit",OR(IFERROR(INDEX('Paramètres'!$O:$O,MATCH($D2154,'Paramètres'!$M:$M,0))&amp;"","")&lt;&gt;"",ISNUMBER(SEARCH("remboursement",IFERROR(INDEX('Paramètres'!$N:$N,MATCH($D2154,'Paramètres'!$M:$M,0))&amp;"",""))))),1,0))</f>
        <v/>
      </c>
      <c r="Q2154" s="6" t="str">
        <f>IF($K2154="","",IF(ISNUMBER(SEARCH("transfert-interne",IFERROR(INDEX('Paramètres'!$N:$N,MATCH($D2154,'Paramètres'!$M:$M,0))&amp;"",""))),0,IF($L2154="Débit",$K2154,IF($P2154=1,-$K2154,0))))</f>
        <v/>
      </c>
      <c r="R2154" s="6" t="str">
        <f>IF($K2154="","",IF($L2154="Crédit",$K2154,-$K2154))</f>
        <v/>
      </c>
      <c r="S2154" s="6" t="str">
        <f>IF($C2154="","",IFERROR(INDEX('Paramètres'!$H:$H,MATCH($C2154,'Paramètres'!$D:$D,0))&amp;"",""))</f>
        <v/>
      </c>
      <c r="T2154" s="6" t="str">
        <f>IF($K2154="","",IF($S2154="",0,IF(ISNUMBER(SEARCH("apport-exterieur",IFERROR(INDEX('Paramètres'!$N:$N,MATCH($D2154,'Paramètres'!$M:$M,0))&amp;"",""))),0,IF(OR(IFERROR(INDEX('Paramètres'!$I:$I,MATCH($C2154,'Paramètres'!$D:$D,0))&amp;"","")="Les deux",IFERROR(INDEX('Paramètres'!$I:$I,MATCH($C2154,'Paramètres'!$D:$D,0))&amp;"","")=IF($P2154=1,"Débit",$L2154)),-IF($P2154=1,-$K2154,$K2154),0))))</f>
        <v/>
      </c>
      <c r="U2154" s="6" t="str">
        <f>IF($K2154="","",IF(ISNUMBER(SEARCH("sortie-epargne",IFERROR(INDEX('Paramètres'!$N:$N,MATCH($D2154,'Paramètres'!$M:$M,0))&amp;"",""))),$K2154,0))</f>
        <v/>
      </c>
      <c r="V2154" s="6" t="str">
        <f>IF(AND($A2154&lt;&gt;"",$O2154=1,$L2154="Débit",N($Q2154)&gt;0,$A2154&gt;=Visualisation!$B$1,$A2154&lt;Visualisation!$D$1),MAX($V$1:V2153)+1,"")</f>
        <v/>
      </c>
    </row>
    <row r="2155" spans="1:22" x14ac:dyDescent="0.25">
      <c r="A2155" s="9"/>
      <c r="E2155" s="10"/>
      <c r="K2155" s="11" t="str">
        <f>IF($E2155="","",ROUND($E2155*IF(ISNA(MATCH($C2155,'Paramètres'!$D:$D,0)),1,IF(INDEX('Paramètres'!$J:$J,MATCH($C2155,'Paramètres'!$D:$D,0))="",1,INDEX('Paramètres'!$J:$J,MATCH($C2155,'Paramètres'!$D:$D,0)))),2))</f>
        <v/>
      </c>
      <c r="L2155" s="6" t="str">
        <f>IF($D2155="","",IF($F2155&lt;&gt;"",$F2155,IF(ISNA(MATCH($D2155,'Paramètres'!$M:$M,0)),"⚠ Type inconnu",IFERROR(INDEX('Paramètres'!$P:$P,MATCH($D2155,'Paramètres'!$M:$M,0))&amp;"",""))))</f>
        <v/>
      </c>
      <c r="M2155" s="6" t="str">
        <f>IF($D2155="","",IF(ISNA(MATCH($D2155,'Paramètres'!$M:$M,0)),"⚠ Type inconnu",IF($L2155="Crédit","",IFERROR(INDEX('Paramètres'!$O:$O,MATCH($D2155,'Paramètres'!$M:$M,0))&amp;"",""))))</f>
        <v/>
      </c>
      <c r="N2155" s="6" t="str">
        <f>IF($D2155="","",IFERROR(INDEX('Paramètres'!$Q:$Q,MATCH($D2155,'Paramètres'!$M:$M,0))&amp;"",""))</f>
        <v/>
      </c>
      <c r="O2155" s="6" t="str">
        <f>IF($A2155="","",IF(OR($J2155&lt;&gt;"x",$A2155&lt;=FinReleve),1,0))</f>
        <v/>
      </c>
      <c r="P2155" s="6" t="str">
        <f>IF($D2155="","",IF(AND($L2155="Crédit",OR(IFERROR(INDEX('Paramètres'!$O:$O,MATCH($D2155,'Paramètres'!$M:$M,0))&amp;"","")&lt;&gt;"",ISNUMBER(SEARCH("remboursement",IFERROR(INDEX('Paramètres'!$N:$N,MATCH($D2155,'Paramètres'!$M:$M,0))&amp;"",""))))),1,0))</f>
        <v/>
      </c>
      <c r="Q2155" s="6" t="str">
        <f>IF($K2155="","",IF(ISNUMBER(SEARCH("transfert-interne",IFERROR(INDEX('Paramètres'!$N:$N,MATCH($D2155,'Paramètres'!$M:$M,0))&amp;"",""))),0,IF($L2155="Débit",$K2155,IF($P2155=1,-$K2155,0))))</f>
        <v/>
      </c>
      <c r="R2155" s="6" t="str">
        <f>IF($K2155="","",IF($L2155="Crédit",$K2155,-$K2155))</f>
        <v/>
      </c>
      <c r="S2155" s="6" t="str">
        <f>IF($C2155="","",IFERROR(INDEX('Paramètres'!$H:$H,MATCH($C2155,'Paramètres'!$D:$D,0))&amp;"",""))</f>
        <v/>
      </c>
      <c r="T2155" s="6" t="str">
        <f>IF($K2155="","",IF($S2155="",0,IF(ISNUMBER(SEARCH("apport-exterieur",IFERROR(INDEX('Paramètres'!$N:$N,MATCH($D2155,'Paramètres'!$M:$M,0))&amp;"",""))),0,IF(OR(IFERROR(INDEX('Paramètres'!$I:$I,MATCH($C2155,'Paramètres'!$D:$D,0))&amp;"","")="Les deux",IFERROR(INDEX('Paramètres'!$I:$I,MATCH($C2155,'Paramètres'!$D:$D,0))&amp;"","")=IF($P2155=1,"Débit",$L2155)),-IF($P2155=1,-$K2155,$K2155),0))))</f>
        <v/>
      </c>
      <c r="U2155" s="6" t="str">
        <f>IF($K2155="","",IF(ISNUMBER(SEARCH("sortie-epargne",IFERROR(INDEX('Paramètres'!$N:$N,MATCH($D2155,'Paramètres'!$M:$M,0))&amp;"",""))),$K2155,0))</f>
        <v/>
      </c>
      <c r="V2155" s="6" t="str">
        <f>IF(AND($A2155&lt;&gt;"",$O2155=1,$L2155="Débit",N($Q2155)&gt;0,$A2155&gt;=Visualisation!$B$1,$A2155&lt;Visualisation!$D$1),MAX($V$1:V2154)+1,"")</f>
        <v/>
      </c>
    </row>
    <row r="2156" spans="1:22" x14ac:dyDescent="0.25">
      <c r="A2156" s="9"/>
      <c r="E2156" s="10"/>
      <c r="K2156" s="11" t="str">
        <f>IF($E2156="","",ROUND($E2156*IF(ISNA(MATCH($C2156,'Paramètres'!$D:$D,0)),1,IF(INDEX('Paramètres'!$J:$J,MATCH($C2156,'Paramètres'!$D:$D,0))="",1,INDEX('Paramètres'!$J:$J,MATCH($C2156,'Paramètres'!$D:$D,0)))),2))</f>
        <v/>
      </c>
      <c r="L2156" s="6" t="str">
        <f>IF($D2156="","",IF($F2156&lt;&gt;"",$F2156,IF(ISNA(MATCH($D2156,'Paramètres'!$M:$M,0)),"⚠ Type inconnu",IFERROR(INDEX('Paramètres'!$P:$P,MATCH($D2156,'Paramètres'!$M:$M,0))&amp;"",""))))</f>
        <v/>
      </c>
      <c r="M2156" s="6" t="str">
        <f>IF($D2156="","",IF(ISNA(MATCH($D2156,'Paramètres'!$M:$M,0)),"⚠ Type inconnu",IF($L2156="Crédit","",IFERROR(INDEX('Paramètres'!$O:$O,MATCH($D2156,'Paramètres'!$M:$M,0))&amp;"",""))))</f>
        <v/>
      </c>
      <c r="N2156" s="6" t="str">
        <f>IF($D2156="","",IFERROR(INDEX('Paramètres'!$Q:$Q,MATCH($D2156,'Paramètres'!$M:$M,0))&amp;"",""))</f>
        <v/>
      </c>
      <c r="O2156" s="6" t="str">
        <f>IF($A2156="","",IF(OR($J2156&lt;&gt;"x",$A2156&lt;=FinReleve),1,0))</f>
        <v/>
      </c>
      <c r="P2156" s="6" t="str">
        <f>IF($D2156="","",IF(AND($L2156="Crédit",OR(IFERROR(INDEX('Paramètres'!$O:$O,MATCH($D2156,'Paramètres'!$M:$M,0))&amp;"","")&lt;&gt;"",ISNUMBER(SEARCH("remboursement",IFERROR(INDEX('Paramètres'!$N:$N,MATCH($D2156,'Paramètres'!$M:$M,0))&amp;"",""))))),1,0))</f>
        <v/>
      </c>
      <c r="Q2156" s="6" t="str">
        <f>IF($K2156="","",IF(ISNUMBER(SEARCH("transfert-interne",IFERROR(INDEX('Paramètres'!$N:$N,MATCH($D2156,'Paramètres'!$M:$M,0))&amp;"",""))),0,IF($L2156="Débit",$K2156,IF($P2156=1,-$K2156,0))))</f>
        <v/>
      </c>
      <c r="R2156" s="6" t="str">
        <f>IF($K2156="","",IF($L2156="Crédit",$K2156,-$K2156))</f>
        <v/>
      </c>
      <c r="S2156" s="6" t="str">
        <f>IF($C2156="","",IFERROR(INDEX('Paramètres'!$H:$H,MATCH($C2156,'Paramètres'!$D:$D,0))&amp;"",""))</f>
        <v/>
      </c>
      <c r="T2156" s="6" t="str">
        <f>IF($K2156="","",IF($S2156="",0,IF(ISNUMBER(SEARCH("apport-exterieur",IFERROR(INDEX('Paramètres'!$N:$N,MATCH($D2156,'Paramètres'!$M:$M,0))&amp;"",""))),0,IF(OR(IFERROR(INDEX('Paramètres'!$I:$I,MATCH($C2156,'Paramètres'!$D:$D,0))&amp;"","")="Les deux",IFERROR(INDEX('Paramètres'!$I:$I,MATCH($C2156,'Paramètres'!$D:$D,0))&amp;"","")=IF($P2156=1,"Débit",$L2156)),-IF($P2156=1,-$K2156,$K2156),0))))</f>
        <v/>
      </c>
      <c r="U2156" s="6" t="str">
        <f>IF($K2156="","",IF(ISNUMBER(SEARCH("sortie-epargne",IFERROR(INDEX('Paramètres'!$N:$N,MATCH($D2156,'Paramètres'!$M:$M,0))&amp;"",""))),$K2156,0))</f>
        <v/>
      </c>
      <c r="V2156" s="6" t="str">
        <f>IF(AND($A2156&lt;&gt;"",$O2156=1,$L2156="Débit",N($Q2156)&gt;0,$A2156&gt;=Visualisation!$B$1,$A2156&lt;Visualisation!$D$1),MAX($V$1:V2155)+1,"")</f>
        <v/>
      </c>
    </row>
    <row r="2157" spans="1:22" x14ac:dyDescent="0.25">
      <c r="A2157" s="9"/>
      <c r="E2157" s="10"/>
      <c r="K2157" s="11" t="str">
        <f>IF($E2157="","",ROUND($E2157*IF(ISNA(MATCH($C2157,'Paramètres'!$D:$D,0)),1,IF(INDEX('Paramètres'!$J:$J,MATCH($C2157,'Paramètres'!$D:$D,0))="",1,INDEX('Paramètres'!$J:$J,MATCH($C2157,'Paramètres'!$D:$D,0)))),2))</f>
        <v/>
      </c>
      <c r="L2157" s="6" t="str">
        <f>IF($D2157="","",IF($F2157&lt;&gt;"",$F2157,IF(ISNA(MATCH($D2157,'Paramètres'!$M:$M,0)),"⚠ Type inconnu",IFERROR(INDEX('Paramètres'!$P:$P,MATCH($D2157,'Paramètres'!$M:$M,0))&amp;"",""))))</f>
        <v/>
      </c>
      <c r="M2157" s="6" t="str">
        <f>IF($D2157="","",IF(ISNA(MATCH($D2157,'Paramètres'!$M:$M,0)),"⚠ Type inconnu",IF($L2157="Crédit","",IFERROR(INDEX('Paramètres'!$O:$O,MATCH($D2157,'Paramètres'!$M:$M,0))&amp;"",""))))</f>
        <v/>
      </c>
      <c r="N2157" s="6" t="str">
        <f>IF($D2157="","",IFERROR(INDEX('Paramètres'!$Q:$Q,MATCH($D2157,'Paramètres'!$M:$M,0))&amp;"",""))</f>
        <v/>
      </c>
      <c r="O2157" s="6" t="str">
        <f>IF($A2157="","",IF(OR($J2157&lt;&gt;"x",$A2157&lt;=FinReleve),1,0))</f>
        <v/>
      </c>
      <c r="P2157" s="6" t="str">
        <f>IF($D2157="","",IF(AND($L2157="Crédit",OR(IFERROR(INDEX('Paramètres'!$O:$O,MATCH($D2157,'Paramètres'!$M:$M,0))&amp;"","")&lt;&gt;"",ISNUMBER(SEARCH("remboursement",IFERROR(INDEX('Paramètres'!$N:$N,MATCH($D2157,'Paramètres'!$M:$M,0))&amp;"",""))))),1,0))</f>
        <v/>
      </c>
      <c r="Q2157" s="6" t="str">
        <f>IF($K2157="","",IF(ISNUMBER(SEARCH("transfert-interne",IFERROR(INDEX('Paramètres'!$N:$N,MATCH($D2157,'Paramètres'!$M:$M,0))&amp;"",""))),0,IF($L2157="Débit",$K2157,IF($P2157=1,-$K2157,0))))</f>
        <v/>
      </c>
      <c r="R2157" s="6" t="str">
        <f>IF($K2157="","",IF($L2157="Crédit",$K2157,-$K2157))</f>
        <v/>
      </c>
      <c r="S2157" s="6" t="str">
        <f>IF($C2157="","",IFERROR(INDEX('Paramètres'!$H:$H,MATCH($C2157,'Paramètres'!$D:$D,0))&amp;"",""))</f>
        <v/>
      </c>
      <c r="T2157" s="6" t="str">
        <f>IF($K2157="","",IF($S2157="",0,IF(ISNUMBER(SEARCH("apport-exterieur",IFERROR(INDEX('Paramètres'!$N:$N,MATCH($D2157,'Paramètres'!$M:$M,0))&amp;"",""))),0,IF(OR(IFERROR(INDEX('Paramètres'!$I:$I,MATCH($C2157,'Paramètres'!$D:$D,0))&amp;"","")="Les deux",IFERROR(INDEX('Paramètres'!$I:$I,MATCH($C2157,'Paramètres'!$D:$D,0))&amp;"","")=IF($P2157=1,"Débit",$L2157)),-IF($P2157=1,-$K2157,$K2157),0))))</f>
        <v/>
      </c>
      <c r="U2157" s="6" t="str">
        <f>IF($K2157="","",IF(ISNUMBER(SEARCH("sortie-epargne",IFERROR(INDEX('Paramètres'!$N:$N,MATCH($D2157,'Paramètres'!$M:$M,0))&amp;"",""))),$K2157,0))</f>
        <v/>
      </c>
      <c r="V2157" s="6" t="str">
        <f>IF(AND($A2157&lt;&gt;"",$O2157=1,$L2157="Débit",N($Q2157)&gt;0,$A2157&gt;=Visualisation!$B$1,$A2157&lt;Visualisation!$D$1),MAX($V$1:V2156)+1,"")</f>
        <v/>
      </c>
    </row>
    <row r="2158" spans="1:22" x14ac:dyDescent="0.25">
      <c r="A2158" s="9"/>
      <c r="E2158" s="10"/>
      <c r="K2158" s="11" t="str">
        <f>IF($E2158="","",ROUND($E2158*IF(ISNA(MATCH($C2158,'Paramètres'!$D:$D,0)),1,IF(INDEX('Paramètres'!$J:$J,MATCH($C2158,'Paramètres'!$D:$D,0))="",1,INDEX('Paramètres'!$J:$J,MATCH($C2158,'Paramètres'!$D:$D,0)))),2))</f>
        <v/>
      </c>
      <c r="L2158" s="6" t="str">
        <f>IF($D2158="","",IF($F2158&lt;&gt;"",$F2158,IF(ISNA(MATCH($D2158,'Paramètres'!$M:$M,0)),"⚠ Type inconnu",IFERROR(INDEX('Paramètres'!$P:$P,MATCH($D2158,'Paramètres'!$M:$M,0))&amp;"",""))))</f>
        <v/>
      </c>
      <c r="M2158" s="6" t="str">
        <f>IF($D2158="","",IF(ISNA(MATCH($D2158,'Paramètres'!$M:$M,0)),"⚠ Type inconnu",IF($L2158="Crédit","",IFERROR(INDEX('Paramètres'!$O:$O,MATCH($D2158,'Paramètres'!$M:$M,0))&amp;"",""))))</f>
        <v/>
      </c>
      <c r="N2158" s="6" t="str">
        <f>IF($D2158="","",IFERROR(INDEX('Paramètres'!$Q:$Q,MATCH($D2158,'Paramètres'!$M:$M,0))&amp;"",""))</f>
        <v/>
      </c>
      <c r="O2158" s="6" t="str">
        <f>IF($A2158="","",IF(OR($J2158&lt;&gt;"x",$A2158&lt;=FinReleve),1,0))</f>
        <v/>
      </c>
      <c r="P2158" s="6" t="str">
        <f>IF($D2158="","",IF(AND($L2158="Crédit",OR(IFERROR(INDEX('Paramètres'!$O:$O,MATCH($D2158,'Paramètres'!$M:$M,0))&amp;"","")&lt;&gt;"",ISNUMBER(SEARCH("remboursement",IFERROR(INDEX('Paramètres'!$N:$N,MATCH($D2158,'Paramètres'!$M:$M,0))&amp;"",""))))),1,0))</f>
        <v/>
      </c>
      <c r="Q2158" s="6" t="str">
        <f>IF($K2158="","",IF(ISNUMBER(SEARCH("transfert-interne",IFERROR(INDEX('Paramètres'!$N:$N,MATCH($D2158,'Paramètres'!$M:$M,0))&amp;"",""))),0,IF($L2158="Débit",$K2158,IF($P2158=1,-$K2158,0))))</f>
        <v/>
      </c>
      <c r="R2158" s="6" t="str">
        <f>IF($K2158="","",IF($L2158="Crédit",$K2158,-$K2158))</f>
        <v/>
      </c>
      <c r="S2158" s="6" t="str">
        <f>IF($C2158="","",IFERROR(INDEX('Paramètres'!$H:$H,MATCH($C2158,'Paramètres'!$D:$D,0))&amp;"",""))</f>
        <v/>
      </c>
      <c r="T2158" s="6" t="str">
        <f>IF($K2158="","",IF($S2158="",0,IF(ISNUMBER(SEARCH("apport-exterieur",IFERROR(INDEX('Paramètres'!$N:$N,MATCH($D2158,'Paramètres'!$M:$M,0))&amp;"",""))),0,IF(OR(IFERROR(INDEX('Paramètres'!$I:$I,MATCH($C2158,'Paramètres'!$D:$D,0))&amp;"","")="Les deux",IFERROR(INDEX('Paramètres'!$I:$I,MATCH($C2158,'Paramètres'!$D:$D,0))&amp;"","")=IF($P2158=1,"Débit",$L2158)),-IF($P2158=1,-$K2158,$K2158),0))))</f>
        <v/>
      </c>
      <c r="U2158" s="6" t="str">
        <f>IF($K2158="","",IF(ISNUMBER(SEARCH("sortie-epargne",IFERROR(INDEX('Paramètres'!$N:$N,MATCH($D2158,'Paramètres'!$M:$M,0))&amp;"",""))),$K2158,0))</f>
        <v/>
      </c>
      <c r="V2158" s="6" t="str">
        <f>IF(AND($A2158&lt;&gt;"",$O2158=1,$L2158="Débit",N($Q2158)&gt;0,$A2158&gt;=Visualisation!$B$1,$A2158&lt;Visualisation!$D$1),MAX($V$1:V2157)+1,"")</f>
        <v/>
      </c>
    </row>
    <row r="2159" spans="1:22" x14ac:dyDescent="0.25">
      <c r="A2159" s="9"/>
      <c r="E2159" s="10"/>
      <c r="K2159" s="11" t="str">
        <f>IF($E2159="","",ROUND($E2159*IF(ISNA(MATCH($C2159,'Paramètres'!$D:$D,0)),1,IF(INDEX('Paramètres'!$J:$J,MATCH($C2159,'Paramètres'!$D:$D,0))="",1,INDEX('Paramètres'!$J:$J,MATCH($C2159,'Paramètres'!$D:$D,0)))),2))</f>
        <v/>
      </c>
      <c r="L2159" s="6" t="str">
        <f>IF($D2159="","",IF($F2159&lt;&gt;"",$F2159,IF(ISNA(MATCH($D2159,'Paramètres'!$M:$M,0)),"⚠ Type inconnu",IFERROR(INDEX('Paramètres'!$P:$P,MATCH($D2159,'Paramètres'!$M:$M,0))&amp;"",""))))</f>
        <v/>
      </c>
      <c r="M2159" s="6" t="str">
        <f>IF($D2159="","",IF(ISNA(MATCH($D2159,'Paramètres'!$M:$M,0)),"⚠ Type inconnu",IF($L2159="Crédit","",IFERROR(INDEX('Paramètres'!$O:$O,MATCH($D2159,'Paramètres'!$M:$M,0))&amp;"",""))))</f>
        <v/>
      </c>
      <c r="N2159" s="6" t="str">
        <f>IF($D2159="","",IFERROR(INDEX('Paramètres'!$Q:$Q,MATCH($D2159,'Paramètres'!$M:$M,0))&amp;"",""))</f>
        <v/>
      </c>
      <c r="O2159" s="6" t="str">
        <f>IF($A2159="","",IF(OR($J2159&lt;&gt;"x",$A2159&lt;=FinReleve),1,0))</f>
        <v/>
      </c>
      <c r="P2159" s="6" t="str">
        <f>IF($D2159="","",IF(AND($L2159="Crédit",OR(IFERROR(INDEX('Paramètres'!$O:$O,MATCH($D2159,'Paramètres'!$M:$M,0))&amp;"","")&lt;&gt;"",ISNUMBER(SEARCH("remboursement",IFERROR(INDEX('Paramètres'!$N:$N,MATCH($D2159,'Paramètres'!$M:$M,0))&amp;"",""))))),1,0))</f>
        <v/>
      </c>
      <c r="Q2159" s="6" t="str">
        <f>IF($K2159="","",IF(ISNUMBER(SEARCH("transfert-interne",IFERROR(INDEX('Paramètres'!$N:$N,MATCH($D2159,'Paramètres'!$M:$M,0))&amp;"",""))),0,IF($L2159="Débit",$K2159,IF($P2159=1,-$K2159,0))))</f>
        <v/>
      </c>
      <c r="R2159" s="6" t="str">
        <f>IF($K2159="","",IF($L2159="Crédit",$K2159,-$K2159))</f>
        <v/>
      </c>
      <c r="S2159" s="6" t="str">
        <f>IF($C2159="","",IFERROR(INDEX('Paramètres'!$H:$H,MATCH($C2159,'Paramètres'!$D:$D,0))&amp;"",""))</f>
        <v/>
      </c>
      <c r="T2159" s="6" t="str">
        <f>IF($K2159="","",IF($S2159="",0,IF(ISNUMBER(SEARCH("apport-exterieur",IFERROR(INDEX('Paramètres'!$N:$N,MATCH($D2159,'Paramètres'!$M:$M,0))&amp;"",""))),0,IF(OR(IFERROR(INDEX('Paramètres'!$I:$I,MATCH($C2159,'Paramètres'!$D:$D,0))&amp;"","")="Les deux",IFERROR(INDEX('Paramètres'!$I:$I,MATCH($C2159,'Paramètres'!$D:$D,0))&amp;"","")=IF($P2159=1,"Débit",$L2159)),-IF($P2159=1,-$K2159,$K2159),0))))</f>
        <v/>
      </c>
      <c r="U2159" s="6" t="str">
        <f>IF($K2159="","",IF(ISNUMBER(SEARCH("sortie-epargne",IFERROR(INDEX('Paramètres'!$N:$N,MATCH($D2159,'Paramètres'!$M:$M,0))&amp;"",""))),$K2159,0))</f>
        <v/>
      </c>
      <c r="V2159" s="6" t="str">
        <f>IF(AND($A2159&lt;&gt;"",$O2159=1,$L2159="Débit",N($Q2159)&gt;0,$A2159&gt;=Visualisation!$B$1,$A2159&lt;Visualisation!$D$1),MAX($V$1:V2158)+1,"")</f>
        <v/>
      </c>
    </row>
    <row r="2160" spans="1:22" x14ac:dyDescent="0.25">
      <c r="A2160" s="9"/>
      <c r="E2160" s="10"/>
      <c r="K2160" s="11" t="str">
        <f>IF($E2160="","",ROUND($E2160*IF(ISNA(MATCH($C2160,'Paramètres'!$D:$D,0)),1,IF(INDEX('Paramètres'!$J:$J,MATCH($C2160,'Paramètres'!$D:$D,0))="",1,INDEX('Paramètres'!$J:$J,MATCH($C2160,'Paramètres'!$D:$D,0)))),2))</f>
        <v/>
      </c>
      <c r="L2160" s="6" t="str">
        <f>IF($D2160="","",IF($F2160&lt;&gt;"",$F2160,IF(ISNA(MATCH($D2160,'Paramètres'!$M:$M,0)),"⚠ Type inconnu",IFERROR(INDEX('Paramètres'!$P:$P,MATCH($D2160,'Paramètres'!$M:$M,0))&amp;"",""))))</f>
        <v/>
      </c>
      <c r="M2160" s="6" t="str">
        <f>IF($D2160="","",IF(ISNA(MATCH($D2160,'Paramètres'!$M:$M,0)),"⚠ Type inconnu",IF($L2160="Crédit","",IFERROR(INDEX('Paramètres'!$O:$O,MATCH($D2160,'Paramètres'!$M:$M,0))&amp;"",""))))</f>
        <v/>
      </c>
      <c r="N2160" s="6" t="str">
        <f>IF($D2160="","",IFERROR(INDEX('Paramètres'!$Q:$Q,MATCH($D2160,'Paramètres'!$M:$M,0))&amp;"",""))</f>
        <v/>
      </c>
      <c r="O2160" s="6" t="str">
        <f>IF($A2160="","",IF(OR($J2160&lt;&gt;"x",$A2160&lt;=FinReleve),1,0))</f>
        <v/>
      </c>
      <c r="P2160" s="6" t="str">
        <f>IF($D2160="","",IF(AND($L2160="Crédit",OR(IFERROR(INDEX('Paramètres'!$O:$O,MATCH($D2160,'Paramètres'!$M:$M,0))&amp;"","")&lt;&gt;"",ISNUMBER(SEARCH("remboursement",IFERROR(INDEX('Paramètres'!$N:$N,MATCH($D2160,'Paramètres'!$M:$M,0))&amp;"",""))))),1,0))</f>
        <v/>
      </c>
      <c r="Q2160" s="6" t="str">
        <f>IF($K2160="","",IF(ISNUMBER(SEARCH("transfert-interne",IFERROR(INDEX('Paramètres'!$N:$N,MATCH($D2160,'Paramètres'!$M:$M,0))&amp;"",""))),0,IF($L2160="Débit",$K2160,IF($P2160=1,-$K2160,0))))</f>
        <v/>
      </c>
      <c r="R2160" s="6" t="str">
        <f>IF($K2160="","",IF($L2160="Crédit",$K2160,-$K2160))</f>
        <v/>
      </c>
      <c r="S2160" s="6" t="str">
        <f>IF($C2160="","",IFERROR(INDEX('Paramètres'!$H:$H,MATCH($C2160,'Paramètres'!$D:$D,0))&amp;"",""))</f>
        <v/>
      </c>
      <c r="T2160" s="6" t="str">
        <f>IF($K2160="","",IF($S2160="",0,IF(ISNUMBER(SEARCH("apport-exterieur",IFERROR(INDEX('Paramètres'!$N:$N,MATCH($D2160,'Paramètres'!$M:$M,0))&amp;"",""))),0,IF(OR(IFERROR(INDEX('Paramètres'!$I:$I,MATCH($C2160,'Paramètres'!$D:$D,0))&amp;"","")="Les deux",IFERROR(INDEX('Paramètres'!$I:$I,MATCH($C2160,'Paramètres'!$D:$D,0))&amp;"","")=IF($P2160=1,"Débit",$L2160)),-IF($P2160=1,-$K2160,$K2160),0))))</f>
        <v/>
      </c>
      <c r="U2160" s="6" t="str">
        <f>IF($K2160="","",IF(ISNUMBER(SEARCH("sortie-epargne",IFERROR(INDEX('Paramètres'!$N:$N,MATCH($D2160,'Paramètres'!$M:$M,0))&amp;"",""))),$K2160,0))</f>
        <v/>
      </c>
      <c r="V2160" s="6" t="str">
        <f>IF(AND($A2160&lt;&gt;"",$O2160=1,$L2160="Débit",N($Q2160)&gt;0,$A2160&gt;=Visualisation!$B$1,$A2160&lt;Visualisation!$D$1),MAX($V$1:V2159)+1,"")</f>
        <v/>
      </c>
    </row>
    <row r="2161" spans="1:22" x14ac:dyDescent="0.25">
      <c r="A2161" s="9"/>
      <c r="E2161" s="10"/>
      <c r="K2161" s="11" t="str">
        <f>IF($E2161="","",ROUND($E2161*IF(ISNA(MATCH($C2161,'Paramètres'!$D:$D,0)),1,IF(INDEX('Paramètres'!$J:$J,MATCH($C2161,'Paramètres'!$D:$D,0))="",1,INDEX('Paramètres'!$J:$J,MATCH($C2161,'Paramètres'!$D:$D,0)))),2))</f>
        <v/>
      </c>
      <c r="L2161" s="6" t="str">
        <f>IF($D2161="","",IF($F2161&lt;&gt;"",$F2161,IF(ISNA(MATCH($D2161,'Paramètres'!$M:$M,0)),"⚠ Type inconnu",IFERROR(INDEX('Paramètres'!$P:$P,MATCH($D2161,'Paramètres'!$M:$M,0))&amp;"",""))))</f>
        <v/>
      </c>
      <c r="M2161" s="6" t="str">
        <f>IF($D2161="","",IF(ISNA(MATCH($D2161,'Paramètres'!$M:$M,0)),"⚠ Type inconnu",IF($L2161="Crédit","",IFERROR(INDEX('Paramètres'!$O:$O,MATCH($D2161,'Paramètres'!$M:$M,0))&amp;"",""))))</f>
        <v/>
      </c>
      <c r="N2161" s="6" t="str">
        <f>IF($D2161="","",IFERROR(INDEX('Paramètres'!$Q:$Q,MATCH($D2161,'Paramètres'!$M:$M,0))&amp;"",""))</f>
        <v/>
      </c>
      <c r="O2161" s="6" t="str">
        <f>IF($A2161="","",IF(OR($J2161&lt;&gt;"x",$A2161&lt;=FinReleve),1,0))</f>
        <v/>
      </c>
      <c r="P2161" s="6" t="str">
        <f>IF($D2161="","",IF(AND($L2161="Crédit",OR(IFERROR(INDEX('Paramètres'!$O:$O,MATCH($D2161,'Paramètres'!$M:$M,0))&amp;"","")&lt;&gt;"",ISNUMBER(SEARCH("remboursement",IFERROR(INDEX('Paramètres'!$N:$N,MATCH($D2161,'Paramètres'!$M:$M,0))&amp;"",""))))),1,0))</f>
        <v/>
      </c>
      <c r="Q2161" s="6" t="str">
        <f>IF($K2161="","",IF(ISNUMBER(SEARCH("transfert-interne",IFERROR(INDEX('Paramètres'!$N:$N,MATCH($D2161,'Paramètres'!$M:$M,0))&amp;"",""))),0,IF($L2161="Débit",$K2161,IF($P2161=1,-$K2161,0))))</f>
        <v/>
      </c>
      <c r="R2161" s="6" t="str">
        <f>IF($K2161="","",IF($L2161="Crédit",$K2161,-$K2161))</f>
        <v/>
      </c>
      <c r="S2161" s="6" t="str">
        <f>IF($C2161="","",IFERROR(INDEX('Paramètres'!$H:$H,MATCH($C2161,'Paramètres'!$D:$D,0))&amp;"",""))</f>
        <v/>
      </c>
      <c r="T2161" s="6" t="str">
        <f>IF($K2161="","",IF($S2161="",0,IF(ISNUMBER(SEARCH("apport-exterieur",IFERROR(INDEX('Paramètres'!$N:$N,MATCH($D2161,'Paramètres'!$M:$M,0))&amp;"",""))),0,IF(OR(IFERROR(INDEX('Paramètres'!$I:$I,MATCH($C2161,'Paramètres'!$D:$D,0))&amp;"","")="Les deux",IFERROR(INDEX('Paramètres'!$I:$I,MATCH($C2161,'Paramètres'!$D:$D,0))&amp;"","")=IF($P2161=1,"Débit",$L2161)),-IF($P2161=1,-$K2161,$K2161),0))))</f>
        <v/>
      </c>
      <c r="U2161" s="6" t="str">
        <f>IF($K2161="","",IF(ISNUMBER(SEARCH("sortie-epargne",IFERROR(INDEX('Paramètres'!$N:$N,MATCH($D2161,'Paramètres'!$M:$M,0))&amp;"",""))),$K2161,0))</f>
        <v/>
      </c>
      <c r="V2161" s="6" t="str">
        <f>IF(AND($A2161&lt;&gt;"",$O2161=1,$L2161="Débit",N($Q2161)&gt;0,$A2161&gt;=Visualisation!$B$1,$A2161&lt;Visualisation!$D$1),MAX($V$1:V2160)+1,"")</f>
        <v/>
      </c>
    </row>
    <row r="2162" spans="1:22" x14ac:dyDescent="0.25">
      <c r="A2162" s="9"/>
      <c r="E2162" s="10"/>
      <c r="K2162" s="11" t="str">
        <f>IF($E2162="","",ROUND($E2162*IF(ISNA(MATCH($C2162,'Paramètres'!$D:$D,0)),1,IF(INDEX('Paramètres'!$J:$J,MATCH($C2162,'Paramètres'!$D:$D,0))="",1,INDEX('Paramètres'!$J:$J,MATCH($C2162,'Paramètres'!$D:$D,0)))),2))</f>
        <v/>
      </c>
      <c r="L2162" s="6" t="str">
        <f>IF($D2162="","",IF($F2162&lt;&gt;"",$F2162,IF(ISNA(MATCH($D2162,'Paramètres'!$M:$M,0)),"⚠ Type inconnu",IFERROR(INDEX('Paramètres'!$P:$P,MATCH($D2162,'Paramètres'!$M:$M,0))&amp;"",""))))</f>
        <v/>
      </c>
      <c r="M2162" s="6" t="str">
        <f>IF($D2162="","",IF(ISNA(MATCH($D2162,'Paramètres'!$M:$M,0)),"⚠ Type inconnu",IF($L2162="Crédit","",IFERROR(INDEX('Paramètres'!$O:$O,MATCH($D2162,'Paramètres'!$M:$M,0))&amp;"",""))))</f>
        <v/>
      </c>
      <c r="N2162" s="6" t="str">
        <f>IF($D2162="","",IFERROR(INDEX('Paramètres'!$Q:$Q,MATCH($D2162,'Paramètres'!$M:$M,0))&amp;"",""))</f>
        <v/>
      </c>
      <c r="O2162" s="6" t="str">
        <f>IF($A2162="","",IF(OR($J2162&lt;&gt;"x",$A2162&lt;=FinReleve),1,0))</f>
        <v/>
      </c>
      <c r="P2162" s="6" t="str">
        <f>IF($D2162="","",IF(AND($L2162="Crédit",OR(IFERROR(INDEX('Paramètres'!$O:$O,MATCH($D2162,'Paramètres'!$M:$M,0))&amp;"","")&lt;&gt;"",ISNUMBER(SEARCH("remboursement",IFERROR(INDEX('Paramètres'!$N:$N,MATCH($D2162,'Paramètres'!$M:$M,0))&amp;"",""))))),1,0))</f>
        <v/>
      </c>
      <c r="Q2162" s="6" t="str">
        <f>IF($K2162="","",IF(ISNUMBER(SEARCH("transfert-interne",IFERROR(INDEX('Paramètres'!$N:$N,MATCH($D2162,'Paramètres'!$M:$M,0))&amp;"",""))),0,IF($L2162="Débit",$K2162,IF($P2162=1,-$K2162,0))))</f>
        <v/>
      </c>
      <c r="R2162" s="6" t="str">
        <f>IF($K2162="","",IF($L2162="Crédit",$K2162,-$K2162))</f>
        <v/>
      </c>
      <c r="S2162" s="6" t="str">
        <f>IF($C2162="","",IFERROR(INDEX('Paramètres'!$H:$H,MATCH($C2162,'Paramètres'!$D:$D,0))&amp;"",""))</f>
        <v/>
      </c>
      <c r="T2162" s="6" t="str">
        <f>IF($K2162="","",IF($S2162="",0,IF(ISNUMBER(SEARCH("apport-exterieur",IFERROR(INDEX('Paramètres'!$N:$N,MATCH($D2162,'Paramètres'!$M:$M,0))&amp;"",""))),0,IF(OR(IFERROR(INDEX('Paramètres'!$I:$I,MATCH($C2162,'Paramètres'!$D:$D,0))&amp;"","")="Les deux",IFERROR(INDEX('Paramètres'!$I:$I,MATCH($C2162,'Paramètres'!$D:$D,0))&amp;"","")=IF($P2162=1,"Débit",$L2162)),-IF($P2162=1,-$K2162,$K2162),0))))</f>
        <v/>
      </c>
      <c r="U2162" s="6" t="str">
        <f>IF($K2162="","",IF(ISNUMBER(SEARCH("sortie-epargne",IFERROR(INDEX('Paramètres'!$N:$N,MATCH($D2162,'Paramètres'!$M:$M,0))&amp;"",""))),$K2162,0))</f>
        <v/>
      </c>
      <c r="V2162" s="6" t="str">
        <f>IF(AND($A2162&lt;&gt;"",$O2162=1,$L2162="Débit",N($Q2162)&gt;0,$A2162&gt;=Visualisation!$B$1,$A2162&lt;Visualisation!$D$1),MAX($V$1:V2161)+1,"")</f>
        <v/>
      </c>
    </row>
    <row r="2163" spans="1:22" x14ac:dyDescent="0.25">
      <c r="A2163" s="9"/>
      <c r="E2163" s="10"/>
      <c r="K2163" s="11" t="str">
        <f>IF($E2163="","",ROUND($E2163*IF(ISNA(MATCH($C2163,'Paramètres'!$D:$D,0)),1,IF(INDEX('Paramètres'!$J:$J,MATCH($C2163,'Paramètres'!$D:$D,0))="",1,INDEX('Paramètres'!$J:$J,MATCH($C2163,'Paramètres'!$D:$D,0)))),2))</f>
        <v/>
      </c>
      <c r="L2163" s="6" t="str">
        <f>IF($D2163="","",IF($F2163&lt;&gt;"",$F2163,IF(ISNA(MATCH($D2163,'Paramètres'!$M:$M,0)),"⚠ Type inconnu",IFERROR(INDEX('Paramètres'!$P:$P,MATCH($D2163,'Paramètres'!$M:$M,0))&amp;"",""))))</f>
        <v/>
      </c>
      <c r="M2163" s="6" t="str">
        <f>IF($D2163="","",IF(ISNA(MATCH($D2163,'Paramètres'!$M:$M,0)),"⚠ Type inconnu",IF($L2163="Crédit","",IFERROR(INDEX('Paramètres'!$O:$O,MATCH($D2163,'Paramètres'!$M:$M,0))&amp;"",""))))</f>
        <v/>
      </c>
      <c r="N2163" s="6" t="str">
        <f>IF($D2163="","",IFERROR(INDEX('Paramètres'!$Q:$Q,MATCH($D2163,'Paramètres'!$M:$M,0))&amp;"",""))</f>
        <v/>
      </c>
      <c r="O2163" s="6" t="str">
        <f>IF($A2163="","",IF(OR($J2163&lt;&gt;"x",$A2163&lt;=FinReleve),1,0))</f>
        <v/>
      </c>
      <c r="P2163" s="6" t="str">
        <f>IF($D2163="","",IF(AND($L2163="Crédit",OR(IFERROR(INDEX('Paramètres'!$O:$O,MATCH($D2163,'Paramètres'!$M:$M,0))&amp;"","")&lt;&gt;"",ISNUMBER(SEARCH("remboursement",IFERROR(INDEX('Paramètres'!$N:$N,MATCH($D2163,'Paramètres'!$M:$M,0))&amp;"",""))))),1,0))</f>
        <v/>
      </c>
      <c r="Q2163" s="6" t="str">
        <f>IF($K2163="","",IF(ISNUMBER(SEARCH("transfert-interne",IFERROR(INDEX('Paramètres'!$N:$N,MATCH($D2163,'Paramètres'!$M:$M,0))&amp;"",""))),0,IF($L2163="Débit",$K2163,IF($P2163=1,-$K2163,0))))</f>
        <v/>
      </c>
      <c r="R2163" s="6" t="str">
        <f>IF($K2163="","",IF($L2163="Crédit",$K2163,-$K2163))</f>
        <v/>
      </c>
      <c r="S2163" s="6" t="str">
        <f>IF($C2163="","",IFERROR(INDEX('Paramètres'!$H:$H,MATCH($C2163,'Paramètres'!$D:$D,0))&amp;"",""))</f>
        <v/>
      </c>
      <c r="T2163" s="6" t="str">
        <f>IF($K2163="","",IF($S2163="",0,IF(ISNUMBER(SEARCH("apport-exterieur",IFERROR(INDEX('Paramètres'!$N:$N,MATCH($D2163,'Paramètres'!$M:$M,0))&amp;"",""))),0,IF(OR(IFERROR(INDEX('Paramètres'!$I:$I,MATCH($C2163,'Paramètres'!$D:$D,0))&amp;"","")="Les deux",IFERROR(INDEX('Paramètres'!$I:$I,MATCH($C2163,'Paramètres'!$D:$D,0))&amp;"","")=IF($P2163=1,"Débit",$L2163)),-IF($P2163=1,-$K2163,$K2163),0))))</f>
        <v/>
      </c>
      <c r="U2163" s="6" t="str">
        <f>IF($K2163="","",IF(ISNUMBER(SEARCH("sortie-epargne",IFERROR(INDEX('Paramètres'!$N:$N,MATCH($D2163,'Paramètres'!$M:$M,0))&amp;"",""))),$K2163,0))</f>
        <v/>
      </c>
      <c r="V2163" s="6" t="str">
        <f>IF(AND($A2163&lt;&gt;"",$O2163=1,$L2163="Débit",N($Q2163)&gt;0,$A2163&gt;=Visualisation!$B$1,$A2163&lt;Visualisation!$D$1),MAX($V$1:V2162)+1,"")</f>
        <v/>
      </c>
    </row>
    <row r="2164" spans="1:22" x14ac:dyDescent="0.25">
      <c r="A2164" s="9"/>
      <c r="E2164" s="10"/>
      <c r="K2164" s="11" t="str">
        <f>IF($E2164="","",ROUND($E2164*IF(ISNA(MATCH($C2164,'Paramètres'!$D:$D,0)),1,IF(INDEX('Paramètres'!$J:$J,MATCH($C2164,'Paramètres'!$D:$D,0))="",1,INDEX('Paramètres'!$J:$J,MATCH($C2164,'Paramètres'!$D:$D,0)))),2))</f>
        <v/>
      </c>
      <c r="L2164" s="6" t="str">
        <f>IF($D2164="","",IF($F2164&lt;&gt;"",$F2164,IF(ISNA(MATCH($D2164,'Paramètres'!$M:$M,0)),"⚠ Type inconnu",IFERROR(INDEX('Paramètres'!$P:$P,MATCH($D2164,'Paramètres'!$M:$M,0))&amp;"",""))))</f>
        <v/>
      </c>
      <c r="M2164" s="6" t="str">
        <f>IF($D2164="","",IF(ISNA(MATCH($D2164,'Paramètres'!$M:$M,0)),"⚠ Type inconnu",IF($L2164="Crédit","",IFERROR(INDEX('Paramètres'!$O:$O,MATCH($D2164,'Paramètres'!$M:$M,0))&amp;"",""))))</f>
        <v/>
      </c>
      <c r="N2164" s="6" t="str">
        <f>IF($D2164="","",IFERROR(INDEX('Paramètres'!$Q:$Q,MATCH($D2164,'Paramètres'!$M:$M,0))&amp;"",""))</f>
        <v/>
      </c>
      <c r="O2164" s="6" t="str">
        <f>IF($A2164="","",IF(OR($J2164&lt;&gt;"x",$A2164&lt;=FinReleve),1,0))</f>
        <v/>
      </c>
      <c r="P2164" s="6" t="str">
        <f>IF($D2164="","",IF(AND($L2164="Crédit",OR(IFERROR(INDEX('Paramètres'!$O:$O,MATCH($D2164,'Paramètres'!$M:$M,0))&amp;"","")&lt;&gt;"",ISNUMBER(SEARCH("remboursement",IFERROR(INDEX('Paramètres'!$N:$N,MATCH($D2164,'Paramètres'!$M:$M,0))&amp;"",""))))),1,0))</f>
        <v/>
      </c>
      <c r="Q2164" s="6" t="str">
        <f>IF($K2164="","",IF(ISNUMBER(SEARCH("transfert-interne",IFERROR(INDEX('Paramètres'!$N:$N,MATCH($D2164,'Paramètres'!$M:$M,0))&amp;"",""))),0,IF($L2164="Débit",$K2164,IF($P2164=1,-$K2164,0))))</f>
        <v/>
      </c>
      <c r="R2164" s="6" t="str">
        <f>IF($K2164="","",IF($L2164="Crédit",$K2164,-$K2164))</f>
        <v/>
      </c>
      <c r="S2164" s="6" t="str">
        <f>IF($C2164="","",IFERROR(INDEX('Paramètres'!$H:$H,MATCH($C2164,'Paramètres'!$D:$D,0))&amp;"",""))</f>
        <v/>
      </c>
      <c r="T2164" s="6" t="str">
        <f>IF($K2164="","",IF($S2164="",0,IF(ISNUMBER(SEARCH("apport-exterieur",IFERROR(INDEX('Paramètres'!$N:$N,MATCH($D2164,'Paramètres'!$M:$M,0))&amp;"",""))),0,IF(OR(IFERROR(INDEX('Paramètres'!$I:$I,MATCH($C2164,'Paramètres'!$D:$D,0))&amp;"","")="Les deux",IFERROR(INDEX('Paramètres'!$I:$I,MATCH($C2164,'Paramètres'!$D:$D,0))&amp;"","")=IF($P2164=1,"Débit",$L2164)),-IF($P2164=1,-$K2164,$K2164),0))))</f>
        <v/>
      </c>
      <c r="U2164" s="6" t="str">
        <f>IF($K2164="","",IF(ISNUMBER(SEARCH("sortie-epargne",IFERROR(INDEX('Paramètres'!$N:$N,MATCH($D2164,'Paramètres'!$M:$M,0))&amp;"",""))),$K2164,0))</f>
        <v/>
      </c>
      <c r="V2164" s="6" t="str">
        <f>IF(AND($A2164&lt;&gt;"",$O2164=1,$L2164="Débit",N($Q2164)&gt;0,$A2164&gt;=Visualisation!$B$1,$A2164&lt;Visualisation!$D$1),MAX($V$1:V2163)+1,"")</f>
        <v/>
      </c>
    </row>
    <row r="2165" spans="1:22" x14ac:dyDescent="0.25">
      <c r="A2165" s="9"/>
      <c r="E2165" s="10"/>
      <c r="K2165" s="11" t="str">
        <f>IF($E2165="","",ROUND($E2165*IF(ISNA(MATCH($C2165,'Paramètres'!$D:$D,0)),1,IF(INDEX('Paramètres'!$J:$J,MATCH($C2165,'Paramètres'!$D:$D,0))="",1,INDEX('Paramètres'!$J:$J,MATCH($C2165,'Paramètres'!$D:$D,0)))),2))</f>
        <v/>
      </c>
      <c r="L2165" s="6" t="str">
        <f>IF($D2165="","",IF($F2165&lt;&gt;"",$F2165,IF(ISNA(MATCH($D2165,'Paramètres'!$M:$M,0)),"⚠ Type inconnu",IFERROR(INDEX('Paramètres'!$P:$P,MATCH($D2165,'Paramètres'!$M:$M,0))&amp;"",""))))</f>
        <v/>
      </c>
      <c r="M2165" s="6" t="str">
        <f>IF($D2165="","",IF(ISNA(MATCH($D2165,'Paramètres'!$M:$M,0)),"⚠ Type inconnu",IF($L2165="Crédit","",IFERROR(INDEX('Paramètres'!$O:$O,MATCH($D2165,'Paramètres'!$M:$M,0))&amp;"",""))))</f>
        <v/>
      </c>
      <c r="N2165" s="6" t="str">
        <f>IF($D2165="","",IFERROR(INDEX('Paramètres'!$Q:$Q,MATCH($D2165,'Paramètres'!$M:$M,0))&amp;"",""))</f>
        <v/>
      </c>
      <c r="O2165" s="6" t="str">
        <f>IF($A2165="","",IF(OR($J2165&lt;&gt;"x",$A2165&lt;=FinReleve),1,0))</f>
        <v/>
      </c>
      <c r="P2165" s="6" t="str">
        <f>IF($D2165="","",IF(AND($L2165="Crédit",OR(IFERROR(INDEX('Paramètres'!$O:$O,MATCH($D2165,'Paramètres'!$M:$M,0))&amp;"","")&lt;&gt;"",ISNUMBER(SEARCH("remboursement",IFERROR(INDEX('Paramètres'!$N:$N,MATCH($D2165,'Paramètres'!$M:$M,0))&amp;"",""))))),1,0))</f>
        <v/>
      </c>
      <c r="Q2165" s="6" t="str">
        <f>IF($K2165="","",IF(ISNUMBER(SEARCH("transfert-interne",IFERROR(INDEX('Paramètres'!$N:$N,MATCH($D2165,'Paramètres'!$M:$M,0))&amp;"",""))),0,IF($L2165="Débit",$K2165,IF($P2165=1,-$K2165,0))))</f>
        <v/>
      </c>
      <c r="R2165" s="6" t="str">
        <f>IF($K2165="","",IF($L2165="Crédit",$K2165,-$K2165))</f>
        <v/>
      </c>
      <c r="S2165" s="6" t="str">
        <f>IF($C2165="","",IFERROR(INDEX('Paramètres'!$H:$H,MATCH($C2165,'Paramètres'!$D:$D,0))&amp;"",""))</f>
        <v/>
      </c>
      <c r="T2165" s="6" t="str">
        <f>IF($K2165="","",IF($S2165="",0,IF(ISNUMBER(SEARCH("apport-exterieur",IFERROR(INDEX('Paramètres'!$N:$N,MATCH($D2165,'Paramètres'!$M:$M,0))&amp;"",""))),0,IF(OR(IFERROR(INDEX('Paramètres'!$I:$I,MATCH($C2165,'Paramètres'!$D:$D,0))&amp;"","")="Les deux",IFERROR(INDEX('Paramètres'!$I:$I,MATCH($C2165,'Paramètres'!$D:$D,0))&amp;"","")=IF($P2165=1,"Débit",$L2165)),-IF($P2165=1,-$K2165,$K2165),0))))</f>
        <v/>
      </c>
      <c r="U2165" s="6" t="str">
        <f>IF($K2165="","",IF(ISNUMBER(SEARCH("sortie-epargne",IFERROR(INDEX('Paramètres'!$N:$N,MATCH($D2165,'Paramètres'!$M:$M,0))&amp;"",""))),$K2165,0))</f>
        <v/>
      </c>
      <c r="V2165" s="6" t="str">
        <f>IF(AND($A2165&lt;&gt;"",$O2165=1,$L2165="Débit",N($Q2165)&gt;0,$A2165&gt;=Visualisation!$B$1,$A2165&lt;Visualisation!$D$1),MAX($V$1:V2164)+1,"")</f>
        <v/>
      </c>
    </row>
    <row r="2166" spans="1:22" x14ac:dyDescent="0.25">
      <c r="A2166" s="9"/>
      <c r="E2166" s="10"/>
      <c r="K2166" s="11" t="str">
        <f>IF($E2166="","",ROUND($E2166*IF(ISNA(MATCH($C2166,'Paramètres'!$D:$D,0)),1,IF(INDEX('Paramètres'!$J:$J,MATCH($C2166,'Paramètres'!$D:$D,0))="",1,INDEX('Paramètres'!$J:$J,MATCH($C2166,'Paramètres'!$D:$D,0)))),2))</f>
        <v/>
      </c>
      <c r="L2166" s="6" t="str">
        <f>IF($D2166="","",IF($F2166&lt;&gt;"",$F2166,IF(ISNA(MATCH($D2166,'Paramètres'!$M:$M,0)),"⚠ Type inconnu",IFERROR(INDEX('Paramètres'!$P:$P,MATCH($D2166,'Paramètres'!$M:$M,0))&amp;"",""))))</f>
        <v/>
      </c>
      <c r="M2166" s="6" t="str">
        <f>IF($D2166="","",IF(ISNA(MATCH($D2166,'Paramètres'!$M:$M,0)),"⚠ Type inconnu",IF($L2166="Crédit","",IFERROR(INDEX('Paramètres'!$O:$O,MATCH($D2166,'Paramètres'!$M:$M,0))&amp;"",""))))</f>
        <v/>
      </c>
      <c r="N2166" s="6" t="str">
        <f>IF($D2166="","",IFERROR(INDEX('Paramètres'!$Q:$Q,MATCH($D2166,'Paramètres'!$M:$M,0))&amp;"",""))</f>
        <v/>
      </c>
      <c r="O2166" s="6" t="str">
        <f>IF($A2166="","",IF(OR($J2166&lt;&gt;"x",$A2166&lt;=FinReleve),1,0))</f>
        <v/>
      </c>
      <c r="P2166" s="6" t="str">
        <f>IF($D2166="","",IF(AND($L2166="Crédit",OR(IFERROR(INDEX('Paramètres'!$O:$O,MATCH($D2166,'Paramètres'!$M:$M,0))&amp;"","")&lt;&gt;"",ISNUMBER(SEARCH("remboursement",IFERROR(INDEX('Paramètres'!$N:$N,MATCH($D2166,'Paramètres'!$M:$M,0))&amp;"",""))))),1,0))</f>
        <v/>
      </c>
      <c r="Q2166" s="6" t="str">
        <f>IF($K2166="","",IF(ISNUMBER(SEARCH("transfert-interne",IFERROR(INDEX('Paramètres'!$N:$N,MATCH($D2166,'Paramètres'!$M:$M,0))&amp;"",""))),0,IF($L2166="Débit",$K2166,IF($P2166=1,-$K2166,0))))</f>
        <v/>
      </c>
      <c r="R2166" s="6" t="str">
        <f>IF($K2166="","",IF($L2166="Crédit",$K2166,-$K2166))</f>
        <v/>
      </c>
      <c r="S2166" s="6" t="str">
        <f>IF($C2166="","",IFERROR(INDEX('Paramètres'!$H:$H,MATCH($C2166,'Paramètres'!$D:$D,0))&amp;"",""))</f>
        <v/>
      </c>
      <c r="T2166" s="6" t="str">
        <f>IF($K2166="","",IF($S2166="",0,IF(ISNUMBER(SEARCH("apport-exterieur",IFERROR(INDEX('Paramètres'!$N:$N,MATCH($D2166,'Paramètres'!$M:$M,0))&amp;"",""))),0,IF(OR(IFERROR(INDEX('Paramètres'!$I:$I,MATCH($C2166,'Paramètres'!$D:$D,0))&amp;"","")="Les deux",IFERROR(INDEX('Paramètres'!$I:$I,MATCH($C2166,'Paramètres'!$D:$D,0))&amp;"","")=IF($P2166=1,"Débit",$L2166)),-IF($P2166=1,-$K2166,$K2166),0))))</f>
        <v/>
      </c>
      <c r="U2166" s="6" t="str">
        <f>IF($K2166="","",IF(ISNUMBER(SEARCH("sortie-epargne",IFERROR(INDEX('Paramètres'!$N:$N,MATCH($D2166,'Paramètres'!$M:$M,0))&amp;"",""))),$K2166,0))</f>
        <v/>
      </c>
      <c r="V2166" s="6" t="str">
        <f>IF(AND($A2166&lt;&gt;"",$O2166=1,$L2166="Débit",N($Q2166)&gt;0,$A2166&gt;=Visualisation!$B$1,$A2166&lt;Visualisation!$D$1),MAX($V$1:V2165)+1,"")</f>
        <v/>
      </c>
    </row>
    <row r="2167" spans="1:22" x14ac:dyDescent="0.25">
      <c r="A2167" s="9"/>
      <c r="E2167" s="10"/>
      <c r="K2167" s="11" t="str">
        <f>IF($E2167="","",ROUND($E2167*IF(ISNA(MATCH($C2167,'Paramètres'!$D:$D,0)),1,IF(INDEX('Paramètres'!$J:$J,MATCH($C2167,'Paramètres'!$D:$D,0))="",1,INDEX('Paramètres'!$J:$J,MATCH($C2167,'Paramètres'!$D:$D,0)))),2))</f>
        <v/>
      </c>
      <c r="L2167" s="6" t="str">
        <f>IF($D2167="","",IF($F2167&lt;&gt;"",$F2167,IF(ISNA(MATCH($D2167,'Paramètres'!$M:$M,0)),"⚠ Type inconnu",IFERROR(INDEX('Paramètres'!$P:$P,MATCH($D2167,'Paramètres'!$M:$M,0))&amp;"",""))))</f>
        <v/>
      </c>
      <c r="M2167" s="6" t="str">
        <f>IF($D2167="","",IF(ISNA(MATCH($D2167,'Paramètres'!$M:$M,0)),"⚠ Type inconnu",IF($L2167="Crédit","",IFERROR(INDEX('Paramètres'!$O:$O,MATCH($D2167,'Paramètres'!$M:$M,0))&amp;"",""))))</f>
        <v/>
      </c>
      <c r="N2167" s="6" t="str">
        <f>IF($D2167="","",IFERROR(INDEX('Paramètres'!$Q:$Q,MATCH($D2167,'Paramètres'!$M:$M,0))&amp;"",""))</f>
        <v/>
      </c>
      <c r="O2167" s="6" t="str">
        <f>IF($A2167="","",IF(OR($J2167&lt;&gt;"x",$A2167&lt;=FinReleve),1,0))</f>
        <v/>
      </c>
      <c r="P2167" s="6" t="str">
        <f>IF($D2167="","",IF(AND($L2167="Crédit",OR(IFERROR(INDEX('Paramètres'!$O:$O,MATCH($D2167,'Paramètres'!$M:$M,0))&amp;"","")&lt;&gt;"",ISNUMBER(SEARCH("remboursement",IFERROR(INDEX('Paramètres'!$N:$N,MATCH($D2167,'Paramètres'!$M:$M,0))&amp;"",""))))),1,0))</f>
        <v/>
      </c>
      <c r="Q2167" s="6" t="str">
        <f>IF($K2167="","",IF(ISNUMBER(SEARCH("transfert-interne",IFERROR(INDEX('Paramètres'!$N:$N,MATCH($D2167,'Paramètres'!$M:$M,0))&amp;"",""))),0,IF($L2167="Débit",$K2167,IF($P2167=1,-$K2167,0))))</f>
        <v/>
      </c>
      <c r="R2167" s="6" t="str">
        <f>IF($K2167="","",IF($L2167="Crédit",$K2167,-$K2167))</f>
        <v/>
      </c>
      <c r="S2167" s="6" t="str">
        <f>IF($C2167="","",IFERROR(INDEX('Paramètres'!$H:$H,MATCH($C2167,'Paramètres'!$D:$D,0))&amp;"",""))</f>
        <v/>
      </c>
      <c r="T2167" s="6" t="str">
        <f>IF($K2167="","",IF($S2167="",0,IF(ISNUMBER(SEARCH("apport-exterieur",IFERROR(INDEX('Paramètres'!$N:$N,MATCH($D2167,'Paramètres'!$M:$M,0))&amp;"",""))),0,IF(OR(IFERROR(INDEX('Paramètres'!$I:$I,MATCH($C2167,'Paramètres'!$D:$D,0))&amp;"","")="Les deux",IFERROR(INDEX('Paramètres'!$I:$I,MATCH($C2167,'Paramètres'!$D:$D,0))&amp;"","")=IF($P2167=1,"Débit",$L2167)),-IF($P2167=1,-$K2167,$K2167),0))))</f>
        <v/>
      </c>
      <c r="U2167" s="6" t="str">
        <f>IF($K2167="","",IF(ISNUMBER(SEARCH("sortie-epargne",IFERROR(INDEX('Paramètres'!$N:$N,MATCH($D2167,'Paramètres'!$M:$M,0))&amp;"",""))),$K2167,0))</f>
        <v/>
      </c>
      <c r="V2167" s="6" t="str">
        <f>IF(AND($A2167&lt;&gt;"",$O2167=1,$L2167="Débit",N($Q2167)&gt;0,$A2167&gt;=Visualisation!$B$1,$A2167&lt;Visualisation!$D$1),MAX($V$1:V2166)+1,"")</f>
        <v/>
      </c>
    </row>
    <row r="2168" spans="1:22" x14ac:dyDescent="0.25">
      <c r="A2168" s="9"/>
      <c r="E2168" s="10"/>
      <c r="K2168" s="11" t="str">
        <f>IF($E2168="","",ROUND($E2168*IF(ISNA(MATCH($C2168,'Paramètres'!$D:$D,0)),1,IF(INDEX('Paramètres'!$J:$J,MATCH($C2168,'Paramètres'!$D:$D,0))="",1,INDEX('Paramètres'!$J:$J,MATCH($C2168,'Paramètres'!$D:$D,0)))),2))</f>
        <v/>
      </c>
      <c r="L2168" s="6" t="str">
        <f>IF($D2168="","",IF($F2168&lt;&gt;"",$F2168,IF(ISNA(MATCH($D2168,'Paramètres'!$M:$M,0)),"⚠ Type inconnu",IFERROR(INDEX('Paramètres'!$P:$P,MATCH($D2168,'Paramètres'!$M:$M,0))&amp;"",""))))</f>
        <v/>
      </c>
      <c r="M2168" s="6" t="str">
        <f>IF($D2168="","",IF(ISNA(MATCH($D2168,'Paramètres'!$M:$M,0)),"⚠ Type inconnu",IF($L2168="Crédit","",IFERROR(INDEX('Paramètres'!$O:$O,MATCH($D2168,'Paramètres'!$M:$M,0))&amp;"",""))))</f>
        <v/>
      </c>
      <c r="N2168" s="6" t="str">
        <f>IF($D2168="","",IFERROR(INDEX('Paramètres'!$Q:$Q,MATCH($D2168,'Paramètres'!$M:$M,0))&amp;"",""))</f>
        <v/>
      </c>
      <c r="O2168" s="6" t="str">
        <f>IF($A2168="","",IF(OR($J2168&lt;&gt;"x",$A2168&lt;=FinReleve),1,0))</f>
        <v/>
      </c>
      <c r="P2168" s="6" t="str">
        <f>IF($D2168="","",IF(AND($L2168="Crédit",OR(IFERROR(INDEX('Paramètres'!$O:$O,MATCH($D2168,'Paramètres'!$M:$M,0))&amp;"","")&lt;&gt;"",ISNUMBER(SEARCH("remboursement",IFERROR(INDEX('Paramètres'!$N:$N,MATCH($D2168,'Paramètres'!$M:$M,0))&amp;"",""))))),1,0))</f>
        <v/>
      </c>
      <c r="Q2168" s="6" t="str">
        <f>IF($K2168="","",IF(ISNUMBER(SEARCH("transfert-interne",IFERROR(INDEX('Paramètres'!$N:$N,MATCH($D2168,'Paramètres'!$M:$M,0))&amp;"",""))),0,IF($L2168="Débit",$K2168,IF($P2168=1,-$K2168,0))))</f>
        <v/>
      </c>
      <c r="R2168" s="6" t="str">
        <f>IF($K2168="","",IF($L2168="Crédit",$K2168,-$K2168))</f>
        <v/>
      </c>
      <c r="S2168" s="6" t="str">
        <f>IF($C2168="","",IFERROR(INDEX('Paramètres'!$H:$H,MATCH($C2168,'Paramètres'!$D:$D,0))&amp;"",""))</f>
        <v/>
      </c>
      <c r="T2168" s="6" t="str">
        <f>IF($K2168="","",IF($S2168="",0,IF(ISNUMBER(SEARCH("apport-exterieur",IFERROR(INDEX('Paramètres'!$N:$N,MATCH($D2168,'Paramètres'!$M:$M,0))&amp;"",""))),0,IF(OR(IFERROR(INDEX('Paramètres'!$I:$I,MATCH($C2168,'Paramètres'!$D:$D,0))&amp;"","")="Les deux",IFERROR(INDEX('Paramètres'!$I:$I,MATCH($C2168,'Paramètres'!$D:$D,0))&amp;"","")=IF($P2168=1,"Débit",$L2168)),-IF($P2168=1,-$K2168,$K2168),0))))</f>
        <v/>
      </c>
      <c r="U2168" s="6" t="str">
        <f>IF($K2168="","",IF(ISNUMBER(SEARCH("sortie-epargne",IFERROR(INDEX('Paramètres'!$N:$N,MATCH($D2168,'Paramètres'!$M:$M,0))&amp;"",""))),$K2168,0))</f>
        <v/>
      </c>
      <c r="V2168" s="6" t="str">
        <f>IF(AND($A2168&lt;&gt;"",$O2168=1,$L2168="Débit",N($Q2168)&gt;0,$A2168&gt;=Visualisation!$B$1,$A2168&lt;Visualisation!$D$1),MAX($V$1:V2167)+1,"")</f>
        <v/>
      </c>
    </row>
    <row r="2169" spans="1:22" x14ac:dyDescent="0.25">
      <c r="A2169" s="9"/>
      <c r="E2169" s="10"/>
      <c r="K2169" s="11" t="str">
        <f>IF($E2169="","",ROUND($E2169*IF(ISNA(MATCH($C2169,'Paramètres'!$D:$D,0)),1,IF(INDEX('Paramètres'!$J:$J,MATCH($C2169,'Paramètres'!$D:$D,0))="",1,INDEX('Paramètres'!$J:$J,MATCH($C2169,'Paramètres'!$D:$D,0)))),2))</f>
        <v/>
      </c>
      <c r="L2169" s="6" t="str">
        <f>IF($D2169="","",IF($F2169&lt;&gt;"",$F2169,IF(ISNA(MATCH($D2169,'Paramètres'!$M:$M,0)),"⚠ Type inconnu",IFERROR(INDEX('Paramètres'!$P:$P,MATCH($D2169,'Paramètres'!$M:$M,0))&amp;"",""))))</f>
        <v/>
      </c>
      <c r="M2169" s="6" t="str">
        <f>IF($D2169="","",IF(ISNA(MATCH($D2169,'Paramètres'!$M:$M,0)),"⚠ Type inconnu",IF($L2169="Crédit","",IFERROR(INDEX('Paramètres'!$O:$O,MATCH($D2169,'Paramètres'!$M:$M,0))&amp;"",""))))</f>
        <v/>
      </c>
      <c r="N2169" s="6" t="str">
        <f>IF($D2169="","",IFERROR(INDEX('Paramètres'!$Q:$Q,MATCH($D2169,'Paramètres'!$M:$M,0))&amp;"",""))</f>
        <v/>
      </c>
      <c r="O2169" s="6" t="str">
        <f>IF($A2169="","",IF(OR($J2169&lt;&gt;"x",$A2169&lt;=FinReleve),1,0))</f>
        <v/>
      </c>
      <c r="P2169" s="6" t="str">
        <f>IF($D2169="","",IF(AND($L2169="Crédit",OR(IFERROR(INDEX('Paramètres'!$O:$O,MATCH($D2169,'Paramètres'!$M:$M,0))&amp;"","")&lt;&gt;"",ISNUMBER(SEARCH("remboursement",IFERROR(INDEX('Paramètres'!$N:$N,MATCH($D2169,'Paramètres'!$M:$M,0))&amp;"",""))))),1,0))</f>
        <v/>
      </c>
      <c r="Q2169" s="6" t="str">
        <f>IF($K2169="","",IF(ISNUMBER(SEARCH("transfert-interne",IFERROR(INDEX('Paramètres'!$N:$N,MATCH($D2169,'Paramètres'!$M:$M,0))&amp;"",""))),0,IF($L2169="Débit",$K2169,IF($P2169=1,-$K2169,0))))</f>
        <v/>
      </c>
      <c r="R2169" s="6" t="str">
        <f>IF($K2169="","",IF($L2169="Crédit",$K2169,-$K2169))</f>
        <v/>
      </c>
      <c r="S2169" s="6" t="str">
        <f>IF($C2169="","",IFERROR(INDEX('Paramètres'!$H:$H,MATCH($C2169,'Paramètres'!$D:$D,0))&amp;"",""))</f>
        <v/>
      </c>
      <c r="T2169" s="6" t="str">
        <f>IF($K2169="","",IF($S2169="",0,IF(ISNUMBER(SEARCH("apport-exterieur",IFERROR(INDEX('Paramètres'!$N:$N,MATCH($D2169,'Paramètres'!$M:$M,0))&amp;"",""))),0,IF(OR(IFERROR(INDEX('Paramètres'!$I:$I,MATCH($C2169,'Paramètres'!$D:$D,0))&amp;"","")="Les deux",IFERROR(INDEX('Paramètres'!$I:$I,MATCH($C2169,'Paramètres'!$D:$D,0))&amp;"","")=IF($P2169=1,"Débit",$L2169)),-IF($P2169=1,-$K2169,$K2169),0))))</f>
        <v/>
      </c>
      <c r="U2169" s="6" t="str">
        <f>IF($K2169="","",IF(ISNUMBER(SEARCH("sortie-epargne",IFERROR(INDEX('Paramètres'!$N:$N,MATCH($D2169,'Paramètres'!$M:$M,0))&amp;"",""))),$K2169,0))</f>
        <v/>
      </c>
      <c r="V2169" s="6" t="str">
        <f>IF(AND($A2169&lt;&gt;"",$O2169=1,$L2169="Débit",N($Q2169)&gt;0,$A2169&gt;=Visualisation!$B$1,$A2169&lt;Visualisation!$D$1),MAX($V$1:V2168)+1,"")</f>
        <v/>
      </c>
    </row>
    <row r="2170" spans="1:22" x14ac:dyDescent="0.25">
      <c r="A2170" s="9"/>
      <c r="E2170" s="10"/>
      <c r="K2170" s="11" t="str">
        <f>IF($E2170="","",ROUND($E2170*IF(ISNA(MATCH($C2170,'Paramètres'!$D:$D,0)),1,IF(INDEX('Paramètres'!$J:$J,MATCH($C2170,'Paramètres'!$D:$D,0))="",1,INDEX('Paramètres'!$J:$J,MATCH($C2170,'Paramètres'!$D:$D,0)))),2))</f>
        <v/>
      </c>
      <c r="L2170" s="6" t="str">
        <f>IF($D2170="","",IF($F2170&lt;&gt;"",$F2170,IF(ISNA(MATCH($D2170,'Paramètres'!$M:$M,0)),"⚠ Type inconnu",IFERROR(INDEX('Paramètres'!$P:$P,MATCH($D2170,'Paramètres'!$M:$M,0))&amp;"",""))))</f>
        <v/>
      </c>
      <c r="M2170" s="6" t="str">
        <f>IF($D2170="","",IF(ISNA(MATCH($D2170,'Paramètres'!$M:$M,0)),"⚠ Type inconnu",IF($L2170="Crédit","",IFERROR(INDEX('Paramètres'!$O:$O,MATCH($D2170,'Paramètres'!$M:$M,0))&amp;"",""))))</f>
        <v/>
      </c>
      <c r="N2170" s="6" t="str">
        <f>IF($D2170="","",IFERROR(INDEX('Paramètres'!$Q:$Q,MATCH($D2170,'Paramètres'!$M:$M,0))&amp;"",""))</f>
        <v/>
      </c>
      <c r="O2170" s="6" t="str">
        <f>IF($A2170="","",IF(OR($J2170&lt;&gt;"x",$A2170&lt;=FinReleve),1,0))</f>
        <v/>
      </c>
      <c r="P2170" s="6" t="str">
        <f>IF($D2170="","",IF(AND($L2170="Crédit",OR(IFERROR(INDEX('Paramètres'!$O:$O,MATCH($D2170,'Paramètres'!$M:$M,0))&amp;"","")&lt;&gt;"",ISNUMBER(SEARCH("remboursement",IFERROR(INDEX('Paramètres'!$N:$N,MATCH($D2170,'Paramètres'!$M:$M,0))&amp;"",""))))),1,0))</f>
        <v/>
      </c>
      <c r="Q2170" s="6" t="str">
        <f>IF($K2170="","",IF(ISNUMBER(SEARCH("transfert-interne",IFERROR(INDEX('Paramètres'!$N:$N,MATCH($D2170,'Paramètres'!$M:$M,0))&amp;"",""))),0,IF($L2170="Débit",$K2170,IF($P2170=1,-$K2170,0))))</f>
        <v/>
      </c>
      <c r="R2170" s="6" t="str">
        <f>IF($K2170="","",IF($L2170="Crédit",$K2170,-$K2170))</f>
        <v/>
      </c>
      <c r="S2170" s="6" t="str">
        <f>IF($C2170="","",IFERROR(INDEX('Paramètres'!$H:$H,MATCH($C2170,'Paramètres'!$D:$D,0))&amp;"",""))</f>
        <v/>
      </c>
      <c r="T2170" s="6" t="str">
        <f>IF($K2170="","",IF($S2170="",0,IF(ISNUMBER(SEARCH("apport-exterieur",IFERROR(INDEX('Paramètres'!$N:$N,MATCH($D2170,'Paramètres'!$M:$M,0))&amp;"",""))),0,IF(OR(IFERROR(INDEX('Paramètres'!$I:$I,MATCH($C2170,'Paramètres'!$D:$D,0))&amp;"","")="Les deux",IFERROR(INDEX('Paramètres'!$I:$I,MATCH($C2170,'Paramètres'!$D:$D,0))&amp;"","")=IF($P2170=1,"Débit",$L2170)),-IF($P2170=1,-$K2170,$K2170),0))))</f>
        <v/>
      </c>
      <c r="U2170" s="6" t="str">
        <f>IF($K2170="","",IF(ISNUMBER(SEARCH("sortie-epargne",IFERROR(INDEX('Paramètres'!$N:$N,MATCH($D2170,'Paramètres'!$M:$M,0))&amp;"",""))),$K2170,0))</f>
        <v/>
      </c>
      <c r="V2170" s="6" t="str">
        <f>IF(AND($A2170&lt;&gt;"",$O2170=1,$L2170="Débit",N($Q2170)&gt;0,$A2170&gt;=Visualisation!$B$1,$A2170&lt;Visualisation!$D$1),MAX($V$1:V2169)+1,"")</f>
        <v/>
      </c>
    </row>
    <row r="2171" spans="1:22" x14ac:dyDescent="0.25">
      <c r="A2171" s="9"/>
      <c r="E2171" s="10"/>
      <c r="K2171" s="11" t="str">
        <f>IF($E2171="","",ROUND($E2171*IF(ISNA(MATCH($C2171,'Paramètres'!$D:$D,0)),1,IF(INDEX('Paramètres'!$J:$J,MATCH($C2171,'Paramètres'!$D:$D,0))="",1,INDEX('Paramètres'!$J:$J,MATCH($C2171,'Paramètres'!$D:$D,0)))),2))</f>
        <v/>
      </c>
      <c r="L2171" s="6" t="str">
        <f>IF($D2171="","",IF($F2171&lt;&gt;"",$F2171,IF(ISNA(MATCH($D2171,'Paramètres'!$M:$M,0)),"⚠ Type inconnu",IFERROR(INDEX('Paramètres'!$P:$P,MATCH($D2171,'Paramètres'!$M:$M,0))&amp;"",""))))</f>
        <v/>
      </c>
      <c r="M2171" s="6" t="str">
        <f>IF($D2171="","",IF(ISNA(MATCH($D2171,'Paramètres'!$M:$M,0)),"⚠ Type inconnu",IF($L2171="Crédit","",IFERROR(INDEX('Paramètres'!$O:$O,MATCH($D2171,'Paramètres'!$M:$M,0))&amp;"",""))))</f>
        <v/>
      </c>
      <c r="N2171" s="6" t="str">
        <f>IF($D2171="","",IFERROR(INDEX('Paramètres'!$Q:$Q,MATCH($D2171,'Paramètres'!$M:$M,0))&amp;"",""))</f>
        <v/>
      </c>
      <c r="O2171" s="6" t="str">
        <f>IF($A2171="","",IF(OR($J2171&lt;&gt;"x",$A2171&lt;=FinReleve),1,0))</f>
        <v/>
      </c>
      <c r="P2171" s="6" t="str">
        <f>IF($D2171="","",IF(AND($L2171="Crédit",OR(IFERROR(INDEX('Paramètres'!$O:$O,MATCH($D2171,'Paramètres'!$M:$M,0))&amp;"","")&lt;&gt;"",ISNUMBER(SEARCH("remboursement",IFERROR(INDEX('Paramètres'!$N:$N,MATCH($D2171,'Paramètres'!$M:$M,0))&amp;"",""))))),1,0))</f>
        <v/>
      </c>
      <c r="Q2171" s="6" t="str">
        <f>IF($K2171="","",IF(ISNUMBER(SEARCH("transfert-interne",IFERROR(INDEX('Paramètres'!$N:$N,MATCH($D2171,'Paramètres'!$M:$M,0))&amp;"",""))),0,IF($L2171="Débit",$K2171,IF($P2171=1,-$K2171,0))))</f>
        <v/>
      </c>
      <c r="R2171" s="6" t="str">
        <f>IF($K2171="","",IF($L2171="Crédit",$K2171,-$K2171))</f>
        <v/>
      </c>
      <c r="S2171" s="6" t="str">
        <f>IF($C2171="","",IFERROR(INDEX('Paramètres'!$H:$H,MATCH($C2171,'Paramètres'!$D:$D,0))&amp;"",""))</f>
        <v/>
      </c>
      <c r="T2171" s="6" t="str">
        <f>IF($K2171="","",IF($S2171="",0,IF(ISNUMBER(SEARCH("apport-exterieur",IFERROR(INDEX('Paramètres'!$N:$N,MATCH($D2171,'Paramètres'!$M:$M,0))&amp;"",""))),0,IF(OR(IFERROR(INDEX('Paramètres'!$I:$I,MATCH($C2171,'Paramètres'!$D:$D,0))&amp;"","")="Les deux",IFERROR(INDEX('Paramètres'!$I:$I,MATCH($C2171,'Paramètres'!$D:$D,0))&amp;"","")=IF($P2171=1,"Débit",$L2171)),-IF($P2171=1,-$K2171,$K2171),0))))</f>
        <v/>
      </c>
      <c r="U2171" s="6" t="str">
        <f>IF($K2171="","",IF(ISNUMBER(SEARCH("sortie-epargne",IFERROR(INDEX('Paramètres'!$N:$N,MATCH($D2171,'Paramètres'!$M:$M,0))&amp;"",""))),$K2171,0))</f>
        <v/>
      </c>
      <c r="V2171" s="6" t="str">
        <f>IF(AND($A2171&lt;&gt;"",$O2171=1,$L2171="Débit",N($Q2171)&gt;0,$A2171&gt;=Visualisation!$B$1,$A2171&lt;Visualisation!$D$1),MAX($V$1:V2170)+1,"")</f>
        <v/>
      </c>
    </row>
    <row r="2172" spans="1:22" x14ac:dyDescent="0.25">
      <c r="A2172" s="9"/>
      <c r="E2172" s="10"/>
      <c r="K2172" s="11" t="str">
        <f>IF($E2172="","",ROUND($E2172*IF(ISNA(MATCH($C2172,'Paramètres'!$D:$D,0)),1,IF(INDEX('Paramètres'!$J:$J,MATCH($C2172,'Paramètres'!$D:$D,0))="",1,INDEX('Paramètres'!$J:$J,MATCH($C2172,'Paramètres'!$D:$D,0)))),2))</f>
        <v/>
      </c>
      <c r="L2172" s="6" t="str">
        <f>IF($D2172="","",IF($F2172&lt;&gt;"",$F2172,IF(ISNA(MATCH($D2172,'Paramètres'!$M:$M,0)),"⚠ Type inconnu",IFERROR(INDEX('Paramètres'!$P:$P,MATCH($D2172,'Paramètres'!$M:$M,0))&amp;"",""))))</f>
        <v/>
      </c>
      <c r="M2172" s="6" t="str">
        <f>IF($D2172="","",IF(ISNA(MATCH($D2172,'Paramètres'!$M:$M,0)),"⚠ Type inconnu",IF($L2172="Crédit","",IFERROR(INDEX('Paramètres'!$O:$O,MATCH($D2172,'Paramètres'!$M:$M,0))&amp;"",""))))</f>
        <v/>
      </c>
      <c r="N2172" s="6" t="str">
        <f>IF($D2172="","",IFERROR(INDEX('Paramètres'!$Q:$Q,MATCH($D2172,'Paramètres'!$M:$M,0))&amp;"",""))</f>
        <v/>
      </c>
      <c r="O2172" s="6" t="str">
        <f>IF($A2172="","",IF(OR($J2172&lt;&gt;"x",$A2172&lt;=FinReleve),1,0))</f>
        <v/>
      </c>
      <c r="P2172" s="6" t="str">
        <f>IF($D2172="","",IF(AND($L2172="Crédit",OR(IFERROR(INDEX('Paramètres'!$O:$O,MATCH($D2172,'Paramètres'!$M:$M,0))&amp;"","")&lt;&gt;"",ISNUMBER(SEARCH("remboursement",IFERROR(INDEX('Paramètres'!$N:$N,MATCH($D2172,'Paramètres'!$M:$M,0))&amp;"",""))))),1,0))</f>
        <v/>
      </c>
      <c r="Q2172" s="6" t="str">
        <f>IF($K2172="","",IF(ISNUMBER(SEARCH("transfert-interne",IFERROR(INDEX('Paramètres'!$N:$N,MATCH($D2172,'Paramètres'!$M:$M,0))&amp;"",""))),0,IF($L2172="Débit",$K2172,IF($P2172=1,-$K2172,0))))</f>
        <v/>
      </c>
      <c r="R2172" s="6" t="str">
        <f>IF($K2172="","",IF($L2172="Crédit",$K2172,-$K2172))</f>
        <v/>
      </c>
      <c r="S2172" s="6" t="str">
        <f>IF($C2172="","",IFERROR(INDEX('Paramètres'!$H:$H,MATCH($C2172,'Paramètres'!$D:$D,0))&amp;"",""))</f>
        <v/>
      </c>
      <c r="T2172" s="6" t="str">
        <f>IF($K2172="","",IF($S2172="",0,IF(ISNUMBER(SEARCH("apport-exterieur",IFERROR(INDEX('Paramètres'!$N:$N,MATCH($D2172,'Paramètres'!$M:$M,0))&amp;"",""))),0,IF(OR(IFERROR(INDEX('Paramètres'!$I:$I,MATCH($C2172,'Paramètres'!$D:$D,0))&amp;"","")="Les deux",IFERROR(INDEX('Paramètres'!$I:$I,MATCH($C2172,'Paramètres'!$D:$D,0))&amp;"","")=IF($P2172=1,"Débit",$L2172)),-IF($P2172=1,-$K2172,$K2172),0))))</f>
        <v/>
      </c>
      <c r="U2172" s="6" t="str">
        <f>IF($K2172="","",IF(ISNUMBER(SEARCH("sortie-epargne",IFERROR(INDEX('Paramètres'!$N:$N,MATCH($D2172,'Paramètres'!$M:$M,0))&amp;"",""))),$K2172,0))</f>
        <v/>
      </c>
      <c r="V2172" s="6" t="str">
        <f>IF(AND($A2172&lt;&gt;"",$O2172=1,$L2172="Débit",N($Q2172)&gt;0,$A2172&gt;=Visualisation!$B$1,$A2172&lt;Visualisation!$D$1),MAX($V$1:V2171)+1,"")</f>
        <v/>
      </c>
    </row>
    <row r="2173" spans="1:22" x14ac:dyDescent="0.25">
      <c r="A2173" s="9"/>
      <c r="E2173" s="10"/>
      <c r="K2173" s="11" t="str">
        <f>IF($E2173="","",ROUND($E2173*IF(ISNA(MATCH($C2173,'Paramètres'!$D:$D,0)),1,IF(INDEX('Paramètres'!$J:$J,MATCH($C2173,'Paramètres'!$D:$D,0))="",1,INDEX('Paramètres'!$J:$J,MATCH($C2173,'Paramètres'!$D:$D,0)))),2))</f>
        <v/>
      </c>
      <c r="L2173" s="6" t="str">
        <f>IF($D2173="","",IF($F2173&lt;&gt;"",$F2173,IF(ISNA(MATCH($D2173,'Paramètres'!$M:$M,0)),"⚠ Type inconnu",IFERROR(INDEX('Paramètres'!$P:$P,MATCH($D2173,'Paramètres'!$M:$M,0))&amp;"",""))))</f>
        <v/>
      </c>
      <c r="M2173" s="6" t="str">
        <f>IF($D2173="","",IF(ISNA(MATCH($D2173,'Paramètres'!$M:$M,0)),"⚠ Type inconnu",IF($L2173="Crédit","",IFERROR(INDEX('Paramètres'!$O:$O,MATCH($D2173,'Paramètres'!$M:$M,0))&amp;"",""))))</f>
        <v/>
      </c>
      <c r="N2173" s="6" t="str">
        <f>IF($D2173="","",IFERROR(INDEX('Paramètres'!$Q:$Q,MATCH($D2173,'Paramètres'!$M:$M,0))&amp;"",""))</f>
        <v/>
      </c>
      <c r="O2173" s="6" t="str">
        <f>IF($A2173="","",IF(OR($J2173&lt;&gt;"x",$A2173&lt;=FinReleve),1,0))</f>
        <v/>
      </c>
      <c r="P2173" s="6" t="str">
        <f>IF($D2173="","",IF(AND($L2173="Crédit",OR(IFERROR(INDEX('Paramètres'!$O:$O,MATCH($D2173,'Paramètres'!$M:$M,0))&amp;"","")&lt;&gt;"",ISNUMBER(SEARCH("remboursement",IFERROR(INDEX('Paramètres'!$N:$N,MATCH($D2173,'Paramètres'!$M:$M,0))&amp;"",""))))),1,0))</f>
        <v/>
      </c>
      <c r="Q2173" s="6" t="str">
        <f>IF($K2173="","",IF(ISNUMBER(SEARCH("transfert-interne",IFERROR(INDEX('Paramètres'!$N:$N,MATCH($D2173,'Paramètres'!$M:$M,0))&amp;"",""))),0,IF($L2173="Débit",$K2173,IF($P2173=1,-$K2173,0))))</f>
        <v/>
      </c>
      <c r="R2173" s="6" t="str">
        <f>IF($K2173="","",IF($L2173="Crédit",$K2173,-$K2173))</f>
        <v/>
      </c>
      <c r="S2173" s="6" t="str">
        <f>IF($C2173="","",IFERROR(INDEX('Paramètres'!$H:$H,MATCH($C2173,'Paramètres'!$D:$D,0))&amp;"",""))</f>
        <v/>
      </c>
      <c r="T2173" s="6" t="str">
        <f>IF($K2173="","",IF($S2173="",0,IF(ISNUMBER(SEARCH("apport-exterieur",IFERROR(INDEX('Paramètres'!$N:$N,MATCH($D2173,'Paramètres'!$M:$M,0))&amp;"",""))),0,IF(OR(IFERROR(INDEX('Paramètres'!$I:$I,MATCH($C2173,'Paramètres'!$D:$D,0))&amp;"","")="Les deux",IFERROR(INDEX('Paramètres'!$I:$I,MATCH($C2173,'Paramètres'!$D:$D,0))&amp;"","")=IF($P2173=1,"Débit",$L2173)),-IF($P2173=1,-$K2173,$K2173),0))))</f>
        <v/>
      </c>
      <c r="U2173" s="6" t="str">
        <f>IF($K2173="","",IF(ISNUMBER(SEARCH("sortie-epargne",IFERROR(INDEX('Paramètres'!$N:$N,MATCH($D2173,'Paramètres'!$M:$M,0))&amp;"",""))),$K2173,0))</f>
        <v/>
      </c>
      <c r="V2173" s="6" t="str">
        <f>IF(AND($A2173&lt;&gt;"",$O2173=1,$L2173="Débit",N($Q2173)&gt;0,$A2173&gt;=Visualisation!$B$1,$A2173&lt;Visualisation!$D$1),MAX($V$1:V2172)+1,"")</f>
        <v/>
      </c>
    </row>
    <row r="2174" spans="1:22" x14ac:dyDescent="0.25">
      <c r="A2174" s="9"/>
      <c r="E2174" s="10"/>
      <c r="K2174" s="11" t="str">
        <f>IF($E2174="","",ROUND($E2174*IF(ISNA(MATCH($C2174,'Paramètres'!$D:$D,0)),1,IF(INDEX('Paramètres'!$J:$J,MATCH($C2174,'Paramètres'!$D:$D,0))="",1,INDEX('Paramètres'!$J:$J,MATCH($C2174,'Paramètres'!$D:$D,0)))),2))</f>
        <v/>
      </c>
      <c r="L2174" s="6" t="str">
        <f>IF($D2174="","",IF($F2174&lt;&gt;"",$F2174,IF(ISNA(MATCH($D2174,'Paramètres'!$M:$M,0)),"⚠ Type inconnu",IFERROR(INDEX('Paramètres'!$P:$P,MATCH($D2174,'Paramètres'!$M:$M,0))&amp;"",""))))</f>
        <v/>
      </c>
      <c r="M2174" s="6" t="str">
        <f>IF($D2174="","",IF(ISNA(MATCH($D2174,'Paramètres'!$M:$M,0)),"⚠ Type inconnu",IF($L2174="Crédit","",IFERROR(INDEX('Paramètres'!$O:$O,MATCH($D2174,'Paramètres'!$M:$M,0))&amp;"",""))))</f>
        <v/>
      </c>
      <c r="N2174" s="6" t="str">
        <f>IF($D2174="","",IFERROR(INDEX('Paramètres'!$Q:$Q,MATCH($D2174,'Paramètres'!$M:$M,0))&amp;"",""))</f>
        <v/>
      </c>
      <c r="O2174" s="6" t="str">
        <f>IF($A2174="","",IF(OR($J2174&lt;&gt;"x",$A2174&lt;=FinReleve),1,0))</f>
        <v/>
      </c>
      <c r="P2174" s="6" t="str">
        <f>IF($D2174="","",IF(AND($L2174="Crédit",OR(IFERROR(INDEX('Paramètres'!$O:$O,MATCH($D2174,'Paramètres'!$M:$M,0))&amp;"","")&lt;&gt;"",ISNUMBER(SEARCH("remboursement",IFERROR(INDEX('Paramètres'!$N:$N,MATCH($D2174,'Paramètres'!$M:$M,0))&amp;"",""))))),1,0))</f>
        <v/>
      </c>
      <c r="Q2174" s="6" t="str">
        <f>IF($K2174="","",IF(ISNUMBER(SEARCH("transfert-interne",IFERROR(INDEX('Paramètres'!$N:$N,MATCH($D2174,'Paramètres'!$M:$M,0))&amp;"",""))),0,IF($L2174="Débit",$K2174,IF($P2174=1,-$K2174,0))))</f>
        <v/>
      </c>
      <c r="R2174" s="6" t="str">
        <f>IF($K2174="","",IF($L2174="Crédit",$K2174,-$K2174))</f>
        <v/>
      </c>
      <c r="S2174" s="6" t="str">
        <f>IF($C2174="","",IFERROR(INDEX('Paramètres'!$H:$H,MATCH($C2174,'Paramètres'!$D:$D,0))&amp;"",""))</f>
        <v/>
      </c>
      <c r="T2174" s="6" t="str">
        <f>IF($K2174="","",IF($S2174="",0,IF(ISNUMBER(SEARCH("apport-exterieur",IFERROR(INDEX('Paramètres'!$N:$N,MATCH($D2174,'Paramètres'!$M:$M,0))&amp;"",""))),0,IF(OR(IFERROR(INDEX('Paramètres'!$I:$I,MATCH($C2174,'Paramètres'!$D:$D,0))&amp;"","")="Les deux",IFERROR(INDEX('Paramètres'!$I:$I,MATCH($C2174,'Paramètres'!$D:$D,0))&amp;"","")=IF($P2174=1,"Débit",$L2174)),-IF($P2174=1,-$K2174,$K2174),0))))</f>
        <v/>
      </c>
      <c r="U2174" s="6" t="str">
        <f>IF($K2174="","",IF(ISNUMBER(SEARCH("sortie-epargne",IFERROR(INDEX('Paramètres'!$N:$N,MATCH($D2174,'Paramètres'!$M:$M,0))&amp;"",""))),$K2174,0))</f>
        <v/>
      </c>
      <c r="V2174" s="6" t="str">
        <f>IF(AND($A2174&lt;&gt;"",$O2174=1,$L2174="Débit",N($Q2174)&gt;0,$A2174&gt;=Visualisation!$B$1,$A2174&lt;Visualisation!$D$1),MAX($V$1:V2173)+1,"")</f>
        <v/>
      </c>
    </row>
    <row r="2175" spans="1:22" x14ac:dyDescent="0.25">
      <c r="A2175" s="9"/>
      <c r="E2175" s="10"/>
      <c r="K2175" s="11" t="str">
        <f>IF($E2175="","",ROUND($E2175*IF(ISNA(MATCH($C2175,'Paramètres'!$D:$D,0)),1,IF(INDEX('Paramètres'!$J:$J,MATCH($C2175,'Paramètres'!$D:$D,0))="",1,INDEX('Paramètres'!$J:$J,MATCH($C2175,'Paramètres'!$D:$D,0)))),2))</f>
        <v/>
      </c>
      <c r="L2175" s="6" t="str">
        <f>IF($D2175="","",IF($F2175&lt;&gt;"",$F2175,IF(ISNA(MATCH($D2175,'Paramètres'!$M:$M,0)),"⚠ Type inconnu",IFERROR(INDEX('Paramètres'!$P:$P,MATCH($D2175,'Paramètres'!$M:$M,0))&amp;"",""))))</f>
        <v/>
      </c>
      <c r="M2175" s="6" t="str">
        <f>IF($D2175="","",IF(ISNA(MATCH($D2175,'Paramètres'!$M:$M,0)),"⚠ Type inconnu",IF($L2175="Crédit","",IFERROR(INDEX('Paramètres'!$O:$O,MATCH($D2175,'Paramètres'!$M:$M,0))&amp;"",""))))</f>
        <v/>
      </c>
      <c r="N2175" s="6" t="str">
        <f>IF($D2175="","",IFERROR(INDEX('Paramètres'!$Q:$Q,MATCH($D2175,'Paramètres'!$M:$M,0))&amp;"",""))</f>
        <v/>
      </c>
      <c r="O2175" s="6" t="str">
        <f>IF($A2175="","",IF(OR($J2175&lt;&gt;"x",$A2175&lt;=FinReleve),1,0))</f>
        <v/>
      </c>
      <c r="P2175" s="6" t="str">
        <f>IF($D2175="","",IF(AND($L2175="Crédit",OR(IFERROR(INDEX('Paramètres'!$O:$O,MATCH($D2175,'Paramètres'!$M:$M,0))&amp;"","")&lt;&gt;"",ISNUMBER(SEARCH("remboursement",IFERROR(INDEX('Paramètres'!$N:$N,MATCH($D2175,'Paramètres'!$M:$M,0))&amp;"",""))))),1,0))</f>
        <v/>
      </c>
      <c r="Q2175" s="6" t="str">
        <f>IF($K2175="","",IF(ISNUMBER(SEARCH("transfert-interne",IFERROR(INDEX('Paramètres'!$N:$N,MATCH($D2175,'Paramètres'!$M:$M,0))&amp;"",""))),0,IF($L2175="Débit",$K2175,IF($P2175=1,-$K2175,0))))</f>
        <v/>
      </c>
      <c r="R2175" s="6" t="str">
        <f>IF($K2175="","",IF($L2175="Crédit",$K2175,-$K2175))</f>
        <v/>
      </c>
      <c r="S2175" s="6" t="str">
        <f>IF($C2175="","",IFERROR(INDEX('Paramètres'!$H:$H,MATCH($C2175,'Paramètres'!$D:$D,0))&amp;"",""))</f>
        <v/>
      </c>
      <c r="T2175" s="6" t="str">
        <f>IF($K2175="","",IF($S2175="",0,IF(ISNUMBER(SEARCH("apport-exterieur",IFERROR(INDEX('Paramètres'!$N:$N,MATCH($D2175,'Paramètres'!$M:$M,0))&amp;"",""))),0,IF(OR(IFERROR(INDEX('Paramètres'!$I:$I,MATCH($C2175,'Paramètres'!$D:$D,0))&amp;"","")="Les deux",IFERROR(INDEX('Paramètres'!$I:$I,MATCH($C2175,'Paramètres'!$D:$D,0))&amp;"","")=IF($P2175=1,"Débit",$L2175)),-IF($P2175=1,-$K2175,$K2175),0))))</f>
        <v/>
      </c>
      <c r="U2175" s="6" t="str">
        <f>IF($K2175="","",IF(ISNUMBER(SEARCH("sortie-epargne",IFERROR(INDEX('Paramètres'!$N:$N,MATCH($D2175,'Paramètres'!$M:$M,0))&amp;"",""))),$K2175,0))</f>
        <v/>
      </c>
      <c r="V2175" s="6" t="str">
        <f>IF(AND($A2175&lt;&gt;"",$O2175=1,$L2175="Débit",N($Q2175)&gt;0,$A2175&gt;=Visualisation!$B$1,$A2175&lt;Visualisation!$D$1),MAX($V$1:V2174)+1,"")</f>
        <v/>
      </c>
    </row>
    <row r="2176" spans="1:22" x14ac:dyDescent="0.25">
      <c r="A2176" s="9"/>
      <c r="E2176" s="10"/>
      <c r="K2176" s="11" t="str">
        <f>IF($E2176="","",ROUND($E2176*IF(ISNA(MATCH($C2176,'Paramètres'!$D:$D,0)),1,IF(INDEX('Paramètres'!$J:$J,MATCH($C2176,'Paramètres'!$D:$D,0))="",1,INDEX('Paramètres'!$J:$J,MATCH($C2176,'Paramètres'!$D:$D,0)))),2))</f>
        <v/>
      </c>
      <c r="L2176" s="6" t="str">
        <f>IF($D2176="","",IF($F2176&lt;&gt;"",$F2176,IF(ISNA(MATCH($D2176,'Paramètres'!$M:$M,0)),"⚠ Type inconnu",IFERROR(INDEX('Paramètres'!$P:$P,MATCH($D2176,'Paramètres'!$M:$M,0))&amp;"",""))))</f>
        <v/>
      </c>
      <c r="M2176" s="6" t="str">
        <f>IF($D2176="","",IF(ISNA(MATCH($D2176,'Paramètres'!$M:$M,0)),"⚠ Type inconnu",IF($L2176="Crédit","",IFERROR(INDEX('Paramètres'!$O:$O,MATCH($D2176,'Paramètres'!$M:$M,0))&amp;"",""))))</f>
        <v/>
      </c>
      <c r="N2176" s="6" t="str">
        <f>IF($D2176="","",IFERROR(INDEX('Paramètres'!$Q:$Q,MATCH($D2176,'Paramètres'!$M:$M,0))&amp;"",""))</f>
        <v/>
      </c>
      <c r="O2176" s="6" t="str">
        <f>IF($A2176="","",IF(OR($J2176&lt;&gt;"x",$A2176&lt;=FinReleve),1,0))</f>
        <v/>
      </c>
      <c r="P2176" s="6" t="str">
        <f>IF($D2176="","",IF(AND($L2176="Crédit",OR(IFERROR(INDEX('Paramètres'!$O:$O,MATCH($D2176,'Paramètres'!$M:$M,0))&amp;"","")&lt;&gt;"",ISNUMBER(SEARCH("remboursement",IFERROR(INDEX('Paramètres'!$N:$N,MATCH($D2176,'Paramètres'!$M:$M,0))&amp;"",""))))),1,0))</f>
        <v/>
      </c>
      <c r="Q2176" s="6" t="str">
        <f>IF($K2176="","",IF(ISNUMBER(SEARCH("transfert-interne",IFERROR(INDEX('Paramètres'!$N:$N,MATCH($D2176,'Paramètres'!$M:$M,0))&amp;"",""))),0,IF($L2176="Débit",$K2176,IF($P2176=1,-$K2176,0))))</f>
        <v/>
      </c>
      <c r="R2176" s="6" t="str">
        <f>IF($K2176="","",IF($L2176="Crédit",$K2176,-$K2176))</f>
        <v/>
      </c>
      <c r="S2176" s="6" t="str">
        <f>IF($C2176="","",IFERROR(INDEX('Paramètres'!$H:$H,MATCH($C2176,'Paramètres'!$D:$D,0))&amp;"",""))</f>
        <v/>
      </c>
      <c r="T2176" s="6" t="str">
        <f>IF($K2176="","",IF($S2176="",0,IF(ISNUMBER(SEARCH("apport-exterieur",IFERROR(INDEX('Paramètres'!$N:$N,MATCH($D2176,'Paramètres'!$M:$M,0))&amp;"",""))),0,IF(OR(IFERROR(INDEX('Paramètres'!$I:$I,MATCH($C2176,'Paramètres'!$D:$D,0))&amp;"","")="Les deux",IFERROR(INDEX('Paramètres'!$I:$I,MATCH($C2176,'Paramètres'!$D:$D,0))&amp;"","")=IF($P2176=1,"Débit",$L2176)),-IF($P2176=1,-$K2176,$K2176),0))))</f>
        <v/>
      </c>
      <c r="U2176" s="6" t="str">
        <f>IF($K2176="","",IF(ISNUMBER(SEARCH("sortie-epargne",IFERROR(INDEX('Paramètres'!$N:$N,MATCH($D2176,'Paramètres'!$M:$M,0))&amp;"",""))),$K2176,0))</f>
        <v/>
      </c>
      <c r="V2176" s="6" t="str">
        <f>IF(AND($A2176&lt;&gt;"",$O2176=1,$L2176="Débit",N($Q2176)&gt;0,$A2176&gt;=Visualisation!$B$1,$A2176&lt;Visualisation!$D$1),MAX($V$1:V2175)+1,"")</f>
        <v/>
      </c>
    </row>
    <row r="2177" spans="1:22" x14ac:dyDescent="0.25">
      <c r="A2177" s="9"/>
      <c r="E2177" s="10"/>
      <c r="K2177" s="11" t="str">
        <f>IF($E2177="","",ROUND($E2177*IF(ISNA(MATCH($C2177,'Paramètres'!$D:$D,0)),1,IF(INDEX('Paramètres'!$J:$J,MATCH($C2177,'Paramètres'!$D:$D,0))="",1,INDEX('Paramètres'!$J:$J,MATCH($C2177,'Paramètres'!$D:$D,0)))),2))</f>
        <v/>
      </c>
      <c r="L2177" s="6" t="str">
        <f>IF($D2177="","",IF($F2177&lt;&gt;"",$F2177,IF(ISNA(MATCH($D2177,'Paramètres'!$M:$M,0)),"⚠ Type inconnu",IFERROR(INDEX('Paramètres'!$P:$P,MATCH($D2177,'Paramètres'!$M:$M,0))&amp;"",""))))</f>
        <v/>
      </c>
      <c r="M2177" s="6" t="str">
        <f>IF($D2177="","",IF(ISNA(MATCH($D2177,'Paramètres'!$M:$M,0)),"⚠ Type inconnu",IF($L2177="Crédit","",IFERROR(INDEX('Paramètres'!$O:$O,MATCH($D2177,'Paramètres'!$M:$M,0))&amp;"",""))))</f>
        <v/>
      </c>
      <c r="N2177" s="6" t="str">
        <f>IF($D2177="","",IFERROR(INDEX('Paramètres'!$Q:$Q,MATCH($D2177,'Paramètres'!$M:$M,0))&amp;"",""))</f>
        <v/>
      </c>
      <c r="O2177" s="6" t="str">
        <f>IF($A2177="","",IF(OR($J2177&lt;&gt;"x",$A2177&lt;=FinReleve),1,0))</f>
        <v/>
      </c>
      <c r="P2177" s="6" t="str">
        <f>IF($D2177="","",IF(AND($L2177="Crédit",OR(IFERROR(INDEX('Paramètres'!$O:$O,MATCH($D2177,'Paramètres'!$M:$M,0))&amp;"","")&lt;&gt;"",ISNUMBER(SEARCH("remboursement",IFERROR(INDEX('Paramètres'!$N:$N,MATCH($D2177,'Paramètres'!$M:$M,0))&amp;"",""))))),1,0))</f>
        <v/>
      </c>
      <c r="Q2177" s="6" t="str">
        <f>IF($K2177="","",IF(ISNUMBER(SEARCH("transfert-interne",IFERROR(INDEX('Paramètres'!$N:$N,MATCH($D2177,'Paramètres'!$M:$M,0))&amp;"",""))),0,IF($L2177="Débit",$K2177,IF($P2177=1,-$K2177,0))))</f>
        <v/>
      </c>
      <c r="R2177" s="6" t="str">
        <f>IF($K2177="","",IF($L2177="Crédit",$K2177,-$K2177))</f>
        <v/>
      </c>
      <c r="S2177" s="6" t="str">
        <f>IF($C2177="","",IFERROR(INDEX('Paramètres'!$H:$H,MATCH($C2177,'Paramètres'!$D:$D,0))&amp;"",""))</f>
        <v/>
      </c>
      <c r="T2177" s="6" t="str">
        <f>IF($K2177="","",IF($S2177="",0,IF(ISNUMBER(SEARCH("apport-exterieur",IFERROR(INDEX('Paramètres'!$N:$N,MATCH($D2177,'Paramètres'!$M:$M,0))&amp;"",""))),0,IF(OR(IFERROR(INDEX('Paramètres'!$I:$I,MATCH($C2177,'Paramètres'!$D:$D,0))&amp;"","")="Les deux",IFERROR(INDEX('Paramètres'!$I:$I,MATCH($C2177,'Paramètres'!$D:$D,0))&amp;"","")=IF($P2177=1,"Débit",$L2177)),-IF($P2177=1,-$K2177,$K2177),0))))</f>
        <v/>
      </c>
      <c r="U2177" s="6" t="str">
        <f>IF($K2177="","",IF(ISNUMBER(SEARCH("sortie-epargne",IFERROR(INDEX('Paramètres'!$N:$N,MATCH($D2177,'Paramètres'!$M:$M,0))&amp;"",""))),$K2177,0))</f>
        <v/>
      </c>
      <c r="V2177" s="6" t="str">
        <f>IF(AND($A2177&lt;&gt;"",$O2177=1,$L2177="Débit",N($Q2177)&gt;0,$A2177&gt;=Visualisation!$B$1,$A2177&lt;Visualisation!$D$1),MAX($V$1:V2176)+1,"")</f>
        <v/>
      </c>
    </row>
    <row r="2178" spans="1:22" x14ac:dyDescent="0.25">
      <c r="A2178" s="9"/>
      <c r="E2178" s="10"/>
      <c r="K2178" s="11" t="str">
        <f>IF($E2178="","",ROUND($E2178*IF(ISNA(MATCH($C2178,'Paramètres'!$D:$D,0)),1,IF(INDEX('Paramètres'!$J:$J,MATCH($C2178,'Paramètres'!$D:$D,0))="",1,INDEX('Paramètres'!$J:$J,MATCH($C2178,'Paramètres'!$D:$D,0)))),2))</f>
        <v/>
      </c>
      <c r="L2178" s="6" t="str">
        <f>IF($D2178="","",IF($F2178&lt;&gt;"",$F2178,IF(ISNA(MATCH($D2178,'Paramètres'!$M:$M,0)),"⚠ Type inconnu",IFERROR(INDEX('Paramètres'!$P:$P,MATCH($D2178,'Paramètres'!$M:$M,0))&amp;"",""))))</f>
        <v/>
      </c>
      <c r="M2178" s="6" t="str">
        <f>IF($D2178="","",IF(ISNA(MATCH($D2178,'Paramètres'!$M:$M,0)),"⚠ Type inconnu",IF($L2178="Crédit","",IFERROR(INDEX('Paramètres'!$O:$O,MATCH($D2178,'Paramètres'!$M:$M,0))&amp;"",""))))</f>
        <v/>
      </c>
      <c r="N2178" s="6" t="str">
        <f>IF($D2178="","",IFERROR(INDEX('Paramètres'!$Q:$Q,MATCH($D2178,'Paramètres'!$M:$M,0))&amp;"",""))</f>
        <v/>
      </c>
      <c r="O2178" s="6" t="str">
        <f>IF($A2178="","",IF(OR($J2178&lt;&gt;"x",$A2178&lt;=FinReleve),1,0))</f>
        <v/>
      </c>
      <c r="P2178" s="6" t="str">
        <f>IF($D2178="","",IF(AND($L2178="Crédit",OR(IFERROR(INDEX('Paramètres'!$O:$O,MATCH($D2178,'Paramètres'!$M:$M,0))&amp;"","")&lt;&gt;"",ISNUMBER(SEARCH("remboursement",IFERROR(INDEX('Paramètres'!$N:$N,MATCH($D2178,'Paramètres'!$M:$M,0))&amp;"",""))))),1,0))</f>
        <v/>
      </c>
      <c r="Q2178" s="6" t="str">
        <f>IF($K2178="","",IF(ISNUMBER(SEARCH("transfert-interne",IFERROR(INDEX('Paramètres'!$N:$N,MATCH($D2178,'Paramètres'!$M:$M,0))&amp;"",""))),0,IF($L2178="Débit",$K2178,IF($P2178=1,-$K2178,0))))</f>
        <v/>
      </c>
      <c r="R2178" s="6" t="str">
        <f>IF($K2178="","",IF($L2178="Crédit",$K2178,-$K2178))</f>
        <v/>
      </c>
      <c r="S2178" s="6" t="str">
        <f>IF($C2178="","",IFERROR(INDEX('Paramètres'!$H:$H,MATCH($C2178,'Paramètres'!$D:$D,0))&amp;"",""))</f>
        <v/>
      </c>
      <c r="T2178" s="6" t="str">
        <f>IF($K2178="","",IF($S2178="",0,IF(ISNUMBER(SEARCH("apport-exterieur",IFERROR(INDEX('Paramètres'!$N:$N,MATCH($D2178,'Paramètres'!$M:$M,0))&amp;"",""))),0,IF(OR(IFERROR(INDEX('Paramètres'!$I:$I,MATCH($C2178,'Paramètres'!$D:$D,0))&amp;"","")="Les deux",IFERROR(INDEX('Paramètres'!$I:$I,MATCH($C2178,'Paramètres'!$D:$D,0))&amp;"","")=IF($P2178=1,"Débit",$L2178)),-IF($P2178=1,-$K2178,$K2178),0))))</f>
        <v/>
      </c>
      <c r="U2178" s="6" t="str">
        <f>IF($K2178="","",IF(ISNUMBER(SEARCH("sortie-epargne",IFERROR(INDEX('Paramètres'!$N:$N,MATCH($D2178,'Paramètres'!$M:$M,0))&amp;"",""))),$K2178,0))</f>
        <v/>
      </c>
      <c r="V2178" s="6" t="str">
        <f>IF(AND($A2178&lt;&gt;"",$O2178=1,$L2178="Débit",N($Q2178)&gt;0,$A2178&gt;=Visualisation!$B$1,$A2178&lt;Visualisation!$D$1),MAX($V$1:V2177)+1,"")</f>
        <v/>
      </c>
    </row>
    <row r="2179" spans="1:22" x14ac:dyDescent="0.25">
      <c r="A2179" s="9"/>
      <c r="E2179" s="10"/>
      <c r="K2179" s="11" t="str">
        <f>IF($E2179="","",ROUND($E2179*IF(ISNA(MATCH($C2179,'Paramètres'!$D:$D,0)),1,IF(INDEX('Paramètres'!$J:$J,MATCH($C2179,'Paramètres'!$D:$D,0))="",1,INDEX('Paramètres'!$J:$J,MATCH($C2179,'Paramètres'!$D:$D,0)))),2))</f>
        <v/>
      </c>
      <c r="L2179" s="6" t="str">
        <f>IF($D2179="","",IF($F2179&lt;&gt;"",$F2179,IF(ISNA(MATCH($D2179,'Paramètres'!$M:$M,0)),"⚠ Type inconnu",IFERROR(INDEX('Paramètres'!$P:$P,MATCH($D2179,'Paramètres'!$M:$M,0))&amp;"",""))))</f>
        <v/>
      </c>
      <c r="M2179" s="6" t="str">
        <f>IF($D2179="","",IF(ISNA(MATCH($D2179,'Paramètres'!$M:$M,0)),"⚠ Type inconnu",IF($L2179="Crédit","",IFERROR(INDEX('Paramètres'!$O:$O,MATCH($D2179,'Paramètres'!$M:$M,0))&amp;"",""))))</f>
        <v/>
      </c>
      <c r="N2179" s="6" t="str">
        <f>IF($D2179="","",IFERROR(INDEX('Paramètres'!$Q:$Q,MATCH($D2179,'Paramètres'!$M:$M,0))&amp;"",""))</f>
        <v/>
      </c>
      <c r="O2179" s="6" t="str">
        <f>IF($A2179="","",IF(OR($J2179&lt;&gt;"x",$A2179&lt;=FinReleve),1,0))</f>
        <v/>
      </c>
      <c r="P2179" s="6" t="str">
        <f>IF($D2179="","",IF(AND($L2179="Crédit",OR(IFERROR(INDEX('Paramètres'!$O:$O,MATCH($D2179,'Paramètres'!$M:$M,0))&amp;"","")&lt;&gt;"",ISNUMBER(SEARCH("remboursement",IFERROR(INDEX('Paramètres'!$N:$N,MATCH($D2179,'Paramètres'!$M:$M,0))&amp;"",""))))),1,0))</f>
        <v/>
      </c>
      <c r="Q2179" s="6" t="str">
        <f>IF($K2179="","",IF(ISNUMBER(SEARCH("transfert-interne",IFERROR(INDEX('Paramètres'!$N:$N,MATCH($D2179,'Paramètres'!$M:$M,0))&amp;"",""))),0,IF($L2179="Débit",$K2179,IF($P2179=1,-$K2179,0))))</f>
        <v/>
      </c>
      <c r="R2179" s="6" t="str">
        <f>IF($K2179="","",IF($L2179="Crédit",$K2179,-$K2179))</f>
        <v/>
      </c>
      <c r="S2179" s="6" t="str">
        <f>IF($C2179="","",IFERROR(INDEX('Paramètres'!$H:$H,MATCH($C2179,'Paramètres'!$D:$D,0))&amp;"",""))</f>
        <v/>
      </c>
      <c r="T2179" s="6" t="str">
        <f>IF($K2179="","",IF($S2179="",0,IF(ISNUMBER(SEARCH("apport-exterieur",IFERROR(INDEX('Paramètres'!$N:$N,MATCH($D2179,'Paramètres'!$M:$M,0))&amp;"",""))),0,IF(OR(IFERROR(INDEX('Paramètres'!$I:$I,MATCH($C2179,'Paramètres'!$D:$D,0))&amp;"","")="Les deux",IFERROR(INDEX('Paramètres'!$I:$I,MATCH($C2179,'Paramètres'!$D:$D,0))&amp;"","")=IF($P2179=1,"Débit",$L2179)),-IF($P2179=1,-$K2179,$K2179),0))))</f>
        <v/>
      </c>
      <c r="U2179" s="6" t="str">
        <f>IF($K2179="","",IF(ISNUMBER(SEARCH("sortie-epargne",IFERROR(INDEX('Paramètres'!$N:$N,MATCH($D2179,'Paramètres'!$M:$M,0))&amp;"",""))),$K2179,0))</f>
        <v/>
      </c>
      <c r="V2179" s="6" t="str">
        <f>IF(AND($A2179&lt;&gt;"",$O2179=1,$L2179="Débit",N($Q2179)&gt;0,$A2179&gt;=Visualisation!$B$1,$A2179&lt;Visualisation!$D$1),MAX($V$1:V2178)+1,"")</f>
        <v/>
      </c>
    </row>
    <row r="2180" spans="1:22" x14ac:dyDescent="0.25">
      <c r="A2180" s="9"/>
      <c r="E2180" s="10"/>
      <c r="K2180" s="11" t="str">
        <f>IF($E2180="","",ROUND($E2180*IF(ISNA(MATCH($C2180,'Paramètres'!$D:$D,0)),1,IF(INDEX('Paramètres'!$J:$J,MATCH($C2180,'Paramètres'!$D:$D,0))="",1,INDEX('Paramètres'!$J:$J,MATCH($C2180,'Paramètres'!$D:$D,0)))),2))</f>
        <v/>
      </c>
      <c r="L2180" s="6" t="str">
        <f>IF($D2180="","",IF($F2180&lt;&gt;"",$F2180,IF(ISNA(MATCH($D2180,'Paramètres'!$M:$M,0)),"⚠ Type inconnu",IFERROR(INDEX('Paramètres'!$P:$P,MATCH($D2180,'Paramètres'!$M:$M,0))&amp;"",""))))</f>
        <v/>
      </c>
      <c r="M2180" s="6" t="str">
        <f>IF($D2180="","",IF(ISNA(MATCH($D2180,'Paramètres'!$M:$M,0)),"⚠ Type inconnu",IF($L2180="Crédit","",IFERROR(INDEX('Paramètres'!$O:$O,MATCH($D2180,'Paramètres'!$M:$M,0))&amp;"",""))))</f>
        <v/>
      </c>
      <c r="N2180" s="6" t="str">
        <f>IF($D2180="","",IFERROR(INDEX('Paramètres'!$Q:$Q,MATCH($D2180,'Paramètres'!$M:$M,0))&amp;"",""))</f>
        <v/>
      </c>
      <c r="O2180" s="6" t="str">
        <f>IF($A2180="","",IF(OR($J2180&lt;&gt;"x",$A2180&lt;=FinReleve),1,0))</f>
        <v/>
      </c>
      <c r="P2180" s="6" t="str">
        <f>IF($D2180="","",IF(AND($L2180="Crédit",OR(IFERROR(INDEX('Paramètres'!$O:$O,MATCH($D2180,'Paramètres'!$M:$M,0))&amp;"","")&lt;&gt;"",ISNUMBER(SEARCH("remboursement",IFERROR(INDEX('Paramètres'!$N:$N,MATCH($D2180,'Paramètres'!$M:$M,0))&amp;"",""))))),1,0))</f>
        <v/>
      </c>
      <c r="Q2180" s="6" t="str">
        <f>IF($K2180="","",IF(ISNUMBER(SEARCH("transfert-interne",IFERROR(INDEX('Paramètres'!$N:$N,MATCH($D2180,'Paramètres'!$M:$M,0))&amp;"",""))),0,IF($L2180="Débit",$K2180,IF($P2180=1,-$K2180,0))))</f>
        <v/>
      </c>
      <c r="R2180" s="6" t="str">
        <f>IF($K2180="","",IF($L2180="Crédit",$K2180,-$K2180))</f>
        <v/>
      </c>
      <c r="S2180" s="6" t="str">
        <f>IF($C2180="","",IFERROR(INDEX('Paramètres'!$H:$H,MATCH($C2180,'Paramètres'!$D:$D,0))&amp;"",""))</f>
        <v/>
      </c>
      <c r="T2180" s="6" t="str">
        <f>IF($K2180="","",IF($S2180="",0,IF(ISNUMBER(SEARCH("apport-exterieur",IFERROR(INDEX('Paramètres'!$N:$N,MATCH($D2180,'Paramètres'!$M:$M,0))&amp;"",""))),0,IF(OR(IFERROR(INDEX('Paramètres'!$I:$I,MATCH($C2180,'Paramètres'!$D:$D,0))&amp;"","")="Les deux",IFERROR(INDEX('Paramètres'!$I:$I,MATCH($C2180,'Paramètres'!$D:$D,0))&amp;"","")=IF($P2180=1,"Débit",$L2180)),-IF($P2180=1,-$K2180,$K2180),0))))</f>
        <v/>
      </c>
      <c r="U2180" s="6" t="str">
        <f>IF($K2180="","",IF(ISNUMBER(SEARCH("sortie-epargne",IFERROR(INDEX('Paramètres'!$N:$N,MATCH($D2180,'Paramètres'!$M:$M,0))&amp;"",""))),$K2180,0))</f>
        <v/>
      </c>
      <c r="V2180" s="6" t="str">
        <f>IF(AND($A2180&lt;&gt;"",$O2180=1,$L2180="Débit",N($Q2180)&gt;0,$A2180&gt;=Visualisation!$B$1,$A2180&lt;Visualisation!$D$1),MAX($V$1:V2179)+1,"")</f>
        <v/>
      </c>
    </row>
    <row r="2181" spans="1:22" x14ac:dyDescent="0.25">
      <c r="A2181" s="9"/>
      <c r="E2181" s="10"/>
      <c r="K2181" s="11" t="str">
        <f>IF($E2181="","",ROUND($E2181*IF(ISNA(MATCH($C2181,'Paramètres'!$D:$D,0)),1,IF(INDEX('Paramètres'!$J:$J,MATCH($C2181,'Paramètres'!$D:$D,0))="",1,INDEX('Paramètres'!$J:$J,MATCH($C2181,'Paramètres'!$D:$D,0)))),2))</f>
        <v/>
      </c>
      <c r="L2181" s="6" t="str">
        <f>IF($D2181="","",IF($F2181&lt;&gt;"",$F2181,IF(ISNA(MATCH($D2181,'Paramètres'!$M:$M,0)),"⚠ Type inconnu",IFERROR(INDEX('Paramètres'!$P:$P,MATCH($D2181,'Paramètres'!$M:$M,0))&amp;"",""))))</f>
        <v/>
      </c>
      <c r="M2181" s="6" t="str">
        <f>IF($D2181="","",IF(ISNA(MATCH($D2181,'Paramètres'!$M:$M,0)),"⚠ Type inconnu",IF($L2181="Crédit","",IFERROR(INDEX('Paramètres'!$O:$O,MATCH($D2181,'Paramètres'!$M:$M,0))&amp;"",""))))</f>
        <v/>
      </c>
      <c r="N2181" s="6" t="str">
        <f>IF($D2181="","",IFERROR(INDEX('Paramètres'!$Q:$Q,MATCH($D2181,'Paramètres'!$M:$M,0))&amp;"",""))</f>
        <v/>
      </c>
      <c r="O2181" s="6" t="str">
        <f>IF($A2181="","",IF(OR($J2181&lt;&gt;"x",$A2181&lt;=FinReleve),1,0))</f>
        <v/>
      </c>
      <c r="P2181" s="6" t="str">
        <f>IF($D2181="","",IF(AND($L2181="Crédit",OR(IFERROR(INDEX('Paramètres'!$O:$O,MATCH($D2181,'Paramètres'!$M:$M,0))&amp;"","")&lt;&gt;"",ISNUMBER(SEARCH("remboursement",IFERROR(INDEX('Paramètres'!$N:$N,MATCH($D2181,'Paramètres'!$M:$M,0))&amp;"",""))))),1,0))</f>
        <v/>
      </c>
      <c r="Q2181" s="6" t="str">
        <f>IF($K2181="","",IF(ISNUMBER(SEARCH("transfert-interne",IFERROR(INDEX('Paramètres'!$N:$N,MATCH($D2181,'Paramètres'!$M:$M,0))&amp;"",""))),0,IF($L2181="Débit",$K2181,IF($P2181=1,-$K2181,0))))</f>
        <v/>
      </c>
      <c r="R2181" s="6" t="str">
        <f>IF($K2181="","",IF($L2181="Crédit",$K2181,-$K2181))</f>
        <v/>
      </c>
      <c r="S2181" s="6" t="str">
        <f>IF($C2181="","",IFERROR(INDEX('Paramètres'!$H:$H,MATCH($C2181,'Paramètres'!$D:$D,0))&amp;"",""))</f>
        <v/>
      </c>
      <c r="T2181" s="6" t="str">
        <f>IF($K2181="","",IF($S2181="",0,IF(ISNUMBER(SEARCH("apport-exterieur",IFERROR(INDEX('Paramètres'!$N:$N,MATCH($D2181,'Paramètres'!$M:$M,0))&amp;"",""))),0,IF(OR(IFERROR(INDEX('Paramètres'!$I:$I,MATCH($C2181,'Paramètres'!$D:$D,0))&amp;"","")="Les deux",IFERROR(INDEX('Paramètres'!$I:$I,MATCH($C2181,'Paramètres'!$D:$D,0))&amp;"","")=IF($P2181=1,"Débit",$L2181)),-IF($P2181=1,-$K2181,$K2181),0))))</f>
        <v/>
      </c>
      <c r="U2181" s="6" t="str">
        <f>IF($K2181="","",IF(ISNUMBER(SEARCH("sortie-epargne",IFERROR(INDEX('Paramètres'!$N:$N,MATCH($D2181,'Paramètres'!$M:$M,0))&amp;"",""))),$K2181,0))</f>
        <v/>
      </c>
      <c r="V2181" s="6" t="str">
        <f>IF(AND($A2181&lt;&gt;"",$O2181=1,$L2181="Débit",N($Q2181)&gt;0,$A2181&gt;=Visualisation!$B$1,$A2181&lt;Visualisation!$D$1),MAX($V$1:V2180)+1,"")</f>
        <v/>
      </c>
    </row>
    <row r="2182" spans="1:22" x14ac:dyDescent="0.25">
      <c r="A2182" s="9"/>
      <c r="E2182" s="10"/>
      <c r="K2182" s="11" t="str">
        <f>IF($E2182="","",ROUND($E2182*IF(ISNA(MATCH($C2182,'Paramètres'!$D:$D,0)),1,IF(INDEX('Paramètres'!$J:$J,MATCH($C2182,'Paramètres'!$D:$D,0))="",1,INDEX('Paramètres'!$J:$J,MATCH($C2182,'Paramètres'!$D:$D,0)))),2))</f>
        <v/>
      </c>
      <c r="L2182" s="6" t="str">
        <f>IF($D2182="","",IF($F2182&lt;&gt;"",$F2182,IF(ISNA(MATCH($D2182,'Paramètres'!$M:$M,0)),"⚠ Type inconnu",IFERROR(INDEX('Paramètres'!$P:$P,MATCH($D2182,'Paramètres'!$M:$M,0))&amp;"",""))))</f>
        <v/>
      </c>
      <c r="M2182" s="6" t="str">
        <f>IF($D2182="","",IF(ISNA(MATCH($D2182,'Paramètres'!$M:$M,0)),"⚠ Type inconnu",IF($L2182="Crédit","",IFERROR(INDEX('Paramètres'!$O:$O,MATCH($D2182,'Paramètres'!$M:$M,0))&amp;"",""))))</f>
        <v/>
      </c>
      <c r="N2182" s="6" t="str">
        <f>IF($D2182="","",IFERROR(INDEX('Paramètres'!$Q:$Q,MATCH($D2182,'Paramètres'!$M:$M,0))&amp;"",""))</f>
        <v/>
      </c>
      <c r="O2182" s="6" t="str">
        <f>IF($A2182="","",IF(OR($J2182&lt;&gt;"x",$A2182&lt;=FinReleve),1,0))</f>
        <v/>
      </c>
      <c r="P2182" s="6" t="str">
        <f>IF($D2182="","",IF(AND($L2182="Crédit",OR(IFERROR(INDEX('Paramètres'!$O:$O,MATCH($D2182,'Paramètres'!$M:$M,0))&amp;"","")&lt;&gt;"",ISNUMBER(SEARCH("remboursement",IFERROR(INDEX('Paramètres'!$N:$N,MATCH($D2182,'Paramètres'!$M:$M,0))&amp;"",""))))),1,0))</f>
        <v/>
      </c>
      <c r="Q2182" s="6" t="str">
        <f>IF($K2182="","",IF(ISNUMBER(SEARCH("transfert-interne",IFERROR(INDEX('Paramètres'!$N:$N,MATCH($D2182,'Paramètres'!$M:$M,0))&amp;"",""))),0,IF($L2182="Débit",$K2182,IF($P2182=1,-$K2182,0))))</f>
        <v/>
      </c>
      <c r="R2182" s="6" t="str">
        <f>IF($K2182="","",IF($L2182="Crédit",$K2182,-$K2182))</f>
        <v/>
      </c>
      <c r="S2182" s="6" t="str">
        <f>IF($C2182="","",IFERROR(INDEX('Paramètres'!$H:$H,MATCH($C2182,'Paramètres'!$D:$D,0))&amp;"",""))</f>
        <v/>
      </c>
      <c r="T2182" s="6" t="str">
        <f>IF($K2182="","",IF($S2182="",0,IF(ISNUMBER(SEARCH("apport-exterieur",IFERROR(INDEX('Paramètres'!$N:$N,MATCH($D2182,'Paramètres'!$M:$M,0))&amp;"",""))),0,IF(OR(IFERROR(INDEX('Paramètres'!$I:$I,MATCH($C2182,'Paramètres'!$D:$D,0))&amp;"","")="Les deux",IFERROR(INDEX('Paramètres'!$I:$I,MATCH($C2182,'Paramètres'!$D:$D,0))&amp;"","")=IF($P2182=1,"Débit",$L2182)),-IF($P2182=1,-$K2182,$K2182),0))))</f>
        <v/>
      </c>
      <c r="U2182" s="6" t="str">
        <f>IF($K2182="","",IF(ISNUMBER(SEARCH("sortie-epargne",IFERROR(INDEX('Paramètres'!$N:$N,MATCH($D2182,'Paramètres'!$M:$M,0))&amp;"",""))),$K2182,0))</f>
        <v/>
      </c>
      <c r="V2182" s="6" t="str">
        <f>IF(AND($A2182&lt;&gt;"",$O2182=1,$L2182="Débit",N($Q2182)&gt;0,$A2182&gt;=Visualisation!$B$1,$A2182&lt;Visualisation!$D$1),MAX($V$1:V2181)+1,"")</f>
        <v/>
      </c>
    </row>
    <row r="2183" spans="1:22" x14ac:dyDescent="0.25">
      <c r="A2183" s="9"/>
      <c r="E2183" s="10"/>
      <c r="K2183" s="11" t="str">
        <f>IF($E2183="","",ROUND($E2183*IF(ISNA(MATCH($C2183,'Paramètres'!$D:$D,0)),1,IF(INDEX('Paramètres'!$J:$J,MATCH($C2183,'Paramètres'!$D:$D,0))="",1,INDEX('Paramètres'!$J:$J,MATCH($C2183,'Paramètres'!$D:$D,0)))),2))</f>
        <v/>
      </c>
      <c r="L2183" s="6" t="str">
        <f>IF($D2183="","",IF($F2183&lt;&gt;"",$F2183,IF(ISNA(MATCH($D2183,'Paramètres'!$M:$M,0)),"⚠ Type inconnu",IFERROR(INDEX('Paramètres'!$P:$P,MATCH($D2183,'Paramètres'!$M:$M,0))&amp;"",""))))</f>
        <v/>
      </c>
      <c r="M2183" s="6" t="str">
        <f>IF($D2183="","",IF(ISNA(MATCH($D2183,'Paramètres'!$M:$M,0)),"⚠ Type inconnu",IF($L2183="Crédit","",IFERROR(INDEX('Paramètres'!$O:$O,MATCH($D2183,'Paramètres'!$M:$M,0))&amp;"",""))))</f>
        <v/>
      </c>
      <c r="N2183" s="6" t="str">
        <f>IF($D2183="","",IFERROR(INDEX('Paramètres'!$Q:$Q,MATCH($D2183,'Paramètres'!$M:$M,0))&amp;"",""))</f>
        <v/>
      </c>
      <c r="O2183" s="6" t="str">
        <f>IF($A2183="","",IF(OR($J2183&lt;&gt;"x",$A2183&lt;=FinReleve),1,0))</f>
        <v/>
      </c>
      <c r="P2183" s="6" t="str">
        <f>IF($D2183="","",IF(AND($L2183="Crédit",OR(IFERROR(INDEX('Paramètres'!$O:$O,MATCH($D2183,'Paramètres'!$M:$M,0))&amp;"","")&lt;&gt;"",ISNUMBER(SEARCH("remboursement",IFERROR(INDEX('Paramètres'!$N:$N,MATCH($D2183,'Paramètres'!$M:$M,0))&amp;"",""))))),1,0))</f>
        <v/>
      </c>
      <c r="Q2183" s="6" t="str">
        <f>IF($K2183="","",IF(ISNUMBER(SEARCH("transfert-interne",IFERROR(INDEX('Paramètres'!$N:$N,MATCH($D2183,'Paramètres'!$M:$M,0))&amp;"",""))),0,IF($L2183="Débit",$K2183,IF($P2183=1,-$K2183,0))))</f>
        <v/>
      </c>
      <c r="R2183" s="6" t="str">
        <f>IF($K2183="","",IF($L2183="Crédit",$K2183,-$K2183))</f>
        <v/>
      </c>
      <c r="S2183" s="6" t="str">
        <f>IF($C2183="","",IFERROR(INDEX('Paramètres'!$H:$H,MATCH($C2183,'Paramètres'!$D:$D,0))&amp;"",""))</f>
        <v/>
      </c>
      <c r="T2183" s="6" t="str">
        <f>IF($K2183="","",IF($S2183="",0,IF(ISNUMBER(SEARCH("apport-exterieur",IFERROR(INDEX('Paramètres'!$N:$N,MATCH($D2183,'Paramètres'!$M:$M,0))&amp;"",""))),0,IF(OR(IFERROR(INDEX('Paramètres'!$I:$I,MATCH($C2183,'Paramètres'!$D:$D,0))&amp;"","")="Les deux",IFERROR(INDEX('Paramètres'!$I:$I,MATCH($C2183,'Paramètres'!$D:$D,0))&amp;"","")=IF($P2183=1,"Débit",$L2183)),-IF($P2183=1,-$K2183,$K2183),0))))</f>
        <v/>
      </c>
      <c r="U2183" s="6" t="str">
        <f>IF($K2183="","",IF(ISNUMBER(SEARCH("sortie-epargne",IFERROR(INDEX('Paramètres'!$N:$N,MATCH($D2183,'Paramètres'!$M:$M,0))&amp;"",""))),$K2183,0))</f>
        <v/>
      </c>
      <c r="V2183" s="6" t="str">
        <f>IF(AND($A2183&lt;&gt;"",$O2183=1,$L2183="Débit",N($Q2183)&gt;0,$A2183&gt;=Visualisation!$B$1,$A2183&lt;Visualisation!$D$1),MAX($V$1:V2182)+1,"")</f>
        <v/>
      </c>
    </row>
    <row r="2184" spans="1:22" x14ac:dyDescent="0.25">
      <c r="A2184" s="9"/>
      <c r="E2184" s="10"/>
      <c r="K2184" s="11" t="str">
        <f>IF($E2184="","",ROUND($E2184*IF(ISNA(MATCH($C2184,'Paramètres'!$D:$D,0)),1,IF(INDEX('Paramètres'!$J:$J,MATCH($C2184,'Paramètres'!$D:$D,0))="",1,INDEX('Paramètres'!$J:$J,MATCH($C2184,'Paramètres'!$D:$D,0)))),2))</f>
        <v/>
      </c>
      <c r="L2184" s="6" t="str">
        <f>IF($D2184="","",IF($F2184&lt;&gt;"",$F2184,IF(ISNA(MATCH($D2184,'Paramètres'!$M:$M,0)),"⚠ Type inconnu",IFERROR(INDEX('Paramètres'!$P:$P,MATCH($D2184,'Paramètres'!$M:$M,0))&amp;"",""))))</f>
        <v/>
      </c>
      <c r="M2184" s="6" t="str">
        <f>IF($D2184="","",IF(ISNA(MATCH($D2184,'Paramètres'!$M:$M,0)),"⚠ Type inconnu",IF($L2184="Crédit","",IFERROR(INDEX('Paramètres'!$O:$O,MATCH($D2184,'Paramètres'!$M:$M,0))&amp;"",""))))</f>
        <v/>
      </c>
      <c r="N2184" s="6" t="str">
        <f>IF($D2184="","",IFERROR(INDEX('Paramètres'!$Q:$Q,MATCH($D2184,'Paramètres'!$M:$M,0))&amp;"",""))</f>
        <v/>
      </c>
      <c r="O2184" s="6" t="str">
        <f>IF($A2184="","",IF(OR($J2184&lt;&gt;"x",$A2184&lt;=FinReleve),1,0))</f>
        <v/>
      </c>
      <c r="P2184" s="6" t="str">
        <f>IF($D2184="","",IF(AND($L2184="Crédit",OR(IFERROR(INDEX('Paramètres'!$O:$O,MATCH($D2184,'Paramètres'!$M:$M,0))&amp;"","")&lt;&gt;"",ISNUMBER(SEARCH("remboursement",IFERROR(INDEX('Paramètres'!$N:$N,MATCH($D2184,'Paramètres'!$M:$M,0))&amp;"",""))))),1,0))</f>
        <v/>
      </c>
      <c r="Q2184" s="6" t="str">
        <f>IF($K2184="","",IF(ISNUMBER(SEARCH("transfert-interne",IFERROR(INDEX('Paramètres'!$N:$N,MATCH($D2184,'Paramètres'!$M:$M,0))&amp;"",""))),0,IF($L2184="Débit",$K2184,IF($P2184=1,-$K2184,0))))</f>
        <v/>
      </c>
      <c r="R2184" s="6" t="str">
        <f>IF($K2184="","",IF($L2184="Crédit",$K2184,-$K2184))</f>
        <v/>
      </c>
      <c r="S2184" s="6" t="str">
        <f>IF($C2184="","",IFERROR(INDEX('Paramètres'!$H:$H,MATCH($C2184,'Paramètres'!$D:$D,0))&amp;"",""))</f>
        <v/>
      </c>
      <c r="T2184" s="6" t="str">
        <f>IF($K2184="","",IF($S2184="",0,IF(ISNUMBER(SEARCH("apport-exterieur",IFERROR(INDEX('Paramètres'!$N:$N,MATCH($D2184,'Paramètres'!$M:$M,0))&amp;"",""))),0,IF(OR(IFERROR(INDEX('Paramètres'!$I:$I,MATCH($C2184,'Paramètres'!$D:$D,0))&amp;"","")="Les deux",IFERROR(INDEX('Paramètres'!$I:$I,MATCH($C2184,'Paramètres'!$D:$D,0))&amp;"","")=IF($P2184=1,"Débit",$L2184)),-IF($P2184=1,-$K2184,$K2184),0))))</f>
        <v/>
      </c>
      <c r="U2184" s="6" t="str">
        <f>IF($K2184="","",IF(ISNUMBER(SEARCH("sortie-epargne",IFERROR(INDEX('Paramètres'!$N:$N,MATCH($D2184,'Paramètres'!$M:$M,0))&amp;"",""))),$K2184,0))</f>
        <v/>
      </c>
      <c r="V2184" s="6" t="str">
        <f>IF(AND($A2184&lt;&gt;"",$O2184=1,$L2184="Débit",N($Q2184)&gt;0,$A2184&gt;=Visualisation!$B$1,$A2184&lt;Visualisation!$D$1),MAX($V$1:V2183)+1,"")</f>
        <v/>
      </c>
    </row>
    <row r="2185" spans="1:22" x14ac:dyDescent="0.25">
      <c r="A2185" s="9"/>
      <c r="E2185" s="10"/>
      <c r="K2185" s="11" t="str">
        <f>IF($E2185="","",ROUND($E2185*IF(ISNA(MATCH($C2185,'Paramètres'!$D:$D,0)),1,IF(INDEX('Paramètres'!$J:$J,MATCH($C2185,'Paramètres'!$D:$D,0))="",1,INDEX('Paramètres'!$J:$J,MATCH($C2185,'Paramètres'!$D:$D,0)))),2))</f>
        <v/>
      </c>
      <c r="L2185" s="6" t="str">
        <f>IF($D2185="","",IF($F2185&lt;&gt;"",$F2185,IF(ISNA(MATCH($D2185,'Paramètres'!$M:$M,0)),"⚠ Type inconnu",IFERROR(INDEX('Paramètres'!$P:$P,MATCH($D2185,'Paramètres'!$M:$M,0))&amp;"",""))))</f>
        <v/>
      </c>
      <c r="M2185" s="6" t="str">
        <f>IF($D2185="","",IF(ISNA(MATCH($D2185,'Paramètres'!$M:$M,0)),"⚠ Type inconnu",IF($L2185="Crédit","",IFERROR(INDEX('Paramètres'!$O:$O,MATCH($D2185,'Paramètres'!$M:$M,0))&amp;"",""))))</f>
        <v/>
      </c>
      <c r="N2185" s="6" t="str">
        <f>IF($D2185="","",IFERROR(INDEX('Paramètres'!$Q:$Q,MATCH($D2185,'Paramètres'!$M:$M,0))&amp;"",""))</f>
        <v/>
      </c>
      <c r="O2185" s="6" t="str">
        <f>IF($A2185="","",IF(OR($J2185&lt;&gt;"x",$A2185&lt;=FinReleve),1,0))</f>
        <v/>
      </c>
      <c r="P2185" s="6" t="str">
        <f>IF($D2185="","",IF(AND($L2185="Crédit",OR(IFERROR(INDEX('Paramètres'!$O:$O,MATCH($D2185,'Paramètres'!$M:$M,0))&amp;"","")&lt;&gt;"",ISNUMBER(SEARCH("remboursement",IFERROR(INDEX('Paramètres'!$N:$N,MATCH($D2185,'Paramètres'!$M:$M,0))&amp;"",""))))),1,0))</f>
        <v/>
      </c>
      <c r="Q2185" s="6" t="str">
        <f>IF($K2185="","",IF(ISNUMBER(SEARCH("transfert-interne",IFERROR(INDEX('Paramètres'!$N:$N,MATCH($D2185,'Paramètres'!$M:$M,0))&amp;"",""))),0,IF($L2185="Débit",$K2185,IF($P2185=1,-$K2185,0))))</f>
        <v/>
      </c>
      <c r="R2185" s="6" t="str">
        <f>IF($K2185="","",IF($L2185="Crédit",$K2185,-$K2185))</f>
        <v/>
      </c>
      <c r="S2185" s="6" t="str">
        <f>IF($C2185="","",IFERROR(INDEX('Paramètres'!$H:$H,MATCH($C2185,'Paramètres'!$D:$D,0))&amp;"",""))</f>
        <v/>
      </c>
      <c r="T2185" s="6" t="str">
        <f>IF($K2185="","",IF($S2185="",0,IF(ISNUMBER(SEARCH("apport-exterieur",IFERROR(INDEX('Paramètres'!$N:$N,MATCH($D2185,'Paramètres'!$M:$M,0))&amp;"",""))),0,IF(OR(IFERROR(INDEX('Paramètres'!$I:$I,MATCH($C2185,'Paramètres'!$D:$D,0))&amp;"","")="Les deux",IFERROR(INDEX('Paramètres'!$I:$I,MATCH($C2185,'Paramètres'!$D:$D,0))&amp;"","")=IF($P2185=1,"Débit",$L2185)),-IF($P2185=1,-$K2185,$K2185),0))))</f>
        <v/>
      </c>
      <c r="U2185" s="6" t="str">
        <f>IF($K2185="","",IF(ISNUMBER(SEARCH("sortie-epargne",IFERROR(INDEX('Paramètres'!$N:$N,MATCH($D2185,'Paramètres'!$M:$M,0))&amp;"",""))),$K2185,0))</f>
        <v/>
      </c>
      <c r="V2185" s="6" t="str">
        <f>IF(AND($A2185&lt;&gt;"",$O2185=1,$L2185="Débit",N($Q2185)&gt;0,$A2185&gt;=Visualisation!$B$1,$A2185&lt;Visualisation!$D$1),MAX($V$1:V2184)+1,"")</f>
        <v/>
      </c>
    </row>
    <row r="2186" spans="1:22" x14ac:dyDescent="0.25">
      <c r="A2186" s="9"/>
      <c r="E2186" s="10"/>
      <c r="K2186" s="11" t="str">
        <f>IF($E2186="","",ROUND($E2186*IF(ISNA(MATCH($C2186,'Paramètres'!$D:$D,0)),1,IF(INDEX('Paramètres'!$J:$J,MATCH($C2186,'Paramètres'!$D:$D,0))="",1,INDEX('Paramètres'!$J:$J,MATCH($C2186,'Paramètres'!$D:$D,0)))),2))</f>
        <v/>
      </c>
      <c r="L2186" s="6" t="str">
        <f>IF($D2186="","",IF($F2186&lt;&gt;"",$F2186,IF(ISNA(MATCH($D2186,'Paramètres'!$M:$M,0)),"⚠ Type inconnu",IFERROR(INDEX('Paramètres'!$P:$P,MATCH($D2186,'Paramètres'!$M:$M,0))&amp;"",""))))</f>
        <v/>
      </c>
      <c r="M2186" s="6" t="str">
        <f>IF($D2186="","",IF(ISNA(MATCH($D2186,'Paramètres'!$M:$M,0)),"⚠ Type inconnu",IF($L2186="Crédit","",IFERROR(INDEX('Paramètres'!$O:$O,MATCH($D2186,'Paramètres'!$M:$M,0))&amp;"",""))))</f>
        <v/>
      </c>
      <c r="N2186" s="6" t="str">
        <f>IF($D2186="","",IFERROR(INDEX('Paramètres'!$Q:$Q,MATCH($D2186,'Paramètres'!$M:$M,0))&amp;"",""))</f>
        <v/>
      </c>
      <c r="O2186" s="6" t="str">
        <f>IF($A2186="","",IF(OR($J2186&lt;&gt;"x",$A2186&lt;=FinReleve),1,0))</f>
        <v/>
      </c>
      <c r="P2186" s="6" t="str">
        <f>IF($D2186="","",IF(AND($L2186="Crédit",OR(IFERROR(INDEX('Paramètres'!$O:$O,MATCH($D2186,'Paramètres'!$M:$M,0))&amp;"","")&lt;&gt;"",ISNUMBER(SEARCH("remboursement",IFERROR(INDEX('Paramètres'!$N:$N,MATCH($D2186,'Paramètres'!$M:$M,0))&amp;"",""))))),1,0))</f>
        <v/>
      </c>
      <c r="Q2186" s="6" t="str">
        <f>IF($K2186="","",IF(ISNUMBER(SEARCH("transfert-interne",IFERROR(INDEX('Paramètres'!$N:$N,MATCH($D2186,'Paramètres'!$M:$M,0))&amp;"",""))),0,IF($L2186="Débit",$K2186,IF($P2186=1,-$K2186,0))))</f>
        <v/>
      </c>
      <c r="R2186" s="6" t="str">
        <f>IF($K2186="","",IF($L2186="Crédit",$K2186,-$K2186))</f>
        <v/>
      </c>
      <c r="S2186" s="6" t="str">
        <f>IF($C2186="","",IFERROR(INDEX('Paramètres'!$H:$H,MATCH($C2186,'Paramètres'!$D:$D,0))&amp;"",""))</f>
        <v/>
      </c>
      <c r="T2186" s="6" t="str">
        <f>IF($K2186="","",IF($S2186="",0,IF(ISNUMBER(SEARCH("apport-exterieur",IFERROR(INDEX('Paramètres'!$N:$N,MATCH($D2186,'Paramètres'!$M:$M,0))&amp;"",""))),0,IF(OR(IFERROR(INDEX('Paramètres'!$I:$I,MATCH($C2186,'Paramètres'!$D:$D,0))&amp;"","")="Les deux",IFERROR(INDEX('Paramètres'!$I:$I,MATCH($C2186,'Paramètres'!$D:$D,0))&amp;"","")=IF($P2186=1,"Débit",$L2186)),-IF($P2186=1,-$K2186,$K2186),0))))</f>
        <v/>
      </c>
      <c r="U2186" s="6" t="str">
        <f>IF($K2186="","",IF(ISNUMBER(SEARCH("sortie-epargne",IFERROR(INDEX('Paramètres'!$N:$N,MATCH($D2186,'Paramètres'!$M:$M,0))&amp;"",""))),$K2186,0))</f>
        <v/>
      </c>
      <c r="V2186" s="6" t="str">
        <f>IF(AND($A2186&lt;&gt;"",$O2186=1,$L2186="Débit",N($Q2186)&gt;0,$A2186&gt;=Visualisation!$B$1,$A2186&lt;Visualisation!$D$1),MAX($V$1:V2185)+1,"")</f>
        <v/>
      </c>
    </row>
    <row r="2187" spans="1:22" x14ac:dyDescent="0.25">
      <c r="A2187" s="9"/>
      <c r="E2187" s="10"/>
      <c r="K2187" s="11" t="str">
        <f>IF($E2187="","",ROUND($E2187*IF(ISNA(MATCH($C2187,'Paramètres'!$D:$D,0)),1,IF(INDEX('Paramètres'!$J:$J,MATCH($C2187,'Paramètres'!$D:$D,0))="",1,INDEX('Paramètres'!$J:$J,MATCH($C2187,'Paramètres'!$D:$D,0)))),2))</f>
        <v/>
      </c>
      <c r="L2187" s="6" t="str">
        <f>IF($D2187="","",IF($F2187&lt;&gt;"",$F2187,IF(ISNA(MATCH($D2187,'Paramètres'!$M:$M,0)),"⚠ Type inconnu",IFERROR(INDEX('Paramètres'!$P:$P,MATCH($D2187,'Paramètres'!$M:$M,0))&amp;"",""))))</f>
        <v/>
      </c>
      <c r="M2187" s="6" t="str">
        <f>IF($D2187="","",IF(ISNA(MATCH($D2187,'Paramètres'!$M:$M,0)),"⚠ Type inconnu",IF($L2187="Crédit","",IFERROR(INDEX('Paramètres'!$O:$O,MATCH($D2187,'Paramètres'!$M:$M,0))&amp;"",""))))</f>
        <v/>
      </c>
      <c r="N2187" s="6" t="str">
        <f>IF($D2187="","",IFERROR(INDEX('Paramètres'!$Q:$Q,MATCH($D2187,'Paramètres'!$M:$M,0))&amp;"",""))</f>
        <v/>
      </c>
      <c r="O2187" s="6" t="str">
        <f>IF($A2187="","",IF(OR($J2187&lt;&gt;"x",$A2187&lt;=FinReleve),1,0))</f>
        <v/>
      </c>
      <c r="P2187" s="6" t="str">
        <f>IF($D2187="","",IF(AND($L2187="Crédit",OR(IFERROR(INDEX('Paramètres'!$O:$O,MATCH($D2187,'Paramètres'!$M:$M,0))&amp;"","")&lt;&gt;"",ISNUMBER(SEARCH("remboursement",IFERROR(INDEX('Paramètres'!$N:$N,MATCH($D2187,'Paramètres'!$M:$M,0))&amp;"",""))))),1,0))</f>
        <v/>
      </c>
      <c r="Q2187" s="6" t="str">
        <f>IF($K2187="","",IF(ISNUMBER(SEARCH("transfert-interne",IFERROR(INDEX('Paramètres'!$N:$N,MATCH($D2187,'Paramètres'!$M:$M,0))&amp;"",""))),0,IF($L2187="Débit",$K2187,IF($P2187=1,-$K2187,0))))</f>
        <v/>
      </c>
      <c r="R2187" s="6" t="str">
        <f>IF($K2187="","",IF($L2187="Crédit",$K2187,-$K2187))</f>
        <v/>
      </c>
      <c r="S2187" s="6" t="str">
        <f>IF($C2187="","",IFERROR(INDEX('Paramètres'!$H:$H,MATCH($C2187,'Paramètres'!$D:$D,0))&amp;"",""))</f>
        <v/>
      </c>
      <c r="T2187" s="6" t="str">
        <f>IF($K2187="","",IF($S2187="",0,IF(ISNUMBER(SEARCH("apport-exterieur",IFERROR(INDEX('Paramètres'!$N:$N,MATCH($D2187,'Paramètres'!$M:$M,0))&amp;"",""))),0,IF(OR(IFERROR(INDEX('Paramètres'!$I:$I,MATCH($C2187,'Paramètres'!$D:$D,0))&amp;"","")="Les deux",IFERROR(INDEX('Paramètres'!$I:$I,MATCH($C2187,'Paramètres'!$D:$D,0))&amp;"","")=IF($P2187=1,"Débit",$L2187)),-IF($P2187=1,-$K2187,$K2187),0))))</f>
        <v/>
      </c>
      <c r="U2187" s="6" t="str">
        <f>IF($K2187="","",IF(ISNUMBER(SEARCH("sortie-epargne",IFERROR(INDEX('Paramètres'!$N:$N,MATCH($D2187,'Paramètres'!$M:$M,0))&amp;"",""))),$K2187,0))</f>
        <v/>
      </c>
      <c r="V2187" s="6" t="str">
        <f>IF(AND($A2187&lt;&gt;"",$O2187=1,$L2187="Débit",N($Q2187)&gt;0,$A2187&gt;=Visualisation!$B$1,$A2187&lt;Visualisation!$D$1),MAX($V$1:V2186)+1,"")</f>
        <v/>
      </c>
    </row>
    <row r="2188" spans="1:22" x14ac:dyDescent="0.25">
      <c r="A2188" s="9"/>
      <c r="E2188" s="10"/>
      <c r="K2188" s="11" t="str">
        <f>IF($E2188="","",ROUND($E2188*IF(ISNA(MATCH($C2188,'Paramètres'!$D:$D,0)),1,IF(INDEX('Paramètres'!$J:$J,MATCH($C2188,'Paramètres'!$D:$D,0))="",1,INDEX('Paramètres'!$J:$J,MATCH($C2188,'Paramètres'!$D:$D,0)))),2))</f>
        <v/>
      </c>
      <c r="L2188" s="6" t="str">
        <f>IF($D2188="","",IF($F2188&lt;&gt;"",$F2188,IF(ISNA(MATCH($D2188,'Paramètres'!$M:$M,0)),"⚠ Type inconnu",IFERROR(INDEX('Paramètres'!$P:$P,MATCH($D2188,'Paramètres'!$M:$M,0))&amp;"",""))))</f>
        <v/>
      </c>
      <c r="M2188" s="6" t="str">
        <f>IF($D2188="","",IF(ISNA(MATCH($D2188,'Paramètres'!$M:$M,0)),"⚠ Type inconnu",IF($L2188="Crédit","",IFERROR(INDEX('Paramètres'!$O:$O,MATCH($D2188,'Paramètres'!$M:$M,0))&amp;"",""))))</f>
        <v/>
      </c>
      <c r="N2188" s="6" t="str">
        <f>IF($D2188="","",IFERROR(INDEX('Paramètres'!$Q:$Q,MATCH($D2188,'Paramètres'!$M:$M,0))&amp;"",""))</f>
        <v/>
      </c>
      <c r="O2188" s="6" t="str">
        <f>IF($A2188="","",IF(OR($J2188&lt;&gt;"x",$A2188&lt;=FinReleve),1,0))</f>
        <v/>
      </c>
      <c r="P2188" s="6" t="str">
        <f>IF($D2188="","",IF(AND($L2188="Crédit",OR(IFERROR(INDEX('Paramètres'!$O:$O,MATCH($D2188,'Paramètres'!$M:$M,0))&amp;"","")&lt;&gt;"",ISNUMBER(SEARCH("remboursement",IFERROR(INDEX('Paramètres'!$N:$N,MATCH($D2188,'Paramètres'!$M:$M,0))&amp;"",""))))),1,0))</f>
        <v/>
      </c>
      <c r="Q2188" s="6" t="str">
        <f>IF($K2188="","",IF(ISNUMBER(SEARCH("transfert-interne",IFERROR(INDEX('Paramètres'!$N:$N,MATCH($D2188,'Paramètres'!$M:$M,0))&amp;"",""))),0,IF($L2188="Débit",$K2188,IF($P2188=1,-$K2188,0))))</f>
        <v/>
      </c>
      <c r="R2188" s="6" t="str">
        <f>IF($K2188="","",IF($L2188="Crédit",$K2188,-$K2188))</f>
        <v/>
      </c>
      <c r="S2188" s="6" t="str">
        <f>IF($C2188="","",IFERROR(INDEX('Paramètres'!$H:$H,MATCH($C2188,'Paramètres'!$D:$D,0))&amp;"",""))</f>
        <v/>
      </c>
      <c r="T2188" s="6" t="str">
        <f>IF($K2188="","",IF($S2188="",0,IF(ISNUMBER(SEARCH("apport-exterieur",IFERROR(INDEX('Paramètres'!$N:$N,MATCH($D2188,'Paramètres'!$M:$M,0))&amp;"",""))),0,IF(OR(IFERROR(INDEX('Paramètres'!$I:$I,MATCH($C2188,'Paramètres'!$D:$D,0))&amp;"","")="Les deux",IFERROR(INDEX('Paramètres'!$I:$I,MATCH($C2188,'Paramètres'!$D:$D,0))&amp;"","")=IF($P2188=1,"Débit",$L2188)),-IF($P2188=1,-$K2188,$K2188),0))))</f>
        <v/>
      </c>
      <c r="U2188" s="6" t="str">
        <f>IF($K2188="","",IF(ISNUMBER(SEARCH("sortie-epargne",IFERROR(INDEX('Paramètres'!$N:$N,MATCH($D2188,'Paramètres'!$M:$M,0))&amp;"",""))),$K2188,0))</f>
        <v/>
      </c>
      <c r="V2188" s="6" t="str">
        <f>IF(AND($A2188&lt;&gt;"",$O2188=1,$L2188="Débit",N($Q2188)&gt;0,$A2188&gt;=Visualisation!$B$1,$A2188&lt;Visualisation!$D$1),MAX($V$1:V2187)+1,"")</f>
        <v/>
      </c>
    </row>
    <row r="2189" spans="1:22" x14ac:dyDescent="0.25">
      <c r="A2189" s="9"/>
      <c r="E2189" s="10"/>
      <c r="K2189" s="11" t="str">
        <f>IF($E2189="","",ROUND($E2189*IF(ISNA(MATCH($C2189,'Paramètres'!$D:$D,0)),1,IF(INDEX('Paramètres'!$J:$J,MATCH($C2189,'Paramètres'!$D:$D,0))="",1,INDEX('Paramètres'!$J:$J,MATCH($C2189,'Paramètres'!$D:$D,0)))),2))</f>
        <v/>
      </c>
      <c r="L2189" s="6" t="str">
        <f>IF($D2189="","",IF($F2189&lt;&gt;"",$F2189,IF(ISNA(MATCH($D2189,'Paramètres'!$M:$M,0)),"⚠ Type inconnu",IFERROR(INDEX('Paramètres'!$P:$P,MATCH($D2189,'Paramètres'!$M:$M,0))&amp;"",""))))</f>
        <v/>
      </c>
      <c r="M2189" s="6" t="str">
        <f>IF($D2189="","",IF(ISNA(MATCH($D2189,'Paramètres'!$M:$M,0)),"⚠ Type inconnu",IF($L2189="Crédit","",IFERROR(INDEX('Paramètres'!$O:$O,MATCH($D2189,'Paramètres'!$M:$M,0))&amp;"",""))))</f>
        <v/>
      </c>
      <c r="N2189" s="6" t="str">
        <f>IF($D2189="","",IFERROR(INDEX('Paramètres'!$Q:$Q,MATCH($D2189,'Paramètres'!$M:$M,0))&amp;"",""))</f>
        <v/>
      </c>
      <c r="O2189" s="6" t="str">
        <f>IF($A2189="","",IF(OR($J2189&lt;&gt;"x",$A2189&lt;=FinReleve),1,0))</f>
        <v/>
      </c>
      <c r="P2189" s="6" t="str">
        <f>IF($D2189="","",IF(AND($L2189="Crédit",OR(IFERROR(INDEX('Paramètres'!$O:$O,MATCH($D2189,'Paramètres'!$M:$M,0))&amp;"","")&lt;&gt;"",ISNUMBER(SEARCH("remboursement",IFERROR(INDEX('Paramètres'!$N:$N,MATCH($D2189,'Paramètres'!$M:$M,0))&amp;"",""))))),1,0))</f>
        <v/>
      </c>
      <c r="Q2189" s="6" t="str">
        <f>IF($K2189="","",IF(ISNUMBER(SEARCH("transfert-interne",IFERROR(INDEX('Paramètres'!$N:$N,MATCH($D2189,'Paramètres'!$M:$M,0))&amp;"",""))),0,IF($L2189="Débit",$K2189,IF($P2189=1,-$K2189,0))))</f>
        <v/>
      </c>
      <c r="R2189" s="6" t="str">
        <f>IF($K2189="","",IF($L2189="Crédit",$K2189,-$K2189))</f>
        <v/>
      </c>
      <c r="S2189" s="6" t="str">
        <f>IF($C2189="","",IFERROR(INDEX('Paramètres'!$H:$H,MATCH($C2189,'Paramètres'!$D:$D,0))&amp;"",""))</f>
        <v/>
      </c>
      <c r="T2189" s="6" t="str">
        <f>IF($K2189="","",IF($S2189="",0,IF(ISNUMBER(SEARCH("apport-exterieur",IFERROR(INDEX('Paramètres'!$N:$N,MATCH($D2189,'Paramètres'!$M:$M,0))&amp;"",""))),0,IF(OR(IFERROR(INDEX('Paramètres'!$I:$I,MATCH($C2189,'Paramètres'!$D:$D,0))&amp;"","")="Les deux",IFERROR(INDEX('Paramètres'!$I:$I,MATCH($C2189,'Paramètres'!$D:$D,0))&amp;"","")=IF($P2189=1,"Débit",$L2189)),-IF($P2189=1,-$K2189,$K2189),0))))</f>
        <v/>
      </c>
      <c r="U2189" s="6" t="str">
        <f>IF($K2189="","",IF(ISNUMBER(SEARCH("sortie-epargne",IFERROR(INDEX('Paramètres'!$N:$N,MATCH($D2189,'Paramètres'!$M:$M,0))&amp;"",""))),$K2189,0))</f>
        <v/>
      </c>
      <c r="V2189" s="6" t="str">
        <f>IF(AND($A2189&lt;&gt;"",$O2189=1,$L2189="Débit",N($Q2189)&gt;0,$A2189&gt;=Visualisation!$B$1,$A2189&lt;Visualisation!$D$1),MAX($V$1:V2188)+1,"")</f>
        <v/>
      </c>
    </row>
    <row r="2190" spans="1:22" x14ac:dyDescent="0.25">
      <c r="A2190" s="9"/>
      <c r="E2190" s="10"/>
      <c r="K2190" s="11" t="str">
        <f>IF($E2190="","",ROUND($E2190*IF(ISNA(MATCH($C2190,'Paramètres'!$D:$D,0)),1,IF(INDEX('Paramètres'!$J:$J,MATCH($C2190,'Paramètres'!$D:$D,0))="",1,INDEX('Paramètres'!$J:$J,MATCH($C2190,'Paramètres'!$D:$D,0)))),2))</f>
        <v/>
      </c>
      <c r="L2190" s="6" t="str">
        <f>IF($D2190="","",IF($F2190&lt;&gt;"",$F2190,IF(ISNA(MATCH($D2190,'Paramètres'!$M:$M,0)),"⚠ Type inconnu",IFERROR(INDEX('Paramètres'!$P:$P,MATCH($D2190,'Paramètres'!$M:$M,0))&amp;"",""))))</f>
        <v/>
      </c>
      <c r="M2190" s="6" t="str">
        <f>IF($D2190="","",IF(ISNA(MATCH($D2190,'Paramètres'!$M:$M,0)),"⚠ Type inconnu",IF($L2190="Crédit","",IFERROR(INDEX('Paramètres'!$O:$O,MATCH($D2190,'Paramètres'!$M:$M,0))&amp;"",""))))</f>
        <v/>
      </c>
      <c r="N2190" s="6" t="str">
        <f>IF($D2190="","",IFERROR(INDEX('Paramètres'!$Q:$Q,MATCH($D2190,'Paramètres'!$M:$M,0))&amp;"",""))</f>
        <v/>
      </c>
      <c r="O2190" s="6" t="str">
        <f>IF($A2190="","",IF(OR($J2190&lt;&gt;"x",$A2190&lt;=FinReleve),1,0))</f>
        <v/>
      </c>
      <c r="P2190" s="6" t="str">
        <f>IF($D2190="","",IF(AND($L2190="Crédit",OR(IFERROR(INDEX('Paramètres'!$O:$O,MATCH($D2190,'Paramètres'!$M:$M,0))&amp;"","")&lt;&gt;"",ISNUMBER(SEARCH("remboursement",IFERROR(INDEX('Paramètres'!$N:$N,MATCH($D2190,'Paramètres'!$M:$M,0))&amp;"",""))))),1,0))</f>
        <v/>
      </c>
      <c r="Q2190" s="6" t="str">
        <f>IF($K2190="","",IF(ISNUMBER(SEARCH("transfert-interne",IFERROR(INDEX('Paramètres'!$N:$N,MATCH($D2190,'Paramètres'!$M:$M,0))&amp;"",""))),0,IF($L2190="Débit",$K2190,IF($P2190=1,-$K2190,0))))</f>
        <v/>
      </c>
      <c r="R2190" s="6" t="str">
        <f>IF($K2190="","",IF($L2190="Crédit",$K2190,-$K2190))</f>
        <v/>
      </c>
      <c r="S2190" s="6" t="str">
        <f>IF($C2190="","",IFERROR(INDEX('Paramètres'!$H:$H,MATCH($C2190,'Paramètres'!$D:$D,0))&amp;"",""))</f>
        <v/>
      </c>
      <c r="T2190" s="6" t="str">
        <f>IF($K2190="","",IF($S2190="",0,IF(ISNUMBER(SEARCH("apport-exterieur",IFERROR(INDEX('Paramètres'!$N:$N,MATCH($D2190,'Paramètres'!$M:$M,0))&amp;"",""))),0,IF(OR(IFERROR(INDEX('Paramètres'!$I:$I,MATCH($C2190,'Paramètres'!$D:$D,0))&amp;"","")="Les deux",IFERROR(INDEX('Paramètres'!$I:$I,MATCH($C2190,'Paramètres'!$D:$D,0))&amp;"","")=IF($P2190=1,"Débit",$L2190)),-IF($P2190=1,-$K2190,$K2190),0))))</f>
        <v/>
      </c>
      <c r="U2190" s="6" t="str">
        <f>IF($K2190="","",IF(ISNUMBER(SEARCH("sortie-epargne",IFERROR(INDEX('Paramètres'!$N:$N,MATCH($D2190,'Paramètres'!$M:$M,0))&amp;"",""))),$K2190,0))</f>
        <v/>
      </c>
      <c r="V2190" s="6" t="str">
        <f>IF(AND($A2190&lt;&gt;"",$O2190=1,$L2190="Débit",N($Q2190)&gt;0,$A2190&gt;=Visualisation!$B$1,$A2190&lt;Visualisation!$D$1),MAX($V$1:V2189)+1,"")</f>
        <v/>
      </c>
    </row>
    <row r="2191" spans="1:22" x14ac:dyDescent="0.25">
      <c r="A2191" s="9"/>
      <c r="E2191" s="10"/>
      <c r="K2191" s="11" t="str">
        <f>IF($E2191="","",ROUND($E2191*IF(ISNA(MATCH($C2191,'Paramètres'!$D:$D,0)),1,IF(INDEX('Paramètres'!$J:$J,MATCH($C2191,'Paramètres'!$D:$D,0))="",1,INDEX('Paramètres'!$J:$J,MATCH($C2191,'Paramètres'!$D:$D,0)))),2))</f>
        <v/>
      </c>
      <c r="L2191" s="6" t="str">
        <f>IF($D2191="","",IF($F2191&lt;&gt;"",$F2191,IF(ISNA(MATCH($D2191,'Paramètres'!$M:$M,0)),"⚠ Type inconnu",IFERROR(INDEX('Paramètres'!$P:$P,MATCH($D2191,'Paramètres'!$M:$M,0))&amp;"",""))))</f>
        <v/>
      </c>
      <c r="M2191" s="6" t="str">
        <f>IF($D2191="","",IF(ISNA(MATCH($D2191,'Paramètres'!$M:$M,0)),"⚠ Type inconnu",IF($L2191="Crédit","",IFERROR(INDEX('Paramètres'!$O:$O,MATCH($D2191,'Paramètres'!$M:$M,0))&amp;"",""))))</f>
        <v/>
      </c>
      <c r="N2191" s="6" t="str">
        <f>IF($D2191="","",IFERROR(INDEX('Paramètres'!$Q:$Q,MATCH($D2191,'Paramètres'!$M:$M,0))&amp;"",""))</f>
        <v/>
      </c>
      <c r="O2191" s="6" t="str">
        <f>IF($A2191="","",IF(OR($J2191&lt;&gt;"x",$A2191&lt;=FinReleve),1,0))</f>
        <v/>
      </c>
      <c r="P2191" s="6" t="str">
        <f>IF($D2191="","",IF(AND($L2191="Crédit",OR(IFERROR(INDEX('Paramètres'!$O:$O,MATCH($D2191,'Paramètres'!$M:$M,0))&amp;"","")&lt;&gt;"",ISNUMBER(SEARCH("remboursement",IFERROR(INDEX('Paramètres'!$N:$N,MATCH($D2191,'Paramètres'!$M:$M,0))&amp;"",""))))),1,0))</f>
        <v/>
      </c>
      <c r="Q2191" s="6" t="str">
        <f>IF($K2191="","",IF(ISNUMBER(SEARCH("transfert-interne",IFERROR(INDEX('Paramètres'!$N:$N,MATCH($D2191,'Paramètres'!$M:$M,0))&amp;"",""))),0,IF($L2191="Débit",$K2191,IF($P2191=1,-$K2191,0))))</f>
        <v/>
      </c>
      <c r="R2191" s="6" t="str">
        <f>IF($K2191="","",IF($L2191="Crédit",$K2191,-$K2191))</f>
        <v/>
      </c>
      <c r="S2191" s="6" t="str">
        <f>IF($C2191="","",IFERROR(INDEX('Paramètres'!$H:$H,MATCH($C2191,'Paramètres'!$D:$D,0))&amp;"",""))</f>
        <v/>
      </c>
      <c r="T2191" s="6" t="str">
        <f>IF($K2191="","",IF($S2191="",0,IF(ISNUMBER(SEARCH("apport-exterieur",IFERROR(INDEX('Paramètres'!$N:$N,MATCH($D2191,'Paramètres'!$M:$M,0))&amp;"",""))),0,IF(OR(IFERROR(INDEX('Paramètres'!$I:$I,MATCH($C2191,'Paramètres'!$D:$D,0))&amp;"","")="Les deux",IFERROR(INDEX('Paramètres'!$I:$I,MATCH($C2191,'Paramètres'!$D:$D,0))&amp;"","")=IF($P2191=1,"Débit",$L2191)),-IF($P2191=1,-$K2191,$K2191),0))))</f>
        <v/>
      </c>
      <c r="U2191" s="6" t="str">
        <f>IF($K2191="","",IF(ISNUMBER(SEARCH("sortie-epargne",IFERROR(INDEX('Paramètres'!$N:$N,MATCH($D2191,'Paramètres'!$M:$M,0))&amp;"",""))),$K2191,0))</f>
        <v/>
      </c>
      <c r="V2191" s="6" t="str">
        <f>IF(AND($A2191&lt;&gt;"",$O2191=1,$L2191="Débit",N($Q2191)&gt;0,$A2191&gt;=Visualisation!$B$1,$A2191&lt;Visualisation!$D$1),MAX($V$1:V2190)+1,"")</f>
        <v/>
      </c>
    </row>
    <row r="2192" spans="1:22" x14ac:dyDescent="0.25">
      <c r="A2192" s="9"/>
      <c r="E2192" s="10"/>
      <c r="K2192" s="11" t="str">
        <f>IF($E2192="","",ROUND($E2192*IF(ISNA(MATCH($C2192,'Paramètres'!$D:$D,0)),1,IF(INDEX('Paramètres'!$J:$J,MATCH($C2192,'Paramètres'!$D:$D,0))="",1,INDEX('Paramètres'!$J:$J,MATCH($C2192,'Paramètres'!$D:$D,0)))),2))</f>
        <v/>
      </c>
      <c r="L2192" s="6" t="str">
        <f>IF($D2192="","",IF($F2192&lt;&gt;"",$F2192,IF(ISNA(MATCH($D2192,'Paramètres'!$M:$M,0)),"⚠ Type inconnu",IFERROR(INDEX('Paramètres'!$P:$P,MATCH($D2192,'Paramètres'!$M:$M,0))&amp;"",""))))</f>
        <v/>
      </c>
      <c r="M2192" s="6" t="str">
        <f>IF($D2192="","",IF(ISNA(MATCH($D2192,'Paramètres'!$M:$M,0)),"⚠ Type inconnu",IF($L2192="Crédit","",IFERROR(INDEX('Paramètres'!$O:$O,MATCH($D2192,'Paramètres'!$M:$M,0))&amp;"",""))))</f>
        <v/>
      </c>
      <c r="N2192" s="6" t="str">
        <f>IF($D2192="","",IFERROR(INDEX('Paramètres'!$Q:$Q,MATCH($D2192,'Paramètres'!$M:$M,0))&amp;"",""))</f>
        <v/>
      </c>
      <c r="O2192" s="6" t="str">
        <f>IF($A2192="","",IF(OR($J2192&lt;&gt;"x",$A2192&lt;=FinReleve),1,0))</f>
        <v/>
      </c>
      <c r="P2192" s="6" t="str">
        <f>IF($D2192="","",IF(AND($L2192="Crédit",OR(IFERROR(INDEX('Paramètres'!$O:$O,MATCH($D2192,'Paramètres'!$M:$M,0))&amp;"","")&lt;&gt;"",ISNUMBER(SEARCH("remboursement",IFERROR(INDEX('Paramètres'!$N:$N,MATCH($D2192,'Paramètres'!$M:$M,0))&amp;"",""))))),1,0))</f>
        <v/>
      </c>
      <c r="Q2192" s="6" t="str">
        <f>IF($K2192="","",IF(ISNUMBER(SEARCH("transfert-interne",IFERROR(INDEX('Paramètres'!$N:$N,MATCH($D2192,'Paramètres'!$M:$M,0))&amp;"",""))),0,IF($L2192="Débit",$K2192,IF($P2192=1,-$K2192,0))))</f>
        <v/>
      </c>
      <c r="R2192" s="6" t="str">
        <f>IF($K2192="","",IF($L2192="Crédit",$K2192,-$K2192))</f>
        <v/>
      </c>
      <c r="S2192" s="6" t="str">
        <f>IF($C2192="","",IFERROR(INDEX('Paramètres'!$H:$H,MATCH($C2192,'Paramètres'!$D:$D,0))&amp;"",""))</f>
        <v/>
      </c>
      <c r="T2192" s="6" t="str">
        <f>IF($K2192="","",IF($S2192="",0,IF(ISNUMBER(SEARCH("apport-exterieur",IFERROR(INDEX('Paramètres'!$N:$N,MATCH($D2192,'Paramètres'!$M:$M,0))&amp;"",""))),0,IF(OR(IFERROR(INDEX('Paramètres'!$I:$I,MATCH($C2192,'Paramètres'!$D:$D,0))&amp;"","")="Les deux",IFERROR(INDEX('Paramètres'!$I:$I,MATCH($C2192,'Paramètres'!$D:$D,0))&amp;"","")=IF($P2192=1,"Débit",$L2192)),-IF($P2192=1,-$K2192,$K2192),0))))</f>
        <v/>
      </c>
      <c r="U2192" s="6" t="str">
        <f>IF($K2192="","",IF(ISNUMBER(SEARCH("sortie-epargne",IFERROR(INDEX('Paramètres'!$N:$N,MATCH($D2192,'Paramètres'!$M:$M,0))&amp;"",""))),$K2192,0))</f>
        <v/>
      </c>
      <c r="V2192" s="6" t="str">
        <f>IF(AND($A2192&lt;&gt;"",$O2192=1,$L2192="Débit",N($Q2192)&gt;0,$A2192&gt;=Visualisation!$B$1,$A2192&lt;Visualisation!$D$1),MAX($V$1:V2191)+1,"")</f>
        <v/>
      </c>
    </row>
    <row r="2193" spans="1:22" x14ac:dyDescent="0.25">
      <c r="A2193" s="9"/>
      <c r="E2193" s="10"/>
      <c r="K2193" s="11" t="str">
        <f>IF($E2193="","",ROUND($E2193*IF(ISNA(MATCH($C2193,'Paramètres'!$D:$D,0)),1,IF(INDEX('Paramètres'!$J:$J,MATCH($C2193,'Paramètres'!$D:$D,0))="",1,INDEX('Paramètres'!$J:$J,MATCH($C2193,'Paramètres'!$D:$D,0)))),2))</f>
        <v/>
      </c>
      <c r="L2193" s="6" t="str">
        <f>IF($D2193="","",IF($F2193&lt;&gt;"",$F2193,IF(ISNA(MATCH($D2193,'Paramètres'!$M:$M,0)),"⚠ Type inconnu",IFERROR(INDEX('Paramètres'!$P:$P,MATCH($D2193,'Paramètres'!$M:$M,0))&amp;"",""))))</f>
        <v/>
      </c>
      <c r="M2193" s="6" t="str">
        <f>IF($D2193="","",IF(ISNA(MATCH($D2193,'Paramètres'!$M:$M,0)),"⚠ Type inconnu",IF($L2193="Crédit","",IFERROR(INDEX('Paramètres'!$O:$O,MATCH($D2193,'Paramètres'!$M:$M,0))&amp;"",""))))</f>
        <v/>
      </c>
      <c r="N2193" s="6" t="str">
        <f>IF($D2193="","",IFERROR(INDEX('Paramètres'!$Q:$Q,MATCH($D2193,'Paramètres'!$M:$M,0))&amp;"",""))</f>
        <v/>
      </c>
      <c r="O2193" s="6" t="str">
        <f>IF($A2193="","",IF(OR($J2193&lt;&gt;"x",$A2193&lt;=FinReleve),1,0))</f>
        <v/>
      </c>
      <c r="P2193" s="6" t="str">
        <f>IF($D2193="","",IF(AND($L2193="Crédit",OR(IFERROR(INDEX('Paramètres'!$O:$O,MATCH($D2193,'Paramètres'!$M:$M,0))&amp;"","")&lt;&gt;"",ISNUMBER(SEARCH("remboursement",IFERROR(INDEX('Paramètres'!$N:$N,MATCH($D2193,'Paramètres'!$M:$M,0))&amp;"",""))))),1,0))</f>
        <v/>
      </c>
      <c r="Q2193" s="6" t="str">
        <f>IF($K2193="","",IF(ISNUMBER(SEARCH("transfert-interne",IFERROR(INDEX('Paramètres'!$N:$N,MATCH($D2193,'Paramètres'!$M:$M,0))&amp;"",""))),0,IF($L2193="Débit",$K2193,IF($P2193=1,-$K2193,0))))</f>
        <v/>
      </c>
      <c r="R2193" s="6" t="str">
        <f>IF($K2193="","",IF($L2193="Crédit",$K2193,-$K2193))</f>
        <v/>
      </c>
      <c r="S2193" s="6" t="str">
        <f>IF($C2193="","",IFERROR(INDEX('Paramètres'!$H:$H,MATCH($C2193,'Paramètres'!$D:$D,0))&amp;"",""))</f>
        <v/>
      </c>
      <c r="T2193" s="6" t="str">
        <f>IF($K2193="","",IF($S2193="",0,IF(ISNUMBER(SEARCH("apport-exterieur",IFERROR(INDEX('Paramètres'!$N:$N,MATCH($D2193,'Paramètres'!$M:$M,0))&amp;"",""))),0,IF(OR(IFERROR(INDEX('Paramètres'!$I:$I,MATCH($C2193,'Paramètres'!$D:$D,0))&amp;"","")="Les deux",IFERROR(INDEX('Paramètres'!$I:$I,MATCH($C2193,'Paramètres'!$D:$D,0))&amp;"","")=IF($P2193=1,"Débit",$L2193)),-IF($P2193=1,-$K2193,$K2193),0))))</f>
        <v/>
      </c>
      <c r="U2193" s="6" t="str">
        <f>IF($K2193="","",IF(ISNUMBER(SEARCH("sortie-epargne",IFERROR(INDEX('Paramètres'!$N:$N,MATCH($D2193,'Paramètres'!$M:$M,0))&amp;"",""))),$K2193,0))</f>
        <v/>
      </c>
      <c r="V2193" s="6" t="str">
        <f>IF(AND($A2193&lt;&gt;"",$O2193=1,$L2193="Débit",N($Q2193)&gt;0,$A2193&gt;=Visualisation!$B$1,$A2193&lt;Visualisation!$D$1),MAX($V$1:V2192)+1,"")</f>
        <v/>
      </c>
    </row>
    <row r="2194" spans="1:22" x14ac:dyDescent="0.25">
      <c r="A2194" s="9"/>
      <c r="E2194" s="10"/>
      <c r="K2194" s="11" t="str">
        <f>IF($E2194="","",ROUND($E2194*IF(ISNA(MATCH($C2194,'Paramètres'!$D:$D,0)),1,IF(INDEX('Paramètres'!$J:$J,MATCH($C2194,'Paramètres'!$D:$D,0))="",1,INDEX('Paramètres'!$J:$J,MATCH($C2194,'Paramètres'!$D:$D,0)))),2))</f>
        <v/>
      </c>
      <c r="L2194" s="6" t="str">
        <f>IF($D2194="","",IF($F2194&lt;&gt;"",$F2194,IF(ISNA(MATCH($D2194,'Paramètres'!$M:$M,0)),"⚠ Type inconnu",IFERROR(INDEX('Paramètres'!$P:$P,MATCH($D2194,'Paramètres'!$M:$M,0))&amp;"",""))))</f>
        <v/>
      </c>
      <c r="M2194" s="6" t="str">
        <f>IF($D2194="","",IF(ISNA(MATCH($D2194,'Paramètres'!$M:$M,0)),"⚠ Type inconnu",IF($L2194="Crédit","",IFERROR(INDEX('Paramètres'!$O:$O,MATCH($D2194,'Paramètres'!$M:$M,0))&amp;"",""))))</f>
        <v/>
      </c>
      <c r="N2194" s="6" t="str">
        <f>IF($D2194="","",IFERROR(INDEX('Paramètres'!$Q:$Q,MATCH($D2194,'Paramètres'!$M:$M,0))&amp;"",""))</f>
        <v/>
      </c>
      <c r="O2194" s="6" t="str">
        <f>IF($A2194="","",IF(OR($J2194&lt;&gt;"x",$A2194&lt;=FinReleve),1,0))</f>
        <v/>
      </c>
      <c r="P2194" s="6" t="str">
        <f>IF($D2194="","",IF(AND($L2194="Crédit",OR(IFERROR(INDEX('Paramètres'!$O:$O,MATCH($D2194,'Paramètres'!$M:$M,0))&amp;"","")&lt;&gt;"",ISNUMBER(SEARCH("remboursement",IFERROR(INDEX('Paramètres'!$N:$N,MATCH($D2194,'Paramètres'!$M:$M,0))&amp;"",""))))),1,0))</f>
        <v/>
      </c>
      <c r="Q2194" s="6" t="str">
        <f>IF($K2194="","",IF(ISNUMBER(SEARCH("transfert-interne",IFERROR(INDEX('Paramètres'!$N:$N,MATCH($D2194,'Paramètres'!$M:$M,0))&amp;"",""))),0,IF($L2194="Débit",$K2194,IF($P2194=1,-$K2194,0))))</f>
        <v/>
      </c>
      <c r="R2194" s="6" t="str">
        <f>IF($K2194="","",IF($L2194="Crédit",$K2194,-$K2194))</f>
        <v/>
      </c>
      <c r="S2194" s="6" t="str">
        <f>IF($C2194="","",IFERROR(INDEX('Paramètres'!$H:$H,MATCH($C2194,'Paramètres'!$D:$D,0))&amp;"",""))</f>
        <v/>
      </c>
      <c r="T2194" s="6" t="str">
        <f>IF($K2194="","",IF($S2194="",0,IF(ISNUMBER(SEARCH("apport-exterieur",IFERROR(INDEX('Paramètres'!$N:$N,MATCH($D2194,'Paramètres'!$M:$M,0))&amp;"",""))),0,IF(OR(IFERROR(INDEX('Paramètres'!$I:$I,MATCH($C2194,'Paramètres'!$D:$D,0))&amp;"","")="Les deux",IFERROR(INDEX('Paramètres'!$I:$I,MATCH($C2194,'Paramètres'!$D:$D,0))&amp;"","")=IF($P2194=1,"Débit",$L2194)),-IF($P2194=1,-$K2194,$K2194),0))))</f>
        <v/>
      </c>
      <c r="U2194" s="6" t="str">
        <f>IF($K2194="","",IF(ISNUMBER(SEARCH("sortie-epargne",IFERROR(INDEX('Paramètres'!$N:$N,MATCH($D2194,'Paramètres'!$M:$M,0))&amp;"",""))),$K2194,0))</f>
        <v/>
      </c>
      <c r="V2194" s="6" t="str">
        <f>IF(AND($A2194&lt;&gt;"",$O2194=1,$L2194="Débit",N($Q2194)&gt;0,$A2194&gt;=Visualisation!$B$1,$A2194&lt;Visualisation!$D$1),MAX($V$1:V2193)+1,"")</f>
        <v/>
      </c>
    </row>
    <row r="2195" spans="1:22" x14ac:dyDescent="0.25">
      <c r="A2195" s="9"/>
      <c r="E2195" s="10"/>
      <c r="K2195" s="11" t="str">
        <f>IF($E2195="","",ROUND($E2195*IF(ISNA(MATCH($C2195,'Paramètres'!$D:$D,0)),1,IF(INDEX('Paramètres'!$J:$J,MATCH($C2195,'Paramètres'!$D:$D,0))="",1,INDEX('Paramètres'!$J:$J,MATCH($C2195,'Paramètres'!$D:$D,0)))),2))</f>
        <v/>
      </c>
      <c r="L2195" s="6" t="str">
        <f>IF($D2195="","",IF($F2195&lt;&gt;"",$F2195,IF(ISNA(MATCH($D2195,'Paramètres'!$M:$M,0)),"⚠ Type inconnu",IFERROR(INDEX('Paramètres'!$P:$P,MATCH($D2195,'Paramètres'!$M:$M,0))&amp;"",""))))</f>
        <v/>
      </c>
      <c r="M2195" s="6" t="str">
        <f>IF($D2195="","",IF(ISNA(MATCH($D2195,'Paramètres'!$M:$M,0)),"⚠ Type inconnu",IF($L2195="Crédit","",IFERROR(INDEX('Paramètres'!$O:$O,MATCH($D2195,'Paramètres'!$M:$M,0))&amp;"",""))))</f>
        <v/>
      </c>
      <c r="N2195" s="6" t="str">
        <f>IF($D2195="","",IFERROR(INDEX('Paramètres'!$Q:$Q,MATCH($D2195,'Paramètres'!$M:$M,0))&amp;"",""))</f>
        <v/>
      </c>
      <c r="O2195" s="6" t="str">
        <f>IF($A2195="","",IF(OR($J2195&lt;&gt;"x",$A2195&lt;=FinReleve),1,0))</f>
        <v/>
      </c>
      <c r="P2195" s="6" t="str">
        <f>IF($D2195="","",IF(AND($L2195="Crédit",OR(IFERROR(INDEX('Paramètres'!$O:$O,MATCH($D2195,'Paramètres'!$M:$M,0))&amp;"","")&lt;&gt;"",ISNUMBER(SEARCH("remboursement",IFERROR(INDEX('Paramètres'!$N:$N,MATCH($D2195,'Paramètres'!$M:$M,0))&amp;"",""))))),1,0))</f>
        <v/>
      </c>
      <c r="Q2195" s="6" t="str">
        <f>IF($K2195="","",IF(ISNUMBER(SEARCH("transfert-interne",IFERROR(INDEX('Paramètres'!$N:$N,MATCH($D2195,'Paramètres'!$M:$M,0))&amp;"",""))),0,IF($L2195="Débit",$K2195,IF($P2195=1,-$K2195,0))))</f>
        <v/>
      </c>
      <c r="R2195" s="6" t="str">
        <f>IF($K2195="","",IF($L2195="Crédit",$K2195,-$K2195))</f>
        <v/>
      </c>
      <c r="S2195" s="6" t="str">
        <f>IF($C2195="","",IFERROR(INDEX('Paramètres'!$H:$H,MATCH($C2195,'Paramètres'!$D:$D,0))&amp;"",""))</f>
        <v/>
      </c>
      <c r="T2195" s="6" t="str">
        <f>IF($K2195="","",IF($S2195="",0,IF(ISNUMBER(SEARCH("apport-exterieur",IFERROR(INDEX('Paramètres'!$N:$N,MATCH($D2195,'Paramètres'!$M:$M,0))&amp;"",""))),0,IF(OR(IFERROR(INDEX('Paramètres'!$I:$I,MATCH($C2195,'Paramètres'!$D:$D,0))&amp;"","")="Les deux",IFERROR(INDEX('Paramètres'!$I:$I,MATCH($C2195,'Paramètres'!$D:$D,0))&amp;"","")=IF($P2195=1,"Débit",$L2195)),-IF($P2195=1,-$K2195,$K2195),0))))</f>
        <v/>
      </c>
      <c r="U2195" s="6" t="str">
        <f>IF($K2195="","",IF(ISNUMBER(SEARCH("sortie-epargne",IFERROR(INDEX('Paramètres'!$N:$N,MATCH($D2195,'Paramètres'!$M:$M,0))&amp;"",""))),$K2195,0))</f>
        <v/>
      </c>
      <c r="V2195" s="6" t="str">
        <f>IF(AND($A2195&lt;&gt;"",$O2195=1,$L2195="Débit",N($Q2195)&gt;0,$A2195&gt;=Visualisation!$B$1,$A2195&lt;Visualisation!$D$1),MAX($V$1:V2194)+1,"")</f>
        <v/>
      </c>
    </row>
    <row r="2196" spans="1:22" x14ac:dyDescent="0.25">
      <c r="A2196" s="9"/>
      <c r="E2196" s="10"/>
      <c r="K2196" s="11" t="str">
        <f>IF($E2196="","",ROUND($E2196*IF(ISNA(MATCH($C2196,'Paramètres'!$D:$D,0)),1,IF(INDEX('Paramètres'!$J:$J,MATCH($C2196,'Paramètres'!$D:$D,0))="",1,INDEX('Paramètres'!$J:$J,MATCH($C2196,'Paramètres'!$D:$D,0)))),2))</f>
        <v/>
      </c>
      <c r="L2196" s="6" t="str">
        <f>IF($D2196="","",IF($F2196&lt;&gt;"",$F2196,IF(ISNA(MATCH($D2196,'Paramètres'!$M:$M,0)),"⚠ Type inconnu",IFERROR(INDEX('Paramètres'!$P:$P,MATCH($D2196,'Paramètres'!$M:$M,0))&amp;"",""))))</f>
        <v/>
      </c>
      <c r="M2196" s="6" t="str">
        <f>IF($D2196="","",IF(ISNA(MATCH($D2196,'Paramètres'!$M:$M,0)),"⚠ Type inconnu",IF($L2196="Crédit","",IFERROR(INDEX('Paramètres'!$O:$O,MATCH($D2196,'Paramètres'!$M:$M,0))&amp;"",""))))</f>
        <v/>
      </c>
      <c r="N2196" s="6" t="str">
        <f>IF($D2196="","",IFERROR(INDEX('Paramètres'!$Q:$Q,MATCH($D2196,'Paramètres'!$M:$M,0))&amp;"",""))</f>
        <v/>
      </c>
      <c r="O2196" s="6" t="str">
        <f>IF($A2196="","",IF(OR($J2196&lt;&gt;"x",$A2196&lt;=FinReleve),1,0))</f>
        <v/>
      </c>
      <c r="P2196" s="6" t="str">
        <f>IF($D2196="","",IF(AND($L2196="Crédit",OR(IFERROR(INDEX('Paramètres'!$O:$O,MATCH($D2196,'Paramètres'!$M:$M,0))&amp;"","")&lt;&gt;"",ISNUMBER(SEARCH("remboursement",IFERROR(INDEX('Paramètres'!$N:$N,MATCH($D2196,'Paramètres'!$M:$M,0))&amp;"",""))))),1,0))</f>
        <v/>
      </c>
      <c r="Q2196" s="6" t="str">
        <f>IF($K2196="","",IF(ISNUMBER(SEARCH("transfert-interne",IFERROR(INDEX('Paramètres'!$N:$N,MATCH($D2196,'Paramètres'!$M:$M,0))&amp;"",""))),0,IF($L2196="Débit",$K2196,IF($P2196=1,-$K2196,0))))</f>
        <v/>
      </c>
      <c r="R2196" s="6" t="str">
        <f>IF($K2196="","",IF($L2196="Crédit",$K2196,-$K2196))</f>
        <v/>
      </c>
      <c r="S2196" s="6" t="str">
        <f>IF($C2196="","",IFERROR(INDEX('Paramètres'!$H:$H,MATCH($C2196,'Paramètres'!$D:$D,0))&amp;"",""))</f>
        <v/>
      </c>
      <c r="T2196" s="6" t="str">
        <f>IF($K2196="","",IF($S2196="",0,IF(ISNUMBER(SEARCH("apport-exterieur",IFERROR(INDEX('Paramètres'!$N:$N,MATCH($D2196,'Paramètres'!$M:$M,0))&amp;"",""))),0,IF(OR(IFERROR(INDEX('Paramètres'!$I:$I,MATCH($C2196,'Paramètres'!$D:$D,0))&amp;"","")="Les deux",IFERROR(INDEX('Paramètres'!$I:$I,MATCH($C2196,'Paramètres'!$D:$D,0))&amp;"","")=IF($P2196=1,"Débit",$L2196)),-IF($P2196=1,-$K2196,$K2196),0))))</f>
        <v/>
      </c>
      <c r="U2196" s="6" t="str">
        <f>IF($K2196="","",IF(ISNUMBER(SEARCH("sortie-epargne",IFERROR(INDEX('Paramètres'!$N:$N,MATCH($D2196,'Paramètres'!$M:$M,0))&amp;"",""))),$K2196,0))</f>
        <v/>
      </c>
      <c r="V2196" s="6" t="str">
        <f>IF(AND($A2196&lt;&gt;"",$O2196=1,$L2196="Débit",N($Q2196)&gt;0,$A2196&gt;=Visualisation!$B$1,$A2196&lt;Visualisation!$D$1),MAX($V$1:V2195)+1,"")</f>
        <v/>
      </c>
    </row>
    <row r="2197" spans="1:22" x14ac:dyDescent="0.25">
      <c r="A2197" s="9"/>
      <c r="E2197" s="10"/>
      <c r="K2197" s="11" t="str">
        <f>IF($E2197="","",ROUND($E2197*IF(ISNA(MATCH($C2197,'Paramètres'!$D:$D,0)),1,IF(INDEX('Paramètres'!$J:$J,MATCH($C2197,'Paramètres'!$D:$D,0))="",1,INDEX('Paramètres'!$J:$J,MATCH($C2197,'Paramètres'!$D:$D,0)))),2))</f>
        <v/>
      </c>
      <c r="L2197" s="6" t="str">
        <f>IF($D2197="","",IF($F2197&lt;&gt;"",$F2197,IF(ISNA(MATCH($D2197,'Paramètres'!$M:$M,0)),"⚠ Type inconnu",IFERROR(INDEX('Paramètres'!$P:$P,MATCH($D2197,'Paramètres'!$M:$M,0))&amp;"",""))))</f>
        <v/>
      </c>
      <c r="M2197" s="6" t="str">
        <f>IF($D2197="","",IF(ISNA(MATCH($D2197,'Paramètres'!$M:$M,0)),"⚠ Type inconnu",IF($L2197="Crédit","",IFERROR(INDEX('Paramètres'!$O:$O,MATCH($D2197,'Paramètres'!$M:$M,0))&amp;"",""))))</f>
        <v/>
      </c>
      <c r="N2197" s="6" t="str">
        <f>IF($D2197="","",IFERROR(INDEX('Paramètres'!$Q:$Q,MATCH($D2197,'Paramètres'!$M:$M,0))&amp;"",""))</f>
        <v/>
      </c>
      <c r="O2197" s="6" t="str">
        <f>IF($A2197="","",IF(OR($J2197&lt;&gt;"x",$A2197&lt;=FinReleve),1,0))</f>
        <v/>
      </c>
      <c r="P2197" s="6" t="str">
        <f>IF($D2197="","",IF(AND($L2197="Crédit",OR(IFERROR(INDEX('Paramètres'!$O:$O,MATCH($D2197,'Paramètres'!$M:$M,0))&amp;"","")&lt;&gt;"",ISNUMBER(SEARCH("remboursement",IFERROR(INDEX('Paramètres'!$N:$N,MATCH($D2197,'Paramètres'!$M:$M,0))&amp;"",""))))),1,0))</f>
        <v/>
      </c>
      <c r="Q2197" s="6" t="str">
        <f>IF($K2197="","",IF(ISNUMBER(SEARCH("transfert-interne",IFERROR(INDEX('Paramètres'!$N:$N,MATCH($D2197,'Paramètres'!$M:$M,0))&amp;"",""))),0,IF($L2197="Débit",$K2197,IF($P2197=1,-$K2197,0))))</f>
        <v/>
      </c>
      <c r="R2197" s="6" t="str">
        <f>IF($K2197="","",IF($L2197="Crédit",$K2197,-$K2197))</f>
        <v/>
      </c>
      <c r="S2197" s="6" t="str">
        <f>IF($C2197="","",IFERROR(INDEX('Paramètres'!$H:$H,MATCH($C2197,'Paramètres'!$D:$D,0))&amp;"",""))</f>
        <v/>
      </c>
      <c r="T2197" s="6" t="str">
        <f>IF($K2197="","",IF($S2197="",0,IF(ISNUMBER(SEARCH("apport-exterieur",IFERROR(INDEX('Paramètres'!$N:$N,MATCH($D2197,'Paramètres'!$M:$M,0))&amp;"",""))),0,IF(OR(IFERROR(INDEX('Paramètres'!$I:$I,MATCH($C2197,'Paramètres'!$D:$D,0))&amp;"","")="Les deux",IFERROR(INDEX('Paramètres'!$I:$I,MATCH($C2197,'Paramètres'!$D:$D,0))&amp;"","")=IF($P2197=1,"Débit",$L2197)),-IF($P2197=1,-$K2197,$K2197),0))))</f>
        <v/>
      </c>
      <c r="U2197" s="6" t="str">
        <f>IF($K2197="","",IF(ISNUMBER(SEARCH("sortie-epargne",IFERROR(INDEX('Paramètres'!$N:$N,MATCH($D2197,'Paramètres'!$M:$M,0))&amp;"",""))),$K2197,0))</f>
        <v/>
      </c>
      <c r="V2197" s="6" t="str">
        <f>IF(AND($A2197&lt;&gt;"",$O2197=1,$L2197="Débit",N($Q2197)&gt;0,$A2197&gt;=Visualisation!$B$1,$A2197&lt;Visualisation!$D$1),MAX($V$1:V2196)+1,"")</f>
        <v/>
      </c>
    </row>
    <row r="2198" spans="1:22" x14ac:dyDescent="0.25">
      <c r="A2198" s="9"/>
      <c r="E2198" s="10"/>
      <c r="K2198" s="11" t="str">
        <f>IF($E2198="","",ROUND($E2198*IF(ISNA(MATCH($C2198,'Paramètres'!$D:$D,0)),1,IF(INDEX('Paramètres'!$J:$J,MATCH($C2198,'Paramètres'!$D:$D,0))="",1,INDEX('Paramètres'!$J:$J,MATCH($C2198,'Paramètres'!$D:$D,0)))),2))</f>
        <v/>
      </c>
      <c r="L2198" s="6" t="str">
        <f>IF($D2198="","",IF($F2198&lt;&gt;"",$F2198,IF(ISNA(MATCH($D2198,'Paramètres'!$M:$M,0)),"⚠ Type inconnu",IFERROR(INDEX('Paramètres'!$P:$P,MATCH($D2198,'Paramètres'!$M:$M,0))&amp;"",""))))</f>
        <v/>
      </c>
      <c r="M2198" s="6" t="str">
        <f>IF($D2198="","",IF(ISNA(MATCH($D2198,'Paramètres'!$M:$M,0)),"⚠ Type inconnu",IF($L2198="Crédit","",IFERROR(INDEX('Paramètres'!$O:$O,MATCH($D2198,'Paramètres'!$M:$M,0))&amp;"",""))))</f>
        <v/>
      </c>
      <c r="N2198" s="6" t="str">
        <f>IF($D2198="","",IFERROR(INDEX('Paramètres'!$Q:$Q,MATCH($D2198,'Paramètres'!$M:$M,0))&amp;"",""))</f>
        <v/>
      </c>
      <c r="O2198" s="6" t="str">
        <f>IF($A2198="","",IF(OR($J2198&lt;&gt;"x",$A2198&lt;=FinReleve),1,0))</f>
        <v/>
      </c>
      <c r="P2198" s="6" t="str">
        <f>IF($D2198="","",IF(AND($L2198="Crédit",OR(IFERROR(INDEX('Paramètres'!$O:$O,MATCH($D2198,'Paramètres'!$M:$M,0))&amp;"","")&lt;&gt;"",ISNUMBER(SEARCH("remboursement",IFERROR(INDEX('Paramètres'!$N:$N,MATCH($D2198,'Paramètres'!$M:$M,0))&amp;"",""))))),1,0))</f>
        <v/>
      </c>
      <c r="Q2198" s="6" t="str">
        <f>IF($K2198="","",IF(ISNUMBER(SEARCH("transfert-interne",IFERROR(INDEX('Paramètres'!$N:$N,MATCH($D2198,'Paramètres'!$M:$M,0))&amp;"",""))),0,IF($L2198="Débit",$K2198,IF($P2198=1,-$K2198,0))))</f>
        <v/>
      </c>
      <c r="R2198" s="6" t="str">
        <f>IF($K2198="","",IF($L2198="Crédit",$K2198,-$K2198))</f>
        <v/>
      </c>
      <c r="S2198" s="6" t="str">
        <f>IF($C2198="","",IFERROR(INDEX('Paramètres'!$H:$H,MATCH($C2198,'Paramètres'!$D:$D,0))&amp;"",""))</f>
        <v/>
      </c>
      <c r="T2198" s="6" t="str">
        <f>IF($K2198="","",IF($S2198="",0,IF(ISNUMBER(SEARCH("apport-exterieur",IFERROR(INDEX('Paramètres'!$N:$N,MATCH($D2198,'Paramètres'!$M:$M,0))&amp;"",""))),0,IF(OR(IFERROR(INDEX('Paramètres'!$I:$I,MATCH($C2198,'Paramètres'!$D:$D,0))&amp;"","")="Les deux",IFERROR(INDEX('Paramètres'!$I:$I,MATCH($C2198,'Paramètres'!$D:$D,0))&amp;"","")=IF($P2198=1,"Débit",$L2198)),-IF($P2198=1,-$K2198,$K2198),0))))</f>
        <v/>
      </c>
      <c r="U2198" s="6" t="str">
        <f>IF($K2198="","",IF(ISNUMBER(SEARCH("sortie-epargne",IFERROR(INDEX('Paramètres'!$N:$N,MATCH($D2198,'Paramètres'!$M:$M,0))&amp;"",""))),$K2198,0))</f>
        <v/>
      </c>
      <c r="V2198" s="6" t="str">
        <f>IF(AND($A2198&lt;&gt;"",$O2198=1,$L2198="Débit",N($Q2198)&gt;0,$A2198&gt;=Visualisation!$B$1,$A2198&lt;Visualisation!$D$1),MAX($V$1:V2197)+1,"")</f>
        <v/>
      </c>
    </row>
    <row r="2199" spans="1:22" x14ac:dyDescent="0.25">
      <c r="A2199" s="9"/>
      <c r="E2199" s="10"/>
      <c r="K2199" s="11" t="str">
        <f>IF($E2199="","",ROUND($E2199*IF(ISNA(MATCH($C2199,'Paramètres'!$D:$D,0)),1,IF(INDEX('Paramètres'!$J:$J,MATCH($C2199,'Paramètres'!$D:$D,0))="",1,INDEX('Paramètres'!$J:$J,MATCH($C2199,'Paramètres'!$D:$D,0)))),2))</f>
        <v/>
      </c>
      <c r="L2199" s="6" t="str">
        <f>IF($D2199="","",IF($F2199&lt;&gt;"",$F2199,IF(ISNA(MATCH($D2199,'Paramètres'!$M:$M,0)),"⚠ Type inconnu",IFERROR(INDEX('Paramètres'!$P:$P,MATCH($D2199,'Paramètres'!$M:$M,0))&amp;"",""))))</f>
        <v/>
      </c>
      <c r="M2199" s="6" t="str">
        <f>IF($D2199="","",IF(ISNA(MATCH($D2199,'Paramètres'!$M:$M,0)),"⚠ Type inconnu",IF($L2199="Crédit","",IFERROR(INDEX('Paramètres'!$O:$O,MATCH($D2199,'Paramètres'!$M:$M,0))&amp;"",""))))</f>
        <v/>
      </c>
      <c r="N2199" s="6" t="str">
        <f>IF($D2199="","",IFERROR(INDEX('Paramètres'!$Q:$Q,MATCH($D2199,'Paramètres'!$M:$M,0))&amp;"",""))</f>
        <v/>
      </c>
      <c r="O2199" s="6" t="str">
        <f>IF($A2199="","",IF(OR($J2199&lt;&gt;"x",$A2199&lt;=FinReleve),1,0))</f>
        <v/>
      </c>
      <c r="P2199" s="6" t="str">
        <f>IF($D2199="","",IF(AND($L2199="Crédit",OR(IFERROR(INDEX('Paramètres'!$O:$O,MATCH($D2199,'Paramètres'!$M:$M,0))&amp;"","")&lt;&gt;"",ISNUMBER(SEARCH("remboursement",IFERROR(INDEX('Paramètres'!$N:$N,MATCH($D2199,'Paramètres'!$M:$M,0))&amp;"",""))))),1,0))</f>
        <v/>
      </c>
      <c r="Q2199" s="6" t="str">
        <f>IF($K2199="","",IF(ISNUMBER(SEARCH("transfert-interne",IFERROR(INDEX('Paramètres'!$N:$N,MATCH($D2199,'Paramètres'!$M:$M,0))&amp;"",""))),0,IF($L2199="Débit",$K2199,IF($P2199=1,-$K2199,0))))</f>
        <v/>
      </c>
      <c r="R2199" s="6" t="str">
        <f>IF($K2199="","",IF($L2199="Crédit",$K2199,-$K2199))</f>
        <v/>
      </c>
      <c r="S2199" s="6" t="str">
        <f>IF($C2199="","",IFERROR(INDEX('Paramètres'!$H:$H,MATCH($C2199,'Paramètres'!$D:$D,0))&amp;"",""))</f>
        <v/>
      </c>
      <c r="T2199" s="6" t="str">
        <f>IF($K2199="","",IF($S2199="",0,IF(ISNUMBER(SEARCH("apport-exterieur",IFERROR(INDEX('Paramètres'!$N:$N,MATCH($D2199,'Paramètres'!$M:$M,0))&amp;"",""))),0,IF(OR(IFERROR(INDEX('Paramètres'!$I:$I,MATCH($C2199,'Paramètres'!$D:$D,0))&amp;"","")="Les deux",IFERROR(INDEX('Paramètres'!$I:$I,MATCH($C2199,'Paramètres'!$D:$D,0))&amp;"","")=IF($P2199=1,"Débit",$L2199)),-IF($P2199=1,-$K2199,$K2199),0))))</f>
        <v/>
      </c>
      <c r="U2199" s="6" t="str">
        <f>IF($K2199="","",IF(ISNUMBER(SEARCH("sortie-epargne",IFERROR(INDEX('Paramètres'!$N:$N,MATCH($D2199,'Paramètres'!$M:$M,0))&amp;"",""))),$K2199,0))</f>
        <v/>
      </c>
      <c r="V2199" s="6" t="str">
        <f>IF(AND($A2199&lt;&gt;"",$O2199=1,$L2199="Débit",N($Q2199)&gt;0,$A2199&gt;=Visualisation!$B$1,$A2199&lt;Visualisation!$D$1),MAX($V$1:V2198)+1,"")</f>
        <v/>
      </c>
    </row>
    <row r="2200" spans="1:22" x14ac:dyDescent="0.25">
      <c r="A2200" s="9"/>
      <c r="E2200" s="10"/>
      <c r="K2200" s="11" t="str">
        <f>IF($E2200="","",ROUND($E2200*IF(ISNA(MATCH($C2200,'Paramètres'!$D:$D,0)),1,IF(INDEX('Paramètres'!$J:$J,MATCH($C2200,'Paramètres'!$D:$D,0))="",1,INDEX('Paramètres'!$J:$J,MATCH($C2200,'Paramètres'!$D:$D,0)))),2))</f>
        <v/>
      </c>
      <c r="L2200" s="6" t="str">
        <f>IF($D2200="","",IF($F2200&lt;&gt;"",$F2200,IF(ISNA(MATCH($D2200,'Paramètres'!$M:$M,0)),"⚠ Type inconnu",IFERROR(INDEX('Paramètres'!$P:$P,MATCH($D2200,'Paramètres'!$M:$M,0))&amp;"",""))))</f>
        <v/>
      </c>
      <c r="M2200" s="6" t="str">
        <f>IF($D2200="","",IF(ISNA(MATCH($D2200,'Paramètres'!$M:$M,0)),"⚠ Type inconnu",IF($L2200="Crédit","",IFERROR(INDEX('Paramètres'!$O:$O,MATCH($D2200,'Paramètres'!$M:$M,0))&amp;"",""))))</f>
        <v/>
      </c>
      <c r="N2200" s="6" t="str">
        <f>IF($D2200="","",IFERROR(INDEX('Paramètres'!$Q:$Q,MATCH($D2200,'Paramètres'!$M:$M,0))&amp;"",""))</f>
        <v/>
      </c>
      <c r="O2200" s="6" t="str">
        <f>IF($A2200="","",IF(OR($J2200&lt;&gt;"x",$A2200&lt;=FinReleve),1,0))</f>
        <v/>
      </c>
      <c r="P2200" s="6" t="str">
        <f>IF($D2200="","",IF(AND($L2200="Crédit",OR(IFERROR(INDEX('Paramètres'!$O:$O,MATCH($D2200,'Paramètres'!$M:$M,0))&amp;"","")&lt;&gt;"",ISNUMBER(SEARCH("remboursement",IFERROR(INDEX('Paramètres'!$N:$N,MATCH($D2200,'Paramètres'!$M:$M,0))&amp;"",""))))),1,0))</f>
        <v/>
      </c>
      <c r="Q2200" s="6" t="str">
        <f>IF($K2200="","",IF(ISNUMBER(SEARCH("transfert-interne",IFERROR(INDEX('Paramètres'!$N:$N,MATCH($D2200,'Paramètres'!$M:$M,0))&amp;"",""))),0,IF($L2200="Débit",$K2200,IF($P2200=1,-$K2200,0))))</f>
        <v/>
      </c>
      <c r="R2200" s="6" t="str">
        <f>IF($K2200="","",IF($L2200="Crédit",$K2200,-$K2200))</f>
        <v/>
      </c>
      <c r="S2200" s="6" t="str">
        <f>IF($C2200="","",IFERROR(INDEX('Paramètres'!$H:$H,MATCH($C2200,'Paramètres'!$D:$D,0))&amp;"",""))</f>
        <v/>
      </c>
      <c r="T2200" s="6" t="str">
        <f>IF($K2200="","",IF($S2200="",0,IF(ISNUMBER(SEARCH("apport-exterieur",IFERROR(INDEX('Paramètres'!$N:$N,MATCH($D2200,'Paramètres'!$M:$M,0))&amp;"",""))),0,IF(OR(IFERROR(INDEX('Paramètres'!$I:$I,MATCH($C2200,'Paramètres'!$D:$D,0))&amp;"","")="Les deux",IFERROR(INDEX('Paramètres'!$I:$I,MATCH($C2200,'Paramètres'!$D:$D,0))&amp;"","")=IF($P2200=1,"Débit",$L2200)),-IF($P2200=1,-$K2200,$K2200),0))))</f>
        <v/>
      </c>
      <c r="U2200" s="6" t="str">
        <f>IF($K2200="","",IF(ISNUMBER(SEARCH("sortie-epargne",IFERROR(INDEX('Paramètres'!$N:$N,MATCH($D2200,'Paramètres'!$M:$M,0))&amp;"",""))),$K2200,0))</f>
        <v/>
      </c>
      <c r="V2200" s="6" t="str">
        <f>IF(AND($A2200&lt;&gt;"",$O2200=1,$L2200="Débit",N($Q2200)&gt;0,$A2200&gt;=Visualisation!$B$1,$A2200&lt;Visualisation!$D$1),MAX($V$1:V2199)+1,"")</f>
        <v/>
      </c>
    </row>
    <row r="2201" spans="1:22" x14ac:dyDescent="0.25">
      <c r="A2201" s="9"/>
      <c r="E2201" s="10"/>
      <c r="K2201" s="11" t="str">
        <f>IF($E2201="","",ROUND($E2201*IF(ISNA(MATCH($C2201,'Paramètres'!$D:$D,0)),1,IF(INDEX('Paramètres'!$J:$J,MATCH($C2201,'Paramètres'!$D:$D,0))="",1,INDEX('Paramètres'!$J:$J,MATCH($C2201,'Paramètres'!$D:$D,0)))),2))</f>
        <v/>
      </c>
      <c r="L2201" s="6" t="str">
        <f>IF($D2201="","",IF($F2201&lt;&gt;"",$F2201,IF(ISNA(MATCH($D2201,'Paramètres'!$M:$M,0)),"⚠ Type inconnu",IFERROR(INDEX('Paramètres'!$P:$P,MATCH($D2201,'Paramètres'!$M:$M,0))&amp;"",""))))</f>
        <v/>
      </c>
      <c r="M2201" s="6" t="str">
        <f>IF($D2201="","",IF(ISNA(MATCH($D2201,'Paramètres'!$M:$M,0)),"⚠ Type inconnu",IF($L2201="Crédit","",IFERROR(INDEX('Paramètres'!$O:$O,MATCH($D2201,'Paramètres'!$M:$M,0))&amp;"",""))))</f>
        <v/>
      </c>
      <c r="N2201" s="6" t="str">
        <f>IF($D2201="","",IFERROR(INDEX('Paramètres'!$Q:$Q,MATCH($D2201,'Paramètres'!$M:$M,0))&amp;"",""))</f>
        <v/>
      </c>
      <c r="O2201" s="6" t="str">
        <f>IF($A2201="","",IF(OR($J2201&lt;&gt;"x",$A2201&lt;=FinReleve),1,0))</f>
        <v/>
      </c>
      <c r="P2201" s="6" t="str">
        <f>IF($D2201="","",IF(AND($L2201="Crédit",OR(IFERROR(INDEX('Paramètres'!$O:$O,MATCH($D2201,'Paramètres'!$M:$M,0))&amp;"","")&lt;&gt;"",ISNUMBER(SEARCH("remboursement",IFERROR(INDEX('Paramètres'!$N:$N,MATCH($D2201,'Paramètres'!$M:$M,0))&amp;"",""))))),1,0))</f>
        <v/>
      </c>
      <c r="Q2201" s="6" t="str">
        <f>IF($K2201="","",IF(ISNUMBER(SEARCH("transfert-interne",IFERROR(INDEX('Paramètres'!$N:$N,MATCH($D2201,'Paramètres'!$M:$M,0))&amp;"",""))),0,IF($L2201="Débit",$K2201,IF($P2201=1,-$K2201,0))))</f>
        <v/>
      </c>
      <c r="R2201" s="6" t="str">
        <f>IF($K2201="","",IF($L2201="Crédit",$K2201,-$K2201))</f>
        <v/>
      </c>
      <c r="S2201" s="6" t="str">
        <f>IF($C2201="","",IFERROR(INDEX('Paramètres'!$H:$H,MATCH($C2201,'Paramètres'!$D:$D,0))&amp;"",""))</f>
        <v/>
      </c>
      <c r="T2201" s="6" t="str">
        <f>IF($K2201="","",IF($S2201="",0,IF(ISNUMBER(SEARCH("apport-exterieur",IFERROR(INDEX('Paramètres'!$N:$N,MATCH($D2201,'Paramètres'!$M:$M,0))&amp;"",""))),0,IF(OR(IFERROR(INDEX('Paramètres'!$I:$I,MATCH($C2201,'Paramètres'!$D:$D,0))&amp;"","")="Les deux",IFERROR(INDEX('Paramètres'!$I:$I,MATCH($C2201,'Paramètres'!$D:$D,0))&amp;"","")=IF($P2201=1,"Débit",$L2201)),-IF($P2201=1,-$K2201,$K2201),0))))</f>
        <v/>
      </c>
      <c r="U2201" s="6" t="str">
        <f>IF($K2201="","",IF(ISNUMBER(SEARCH("sortie-epargne",IFERROR(INDEX('Paramètres'!$N:$N,MATCH($D2201,'Paramètres'!$M:$M,0))&amp;"",""))),$K2201,0))</f>
        <v/>
      </c>
      <c r="V2201" s="6" t="str">
        <f>IF(AND($A2201&lt;&gt;"",$O2201=1,$L2201="Débit",N($Q2201)&gt;0,$A2201&gt;=Visualisation!$B$1,$A2201&lt;Visualisation!$D$1),MAX($V$1:V2200)+1,"")</f>
        <v/>
      </c>
    </row>
    <row r="2202" spans="1:22" x14ac:dyDescent="0.25">
      <c r="A2202" s="9"/>
      <c r="E2202" s="10"/>
      <c r="K2202" s="11" t="str">
        <f>IF($E2202="","",ROUND($E2202*IF(ISNA(MATCH($C2202,'Paramètres'!$D:$D,0)),1,IF(INDEX('Paramètres'!$J:$J,MATCH($C2202,'Paramètres'!$D:$D,0))="",1,INDEX('Paramètres'!$J:$J,MATCH($C2202,'Paramètres'!$D:$D,0)))),2))</f>
        <v/>
      </c>
      <c r="L2202" s="6" t="str">
        <f>IF($D2202="","",IF($F2202&lt;&gt;"",$F2202,IF(ISNA(MATCH($D2202,'Paramètres'!$M:$M,0)),"⚠ Type inconnu",IFERROR(INDEX('Paramètres'!$P:$P,MATCH($D2202,'Paramètres'!$M:$M,0))&amp;"",""))))</f>
        <v/>
      </c>
      <c r="M2202" s="6" t="str">
        <f>IF($D2202="","",IF(ISNA(MATCH($D2202,'Paramètres'!$M:$M,0)),"⚠ Type inconnu",IF($L2202="Crédit","",IFERROR(INDEX('Paramètres'!$O:$O,MATCH($D2202,'Paramètres'!$M:$M,0))&amp;"",""))))</f>
        <v/>
      </c>
      <c r="N2202" s="6" t="str">
        <f>IF($D2202="","",IFERROR(INDEX('Paramètres'!$Q:$Q,MATCH($D2202,'Paramètres'!$M:$M,0))&amp;"",""))</f>
        <v/>
      </c>
      <c r="O2202" s="6" t="str">
        <f>IF($A2202="","",IF(OR($J2202&lt;&gt;"x",$A2202&lt;=FinReleve),1,0))</f>
        <v/>
      </c>
      <c r="P2202" s="6" t="str">
        <f>IF($D2202="","",IF(AND($L2202="Crédit",OR(IFERROR(INDEX('Paramètres'!$O:$O,MATCH($D2202,'Paramètres'!$M:$M,0))&amp;"","")&lt;&gt;"",ISNUMBER(SEARCH("remboursement",IFERROR(INDEX('Paramètres'!$N:$N,MATCH($D2202,'Paramètres'!$M:$M,0))&amp;"",""))))),1,0))</f>
        <v/>
      </c>
      <c r="Q2202" s="6" t="str">
        <f>IF($K2202="","",IF(ISNUMBER(SEARCH("transfert-interne",IFERROR(INDEX('Paramètres'!$N:$N,MATCH($D2202,'Paramètres'!$M:$M,0))&amp;"",""))),0,IF($L2202="Débit",$K2202,IF($P2202=1,-$K2202,0))))</f>
        <v/>
      </c>
      <c r="R2202" s="6" t="str">
        <f>IF($K2202="","",IF($L2202="Crédit",$K2202,-$K2202))</f>
        <v/>
      </c>
      <c r="S2202" s="6" t="str">
        <f>IF($C2202="","",IFERROR(INDEX('Paramètres'!$H:$H,MATCH($C2202,'Paramètres'!$D:$D,0))&amp;"",""))</f>
        <v/>
      </c>
      <c r="T2202" s="6" t="str">
        <f>IF($K2202="","",IF($S2202="",0,IF(ISNUMBER(SEARCH("apport-exterieur",IFERROR(INDEX('Paramètres'!$N:$N,MATCH($D2202,'Paramètres'!$M:$M,0))&amp;"",""))),0,IF(OR(IFERROR(INDEX('Paramètres'!$I:$I,MATCH($C2202,'Paramètres'!$D:$D,0))&amp;"","")="Les deux",IFERROR(INDEX('Paramètres'!$I:$I,MATCH($C2202,'Paramètres'!$D:$D,0))&amp;"","")=IF($P2202=1,"Débit",$L2202)),-IF($P2202=1,-$K2202,$K2202),0))))</f>
        <v/>
      </c>
      <c r="U2202" s="6" t="str">
        <f>IF($K2202="","",IF(ISNUMBER(SEARCH("sortie-epargne",IFERROR(INDEX('Paramètres'!$N:$N,MATCH($D2202,'Paramètres'!$M:$M,0))&amp;"",""))),$K2202,0))</f>
        <v/>
      </c>
      <c r="V2202" s="6" t="str">
        <f>IF(AND($A2202&lt;&gt;"",$O2202=1,$L2202="Débit",N($Q2202)&gt;0,$A2202&gt;=Visualisation!$B$1,$A2202&lt;Visualisation!$D$1),MAX($V$1:V2201)+1,"")</f>
        <v/>
      </c>
    </row>
    <row r="2203" spans="1:22" x14ac:dyDescent="0.25">
      <c r="A2203" s="9"/>
      <c r="E2203" s="10"/>
      <c r="K2203" s="11" t="str">
        <f>IF($E2203="","",ROUND($E2203*IF(ISNA(MATCH($C2203,'Paramètres'!$D:$D,0)),1,IF(INDEX('Paramètres'!$J:$J,MATCH($C2203,'Paramètres'!$D:$D,0))="",1,INDEX('Paramètres'!$J:$J,MATCH($C2203,'Paramètres'!$D:$D,0)))),2))</f>
        <v/>
      </c>
      <c r="L2203" s="6" t="str">
        <f>IF($D2203="","",IF($F2203&lt;&gt;"",$F2203,IF(ISNA(MATCH($D2203,'Paramètres'!$M:$M,0)),"⚠ Type inconnu",IFERROR(INDEX('Paramètres'!$P:$P,MATCH($D2203,'Paramètres'!$M:$M,0))&amp;"",""))))</f>
        <v/>
      </c>
      <c r="M2203" s="6" t="str">
        <f>IF($D2203="","",IF(ISNA(MATCH($D2203,'Paramètres'!$M:$M,0)),"⚠ Type inconnu",IF($L2203="Crédit","",IFERROR(INDEX('Paramètres'!$O:$O,MATCH($D2203,'Paramètres'!$M:$M,0))&amp;"",""))))</f>
        <v/>
      </c>
      <c r="N2203" s="6" t="str">
        <f>IF($D2203="","",IFERROR(INDEX('Paramètres'!$Q:$Q,MATCH($D2203,'Paramètres'!$M:$M,0))&amp;"",""))</f>
        <v/>
      </c>
      <c r="O2203" s="6" t="str">
        <f>IF($A2203="","",IF(OR($J2203&lt;&gt;"x",$A2203&lt;=FinReleve),1,0))</f>
        <v/>
      </c>
      <c r="P2203" s="6" t="str">
        <f>IF($D2203="","",IF(AND($L2203="Crédit",OR(IFERROR(INDEX('Paramètres'!$O:$O,MATCH($D2203,'Paramètres'!$M:$M,0))&amp;"","")&lt;&gt;"",ISNUMBER(SEARCH("remboursement",IFERROR(INDEX('Paramètres'!$N:$N,MATCH($D2203,'Paramètres'!$M:$M,0))&amp;"",""))))),1,0))</f>
        <v/>
      </c>
      <c r="Q2203" s="6" t="str">
        <f>IF($K2203="","",IF(ISNUMBER(SEARCH("transfert-interne",IFERROR(INDEX('Paramètres'!$N:$N,MATCH($D2203,'Paramètres'!$M:$M,0))&amp;"",""))),0,IF($L2203="Débit",$K2203,IF($P2203=1,-$K2203,0))))</f>
        <v/>
      </c>
      <c r="R2203" s="6" t="str">
        <f>IF($K2203="","",IF($L2203="Crédit",$K2203,-$K2203))</f>
        <v/>
      </c>
      <c r="S2203" s="6" t="str">
        <f>IF($C2203="","",IFERROR(INDEX('Paramètres'!$H:$H,MATCH($C2203,'Paramètres'!$D:$D,0))&amp;"",""))</f>
        <v/>
      </c>
      <c r="T2203" s="6" t="str">
        <f>IF($K2203="","",IF($S2203="",0,IF(ISNUMBER(SEARCH("apport-exterieur",IFERROR(INDEX('Paramètres'!$N:$N,MATCH($D2203,'Paramètres'!$M:$M,0))&amp;"",""))),0,IF(OR(IFERROR(INDEX('Paramètres'!$I:$I,MATCH($C2203,'Paramètres'!$D:$D,0))&amp;"","")="Les deux",IFERROR(INDEX('Paramètres'!$I:$I,MATCH($C2203,'Paramètres'!$D:$D,0))&amp;"","")=IF($P2203=1,"Débit",$L2203)),-IF($P2203=1,-$K2203,$K2203),0))))</f>
        <v/>
      </c>
      <c r="U2203" s="6" t="str">
        <f>IF($K2203="","",IF(ISNUMBER(SEARCH("sortie-epargne",IFERROR(INDEX('Paramètres'!$N:$N,MATCH($D2203,'Paramètres'!$M:$M,0))&amp;"",""))),$K2203,0))</f>
        <v/>
      </c>
      <c r="V2203" s="6" t="str">
        <f>IF(AND($A2203&lt;&gt;"",$O2203=1,$L2203="Débit",N($Q2203)&gt;0,$A2203&gt;=Visualisation!$B$1,$A2203&lt;Visualisation!$D$1),MAX($V$1:V2202)+1,"")</f>
        <v/>
      </c>
    </row>
    <row r="2204" spans="1:22" x14ac:dyDescent="0.25">
      <c r="A2204" s="9"/>
      <c r="E2204" s="10"/>
      <c r="K2204" s="11" t="str">
        <f>IF($E2204="","",ROUND($E2204*IF(ISNA(MATCH($C2204,'Paramètres'!$D:$D,0)),1,IF(INDEX('Paramètres'!$J:$J,MATCH($C2204,'Paramètres'!$D:$D,0))="",1,INDEX('Paramètres'!$J:$J,MATCH($C2204,'Paramètres'!$D:$D,0)))),2))</f>
        <v/>
      </c>
      <c r="L2204" s="6" t="str">
        <f>IF($D2204="","",IF($F2204&lt;&gt;"",$F2204,IF(ISNA(MATCH($D2204,'Paramètres'!$M:$M,0)),"⚠ Type inconnu",IFERROR(INDEX('Paramètres'!$P:$P,MATCH($D2204,'Paramètres'!$M:$M,0))&amp;"",""))))</f>
        <v/>
      </c>
      <c r="M2204" s="6" t="str">
        <f>IF($D2204="","",IF(ISNA(MATCH($D2204,'Paramètres'!$M:$M,0)),"⚠ Type inconnu",IF($L2204="Crédit","",IFERROR(INDEX('Paramètres'!$O:$O,MATCH($D2204,'Paramètres'!$M:$M,0))&amp;"",""))))</f>
        <v/>
      </c>
      <c r="N2204" s="6" t="str">
        <f>IF($D2204="","",IFERROR(INDEX('Paramètres'!$Q:$Q,MATCH($D2204,'Paramètres'!$M:$M,0))&amp;"",""))</f>
        <v/>
      </c>
      <c r="O2204" s="6" t="str">
        <f>IF($A2204="","",IF(OR($J2204&lt;&gt;"x",$A2204&lt;=FinReleve),1,0))</f>
        <v/>
      </c>
      <c r="P2204" s="6" t="str">
        <f>IF($D2204="","",IF(AND($L2204="Crédit",OR(IFERROR(INDEX('Paramètres'!$O:$O,MATCH($D2204,'Paramètres'!$M:$M,0))&amp;"","")&lt;&gt;"",ISNUMBER(SEARCH("remboursement",IFERROR(INDEX('Paramètres'!$N:$N,MATCH($D2204,'Paramètres'!$M:$M,0))&amp;"",""))))),1,0))</f>
        <v/>
      </c>
      <c r="Q2204" s="6" t="str">
        <f>IF($K2204="","",IF(ISNUMBER(SEARCH("transfert-interne",IFERROR(INDEX('Paramètres'!$N:$N,MATCH($D2204,'Paramètres'!$M:$M,0))&amp;"",""))),0,IF($L2204="Débit",$K2204,IF($P2204=1,-$K2204,0))))</f>
        <v/>
      </c>
      <c r="R2204" s="6" t="str">
        <f>IF($K2204="","",IF($L2204="Crédit",$K2204,-$K2204))</f>
        <v/>
      </c>
      <c r="S2204" s="6" t="str">
        <f>IF($C2204="","",IFERROR(INDEX('Paramètres'!$H:$H,MATCH($C2204,'Paramètres'!$D:$D,0))&amp;"",""))</f>
        <v/>
      </c>
      <c r="T2204" s="6" t="str">
        <f>IF($K2204="","",IF($S2204="",0,IF(ISNUMBER(SEARCH("apport-exterieur",IFERROR(INDEX('Paramètres'!$N:$N,MATCH($D2204,'Paramètres'!$M:$M,0))&amp;"",""))),0,IF(OR(IFERROR(INDEX('Paramètres'!$I:$I,MATCH($C2204,'Paramètres'!$D:$D,0))&amp;"","")="Les deux",IFERROR(INDEX('Paramètres'!$I:$I,MATCH($C2204,'Paramètres'!$D:$D,0))&amp;"","")=IF($P2204=1,"Débit",$L2204)),-IF($P2204=1,-$K2204,$K2204),0))))</f>
        <v/>
      </c>
      <c r="U2204" s="6" t="str">
        <f>IF($K2204="","",IF(ISNUMBER(SEARCH("sortie-epargne",IFERROR(INDEX('Paramètres'!$N:$N,MATCH($D2204,'Paramètres'!$M:$M,0))&amp;"",""))),$K2204,0))</f>
        <v/>
      </c>
      <c r="V2204" s="6" t="str">
        <f>IF(AND($A2204&lt;&gt;"",$O2204=1,$L2204="Débit",N($Q2204)&gt;0,$A2204&gt;=Visualisation!$B$1,$A2204&lt;Visualisation!$D$1),MAX($V$1:V2203)+1,"")</f>
        <v/>
      </c>
    </row>
    <row r="2205" spans="1:22" x14ac:dyDescent="0.25">
      <c r="A2205" s="9"/>
      <c r="E2205" s="10"/>
      <c r="K2205" s="11" t="str">
        <f>IF($E2205="","",ROUND($E2205*IF(ISNA(MATCH($C2205,'Paramètres'!$D:$D,0)),1,IF(INDEX('Paramètres'!$J:$J,MATCH($C2205,'Paramètres'!$D:$D,0))="",1,INDEX('Paramètres'!$J:$J,MATCH($C2205,'Paramètres'!$D:$D,0)))),2))</f>
        <v/>
      </c>
      <c r="L2205" s="6" t="str">
        <f>IF($D2205="","",IF($F2205&lt;&gt;"",$F2205,IF(ISNA(MATCH($D2205,'Paramètres'!$M:$M,0)),"⚠ Type inconnu",IFERROR(INDEX('Paramètres'!$P:$P,MATCH($D2205,'Paramètres'!$M:$M,0))&amp;"",""))))</f>
        <v/>
      </c>
      <c r="M2205" s="6" t="str">
        <f>IF($D2205="","",IF(ISNA(MATCH($D2205,'Paramètres'!$M:$M,0)),"⚠ Type inconnu",IF($L2205="Crédit","",IFERROR(INDEX('Paramètres'!$O:$O,MATCH($D2205,'Paramètres'!$M:$M,0))&amp;"",""))))</f>
        <v/>
      </c>
      <c r="N2205" s="6" t="str">
        <f>IF($D2205="","",IFERROR(INDEX('Paramètres'!$Q:$Q,MATCH($D2205,'Paramètres'!$M:$M,0))&amp;"",""))</f>
        <v/>
      </c>
      <c r="O2205" s="6" t="str">
        <f>IF($A2205="","",IF(OR($J2205&lt;&gt;"x",$A2205&lt;=FinReleve),1,0))</f>
        <v/>
      </c>
      <c r="P2205" s="6" t="str">
        <f>IF($D2205="","",IF(AND($L2205="Crédit",OR(IFERROR(INDEX('Paramètres'!$O:$O,MATCH($D2205,'Paramètres'!$M:$M,0))&amp;"","")&lt;&gt;"",ISNUMBER(SEARCH("remboursement",IFERROR(INDEX('Paramètres'!$N:$N,MATCH($D2205,'Paramètres'!$M:$M,0))&amp;"",""))))),1,0))</f>
        <v/>
      </c>
      <c r="Q2205" s="6" t="str">
        <f>IF($K2205="","",IF(ISNUMBER(SEARCH("transfert-interne",IFERROR(INDEX('Paramètres'!$N:$N,MATCH($D2205,'Paramètres'!$M:$M,0))&amp;"",""))),0,IF($L2205="Débit",$K2205,IF($P2205=1,-$K2205,0))))</f>
        <v/>
      </c>
      <c r="R2205" s="6" t="str">
        <f>IF($K2205="","",IF($L2205="Crédit",$K2205,-$K2205))</f>
        <v/>
      </c>
      <c r="S2205" s="6" t="str">
        <f>IF($C2205="","",IFERROR(INDEX('Paramètres'!$H:$H,MATCH($C2205,'Paramètres'!$D:$D,0))&amp;"",""))</f>
        <v/>
      </c>
      <c r="T2205" s="6" t="str">
        <f>IF($K2205="","",IF($S2205="",0,IF(ISNUMBER(SEARCH("apport-exterieur",IFERROR(INDEX('Paramètres'!$N:$N,MATCH($D2205,'Paramètres'!$M:$M,0))&amp;"",""))),0,IF(OR(IFERROR(INDEX('Paramètres'!$I:$I,MATCH($C2205,'Paramètres'!$D:$D,0))&amp;"","")="Les deux",IFERROR(INDEX('Paramètres'!$I:$I,MATCH($C2205,'Paramètres'!$D:$D,0))&amp;"","")=IF($P2205=1,"Débit",$L2205)),-IF($P2205=1,-$K2205,$K2205),0))))</f>
        <v/>
      </c>
      <c r="U2205" s="6" t="str">
        <f>IF($K2205="","",IF(ISNUMBER(SEARCH("sortie-epargne",IFERROR(INDEX('Paramètres'!$N:$N,MATCH($D2205,'Paramètres'!$M:$M,0))&amp;"",""))),$K2205,0))</f>
        <v/>
      </c>
      <c r="V2205" s="6" t="str">
        <f>IF(AND($A2205&lt;&gt;"",$O2205=1,$L2205="Débit",N($Q2205)&gt;0,$A2205&gt;=Visualisation!$B$1,$A2205&lt;Visualisation!$D$1),MAX($V$1:V2204)+1,"")</f>
        <v/>
      </c>
    </row>
    <row r="2206" spans="1:22" x14ac:dyDescent="0.25">
      <c r="A2206" s="9"/>
      <c r="E2206" s="10"/>
      <c r="K2206" s="11" t="str">
        <f>IF($E2206="","",ROUND($E2206*IF(ISNA(MATCH($C2206,'Paramètres'!$D:$D,0)),1,IF(INDEX('Paramètres'!$J:$J,MATCH($C2206,'Paramètres'!$D:$D,0))="",1,INDEX('Paramètres'!$J:$J,MATCH($C2206,'Paramètres'!$D:$D,0)))),2))</f>
        <v/>
      </c>
      <c r="L2206" s="6" t="str">
        <f>IF($D2206="","",IF($F2206&lt;&gt;"",$F2206,IF(ISNA(MATCH($D2206,'Paramètres'!$M:$M,0)),"⚠ Type inconnu",IFERROR(INDEX('Paramètres'!$P:$P,MATCH($D2206,'Paramètres'!$M:$M,0))&amp;"",""))))</f>
        <v/>
      </c>
      <c r="M2206" s="6" t="str">
        <f>IF($D2206="","",IF(ISNA(MATCH($D2206,'Paramètres'!$M:$M,0)),"⚠ Type inconnu",IF($L2206="Crédit","",IFERROR(INDEX('Paramètres'!$O:$O,MATCH($D2206,'Paramètres'!$M:$M,0))&amp;"",""))))</f>
        <v/>
      </c>
      <c r="N2206" s="6" t="str">
        <f>IF($D2206="","",IFERROR(INDEX('Paramètres'!$Q:$Q,MATCH($D2206,'Paramètres'!$M:$M,0))&amp;"",""))</f>
        <v/>
      </c>
      <c r="O2206" s="6" t="str">
        <f>IF($A2206="","",IF(OR($J2206&lt;&gt;"x",$A2206&lt;=FinReleve),1,0))</f>
        <v/>
      </c>
      <c r="P2206" s="6" t="str">
        <f>IF($D2206="","",IF(AND($L2206="Crédit",OR(IFERROR(INDEX('Paramètres'!$O:$O,MATCH($D2206,'Paramètres'!$M:$M,0))&amp;"","")&lt;&gt;"",ISNUMBER(SEARCH("remboursement",IFERROR(INDEX('Paramètres'!$N:$N,MATCH($D2206,'Paramètres'!$M:$M,0))&amp;"",""))))),1,0))</f>
        <v/>
      </c>
      <c r="Q2206" s="6" t="str">
        <f>IF($K2206="","",IF(ISNUMBER(SEARCH("transfert-interne",IFERROR(INDEX('Paramètres'!$N:$N,MATCH($D2206,'Paramètres'!$M:$M,0))&amp;"",""))),0,IF($L2206="Débit",$K2206,IF($P2206=1,-$K2206,0))))</f>
        <v/>
      </c>
      <c r="R2206" s="6" t="str">
        <f>IF($K2206="","",IF($L2206="Crédit",$K2206,-$K2206))</f>
        <v/>
      </c>
      <c r="S2206" s="6" t="str">
        <f>IF($C2206="","",IFERROR(INDEX('Paramètres'!$H:$H,MATCH($C2206,'Paramètres'!$D:$D,0))&amp;"",""))</f>
        <v/>
      </c>
      <c r="T2206" s="6" t="str">
        <f>IF($K2206="","",IF($S2206="",0,IF(ISNUMBER(SEARCH("apport-exterieur",IFERROR(INDEX('Paramètres'!$N:$N,MATCH($D2206,'Paramètres'!$M:$M,0))&amp;"",""))),0,IF(OR(IFERROR(INDEX('Paramètres'!$I:$I,MATCH($C2206,'Paramètres'!$D:$D,0))&amp;"","")="Les deux",IFERROR(INDEX('Paramètres'!$I:$I,MATCH($C2206,'Paramètres'!$D:$D,0))&amp;"","")=IF($P2206=1,"Débit",$L2206)),-IF($P2206=1,-$K2206,$K2206),0))))</f>
        <v/>
      </c>
      <c r="U2206" s="6" t="str">
        <f>IF($K2206="","",IF(ISNUMBER(SEARCH("sortie-epargne",IFERROR(INDEX('Paramètres'!$N:$N,MATCH($D2206,'Paramètres'!$M:$M,0))&amp;"",""))),$K2206,0))</f>
        <v/>
      </c>
      <c r="V2206" s="6" t="str">
        <f>IF(AND($A2206&lt;&gt;"",$O2206=1,$L2206="Débit",N($Q2206)&gt;0,$A2206&gt;=Visualisation!$B$1,$A2206&lt;Visualisation!$D$1),MAX($V$1:V2205)+1,"")</f>
        <v/>
      </c>
    </row>
    <row r="2207" spans="1:22" x14ac:dyDescent="0.25">
      <c r="A2207" s="9"/>
      <c r="E2207" s="10"/>
      <c r="K2207" s="11" t="str">
        <f>IF($E2207="","",ROUND($E2207*IF(ISNA(MATCH($C2207,'Paramètres'!$D:$D,0)),1,IF(INDEX('Paramètres'!$J:$J,MATCH($C2207,'Paramètres'!$D:$D,0))="",1,INDEX('Paramètres'!$J:$J,MATCH($C2207,'Paramètres'!$D:$D,0)))),2))</f>
        <v/>
      </c>
      <c r="L2207" s="6" t="str">
        <f>IF($D2207="","",IF($F2207&lt;&gt;"",$F2207,IF(ISNA(MATCH($D2207,'Paramètres'!$M:$M,0)),"⚠ Type inconnu",IFERROR(INDEX('Paramètres'!$P:$P,MATCH($D2207,'Paramètres'!$M:$M,0))&amp;"",""))))</f>
        <v/>
      </c>
      <c r="M2207" s="6" t="str">
        <f>IF($D2207="","",IF(ISNA(MATCH($D2207,'Paramètres'!$M:$M,0)),"⚠ Type inconnu",IF($L2207="Crédit","",IFERROR(INDEX('Paramètres'!$O:$O,MATCH($D2207,'Paramètres'!$M:$M,0))&amp;"",""))))</f>
        <v/>
      </c>
      <c r="N2207" s="6" t="str">
        <f>IF($D2207="","",IFERROR(INDEX('Paramètres'!$Q:$Q,MATCH($D2207,'Paramètres'!$M:$M,0))&amp;"",""))</f>
        <v/>
      </c>
      <c r="O2207" s="6" t="str">
        <f>IF($A2207="","",IF(OR($J2207&lt;&gt;"x",$A2207&lt;=FinReleve),1,0))</f>
        <v/>
      </c>
      <c r="P2207" s="6" t="str">
        <f>IF($D2207="","",IF(AND($L2207="Crédit",OR(IFERROR(INDEX('Paramètres'!$O:$O,MATCH($D2207,'Paramètres'!$M:$M,0))&amp;"","")&lt;&gt;"",ISNUMBER(SEARCH("remboursement",IFERROR(INDEX('Paramètres'!$N:$N,MATCH($D2207,'Paramètres'!$M:$M,0))&amp;"",""))))),1,0))</f>
        <v/>
      </c>
      <c r="Q2207" s="6" t="str">
        <f>IF($K2207="","",IF(ISNUMBER(SEARCH("transfert-interne",IFERROR(INDEX('Paramètres'!$N:$N,MATCH($D2207,'Paramètres'!$M:$M,0))&amp;"",""))),0,IF($L2207="Débit",$K2207,IF($P2207=1,-$K2207,0))))</f>
        <v/>
      </c>
      <c r="R2207" s="6" t="str">
        <f>IF($K2207="","",IF($L2207="Crédit",$K2207,-$K2207))</f>
        <v/>
      </c>
      <c r="S2207" s="6" t="str">
        <f>IF($C2207="","",IFERROR(INDEX('Paramètres'!$H:$H,MATCH($C2207,'Paramètres'!$D:$D,0))&amp;"",""))</f>
        <v/>
      </c>
      <c r="T2207" s="6" t="str">
        <f>IF($K2207="","",IF($S2207="",0,IF(ISNUMBER(SEARCH("apport-exterieur",IFERROR(INDEX('Paramètres'!$N:$N,MATCH($D2207,'Paramètres'!$M:$M,0))&amp;"",""))),0,IF(OR(IFERROR(INDEX('Paramètres'!$I:$I,MATCH($C2207,'Paramètres'!$D:$D,0))&amp;"","")="Les deux",IFERROR(INDEX('Paramètres'!$I:$I,MATCH($C2207,'Paramètres'!$D:$D,0))&amp;"","")=IF($P2207=1,"Débit",$L2207)),-IF($P2207=1,-$K2207,$K2207),0))))</f>
        <v/>
      </c>
      <c r="U2207" s="6" t="str">
        <f>IF($K2207="","",IF(ISNUMBER(SEARCH("sortie-epargne",IFERROR(INDEX('Paramètres'!$N:$N,MATCH($D2207,'Paramètres'!$M:$M,0))&amp;"",""))),$K2207,0))</f>
        <v/>
      </c>
      <c r="V2207" s="6" t="str">
        <f>IF(AND($A2207&lt;&gt;"",$O2207=1,$L2207="Débit",N($Q2207)&gt;0,$A2207&gt;=Visualisation!$B$1,$A2207&lt;Visualisation!$D$1),MAX($V$1:V2206)+1,"")</f>
        <v/>
      </c>
    </row>
    <row r="2208" spans="1:22" x14ac:dyDescent="0.25">
      <c r="A2208" s="9"/>
      <c r="E2208" s="10"/>
      <c r="K2208" s="11" t="str">
        <f>IF($E2208="","",ROUND($E2208*IF(ISNA(MATCH($C2208,'Paramètres'!$D:$D,0)),1,IF(INDEX('Paramètres'!$J:$J,MATCH($C2208,'Paramètres'!$D:$D,0))="",1,INDEX('Paramètres'!$J:$J,MATCH($C2208,'Paramètres'!$D:$D,0)))),2))</f>
        <v/>
      </c>
      <c r="L2208" s="6" t="str">
        <f>IF($D2208="","",IF($F2208&lt;&gt;"",$F2208,IF(ISNA(MATCH($D2208,'Paramètres'!$M:$M,0)),"⚠ Type inconnu",IFERROR(INDEX('Paramètres'!$P:$P,MATCH($D2208,'Paramètres'!$M:$M,0))&amp;"",""))))</f>
        <v/>
      </c>
      <c r="M2208" s="6" t="str">
        <f>IF($D2208="","",IF(ISNA(MATCH($D2208,'Paramètres'!$M:$M,0)),"⚠ Type inconnu",IF($L2208="Crédit","",IFERROR(INDEX('Paramètres'!$O:$O,MATCH($D2208,'Paramètres'!$M:$M,0))&amp;"",""))))</f>
        <v/>
      </c>
      <c r="N2208" s="6" t="str">
        <f>IF($D2208="","",IFERROR(INDEX('Paramètres'!$Q:$Q,MATCH($D2208,'Paramètres'!$M:$M,0))&amp;"",""))</f>
        <v/>
      </c>
      <c r="O2208" s="6" t="str">
        <f>IF($A2208="","",IF(OR($J2208&lt;&gt;"x",$A2208&lt;=FinReleve),1,0))</f>
        <v/>
      </c>
      <c r="P2208" s="6" t="str">
        <f>IF($D2208="","",IF(AND($L2208="Crédit",OR(IFERROR(INDEX('Paramètres'!$O:$O,MATCH($D2208,'Paramètres'!$M:$M,0))&amp;"","")&lt;&gt;"",ISNUMBER(SEARCH("remboursement",IFERROR(INDEX('Paramètres'!$N:$N,MATCH($D2208,'Paramètres'!$M:$M,0))&amp;"",""))))),1,0))</f>
        <v/>
      </c>
      <c r="Q2208" s="6" t="str">
        <f>IF($K2208="","",IF(ISNUMBER(SEARCH("transfert-interne",IFERROR(INDEX('Paramètres'!$N:$N,MATCH($D2208,'Paramètres'!$M:$M,0))&amp;"",""))),0,IF($L2208="Débit",$K2208,IF($P2208=1,-$K2208,0))))</f>
        <v/>
      </c>
      <c r="R2208" s="6" t="str">
        <f>IF($K2208="","",IF($L2208="Crédit",$K2208,-$K2208))</f>
        <v/>
      </c>
      <c r="S2208" s="6" t="str">
        <f>IF($C2208="","",IFERROR(INDEX('Paramètres'!$H:$H,MATCH($C2208,'Paramètres'!$D:$D,0))&amp;"",""))</f>
        <v/>
      </c>
      <c r="T2208" s="6" t="str">
        <f>IF($K2208="","",IF($S2208="",0,IF(ISNUMBER(SEARCH("apport-exterieur",IFERROR(INDEX('Paramètres'!$N:$N,MATCH($D2208,'Paramètres'!$M:$M,0))&amp;"",""))),0,IF(OR(IFERROR(INDEX('Paramètres'!$I:$I,MATCH($C2208,'Paramètres'!$D:$D,0))&amp;"","")="Les deux",IFERROR(INDEX('Paramètres'!$I:$I,MATCH($C2208,'Paramètres'!$D:$D,0))&amp;"","")=IF($P2208=1,"Débit",$L2208)),-IF($P2208=1,-$K2208,$K2208),0))))</f>
        <v/>
      </c>
      <c r="U2208" s="6" t="str">
        <f>IF($K2208="","",IF(ISNUMBER(SEARCH("sortie-epargne",IFERROR(INDEX('Paramètres'!$N:$N,MATCH($D2208,'Paramètres'!$M:$M,0))&amp;"",""))),$K2208,0))</f>
        <v/>
      </c>
      <c r="V2208" s="6" t="str">
        <f>IF(AND($A2208&lt;&gt;"",$O2208=1,$L2208="Débit",N($Q2208)&gt;0,$A2208&gt;=Visualisation!$B$1,$A2208&lt;Visualisation!$D$1),MAX($V$1:V2207)+1,"")</f>
        <v/>
      </c>
    </row>
    <row r="2209" spans="1:22" x14ac:dyDescent="0.25">
      <c r="A2209" s="9"/>
      <c r="E2209" s="10"/>
      <c r="K2209" s="11" t="str">
        <f>IF($E2209="","",ROUND($E2209*IF(ISNA(MATCH($C2209,'Paramètres'!$D:$D,0)),1,IF(INDEX('Paramètres'!$J:$J,MATCH($C2209,'Paramètres'!$D:$D,0))="",1,INDEX('Paramètres'!$J:$J,MATCH($C2209,'Paramètres'!$D:$D,0)))),2))</f>
        <v/>
      </c>
      <c r="L2209" s="6" t="str">
        <f>IF($D2209="","",IF($F2209&lt;&gt;"",$F2209,IF(ISNA(MATCH($D2209,'Paramètres'!$M:$M,0)),"⚠ Type inconnu",IFERROR(INDEX('Paramètres'!$P:$P,MATCH($D2209,'Paramètres'!$M:$M,0))&amp;"",""))))</f>
        <v/>
      </c>
      <c r="M2209" s="6" t="str">
        <f>IF($D2209="","",IF(ISNA(MATCH($D2209,'Paramètres'!$M:$M,0)),"⚠ Type inconnu",IF($L2209="Crédit","",IFERROR(INDEX('Paramètres'!$O:$O,MATCH($D2209,'Paramètres'!$M:$M,0))&amp;"",""))))</f>
        <v/>
      </c>
      <c r="N2209" s="6" t="str">
        <f>IF($D2209="","",IFERROR(INDEX('Paramètres'!$Q:$Q,MATCH($D2209,'Paramètres'!$M:$M,0))&amp;"",""))</f>
        <v/>
      </c>
      <c r="O2209" s="6" t="str">
        <f>IF($A2209="","",IF(OR($J2209&lt;&gt;"x",$A2209&lt;=FinReleve),1,0))</f>
        <v/>
      </c>
      <c r="P2209" s="6" t="str">
        <f>IF($D2209="","",IF(AND($L2209="Crédit",OR(IFERROR(INDEX('Paramètres'!$O:$O,MATCH($D2209,'Paramètres'!$M:$M,0))&amp;"","")&lt;&gt;"",ISNUMBER(SEARCH("remboursement",IFERROR(INDEX('Paramètres'!$N:$N,MATCH($D2209,'Paramètres'!$M:$M,0))&amp;"",""))))),1,0))</f>
        <v/>
      </c>
      <c r="Q2209" s="6" t="str">
        <f>IF($K2209="","",IF(ISNUMBER(SEARCH("transfert-interne",IFERROR(INDEX('Paramètres'!$N:$N,MATCH($D2209,'Paramètres'!$M:$M,0))&amp;"",""))),0,IF($L2209="Débit",$K2209,IF($P2209=1,-$K2209,0))))</f>
        <v/>
      </c>
      <c r="R2209" s="6" t="str">
        <f>IF($K2209="","",IF($L2209="Crédit",$K2209,-$K2209))</f>
        <v/>
      </c>
      <c r="S2209" s="6" t="str">
        <f>IF($C2209="","",IFERROR(INDEX('Paramètres'!$H:$H,MATCH($C2209,'Paramètres'!$D:$D,0))&amp;"",""))</f>
        <v/>
      </c>
      <c r="T2209" s="6" t="str">
        <f>IF($K2209="","",IF($S2209="",0,IF(ISNUMBER(SEARCH("apport-exterieur",IFERROR(INDEX('Paramètres'!$N:$N,MATCH($D2209,'Paramètres'!$M:$M,0))&amp;"",""))),0,IF(OR(IFERROR(INDEX('Paramètres'!$I:$I,MATCH($C2209,'Paramètres'!$D:$D,0))&amp;"","")="Les deux",IFERROR(INDEX('Paramètres'!$I:$I,MATCH($C2209,'Paramètres'!$D:$D,0))&amp;"","")=IF($P2209=1,"Débit",$L2209)),-IF($P2209=1,-$K2209,$K2209),0))))</f>
        <v/>
      </c>
      <c r="U2209" s="6" t="str">
        <f>IF($K2209="","",IF(ISNUMBER(SEARCH("sortie-epargne",IFERROR(INDEX('Paramètres'!$N:$N,MATCH($D2209,'Paramètres'!$M:$M,0))&amp;"",""))),$K2209,0))</f>
        <v/>
      </c>
      <c r="V2209" s="6" t="str">
        <f>IF(AND($A2209&lt;&gt;"",$O2209=1,$L2209="Débit",N($Q2209)&gt;0,$A2209&gt;=Visualisation!$B$1,$A2209&lt;Visualisation!$D$1),MAX($V$1:V2208)+1,"")</f>
        <v/>
      </c>
    </row>
    <row r="2210" spans="1:22" x14ac:dyDescent="0.25">
      <c r="A2210" s="9"/>
      <c r="E2210" s="10"/>
      <c r="K2210" s="11" t="str">
        <f>IF($E2210="","",ROUND($E2210*IF(ISNA(MATCH($C2210,'Paramètres'!$D:$D,0)),1,IF(INDEX('Paramètres'!$J:$J,MATCH($C2210,'Paramètres'!$D:$D,0))="",1,INDEX('Paramètres'!$J:$J,MATCH($C2210,'Paramètres'!$D:$D,0)))),2))</f>
        <v/>
      </c>
      <c r="L2210" s="6" t="str">
        <f>IF($D2210="","",IF($F2210&lt;&gt;"",$F2210,IF(ISNA(MATCH($D2210,'Paramètres'!$M:$M,0)),"⚠ Type inconnu",IFERROR(INDEX('Paramètres'!$P:$P,MATCH($D2210,'Paramètres'!$M:$M,0))&amp;"",""))))</f>
        <v/>
      </c>
      <c r="M2210" s="6" t="str">
        <f>IF($D2210="","",IF(ISNA(MATCH($D2210,'Paramètres'!$M:$M,0)),"⚠ Type inconnu",IF($L2210="Crédit","",IFERROR(INDEX('Paramètres'!$O:$O,MATCH($D2210,'Paramètres'!$M:$M,0))&amp;"",""))))</f>
        <v/>
      </c>
      <c r="N2210" s="6" t="str">
        <f>IF($D2210="","",IFERROR(INDEX('Paramètres'!$Q:$Q,MATCH($D2210,'Paramètres'!$M:$M,0))&amp;"",""))</f>
        <v/>
      </c>
      <c r="O2210" s="6" t="str">
        <f>IF($A2210="","",IF(OR($J2210&lt;&gt;"x",$A2210&lt;=FinReleve),1,0))</f>
        <v/>
      </c>
      <c r="P2210" s="6" t="str">
        <f>IF($D2210="","",IF(AND($L2210="Crédit",OR(IFERROR(INDEX('Paramètres'!$O:$O,MATCH($D2210,'Paramètres'!$M:$M,0))&amp;"","")&lt;&gt;"",ISNUMBER(SEARCH("remboursement",IFERROR(INDEX('Paramètres'!$N:$N,MATCH($D2210,'Paramètres'!$M:$M,0))&amp;"",""))))),1,0))</f>
        <v/>
      </c>
      <c r="Q2210" s="6" t="str">
        <f>IF($K2210="","",IF(ISNUMBER(SEARCH("transfert-interne",IFERROR(INDEX('Paramètres'!$N:$N,MATCH($D2210,'Paramètres'!$M:$M,0))&amp;"",""))),0,IF($L2210="Débit",$K2210,IF($P2210=1,-$K2210,0))))</f>
        <v/>
      </c>
      <c r="R2210" s="6" t="str">
        <f>IF($K2210="","",IF($L2210="Crédit",$K2210,-$K2210))</f>
        <v/>
      </c>
      <c r="S2210" s="6" t="str">
        <f>IF($C2210="","",IFERROR(INDEX('Paramètres'!$H:$H,MATCH($C2210,'Paramètres'!$D:$D,0))&amp;"",""))</f>
        <v/>
      </c>
      <c r="T2210" s="6" t="str">
        <f>IF($K2210="","",IF($S2210="",0,IF(ISNUMBER(SEARCH("apport-exterieur",IFERROR(INDEX('Paramètres'!$N:$N,MATCH($D2210,'Paramètres'!$M:$M,0))&amp;"",""))),0,IF(OR(IFERROR(INDEX('Paramètres'!$I:$I,MATCH($C2210,'Paramètres'!$D:$D,0))&amp;"","")="Les deux",IFERROR(INDEX('Paramètres'!$I:$I,MATCH($C2210,'Paramètres'!$D:$D,0))&amp;"","")=IF($P2210=1,"Débit",$L2210)),-IF($P2210=1,-$K2210,$K2210),0))))</f>
        <v/>
      </c>
      <c r="U2210" s="6" t="str">
        <f>IF($K2210="","",IF(ISNUMBER(SEARCH("sortie-epargne",IFERROR(INDEX('Paramètres'!$N:$N,MATCH($D2210,'Paramètres'!$M:$M,0))&amp;"",""))),$K2210,0))</f>
        <v/>
      </c>
      <c r="V2210" s="6" t="str">
        <f>IF(AND($A2210&lt;&gt;"",$O2210=1,$L2210="Débit",N($Q2210)&gt;0,$A2210&gt;=Visualisation!$B$1,$A2210&lt;Visualisation!$D$1),MAX($V$1:V2209)+1,"")</f>
        <v/>
      </c>
    </row>
    <row r="2211" spans="1:22" x14ac:dyDescent="0.25">
      <c r="A2211" s="9"/>
      <c r="E2211" s="10"/>
      <c r="K2211" s="11" t="str">
        <f>IF($E2211="","",ROUND($E2211*IF(ISNA(MATCH($C2211,'Paramètres'!$D:$D,0)),1,IF(INDEX('Paramètres'!$J:$J,MATCH($C2211,'Paramètres'!$D:$D,0))="",1,INDEX('Paramètres'!$J:$J,MATCH($C2211,'Paramètres'!$D:$D,0)))),2))</f>
        <v/>
      </c>
      <c r="L2211" s="6" t="str">
        <f>IF($D2211="","",IF($F2211&lt;&gt;"",$F2211,IF(ISNA(MATCH($D2211,'Paramètres'!$M:$M,0)),"⚠ Type inconnu",IFERROR(INDEX('Paramètres'!$P:$P,MATCH($D2211,'Paramètres'!$M:$M,0))&amp;"",""))))</f>
        <v/>
      </c>
      <c r="M2211" s="6" t="str">
        <f>IF($D2211="","",IF(ISNA(MATCH($D2211,'Paramètres'!$M:$M,0)),"⚠ Type inconnu",IF($L2211="Crédit","",IFERROR(INDEX('Paramètres'!$O:$O,MATCH($D2211,'Paramètres'!$M:$M,0))&amp;"",""))))</f>
        <v/>
      </c>
      <c r="N2211" s="6" t="str">
        <f>IF($D2211="","",IFERROR(INDEX('Paramètres'!$Q:$Q,MATCH($D2211,'Paramètres'!$M:$M,0))&amp;"",""))</f>
        <v/>
      </c>
      <c r="O2211" s="6" t="str">
        <f>IF($A2211="","",IF(OR($J2211&lt;&gt;"x",$A2211&lt;=FinReleve),1,0))</f>
        <v/>
      </c>
      <c r="P2211" s="6" t="str">
        <f>IF($D2211="","",IF(AND($L2211="Crédit",OR(IFERROR(INDEX('Paramètres'!$O:$O,MATCH($D2211,'Paramètres'!$M:$M,0))&amp;"","")&lt;&gt;"",ISNUMBER(SEARCH("remboursement",IFERROR(INDEX('Paramètres'!$N:$N,MATCH($D2211,'Paramètres'!$M:$M,0))&amp;"",""))))),1,0))</f>
        <v/>
      </c>
      <c r="Q2211" s="6" t="str">
        <f>IF($K2211="","",IF(ISNUMBER(SEARCH("transfert-interne",IFERROR(INDEX('Paramètres'!$N:$N,MATCH($D2211,'Paramètres'!$M:$M,0))&amp;"",""))),0,IF($L2211="Débit",$K2211,IF($P2211=1,-$K2211,0))))</f>
        <v/>
      </c>
      <c r="R2211" s="6" t="str">
        <f>IF($K2211="","",IF($L2211="Crédit",$K2211,-$K2211))</f>
        <v/>
      </c>
      <c r="S2211" s="6" t="str">
        <f>IF($C2211="","",IFERROR(INDEX('Paramètres'!$H:$H,MATCH($C2211,'Paramètres'!$D:$D,0))&amp;"",""))</f>
        <v/>
      </c>
      <c r="T2211" s="6" t="str">
        <f>IF($K2211="","",IF($S2211="",0,IF(ISNUMBER(SEARCH("apport-exterieur",IFERROR(INDEX('Paramètres'!$N:$N,MATCH($D2211,'Paramètres'!$M:$M,0))&amp;"",""))),0,IF(OR(IFERROR(INDEX('Paramètres'!$I:$I,MATCH($C2211,'Paramètres'!$D:$D,0))&amp;"","")="Les deux",IFERROR(INDEX('Paramètres'!$I:$I,MATCH($C2211,'Paramètres'!$D:$D,0))&amp;"","")=IF($P2211=1,"Débit",$L2211)),-IF($P2211=1,-$K2211,$K2211),0))))</f>
        <v/>
      </c>
      <c r="U2211" s="6" t="str">
        <f>IF($K2211="","",IF(ISNUMBER(SEARCH("sortie-epargne",IFERROR(INDEX('Paramètres'!$N:$N,MATCH($D2211,'Paramètres'!$M:$M,0))&amp;"",""))),$K2211,0))</f>
        <v/>
      </c>
      <c r="V2211" s="6" t="str">
        <f>IF(AND($A2211&lt;&gt;"",$O2211=1,$L2211="Débit",N($Q2211)&gt;0,$A2211&gt;=Visualisation!$B$1,$A2211&lt;Visualisation!$D$1),MAX($V$1:V2210)+1,"")</f>
        <v/>
      </c>
    </row>
    <row r="2212" spans="1:22" x14ac:dyDescent="0.25">
      <c r="A2212" s="9"/>
      <c r="E2212" s="10"/>
      <c r="K2212" s="11" t="str">
        <f>IF($E2212="","",ROUND($E2212*IF(ISNA(MATCH($C2212,'Paramètres'!$D:$D,0)),1,IF(INDEX('Paramètres'!$J:$J,MATCH($C2212,'Paramètres'!$D:$D,0))="",1,INDEX('Paramètres'!$J:$J,MATCH($C2212,'Paramètres'!$D:$D,0)))),2))</f>
        <v/>
      </c>
      <c r="L2212" s="6" t="str">
        <f>IF($D2212="","",IF($F2212&lt;&gt;"",$F2212,IF(ISNA(MATCH($D2212,'Paramètres'!$M:$M,0)),"⚠ Type inconnu",IFERROR(INDEX('Paramètres'!$P:$P,MATCH($D2212,'Paramètres'!$M:$M,0))&amp;"",""))))</f>
        <v/>
      </c>
      <c r="M2212" s="6" t="str">
        <f>IF($D2212="","",IF(ISNA(MATCH($D2212,'Paramètres'!$M:$M,0)),"⚠ Type inconnu",IF($L2212="Crédit","",IFERROR(INDEX('Paramètres'!$O:$O,MATCH($D2212,'Paramètres'!$M:$M,0))&amp;"",""))))</f>
        <v/>
      </c>
      <c r="N2212" s="6" t="str">
        <f>IF($D2212="","",IFERROR(INDEX('Paramètres'!$Q:$Q,MATCH($D2212,'Paramètres'!$M:$M,0))&amp;"",""))</f>
        <v/>
      </c>
      <c r="O2212" s="6" t="str">
        <f>IF($A2212="","",IF(OR($J2212&lt;&gt;"x",$A2212&lt;=FinReleve),1,0))</f>
        <v/>
      </c>
      <c r="P2212" s="6" t="str">
        <f>IF($D2212="","",IF(AND($L2212="Crédit",OR(IFERROR(INDEX('Paramètres'!$O:$O,MATCH($D2212,'Paramètres'!$M:$M,0))&amp;"","")&lt;&gt;"",ISNUMBER(SEARCH("remboursement",IFERROR(INDEX('Paramètres'!$N:$N,MATCH($D2212,'Paramètres'!$M:$M,0))&amp;"",""))))),1,0))</f>
        <v/>
      </c>
      <c r="Q2212" s="6" t="str">
        <f>IF($K2212="","",IF(ISNUMBER(SEARCH("transfert-interne",IFERROR(INDEX('Paramètres'!$N:$N,MATCH($D2212,'Paramètres'!$M:$M,0))&amp;"",""))),0,IF($L2212="Débit",$K2212,IF($P2212=1,-$K2212,0))))</f>
        <v/>
      </c>
      <c r="R2212" s="6" t="str">
        <f>IF($K2212="","",IF($L2212="Crédit",$K2212,-$K2212))</f>
        <v/>
      </c>
      <c r="S2212" s="6" t="str">
        <f>IF($C2212="","",IFERROR(INDEX('Paramètres'!$H:$H,MATCH($C2212,'Paramètres'!$D:$D,0))&amp;"",""))</f>
        <v/>
      </c>
      <c r="T2212" s="6" t="str">
        <f>IF($K2212="","",IF($S2212="",0,IF(ISNUMBER(SEARCH("apport-exterieur",IFERROR(INDEX('Paramètres'!$N:$N,MATCH($D2212,'Paramètres'!$M:$M,0))&amp;"",""))),0,IF(OR(IFERROR(INDEX('Paramètres'!$I:$I,MATCH($C2212,'Paramètres'!$D:$D,0))&amp;"","")="Les deux",IFERROR(INDEX('Paramètres'!$I:$I,MATCH($C2212,'Paramètres'!$D:$D,0))&amp;"","")=IF($P2212=1,"Débit",$L2212)),-IF($P2212=1,-$K2212,$K2212),0))))</f>
        <v/>
      </c>
      <c r="U2212" s="6" t="str">
        <f>IF($K2212="","",IF(ISNUMBER(SEARCH("sortie-epargne",IFERROR(INDEX('Paramètres'!$N:$N,MATCH($D2212,'Paramètres'!$M:$M,0))&amp;"",""))),$K2212,0))</f>
        <v/>
      </c>
      <c r="V2212" s="6" t="str">
        <f>IF(AND($A2212&lt;&gt;"",$O2212=1,$L2212="Débit",N($Q2212)&gt;0,$A2212&gt;=Visualisation!$B$1,$A2212&lt;Visualisation!$D$1),MAX($V$1:V2211)+1,"")</f>
        <v/>
      </c>
    </row>
    <row r="2213" spans="1:22" x14ac:dyDescent="0.25">
      <c r="A2213" s="9"/>
      <c r="E2213" s="10"/>
      <c r="K2213" s="11" t="str">
        <f>IF($E2213="","",ROUND($E2213*IF(ISNA(MATCH($C2213,'Paramètres'!$D:$D,0)),1,IF(INDEX('Paramètres'!$J:$J,MATCH($C2213,'Paramètres'!$D:$D,0))="",1,INDEX('Paramètres'!$J:$J,MATCH($C2213,'Paramètres'!$D:$D,0)))),2))</f>
        <v/>
      </c>
      <c r="L2213" s="6" t="str">
        <f>IF($D2213="","",IF($F2213&lt;&gt;"",$F2213,IF(ISNA(MATCH($D2213,'Paramètres'!$M:$M,0)),"⚠ Type inconnu",IFERROR(INDEX('Paramètres'!$P:$P,MATCH($D2213,'Paramètres'!$M:$M,0))&amp;"",""))))</f>
        <v/>
      </c>
      <c r="M2213" s="6" t="str">
        <f>IF($D2213="","",IF(ISNA(MATCH($D2213,'Paramètres'!$M:$M,0)),"⚠ Type inconnu",IF($L2213="Crédit","",IFERROR(INDEX('Paramètres'!$O:$O,MATCH($D2213,'Paramètres'!$M:$M,0))&amp;"",""))))</f>
        <v/>
      </c>
      <c r="N2213" s="6" t="str">
        <f>IF($D2213="","",IFERROR(INDEX('Paramètres'!$Q:$Q,MATCH($D2213,'Paramètres'!$M:$M,0))&amp;"",""))</f>
        <v/>
      </c>
      <c r="O2213" s="6" t="str">
        <f>IF($A2213="","",IF(OR($J2213&lt;&gt;"x",$A2213&lt;=FinReleve),1,0))</f>
        <v/>
      </c>
      <c r="P2213" s="6" t="str">
        <f>IF($D2213="","",IF(AND($L2213="Crédit",OR(IFERROR(INDEX('Paramètres'!$O:$O,MATCH($D2213,'Paramètres'!$M:$M,0))&amp;"","")&lt;&gt;"",ISNUMBER(SEARCH("remboursement",IFERROR(INDEX('Paramètres'!$N:$N,MATCH($D2213,'Paramètres'!$M:$M,0))&amp;"",""))))),1,0))</f>
        <v/>
      </c>
      <c r="Q2213" s="6" t="str">
        <f>IF($K2213="","",IF(ISNUMBER(SEARCH("transfert-interne",IFERROR(INDEX('Paramètres'!$N:$N,MATCH($D2213,'Paramètres'!$M:$M,0))&amp;"",""))),0,IF($L2213="Débit",$K2213,IF($P2213=1,-$K2213,0))))</f>
        <v/>
      </c>
      <c r="R2213" s="6" t="str">
        <f>IF($K2213="","",IF($L2213="Crédit",$K2213,-$K2213))</f>
        <v/>
      </c>
      <c r="S2213" s="6" t="str">
        <f>IF($C2213="","",IFERROR(INDEX('Paramètres'!$H:$H,MATCH($C2213,'Paramètres'!$D:$D,0))&amp;"",""))</f>
        <v/>
      </c>
      <c r="T2213" s="6" t="str">
        <f>IF($K2213="","",IF($S2213="",0,IF(ISNUMBER(SEARCH("apport-exterieur",IFERROR(INDEX('Paramètres'!$N:$N,MATCH($D2213,'Paramètres'!$M:$M,0))&amp;"",""))),0,IF(OR(IFERROR(INDEX('Paramètres'!$I:$I,MATCH($C2213,'Paramètres'!$D:$D,0))&amp;"","")="Les deux",IFERROR(INDEX('Paramètres'!$I:$I,MATCH($C2213,'Paramètres'!$D:$D,0))&amp;"","")=IF($P2213=1,"Débit",$L2213)),-IF($P2213=1,-$K2213,$K2213),0))))</f>
        <v/>
      </c>
      <c r="U2213" s="6" t="str">
        <f>IF($K2213="","",IF(ISNUMBER(SEARCH("sortie-epargne",IFERROR(INDEX('Paramètres'!$N:$N,MATCH($D2213,'Paramètres'!$M:$M,0))&amp;"",""))),$K2213,0))</f>
        <v/>
      </c>
      <c r="V2213" s="6" t="str">
        <f>IF(AND($A2213&lt;&gt;"",$O2213=1,$L2213="Débit",N($Q2213)&gt;0,$A2213&gt;=Visualisation!$B$1,$A2213&lt;Visualisation!$D$1),MAX($V$1:V2212)+1,"")</f>
        <v/>
      </c>
    </row>
    <row r="2214" spans="1:22" x14ac:dyDescent="0.25">
      <c r="A2214" s="9"/>
      <c r="E2214" s="10"/>
      <c r="K2214" s="11" t="str">
        <f>IF($E2214="","",ROUND($E2214*IF(ISNA(MATCH($C2214,'Paramètres'!$D:$D,0)),1,IF(INDEX('Paramètres'!$J:$J,MATCH($C2214,'Paramètres'!$D:$D,0))="",1,INDEX('Paramètres'!$J:$J,MATCH($C2214,'Paramètres'!$D:$D,0)))),2))</f>
        <v/>
      </c>
      <c r="L2214" s="6" t="str">
        <f>IF($D2214="","",IF($F2214&lt;&gt;"",$F2214,IF(ISNA(MATCH($D2214,'Paramètres'!$M:$M,0)),"⚠ Type inconnu",IFERROR(INDEX('Paramètres'!$P:$P,MATCH($D2214,'Paramètres'!$M:$M,0))&amp;"",""))))</f>
        <v/>
      </c>
      <c r="M2214" s="6" t="str">
        <f>IF($D2214="","",IF(ISNA(MATCH($D2214,'Paramètres'!$M:$M,0)),"⚠ Type inconnu",IF($L2214="Crédit","",IFERROR(INDEX('Paramètres'!$O:$O,MATCH($D2214,'Paramètres'!$M:$M,0))&amp;"",""))))</f>
        <v/>
      </c>
      <c r="N2214" s="6" t="str">
        <f>IF($D2214="","",IFERROR(INDEX('Paramètres'!$Q:$Q,MATCH($D2214,'Paramètres'!$M:$M,0))&amp;"",""))</f>
        <v/>
      </c>
      <c r="O2214" s="6" t="str">
        <f>IF($A2214="","",IF(OR($J2214&lt;&gt;"x",$A2214&lt;=FinReleve),1,0))</f>
        <v/>
      </c>
      <c r="P2214" s="6" t="str">
        <f>IF($D2214="","",IF(AND($L2214="Crédit",OR(IFERROR(INDEX('Paramètres'!$O:$O,MATCH($D2214,'Paramètres'!$M:$M,0))&amp;"","")&lt;&gt;"",ISNUMBER(SEARCH("remboursement",IFERROR(INDEX('Paramètres'!$N:$N,MATCH($D2214,'Paramètres'!$M:$M,0))&amp;"",""))))),1,0))</f>
        <v/>
      </c>
      <c r="Q2214" s="6" t="str">
        <f>IF($K2214="","",IF(ISNUMBER(SEARCH("transfert-interne",IFERROR(INDEX('Paramètres'!$N:$N,MATCH($D2214,'Paramètres'!$M:$M,0))&amp;"",""))),0,IF($L2214="Débit",$K2214,IF($P2214=1,-$K2214,0))))</f>
        <v/>
      </c>
      <c r="R2214" s="6" t="str">
        <f>IF($K2214="","",IF($L2214="Crédit",$K2214,-$K2214))</f>
        <v/>
      </c>
      <c r="S2214" s="6" t="str">
        <f>IF($C2214="","",IFERROR(INDEX('Paramètres'!$H:$H,MATCH($C2214,'Paramètres'!$D:$D,0))&amp;"",""))</f>
        <v/>
      </c>
      <c r="T2214" s="6" t="str">
        <f>IF($K2214="","",IF($S2214="",0,IF(ISNUMBER(SEARCH("apport-exterieur",IFERROR(INDEX('Paramètres'!$N:$N,MATCH($D2214,'Paramètres'!$M:$M,0))&amp;"",""))),0,IF(OR(IFERROR(INDEX('Paramètres'!$I:$I,MATCH($C2214,'Paramètres'!$D:$D,0))&amp;"","")="Les deux",IFERROR(INDEX('Paramètres'!$I:$I,MATCH($C2214,'Paramètres'!$D:$D,0))&amp;"","")=IF($P2214=1,"Débit",$L2214)),-IF($P2214=1,-$K2214,$K2214),0))))</f>
        <v/>
      </c>
      <c r="U2214" s="6" t="str">
        <f>IF($K2214="","",IF(ISNUMBER(SEARCH("sortie-epargne",IFERROR(INDEX('Paramètres'!$N:$N,MATCH($D2214,'Paramètres'!$M:$M,0))&amp;"",""))),$K2214,0))</f>
        <v/>
      </c>
      <c r="V2214" s="6" t="str">
        <f>IF(AND($A2214&lt;&gt;"",$O2214=1,$L2214="Débit",N($Q2214)&gt;0,$A2214&gt;=Visualisation!$B$1,$A2214&lt;Visualisation!$D$1),MAX($V$1:V2213)+1,"")</f>
        <v/>
      </c>
    </row>
    <row r="2215" spans="1:22" x14ac:dyDescent="0.25">
      <c r="A2215" s="9"/>
      <c r="E2215" s="10"/>
      <c r="K2215" s="11" t="str">
        <f>IF($E2215="","",ROUND($E2215*IF(ISNA(MATCH($C2215,'Paramètres'!$D:$D,0)),1,IF(INDEX('Paramètres'!$J:$J,MATCH($C2215,'Paramètres'!$D:$D,0))="",1,INDEX('Paramètres'!$J:$J,MATCH($C2215,'Paramètres'!$D:$D,0)))),2))</f>
        <v/>
      </c>
      <c r="L2215" s="6" t="str">
        <f>IF($D2215="","",IF($F2215&lt;&gt;"",$F2215,IF(ISNA(MATCH($D2215,'Paramètres'!$M:$M,0)),"⚠ Type inconnu",IFERROR(INDEX('Paramètres'!$P:$P,MATCH($D2215,'Paramètres'!$M:$M,0))&amp;"",""))))</f>
        <v/>
      </c>
      <c r="M2215" s="6" t="str">
        <f>IF($D2215="","",IF(ISNA(MATCH($D2215,'Paramètres'!$M:$M,0)),"⚠ Type inconnu",IF($L2215="Crédit","",IFERROR(INDEX('Paramètres'!$O:$O,MATCH($D2215,'Paramètres'!$M:$M,0))&amp;"",""))))</f>
        <v/>
      </c>
      <c r="N2215" s="6" t="str">
        <f>IF($D2215="","",IFERROR(INDEX('Paramètres'!$Q:$Q,MATCH($D2215,'Paramètres'!$M:$M,0))&amp;"",""))</f>
        <v/>
      </c>
      <c r="O2215" s="6" t="str">
        <f>IF($A2215="","",IF(OR($J2215&lt;&gt;"x",$A2215&lt;=FinReleve),1,0))</f>
        <v/>
      </c>
      <c r="P2215" s="6" t="str">
        <f>IF($D2215="","",IF(AND($L2215="Crédit",OR(IFERROR(INDEX('Paramètres'!$O:$O,MATCH($D2215,'Paramètres'!$M:$M,0))&amp;"","")&lt;&gt;"",ISNUMBER(SEARCH("remboursement",IFERROR(INDEX('Paramètres'!$N:$N,MATCH($D2215,'Paramètres'!$M:$M,0))&amp;"",""))))),1,0))</f>
        <v/>
      </c>
      <c r="Q2215" s="6" t="str">
        <f>IF($K2215="","",IF(ISNUMBER(SEARCH("transfert-interne",IFERROR(INDEX('Paramètres'!$N:$N,MATCH($D2215,'Paramètres'!$M:$M,0))&amp;"",""))),0,IF($L2215="Débit",$K2215,IF($P2215=1,-$K2215,0))))</f>
        <v/>
      </c>
      <c r="R2215" s="6" t="str">
        <f>IF($K2215="","",IF($L2215="Crédit",$K2215,-$K2215))</f>
        <v/>
      </c>
      <c r="S2215" s="6" t="str">
        <f>IF($C2215="","",IFERROR(INDEX('Paramètres'!$H:$H,MATCH($C2215,'Paramètres'!$D:$D,0))&amp;"",""))</f>
        <v/>
      </c>
      <c r="T2215" s="6" t="str">
        <f>IF($K2215="","",IF($S2215="",0,IF(ISNUMBER(SEARCH("apport-exterieur",IFERROR(INDEX('Paramètres'!$N:$N,MATCH($D2215,'Paramètres'!$M:$M,0))&amp;"",""))),0,IF(OR(IFERROR(INDEX('Paramètres'!$I:$I,MATCH($C2215,'Paramètres'!$D:$D,0))&amp;"","")="Les deux",IFERROR(INDEX('Paramètres'!$I:$I,MATCH($C2215,'Paramètres'!$D:$D,0))&amp;"","")=IF($P2215=1,"Débit",$L2215)),-IF($P2215=1,-$K2215,$K2215),0))))</f>
        <v/>
      </c>
      <c r="U2215" s="6" t="str">
        <f>IF($K2215="","",IF(ISNUMBER(SEARCH("sortie-epargne",IFERROR(INDEX('Paramètres'!$N:$N,MATCH($D2215,'Paramètres'!$M:$M,0))&amp;"",""))),$K2215,0))</f>
        <v/>
      </c>
      <c r="V2215" s="6" t="str">
        <f>IF(AND($A2215&lt;&gt;"",$O2215=1,$L2215="Débit",N($Q2215)&gt;0,$A2215&gt;=Visualisation!$B$1,$A2215&lt;Visualisation!$D$1),MAX($V$1:V2214)+1,"")</f>
        <v/>
      </c>
    </row>
    <row r="2216" spans="1:22" x14ac:dyDescent="0.25">
      <c r="A2216" s="9"/>
      <c r="E2216" s="10"/>
      <c r="K2216" s="11" t="str">
        <f>IF($E2216="","",ROUND($E2216*IF(ISNA(MATCH($C2216,'Paramètres'!$D:$D,0)),1,IF(INDEX('Paramètres'!$J:$J,MATCH($C2216,'Paramètres'!$D:$D,0))="",1,INDEX('Paramètres'!$J:$J,MATCH($C2216,'Paramètres'!$D:$D,0)))),2))</f>
        <v/>
      </c>
      <c r="L2216" s="6" t="str">
        <f>IF($D2216="","",IF($F2216&lt;&gt;"",$F2216,IF(ISNA(MATCH($D2216,'Paramètres'!$M:$M,0)),"⚠ Type inconnu",IFERROR(INDEX('Paramètres'!$P:$P,MATCH($D2216,'Paramètres'!$M:$M,0))&amp;"",""))))</f>
        <v/>
      </c>
      <c r="M2216" s="6" t="str">
        <f>IF($D2216="","",IF(ISNA(MATCH($D2216,'Paramètres'!$M:$M,0)),"⚠ Type inconnu",IF($L2216="Crédit","",IFERROR(INDEX('Paramètres'!$O:$O,MATCH($D2216,'Paramètres'!$M:$M,0))&amp;"",""))))</f>
        <v/>
      </c>
      <c r="N2216" s="6" t="str">
        <f>IF($D2216="","",IFERROR(INDEX('Paramètres'!$Q:$Q,MATCH($D2216,'Paramètres'!$M:$M,0))&amp;"",""))</f>
        <v/>
      </c>
      <c r="O2216" s="6" t="str">
        <f>IF($A2216="","",IF(OR($J2216&lt;&gt;"x",$A2216&lt;=FinReleve),1,0))</f>
        <v/>
      </c>
      <c r="P2216" s="6" t="str">
        <f>IF($D2216="","",IF(AND($L2216="Crédit",OR(IFERROR(INDEX('Paramètres'!$O:$O,MATCH($D2216,'Paramètres'!$M:$M,0))&amp;"","")&lt;&gt;"",ISNUMBER(SEARCH("remboursement",IFERROR(INDEX('Paramètres'!$N:$N,MATCH($D2216,'Paramètres'!$M:$M,0))&amp;"",""))))),1,0))</f>
        <v/>
      </c>
      <c r="Q2216" s="6" t="str">
        <f>IF($K2216="","",IF(ISNUMBER(SEARCH("transfert-interne",IFERROR(INDEX('Paramètres'!$N:$N,MATCH($D2216,'Paramètres'!$M:$M,0))&amp;"",""))),0,IF($L2216="Débit",$K2216,IF($P2216=1,-$K2216,0))))</f>
        <v/>
      </c>
      <c r="R2216" s="6" t="str">
        <f>IF($K2216="","",IF($L2216="Crédit",$K2216,-$K2216))</f>
        <v/>
      </c>
      <c r="S2216" s="6" t="str">
        <f>IF($C2216="","",IFERROR(INDEX('Paramètres'!$H:$H,MATCH($C2216,'Paramètres'!$D:$D,0))&amp;"",""))</f>
        <v/>
      </c>
      <c r="T2216" s="6" t="str">
        <f>IF($K2216="","",IF($S2216="",0,IF(ISNUMBER(SEARCH("apport-exterieur",IFERROR(INDEX('Paramètres'!$N:$N,MATCH($D2216,'Paramètres'!$M:$M,0))&amp;"",""))),0,IF(OR(IFERROR(INDEX('Paramètres'!$I:$I,MATCH($C2216,'Paramètres'!$D:$D,0))&amp;"","")="Les deux",IFERROR(INDEX('Paramètres'!$I:$I,MATCH($C2216,'Paramètres'!$D:$D,0))&amp;"","")=IF($P2216=1,"Débit",$L2216)),-IF($P2216=1,-$K2216,$K2216),0))))</f>
        <v/>
      </c>
      <c r="U2216" s="6" t="str">
        <f>IF($K2216="","",IF(ISNUMBER(SEARCH("sortie-epargne",IFERROR(INDEX('Paramètres'!$N:$N,MATCH($D2216,'Paramètres'!$M:$M,0))&amp;"",""))),$K2216,0))</f>
        <v/>
      </c>
      <c r="V2216" s="6" t="str">
        <f>IF(AND($A2216&lt;&gt;"",$O2216=1,$L2216="Débit",N($Q2216)&gt;0,$A2216&gt;=Visualisation!$B$1,$A2216&lt;Visualisation!$D$1),MAX($V$1:V2215)+1,"")</f>
        <v/>
      </c>
    </row>
    <row r="2217" spans="1:22" x14ac:dyDescent="0.25">
      <c r="A2217" s="9"/>
      <c r="E2217" s="10"/>
      <c r="K2217" s="11" t="str">
        <f>IF($E2217="","",ROUND($E2217*IF(ISNA(MATCH($C2217,'Paramètres'!$D:$D,0)),1,IF(INDEX('Paramètres'!$J:$J,MATCH($C2217,'Paramètres'!$D:$D,0))="",1,INDEX('Paramètres'!$J:$J,MATCH($C2217,'Paramètres'!$D:$D,0)))),2))</f>
        <v/>
      </c>
      <c r="L2217" s="6" t="str">
        <f>IF($D2217="","",IF($F2217&lt;&gt;"",$F2217,IF(ISNA(MATCH($D2217,'Paramètres'!$M:$M,0)),"⚠ Type inconnu",IFERROR(INDEX('Paramètres'!$P:$P,MATCH($D2217,'Paramètres'!$M:$M,0))&amp;"",""))))</f>
        <v/>
      </c>
      <c r="M2217" s="6" t="str">
        <f>IF($D2217="","",IF(ISNA(MATCH($D2217,'Paramètres'!$M:$M,0)),"⚠ Type inconnu",IF($L2217="Crédit","",IFERROR(INDEX('Paramètres'!$O:$O,MATCH($D2217,'Paramètres'!$M:$M,0))&amp;"",""))))</f>
        <v/>
      </c>
      <c r="N2217" s="6" t="str">
        <f>IF($D2217="","",IFERROR(INDEX('Paramètres'!$Q:$Q,MATCH($D2217,'Paramètres'!$M:$M,0))&amp;"",""))</f>
        <v/>
      </c>
      <c r="O2217" s="6" t="str">
        <f>IF($A2217="","",IF(OR($J2217&lt;&gt;"x",$A2217&lt;=FinReleve),1,0))</f>
        <v/>
      </c>
      <c r="P2217" s="6" t="str">
        <f>IF($D2217="","",IF(AND($L2217="Crédit",OR(IFERROR(INDEX('Paramètres'!$O:$O,MATCH($D2217,'Paramètres'!$M:$M,0))&amp;"","")&lt;&gt;"",ISNUMBER(SEARCH("remboursement",IFERROR(INDEX('Paramètres'!$N:$N,MATCH($D2217,'Paramètres'!$M:$M,0))&amp;"",""))))),1,0))</f>
        <v/>
      </c>
      <c r="Q2217" s="6" t="str">
        <f>IF($K2217="","",IF(ISNUMBER(SEARCH("transfert-interne",IFERROR(INDEX('Paramètres'!$N:$N,MATCH($D2217,'Paramètres'!$M:$M,0))&amp;"",""))),0,IF($L2217="Débit",$K2217,IF($P2217=1,-$K2217,0))))</f>
        <v/>
      </c>
      <c r="R2217" s="6" t="str">
        <f>IF($K2217="","",IF($L2217="Crédit",$K2217,-$K2217))</f>
        <v/>
      </c>
      <c r="S2217" s="6" t="str">
        <f>IF($C2217="","",IFERROR(INDEX('Paramètres'!$H:$H,MATCH($C2217,'Paramètres'!$D:$D,0))&amp;"",""))</f>
        <v/>
      </c>
      <c r="T2217" s="6" t="str">
        <f>IF($K2217="","",IF($S2217="",0,IF(ISNUMBER(SEARCH("apport-exterieur",IFERROR(INDEX('Paramètres'!$N:$N,MATCH($D2217,'Paramètres'!$M:$M,0))&amp;"",""))),0,IF(OR(IFERROR(INDEX('Paramètres'!$I:$I,MATCH($C2217,'Paramètres'!$D:$D,0))&amp;"","")="Les deux",IFERROR(INDEX('Paramètres'!$I:$I,MATCH($C2217,'Paramètres'!$D:$D,0))&amp;"","")=IF($P2217=1,"Débit",$L2217)),-IF($P2217=1,-$K2217,$K2217),0))))</f>
        <v/>
      </c>
      <c r="U2217" s="6" t="str">
        <f>IF($K2217="","",IF(ISNUMBER(SEARCH("sortie-epargne",IFERROR(INDEX('Paramètres'!$N:$N,MATCH($D2217,'Paramètres'!$M:$M,0))&amp;"",""))),$K2217,0))</f>
        <v/>
      </c>
      <c r="V2217" s="6" t="str">
        <f>IF(AND($A2217&lt;&gt;"",$O2217=1,$L2217="Débit",N($Q2217)&gt;0,$A2217&gt;=Visualisation!$B$1,$A2217&lt;Visualisation!$D$1),MAX($V$1:V2216)+1,"")</f>
        <v/>
      </c>
    </row>
    <row r="2218" spans="1:22" x14ac:dyDescent="0.25">
      <c r="A2218" s="9"/>
      <c r="E2218" s="10"/>
      <c r="K2218" s="11" t="str">
        <f>IF($E2218="","",ROUND($E2218*IF(ISNA(MATCH($C2218,'Paramètres'!$D:$D,0)),1,IF(INDEX('Paramètres'!$J:$J,MATCH($C2218,'Paramètres'!$D:$D,0))="",1,INDEX('Paramètres'!$J:$J,MATCH($C2218,'Paramètres'!$D:$D,0)))),2))</f>
        <v/>
      </c>
      <c r="L2218" s="6" t="str">
        <f>IF($D2218="","",IF($F2218&lt;&gt;"",$F2218,IF(ISNA(MATCH($D2218,'Paramètres'!$M:$M,0)),"⚠ Type inconnu",IFERROR(INDEX('Paramètres'!$P:$P,MATCH($D2218,'Paramètres'!$M:$M,0))&amp;"",""))))</f>
        <v/>
      </c>
      <c r="M2218" s="6" t="str">
        <f>IF($D2218="","",IF(ISNA(MATCH($D2218,'Paramètres'!$M:$M,0)),"⚠ Type inconnu",IF($L2218="Crédit","",IFERROR(INDEX('Paramètres'!$O:$O,MATCH($D2218,'Paramètres'!$M:$M,0))&amp;"",""))))</f>
        <v/>
      </c>
      <c r="N2218" s="6" t="str">
        <f>IF($D2218="","",IFERROR(INDEX('Paramètres'!$Q:$Q,MATCH($D2218,'Paramètres'!$M:$M,0))&amp;"",""))</f>
        <v/>
      </c>
      <c r="O2218" s="6" t="str">
        <f>IF($A2218="","",IF(OR($J2218&lt;&gt;"x",$A2218&lt;=FinReleve),1,0))</f>
        <v/>
      </c>
      <c r="P2218" s="6" t="str">
        <f>IF($D2218="","",IF(AND($L2218="Crédit",OR(IFERROR(INDEX('Paramètres'!$O:$O,MATCH($D2218,'Paramètres'!$M:$M,0))&amp;"","")&lt;&gt;"",ISNUMBER(SEARCH("remboursement",IFERROR(INDEX('Paramètres'!$N:$N,MATCH($D2218,'Paramètres'!$M:$M,0))&amp;"",""))))),1,0))</f>
        <v/>
      </c>
      <c r="Q2218" s="6" t="str">
        <f>IF($K2218="","",IF(ISNUMBER(SEARCH("transfert-interne",IFERROR(INDEX('Paramètres'!$N:$N,MATCH($D2218,'Paramètres'!$M:$M,0))&amp;"",""))),0,IF($L2218="Débit",$K2218,IF($P2218=1,-$K2218,0))))</f>
        <v/>
      </c>
      <c r="R2218" s="6" t="str">
        <f>IF($K2218="","",IF($L2218="Crédit",$K2218,-$K2218))</f>
        <v/>
      </c>
      <c r="S2218" s="6" t="str">
        <f>IF($C2218="","",IFERROR(INDEX('Paramètres'!$H:$H,MATCH($C2218,'Paramètres'!$D:$D,0))&amp;"",""))</f>
        <v/>
      </c>
      <c r="T2218" s="6" t="str">
        <f>IF($K2218="","",IF($S2218="",0,IF(ISNUMBER(SEARCH("apport-exterieur",IFERROR(INDEX('Paramètres'!$N:$N,MATCH($D2218,'Paramètres'!$M:$M,0))&amp;"",""))),0,IF(OR(IFERROR(INDEX('Paramètres'!$I:$I,MATCH($C2218,'Paramètres'!$D:$D,0))&amp;"","")="Les deux",IFERROR(INDEX('Paramètres'!$I:$I,MATCH($C2218,'Paramètres'!$D:$D,0))&amp;"","")=IF($P2218=1,"Débit",$L2218)),-IF($P2218=1,-$K2218,$K2218),0))))</f>
        <v/>
      </c>
      <c r="U2218" s="6" t="str">
        <f>IF($K2218="","",IF(ISNUMBER(SEARCH("sortie-epargne",IFERROR(INDEX('Paramètres'!$N:$N,MATCH($D2218,'Paramètres'!$M:$M,0))&amp;"",""))),$K2218,0))</f>
        <v/>
      </c>
      <c r="V2218" s="6" t="str">
        <f>IF(AND($A2218&lt;&gt;"",$O2218=1,$L2218="Débit",N($Q2218)&gt;0,$A2218&gt;=Visualisation!$B$1,$A2218&lt;Visualisation!$D$1),MAX($V$1:V2217)+1,"")</f>
        <v/>
      </c>
    </row>
    <row r="2219" spans="1:22" x14ac:dyDescent="0.25">
      <c r="A2219" s="9"/>
      <c r="E2219" s="10"/>
      <c r="K2219" s="11" t="str">
        <f>IF($E2219="","",ROUND($E2219*IF(ISNA(MATCH($C2219,'Paramètres'!$D:$D,0)),1,IF(INDEX('Paramètres'!$J:$J,MATCH($C2219,'Paramètres'!$D:$D,0))="",1,INDEX('Paramètres'!$J:$J,MATCH($C2219,'Paramètres'!$D:$D,0)))),2))</f>
        <v/>
      </c>
      <c r="L2219" s="6" t="str">
        <f>IF($D2219="","",IF($F2219&lt;&gt;"",$F2219,IF(ISNA(MATCH($D2219,'Paramètres'!$M:$M,0)),"⚠ Type inconnu",IFERROR(INDEX('Paramètres'!$P:$P,MATCH($D2219,'Paramètres'!$M:$M,0))&amp;"",""))))</f>
        <v/>
      </c>
      <c r="M2219" s="6" t="str">
        <f>IF($D2219="","",IF(ISNA(MATCH($D2219,'Paramètres'!$M:$M,0)),"⚠ Type inconnu",IF($L2219="Crédit","",IFERROR(INDEX('Paramètres'!$O:$O,MATCH($D2219,'Paramètres'!$M:$M,0))&amp;"",""))))</f>
        <v/>
      </c>
      <c r="N2219" s="6" t="str">
        <f>IF($D2219="","",IFERROR(INDEX('Paramètres'!$Q:$Q,MATCH($D2219,'Paramètres'!$M:$M,0))&amp;"",""))</f>
        <v/>
      </c>
      <c r="O2219" s="6" t="str">
        <f>IF($A2219="","",IF(OR($J2219&lt;&gt;"x",$A2219&lt;=FinReleve),1,0))</f>
        <v/>
      </c>
      <c r="P2219" s="6" t="str">
        <f>IF($D2219="","",IF(AND($L2219="Crédit",OR(IFERROR(INDEX('Paramètres'!$O:$O,MATCH($D2219,'Paramètres'!$M:$M,0))&amp;"","")&lt;&gt;"",ISNUMBER(SEARCH("remboursement",IFERROR(INDEX('Paramètres'!$N:$N,MATCH($D2219,'Paramètres'!$M:$M,0))&amp;"",""))))),1,0))</f>
        <v/>
      </c>
      <c r="Q2219" s="6" t="str">
        <f>IF($K2219="","",IF(ISNUMBER(SEARCH("transfert-interne",IFERROR(INDEX('Paramètres'!$N:$N,MATCH($D2219,'Paramètres'!$M:$M,0))&amp;"",""))),0,IF($L2219="Débit",$K2219,IF($P2219=1,-$K2219,0))))</f>
        <v/>
      </c>
      <c r="R2219" s="6" t="str">
        <f>IF($K2219="","",IF($L2219="Crédit",$K2219,-$K2219))</f>
        <v/>
      </c>
      <c r="S2219" s="6" t="str">
        <f>IF($C2219="","",IFERROR(INDEX('Paramètres'!$H:$H,MATCH($C2219,'Paramètres'!$D:$D,0))&amp;"",""))</f>
        <v/>
      </c>
      <c r="T2219" s="6" t="str">
        <f>IF($K2219="","",IF($S2219="",0,IF(ISNUMBER(SEARCH("apport-exterieur",IFERROR(INDEX('Paramètres'!$N:$N,MATCH($D2219,'Paramètres'!$M:$M,0))&amp;"",""))),0,IF(OR(IFERROR(INDEX('Paramètres'!$I:$I,MATCH($C2219,'Paramètres'!$D:$D,0))&amp;"","")="Les deux",IFERROR(INDEX('Paramètres'!$I:$I,MATCH($C2219,'Paramètres'!$D:$D,0))&amp;"","")=IF($P2219=1,"Débit",$L2219)),-IF($P2219=1,-$K2219,$K2219),0))))</f>
        <v/>
      </c>
      <c r="U2219" s="6" t="str">
        <f>IF($K2219="","",IF(ISNUMBER(SEARCH("sortie-epargne",IFERROR(INDEX('Paramètres'!$N:$N,MATCH($D2219,'Paramètres'!$M:$M,0))&amp;"",""))),$K2219,0))</f>
        <v/>
      </c>
      <c r="V2219" s="6" t="str">
        <f>IF(AND($A2219&lt;&gt;"",$O2219=1,$L2219="Débit",N($Q2219)&gt;0,$A2219&gt;=Visualisation!$B$1,$A2219&lt;Visualisation!$D$1),MAX($V$1:V2218)+1,"")</f>
        <v/>
      </c>
    </row>
    <row r="2220" spans="1:22" x14ac:dyDescent="0.25">
      <c r="A2220" s="9"/>
      <c r="E2220" s="10"/>
      <c r="K2220" s="11" t="str">
        <f>IF($E2220="","",ROUND($E2220*IF(ISNA(MATCH($C2220,'Paramètres'!$D:$D,0)),1,IF(INDEX('Paramètres'!$J:$J,MATCH($C2220,'Paramètres'!$D:$D,0))="",1,INDEX('Paramètres'!$J:$J,MATCH($C2220,'Paramètres'!$D:$D,0)))),2))</f>
        <v/>
      </c>
      <c r="L2220" s="6" t="str">
        <f>IF($D2220="","",IF($F2220&lt;&gt;"",$F2220,IF(ISNA(MATCH($D2220,'Paramètres'!$M:$M,0)),"⚠ Type inconnu",IFERROR(INDEX('Paramètres'!$P:$P,MATCH($D2220,'Paramètres'!$M:$M,0))&amp;"",""))))</f>
        <v/>
      </c>
      <c r="M2220" s="6" t="str">
        <f>IF($D2220="","",IF(ISNA(MATCH($D2220,'Paramètres'!$M:$M,0)),"⚠ Type inconnu",IF($L2220="Crédit","",IFERROR(INDEX('Paramètres'!$O:$O,MATCH($D2220,'Paramètres'!$M:$M,0))&amp;"",""))))</f>
        <v/>
      </c>
      <c r="N2220" s="6" t="str">
        <f>IF($D2220="","",IFERROR(INDEX('Paramètres'!$Q:$Q,MATCH($D2220,'Paramètres'!$M:$M,0))&amp;"",""))</f>
        <v/>
      </c>
      <c r="O2220" s="6" t="str">
        <f>IF($A2220="","",IF(OR($J2220&lt;&gt;"x",$A2220&lt;=FinReleve),1,0))</f>
        <v/>
      </c>
      <c r="P2220" s="6" t="str">
        <f>IF($D2220="","",IF(AND($L2220="Crédit",OR(IFERROR(INDEX('Paramètres'!$O:$O,MATCH($D2220,'Paramètres'!$M:$M,0))&amp;"","")&lt;&gt;"",ISNUMBER(SEARCH("remboursement",IFERROR(INDEX('Paramètres'!$N:$N,MATCH($D2220,'Paramètres'!$M:$M,0))&amp;"",""))))),1,0))</f>
        <v/>
      </c>
      <c r="Q2220" s="6" t="str">
        <f>IF($K2220="","",IF(ISNUMBER(SEARCH("transfert-interne",IFERROR(INDEX('Paramètres'!$N:$N,MATCH($D2220,'Paramètres'!$M:$M,0))&amp;"",""))),0,IF($L2220="Débit",$K2220,IF($P2220=1,-$K2220,0))))</f>
        <v/>
      </c>
      <c r="R2220" s="6" t="str">
        <f>IF($K2220="","",IF($L2220="Crédit",$K2220,-$K2220))</f>
        <v/>
      </c>
      <c r="S2220" s="6" t="str">
        <f>IF($C2220="","",IFERROR(INDEX('Paramètres'!$H:$H,MATCH($C2220,'Paramètres'!$D:$D,0))&amp;"",""))</f>
        <v/>
      </c>
      <c r="T2220" s="6" t="str">
        <f>IF($K2220="","",IF($S2220="",0,IF(ISNUMBER(SEARCH("apport-exterieur",IFERROR(INDEX('Paramètres'!$N:$N,MATCH($D2220,'Paramètres'!$M:$M,0))&amp;"",""))),0,IF(OR(IFERROR(INDEX('Paramètres'!$I:$I,MATCH($C2220,'Paramètres'!$D:$D,0))&amp;"","")="Les deux",IFERROR(INDEX('Paramètres'!$I:$I,MATCH($C2220,'Paramètres'!$D:$D,0))&amp;"","")=IF($P2220=1,"Débit",$L2220)),-IF($P2220=1,-$K2220,$K2220),0))))</f>
        <v/>
      </c>
      <c r="U2220" s="6" t="str">
        <f>IF($K2220="","",IF(ISNUMBER(SEARCH("sortie-epargne",IFERROR(INDEX('Paramètres'!$N:$N,MATCH($D2220,'Paramètres'!$M:$M,0))&amp;"",""))),$K2220,0))</f>
        <v/>
      </c>
      <c r="V2220" s="6" t="str">
        <f>IF(AND($A2220&lt;&gt;"",$O2220=1,$L2220="Débit",N($Q2220)&gt;0,$A2220&gt;=Visualisation!$B$1,$A2220&lt;Visualisation!$D$1),MAX($V$1:V2219)+1,"")</f>
        <v/>
      </c>
    </row>
    <row r="2221" spans="1:22" x14ac:dyDescent="0.25">
      <c r="A2221" s="9"/>
      <c r="E2221" s="10"/>
      <c r="K2221" s="11" t="str">
        <f>IF($E2221="","",ROUND($E2221*IF(ISNA(MATCH($C2221,'Paramètres'!$D:$D,0)),1,IF(INDEX('Paramètres'!$J:$J,MATCH($C2221,'Paramètres'!$D:$D,0))="",1,INDEX('Paramètres'!$J:$J,MATCH($C2221,'Paramètres'!$D:$D,0)))),2))</f>
        <v/>
      </c>
      <c r="L2221" s="6" t="str">
        <f>IF($D2221="","",IF($F2221&lt;&gt;"",$F2221,IF(ISNA(MATCH($D2221,'Paramètres'!$M:$M,0)),"⚠ Type inconnu",IFERROR(INDEX('Paramètres'!$P:$P,MATCH($D2221,'Paramètres'!$M:$M,0))&amp;"",""))))</f>
        <v/>
      </c>
      <c r="M2221" s="6" t="str">
        <f>IF($D2221="","",IF(ISNA(MATCH($D2221,'Paramètres'!$M:$M,0)),"⚠ Type inconnu",IF($L2221="Crédit","",IFERROR(INDEX('Paramètres'!$O:$O,MATCH($D2221,'Paramètres'!$M:$M,0))&amp;"",""))))</f>
        <v/>
      </c>
      <c r="N2221" s="6" t="str">
        <f>IF($D2221="","",IFERROR(INDEX('Paramètres'!$Q:$Q,MATCH($D2221,'Paramètres'!$M:$M,0))&amp;"",""))</f>
        <v/>
      </c>
      <c r="O2221" s="6" t="str">
        <f>IF($A2221="","",IF(OR($J2221&lt;&gt;"x",$A2221&lt;=FinReleve),1,0))</f>
        <v/>
      </c>
      <c r="P2221" s="6" t="str">
        <f>IF($D2221="","",IF(AND($L2221="Crédit",OR(IFERROR(INDEX('Paramètres'!$O:$O,MATCH($D2221,'Paramètres'!$M:$M,0))&amp;"","")&lt;&gt;"",ISNUMBER(SEARCH("remboursement",IFERROR(INDEX('Paramètres'!$N:$N,MATCH($D2221,'Paramètres'!$M:$M,0))&amp;"",""))))),1,0))</f>
        <v/>
      </c>
      <c r="Q2221" s="6" t="str">
        <f>IF($K2221="","",IF(ISNUMBER(SEARCH("transfert-interne",IFERROR(INDEX('Paramètres'!$N:$N,MATCH($D2221,'Paramètres'!$M:$M,0))&amp;"",""))),0,IF($L2221="Débit",$K2221,IF($P2221=1,-$K2221,0))))</f>
        <v/>
      </c>
      <c r="R2221" s="6" t="str">
        <f>IF($K2221="","",IF($L2221="Crédit",$K2221,-$K2221))</f>
        <v/>
      </c>
      <c r="S2221" s="6" t="str">
        <f>IF($C2221="","",IFERROR(INDEX('Paramètres'!$H:$H,MATCH($C2221,'Paramètres'!$D:$D,0))&amp;"",""))</f>
        <v/>
      </c>
      <c r="T2221" s="6" t="str">
        <f>IF($K2221="","",IF($S2221="",0,IF(ISNUMBER(SEARCH("apport-exterieur",IFERROR(INDEX('Paramètres'!$N:$N,MATCH($D2221,'Paramètres'!$M:$M,0))&amp;"",""))),0,IF(OR(IFERROR(INDEX('Paramètres'!$I:$I,MATCH($C2221,'Paramètres'!$D:$D,0))&amp;"","")="Les deux",IFERROR(INDEX('Paramètres'!$I:$I,MATCH($C2221,'Paramètres'!$D:$D,0))&amp;"","")=IF($P2221=1,"Débit",$L2221)),-IF($P2221=1,-$K2221,$K2221),0))))</f>
        <v/>
      </c>
      <c r="U2221" s="6" t="str">
        <f>IF($K2221="","",IF(ISNUMBER(SEARCH("sortie-epargne",IFERROR(INDEX('Paramètres'!$N:$N,MATCH($D2221,'Paramètres'!$M:$M,0))&amp;"",""))),$K2221,0))</f>
        <v/>
      </c>
      <c r="V2221" s="6" t="str">
        <f>IF(AND($A2221&lt;&gt;"",$O2221=1,$L2221="Débit",N($Q2221)&gt;0,$A2221&gt;=Visualisation!$B$1,$A2221&lt;Visualisation!$D$1),MAX($V$1:V2220)+1,"")</f>
        <v/>
      </c>
    </row>
    <row r="2222" spans="1:22" x14ac:dyDescent="0.25">
      <c r="A2222" s="9"/>
      <c r="E2222" s="10"/>
      <c r="K2222" s="11" t="str">
        <f>IF($E2222="","",ROUND($E2222*IF(ISNA(MATCH($C2222,'Paramètres'!$D:$D,0)),1,IF(INDEX('Paramètres'!$J:$J,MATCH($C2222,'Paramètres'!$D:$D,0))="",1,INDEX('Paramètres'!$J:$J,MATCH($C2222,'Paramètres'!$D:$D,0)))),2))</f>
        <v/>
      </c>
      <c r="L2222" s="6" t="str">
        <f>IF($D2222="","",IF($F2222&lt;&gt;"",$F2222,IF(ISNA(MATCH($D2222,'Paramètres'!$M:$M,0)),"⚠ Type inconnu",IFERROR(INDEX('Paramètres'!$P:$P,MATCH($D2222,'Paramètres'!$M:$M,0))&amp;"",""))))</f>
        <v/>
      </c>
      <c r="M2222" s="6" t="str">
        <f>IF($D2222="","",IF(ISNA(MATCH($D2222,'Paramètres'!$M:$M,0)),"⚠ Type inconnu",IF($L2222="Crédit","",IFERROR(INDEX('Paramètres'!$O:$O,MATCH($D2222,'Paramètres'!$M:$M,0))&amp;"",""))))</f>
        <v/>
      </c>
      <c r="N2222" s="6" t="str">
        <f>IF($D2222="","",IFERROR(INDEX('Paramètres'!$Q:$Q,MATCH($D2222,'Paramètres'!$M:$M,0))&amp;"",""))</f>
        <v/>
      </c>
      <c r="O2222" s="6" t="str">
        <f>IF($A2222="","",IF(OR($J2222&lt;&gt;"x",$A2222&lt;=FinReleve),1,0))</f>
        <v/>
      </c>
      <c r="P2222" s="6" t="str">
        <f>IF($D2222="","",IF(AND($L2222="Crédit",OR(IFERROR(INDEX('Paramètres'!$O:$O,MATCH($D2222,'Paramètres'!$M:$M,0))&amp;"","")&lt;&gt;"",ISNUMBER(SEARCH("remboursement",IFERROR(INDEX('Paramètres'!$N:$N,MATCH($D2222,'Paramètres'!$M:$M,0))&amp;"",""))))),1,0))</f>
        <v/>
      </c>
      <c r="Q2222" s="6" t="str">
        <f>IF($K2222="","",IF(ISNUMBER(SEARCH("transfert-interne",IFERROR(INDEX('Paramètres'!$N:$N,MATCH($D2222,'Paramètres'!$M:$M,0))&amp;"",""))),0,IF($L2222="Débit",$K2222,IF($P2222=1,-$K2222,0))))</f>
        <v/>
      </c>
      <c r="R2222" s="6" t="str">
        <f>IF($K2222="","",IF($L2222="Crédit",$K2222,-$K2222))</f>
        <v/>
      </c>
      <c r="S2222" s="6" t="str">
        <f>IF($C2222="","",IFERROR(INDEX('Paramètres'!$H:$H,MATCH($C2222,'Paramètres'!$D:$D,0))&amp;"",""))</f>
        <v/>
      </c>
      <c r="T2222" s="6" t="str">
        <f>IF($K2222="","",IF($S2222="",0,IF(ISNUMBER(SEARCH("apport-exterieur",IFERROR(INDEX('Paramètres'!$N:$N,MATCH($D2222,'Paramètres'!$M:$M,0))&amp;"",""))),0,IF(OR(IFERROR(INDEX('Paramètres'!$I:$I,MATCH($C2222,'Paramètres'!$D:$D,0))&amp;"","")="Les deux",IFERROR(INDEX('Paramètres'!$I:$I,MATCH($C2222,'Paramètres'!$D:$D,0))&amp;"","")=IF($P2222=1,"Débit",$L2222)),-IF($P2222=1,-$K2222,$K2222),0))))</f>
        <v/>
      </c>
      <c r="U2222" s="6" t="str">
        <f>IF($K2222="","",IF(ISNUMBER(SEARCH("sortie-epargne",IFERROR(INDEX('Paramètres'!$N:$N,MATCH($D2222,'Paramètres'!$M:$M,0))&amp;"",""))),$K2222,0))</f>
        <v/>
      </c>
      <c r="V2222" s="6" t="str">
        <f>IF(AND($A2222&lt;&gt;"",$O2222=1,$L2222="Débit",N($Q2222)&gt;0,$A2222&gt;=Visualisation!$B$1,$A2222&lt;Visualisation!$D$1),MAX($V$1:V2221)+1,"")</f>
        <v/>
      </c>
    </row>
    <row r="2223" spans="1:22" x14ac:dyDescent="0.25">
      <c r="A2223" s="9"/>
      <c r="E2223" s="10"/>
      <c r="K2223" s="11" t="str">
        <f>IF($E2223="","",ROUND($E2223*IF(ISNA(MATCH($C2223,'Paramètres'!$D:$D,0)),1,IF(INDEX('Paramètres'!$J:$J,MATCH($C2223,'Paramètres'!$D:$D,0))="",1,INDEX('Paramètres'!$J:$J,MATCH($C2223,'Paramètres'!$D:$D,0)))),2))</f>
        <v/>
      </c>
      <c r="L2223" s="6" t="str">
        <f>IF($D2223="","",IF($F2223&lt;&gt;"",$F2223,IF(ISNA(MATCH($D2223,'Paramètres'!$M:$M,0)),"⚠ Type inconnu",IFERROR(INDEX('Paramètres'!$P:$P,MATCH($D2223,'Paramètres'!$M:$M,0))&amp;"",""))))</f>
        <v/>
      </c>
      <c r="M2223" s="6" t="str">
        <f>IF($D2223="","",IF(ISNA(MATCH($D2223,'Paramètres'!$M:$M,0)),"⚠ Type inconnu",IF($L2223="Crédit","",IFERROR(INDEX('Paramètres'!$O:$O,MATCH($D2223,'Paramètres'!$M:$M,0))&amp;"",""))))</f>
        <v/>
      </c>
      <c r="N2223" s="6" t="str">
        <f>IF($D2223="","",IFERROR(INDEX('Paramètres'!$Q:$Q,MATCH($D2223,'Paramètres'!$M:$M,0))&amp;"",""))</f>
        <v/>
      </c>
      <c r="O2223" s="6" t="str">
        <f>IF($A2223="","",IF(OR($J2223&lt;&gt;"x",$A2223&lt;=FinReleve),1,0))</f>
        <v/>
      </c>
      <c r="P2223" s="6" t="str">
        <f>IF($D2223="","",IF(AND($L2223="Crédit",OR(IFERROR(INDEX('Paramètres'!$O:$O,MATCH($D2223,'Paramètres'!$M:$M,0))&amp;"","")&lt;&gt;"",ISNUMBER(SEARCH("remboursement",IFERROR(INDEX('Paramètres'!$N:$N,MATCH($D2223,'Paramètres'!$M:$M,0))&amp;"",""))))),1,0))</f>
        <v/>
      </c>
      <c r="Q2223" s="6" t="str">
        <f>IF($K2223="","",IF(ISNUMBER(SEARCH("transfert-interne",IFERROR(INDEX('Paramètres'!$N:$N,MATCH($D2223,'Paramètres'!$M:$M,0))&amp;"",""))),0,IF($L2223="Débit",$K2223,IF($P2223=1,-$K2223,0))))</f>
        <v/>
      </c>
      <c r="R2223" s="6" t="str">
        <f>IF($K2223="","",IF($L2223="Crédit",$K2223,-$K2223))</f>
        <v/>
      </c>
      <c r="S2223" s="6" t="str">
        <f>IF($C2223="","",IFERROR(INDEX('Paramètres'!$H:$H,MATCH($C2223,'Paramètres'!$D:$D,0))&amp;"",""))</f>
        <v/>
      </c>
      <c r="T2223" s="6" t="str">
        <f>IF($K2223="","",IF($S2223="",0,IF(ISNUMBER(SEARCH("apport-exterieur",IFERROR(INDEX('Paramètres'!$N:$N,MATCH($D2223,'Paramètres'!$M:$M,0))&amp;"",""))),0,IF(OR(IFERROR(INDEX('Paramètres'!$I:$I,MATCH($C2223,'Paramètres'!$D:$D,0))&amp;"","")="Les deux",IFERROR(INDEX('Paramètres'!$I:$I,MATCH($C2223,'Paramètres'!$D:$D,0))&amp;"","")=IF($P2223=1,"Débit",$L2223)),-IF($P2223=1,-$K2223,$K2223),0))))</f>
        <v/>
      </c>
      <c r="U2223" s="6" t="str">
        <f>IF($K2223="","",IF(ISNUMBER(SEARCH("sortie-epargne",IFERROR(INDEX('Paramètres'!$N:$N,MATCH($D2223,'Paramètres'!$M:$M,0))&amp;"",""))),$K2223,0))</f>
        <v/>
      </c>
      <c r="V2223" s="6" t="str">
        <f>IF(AND($A2223&lt;&gt;"",$O2223=1,$L2223="Débit",N($Q2223)&gt;0,$A2223&gt;=Visualisation!$B$1,$A2223&lt;Visualisation!$D$1),MAX($V$1:V2222)+1,"")</f>
        <v/>
      </c>
    </row>
    <row r="2224" spans="1:22" x14ac:dyDescent="0.25">
      <c r="A2224" s="9"/>
      <c r="E2224" s="10"/>
      <c r="K2224" s="11" t="str">
        <f>IF($E2224="","",ROUND($E2224*IF(ISNA(MATCH($C2224,'Paramètres'!$D:$D,0)),1,IF(INDEX('Paramètres'!$J:$J,MATCH($C2224,'Paramètres'!$D:$D,0))="",1,INDEX('Paramètres'!$J:$J,MATCH($C2224,'Paramètres'!$D:$D,0)))),2))</f>
        <v/>
      </c>
      <c r="L2224" s="6" t="str">
        <f>IF($D2224="","",IF($F2224&lt;&gt;"",$F2224,IF(ISNA(MATCH($D2224,'Paramètres'!$M:$M,0)),"⚠ Type inconnu",IFERROR(INDEX('Paramètres'!$P:$P,MATCH($D2224,'Paramètres'!$M:$M,0))&amp;"",""))))</f>
        <v/>
      </c>
      <c r="M2224" s="6" t="str">
        <f>IF($D2224="","",IF(ISNA(MATCH($D2224,'Paramètres'!$M:$M,0)),"⚠ Type inconnu",IF($L2224="Crédit","",IFERROR(INDEX('Paramètres'!$O:$O,MATCH($D2224,'Paramètres'!$M:$M,0))&amp;"",""))))</f>
        <v/>
      </c>
      <c r="N2224" s="6" t="str">
        <f>IF($D2224="","",IFERROR(INDEX('Paramètres'!$Q:$Q,MATCH($D2224,'Paramètres'!$M:$M,0))&amp;"",""))</f>
        <v/>
      </c>
      <c r="O2224" s="6" t="str">
        <f>IF($A2224="","",IF(OR($J2224&lt;&gt;"x",$A2224&lt;=FinReleve),1,0))</f>
        <v/>
      </c>
      <c r="P2224" s="6" t="str">
        <f>IF($D2224="","",IF(AND($L2224="Crédit",OR(IFERROR(INDEX('Paramètres'!$O:$O,MATCH($D2224,'Paramètres'!$M:$M,0))&amp;"","")&lt;&gt;"",ISNUMBER(SEARCH("remboursement",IFERROR(INDEX('Paramètres'!$N:$N,MATCH($D2224,'Paramètres'!$M:$M,0))&amp;"",""))))),1,0))</f>
        <v/>
      </c>
      <c r="Q2224" s="6" t="str">
        <f>IF($K2224="","",IF(ISNUMBER(SEARCH("transfert-interne",IFERROR(INDEX('Paramètres'!$N:$N,MATCH($D2224,'Paramètres'!$M:$M,0))&amp;"",""))),0,IF($L2224="Débit",$K2224,IF($P2224=1,-$K2224,0))))</f>
        <v/>
      </c>
      <c r="R2224" s="6" t="str">
        <f>IF($K2224="","",IF($L2224="Crédit",$K2224,-$K2224))</f>
        <v/>
      </c>
      <c r="S2224" s="6" t="str">
        <f>IF($C2224="","",IFERROR(INDEX('Paramètres'!$H:$H,MATCH($C2224,'Paramètres'!$D:$D,0))&amp;"",""))</f>
        <v/>
      </c>
      <c r="T2224" s="6" t="str">
        <f>IF($K2224="","",IF($S2224="",0,IF(ISNUMBER(SEARCH("apport-exterieur",IFERROR(INDEX('Paramètres'!$N:$N,MATCH($D2224,'Paramètres'!$M:$M,0))&amp;"",""))),0,IF(OR(IFERROR(INDEX('Paramètres'!$I:$I,MATCH($C2224,'Paramètres'!$D:$D,0))&amp;"","")="Les deux",IFERROR(INDEX('Paramètres'!$I:$I,MATCH($C2224,'Paramètres'!$D:$D,0))&amp;"","")=IF($P2224=1,"Débit",$L2224)),-IF($P2224=1,-$K2224,$K2224),0))))</f>
        <v/>
      </c>
      <c r="U2224" s="6" t="str">
        <f>IF($K2224="","",IF(ISNUMBER(SEARCH("sortie-epargne",IFERROR(INDEX('Paramètres'!$N:$N,MATCH($D2224,'Paramètres'!$M:$M,0))&amp;"",""))),$K2224,0))</f>
        <v/>
      </c>
      <c r="V2224" s="6" t="str">
        <f>IF(AND($A2224&lt;&gt;"",$O2224=1,$L2224="Débit",N($Q2224)&gt;0,$A2224&gt;=Visualisation!$B$1,$A2224&lt;Visualisation!$D$1),MAX($V$1:V2223)+1,"")</f>
        <v/>
      </c>
    </row>
    <row r="2225" spans="1:22" x14ac:dyDescent="0.25">
      <c r="A2225" s="9"/>
      <c r="E2225" s="10"/>
      <c r="K2225" s="11" t="str">
        <f>IF($E2225="","",ROUND($E2225*IF(ISNA(MATCH($C2225,'Paramètres'!$D:$D,0)),1,IF(INDEX('Paramètres'!$J:$J,MATCH($C2225,'Paramètres'!$D:$D,0))="",1,INDEX('Paramètres'!$J:$J,MATCH($C2225,'Paramètres'!$D:$D,0)))),2))</f>
        <v/>
      </c>
      <c r="L2225" s="6" t="str">
        <f>IF($D2225="","",IF($F2225&lt;&gt;"",$F2225,IF(ISNA(MATCH($D2225,'Paramètres'!$M:$M,0)),"⚠ Type inconnu",IFERROR(INDEX('Paramètres'!$P:$P,MATCH($D2225,'Paramètres'!$M:$M,0))&amp;"",""))))</f>
        <v/>
      </c>
      <c r="M2225" s="6" t="str">
        <f>IF($D2225="","",IF(ISNA(MATCH($D2225,'Paramètres'!$M:$M,0)),"⚠ Type inconnu",IF($L2225="Crédit","",IFERROR(INDEX('Paramètres'!$O:$O,MATCH($D2225,'Paramètres'!$M:$M,0))&amp;"",""))))</f>
        <v/>
      </c>
      <c r="N2225" s="6" t="str">
        <f>IF($D2225="","",IFERROR(INDEX('Paramètres'!$Q:$Q,MATCH($D2225,'Paramètres'!$M:$M,0))&amp;"",""))</f>
        <v/>
      </c>
      <c r="O2225" s="6" t="str">
        <f>IF($A2225="","",IF(OR($J2225&lt;&gt;"x",$A2225&lt;=FinReleve),1,0))</f>
        <v/>
      </c>
      <c r="P2225" s="6" t="str">
        <f>IF($D2225="","",IF(AND($L2225="Crédit",OR(IFERROR(INDEX('Paramètres'!$O:$O,MATCH($D2225,'Paramètres'!$M:$M,0))&amp;"","")&lt;&gt;"",ISNUMBER(SEARCH("remboursement",IFERROR(INDEX('Paramètres'!$N:$N,MATCH($D2225,'Paramètres'!$M:$M,0))&amp;"",""))))),1,0))</f>
        <v/>
      </c>
      <c r="Q2225" s="6" t="str">
        <f>IF($K2225="","",IF(ISNUMBER(SEARCH("transfert-interne",IFERROR(INDEX('Paramètres'!$N:$N,MATCH($D2225,'Paramètres'!$M:$M,0))&amp;"",""))),0,IF($L2225="Débit",$K2225,IF($P2225=1,-$K2225,0))))</f>
        <v/>
      </c>
      <c r="R2225" s="6" t="str">
        <f>IF($K2225="","",IF($L2225="Crédit",$K2225,-$K2225))</f>
        <v/>
      </c>
      <c r="S2225" s="6" t="str">
        <f>IF($C2225="","",IFERROR(INDEX('Paramètres'!$H:$H,MATCH($C2225,'Paramètres'!$D:$D,0))&amp;"",""))</f>
        <v/>
      </c>
      <c r="T2225" s="6" t="str">
        <f>IF($K2225="","",IF($S2225="",0,IF(ISNUMBER(SEARCH("apport-exterieur",IFERROR(INDEX('Paramètres'!$N:$N,MATCH($D2225,'Paramètres'!$M:$M,0))&amp;"",""))),0,IF(OR(IFERROR(INDEX('Paramètres'!$I:$I,MATCH($C2225,'Paramètres'!$D:$D,0))&amp;"","")="Les deux",IFERROR(INDEX('Paramètres'!$I:$I,MATCH($C2225,'Paramètres'!$D:$D,0))&amp;"","")=IF($P2225=1,"Débit",$L2225)),-IF($P2225=1,-$K2225,$K2225),0))))</f>
        <v/>
      </c>
      <c r="U2225" s="6" t="str">
        <f>IF($K2225="","",IF(ISNUMBER(SEARCH("sortie-epargne",IFERROR(INDEX('Paramètres'!$N:$N,MATCH($D2225,'Paramètres'!$M:$M,0))&amp;"",""))),$K2225,0))</f>
        <v/>
      </c>
      <c r="V2225" s="6" t="str">
        <f>IF(AND($A2225&lt;&gt;"",$O2225=1,$L2225="Débit",N($Q2225)&gt;0,$A2225&gt;=Visualisation!$B$1,$A2225&lt;Visualisation!$D$1),MAX($V$1:V2224)+1,"")</f>
        <v/>
      </c>
    </row>
    <row r="2226" spans="1:22" x14ac:dyDescent="0.25">
      <c r="A2226" s="9"/>
      <c r="E2226" s="10"/>
      <c r="K2226" s="11" t="str">
        <f>IF($E2226="","",ROUND($E2226*IF(ISNA(MATCH($C2226,'Paramètres'!$D:$D,0)),1,IF(INDEX('Paramètres'!$J:$J,MATCH($C2226,'Paramètres'!$D:$D,0))="",1,INDEX('Paramètres'!$J:$J,MATCH($C2226,'Paramètres'!$D:$D,0)))),2))</f>
        <v/>
      </c>
      <c r="L2226" s="6" t="str">
        <f>IF($D2226="","",IF($F2226&lt;&gt;"",$F2226,IF(ISNA(MATCH($D2226,'Paramètres'!$M:$M,0)),"⚠ Type inconnu",IFERROR(INDEX('Paramètres'!$P:$P,MATCH($D2226,'Paramètres'!$M:$M,0))&amp;"",""))))</f>
        <v/>
      </c>
      <c r="M2226" s="6" t="str">
        <f>IF($D2226="","",IF(ISNA(MATCH($D2226,'Paramètres'!$M:$M,0)),"⚠ Type inconnu",IF($L2226="Crédit","",IFERROR(INDEX('Paramètres'!$O:$O,MATCH($D2226,'Paramètres'!$M:$M,0))&amp;"",""))))</f>
        <v/>
      </c>
      <c r="N2226" s="6" t="str">
        <f>IF($D2226="","",IFERROR(INDEX('Paramètres'!$Q:$Q,MATCH($D2226,'Paramètres'!$M:$M,0))&amp;"",""))</f>
        <v/>
      </c>
      <c r="O2226" s="6" t="str">
        <f>IF($A2226="","",IF(OR($J2226&lt;&gt;"x",$A2226&lt;=FinReleve),1,0))</f>
        <v/>
      </c>
      <c r="P2226" s="6" t="str">
        <f>IF($D2226="","",IF(AND($L2226="Crédit",OR(IFERROR(INDEX('Paramètres'!$O:$O,MATCH($D2226,'Paramètres'!$M:$M,0))&amp;"","")&lt;&gt;"",ISNUMBER(SEARCH("remboursement",IFERROR(INDEX('Paramètres'!$N:$N,MATCH($D2226,'Paramètres'!$M:$M,0))&amp;"",""))))),1,0))</f>
        <v/>
      </c>
      <c r="Q2226" s="6" t="str">
        <f>IF($K2226="","",IF(ISNUMBER(SEARCH("transfert-interne",IFERROR(INDEX('Paramètres'!$N:$N,MATCH($D2226,'Paramètres'!$M:$M,0))&amp;"",""))),0,IF($L2226="Débit",$K2226,IF($P2226=1,-$K2226,0))))</f>
        <v/>
      </c>
      <c r="R2226" s="6" t="str">
        <f>IF($K2226="","",IF($L2226="Crédit",$K2226,-$K2226))</f>
        <v/>
      </c>
      <c r="S2226" s="6" t="str">
        <f>IF($C2226="","",IFERROR(INDEX('Paramètres'!$H:$H,MATCH($C2226,'Paramètres'!$D:$D,0))&amp;"",""))</f>
        <v/>
      </c>
      <c r="T2226" s="6" t="str">
        <f>IF($K2226="","",IF($S2226="",0,IF(ISNUMBER(SEARCH("apport-exterieur",IFERROR(INDEX('Paramètres'!$N:$N,MATCH($D2226,'Paramètres'!$M:$M,0))&amp;"",""))),0,IF(OR(IFERROR(INDEX('Paramètres'!$I:$I,MATCH($C2226,'Paramètres'!$D:$D,0))&amp;"","")="Les deux",IFERROR(INDEX('Paramètres'!$I:$I,MATCH($C2226,'Paramètres'!$D:$D,0))&amp;"","")=IF($P2226=1,"Débit",$L2226)),-IF($P2226=1,-$K2226,$K2226),0))))</f>
        <v/>
      </c>
      <c r="U2226" s="6" t="str">
        <f>IF($K2226="","",IF(ISNUMBER(SEARCH("sortie-epargne",IFERROR(INDEX('Paramètres'!$N:$N,MATCH($D2226,'Paramètres'!$M:$M,0))&amp;"",""))),$K2226,0))</f>
        <v/>
      </c>
      <c r="V2226" s="6" t="str">
        <f>IF(AND($A2226&lt;&gt;"",$O2226=1,$L2226="Débit",N($Q2226)&gt;0,$A2226&gt;=Visualisation!$B$1,$A2226&lt;Visualisation!$D$1),MAX($V$1:V2225)+1,"")</f>
        <v/>
      </c>
    </row>
    <row r="2227" spans="1:22" x14ac:dyDescent="0.25">
      <c r="A2227" s="9"/>
      <c r="E2227" s="10"/>
      <c r="K2227" s="11" t="str">
        <f>IF($E2227="","",ROUND($E2227*IF(ISNA(MATCH($C2227,'Paramètres'!$D:$D,0)),1,IF(INDEX('Paramètres'!$J:$J,MATCH($C2227,'Paramètres'!$D:$D,0))="",1,INDEX('Paramètres'!$J:$J,MATCH($C2227,'Paramètres'!$D:$D,0)))),2))</f>
        <v/>
      </c>
      <c r="L2227" s="6" t="str">
        <f>IF($D2227="","",IF($F2227&lt;&gt;"",$F2227,IF(ISNA(MATCH($D2227,'Paramètres'!$M:$M,0)),"⚠ Type inconnu",IFERROR(INDEX('Paramètres'!$P:$P,MATCH($D2227,'Paramètres'!$M:$M,0))&amp;"",""))))</f>
        <v/>
      </c>
      <c r="M2227" s="6" t="str">
        <f>IF($D2227="","",IF(ISNA(MATCH($D2227,'Paramètres'!$M:$M,0)),"⚠ Type inconnu",IF($L2227="Crédit","",IFERROR(INDEX('Paramètres'!$O:$O,MATCH($D2227,'Paramètres'!$M:$M,0))&amp;"",""))))</f>
        <v/>
      </c>
      <c r="N2227" s="6" t="str">
        <f>IF($D2227="","",IFERROR(INDEX('Paramètres'!$Q:$Q,MATCH($D2227,'Paramètres'!$M:$M,0))&amp;"",""))</f>
        <v/>
      </c>
      <c r="O2227" s="6" t="str">
        <f>IF($A2227="","",IF(OR($J2227&lt;&gt;"x",$A2227&lt;=FinReleve),1,0))</f>
        <v/>
      </c>
      <c r="P2227" s="6" t="str">
        <f>IF($D2227="","",IF(AND($L2227="Crédit",OR(IFERROR(INDEX('Paramètres'!$O:$O,MATCH($D2227,'Paramètres'!$M:$M,0))&amp;"","")&lt;&gt;"",ISNUMBER(SEARCH("remboursement",IFERROR(INDEX('Paramètres'!$N:$N,MATCH($D2227,'Paramètres'!$M:$M,0))&amp;"",""))))),1,0))</f>
        <v/>
      </c>
      <c r="Q2227" s="6" t="str">
        <f>IF($K2227="","",IF(ISNUMBER(SEARCH("transfert-interne",IFERROR(INDEX('Paramètres'!$N:$N,MATCH($D2227,'Paramètres'!$M:$M,0))&amp;"",""))),0,IF($L2227="Débit",$K2227,IF($P2227=1,-$K2227,0))))</f>
        <v/>
      </c>
      <c r="R2227" s="6" t="str">
        <f>IF($K2227="","",IF($L2227="Crédit",$K2227,-$K2227))</f>
        <v/>
      </c>
      <c r="S2227" s="6" t="str">
        <f>IF($C2227="","",IFERROR(INDEX('Paramètres'!$H:$H,MATCH($C2227,'Paramètres'!$D:$D,0))&amp;"",""))</f>
        <v/>
      </c>
      <c r="T2227" s="6" t="str">
        <f>IF($K2227="","",IF($S2227="",0,IF(ISNUMBER(SEARCH("apport-exterieur",IFERROR(INDEX('Paramètres'!$N:$N,MATCH($D2227,'Paramètres'!$M:$M,0))&amp;"",""))),0,IF(OR(IFERROR(INDEX('Paramètres'!$I:$I,MATCH($C2227,'Paramètres'!$D:$D,0))&amp;"","")="Les deux",IFERROR(INDEX('Paramètres'!$I:$I,MATCH($C2227,'Paramètres'!$D:$D,0))&amp;"","")=IF($P2227=1,"Débit",$L2227)),-IF($P2227=1,-$K2227,$K2227),0))))</f>
        <v/>
      </c>
      <c r="U2227" s="6" t="str">
        <f>IF($K2227="","",IF(ISNUMBER(SEARCH("sortie-epargne",IFERROR(INDEX('Paramètres'!$N:$N,MATCH($D2227,'Paramètres'!$M:$M,0))&amp;"",""))),$K2227,0))</f>
        <v/>
      </c>
      <c r="V2227" s="6" t="str">
        <f>IF(AND($A2227&lt;&gt;"",$O2227=1,$L2227="Débit",N($Q2227)&gt;0,$A2227&gt;=Visualisation!$B$1,$A2227&lt;Visualisation!$D$1),MAX($V$1:V2226)+1,"")</f>
        <v/>
      </c>
    </row>
    <row r="2228" spans="1:22" x14ac:dyDescent="0.25">
      <c r="A2228" s="9"/>
      <c r="E2228" s="10"/>
      <c r="K2228" s="11" t="str">
        <f>IF($E2228="","",ROUND($E2228*IF(ISNA(MATCH($C2228,'Paramètres'!$D:$D,0)),1,IF(INDEX('Paramètres'!$J:$J,MATCH($C2228,'Paramètres'!$D:$D,0))="",1,INDEX('Paramètres'!$J:$J,MATCH($C2228,'Paramètres'!$D:$D,0)))),2))</f>
        <v/>
      </c>
      <c r="L2228" s="6" t="str">
        <f>IF($D2228="","",IF($F2228&lt;&gt;"",$F2228,IF(ISNA(MATCH($D2228,'Paramètres'!$M:$M,0)),"⚠ Type inconnu",IFERROR(INDEX('Paramètres'!$P:$P,MATCH($D2228,'Paramètres'!$M:$M,0))&amp;"",""))))</f>
        <v/>
      </c>
      <c r="M2228" s="6" t="str">
        <f>IF($D2228="","",IF(ISNA(MATCH($D2228,'Paramètres'!$M:$M,0)),"⚠ Type inconnu",IF($L2228="Crédit","",IFERROR(INDEX('Paramètres'!$O:$O,MATCH($D2228,'Paramètres'!$M:$M,0))&amp;"",""))))</f>
        <v/>
      </c>
      <c r="N2228" s="6" t="str">
        <f>IF($D2228="","",IFERROR(INDEX('Paramètres'!$Q:$Q,MATCH($D2228,'Paramètres'!$M:$M,0))&amp;"",""))</f>
        <v/>
      </c>
      <c r="O2228" s="6" t="str">
        <f>IF($A2228="","",IF(OR($J2228&lt;&gt;"x",$A2228&lt;=FinReleve),1,0))</f>
        <v/>
      </c>
      <c r="P2228" s="6" t="str">
        <f>IF($D2228="","",IF(AND($L2228="Crédit",OR(IFERROR(INDEX('Paramètres'!$O:$O,MATCH($D2228,'Paramètres'!$M:$M,0))&amp;"","")&lt;&gt;"",ISNUMBER(SEARCH("remboursement",IFERROR(INDEX('Paramètres'!$N:$N,MATCH($D2228,'Paramètres'!$M:$M,0))&amp;"",""))))),1,0))</f>
        <v/>
      </c>
      <c r="Q2228" s="6" t="str">
        <f>IF($K2228="","",IF(ISNUMBER(SEARCH("transfert-interne",IFERROR(INDEX('Paramètres'!$N:$N,MATCH($D2228,'Paramètres'!$M:$M,0))&amp;"",""))),0,IF($L2228="Débit",$K2228,IF($P2228=1,-$K2228,0))))</f>
        <v/>
      </c>
      <c r="R2228" s="6" t="str">
        <f>IF($K2228="","",IF($L2228="Crédit",$K2228,-$K2228))</f>
        <v/>
      </c>
      <c r="S2228" s="6" t="str">
        <f>IF($C2228="","",IFERROR(INDEX('Paramètres'!$H:$H,MATCH($C2228,'Paramètres'!$D:$D,0))&amp;"",""))</f>
        <v/>
      </c>
      <c r="T2228" s="6" t="str">
        <f>IF($K2228="","",IF($S2228="",0,IF(ISNUMBER(SEARCH("apport-exterieur",IFERROR(INDEX('Paramètres'!$N:$N,MATCH($D2228,'Paramètres'!$M:$M,0))&amp;"",""))),0,IF(OR(IFERROR(INDEX('Paramètres'!$I:$I,MATCH($C2228,'Paramètres'!$D:$D,0))&amp;"","")="Les deux",IFERROR(INDEX('Paramètres'!$I:$I,MATCH($C2228,'Paramètres'!$D:$D,0))&amp;"","")=IF($P2228=1,"Débit",$L2228)),-IF($P2228=1,-$K2228,$K2228),0))))</f>
        <v/>
      </c>
      <c r="U2228" s="6" t="str">
        <f>IF($K2228="","",IF(ISNUMBER(SEARCH("sortie-epargne",IFERROR(INDEX('Paramètres'!$N:$N,MATCH($D2228,'Paramètres'!$M:$M,0))&amp;"",""))),$K2228,0))</f>
        <v/>
      </c>
      <c r="V2228" s="6" t="str">
        <f>IF(AND($A2228&lt;&gt;"",$O2228=1,$L2228="Débit",N($Q2228)&gt;0,$A2228&gt;=Visualisation!$B$1,$A2228&lt;Visualisation!$D$1),MAX($V$1:V2227)+1,"")</f>
        <v/>
      </c>
    </row>
    <row r="2229" spans="1:22" x14ac:dyDescent="0.25">
      <c r="A2229" s="9"/>
      <c r="E2229" s="10"/>
      <c r="K2229" s="11" t="str">
        <f>IF($E2229="","",ROUND($E2229*IF(ISNA(MATCH($C2229,'Paramètres'!$D:$D,0)),1,IF(INDEX('Paramètres'!$J:$J,MATCH($C2229,'Paramètres'!$D:$D,0))="",1,INDEX('Paramètres'!$J:$J,MATCH($C2229,'Paramètres'!$D:$D,0)))),2))</f>
        <v/>
      </c>
      <c r="L2229" s="6" t="str">
        <f>IF($D2229="","",IF($F2229&lt;&gt;"",$F2229,IF(ISNA(MATCH($D2229,'Paramètres'!$M:$M,0)),"⚠ Type inconnu",IFERROR(INDEX('Paramètres'!$P:$P,MATCH($D2229,'Paramètres'!$M:$M,0))&amp;"",""))))</f>
        <v/>
      </c>
      <c r="M2229" s="6" t="str">
        <f>IF($D2229="","",IF(ISNA(MATCH($D2229,'Paramètres'!$M:$M,0)),"⚠ Type inconnu",IF($L2229="Crédit","",IFERROR(INDEX('Paramètres'!$O:$O,MATCH($D2229,'Paramètres'!$M:$M,0))&amp;"",""))))</f>
        <v/>
      </c>
      <c r="N2229" s="6" t="str">
        <f>IF($D2229="","",IFERROR(INDEX('Paramètres'!$Q:$Q,MATCH($D2229,'Paramètres'!$M:$M,0))&amp;"",""))</f>
        <v/>
      </c>
      <c r="O2229" s="6" t="str">
        <f>IF($A2229="","",IF(OR($J2229&lt;&gt;"x",$A2229&lt;=FinReleve),1,0))</f>
        <v/>
      </c>
      <c r="P2229" s="6" t="str">
        <f>IF($D2229="","",IF(AND($L2229="Crédit",OR(IFERROR(INDEX('Paramètres'!$O:$O,MATCH($D2229,'Paramètres'!$M:$M,0))&amp;"","")&lt;&gt;"",ISNUMBER(SEARCH("remboursement",IFERROR(INDEX('Paramètres'!$N:$N,MATCH($D2229,'Paramètres'!$M:$M,0))&amp;"",""))))),1,0))</f>
        <v/>
      </c>
      <c r="Q2229" s="6" t="str">
        <f>IF($K2229="","",IF(ISNUMBER(SEARCH("transfert-interne",IFERROR(INDEX('Paramètres'!$N:$N,MATCH($D2229,'Paramètres'!$M:$M,0))&amp;"",""))),0,IF($L2229="Débit",$K2229,IF($P2229=1,-$K2229,0))))</f>
        <v/>
      </c>
      <c r="R2229" s="6" t="str">
        <f>IF($K2229="","",IF($L2229="Crédit",$K2229,-$K2229))</f>
        <v/>
      </c>
      <c r="S2229" s="6" t="str">
        <f>IF($C2229="","",IFERROR(INDEX('Paramètres'!$H:$H,MATCH($C2229,'Paramètres'!$D:$D,0))&amp;"",""))</f>
        <v/>
      </c>
      <c r="T2229" s="6" t="str">
        <f>IF($K2229="","",IF($S2229="",0,IF(ISNUMBER(SEARCH("apport-exterieur",IFERROR(INDEX('Paramètres'!$N:$N,MATCH($D2229,'Paramètres'!$M:$M,0))&amp;"",""))),0,IF(OR(IFERROR(INDEX('Paramètres'!$I:$I,MATCH($C2229,'Paramètres'!$D:$D,0))&amp;"","")="Les deux",IFERROR(INDEX('Paramètres'!$I:$I,MATCH($C2229,'Paramètres'!$D:$D,0))&amp;"","")=IF($P2229=1,"Débit",$L2229)),-IF($P2229=1,-$K2229,$K2229),0))))</f>
        <v/>
      </c>
      <c r="U2229" s="6" t="str">
        <f>IF($K2229="","",IF(ISNUMBER(SEARCH("sortie-epargne",IFERROR(INDEX('Paramètres'!$N:$N,MATCH($D2229,'Paramètres'!$M:$M,0))&amp;"",""))),$K2229,0))</f>
        <v/>
      </c>
      <c r="V2229" s="6" t="str">
        <f>IF(AND($A2229&lt;&gt;"",$O2229=1,$L2229="Débit",N($Q2229)&gt;0,$A2229&gt;=Visualisation!$B$1,$A2229&lt;Visualisation!$D$1),MAX($V$1:V2228)+1,"")</f>
        <v/>
      </c>
    </row>
    <row r="2230" spans="1:22" x14ac:dyDescent="0.25">
      <c r="A2230" s="9"/>
      <c r="E2230" s="10"/>
      <c r="K2230" s="11" t="str">
        <f>IF($E2230="","",ROUND($E2230*IF(ISNA(MATCH($C2230,'Paramètres'!$D:$D,0)),1,IF(INDEX('Paramètres'!$J:$J,MATCH($C2230,'Paramètres'!$D:$D,0))="",1,INDEX('Paramètres'!$J:$J,MATCH($C2230,'Paramètres'!$D:$D,0)))),2))</f>
        <v/>
      </c>
      <c r="L2230" s="6" t="str">
        <f>IF($D2230="","",IF($F2230&lt;&gt;"",$F2230,IF(ISNA(MATCH($D2230,'Paramètres'!$M:$M,0)),"⚠ Type inconnu",IFERROR(INDEX('Paramètres'!$P:$P,MATCH($D2230,'Paramètres'!$M:$M,0))&amp;"",""))))</f>
        <v/>
      </c>
      <c r="M2230" s="6" t="str">
        <f>IF($D2230="","",IF(ISNA(MATCH($D2230,'Paramètres'!$M:$M,0)),"⚠ Type inconnu",IF($L2230="Crédit","",IFERROR(INDEX('Paramètres'!$O:$O,MATCH($D2230,'Paramètres'!$M:$M,0))&amp;"",""))))</f>
        <v/>
      </c>
      <c r="N2230" s="6" t="str">
        <f>IF($D2230="","",IFERROR(INDEX('Paramètres'!$Q:$Q,MATCH($D2230,'Paramètres'!$M:$M,0))&amp;"",""))</f>
        <v/>
      </c>
      <c r="O2230" s="6" t="str">
        <f>IF($A2230="","",IF(OR($J2230&lt;&gt;"x",$A2230&lt;=FinReleve),1,0))</f>
        <v/>
      </c>
      <c r="P2230" s="6" t="str">
        <f>IF($D2230="","",IF(AND($L2230="Crédit",OR(IFERROR(INDEX('Paramètres'!$O:$O,MATCH($D2230,'Paramètres'!$M:$M,0))&amp;"","")&lt;&gt;"",ISNUMBER(SEARCH("remboursement",IFERROR(INDEX('Paramètres'!$N:$N,MATCH($D2230,'Paramètres'!$M:$M,0))&amp;"",""))))),1,0))</f>
        <v/>
      </c>
      <c r="Q2230" s="6" t="str">
        <f>IF($K2230="","",IF(ISNUMBER(SEARCH("transfert-interne",IFERROR(INDEX('Paramètres'!$N:$N,MATCH($D2230,'Paramètres'!$M:$M,0))&amp;"",""))),0,IF($L2230="Débit",$K2230,IF($P2230=1,-$K2230,0))))</f>
        <v/>
      </c>
      <c r="R2230" s="6" t="str">
        <f>IF($K2230="","",IF($L2230="Crédit",$K2230,-$K2230))</f>
        <v/>
      </c>
      <c r="S2230" s="6" t="str">
        <f>IF($C2230="","",IFERROR(INDEX('Paramètres'!$H:$H,MATCH($C2230,'Paramètres'!$D:$D,0))&amp;"",""))</f>
        <v/>
      </c>
      <c r="T2230" s="6" t="str">
        <f>IF($K2230="","",IF($S2230="",0,IF(ISNUMBER(SEARCH("apport-exterieur",IFERROR(INDEX('Paramètres'!$N:$N,MATCH($D2230,'Paramètres'!$M:$M,0))&amp;"",""))),0,IF(OR(IFERROR(INDEX('Paramètres'!$I:$I,MATCH($C2230,'Paramètres'!$D:$D,0))&amp;"","")="Les deux",IFERROR(INDEX('Paramètres'!$I:$I,MATCH($C2230,'Paramètres'!$D:$D,0))&amp;"","")=IF($P2230=1,"Débit",$L2230)),-IF($P2230=1,-$K2230,$K2230),0))))</f>
        <v/>
      </c>
      <c r="U2230" s="6" t="str">
        <f>IF($K2230="","",IF(ISNUMBER(SEARCH("sortie-epargne",IFERROR(INDEX('Paramètres'!$N:$N,MATCH($D2230,'Paramètres'!$M:$M,0))&amp;"",""))),$K2230,0))</f>
        <v/>
      </c>
      <c r="V2230" s="6" t="str">
        <f>IF(AND($A2230&lt;&gt;"",$O2230=1,$L2230="Débit",N($Q2230)&gt;0,$A2230&gt;=Visualisation!$B$1,$A2230&lt;Visualisation!$D$1),MAX($V$1:V2229)+1,"")</f>
        <v/>
      </c>
    </row>
    <row r="2231" spans="1:22" x14ac:dyDescent="0.25">
      <c r="A2231" s="9"/>
      <c r="E2231" s="10"/>
      <c r="K2231" s="11" t="str">
        <f>IF($E2231="","",ROUND($E2231*IF(ISNA(MATCH($C2231,'Paramètres'!$D:$D,0)),1,IF(INDEX('Paramètres'!$J:$J,MATCH($C2231,'Paramètres'!$D:$D,0))="",1,INDEX('Paramètres'!$J:$J,MATCH($C2231,'Paramètres'!$D:$D,0)))),2))</f>
        <v/>
      </c>
      <c r="L2231" s="6" t="str">
        <f>IF($D2231="","",IF($F2231&lt;&gt;"",$F2231,IF(ISNA(MATCH($D2231,'Paramètres'!$M:$M,0)),"⚠ Type inconnu",IFERROR(INDEX('Paramètres'!$P:$P,MATCH($D2231,'Paramètres'!$M:$M,0))&amp;"",""))))</f>
        <v/>
      </c>
      <c r="M2231" s="6" t="str">
        <f>IF($D2231="","",IF(ISNA(MATCH($D2231,'Paramètres'!$M:$M,0)),"⚠ Type inconnu",IF($L2231="Crédit","",IFERROR(INDEX('Paramètres'!$O:$O,MATCH($D2231,'Paramètres'!$M:$M,0))&amp;"",""))))</f>
        <v/>
      </c>
      <c r="N2231" s="6" t="str">
        <f>IF($D2231="","",IFERROR(INDEX('Paramètres'!$Q:$Q,MATCH($D2231,'Paramètres'!$M:$M,0))&amp;"",""))</f>
        <v/>
      </c>
      <c r="O2231" s="6" t="str">
        <f>IF($A2231="","",IF(OR($J2231&lt;&gt;"x",$A2231&lt;=FinReleve),1,0))</f>
        <v/>
      </c>
      <c r="P2231" s="6" t="str">
        <f>IF($D2231="","",IF(AND($L2231="Crédit",OR(IFERROR(INDEX('Paramètres'!$O:$O,MATCH($D2231,'Paramètres'!$M:$M,0))&amp;"","")&lt;&gt;"",ISNUMBER(SEARCH("remboursement",IFERROR(INDEX('Paramètres'!$N:$N,MATCH($D2231,'Paramètres'!$M:$M,0))&amp;"",""))))),1,0))</f>
        <v/>
      </c>
      <c r="Q2231" s="6" t="str">
        <f>IF($K2231="","",IF(ISNUMBER(SEARCH("transfert-interne",IFERROR(INDEX('Paramètres'!$N:$N,MATCH($D2231,'Paramètres'!$M:$M,0))&amp;"",""))),0,IF($L2231="Débit",$K2231,IF($P2231=1,-$K2231,0))))</f>
        <v/>
      </c>
      <c r="R2231" s="6" t="str">
        <f>IF($K2231="","",IF($L2231="Crédit",$K2231,-$K2231))</f>
        <v/>
      </c>
      <c r="S2231" s="6" t="str">
        <f>IF($C2231="","",IFERROR(INDEX('Paramètres'!$H:$H,MATCH($C2231,'Paramètres'!$D:$D,0))&amp;"",""))</f>
        <v/>
      </c>
      <c r="T2231" s="6" t="str">
        <f>IF($K2231="","",IF($S2231="",0,IF(ISNUMBER(SEARCH("apport-exterieur",IFERROR(INDEX('Paramètres'!$N:$N,MATCH($D2231,'Paramètres'!$M:$M,0))&amp;"",""))),0,IF(OR(IFERROR(INDEX('Paramètres'!$I:$I,MATCH($C2231,'Paramètres'!$D:$D,0))&amp;"","")="Les deux",IFERROR(INDEX('Paramètres'!$I:$I,MATCH($C2231,'Paramètres'!$D:$D,0))&amp;"","")=IF($P2231=1,"Débit",$L2231)),-IF($P2231=1,-$K2231,$K2231),0))))</f>
        <v/>
      </c>
      <c r="U2231" s="6" t="str">
        <f>IF($K2231="","",IF(ISNUMBER(SEARCH("sortie-epargne",IFERROR(INDEX('Paramètres'!$N:$N,MATCH($D2231,'Paramètres'!$M:$M,0))&amp;"",""))),$K2231,0))</f>
        <v/>
      </c>
      <c r="V2231" s="6" t="str">
        <f>IF(AND($A2231&lt;&gt;"",$O2231=1,$L2231="Débit",N($Q2231)&gt;0,$A2231&gt;=Visualisation!$B$1,$A2231&lt;Visualisation!$D$1),MAX($V$1:V2230)+1,"")</f>
        <v/>
      </c>
    </row>
    <row r="2232" spans="1:22" x14ac:dyDescent="0.25">
      <c r="A2232" s="9"/>
      <c r="E2232" s="10"/>
      <c r="K2232" s="11" t="str">
        <f>IF($E2232="","",ROUND($E2232*IF(ISNA(MATCH($C2232,'Paramètres'!$D:$D,0)),1,IF(INDEX('Paramètres'!$J:$J,MATCH($C2232,'Paramètres'!$D:$D,0))="",1,INDEX('Paramètres'!$J:$J,MATCH($C2232,'Paramètres'!$D:$D,0)))),2))</f>
        <v/>
      </c>
      <c r="L2232" s="6" t="str">
        <f>IF($D2232="","",IF($F2232&lt;&gt;"",$F2232,IF(ISNA(MATCH($D2232,'Paramètres'!$M:$M,0)),"⚠ Type inconnu",IFERROR(INDEX('Paramètres'!$P:$P,MATCH($D2232,'Paramètres'!$M:$M,0))&amp;"",""))))</f>
        <v/>
      </c>
      <c r="M2232" s="6" t="str">
        <f>IF($D2232="","",IF(ISNA(MATCH($D2232,'Paramètres'!$M:$M,0)),"⚠ Type inconnu",IF($L2232="Crédit","",IFERROR(INDEX('Paramètres'!$O:$O,MATCH($D2232,'Paramètres'!$M:$M,0))&amp;"",""))))</f>
        <v/>
      </c>
      <c r="N2232" s="6" t="str">
        <f>IF($D2232="","",IFERROR(INDEX('Paramètres'!$Q:$Q,MATCH($D2232,'Paramètres'!$M:$M,0))&amp;"",""))</f>
        <v/>
      </c>
      <c r="O2232" s="6" t="str">
        <f>IF($A2232="","",IF(OR($J2232&lt;&gt;"x",$A2232&lt;=FinReleve),1,0))</f>
        <v/>
      </c>
      <c r="P2232" s="6" t="str">
        <f>IF($D2232="","",IF(AND($L2232="Crédit",OR(IFERROR(INDEX('Paramètres'!$O:$O,MATCH($D2232,'Paramètres'!$M:$M,0))&amp;"","")&lt;&gt;"",ISNUMBER(SEARCH("remboursement",IFERROR(INDEX('Paramètres'!$N:$N,MATCH($D2232,'Paramètres'!$M:$M,0))&amp;"",""))))),1,0))</f>
        <v/>
      </c>
      <c r="Q2232" s="6" t="str">
        <f>IF($K2232="","",IF(ISNUMBER(SEARCH("transfert-interne",IFERROR(INDEX('Paramètres'!$N:$N,MATCH($D2232,'Paramètres'!$M:$M,0))&amp;"",""))),0,IF($L2232="Débit",$K2232,IF($P2232=1,-$K2232,0))))</f>
        <v/>
      </c>
      <c r="R2232" s="6" t="str">
        <f>IF($K2232="","",IF($L2232="Crédit",$K2232,-$K2232))</f>
        <v/>
      </c>
      <c r="S2232" s="6" t="str">
        <f>IF($C2232="","",IFERROR(INDEX('Paramètres'!$H:$H,MATCH($C2232,'Paramètres'!$D:$D,0))&amp;"",""))</f>
        <v/>
      </c>
      <c r="T2232" s="6" t="str">
        <f>IF($K2232="","",IF($S2232="",0,IF(ISNUMBER(SEARCH("apport-exterieur",IFERROR(INDEX('Paramètres'!$N:$N,MATCH($D2232,'Paramètres'!$M:$M,0))&amp;"",""))),0,IF(OR(IFERROR(INDEX('Paramètres'!$I:$I,MATCH($C2232,'Paramètres'!$D:$D,0))&amp;"","")="Les deux",IFERROR(INDEX('Paramètres'!$I:$I,MATCH($C2232,'Paramètres'!$D:$D,0))&amp;"","")=IF($P2232=1,"Débit",$L2232)),-IF($P2232=1,-$K2232,$K2232),0))))</f>
        <v/>
      </c>
      <c r="U2232" s="6" t="str">
        <f>IF($K2232="","",IF(ISNUMBER(SEARCH("sortie-epargne",IFERROR(INDEX('Paramètres'!$N:$N,MATCH($D2232,'Paramètres'!$M:$M,0))&amp;"",""))),$K2232,0))</f>
        <v/>
      </c>
      <c r="V2232" s="6" t="str">
        <f>IF(AND($A2232&lt;&gt;"",$O2232=1,$L2232="Débit",N($Q2232)&gt;0,$A2232&gt;=Visualisation!$B$1,$A2232&lt;Visualisation!$D$1),MAX($V$1:V2231)+1,"")</f>
        <v/>
      </c>
    </row>
    <row r="2233" spans="1:22" x14ac:dyDescent="0.25">
      <c r="A2233" s="9"/>
      <c r="E2233" s="10"/>
      <c r="K2233" s="11" t="str">
        <f>IF($E2233="","",ROUND($E2233*IF(ISNA(MATCH($C2233,'Paramètres'!$D:$D,0)),1,IF(INDEX('Paramètres'!$J:$J,MATCH($C2233,'Paramètres'!$D:$D,0))="",1,INDEX('Paramètres'!$J:$J,MATCH($C2233,'Paramètres'!$D:$D,0)))),2))</f>
        <v/>
      </c>
      <c r="L2233" s="6" t="str">
        <f>IF($D2233="","",IF($F2233&lt;&gt;"",$F2233,IF(ISNA(MATCH($D2233,'Paramètres'!$M:$M,0)),"⚠ Type inconnu",IFERROR(INDEX('Paramètres'!$P:$P,MATCH($D2233,'Paramètres'!$M:$M,0))&amp;"",""))))</f>
        <v/>
      </c>
      <c r="M2233" s="6" t="str">
        <f>IF($D2233="","",IF(ISNA(MATCH($D2233,'Paramètres'!$M:$M,0)),"⚠ Type inconnu",IF($L2233="Crédit","",IFERROR(INDEX('Paramètres'!$O:$O,MATCH($D2233,'Paramètres'!$M:$M,0))&amp;"",""))))</f>
        <v/>
      </c>
      <c r="N2233" s="6" t="str">
        <f>IF($D2233="","",IFERROR(INDEX('Paramètres'!$Q:$Q,MATCH($D2233,'Paramètres'!$M:$M,0))&amp;"",""))</f>
        <v/>
      </c>
      <c r="O2233" s="6" t="str">
        <f>IF($A2233="","",IF(OR($J2233&lt;&gt;"x",$A2233&lt;=FinReleve),1,0))</f>
        <v/>
      </c>
      <c r="P2233" s="6" t="str">
        <f>IF($D2233="","",IF(AND($L2233="Crédit",OR(IFERROR(INDEX('Paramètres'!$O:$O,MATCH($D2233,'Paramètres'!$M:$M,0))&amp;"","")&lt;&gt;"",ISNUMBER(SEARCH("remboursement",IFERROR(INDEX('Paramètres'!$N:$N,MATCH($D2233,'Paramètres'!$M:$M,0))&amp;"",""))))),1,0))</f>
        <v/>
      </c>
      <c r="Q2233" s="6" t="str">
        <f>IF($K2233="","",IF(ISNUMBER(SEARCH("transfert-interne",IFERROR(INDEX('Paramètres'!$N:$N,MATCH($D2233,'Paramètres'!$M:$M,0))&amp;"",""))),0,IF($L2233="Débit",$K2233,IF($P2233=1,-$K2233,0))))</f>
        <v/>
      </c>
      <c r="R2233" s="6" t="str">
        <f>IF($K2233="","",IF($L2233="Crédit",$K2233,-$K2233))</f>
        <v/>
      </c>
      <c r="S2233" s="6" t="str">
        <f>IF($C2233="","",IFERROR(INDEX('Paramètres'!$H:$H,MATCH($C2233,'Paramètres'!$D:$D,0))&amp;"",""))</f>
        <v/>
      </c>
      <c r="T2233" s="6" t="str">
        <f>IF($K2233="","",IF($S2233="",0,IF(ISNUMBER(SEARCH("apport-exterieur",IFERROR(INDEX('Paramètres'!$N:$N,MATCH($D2233,'Paramètres'!$M:$M,0))&amp;"",""))),0,IF(OR(IFERROR(INDEX('Paramètres'!$I:$I,MATCH($C2233,'Paramètres'!$D:$D,0))&amp;"","")="Les deux",IFERROR(INDEX('Paramètres'!$I:$I,MATCH($C2233,'Paramètres'!$D:$D,0))&amp;"","")=IF($P2233=1,"Débit",$L2233)),-IF($P2233=1,-$K2233,$K2233),0))))</f>
        <v/>
      </c>
      <c r="U2233" s="6" t="str">
        <f>IF($K2233="","",IF(ISNUMBER(SEARCH("sortie-epargne",IFERROR(INDEX('Paramètres'!$N:$N,MATCH($D2233,'Paramètres'!$M:$M,0))&amp;"",""))),$K2233,0))</f>
        <v/>
      </c>
      <c r="V2233" s="6" t="str">
        <f>IF(AND($A2233&lt;&gt;"",$O2233=1,$L2233="Débit",N($Q2233)&gt;0,$A2233&gt;=Visualisation!$B$1,$A2233&lt;Visualisation!$D$1),MAX($V$1:V2232)+1,"")</f>
        <v/>
      </c>
    </row>
    <row r="2234" spans="1:22" x14ac:dyDescent="0.25">
      <c r="A2234" s="9"/>
      <c r="E2234" s="10"/>
      <c r="K2234" s="11" t="str">
        <f>IF($E2234="","",ROUND($E2234*IF(ISNA(MATCH($C2234,'Paramètres'!$D:$D,0)),1,IF(INDEX('Paramètres'!$J:$J,MATCH($C2234,'Paramètres'!$D:$D,0))="",1,INDEX('Paramètres'!$J:$J,MATCH($C2234,'Paramètres'!$D:$D,0)))),2))</f>
        <v/>
      </c>
      <c r="L2234" s="6" t="str">
        <f>IF($D2234="","",IF($F2234&lt;&gt;"",$F2234,IF(ISNA(MATCH($D2234,'Paramètres'!$M:$M,0)),"⚠ Type inconnu",IFERROR(INDEX('Paramètres'!$P:$P,MATCH($D2234,'Paramètres'!$M:$M,0))&amp;"",""))))</f>
        <v/>
      </c>
      <c r="M2234" s="6" t="str">
        <f>IF($D2234="","",IF(ISNA(MATCH($D2234,'Paramètres'!$M:$M,0)),"⚠ Type inconnu",IF($L2234="Crédit","",IFERROR(INDEX('Paramètres'!$O:$O,MATCH($D2234,'Paramètres'!$M:$M,0))&amp;"",""))))</f>
        <v/>
      </c>
      <c r="N2234" s="6" t="str">
        <f>IF($D2234="","",IFERROR(INDEX('Paramètres'!$Q:$Q,MATCH($D2234,'Paramètres'!$M:$M,0))&amp;"",""))</f>
        <v/>
      </c>
      <c r="O2234" s="6" t="str">
        <f>IF($A2234="","",IF(OR($J2234&lt;&gt;"x",$A2234&lt;=FinReleve),1,0))</f>
        <v/>
      </c>
      <c r="P2234" s="6" t="str">
        <f>IF($D2234="","",IF(AND($L2234="Crédit",OR(IFERROR(INDEX('Paramètres'!$O:$O,MATCH($D2234,'Paramètres'!$M:$M,0))&amp;"","")&lt;&gt;"",ISNUMBER(SEARCH("remboursement",IFERROR(INDEX('Paramètres'!$N:$N,MATCH($D2234,'Paramètres'!$M:$M,0))&amp;"",""))))),1,0))</f>
        <v/>
      </c>
      <c r="Q2234" s="6" t="str">
        <f>IF($K2234="","",IF(ISNUMBER(SEARCH("transfert-interne",IFERROR(INDEX('Paramètres'!$N:$N,MATCH($D2234,'Paramètres'!$M:$M,0))&amp;"",""))),0,IF($L2234="Débit",$K2234,IF($P2234=1,-$K2234,0))))</f>
        <v/>
      </c>
      <c r="R2234" s="6" t="str">
        <f>IF($K2234="","",IF($L2234="Crédit",$K2234,-$K2234))</f>
        <v/>
      </c>
      <c r="S2234" s="6" t="str">
        <f>IF($C2234="","",IFERROR(INDEX('Paramètres'!$H:$H,MATCH($C2234,'Paramètres'!$D:$D,0))&amp;"",""))</f>
        <v/>
      </c>
      <c r="T2234" s="6" t="str">
        <f>IF($K2234="","",IF($S2234="",0,IF(ISNUMBER(SEARCH("apport-exterieur",IFERROR(INDEX('Paramètres'!$N:$N,MATCH($D2234,'Paramètres'!$M:$M,0))&amp;"",""))),0,IF(OR(IFERROR(INDEX('Paramètres'!$I:$I,MATCH($C2234,'Paramètres'!$D:$D,0))&amp;"","")="Les deux",IFERROR(INDEX('Paramètres'!$I:$I,MATCH($C2234,'Paramètres'!$D:$D,0))&amp;"","")=IF($P2234=1,"Débit",$L2234)),-IF($P2234=1,-$K2234,$K2234),0))))</f>
        <v/>
      </c>
      <c r="U2234" s="6" t="str">
        <f>IF($K2234="","",IF(ISNUMBER(SEARCH("sortie-epargne",IFERROR(INDEX('Paramètres'!$N:$N,MATCH($D2234,'Paramètres'!$M:$M,0))&amp;"",""))),$K2234,0))</f>
        <v/>
      </c>
      <c r="V2234" s="6" t="str">
        <f>IF(AND($A2234&lt;&gt;"",$O2234=1,$L2234="Débit",N($Q2234)&gt;0,$A2234&gt;=Visualisation!$B$1,$A2234&lt;Visualisation!$D$1),MAX($V$1:V2233)+1,"")</f>
        <v/>
      </c>
    </row>
    <row r="2235" spans="1:22" x14ac:dyDescent="0.25">
      <c r="A2235" s="9"/>
      <c r="E2235" s="10"/>
      <c r="K2235" s="11" t="str">
        <f>IF($E2235="","",ROUND($E2235*IF(ISNA(MATCH($C2235,'Paramètres'!$D:$D,0)),1,IF(INDEX('Paramètres'!$J:$J,MATCH($C2235,'Paramètres'!$D:$D,0))="",1,INDEX('Paramètres'!$J:$J,MATCH($C2235,'Paramètres'!$D:$D,0)))),2))</f>
        <v/>
      </c>
      <c r="L2235" s="6" t="str">
        <f>IF($D2235="","",IF($F2235&lt;&gt;"",$F2235,IF(ISNA(MATCH($D2235,'Paramètres'!$M:$M,0)),"⚠ Type inconnu",IFERROR(INDEX('Paramètres'!$P:$P,MATCH($D2235,'Paramètres'!$M:$M,0))&amp;"",""))))</f>
        <v/>
      </c>
      <c r="M2235" s="6" t="str">
        <f>IF($D2235="","",IF(ISNA(MATCH($D2235,'Paramètres'!$M:$M,0)),"⚠ Type inconnu",IF($L2235="Crédit","",IFERROR(INDEX('Paramètres'!$O:$O,MATCH($D2235,'Paramètres'!$M:$M,0))&amp;"",""))))</f>
        <v/>
      </c>
      <c r="N2235" s="6" t="str">
        <f>IF($D2235="","",IFERROR(INDEX('Paramètres'!$Q:$Q,MATCH($D2235,'Paramètres'!$M:$M,0))&amp;"",""))</f>
        <v/>
      </c>
      <c r="O2235" s="6" t="str">
        <f>IF($A2235="","",IF(OR($J2235&lt;&gt;"x",$A2235&lt;=FinReleve),1,0))</f>
        <v/>
      </c>
      <c r="P2235" s="6" t="str">
        <f>IF($D2235="","",IF(AND($L2235="Crédit",OR(IFERROR(INDEX('Paramètres'!$O:$O,MATCH($D2235,'Paramètres'!$M:$M,0))&amp;"","")&lt;&gt;"",ISNUMBER(SEARCH("remboursement",IFERROR(INDEX('Paramètres'!$N:$N,MATCH($D2235,'Paramètres'!$M:$M,0))&amp;"",""))))),1,0))</f>
        <v/>
      </c>
      <c r="Q2235" s="6" t="str">
        <f>IF($K2235="","",IF(ISNUMBER(SEARCH("transfert-interne",IFERROR(INDEX('Paramètres'!$N:$N,MATCH($D2235,'Paramètres'!$M:$M,0))&amp;"",""))),0,IF($L2235="Débit",$K2235,IF($P2235=1,-$K2235,0))))</f>
        <v/>
      </c>
      <c r="R2235" s="6" t="str">
        <f>IF($K2235="","",IF($L2235="Crédit",$K2235,-$K2235))</f>
        <v/>
      </c>
      <c r="S2235" s="6" t="str">
        <f>IF($C2235="","",IFERROR(INDEX('Paramètres'!$H:$H,MATCH($C2235,'Paramètres'!$D:$D,0))&amp;"",""))</f>
        <v/>
      </c>
      <c r="T2235" s="6" t="str">
        <f>IF($K2235="","",IF($S2235="",0,IF(ISNUMBER(SEARCH("apport-exterieur",IFERROR(INDEX('Paramètres'!$N:$N,MATCH($D2235,'Paramètres'!$M:$M,0))&amp;"",""))),0,IF(OR(IFERROR(INDEX('Paramètres'!$I:$I,MATCH($C2235,'Paramètres'!$D:$D,0))&amp;"","")="Les deux",IFERROR(INDEX('Paramètres'!$I:$I,MATCH($C2235,'Paramètres'!$D:$D,0))&amp;"","")=IF($P2235=1,"Débit",$L2235)),-IF($P2235=1,-$K2235,$K2235),0))))</f>
        <v/>
      </c>
      <c r="U2235" s="6" t="str">
        <f>IF($K2235="","",IF(ISNUMBER(SEARCH("sortie-epargne",IFERROR(INDEX('Paramètres'!$N:$N,MATCH($D2235,'Paramètres'!$M:$M,0))&amp;"",""))),$K2235,0))</f>
        <v/>
      </c>
      <c r="V2235" s="6" t="str">
        <f>IF(AND($A2235&lt;&gt;"",$O2235=1,$L2235="Débit",N($Q2235)&gt;0,$A2235&gt;=Visualisation!$B$1,$A2235&lt;Visualisation!$D$1),MAX($V$1:V2234)+1,"")</f>
        <v/>
      </c>
    </row>
    <row r="2236" spans="1:22" x14ac:dyDescent="0.25">
      <c r="A2236" s="9"/>
      <c r="E2236" s="10"/>
      <c r="K2236" s="11" t="str">
        <f>IF($E2236="","",ROUND($E2236*IF(ISNA(MATCH($C2236,'Paramètres'!$D:$D,0)),1,IF(INDEX('Paramètres'!$J:$J,MATCH($C2236,'Paramètres'!$D:$D,0))="",1,INDEX('Paramètres'!$J:$J,MATCH($C2236,'Paramètres'!$D:$D,0)))),2))</f>
        <v/>
      </c>
      <c r="L2236" s="6" t="str">
        <f>IF($D2236="","",IF($F2236&lt;&gt;"",$F2236,IF(ISNA(MATCH($D2236,'Paramètres'!$M:$M,0)),"⚠ Type inconnu",IFERROR(INDEX('Paramètres'!$P:$P,MATCH($D2236,'Paramètres'!$M:$M,0))&amp;"",""))))</f>
        <v/>
      </c>
      <c r="M2236" s="6" t="str">
        <f>IF($D2236="","",IF(ISNA(MATCH($D2236,'Paramètres'!$M:$M,0)),"⚠ Type inconnu",IF($L2236="Crédit","",IFERROR(INDEX('Paramètres'!$O:$O,MATCH($D2236,'Paramètres'!$M:$M,0))&amp;"",""))))</f>
        <v/>
      </c>
      <c r="N2236" s="6" t="str">
        <f>IF($D2236="","",IFERROR(INDEX('Paramètres'!$Q:$Q,MATCH($D2236,'Paramètres'!$M:$M,0))&amp;"",""))</f>
        <v/>
      </c>
      <c r="O2236" s="6" t="str">
        <f>IF($A2236="","",IF(OR($J2236&lt;&gt;"x",$A2236&lt;=FinReleve),1,0))</f>
        <v/>
      </c>
      <c r="P2236" s="6" t="str">
        <f>IF($D2236="","",IF(AND($L2236="Crédit",OR(IFERROR(INDEX('Paramètres'!$O:$O,MATCH($D2236,'Paramètres'!$M:$M,0))&amp;"","")&lt;&gt;"",ISNUMBER(SEARCH("remboursement",IFERROR(INDEX('Paramètres'!$N:$N,MATCH($D2236,'Paramètres'!$M:$M,0))&amp;"",""))))),1,0))</f>
        <v/>
      </c>
      <c r="Q2236" s="6" t="str">
        <f>IF($K2236="","",IF(ISNUMBER(SEARCH("transfert-interne",IFERROR(INDEX('Paramètres'!$N:$N,MATCH($D2236,'Paramètres'!$M:$M,0))&amp;"",""))),0,IF($L2236="Débit",$K2236,IF($P2236=1,-$K2236,0))))</f>
        <v/>
      </c>
      <c r="R2236" s="6" t="str">
        <f>IF($K2236="","",IF($L2236="Crédit",$K2236,-$K2236))</f>
        <v/>
      </c>
      <c r="S2236" s="6" t="str">
        <f>IF($C2236="","",IFERROR(INDEX('Paramètres'!$H:$H,MATCH($C2236,'Paramètres'!$D:$D,0))&amp;"",""))</f>
        <v/>
      </c>
      <c r="T2236" s="6" t="str">
        <f>IF($K2236="","",IF($S2236="",0,IF(ISNUMBER(SEARCH("apport-exterieur",IFERROR(INDEX('Paramètres'!$N:$N,MATCH($D2236,'Paramètres'!$M:$M,0))&amp;"",""))),0,IF(OR(IFERROR(INDEX('Paramètres'!$I:$I,MATCH($C2236,'Paramètres'!$D:$D,0))&amp;"","")="Les deux",IFERROR(INDEX('Paramètres'!$I:$I,MATCH($C2236,'Paramètres'!$D:$D,0))&amp;"","")=IF($P2236=1,"Débit",$L2236)),-IF($P2236=1,-$K2236,$K2236),0))))</f>
        <v/>
      </c>
      <c r="U2236" s="6" t="str">
        <f>IF($K2236="","",IF(ISNUMBER(SEARCH("sortie-epargne",IFERROR(INDEX('Paramètres'!$N:$N,MATCH($D2236,'Paramètres'!$M:$M,0))&amp;"",""))),$K2236,0))</f>
        <v/>
      </c>
      <c r="V2236" s="6" t="str">
        <f>IF(AND($A2236&lt;&gt;"",$O2236=1,$L2236="Débit",N($Q2236)&gt;0,$A2236&gt;=Visualisation!$B$1,$A2236&lt;Visualisation!$D$1),MAX($V$1:V2235)+1,"")</f>
        <v/>
      </c>
    </row>
    <row r="2237" spans="1:22" x14ac:dyDescent="0.25">
      <c r="A2237" s="9"/>
      <c r="E2237" s="10"/>
      <c r="K2237" s="11" t="str">
        <f>IF($E2237="","",ROUND($E2237*IF(ISNA(MATCH($C2237,'Paramètres'!$D:$D,0)),1,IF(INDEX('Paramètres'!$J:$J,MATCH($C2237,'Paramètres'!$D:$D,0))="",1,INDEX('Paramètres'!$J:$J,MATCH($C2237,'Paramètres'!$D:$D,0)))),2))</f>
        <v/>
      </c>
      <c r="L2237" s="6" t="str">
        <f>IF($D2237="","",IF($F2237&lt;&gt;"",$F2237,IF(ISNA(MATCH($D2237,'Paramètres'!$M:$M,0)),"⚠ Type inconnu",IFERROR(INDEX('Paramètres'!$P:$P,MATCH($D2237,'Paramètres'!$M:$M,0))&amp;"",""))))</f>
        <v/>
      </c>
      <c r="M2237" s="6" t="str">
        <f>IF($D2237="","",IF(ISNA(MATCH($D2237,'Paramètres'!$M:$M,0)),"⚠ Type inconnu",IF($L2237="Crédit","",IFERROR(INDEX('Paramètres'!$O:$O,MATCH($D2237,'Paramètres'!$M:$M,0))&amp;"",""))))</f>
        <v/>
      </c>
      <c r="N2237" s="6" t="str">
        <f>IF($D2237="","",IFERROR(INDEX('Paramètres'!$Q:$Q,MATCH($D2237,'Paramètres'!$M:$M,0))&amp;"",""))</f>
        <v/>
      </c>
      <c r="O2237" s="6" t="str">
        <f>IF($A2237="","",IF(OR($J2237&lt;&gt;"x",$A2237&lt;=FinReleve),1,0))</f>
        <v/>
      </c>
      <c r="P2237" s="6" t="str">
        <f>IF($D2237="","",IF(AND($L2237="Crédit",OR(IFERROR(INDEX('Paramètres'!$O:$O,MATCH($D2237,'Paramètres'!$M:$M,0))&amp;"","")&lt;&gt;"",ISNUMBER(SEARCH("remboursement",IFERROR(INDEX('Paramètres'!$N:$N,MATCH($D2237,'Paramètres'!$M:$M,0))&amp;"",""))))),1,0))</f>
        <v/>
      </c>
      <c r="Q2237" s="6" t="str">
        <f>IF($K2237="","",IF(ISNUMBER(SEARCH("transfert-interne",IFERROR(INDEX('Paramètres'!$N:$N,MATCH($D2237,'Paramètres'!$M:$M,0))&amp;"",""))),0,IF($L2237="Débit",$K2237,IF($P2237=1,-$K2237,0))))</f>
        <v/>
      </c>
      <c r="R2237" s="6" t="str">
        <f>IF($K2237="","",IF($L2237="Crédit",$K2237,-$K2237))</f>
        <v/>
      </c>
      <c r="S2237" s="6" t="str">
        <f>IF($C2237="","",IFERROR(INDEX('Paramètres'!$H:$H,MATCH($C2237,'Paramètres'!$D:$D,0))&amp;"",""))</f>
        <v/>
      </c>
      <c r="T2237" s="6" t="str">
        <f>IF($K2237="","",IF($S2237="",0,IF(ISNUMBER(SEARCH("apport-exterieur",IFERROR(INDEX('Paramètres'!$N:$N,MATCH($D2237,'Paramètres'!$M:$M,0))&amp;"",""))),0,IF(OR(IFERROR(INDEX('Paramètres'!$I:$I,MATCH($C2237,'Paramètres'!$D:$D,0))&amp;"","")="Les deux",IFERROR(INDEX('Paramètres'!$I:$I,MATCH($C2237,'Paramètres'!$D:$D,0))&amp;"","")=IF($P2237=1,"Débit",$L2237)),-IF($P2237=1,-$K2237,$K2237),0))))</f>
        <v/>
      </c>
      <c r="U2237" s="6" t="str">
        <f>IF($K2237="","",IF(ISNUMBER(SEARCH("sortie-epargne",IFERROR(INDEX('Paramètres'!$N:$N,MATCH($D2237,'Paramètres'!$M:$M,0))&amp;"",""))),$K2237,0))</f>
        <v/>
      </c>
      <c r="V2237" s="6" t="str">
        <f>IF(AND($A2237&lt;&gt;"",$O2237=1,$L2237="Débit",N($Q2237)&gt;0,$A2237&gt;=Visualisation!$B$1,$A2237&lt;Visualisation!$D$1),MAX($V$1:V2236)+1,"")</f>
        <v/>
      </c>
    </row>
    <row r="2238" spans="1:22" x14ac:dyDescent="0.25">
      <c r="A2238" s="9"/>
      <c r="E2238" s="10"/>
      <c r="K2238" s="11" t="str">
        <f>IF($E2238="","",ROUND($E2238*IF(ISNA(MATCH($C2238,'Paramètres'!$D:$D,0)),1,IF(INDEX('Paramètres'!$J:$J,MATCH($C2238,'Paramètres'!$D:$D,0))="",1,INDEX('Paramètres'!$J:$J,MATCH($C2238,'Paramètres'!$D:$D,0)))),2))</f>
        <v/>
      </c>
      <c r="L2238" s="6" t="str">
        <f>IF($D2238="","",IF($F2238&lt;&gt;"",$F2238,IF(ISNA(MATCH($D2238,'Paramètres'!$M:$M,0)),"⚠ Type inconnu",IFERROR(INDEX('Paramètres'!$P:$P,MATCH($D2238,'Paramètres'!$M:$M,0))&amp;"",""))))</f>
        <v/>
      </c>
      <c r="M2238" s="6" t="str">
        <f>IF($D2238="","",IF(ISNA(MATCH($D2238,'Paramètres'!$M:$M,0)),"⚠ Type inconnu",IF($L2238="Crédit","",IFERROR(INDEX('Paramètres'!$O:$O,MATCH($D2238,'Paramètres'!$M:$M,0))&amp;"",""))))</f>
        <v/>
      </c>
      <c r="N2238" s="6" t="str">
        <f>IF($D2238="","",IFERROR(INDEX('Paramètres'!$Q:$Q,MATCH($D2238,'Paramètres'!$M:$M,0))&amp;"",""))</f>
        <v/>
      </c>
      <c r="O2238" s="6" t="str">
        <f>IF($A2238="","",IF(OR($J2238&lt;&gt;"x",$A2238&lt;=FinReleve),1,0))</f>
        <v/>
      </c>
      <c r="P2238" s="6" t="str">
        <f>IF($D2238="","",IF(AND($L2238="Crédit",OR(IFERROR(INDEX('Paramètres'!$O:$O,MATCH($D2238,'Paramètres'!$M:$M,0))&amp;"","")&lt;&gt;"",ISNUMBER(SEARCH("remboursement",IFERROR(INDEX('Paramètres'!$N:$N,MATCH($D2238,'Paramètres'!$M:$M,0))&amp;"",""))))),1,0))</f>
        <v/>
      </c>
      <c r="Q2238" s="6" t="str">
        <f>IF($K2238="","",IF(ISNUMBER(SEARCH("transfert-interne",IFERROR(INDEX('Paramètres'!$N:$N,MATCH($D2238,'Paramètres'!$M:$M,0))&amp;"",""))),0,IF($L2238="Débit",$K2238,IF($P2238=1,-$K2238,0))))</f>
        <v/>
      </c>
      <c r="R2238" s="6" t="str">
        <f>IF($K2238="","",IF($L2238="Crédit",$K2238,-$K2238))</f>
        <v/>
      </c>
      <c r="S2238" s="6" t="str">
        <f>IF($C2238="","",IFERROR(INDEX('Paramètres'!$H:$H,MATCH($C2238,'Paramètres'!$D:$D,0))&amp;"",""))</f>
        <v/>
      </c>
      <c r="T2238" s="6" t="str">
        <f>IF($K2238="","",IF($S2238="",0,IF(ISNUMBER(SEARCH("apport-exterieur",IFERROR(INDEX('Paramètres'!$N:$N,MATCH($D2238,'Paramètres'!$M:$M,0))&amp;"",""))),0,IF(OR(IFERROR(INDEX('Paramètres'!$I:$I,MATCH($C2238,'Paramètres'!$D:$D,0))&amp;"","")="Les deux",IFERROR(INDEX('Paramètres'!$I:$I,MATCH($C2238,'Paramètres'!$D:$D,0))&amp;"","")=IF($P2238=1,"Débit",$L2238)),-IF($P2238=1,-$K2238,$K2238),0))))</f>
        <v/>
      </c>
      <c r="U2238" s="6" t="str">
        <f>IF($K2238="","",IF(ISNUMBER(SEARCH("sortie-epargne",IFERROR(INDEX('Paramètres'!$N:$N,MATCH($D2238,'Paramètres'!$M:$M,0))&amp;"",""))),$K2238,0))</f>
        <v/>
      </c>
      <c r="V2238" s="6" t="str">
        <f>IF(AND($A2238&lt;&gt;"",$O2238=1,$L2238="Débit",N($Q2238)&gt;0,$A2238&gt;=Visualisation!$B$1,$A2238&lt;Visualisation!$D$1),MAX($V$1:V2237)+1,"")</f>
        <v/>
      </c>
    </row>
    <row r="2239" spans="1:22" x14ac:dyDescent="0.25">
      <c r="A2239" s="9"/>
      <c r="E2239" s="10"/>
      <c r="K2239" s="11" t="str">
        <f>IF($E2239="","",ROUND($E2239*IF(ISNA(MATCH($C2239,'Paramètres'!$D:$D,0)),1,IF(INDEX('Paramètres'!$J:$J,MATCH($C2239,'Paramètres'!$D:$D,0))="",1,INDEX('Paramètres'!$J:$J,MATCH($C2239,'Paramètres'!$D:$D,0)))),2))</f>
        <v/>
      </c>
      <c r="L2239" s="6" t="str">
        <f>IF($D2239="","",IF($F2239&lt;&gt;"",$F2239,IF(ISNA(MATCH($D2239,'Paramètres'!$M:$M,0)),"⚠ Type inconnu",IFERROR(INDEX('Paramètres'!$P:$P,MATCH($D2239,'Paramètres'!$M:$M,0))&amp;"",""))))</f>
        <v/>
      </c>
      <c r="M2239" s="6" t="str">
        <f>IF($D2239="","",IF(ISNA(MATCH($D2239,'Paramètres'!$M:$M,0)),"⚠ Type inconnu",IF($L2239="Crédit","",IFERROR(INDEX('Paramètres'!$O:$O,MATCH($D2239,'Paramètres'!$M:$M,0))&amp;"",""))))</f>
        <v/>
      </c>
      <c r="N2239" s="6" t="str">
        <f>IF($D2239="","",IFERROR(INDEX('Paramètres'!$Q:$Q,MATCH($D2239,'Paramètres'!$M:$M,0))&amp;"",""))</f>
        <v/>
      </c>
      <c r="O2239" s="6" t="str">
        <f>IF($A2239="","",IF(OR($J2239&lt;&gt;"x",$A2239&lt;=FinReleve),1,0))</f>
        <v/>
      </c>
      <c r="P2239" s="6" t="str">
        <f>IF($D2239="","",IF(AND($L2239="Crédit",OR(IFERROR(INDEX('Paramètres'!$O:$O,MATCH($D2239,'Paramètres'!$M:$M,0))&amp;"","")&lt;&gt;"",ISNUMBER(SEARCH("remboursement",IFERROR(INDEX('Paramètres'!$N:$N,MATCH($D2239,'Paramètres'!$M:$M,0))&amp;"",""))))),1,0))</f>
        <v/>
      </c>
      <c r="Q2239" s="6" t="str">
        <f>IF($K2239="","",IF(ISNUMBER(SEARCH("transfert-interne",IFERROR(INDEX('Paramètres'!$N:$N,MATCH($D2239,'Paramètres'!$M:$M,0))&amp;"",""))),0,IF($L2239="Débit",$K2239,IF($P2239=1,-$K2239,0))))</f>
        <v/>
      </c>
      <c r="R2239" s="6" t="str">
        <f>IF($K2239="","",IF($L2239="Crédit",$K2239,-$K2239))</f>
        <v/>
      </c>
      <c r="S2239" s="6" t="str">
        <f>IF($C2239="","",IFERROR(INDEX('Paramètres'!$H:$H,MATCH($C2239,'Paramètres'!$D:$D,0))&amp;"",""))</f>
        <v/>
      </c>
      <c r="T2239" s="6" t="str">
        <f>IF($K2239="","",IF($S2239="",0,IF(ISNUMBER(SEARCH("apport-exterieur",IFERROR(INDEX('Paramètres'!$N:$N,MATCH($D2239,'Paramètres'!$M:$M,0))&amp;"",""))),0,IF(OR(IFERROR(INDEX('Paramètres'!$I:$I,MATCH($C2239,'Paramètres'!$D:$D,0))&amp;"","")="Les deux",IFERROR(INDEX('Paramètres'!$I:$I,MATCH($C2239,'Paramètres'!$D:$D,0))&amp;"","")=IF($P2239=1,"Débit",$L2239)),-IF($P2239=1,-$K2239,$K2239),0))))</f>
        <v/>
      </c>
      <c r="U2239" s="6" t="str">
        <f>IF($K2239="","",IF(ISNUMBER(SEARCH("sortie-epargne",IFERROR(INDEX('Paramètres'!$N:$N,MATCH($D2239,'Paramètres'!$M:$M,0))&amp;"",""))),$K2239,0))</f>
        <v/>
      </c>
      <c r="V2239" s="6" t="str">
        <f>IF(AND($A2239&lt;&gt;"",$O2239=1,$L2239="Débit",N($Q2239)&gt;0,$A2239&gt;=Visualisation!$B$1,$A2239&lt;Visualisation!$D$1),MAX($V$1:V2238)+1,"")</f>
        <v/>
      </c>
    </row>
    <row r="2240" spans="1:22" x14ac:dyDescent="0.25">
      <c r="A2240" s="9"/>
      <c r="E2240" s="10"/>
      <c r="K2240" s="11" t="str">
        <f>IF($E2240="","",ROUND($E2240*IF(ISNA(MATCH($C2240,'Paramètres'!$D:$D,0)),1,IF(INDEX('Paramètres'!$J:$J,MATCH($C2240,'Paramètres'!$D:$D,0))="",1,INDEX('Paramètres'!$J:$J,MATCH($C2240,'Paramètres'!$D:$D,0)))),2))</f>
        <v/>
      </c>
      <c r="L2240" s="6" t="str">
        <f>IF($D2240="","",IF($F2240&lt;&gt;"",$F2240,IF(ISNA(MATCH($D2240,'Paramètres'!$M:$M,0)),"⚠ Type inconnu",IFERROR(INDEX('Paramètres'!$P:$P,MATCH($D2240,'Paramètres'!$M:$M,0))&amp;"",""))))</f>
        <v/>
      </c>
      <c r="M2240" s="6" t="str">
        <f>IF($D2240="","",IF(ISNA(MATCH($D2240,'Paramètres'!$M:$M,0)),"⚠ Type inconnu",IF($L2240="Crédit","",IFERROR(INDEX('Paramètres'!$O:$O,MATCH($D2240,'Paramètres'!$M:$M,0))&amp;"",""))))</f>
        <v/>
      </c>
      <c r="N2240" s="6" t="str">
        <f>IF($D2240="","",IFERROR(INDEX('Paramètres'!$Q:$Q,MATCH($D2240,'Paramètres'!$M:$M,0))&amp;"",""))</f>
        <v/>
      </c>
      <c r="O2240" s="6" t="str">
        <f>IF($A2240="","",IF(OR($J2240&lt;&gt;"x",$A2240&lt;=FinReleve),1,0))</f>
        <v/>
      </c>
      <c r="P2240" s="6" t="str">
        <f>IF($D2240="","",IF(AND($L2240="Crédit",OR(IFERROR(INDEX('Paramètres'!$O:$O,MATCH($D2240,'Paramètres'!$M:$M,0))&amp;"","")&lt;&gt;"",ISNUMBER(SEARCH("remboursement",IFERROR(INDEX('Paramètres'!$N:$N,MATCH($D2240,'Paramètres'!$M:$M,0))&amp;"",""))))),1,0))</f>
        <v/>
      </c>
      <c r="Q2240" s="6" t="str">
        <f>IF($K2240="","",IF(ISNUMBER(SEARCH("transfert-interne",IFERROR(INDEX('Paramètres'!$N:$N,MATCH($D2240,'Paramètres'!$M:$M,0))&amp;"",""))),0,IF($L2240="Débit",$K2240,IF($P2240=1,-$K2240,0))))</f>
        <v/>
      </c>
      <c r="R2240" s="6" t="str">
        <f>IF($K2240="","",IF($L2240="Crédit",$K2240,-$K2240))</f>
        <v/>
      </c>
      <c r="S2240" s="6" t="str">
        <f>IF($C2240="","",IFERROR(INDEX('Paramètres'!$H:$H,MATCH($C2240,'Paramètres'!$D:$D,0))&amp;"",""))</f>
        <v/>
      </c>
      <c r="T2240" s="6" t="str">
        <f>IF($K2240="","",IF($S2240="",0,IF(ISNUMBER(SEARCH("apport-exterieur",IFERROR(INDEX('Paramètres'!$N:$N,MATCH($D2240,'Paramètres'!$M:$M,0))&amp;"",""))),0,IF(OR(IFERROR(INDEX('Paramètres'!$I:$I,MATCH($C2240,'Paramètres'!$D:$D,0))&amp;"","")="Les deux",IFERROR(INDEX('Paramètres'!$I:$I,MATCH($C2240,'Paramètres'!$D:$D,0))&amp;"","")=IF($P2240=1,"Débit",$L2240)),-IF($P2240=1,-$K2240,$K2240),0))))</f>
        <v/>
      </c>
      <c r="U2240" s="6" t="str">
        <f>IF($K2240="","",IF(ISNUMBER(SEARCH("sortie-epargne",IFERROR(INDEX('Paramètres'!$N:$N,MATCH($D2240,'Paramètres'!$M:$M,0))&amp;"",""))),$K2240,0))</f>
        <v/>
      </c>
      <c r="V2240" s="6" t="str">
        <f>IF(AND($A2240&lt;&gt;"",$O2240=1,$L2240="Débit",N($Q2240)&gt;0,$A2240&gt;=Visualisation!$B$1,$A2240&lt;Visualisation!$D$1),MAX($V$1:V2239)+1,"")</f>
        <v/>
      </c>
    </row>
    <row r="2241" spans="1:22" x14ac:dyDescent="0.25">
      <c r="A2241" s="9"/>
      <c r="E2241" s="10"/>
      <c r="K2241" s="11" t="str">
        <f>IF($E2241="","",ROUND($E2241*IF(ISNA(MATCH($C2241,'Paramètres'!$D:$D,0)),1,IF(INDEX('Paramètres'!$J:$J,MATCH($C2241,'Paramètres'!$D:$D,0))="",1,INDEX('Paramètres'!$J:$J,MATCH($C2241,'Paramètres'!$D:$D,0)))),2))</f>
        <v/>
      </c>
      <c r="L2241" s="6" t="str">
        <f>IF($D2241="","",IF($F2241&lt;&gt;"",$F2241,IF(ISNA(MATCH($D2241,'Paramètres'!$M:$M,0)),"⚠ Type inconnu",IFERROR(INDEX('Paramètres'!$P:$P,MATCH($D2241,'Paramètres'!$M:$M,0))&amp;"",""))))</f>
        <v/>
      </c>
      <c r="M2241" s="6" t="str">
        <f>IF($D2241="","",IF(ISNA(MATCH($D2241,'Paramètres'!$M:$M,0)),"⚠ Type inconnu",IF($L2241="Crédit","",IFERROR(INDEX('Paramètres'!$O:$O,MATCH($D2241,'Paramètres'!$M:$M,0))&amp;"",""))))</f>
        <v/>
      </c>
      <c r="N2241" s="6" t="str">
        <f>IF($D2241="","",IFERROR(INDEX('Paramètres'!$Q:$Q,MATCH($D2241,'Paramètres'!$M:$M,0))&amp;"",""))</f>
        <v/>
      </c>
      <c r="O2241" s="6" t="str">
        <f>IF($A2241="","",IF(OR($J2241&lt;&gt;"x",$A2241&lt;=FinReleve),1,0))</f>
        <v/>
      </c>
      <c r="P2241" s="6" t="str">
        <f>IF($D2241="","",IF(AND($L2241="Crédit",OR(IFERROR(INDEX('Paramètres'!$O:$O,MATCH($D2241,'Paramètres'!$M:$M,0))&amp;"","")&lt;&gt;"",ISNUMBER(SEARCH("remboursement",IFERROR(INDEX('Paramètres'!$N:$N,MATCH($D2241,'Paramètres'!$M:$M,0))&amp;"",""))))),1,0))</f>
        <v/>
      </c>
      <c r="Q2241" s="6" t="str">
        <f>IF($K2241="","",IF(ISNUMBER(SEARCH("transfert-interne",IFERROR(INDEX('Paramètres'!$N:$N,MATCH($D2241,'Paramètres'!$M:$M,0))&amp;"",""))),0,IF($L2241="Débit",$K2241,IF($P2241=1,-$K2241,0))))</f>
        <v/>
      </c>
      <c r="R2241" s="6" t="str">
        <f>IF($K2241="","",IF($L2241="Crédit",$K2241,-$K2241))</f>
        <v/>
      </c>
      <c r="S2241" s="6" t="str">
        <f>IF($C2241="","",IFERROR(INDEX('Paramètres'!$H:$H,MATCH($C2241,'Paramètres'!$D:$D,0))&amp;"",""))</f>
        <v/>
      </c>
      <c r="T2241" s="6" t="str">
        <f>IF($K2241="","",IF($S2241="",0,IF(ISNUMBER(SEARCH("apport-exterieur",IFERROR(INDEX('Paramètres'!$N:$N,MATCH($D2241,'Paramètres'!$M:$M,0))&amp;"",""))),0,IF(OR(IFERROR(INDEX('Paramètres'!$I:$I,MATCH($C2241,'Paramètres'!$D:$D,0))&amp;"","")="Les deux",IFERROR(INDEX('Paramètres'!$I:$I,MATCH($C2241,'Paramètres'!$D:$D,0))&amp;"","")=IF($P2241=1,"Débit",$L2241)),-IF($P2241=1,-$K2241,$K2241),0))))</f>
        <v/>
      </c>
      <c r="U2241" s="6" t="str">
        <f>IF($K2241="","",IF(ISNUMBER(SEARCH("sortie-epargne",IFERROR(INDEX('Paramètres'!$N:$N,MATCH($D2241,'Paramètres'!$M:$M,0))&amp;"",""))),$K2241,0))</f>
        <v/>
      </c>
      <c r="V2241" s="6" t="str">
        <f>IF(AND($A2241&lt;&gt;"",$O2241=1,$L2241="Débit",N($Q2241)&gt;0,$A2241&gt;=Visualisation!$B$1,$A2241&lt;Visualisation!$D$1),MAX($V$1:V2240)+1,"")</f>
        <v/>
      </c>
    </row>
    <row r="2242" spans="1:22" x14ac:dyDescent="0.25">
      <c r="A2242" s="9"/>
      <c r="E2242" s="10"/>
      <c r="K2242" s="11" t="str">
        <f>IF($E2242="","",ROUND($E2242*IF(ISNA(MATCH($C2242,'Paramètres'!$D:$D,0)),1,IF(INDEX('Paramètres'!$J:$J,MATCH($C2242,'Paramètres'!$D:$D,0))="",1,INDEX('Paramètres'!$J:$J,MATCH($C2242,'Paramètres'!$D:$D,0)))),2))</f>
        <v/>
      </c>
      <c r="L2242" s="6" t="str">
        <f>IF($D2242="","",IF($F2242&lt;&gt;"",$F2242,IF(ISNA(MATCH($D2242,'Paramètres'!$M:$M,0)),"⚠ Type inconnu",IFERROR(INDEX('Paramètres'!$P:$P,MATCH($D2242,'Paramètres'!$M:$M,0))&amp;"",""))))</f>
        <v/>
      </c>
      <c r="M2242" s="6" t="str">
        <f>IF($D2242="","",IF(ISNA(MATCH($D2242,'Paramètres'!$M:$M,0)),"⚠ Type inconnu",IF($L2242="Crédit","",IFERROR(INDEX('Paramètres'!$O:$O,MATCH($D2242,'Paramètres'!$M:$M,0))&amp;"",""))))</f>
        <v/>
      </c>
      <c r="N2242" s="6" t="str">
        <f>IF($D2242="","",IFERROR(INDEX('Paramètres'!$Q:$Q,MATCH($D2242,'Paramètres'!$M:$M,0))&amp;"",""))</f>
        <v/>
      </c>
      <c r="O2242" s="6" t="str">
        <f>IF($A2242="","",IF(OR($J2242&lt;&gt;"x",$A2242&lt;=FinReleve),1,0))</f>
        <v/>
      </c>
      <c r="P2242" s="6" t="str">
        <f>IF($D2242="","",IF(AND($L2242="Crédit",OR(IFERROR(INDEX('Paramètres'!$O:$O,MATCH($D2242,'Paramètres'!$M:$M,0))&amp;"","")&lt;&gt;"",ISNUMBER(SEARCH("remboursement",IFERROR(INDEX('Paramètres'!$N:$N,MATCH($D2242,'Paramètres'!$M:$M,0))&amp;"",""))))),1,0))</f>
        <v/>
      </c>
      <c r="Q2242" s="6" t="str">
        <f>IF($K2242="","",IF(ISNUMBER(SEARCH("transfert-interne",IFERROR(INDEX('Paramètres'!$N:$N,MATCH($D2242,'Paramètres'!$M:$M,0))&amp;"",""))),0,IF($L2242="Débit",$K2242,IF($P2242=1,-$K2242,0))))</f>
        <v/>
      </c>
      <c r="R2242" s="6" t="str">
        <f>IF($K2242="","",IF($L2242="Crédit",$K2242,-$K2242))</f>
        <v/>
      </c>
      <c r="S2242" s="6" t="str">
        <f>IF($C2242="","",IFERROR(INDEX('Paramètres'!$H:$H,MATCH($C2242,'Paramètres'!$D:$D,0))&amp;"",""))</f>
        <v/>
      </c>
      <c r="T2242" s="6" t="str">
        <f>IF($K2242="","",IF($S2242="",0,IF(ISNUMBER(SEARCH("apport-exterieur",IFERROR(INDEX('Paramètres'!$N:$N,MATCH($D2242,'Paramètres'!$M:$M,0))&amp;"",""))),0,IF(OR(IFERROR(INDEX('Paramètres'!$I:$I,MATCH($C2242,'Paramètres'!$D:$D,0))&amp;"","")="Les deux",IFERROR(INDEX('Paramètres'!$I:$I,MATCH($C2242,'Paramètres'!$D:$D,0))&amp;"","")=IF($P2242=1,"Débit",$L2242)),-IF($P2242=1,-$K2242,$K2242),0))))</f>
        <v/>
      </c>
      <c r="U2242" s="6" t="str">
        <f>IF($K2242="","",IF(ISNUMBER(SEARCH("sortie-epargne",IFERROR(INDEX('Paramètres'!$N:$N,MATCH($D2242,'Paramètres'!$M:$M,0))&amp;"",""))),$K2242,0))</f>
        <v/>
      </c>
      <c r="V2242" s="6" t="str">
        <f>IF(AND($A2242&lt;&gt;"",$O2242=1,$L2242="Débit",N($Q2242)&gt;0,$A2242&gt;=Visualisation!$B$1,$A2242&lt;Visualisation!$D$1),MAX($V$1:V2241)+1,"")</f>
        <v/>
      </c>
    </row>
    <row r="2243" spans="1:22" x14ac:dyDescent="0.25">
      <c r="A2243" s="9"/>
      <c r="E2243" s="10"/>
      <c r="K2243" s="11" t="str">
        <f>IF($E2243="","",ROUND($E2243*IF(ISNA(MATCH($C2243,'Paramètres'!$D:$D,0)),1,IF(INDEX('Paramètres'!$J:$J,MATCH($C2243,'Paramètres'!$D:$D,0))="",1,INDEX('Paramètres'!$J:$J,MATCH($C2243,'Paramètres'!$D:$D,0)))),2))</f>
        <v/>
      </c>
      <c r="L2243" s="6" t="str">
        <f>IF($D2243="","",IF($F2243&lt;&gt;"",$F2243,IF(ISNA(MATCH($D2243,'Paramètres'!$M:$M,0)),"⚠ Type inconnu",IFERROR(INDEX('Paramètres'!$P:$P,MATCH($D2243,'Paramètres'!$M:$M,0))&amp;"",""))))</f>
        <v/>
      </c>
      <c r="M2243" s="6" t="str">
        <f>IF($D2243="","",IF(ISNA(MATCH($D2243,'Paramètres'!$M:$M,0)),"⚠ Type inconnu",IF($L2243="Crédit","",IFERROR(INDEX('Paramètres'!$O:$O,MATCH($D2243,'Paramètres'!$M:$M,0))&amp;"",""))))</f>
        <v/>
      </c>
      <c r="N2243" s="6" t="str">
        <f>IF($D2243="","",IFERROR(INDEX('Paramètres'!$Q:$Q,MATCH($D2243,'Paramètres'!$M:$M,0))&amp;"",""))</f>
        <v/>
      </c>
      <c r="O2243" s="6" t="str">
        <f>IF($A2243="","",IF(OR($J2243&lt;&gt;"x",$A2243&lt;=FinReleve),1,0))</f>
        <v/>
      </c>
      <c r="P2243" s="6" t="str">
        <f>IF($D2243="","",IF(AND($L2243="Crédit",OR(IFERROR(INDEX('Paramètres'!$O:$O,MATCH($D2243,'Paramètres'!$M:$M,0))&amp;"","")&lt;&gt;"",ISNUMBER(SEARCH("remboursement",IFERROR(INDEX('Paramètres'!$N:$N,MATCH($D2243,'Paramètres'!$M:$M,0))&amp;"",""))))),1,0))</f>
        <v/>
      </c>
      <c r="Q2243" s="6" t="str">
        <f>IF($K2243="","",IF(ISNUMBER(SEARCH("transfert-interne",IFERROR(INDEX('Paramètres'!$N:$N,MATCH($D2243,'Paramètres'!$M:$M,0))&amp;"",""))),0,IF($L2243="Débit",$K2243,IF($P2243=1,-$K2243,0))))</f>
        <v/>
      </c>
      <c r="R2243" s="6" t="str">
        <f>IF($K2243="","",IF($L2243="Crédit",$K2243,-$K2243))</f>
        <v/>
      </c>
      <c r="S2243" s="6" t="str">
        <f>IF($C2243="","",IFERROR(INDEX('Paramètres'!$H:$H,MATCH($C2243,'Paramètres'!$D:$D,0))&amp;"",""))</f>
        <v/>
      </c>
      <c r="T2243" s="6" t="str">
        <f>IF($K2243="","",IF($S2243="",0,IF(ISNUMBER(SEARCH("apport-exterieur",IFERROR(INDEX('Paramètres'!$N:$N,MATCH($D2243,'Paramètres'!$M:$M,0))&amp;"",""))),0,IF(OR(IFERROR(INDEX('Paramètres'!$I:$I,MATCH($C2243,'Paramètres'!$D:$D,0))&amp;"","")="Les deux",IFERROR(INDEX('Paramètres'!$I:$I,MATCH($C2243,'Paramètres'!$D:$D,0))&amp;"","")=IF($P2243=1,"Débit",$L2243)),-IF($P2243=1,-$K2243,$K2243),0))))</f>
        <v/>
      </c>
      <c r="U2243" s="6" t="str">
        <f>IF($K2243="","",IF(ISNUMBER(SEARCH("sortie-epargne",IFERROR(INDEX('Paramètres'!$N:$N,MATCH($D2243,'Paramètres'!$M:$M,0))&amp;"",""))),$K2243,0))</f>
        <v/>
      </c>
      <c r="V2243" s="6" t="str">
        <f>IF(AND($A2243&lt;&gt;"",$O2243=1,$L2243="Débit",N($Q2243)&gt;0,$A2243&gt;=Visualisation!$B$1,$A2243&lt;Visualisation!$D$1),MAX($V$1:V2242)+1,"")</f>
        <v/>
      </c>
    </row>
    <row r="2244" spans="1:22" x14ac:dyDescent="0.25">
      <c r="A2244" s="9"/>
      <c r="E2244" s="10"/>
      <c r="K2244" s="11" t="str">
        <f>IF($E2244="","",ROUND($E2244*IF(ISNA(MATCH($C2244,'Paramètres'!$D:$D,0)),1,IF(INDEX('Paramètres'!$J:$J,MATCH($C2244,'Paramètres'!$D:$D,0))="",1,INDEX('Paramètres'!$J:$J,MATCH($C2244,'Paramètres'!$D:$D,0)))),2))</f>
        <v/>
      </c>
      <c r="L2244" s="6" t="str">
        <f>IF($D2244="","",IF($F2244&lt;&gt;"",$F2244,IF(ISNA(MATCH($D2244,'Paramètres'!$M:$M,0)),"⚠ Type inconnu",IFERROR(INDEX('Paramètres'!$P:$P,MATCH($D2244,'Paramètres'!$M:$M,0))&amp;"",""))))</f>
        <v/>
      </c>
      <c r="M2244" s="6" t="str">
        <f>IF($D2244="","",IF(ISNA(MATCH($D2244,'Paramètres'!$M:$M,0)),"⚠ Type inconnu",IF($L2244="Crédit","",IFERROR(INDEX('Paramètres'!$O:$O,MATCH($D2244,'Paramètres'!$M:$M,0))&amp;"",""))))</f>
        <v/>
      </c>
      <c r="N2244" s="6" t="str">
        <f>IF($D2244="","",IFERROR(INDEX('Paramètres'!$Q:$Q,MATCH($D2244,'Paramètres'!$M:$M,0))&amp;"",""))</f>
        <v/>
      </c>
      <c r="O2244" s="6" t="str">
        <f>IF($A2244="","",IF(OR($J2244&lt;&gt;"x",$A2244&lt;=FinReleve),1,0))</f>
        <v/>
      </c>
      <c r="P2244" s="6" t="str">
        <f>IF($D2244="","",IF(AND($L2244="Crédit",OR(IFERROR(INDEX('Paramètres'!$O:$O,MATCH($D2244,'Paramètres'!$M:$M,0))&amp;"","")&lt;&gt;"",ISNUMBER(SEARCH("remboursement",IFERROR(INDEX('Paramètres'!$N:$N,MATCH($D2244,'Paramètres'!$M:$M,0))&amp;"",""))))),1,0))</f>
        <v/>
      </c>
      <c r="Q2244" s="6" t="str">
        <f>IF($K2244="","",IF(ISNUMBER(SEARCH("transfert-interne",IFERROR(INDEX('Paramètres'!$N:$N,MATCH($D2244,'Paramètres'!$M:$M,0))&amp;"",""))),0,IF($L2244="Débit",$K2244,IF($P2244=1,-$K2244,0))))</f>
        <v/>
      </c>
      <c r="R2244" s="6" t="str">
        <f>IF($K2244="","",IF($L2244="Crédit",$K2244,-$K2244))</f>
        <v/>
      </c>
      <c r="S2244" s="6" t="str">
        <f>IF($C2244="","",IFERROR(INDEX('Paramètres'!$H:$H,MATCH($C2244,'Paramètres'!$D:$D,0))&amp;"",""))</f>
        <v/>
      </c>
      <c r="T2244" s="6" t="str">
        <f>IF($K2244="","",IF($S2244="",0,IF(ISNUMBER(SEARCH("apport-exterieur",IFERROR(INDEX('Paramètres'!$N:$N,MATCH($D2244,'Paramètres'!$M:$M,0))&amp;"",""))),0,IF(OR(IFERROR(INDEX('Paramètres'!$I:$I,MATCH($C2244,'Paramètres'!$D:$D,0))&amp;"","")="Les deux",IFERROR(INDEX('Paramètres'!$I:$I,MATCH($C2244,'Paramètres'!$D:$D,0))&amp;"","")=IF($P2244=1,"Débit",$L2244)),-IF($P2244=1,-$K2244,$K2244),0))))</f>
        <v/>
      </c>
      <c r="U2244" s="6" t="str">
        <f>IF($K2244="","",IF(ISNUMBER(SEARCH("sortie-epargne",IFERROR(INDEX('Paramètres'!$N:$N,MATCH($D2244,'Paramètres'!$M:$M,0))&amp;"",""))),$K2244,0))</f>
        <v/>
      </c>
      <c r="V2244" s="6" t="str">
        <f>IF(AND($A2244&lt;&gt;"",$O2244=1,$L2244="Débit",N($Q2244)&gt;0,$A2244&gt;=Visualisation!$B$1,$A2244&lt;Visualisation!$D$1),MAX($V$1:V2243)+1,"")</f>
        <v/>
      </c>
    </row>
    <row r="2245" spans="1:22" x14ac:dyDescent="0.25">
      <c r="A2245" s="9"/>
      <c r="E2245" s="10"/>
      <c r="K2245" s="11" t="str">
        <f>IF($E2245="","",ROUND($E2245*IF(ISNA(MATCH($C2245,'Paramètres'!$D:$D,0)),1,IF(INDEX('Paramètres'!$J:$J,MATCH($C2245,'Paramètres'!$D:$D,0))="",1,INDEX('Paramètres'!$J:$J,MATCH($C2245,'Paramètres'!$D:$D,0)))),2))</f>
        <v/>
      </c>
      <c r="L2245" s="6" t="str">
        <f>IF($D2245="","",IF($F2245&lt;&gt;"",$F2245,IF(ISNA(MATCH($D2245,'Paramètres'!$M:$M,0)),"⚠ Type inconnu",IFERROR(INDEX('Paramètres'!$P:$P,MATCH($D2245,'Paramètres'!$M:$M,0))&amp;"",""))))</f>
        <v/>
      </c>
      <c r="M2245" s="6" t="str">
        <f>IF($D2245="","",IF(ISNA(MATCH($D2245,'Paramètres'!$M:$M,0)),"⚠ Type inconnu",IF($L2245="Crédit","",IFERROR(INDEX('Paramètres'!$O:$O,MATCH($D2245,'Paramètres'!$M:$M,0))&amp;"",""))))</f>
        <v/>
      </c>
      <c r="N2245" s="6" t="str">
        <f>IF($D2245="","",IFERROR(INDEX('Paramètres'!$Q:$Q,MATCH($D2245,'Paramètres'!$M:$M,0))&amp;"",""))</f>
        <v/>
      </c>
      <c r="O2245" s="6" t="str">
        <f>IF($A2245="","",IF(OR($J2245&lt;&gt;"x",$A2245&lt;=FinReleve),1,0))</f>
        <v/>
      </c>
      <c r="P2245" s="6" t="str">
        <f>IF($D2245="","",IF(AND($L2245="Crédit",OR(IFERROR(INDEX('Paramètres'!$O:$O,MATCH($D2245,'Paramètres'!$M:$M,0))&amp;"","")&lt;&gt;"",ISNUMBER(SEARCH("remboursement",IFERROR(INDEX('Paramètres'!$N:$N,MATCH($D2245,'Paramètres'!$M:$M,0))&amp;"",""))))),1,0))</f>
        <v/>
      </c>
      <c r="Q2245" s="6" t="str">
        <f>IF($K2245="","",IF(ISNUMBER(SEARCH("transfert-interne",IFERROR(INDEX('Paramètres'!$N:$N,MATCH($D2245,'Paramètres'!$M:$M,0))&amp;"",""))),0,IF($L2245="Débit",$K2245,IF($P2245=1,-$K2245,0))))</f>
        <v/>
      </c>
      <c r="R2245" s="6" t="str">
        <f>IF($K2245="","",IF($L2245="Crédit",$K2245,-$K2245))</f>
        <v/>
      </c>
      <c r="S2245" s="6" t="str">
        <f>IF($C2245="","",IFERROR(INDEX('Paramètres'!$H:$H,MATCH($C2245,'Paramètres'!$D:$D,0))&amp;"",""))</f>
        <v/>
      </c>
      <c r="T2245" s="6" t="str">
        <f>IF($K2245="","",IF($S2245="",0,IF(ISNUMBER(SEARCH("apport-exterieur",IFERROR(INDEX('Paramètres'!$N:$N,MATCH($D2245,'Paramètres'!$M:$M,0))&amp;"",""))),0,IF(OR(IFERROR(INDEX('Paramètres'!$I:$I,MATCH($C2245,'Paramètres'!$D:$D,0))&amp;"","")="Les deux",IFERROR(INDEX('Paramètres'!$I:$I,MATCH($C2245,'Paramètres'!$D:$D,0))&amp;"","")=IF($P2245=1,"Débit",$L2245)),-IF($P2245=1,-$K2245,$K2245),0))))</f>
        <v/>
      </c>
      <c r="U2245" s="6" t="str">
        <f>IF($K2245="","",IF(ISNUMBER(SEARCH("sortie-epargne",IFERROR(INDEX('Paramètres'!$N:$N,MATCH($D2245,'Paramètres'!$M:$M,0))&amp;"",""))),$K2245,0))</f>
        <v/>
      </c>
      <c r="V2245" s="6" t="str">
        <f>IF(AND($A2245&lt;&gt;"",$O2245=1,$L2245="Débit",N($Q2245)&gt;0,$A2245&gt;=Visualisation!$B$1,$A2245&lt;Visualisation!$D$1),MAX($V$1:V2244)+1,"")</f>
        <v/>
      </c>
    </row>
    <row r="2246" spans="1:22" x14ac:dyDescent="0.25">
      <c r="A2246" s="9"/>
      <c r="E2246" s="10"/>
      <c r="K2246" s="11" t="str">
        <f>IF($E2246="","",ROUND($E2246*IF(ISNA(MATCH($C2246,'Paramètres'!$D:$D,0)),1,IF(INDEX('Paramètres'!$J:$J,MATCH($C2246,'Paramètres'!$D:$D,0))="",1,INDEX('Paramètres'!$J:$J,MATCH($C2246,'Paramètres'!$D:$D,0)))),2))</f>
        <v/>
      </c>
      <c r="L2246" s="6" t="str">
        <f>IF($D2246="","",IF($F2246&lt;&gt;"",$F2246,IF(ISNA(MATCH($D2246,'Paramètres'!$M:$M,0)),"⚠ Type inconnu",IFERROR(INDEX('Paramètres'!$P:$P,MATCH($D2246,'Paramètres'!$M:$M,0))&amp;"",""))))</f>
        <v/>
      </c>
      <c r="M2246" s="6" t="str">
        <f>IF($D2246="","",IF(ISNA(MATCH($D2246,'Paramètres'!$M:$M,0)),"⚠ Type inconnu",IF($L2246="Crédit","",IFERROR(INDEX('Paramètres'!$O:$O,MATCH($D2246,'Paramètres'!$M:$M,0))&amp;"",""))))</f>
        <v/>
      </c>
      <c r="N2246" s="6" t="str">
        <f>IF($D2246="","",IFERROR(INDEX('Paramètres'!$Q:$Q,MATCH($D2246,'Paramètres'!$M:$M,0))&amp;"",""))</f>
        <v/>
      </c>
      <c r="O2246" s="6" t="str">
        <f>IF($A2246="","",IF(OR($J2246&lt;&gt;"x",$A2246&lt;=FinReleve),1,0))</f>
        <v/>
      </c>
      <c r="P2246" s="6" t="str">
        <f>IF($D2246="","",IF(AND($L2246="Crédit",OR(IFERROR(INDEX('Paramètres'!$O:$O,MATCH($D2246,'Paramètres'!$M:$M,0))&amp;"","")&lt;&gt;"",ISNUMBER(SEARCH("remboursement",IFERROR(INDEX('Paramètres'!$N:$N,MATCH($D2246,'Paramètres'!$M:$M,0))&amp;"",""))))),1,0))</f>
        <v/>
      </c>
      <c r="Q2246" s="6" t="str">
        <f>IF($K2246="","",IF(ISNUMBER(SEARCH("transfert-interne",IFERROR(INDEX('Paramètres'!$N:$N,MATCH($D2246,'Paramètres'!$M:$M,0))&amp;"",""))),0,IF($L2246="Débit",$K2246,IF($P2246=1,-$K2246,0))))</f>
        <v/>
      </c>
      <c r="R2246" s="6" t="str">
        <f>IF($K2246="","",IF($L2246="Crédit",$K2246,-$K2246))</f>
        <v/>
      </c>
      <c r="S2246" s="6" t="str">
        <f>IF($C2246="","",IFERROR(INDEX('Paramètres'!$H:$H,MATCH($C2246,'Paramètres'!$D:$D,0))&amp;"",""))</f>
        <v/>
      </c>
      <c r="T2246" s="6" t="str">
        <f>IF($K2246="","",IF($S2246="",0,IF(ISNUMBER(SEARCH("apport-exterieur",IFERROR(INDEX('Paramètres'!$N:$N,MATCH($D2246,'Paramètres'!$M:$M,0))&amp;"",""))),0,IF(OR(IFERROR(INDEX('Paramètres'!$I:$I,MATCH($C2246,'Paramètres'!$D:$D,0))&amp;"","")="Les deux",IFERROR(INDEX('Paramètres'!$I:$I,MATCH($C2246,'Paramètres'!$D:$D,0))&amp;"","")=IF($P2246=1,"Débit",$L2246)),-IF($P2246=1,-$K2246,$K2246),0))))</f>
        <v/>
      </c>
      <c r="U2246" s="6" t="str">
        <f>IF($K2246="","",IF(ISNUMBER(SEARCH("sortie-epargne",IFERROR(INDEX('Paramètres'!$N:$N,MATCH($D2246,'Paramètres'!$M:$M,0))&amp;"",""))),$K2246,0))</f>
        <v/>
      </c>
      <c r="V2246" s="6" t="str">
        <f>IF(AND($A2246&lt;&gt;"",$O2246=1,$L2246="Débit",N($Q2246)&gt;0,$A2246&gt;=Visualisation!$B$1,$A2246&lt;Visualisation!$D$1),MAX($V$1:V2245)+1,"")</f>
        <v/>
      </c>
    </row>
    <row r="2247" spans="1:22" x14ac:dyDescent="0.25">
      <c r="A2247" s="9"/>
      <c r="E2247" s="10"/>
      <c r="K2247" s="11" t="str">
        <f>IF($E2247="","",ROUND($E2247*IF(ISNA(MATCH($C2247,'Paramètres'!$D:$D,0)),1,IF(INDEX('Paramètres'!$J:$J,MATCH($C2247,'Paramètres'!$D:$D,0))="",1,INDEX('Paramètres'!$J:$J,MATCH($C2247,'Paramètres'!$D:$D,0)))),2))</f>
        <v/>
      </c>
      <c r="L2247" s="6" t="str">
        <f>IF($D2247="","",IF($F2247&lt;&gt;"",$F2247,IF(ISNA(MATCH($D2247,'Paramètres'!$M:$M,0)),"⚠ Type inconnu",IFERROR(INDEX('Paramètres'!$P:$P,MATCH($D2247,'Paramètres'!$M:$M,0))&amp;"",""))))</f>
        <v/>
      </c>
      <c r="M2247" s="6" t="str">
        <f>IF($D2247="","",IF(ISNA(MATCH($D2247,'Paramètres'!$M:$M,0)),"⚠ Type inconnu",IF($L2247="Crédit","",IFERROR(INDEX('Paramètres'!$O:$O,MATCH($D2247,'Paramètres'!$M:$M,0))&amp;"",""))))</f>
        <v/>
      </c>
      <c r="N2247" s="6" t="str">
        <f>IF($D2247="","",IFERROR(INDEX('Paramètres'!$Q:$Q,MATCH($D2247,'Paramètres'!$M:$M,0))&amp;"",""))</f>
        <v/>
      </c>
      <c r="O2247" s="6" t="str">
        <f>IF($A2247="","",IF(OR($J2247&lt;&gt;"x",$A2247&lt;=FinReleve),1,0))</f>
        <v/>
      </c>
      <c r="P2247" s="6" t="str">
        <f>IF($D2247="","",IF(AND($L2247="Crédit",OR(IFERROR(INDEX('Paramètres'!$O:$O,MATCH($D2247,'Paramètres'!$M:$M,0))&amp;"","")&lt;&gt;"",ISNUMBER(SEARCH("remboursement",IFERROR(INDEX('Paramètres'!$N:$N,MATCH($D2247,'Paramètres'!$M:$M,0))&amp;"",""))))),1,0))</f>
        <v/>
      </c>
      <c r="Q2247" s="6" t="str">
        <f>IF($K2247="","",IF(ISNUMBER(SEARCH("transfert-interne",IFERROR(INDEX('Paramètres'!$N:$N,MATCH($D2247,'Paramètres'!$M:$M,0))&amp;"",""))),0,IF($L2247="Débit",$K2247,IF($P2247=1,-$K2247,0))))</f>
        <v/>
      </c>
      <c r="R2247" s="6" t="str">
        <f>IF($K2247="","",IF($L2247="Crédit",$K2247,-$K2247))</f>
        <v/>
      </c>
      <c r="S2247" s="6" t="str">
        <f>IF($C2247="","",IFERROR(INDEX('Paramètres'!$H:$H,MATCH($C2247,'Paramètres'!$D:$D,0))&amp;"",""))</f>
        <v/>
      </c>
      <c r="T2247" s="6" t="str">
        <f>IF($K2247="","",IF($S2247="",0,IF(ISNUMBER(SEARCH("apport-exterieur",IFERROR(INDEX('Paramètres'!$N:$N,MATCH($D2247,'Paramètres'!$M:$M,0))&amp;"",""))),0,IF(OR(IFERROR(INDEX('Paramètres'!$I:$I,MATCH($C2247,'Paramètres'!$D:$D,0))&amp;"","")="Les deux",IFERROR(INDEX('Paramètres'!$I:$I,MATCH($C2247,'Paramètres'!$D:$D,0))&amp;"","")=IF($P2247=1,"Débit",$L2247)),-IF($P2247=1,-$K2247,$K2247),0))))</f>
        <v/>
      </c>
      <c r="U2247" s="6" t="str">
        <f>IF($K2247="","",IF(ISNUMBER(SEARCH("sortie-epargne",IFERROR(INDEX('Paramètres'!$N:$N,MATCH($D2247,'Paramètres'!$M:$M,0))&amp;"",""))),$K2247,0))</f>
        <v/>
      </c>
      <c r="V2247" s="6" t="str">
        <f>IF(AND($A2247&lt;&gt;"",$O2247=1,$L2247="Débit",N($Q2247)&gt;0,$A2247&gt;=Visualisation!$B$1,$A2247&lt;Visualisation!$D$1),MAX($V$1:V2246)+1,"")</f>
        <v/>
      </c>
    </row>
    <row r="2248" spans="1:22" x14ac:dyDescent="0.25">
      <c r="A2248" s="9"/>
      <c r="E2248" s="10"/>
      <c r="K2248" s="11" t="str">
        <f>IF($E2248="","",ROUND($E2248*IF(ISNA(MATCH($C2248,'Paramètres'!$D:$D,0)),1,IF(INDEX('Paramètres'!$J:$J,MATCH($C2248,'Paramètres'!$D:$D,0))="",1,INDEX('Paramètres'!$J:$J,MATCH($C2248,'Paramètres'!$D:$D,0)))),2))</f>
        <v/>
      </c>
      <c r="L2248" s="6" t="str">
        <f>IF($D2248="","",IF($F2248&lt;&gt;"",$F2248,IF(ISNA(MATCH($D2248,'Paramètres'!$M:$M,0)),"⚠ Type inconnu",IFERROR(INDEX('Paramètres'!$P:$P,MATCH($D2248,'Paramètres'!$M:$M,0))&amp;"",""))))</f>
        <v/>
      </c>
      <c r="M2248" s="6" t="str">
        <f>IF($D2248="","",IF(ISNA(MATCH($D2248,'Paramètres'!$M:$M,0)),"⚠ Type inconnu",IF($L2248="Crédit","",IFERROR(INDEX('Paramètres'!$O:$O,MATCH($D2248,'Paramètres'!$M:$M,0))&amp;"",""))))</f>
        <v/>
      </c>
      <c r="N2248" s="6" t="str">
        <f>IF($D2248="","",IFERROR(INDEX('Paramètres'!$Q:$Q,MATCH($D2248,'Paramètres'!$M:$M,0))&amp;"",""))</f>
        <v/>
      </c>
      <c r="O2248" s="6" t="str">
        <f>IF($A2248="","",IF(OR($J2248&lt;&gt;"x",$A2248&lt;=FinReleve),1,0))</f>
        <v/>
      </c>
      <c r="P2248" s="6" t="str">
        <f>IF($D2248="","",IF(AND($L2248="Crédit",OR(IFERROR(INDEX('Paramètres'!$O:$O,MATCH($D2248,'Paramètres'!$M:$M,0))&amp;"","")&lt;&gt;"",ISNUMBER(SEARCH("remboursement",IFERROR(INDEX('Paramètres'!$N:$N,MATCH($D2248,'Paramètres'!$M:$M,0))&amp;"",""))))),1,0))</f>
        <v/>
      </c>
      <c r="Q2248" s="6" t="str">
        <f>IF($K2248="","",IF(ISNUMBER(SEARCH("transfert-interne",IFERROR(INDEX('Paramètres'!$N:$N,MATCH($D2248,'Paramètres'!$M:$M,0))&amp;"",""))),0,IF($L2248="Débit",$K2248,IF($P2248=1,-$K2248,0))))</f>
        <v/>
      </c>
      <c r="R2248" s="6" t="str">
        <f>IF($K2248="","",IF($L2248="Crédit",$K2248,-$K2248))</f>
        <v/>
      </c>
      <c r="S2248" s="6" t="str">
        <f>IF($C2248="","",IFERROR(INDEX('Paramètres'!$H:$H,MATCH($C2248,'Paramètres'!$D:$D,0))&amp;"",""))</f>
        <v/>
      </c>
      <c r="T2248" s="6" t="str">
        <f>IF($K2248="","",IF($S2248="",0,IF(ISNUMBER(SEARCH("apport-exterieur",IFERROR(INDEX('Paramètres'!$N:$N,MATCH($D2248,'Paramètres'!$M:$M,0))&amp;"",""))),0,IF(OR(IFERROR(INDEX('Paramètres'!$I:$I,MATCH($C2248,'Paramètres'!$D:$D,0))&amp;"","")="Les deux",IFERROR(INDEX('Paramètres'!$I:$I,MATCH($C2248,'Paramètres'!$D:$D,0))&amp;"","")=IF($P2248=1,"Débit",$L2248)),-IF($P2248=1,-$K2248,$K2248),0))))</f>
        <v/>
      </c>
      <c r="U2248" s="6" t="str">
        <f>IF($K2248="","",IF(ISNUMBER(SEARCH("sortie-epargne",IFERROR(INDEX('Paramètres'!$N:$N,MATCH($D2248,'Paramètres'!$M:$M,0))&amp;"",""))),$K2248,0))</f>
        <v/>
      </c>
      <c r="V2248" s="6" t="str">
        <f>IF(AND($A2248&lt;&gt;"",$O2248=1,$L2248="Débit",N($Q2248)&gt;0,$A2248&gt;=Visualisation!$B$1,$A2248&lt;Visualisation!$D$1),MAX($V$1:V2247)+1,"")</f>
        <v/>
      </c>
    </row>
    <row r="2249" spans="1:22" x14ac:dyDescent="0.25">
      <c r="A2249" s="9"/>
      <c r="E2249" s="10"/>
      <c r="K2249" s="11" t="str">
        <f>IF($E2249="","",ROUND($E2249*IF(ISNA(MATCH($C2249,'Paramètres'!$D:$D,0)),1,IF(INDEX('Paramètres'!$J:$J,MATCH($C2249,'Paramètres'!$D:$D,0))="",1,INDEX('Paramètres'!$J:$J,MATCH($C2249,'Paramètres'!$D:$D,0)))),2))</f>
        <v/>
      </c>
      <c r="L2249" s="6" t="str">
        <f>IF($D2249="","",IF($F2249&lt;&gt;"",$F2249,IF(ISNA(MATCH($D2249,'Paramètres'!$M:$M,0)),"⚠ Type inconnu",IFERROR(INDEX('Paramètres'!$P:$P,MATCH($D2249,'Paramètres'!$M:$M,0))&amp;"",""))))</f>
        <v/>
      </c>
      <c r="M2249" s="6" t="str">
        <f>IF($D2249="","",IF(ISNA(MATCH($D2249,'Paramètres'!$M:$M,0)),"⚠ Type inconnu",IF($L2249="Crédit","",IFERROR(INDEX('Paramètres'!$O:$O,MATCH($D2249,'Paramètres'!$M:$M,0))&amp;"",""))))</f>
        <v/>
      </c>
      <c r="N2249" s="6" t="str">
        <f>IF($D2249="","",IFERROR(INDEX('Paramètres'!$Q:$Q,MATCH($D2249,'Paramètres'!$M:$M,0))&amp;"",""))</f>
        <v/>
      </c>
      <c r="O2249" s="6" t="str">
        <f>IF($A2249="","",IF(OR($J2249&lt;&gt;"x",$A2249&lt;=FinReleve),1,0))</f>
        <v/>
      </c>
      <c r="P2249" s="6" t="str">
        <f>IF($D2249="","",IF(AND($L2249="Crédit",OR(IFERROR(INDEX('Paramètres'!$O:$O,MATCH($D2249,'Paramètres'!$M:$M,0))&amp;"","")&lt;&gt;"",ISNUMBER(SEARCH("remboursement",IFERROR(INDEX('Paramètres'!$N:$N,MATCH($D2249,'Paramètres'!$M:$M,0))&amp;"",""))))),1,0))</f>
        <v/>
      </c>
      <c r="Q2249" s="6" t="str">
        <f>IF($K2249="","",IF(ISNUMBER(SEARCH("transfert-interne",IFERROR(INDEX('Paramètres'!$N:$N,MATCH($D2249,'Paramètres'!$M:$M,0))&amp;"",""))),0,IF($L2249="Débit",$K2249,IF($P2249=1,-$K2249,0))))</f>
        <v/>
      </c>
      <c r="R2249" s="6" t="str">
        <f>IF($K2249="","",IF($L2249="Crédit",$K2249,-$K2249))</f>
        <v/>
      </c>
      <c r="S2249" s="6" t="str">
        <f>IF($C2249="","",IFERROR(INDEX('Paramètres'!$H:$H,MATCH($C2249,'Paramètres'!$D:$D,0))&amp;"",""))</f>
        <v/>
      </c>
      <c r="T2249" s="6" t="str">
        <f>IF($K2249="","",IF($S2249="",0,IF(ISNUMBER(SEARCH("apport-exterieur",IFERROR(INDEX('Paramètres'!$N:$N,MATCH($D2249,'Paramètres'!$M:$M,0))&amp;"",""))),0,IF(OR(IFERROR(INDEX('Paramètres'!$I:$I,MATCH($C2249,'Paramètres'!$D:$D,0))&amp;"","")="Les deux",IFERROR(INDEX('Paramètres'!$I:$I,MATCH($C2249,'Paramètres'!$D:$D,0))&amp;"","")=IF($P2249=1,"Débit",$L2249)),-IF($P2249=1,-$K2249,$K2249),0))))</f>
        <v/>
      </c>
      <c r="U2249" s="6" t="str">
        <f>IF($K2249="","",IF(ISNUMBER(SEARCH("sortie-epargne",IFERROR(INDEX('Paramètres'!$N:$N,MATCH($D2249,'Paramètres'!$M:$M,0))&amp;"",""))),$K2249,0))</f>
        <v/>
      </c>
      <c r="V2249" s="6" t="str">
        <f>IF(AND($A2249&lt;&gt;"",$O2249=1,$L2249="Débit",N($Q2249)&gt;0,$A2249&gt;=Visualisation!$B$1,$A2249&lt;Visualisation!$D$1),MAX($V$1:V2248)+1,"")</f>
        <v/>
      </c>
    </row>
    <row r="2250" spans="1:22" x14ac:dyDescent="0.25">
      <c r="A2250" s="9"/>
      <c r="E2250" s="10"/>
      <c r="K2250" s="11" t="str">
        <f>IF($E2250="","",ROUND($E2250*IF(ISNA(MATCH($C2250,'Paramètres'!$D:$D,0)),1,IF(INDEX('Paramètres'!$J:$J,MATCH($C2250,'Paramètres'!$D:$D,0))="",1,INDEX('Paramètres'!$J:$J,MATCH($C2250,'Paramètres'!$D:$D,0)))),2))</f>
        <v/>
      </c>
      <c r="L2250" s="6" t="str">
        <f>IF($D2250="","",IF($F2250&lt;&gt;"",$F2250,IF(ISNA(MATCH($D2250,'Paramètres'!$M:$M,0)),"⚠ Type inconnu",IFERROR(INDEX('Paramètres'!$P:$P,MATCH($D2250,'Paramètres'!$M:$M,0))&amp;"",""))))</f>
        <v/>
      </c>
      <c r="M2250" s="6" t="str">
        <f>IF($D2250="","",IF(ISNA(MATCH($D2250,'Paramètres'!$M:$M,0)),"⚠ Type inconnu",IF($L2250="Crédit","",IFERROR(INDEX('Paramètres'!$O:$O,MATCH($D2250,'Paramètres'!$M:$M,0))&amp;"",""))))</f>
        <v/>
      </c>
      <c r="N2250" s="6" t="str">
        <f>IF($D2250="","",IFERROR(INDEX('Paramètres'!$Q:$Q,MATCH($D2250,'Paramètres'!$M:$M,0))&amp;"",""))</f>
        <v/>
      </c>
      <c r="O2250" s="6" t="str">
        <f>IF($A2250="","",IF(OR($J2250&lt;&gt;"x",$A2250&lt;=FinReleve),1,0))</f>
        <v/>
      </c>
      <c r="P2250" s="6" t="str">
        <f>IF($D2250="","",IF(AND($L2250="Crédit",OR(IFERROR(INDEX('Paramètres'!$O:$O,MATCH($D2250,'Paramètres'!$M:$M,0))&amp;"","")&lt;&gt;"",ISNUMBER(SEARCH("remboursement",IFERROR(INDEX('Paramètres'!$N:$N,MATCH($D2250,'Paramètres'!$M:$M,0))&amp;"",""))))),1,0))</f>
        <v/>
      </c>
      <c r="Q2250" s="6" t="str">
        <f>IF($K2250="","",IF(ISNUMBER(SEARCH("transfert-interne",IFERROR(INDEX('Paramètres'!$N:$N,MATCH($D2250,'Paramètres'!$M:$M,0))&amp;"",""))),0,IF($L2250="Débit",$K2250,IF($P2250=1,-$K2250,0))))</f>
        <v/>
      </c>
      <c r="R2250" s="6" t="str">
        <f>IF($K2250="","",IF($L2250="Crédit",$K2250,-$K2250))</f>
        <v/>
      </c>
      <c r="S2250" s="6" t="str">
        <f>IF($C2250="","",IFERROR(INDEX('Paramètres'!$H:$H,MATCH($C2250,'Paramètres'!$D:$D,0))&amp;"",""))</f>
        <v/>
      </c>
      <c r="T2250" s="6" t="str">
        <f>IF($K2250="","",IF($S2250="",0,IF(ISNUMBER(SEARCH("apport-exterieur",IFERROR(INDEX('Paramètres'!$N:$N,MATCH($D2250,'Paramètres'!$M:$M,0))&amp;"",""))),0,IF(OR(IFERROR(INDEX('Paramètres'!$I:$I,MATCH($C2250,'Paramètres'!$D:$D,0))&amp;"","")="Les deux",IFERROR(INDEX('Paramètres'!$I:$I,MATCH($C2250,'Paramètres'!$D:$D,0))&amp;"","")=IF($P2250=1,"Débit",$L2250)),-IF($P2250=1,-$K2250,$K2250),0))))</f>
        <v/>
      </c>
      <c r="U2250" s="6" t="str">
        <f>IF($K2250="","",IF(ISNUMBER(SEARCH("sortie-epargne",IFERROR(INDEX('Paramètres'!$N:$N,MATCH($D2250,'Paramètres'!$M:$M,0))&amp;"",""))),$K2250,0))</f>
        <v/>
      </c>
      <c r="V2250" s="6" t="str">
        <f>IF(AND($A2250&lt;&gt;"",$O2250=1,$L2250="Débit",N($Q2250)&gt;0,$A2250&gt;=Visualisation!$B$1,$A2250&lt;Visualisation!$D$1),MAX($V$1:V2249)+1,"")</f>
        <v/>
      </c>
    </row>
    <row r="2251" spans="1:22" x14ac:dyDescent="0.25">
      <c r="A2251" s="9"/>
      <c r="E2251" s="10"/>
      <c r="K2251" s="11" t="str">
        <f>IF($E2251="","",ROUND($E2251*IF(ISNA(MATCH($C2251,'Paramètres'!$D:$D,0)),1,IF(INDEX('Paramètres'!$J:$J,MATCH($C2251,'Paramètres'!$D:$D,0))="",1,INDEX('Paramètres'!$J:$J,MATCH($C2251,'Paramètres'!$D:$D,0)))),2))</f>
        <v/>
      </c>
      <c r="L2251" s="6" t="str">
        <f>IF($D2251="","",IF($F2251&lt;&gt;"",$F2251,IF(ISNA(MATCH($D2251,'Paramètres'!$M:$M,0)),"⚠ Type inconnu",IFERROR(INDEX('Paramètres'!$P:$P,MATCH($D2251,'Paramètres'!$M:$M,0))&amp;"",""))))</f>
        <v/>
      </c>
      <c r="M2251" s="6" t="str">
        <f>IF($D2251="","",IF(ISNA(MATCH($D2251,'Paramètres'!$M:$M,0)),"⚠ Type inconnu",IF($L2251="Crédit","",IFERROR(INDEX('Paramètres'!$O:$O,MATCH($D2251,'Paramètres'!$M:$M,0))&amp;"",""))))</f>
        <v/>
      </c>
      <c r="N2251" s="6" t="str">
        <f>IF($D2251="","",IFERROR(INDEX('Paramètres'!$Q:$Q,MATCH($D2251,'Paramètres'!$M:$M,0))&amp;"",""))</f>
        <v/>
      </c>
      <c r="O2251" s="6" t="str">
        <f>IF($A2251="","",IF(OR($J2251&lt;&gt;"x",$A2251&lt;=FinReleve),1,0))</f>
        <v/>
      </c>
      <c r="P2251" s="6" t="str">
        <f>IF($D2251="","",IF(AND($L2251="Crédit",OR(IFERROR(INDEX('Paramètres'!$O:$O,MATCH($D2251,'Paramètres'!$M:$M,0))&amp;"","")&lt;&gt;"",ISNUMBER(SEARCH("remboursement",IFERROR(INDEX('Paramètres'!$N:$N,MATCH($D2251,'Paramètres'!$M:$M,0))&amp;"",""))))),1,0))</f>
        <v/>
      </c>
      <c r="Q2251" s="6" t="str">
        <f>IF($K2251="","",IF(ISNUMBER(SEARCH("transfert-interne",IFERROR(INDEX('Paramètres'!$N:$N,MATCH($D2251,'Paramètres'!$M:$M,0))&amp;"",""))),0,IF($L2251="Débit",$K2251,IF($P2251=1,-$K2251,0))))</f>
        <v/>
      </c>
      <c r="R2251" s="6" t="str">
        <f>IF($K2251="","",IF($L2251="Crédit",$K2251,-$K2251))</f>
        <v/>
      </c>
      <c r="S2251" s="6" t="str">
        <f>IF($C2251="","",IFERROR(INDEX('Paramètres'!$H:$H,MATCH($C2251,'Paramètres'!$D:$D,0))&amp;"",""))</f>
        <v/>
      </c>
      <c r="T2251" s="6" t="str">
        <f>IF($K2251="","",IF($S2251="",0,IF(ISNUMBER(SEARCH("apport-exterieur",IFERROR(INDEX('Paramètres'!$N:$N,MATCH($D2251,'Paramètres'!$M:$M,0))&amp;"",""))),0,IF(OR(IFERROR(INDEX('Paramètres'!$I:$I,MATCH($C2251,'Paramètres'!$D:$D,0))&amp;"","")="Les deux",IFERROR(INDEX('Paramètres'!$I:$I,MATCH($C2251,'Paramètres'!$D:$D,0))&amp;"","")=IF($P2251=1,"Débit",$L2251)),-IF($P2251=1,-$K2251,$K2251),0))))</f>
        <v/>
      </c>
      <c r="U2251" s="6" t="str">
        <f>IF($K2251="","",IF(ISNUMBER(SEARCH("sortie-epargne",IFERROR(INDEX('Paramètres'!$N:$N,MATCH($D2251,'Paramètres'!$M:$M,0))&amp;"",""))),$K2251,0))</f>
        <v/>
      </c>
      <c r="V2251" s="6" t="str">
        <f>IF(AND($A2251&lt;&gt;"",$O2251=1,$L2251="Débit",N($Q2251)&gt;0,$A2251&gt;=Visualisation!$B$1,$A2251&lt;Visualisation!$D$1),MAX($V$1:V2250)+1,"")</f>
        <v/>
      </c>
    </row>
    <row r="2252" spans="1:22" x14ac:dyDescent="0.25">
      <c r="A2252" s="9"/>
      <c r="E2252" s="10"/>
      <c r="K2252" s="11" t="str">
        <f>IF($E2252="","",ROUND($E2252*IF(ISNA(MATCH($C2252,'Paramètres'!$D:$D,0)),1,IF(INDEX('Paramètres'!$J:$J,MATCH($C2252,'Paramètres'!$D:$D,0))="",1,INDEX('Paramètres'!$J:$J,MATCH($C2252,'Paramètres'!$D:$D,0)))),2))</f>
        <v/>
      </c>
      <c r="L2252" s="6" t="str">
        <f>IF($D2252="","",IF($F2252&lt;&gt;"",$F2252,IF(ISNA(MATCH($D2252,'Paramètres'!$M:$M,0)),"⚠ Type inconnu",IFERROR(INDEX('Paramètres'!$P:$P,MATCH($D2252,'Paramètres'!$M:$M,0))&amp;"",""))))</f>
        <v/>
      </c>
      <c r="M2252" s="6" t="str">
        <f>IF($D2252="","",IF(ISNA(MATCH($D2252,'Paramètres'!$M:$M,0)),"⚠ Type inconnu",IF($L2252="Crédit","",IFERROR(INDEX('Paramètres'!$O:$O,MATCH($D2252,'Paramètres'!$M:$M,0))&amp;"",""))))</f>
        <v/>
      </c>
      <c r="N2252" s="6" t="str">
        <f>IF($D2252="","",IFERROR(INDEX('Paramètres'!$Q:$Q,MATCH($D2252,'Paramètres'!$M:$M,0))&amp;"",""))</f>
        <v/>
      </c>
      <c r="O2252" s="6" t="str">
        <f>IF($A2252="","",IF(OR($J2252&lt;&gt;"x",$A2252&lt;=FinReleve),1,0))</f>
        <v/>
      </c>
      <c r="P2252" s="6" t="str">
        <f>IF($D2252="","",IF(AND($L2252="Crédit",OR(IFERROR(INDEX('Paramètres'!$O:$O,MATCH($D2252,'Paramètres'!$M:$M,0))&amp;"","")&lt;&gt;"",ISNUMBER(SEARCH("remboursement",IFERROR(INDEX('Paramètres'!$N:$N,MATCH($D2252,'Paramètres'!$M:$M,0))&amp;"",""))))),1,0))</f>
        <v/>
      </c>
      <c r="Q2252" s="6" t="str">
        <f>IF($K2252="","",IF(ISNUMBER(SEARCH("transfert-interne",IFERROR(INDEX('Paramètres'!$N:$N,MATCH($D2252,'Paramètres'!$M:$M,0))&amp;"",""))),0,IF($L2252="Débit",$K2252,IF($P2252=1,-$K2252,0))))</f>
        <v/>
      </c>
      <c r="R2252" s="6" t="str">
        <f>IF($K2252="","",IF($L2252="Crédit",$K2252,-$K2252))</f>
        <v/>
      </c>
      <c r="S2252" s="6" t="str">
        <f>IF($C2252="","",IFERROR(INDEX('Paramètres'!$H:$H,MATCH($C2252,'Paramètres'!$D:$D,0))&amp;"",""))</f>
        <v/>
      </c>
      <c r="T2252" s="6" t="str">
        <f>IF($K2252="","",IF($S2252="",0,IF(ISNUMBER(SEARCH("apport-exterieur",IFERROR(INDEX('Paramètres'!$N:$N,MATCH($D2252,'Paramètres'!$M:$M,0))&amp;"",""))),0,IF(OR(IFERROR(INDEX('Paramètres'!$I:$I,MATCH($C2252,'Paramètres'!$D:$D,0))&amp;"","")="Les deux",IFERROR(INDEX('Paramètres'!$I:$I,MATCH($C2252,'Paramètres'!$D:$D,0))&amp;"","")=IF($P2252=1,"Débit",$L2252)),-IF($P2252=1,-$K2252,$K2252),0))))</f>
        <v/>
      </c>
      <c r="U2252" s="6" t="str">
        <f>IF($K2252="","",IF(ISNUMBER(SEARCH("sortie-epargne",IFERROR(INDEX('Paramètres'!$N:$N,MATCH($D2252,'Paramètres'!$M:$M,0))&amp;"",""))),$K2252,0))</f>
        <v/>
      </c>
      <c r="V2252" s="6" t="str">
        <f>IF(AND($A2252&lt;&gt;"",$O2252=1,$L2252="Débit",N($Q2252)&gt;0,$A2252&gt;=Visualisation!$B$1,$A2252&lt;Visualisation!$D$1),MAX($V$1:V2251)+1,"")</f>
        <v/>
      </c>
    </row>
    <row r="2253" spans="1:22" x14ac:dyDescent="0.25">
      <c r="A2253" s="9"/>
      <c r="E2253" s="10"/>
      <c r="K2253" s="11" t="str">
        <f>IF($E2253="","",ROUND($E2253*IF(ISNA(MATCH($C2253,'Paramètres'!$D:$D,0)),1,IF(INDEX('Paramètres'!$J:$J,MATCH($C2253,'Paramètres'!$D:$D,0))="",1,INDEX('Paramètres'!$J:$J,MATCH($C2253,'Paramètres'!$D:$D,0)))),2))</f>
        <v/>
      </c>
      <c r="L2253" s="6" t="str">
        <f>IF($D2253="","",IF($F2253&lt;&gt;"",$F2253,IF(ISNA(MATCH($D2253,'Paramètres'!$M:$M,0)),"⚠ Type inconnu",IFERROR(INDEX('Paramètres'!$P:$P,MATCH($D2253,'Paramètres'!$M:$M,0))&amp;"",""))))</f>
        <v/>
      </c>
      <c r="M2253" s="6" t="str">
        <f>IF($D2253="","",IF(ISNA(MATCH($D2253,'Paramètres'!$M:$M,0)),"⚠ Type inconnu",IF($L2253="Crédit","",IFERROR(INDEX('Paramètres'!$O:$O,MATCH($D2253,'Paramètres'!$M:$M,0))&amp;"",""))))</f>
        <v/>
      </c>
      <c r="N2253" s="6" t="str">
        <f>IF($D2253="","",IFERROR(INDEX('Paramètres'!$Q:$Q,MATCH($D2253,'Paramètres'!$M:$M,0))&amp;"",""))</f>
        <v/>
      </c>
      <c r="O2253" s="6" t="str">
        <f>IF($A2253="","",IF(OR($J2253&lt;&gt;"x",$A2253&lt;=FinReleve),1,0))</f>
        <v/>
      </c>
      <c r="P2253" s="6" t="str">
        <f>IF($D2253="","",IF(AND($L2253="Crédit",OR(IFERROR(INDEX('Paramètres'!$O:$O,MATCH($D2253,'Paramètres'!$M:$M,0))&amp;"","")&lt;&gt;"",ISNUMBER(SEARCH("remboursement",IFERROR(INDEX('Paramètres'!$N:$N,MATCH($D2253,'Paramètres'!$M:$M,0))&amp;"",""))))),1,0))</f>
        <v/>
      </c>
      <c r="Q2253" s="6" t="str">
        <f>IF($K2253="","",IF(ISNUMBER(SEARCH("transfert-interne",IFERROR(INDEX('Paramètres'!$N:$N,MATCH($D2253,'Paramètres'!$M:$M,0))&amp;"",""))),0,IF($L2253="Débit",$K2253,IF($P2253=1,-$K2253,0))))</f>
        <v/>
      </c>
      <c r="R2253" s="6" t="str">
        <f>IF($K2253="","",IF($L2253="Crédit",$K2253,-$K2253))</f>
        <v/>
      </c>
      <c r="S2253" s="6" t="str">
        <f>IF($C2253="","",IFERROR(INDEX('Paramètres'!$H:$H,MATCH($C2253,'Paramètres'!$D:$D,0))&amp;"",""))</f>
        <v/>
      </c>
      <c r="T2253" s="6" t="str">
        <f>IF($K2253="","",IF($S2253="",0,IF(ISNUMBER(SEARCH("apport-exterieur",IFERROR(INDEX('Paramètres'!$N:$N,MATCH($D2253,'Paramètres'!$M:$M,0))&amp;"",""))),0,IF(OR(IFERROR(INDEX('Paramètres'!$I:$I,MATCH($C2253,'Paramètres'!$D:$D,0))&amp;"","")="Les deux",IFERROR(INDEX('Paramètres'!$I:$I,MATCH($C2253,'Paramètres'!$D:$D,0))&amp;"","")=IF($P2253=1,"Débit",$L2253)),-IF($P2253=1,-$K2253,$K2253),0))))</f>
        <v/>
      </c>
      <c r="U2253" s="6" t="str">
        <f>IF($K2253="","",IF(ISNUMBER(SEARCH("sortie-epargne",IFERROR(INDEX('Paramètres'!$N:$N,MATCH($D2253,'Paramètres'!$M:$M,0))&amp;"",""))),$K2253,0))</f>
        <v/>
      </c>
      <c r="V2253" s="6" t="str">
        <f>IF(AND($A2253&lt;&gt;"",$O2253=1,$L2253="Débit",N($Q2253)&gt;0,$A2253&gt;=Visualisation!$B$1,$A2253&lt;Visualisation!$D$1),MAX($V$1:V2252)+1,"")</f>
        <v/>
      </c>
    </row>
    <row r="2254" spans="1:22" x14ac:dyDescent="0.25">
      <c r="A2254" s="9"/>
      <c r="E2254" s="10"/>
      <c r="K2254" s="11" t="str">
        <f>IF($E2254="","",ROUND($E2254*IF(ISNA(MATCH($C2254,'Paramètres'!$D:$D,0)),1,IF(INDEX('Paramètres'!$J:$J,MATCH($C2254,'Paramètres'!$D:$D,0))="",1,INDEX('Paramètres'!$J:$J,MATCH($C2254,'Paramètres'!$D:$D,0)))),2))</f>
        <v/>
      </c>
      <c r="L2254" s="6" t="str">
        <f>IF($D2254="","",IF($F2254&lt;&gt;"",$F2254,IF(ISNA(MATCH($D2254,'Paramètres'!$M:$M,0)),"⚠ Type inconnu",IFERROR(INDEX('Paramètres'!$P:$P,MATCH($D2254,'Paramètres'!$M:$M,0))&amp;"",""))))</f>
        <v/>
      </c>
      <c r="M2254" s="6" t="str">
        <f>IF($D2254="","",IF(ISNA(MATCH($D2254,'Paramètres'!$M:$M,0)),"⚠ Type inconnu",IF($L2254="Crédit","",IFERROR(INDEX('Paramètres'!$O:$O,MATCH($D2254,'Paramètres'!$M:$M,0))&amp;"",""))))</f>
        <v/>
      </c>
      <c r="N2254" s="6" t="str">
        <f>IF($D2254="","",IFERROR(INDEX('Paramètres'!$Q:$Q,MATCH($D2254,'Paramètres'!$M:$M,0))&amp;"",""))</f>
        <v/>
      </c>
      <c r="O2254" s="6" t="str">
        <f>IF($A2254="","",IF(OR($J2254&lt;&gt;"x",$A2254&lt;=FinReleve),1,0))</f>
        <v/>
      </c>
      <c r="P2254" s="6" t="str">
        <f>IF($D2254="","",IF(AND($L2254="Crédit",OR(IFERROR(INDEX('Paramètres'!$O:$O,MATCH($D2254,'Paramètres'!$M:$M,0))&amp;"","")&lt;&gt;"",ISNUMBER(SEARCH("remboursement",IFERROR(INDEX('Paramètres'!$N:$N,MATCH($D2254,'Paramètres'!$M:$M,0))&amp;"",""))))),1,0))</f>
        <v/>
      </c>
      <c r="Q2254" s="6" t="str">
        <f>IF($K2254="","",IF(ISNUMBER(SEARCH("transfert-interne",IFERROR(INDEX('Paramètres'!$N:$N,MATCH($D2254,'Paramètres'!$M:$M,0))&amp;"",""))),0,IF($L2254="Débit",$K2254,IF($P2254=1,-$K2254,0))))</f>
        <v/>
      </c>
      <c r="R2254" s="6" t="str">
        <f>IF($K2254="","",IF($L2254="Crédit",$K2254,-$K2254))</f>
        <v/>
      </c>
      <c r="S2254" s="6" t="str">
        <f>IF($C2254="","",IFERROR(INDEX('Paramètres'!$H:$H,MATCH($C2254,'Paramètres'!$D:$D,0))&amp;"",""))</f>
        <v/>
      </c>
      <c r="T2254" s="6" t="str">
        <f>IF($K2254="","",IF($S2254="",0,IF(ISNUMBER(SEARCH("apport-exterieur",IFERROR(INDEX('Paramètres'!$N:$N,MATCH($D2254,'Paramètres'!$M:$M,0))&amp;"",""))),0,IF(OR(IFERROR(INDEX('Paramètres'!$I:$I,MATCH($C2254,'Paramètres'!$D:$D,0))&amp;"","")="Les deux",IFERROR(INDEX('Paramètres'!$I:$I,MATCH($C2254,'Paramètres'!$D:$D,0))&amp;"","")=IF($P2254=1,"Débit",$L2254)),-IF($P2254=1,-$K2254,$K2254),0))))</f>
        <v/>
      </c>
      <c r="U2254" s="6" t="str">
        <f>IF($K2254="","",IF(ISNUMBER(SEARCH("sortie-epargne",IFERROR(INDEX('Paramètres'!$N:$N,MATCH($D2254,'Paramètres'!$M:$M,0))&amp;"",""))),$K2254,0))</f>
        <v/>
      </c>
      <c r="V2254" s="6" t="str">
        <f>IF(AND($A2254&lt;&gt;"",$O2254=1,$L2254="Débit",N($Q2254)&gt;0,$A2254&gt;=Visualisation!$B$1,$A2254&lt;Visualisation!$D$1),MAX($V$1:V2253)+1,"")</f>
        <v/>
      </c>
    </row>
    <row r="2255" spans="1:22" x14ac:dyDescent="0.25">
      <c r="A2255" s="9"/>
      <c r="E2255" s="10"/>
      <c r="K2255" s="11" t="str">
        <f>IF($E2255="","",ROUND($E2255*IF(ISNA(MATCH($C2255,'Paramètres'!$D:$D,0)),1,IF(INDEX('Paramètres'!$J:$J,MATCH($C2255,'Paramètres'!$D:$D,0))="",1,INDEX('Paramètres'!$J:$J,MATCH($C2255,'Paramètres'!$D:$D,0)))),2))</f>
        <v/>
      </c>
      <c r="L2255" s="6" t="str">
        <f>IF($D2255="","",IF($F2255&lt;&gt;"",$F2255,IF(ISNA(MATCH($D2255,'Paramètres'!$M:$M,0)),"⚠ Type inconnu",IFERROR(INDEX('Paramètres'!$P:$P,MATCH($D2255,'Paramètres'!$M:$M,0))&amp;"",""))))</f>
        <v/>
      </c>
      <c r="M2255" s="6" t="str">
        <f>IF($D2255="","",IF(ISNA(MATCH($D2255,'Paramètres'!$M:$M,0)),"⚠ Type inconnu",IF($L2255="Crédit","",IFERROR(INDEX('Paramètres'!$O:$O,MATCH($D2255,'Paramètres'!$M:$M,0))&amp;"",""))))</f>
        <v/>
      </c>
      <c r="N2255" s="6" t="str">
        <f>IF($D2255="","",IFERROR(INDEX('Paramètres'!$Q:$Q,MATCH($D2255,'Paramètres'!$M:$M,0))&amp;"",""))</f>
        <v/>
      </c>
      <c r="O2255" s="6" t="str">
        <f>IF($A2255="","",IF(OR($J2255&lt;&gt;"x",$A2255&lt;=FinReleve),1,0))</f>
        <v/>
      </c>
      <c r="P2255" s="6" t="str">
        <f>IF($D2255="","",IF(AND($L2255="Crédit",OR(IFERROR(INDEX('Paramètres'!$O:$O,MATCH($D2255,'Paramètres'!$M:$M,0))&amp;"","")&lt;&gt;"",ISNUMBER(SEARCH("remboursement",IFERROR(INDEX('Paramètres'!$N:$N,MATCH($D2255,'Paramètres'!$M:$M,0))&amp;"",""))))),1,0))</f>
        <v/>
      </c>
      <c r="Q2255" s="6" t="str">
        <f>IF($K2255="","",IF(ISNUMBER(SEARCH("transfert-interne",IFERROR(INDEX('Paramètres'!$N:$N,MATCH($D2255,'Paramètres'!$M:$M,0))&amp;"",""))),0,IF($L2255="Débit",$K2255,IF($P2255=1,-$K2255,0))))</f>
        <v/>
      </c>
      <c r="R2255" s="6" t="str">
        <f>IF($K2255="","",IF($L2255="Crédit",$K2255,-$K2255))</f>
        <v/>
      </c>
      <c r="S2255" s="6" t="str">
        <f>IF($C2255="","",IFERROR(INDEX('Paramètres'!$H:$H,MATCH($C2255,'Paramètres'!$D:$D,0))&amp;"",""))</f>
        <v/>
      </c>
      <c r="T2255" s="6" t="str">
        <f>IF($K2255="","",IF($S2255="",0,IF(ISNUMBER(SEARCH("apport-exterieur",IFERROR(INDEX('Paramètres'!$N:$N,MATCH($D2255,'Paramètres'!$M:$M,0))&amp;"",""))),0,IF(OR(IFERROR(INDEX('Paramètres'!$I:$I,MATCH($C2255,'Paramètres'!$D:$D,0))&amp;"","")="Les deux",IFERROR(INDEX('Paramètres'!$I:$I,MATCH($C2255,'Paramètres'!$D:$D,0))&amp;"","")=IF($P2255=1,"Débit",$L2255)),-IF($P2255=1,-$K2255,$K2255),0))))</f>
        <v/>
      </c>
      <c r="U2255" s="6" t="str">
        <f>IF($K2255="","",IF(ISNUMBER(SEARCH("sortie-epargne",IFERROR(INDEX('Paramètres'!$N:$N,MATCH($D2255,'Paramètres'!$M:$M,0))&amp;"",""))),$K2255,0))</f>
        <v/>
      </c>
      <c r="V2255" s="6" t="str">
        <f>IF(AND($A2255&lt;&gt;"",$O2255=1,$L2255="Débit",N($Q2255)&gt;0,$A2255&gt;=Visualisation!$B$1,$A2255&lt;Visualisation!$D$1),MAX($V$1:V2254)+1,"")</f>
        <v/>
      </c>
    </row>
    <row r="2256" spans="1:22" x14ac:dyDescent="0.25">
      <c r="A2256" s="9"/>
      <c r="E2256" s="10"/>
      <c r="K2256" s="11" t="str">
        <f>IF($E2256="","",ROUND($E2256*IF(ISNA(MATCH($C2256,'Paramètres'!$D:$D,0)),1,IF(INDEX('Paramètres'!$J:$J,MATCH($C2256,'Paramètres'!$D:$D,0))="",1,INDEX('Paramètres'!$J:$J,MATCH($C2256,'Paramètres'!$D:$D,0)))),2))</f>
        <v/>
      </c>
      <c r="L2256" s="6" t="str">
        <f>IF($D2256="","",IF($F2256&lt;&gt;"",$F2256,IF(ISNA(MATCH($D2256,'Paramètres'!$M:$M,0)),"⚠ Type inconnu",IFERROR(INDEX('Paramètres'!$P:$P,MATCH($D2256,'Paramètres'!$M:$M,0))&amp;"",""))))</f>
        <v/>
      </c>
      <c r="M2256" s="6" t="str">
        <f>IF($D2256="","",IF(ISNA(MATCH($D2256,'Paramètres'!$M:$M,0)),"⚠ Type inconnu",IF($L2256="Crédit","",IFERROR(INDEX('Paramètres'!$O:$O,MATCH($D2256,'Paramètres'!$M:$M,0))&amp;"",""))))</f>
        <v/>
      </c>
      <c r="N2256" s="6" t="str">
        <f>IF($D2256="","",IFERROR(INDEX('Paramètres'!$Q:$Q,MATCH($D2256,'Paramètres'!$M:$M,0))&amp;"",""))</f>
        <v/>
      </c>
      <c r="O2256" s="6" t="str">
        <f>IF($A2256="","",IF(OR($J2256&lt;&gt;"x",$A2256&lt;=FinReleve),1,0))</f>
        <v/>
      </c>
      <c r="P2256" s="6" t="str">
        <f>IF($D2256="","",IF(AND($L2256="Crédit",OR(IFERROR(INDEX('Paramètres'!$O:$O,MATCH($D2256,'Paramètres'!$M:$M,0))&amp;"","")&lt;&gt;"",ISNUMBER(SEARCH("remboursement",IFERROR(INDEX('Paramètres'!$N:$N,MATCH($D2256,'Paramètres'!$M:$M,0))&amp;"",""))))),1,0))</f>
        <v/>
      </c>
      <c r="Q2256" s="6" t="str">
        <f>IF($K2256="","",IF(ISNUMBER(SEARCH("transfert-interne",IFERROR(INDEX('Paramètres'!$N:$N,MATCH($D2256,'Paramètres'!$M:$M,0))&amp;"",""))),0,IF($L2256="Débit",$K2256,IF($P2256=1,-$K2256,0))))</f>
        <v/>
      </c>
      <c r="R2256" s="6" t="str">
        <f>IF($K2256="","",IF($L2256="Crédit",$K2256,-$K2256))</f>
        <v/>
      </c>
      <c r="S2256" s="6" t="str">
        <f>IF($C2256="","",IFERROR(INDEX('Paramètres'!$H:$H,MATCH($C2256,'Paramètres'!$D:$D,0))&amp;"",""))</f>
        <v/>
      </c>
      <c r="T2256" s="6" t="str">
        <f>IF($K2256="","",IF($S2256="",0,IF(ISNUMBER(SEARCH("apport-exterieur",IFERROR(INDEX('Paramètres'!$N:$N,MATCH($D2256,'Paramètres'!$M:$M,0))&amp;"",""))),0,IF(OR(IFERROR(INDEX('Paramètres'!$I:$I,MATCH($C2256,'Paramètres'!$D:$D,0))&amp;"","")="Les deux",IFERROR(INDEX('Paramètres'!$I:$I,MATCH($C2256,'Paramètres'!$D:$D,0))&amp;"","")=IF($P2256=1,"Débit",$L2256)),-IF($P2256=1,-$K2256,$K2256),0))))</f>
        <v/>
      </c>
      <c r="U2256" s="6" t="str">
        <f>IF($K2256="","",IF(ISNUMBER(SEARCH("sortie-epargne",IFERROR(INDEX('Paramètres'!$N:$N,MATCH($D2256,'Paramètres'!$M:$M,0))&amp;"",""))),$K2256,0))</f>
        <v/>
      </c>
      <c r="V2256" s="6" t="str">
        <f>IF(AND($A2256&lt;&gt;"",$O2256=1,$L2256="Débit",N($Q2256)&gt;0,$A2256&gt;=Visualisation!$B$1,$A2256&lt;Visualisation!$D$1),MAX($V$1:V2255)+1,"")</f>
        <v/>
      </c>
    </row>
    <row r="2257" spans="1:22" x14ac:dyDescent="0.25">
      <c r="A2257" s="9"/>
      <c r="E2257" s="10"/>
      <c r="K2257" s="11" t="str">
        <f>IF($E2257="","",ROUND($E2257*IF(ISNA(MATCH($C2257,'Paramètres'!$D:$D,0)),1,IF(INDEX('Paramètres'!$J:$J,MATCH($C2257,'Paramètres'!$D:$D,0))="",1,INDEX('Paramètres'!$J:$J,MATCH($C2257,'Paramètres'!$D:$D,0)))),2))</f>
        <v/>
      </c>
      <c r="L2257" s="6" t="str">
        <f>IF($D2257="","",IF($F2257&lt;&gt;"",$F2257,IF(ISNA(MATCH($D2257,'Paramètres'!$M:$M,0)),"⚠ Type inconnu",IFERROR(INDEX('Paramètres'!$P:$P,MATCH($D2257,'Paramètres'!$M:$M,0))&amp;"",""))))</f>
        <v/>
      </c>
      <c r="M2257" s="6" t="str">
        <f>IF($D2257="","",IF(ISNA(MATCH($D2257,'Paramètres'!$M:$M,0)),"⚠ Type inconnu",IF($L2257="Crédit","",IFERROR(INDEX('Paramètres'!$O:$O,MATCH($D2257,'Paramètres'!$M:$M,0))&amp;"",""))))</f>
        <v/>
      </c>
      <c r="N2257" s="6" t="str">
        <f>IF($D2257="","",IFERROR(INDEX('Paramètres'!$Q:$Q,MATCH($D2257,'Paramètres'!$M:$M,0))&amp;"",""))</f>
        <v/>
      </c>
      <c r="O2257" s="6" t="str">
        <f>IF($A2257="","",IF(OR($J2257&lt;&gt;"x",$A2257&lt;=FinReleve),1,0))</f>
        <v/>
      </c>
      <c r="P2257" s="6" t="str">
        <f>IF($D2257="","",IF(AND($L2257="Crédit",OR(IFERROR(INDEX('Paramètres'!$O:$O,MATCH($D2257,'Paramètres'!$M:$M,0))&amp;"","")&lt;&gt;"",ISNUMBER(SEARCH("remboursement",IFERROR(INDEX('Paramètres'!$N:$N,MATCH($D2257,'Paramètres'!$M:$M,0))&amp;"",""))))),1,0))</f>
        <v/>
      </c>
      <c r="Q2257" s="6" t="str">
        <f>IF($K2257="","",IF(ISNUMBER(SEARCH("transfert-interne",IFERROR(INDEX('Paramètres'!$N:$N,MATCH($D2257,'Paramètres'!$M:$M,0))&amp;"",""))),0,IF($L2257="Débit",$K2257,IF($P2257=1,-$K2257,0))))</f>
        <v/>
      </c>
      <c r="R2257" s="6" t="str">
        <f>IF($K2257="","",IF($L2257="Crédit",$K2257,-$K2257))</f>
        <v/>
      </c>
      <c r="S2257" s="6" t="str">
        <f>IF($C2257="","",IFERROR(INDEX('Paramètres'!$H:$H,MATCH($C2257,'Paramètres'!$D:$D,0))&amp;"",""))</f>
        <v/>
      </c>
      <c r="T2257" s="6" t="str">
        <f>IF($K2257="","",IF($S2257="",0,IF(ISNUMBER(SEARCH("apport-exterieur",IFERROR(INDEX('Paramètres'!$N:$N,MATCH($D2257,'Paramètres'!$M:$M,0))&amp;"",""))),0,IF(OR(IFERROR(INDEX('Paramètres'!$I:$I,MATCH($C2257,'Paramètres'!$D:$D,0))&amp;"","")="Les deux",IFERROR(INDEX('Paramètres'!$I:$I,MATCH($C2257,'Paramètres'!$D:$D,0))&amp;"","")=IF($P2257=1,"Débit",$L2257)),-IF($P2257=1,-$K2257,$K2257),0))))</f>
        <v/>
      </c>
      <c r="U2257" s="6" t="str">
        <f>IF($K2257="","",IF(ISNUMBER(SEARCH("sortie-epargne",IFERROR(INDEX('Paramètres'!$N:$N,MATCH($D2257,'Paramètres'!$M:$M,0))&amp;"",""))),$K2257,0))</f>
        <v/>
      </c>
      <c r="V2257" s="6" t="str">
        <f>IF(AND($A2257&lt;&gt;"",$O2257=1,$L2257="Débit",N($Q2257)&gt;0,$A2257&gt;=Visualisation!$B$1,$A2257&lt;Visualisation!$D$1),MAX($V$1:V2256)+1,"")</f>
        <v/>
      </c>
    </row>
    <row r="2258" spans="1:22" x14ac:dyDescent="0.25">
      <c r="A2258" s="9"/>
      <c r="E2258" s="10"/>
      <c r="K2258" s="11" t="str">
        <f>IF($E2258="","",ROUND($E2258*IF(ISNA(MATCH($C2258,'Paramètres'!$D:$D,0)),1,IF(INDEX('Paramètres'!$J:$J,MATCH($C2258,'Paramètres'!$D:$D,0))="",1,INDEX('Paramètres'!$J:$J,MATCH($C2258,'Paramètres'!$D:$D,0)))),2))</f>
        <v/>
      </c>
      <c r="L2258" s="6" t="str">
        <f>IF($D2258="","",IF($F2258&lt;&gt;"",$F2258,IF(ISNA(MATCH($D2258,'Paramètres'!$M:$M,0)),"⚠ Type inconnu",IFERROR(INDEX('Paramètres'!$P:$P,MATCH($D2258,'Paramètres'!$M:$M,0))&amp;"",""))))</f>
        <v/>
      </c>
      <c r="M2258" s="6" t="str">
        <f>IF($D2258="","",IF(ISNA(MATCH($D2258,'Paramètres'!$M:$M,0)),"⚠ Type inconnu",IF($L2258="Crédit","",IFERROR(INDEX('Paramètres'!$O:$O,MATCH($D2258,'Paramètres'!$M:$M,0))&amp;"",""))))</f>
        <v/>
      </c>
      <c r="N2258" s="6" t="str">
        <f>IF($D2258="","",IFERROR(INDEX('Paramètres'!$Q:$Q,MATCH($D2258,'Paramètres'!$M:$M,0))&amp;"",""))</f>
        <v/>
      </c>
      <c r="O2258" s="6" t="str">
        <f>IF($A2258="","",IF(OR($J2258&lt;&gt;"x",$A2258&lt;=FinReleve),1,0))</f>
        <v/>
      </c>
      <c r="P2258" s="6" t="str">
        <f>IF($D2258="","",IF(AND($L2258="Crédit",OR(IFERROR(INDEX('Paramètres'!$O:$O,MATCH($D2258,'Paramètres'!$M:$M,0))&amp;"","")&lt;&gt;"",ISNUMBER(SEARCH("remboursement",IFERROR(INDEX('Paramètres'!$N:$N,MATCH($D2258,'Paramètres'!$M:$M,0))&amp;"",""))))),1,0))</f>
        <v/>
      </c>
      <c r="Q2258" s="6" t="str">
        <f>IF($K2258="","",IF(ISNUMBER(SEARCH("transfert-interne",IFERROR(INDEX('Paramètres'!$N:$N,MATCH($D2258,'Paramètres'!$M:$M,0))&amp;"",""))),0,IF($L2258="Débit",$K2258,IF($P2258=1,-$K2258,0))))</f>
        <v/>
      </c>
      <c r="R2258" s="6" t="str">
        <f>IF($K2258="","",IF($L2258="Crédit",$K2258,-$K2258))</f>
        <v/>
      </c>
      <c r="S2258" s="6" t="str">
        <f>IF($C2258="","",IFERROR(INDEX('Paramètres'!$H:$H,MATCH($C2258,'Paramètres'!$D:$D,0))&amp;"",""))</f>
        <v/>
      </c>
      <c r="T2258" s="6" t="str">
        <f>IF($K2258="","",IF($S2258="",0,IF(ISNUMBER(SEARCH("apport-exterieur",IFERROR(INDEX('Paramètres'!$N:$N,MATCH($D2258,'Paramètres'!$M:$M,0))&amp;"",""))),0,IF(OR(IFERROR(INDEX('Paramètres'!$I:$I,MATCH($C2258,'Paramètres'!$D:$D,0))&amp;"","")="Les deux",IFERROR(INDEX('Paramètres'!$I:$I,MATCH($C2258,'Paramètres'!$D:$D,0))&amp;"","")=IF($P2258=1,"Débit",$L2258)),-IF($P2258=1,-$K2258,$K2258),0))))</f>
        <v/>
      </c>
      <c r="U2258" s="6" t="str">
        <f>IF($K2258="","",IF(ISNUMBER(SEARCH("sortie-epargne",IFERROR(INDEX('Paramètres'!$N:$N,MATCH($D2258,'Paramètres'!$M:$M,0))&amp;"",""))),$K2258,0))</f>
        <v/>
      </c>
      <c r="V2258" s="6" t="str">
        <f>IF(AND($A2258&lt;&gt;"",$O2258=1,$L2258="Débit",N($Q2258)&gt;0,$A2258&gt;=Visualisation!$B$1,$A2258&lt;Visualisation!$D$1),MAX($V$1:V2257)+1,"")</f>
        <v/>
      </c>
    </row>
    <row r="2259" spans="1:22" x14ac:dyDescent="0.25">
      <c r="A2259" s="9"/>
      <c r="E2259" s="10"/>
      <c r="K2259" s="11" t="str">
        <f>IF($E2259="","",ROUND($E2259*IF(ISNA(MATCH($C2259,'Paramètres'!$D:$D,0)),1,IF(INDEX('Paramètres'!$J:$J,MATCH($C2259,'Paramètres'!$D:$D,0))="",1,INDEX('Paramètres'!$J:$J,MATCH($C2259,'Paramètres'!$D:$D,0)))),2))</f>
        <v/>
      </c>
      <c r="L2259" s="6" t="str">
        <f>IF($D2259="","",IF($F2259&lt;&gt;"",$F2259,IF(ISNA(MATCH($D2259,'Paramètres'!$M:$M,0)),"⚠ Type inconnu",IFERROR(INDEX('Paramètres'!$P:$P,MATCH($D2259,'Paramètres'!$M:$M,0))&amp;"",""))))</f>
        <v/>
      </c>
      <c r="M2259" s="6" t="str">
        <f>IF($D2259="","",IF(ISNA(MATCH($D2259,'Paramètres'!$M:$M,0)),"⚠ Type inconnu",IF($L2259="Crédit","",IFERROR(INDEX('Paramètres'!$O:$O,MATCH($D2259,'Paramètres'!$M:$M,0))&amp;"",""))))</f>
        <v/>
      </c>
      <c r="N2259" s="6" t="str">
        <f>IF($D2259="","",IFERROR(INDEX('Paramètres'!$Q:$Q,MATCH($D2259,'Paramètres'!$M:$M,0))&amp;"",""))</f>
        <v/>
      </c>
      <c r="O2259" s="6" t="str">
        <f>IF($A2259="","",IF(OR($J2259&lt;&gt;"x",$A2259&lt;=FinReleve),1,0))</f>
        <v/>
      </c>
      <c r="P2259" s="6" t="str">
        <f>IF($D2259="","",IF(AND($L2259="Crédit",OR(IFERROR(INDEX('Paramètres'!$O:$O,MATCH($D2259,'Paramètres'!$M:$M,0))&amp;"","")&lt;&gt;"",ISNUMBER(SEARCH("remboursement",IFERROR(INDEX('Paramètres'!$N:$N,MATCH($D2259,'Paramètres'!$M:$M,0))&amp;"",""))))),1,0))</f>
        <v/>
      </c>
      <c r="Q2259" s="6" t="str">
        <f>IF($K2259="","",IF(ISNUMBER(SEARCH("transfert-interne",IFERROR(INDEX('Paramètres'!$N:$N,MATCH($D2259,'Paramètres'!$M:$M,0))&amp;"",""))),0,IF($L2259="Débit",$K2259,IF($P2259=1,-$K2259,0))))</f>
        <v/>
      </c>
      <c r="R2259" s="6" t="str">
        <f>IF($K2259="","",IF($L2259="Crédit",$K2259,-$K2259))</f>
        <v/>
      </c>
      <c r="S2259" s="6" t="str">
        <f>IF($C2259="","",IFERROR(INDEX('Paramètres'!$H:$H,MATCH($C2259,'Paramètres'!$D:$D,0))&amp;"",""))</f>
        <v/>
      </c>
      <c r="T2259" s="6" t="str">
        <f>IF($K2259="","",IF($S2259="",0,IF(ISNUMBER(SEARCH("apport-exterieur",IFERROR(INDEX('Paramètres'!$N:$N,MATCH($D2259,'Paramètres'!$M:$M,0))&amp;"",""))),0,IF(OR(IFERROR(INDEX('Paramètres'!$I:$I,MATCH($C2259,'Paramètres'!$D:$D,0))&amp;"","")="Les deux",IFERROR(INDEX('Paramètres'!$I:$I,MATCH($C2259,'Paramètres'!$D:$D,0))&amp;"","")=IF($P2259=1,"Débit",$L2259)),-IF($P2259=1,-$K2259,$K2259),0))))</f>
        <v/>
      </c>
      <c r="U2259" s="6" t="str">
        <f>IF($K2259="","",IF(ISNUMBER(SEARCH("sortie-epargne",IFERROR(INDEX('Paramètres'!$N:$N,MATCH($D2259,'Paramètres'!$M:$M,0))&amp;"",""))),$K2259,0))</f>
        <v/>
      </c>
      <c r="V2259" s="6" t="str">
        <f>IF(AND($A2259&lt;&gt;"",$O2259=1,$L2259="Débit",N($Q2259)&gt;0,$A2259&gt;=Visualisation!$B$1,$A2259&lt;Visualisation!$D$1),MAX($V$1:V2258)+1,"")</f>
        <v/>
      </c>
    </row>
    <row r="2260" spans="1:22" x14ac:dyDescent="0.25">
      <c r="A2260" s="9"/>
      <c r="E2260" s="10"/>
      <c r="K2260" s="11" t="str">
        <f>IF($E2260="","",ROUND($E2260*IF(ISNA(MATCH($C2260,'Paramètres'!$D:$D,0)),1,IF(INDEX('Paramètres'!$J:$J,MATCH($C2260,'Paramètres'!$D:$D,0))="",1,INDEX('Paramètres'!$J:$J,MATCH($C2260,'Paramètres'!$D:$D,0)))),2))</f>
        <v/>
      </c>
      <c r="L2260" s="6" t="str">
        <f>IF($D2260="","",IF($F2260&lt;&gt;"",$F2260,IF(ISNA(MATCH($D2260,'Paramètres'!$M:$M,0)),"⚠ Type inconnu",IFERROR(INDEX('Paramètres'!$P:$P,MATCH($D2260,'Paramètres'!$M:$M,0))&amp;"",""))))</f>
        <v/>
      </c>
      <c r="M2260" s="6" t="str">
        <f>IF($D2260="","",IF(ISNA(MATCH($D2260,'Paramètres'!$M:$M,0)),"⚠ Type inconnu",IF($L2260="Crédit","",IFERROR(INDEX('Paramètres'!$O:$O,MATCH($D2260,'Paramètres'!$M:$M,0))&amp;"",""))))</f>
        <v/>
      </c>
      <c r="N2260" s="6" t="str">
        <f>IF($D2260="","",IFERROR(INDEX('Paramètres'!$Q:$Q,MATCH($D2260,'Paramètres'!$M:$M,0))&amp;"",""))</f>
        <v/>
      </c>
      <c r="O2260" s="6" t="str">
        <f>IF($A2260="","",IF(OR($J2260&lt;&gt;"x",$A2260&lt;=FinReleve),1,0))</f>
        <v/>
      </c>
      <c r="P2260" s="6" t="str">
        <f>IF($D2260="","",IF(AND($L2260="Crédit",OR(IFERROR(INDEX('Paramètres'!$O:$O,MATCH($D2260,'Paramètres'!$M:$M,0))&amp;"","")&lt;&gt;"",ISNUMBER(SEARCH("remboursement",IFERROR(INDEX('Paramètres'!$N:$N,MATCH($D2260,'Paramètres'!$M:$M,0))&amp;"",""))))),1,0))</f>
        <v/>
      </c>
      <c r="Q2260" s="6" t="str">
        <f>IF($K2260="","",IF(ISNUMBER(SEARCH("transfert-interne",IFERROR(INDEX('Paramètres'!$N:$N,MATCH($D2260,'Paramètres'!$M:$M,0))&amp;"",""))),0,IF($L2260="Débit",$K2260,IF($P2260=1,-$K2260,0))))</f>
        <v/>
      </c>
      <c r="R2260" s="6" t="str">
        <f>IF($K2260="","",IF($L2260="Crédit",$K2260,-$K2260))</f>
        <v/>
      </c>
      <c r="S2260" s="6" t="str">
        <f>IF($C2260="","",IFERROR(INDEX('Paramètres'!$H:$H,MATCH($C2260,'Paramètres'!$D:$D,0))&amp;"",""))</f>
        <v/>
      </c>
      <c r="T2260" s="6" t="str">
        <f>IF($K2260="","",IF($S2260="",0,IF(ISNUMBER(SEARCH("apport-exterieur",IFERROR(INDEX('Paramètres'!$N:$N,MATCH($D2260,'Paramètres'!$M:$M,0))&amp;"",""))),0,IF(OR(IFERROR(INDEX('Paramètres'!$I:$I,MATCH($C2260,'Paramètres'!$D:$D,0))&amp;"","")="Les deux",IFERROR(INDEX('Paramètres'!$I:$I,MATCH($C2260,'Paramètres'!$D:$D,0))&amp;"","")=IF($P2260=1,"Débit",$L2260)),-IF($P2260=1,-$K2260,$K2260),0))))</f>
        <v/>
      </c>
      <c r="U2260" s="6" t="str">
        <f>IF($K2260="","",IF(ISNUMBER(SEARCH("sortie-epargne",IFERROR(INDEX('Paramètres'!$N:$N,MATCH($D2260,'Paramètres'!$M:$M,0))&amp;"",""))),$K2260,0))</f>
        <v/>
      </c>
      <c r="V2260" s="6" t="str">
        <f>IF(AND($A2260&lt;&gt;"",$O2260=1,$L2260="Débit",N($Q2260)&gt;0,$A2260&gt;=Visualisation!$B$1,$A2260&lt;Visualisation!$D$1),MAX($V$1:V2259)+1,"")</f>
        <v/>
      </c>
    </row>
    <row r="2261" spans="1:22" x14ac:dyDescent="0.25">
      <c r="A2261" s="9"/>
      <c r="E2261" s="10"/>
      <c r="K2261" s="11" t="str">
        <f>IF($E2261="","",ROUND($E2261*IF(ISNA(MATCH($C2261,'Paramètres'!$D:$D,0)),1,IF(INDEX('Paramètres'!$J:$J,MATCH($C2261,'Paramètres'!$D:$D,0))="",1,INDEX('Paramètres'!$J:$J,MATCH($C2261,'Paramètres'!$D:$D,0)))),2))</f>
        <v/>
      </c>
      <c r="L2261" s="6" t="str">
        <f>IF($D2261="","",IF($F2261&lt;&gt;"",$F2261,IF(ISNA(MATCH($D2261,'Paramètres'!$M:$M,0)),"⚠ Type inconnu",IFERROR(INDEX('Paramètres'!$P:$P,MATCH($D2261,'Paramètres'!$M:$M,0))&amp;"",""))))</f>
        <v/>
      </c>
      <c r="M2261" s="6" t="str">
        <f>IF($D2261="","",IF(ISNA(MATCH($D2261,'Paramètres'!$M:$M,0)),"⚠ Type inconnu",IF($L2261="Crédit","",IFERROR(INDEX('Paramètres'!$O:$O,MATCH($D2261,'Paramètres'!$M:$M,0))&amp;"",""))))</f>
        <v/>
      </c>
      <c r="N2261" s="6" t="str">
        <f>IF($D2261="","",IFERROR(INDEX('Paramètres'!$Q:$Q,MATCH($D2261,'Paramètres'!$M:$M,0))&amp;"",""))</f>
        <v/>
      </c>
      <c r="O2261" s="6" t="str">
        <f>IF($A2261="","",IF(OR($J2261&lt;&gt;"x",$A2261&lt;=FinReleve),1,0))</f>
        <v/>
      </c>
      <c r="P2261" s="6" t="str">
        <f>IF($D2261="","",IF(AND($L2261="Crédit",OR(IFERROR(INDEX('Paramètres'!$O:$O,MATCH($D2261,'Paramètres'!$M:$M,0))&amp;"","")&lt;&gt;"",ISNUMBER(SEARCH("remboursement",IFERROR(INDEX('Paramètres'!$N:$N,MATCH($D2261,'Paramètres'!$M:$M,0))&amp;"",""))))),1,0))</f>
        <v/>
      </c>
      <c r="Q2261" s="6" t="str">
        <f>IF($K2261="","",IF(ISNUMBER(SEARCH("transfert-interne",IFERROR(INDEX('Paramètres'!$N:$N,MATCH($D2261,'Paramètres'!$M:$M,0))&amp;"",""))),0,IF($L2261="Débit",$K2261,IF($P2261=1,-$K2261,0))))</f>
        <v/>
      </c>
      <c r="R2261" s="6" t="str">
        <f>IF($K2261="","",IF($L2261="Crédit",$K2261,-$K2261))</f>
        <v/>
      </c>
      <c r="S2261" s="6" t="str">
        <f>IF($C2261="","",IFERROR(INDEX('Paramètres'!$H:$H,MATCH($C2261,'Paramètres'!$D:$D,0))&amp;"",""))</f>
        <v/>
      </c>
      <c r="T2261" s="6" t="str">
        <f>IF($K2261="","",IF($S2261="",0,IF(ISNUMBER(SEARCH("apport-exterieur",IFERROR(INDEX('Paramètres'!$N:$N,MATCH($D2261,'Paramètres'!$M:$M,0))&amp;"",""))),0,IF(OR(IFERROR(INDEX('Paramètres'!$I:$I,MATCH($C2261,'Paramètres'!$D:$D,0))&amp;"","")="Les deux",IFERROR(INDEX('Paramètres'!$I:$I,MATCH($C2261,'Paramètres'!$D:$D,0))&amp;"","")=IF($P2261=1,"Débit",$L2261)),-IF($P2261=1,-$K2261,$K2261),0))))</f>
        <v/>
      </c>
      <c r="U2261" s="6" t="str">
        <f>IF($K2261="","",IF(ISNUMBER(SEARCH("sortie-epargne",IFERROR(INDEX('Paramètres'!$N:$N,MATCH($D2261,'Paramètres'!$M:$M,0))&amp;"",""))),$K2261,0))</f>
        <v/>
      </c>
      <c r="V2261" s="6" t="str">
        <f>IF(AND($A2261&lt;&gt;"",$O2261=1,$L2261="Débit",N($Q2261)&gt;0,$A2261&gt;=Visualisation!$B$1,$A2261&lt;Visualisation!$D$1),MAX($V$1:V2260)+1,"")</f>
        <v/>
      </c>
    </row>
    <row r="2262" spans="1:22" x14ac:dyDescent="0.25">
      <c r="A2262" s="9"/>
      <c r="E2262" s="10"/>
      <c r="K2262" s="11" t="str">
        <f>IF($E2262="","",ROUND($E2262*IF(ISNA(MATCH($C2262,'Paramètres'!$D:$D,0)),1,IF(INDEX('Paramètres'!$J:$J,MATCH($C2262,'Paramètres'!$D:$D,0))="",1,INDEX('Paramètres'!$J:$J,MATCH($C2262,'Paramètres'!$D:$D,0)))),2))</f>
        <v/>
      </c>
      <c r="L2262" s="6" t="str">
        <f>IF($D2262="","",IF($F2262&lt;&gt;"",$F2262,IF(ISNA(MATCH($D2262,'Paramètres'!$M:$M,0)),"⚠ Type inconnu",IFERROR(INDEX('Paramètres'!$P:$P,MATCH($D2262,'Paramètres'!$M:$M,0))&amp;"",""))))</f>
        <v/>
      </c>
      <c r="M2262" s="6" t="str">
        <f>IF($D2262="","",IF(ISNA(MATCH($D2262,'Paramètres'!$M:$M,0)),"⚠ Type inconnu",IF($L2262="Crédit","",IFERROR(INDEX('Paramètres'!$O:$O,MATCH($D2262,'Paramètres'!$M:$M,0))&amp;"",""))))</f>
        <v/>
      </c>
      <c r="N2262" s="6" t="str">
        <f>IF($D2262="","",IFERROR(INDEX('Paramètres'!$Q:$Q,MATCH($D2262,'Paramètres'!$M:$M,0))&amp;"",""))</f>
        <v/>
      </c>
      <c r="O2262" s="6" t="str">
        <f>IF($A2262="","",IF(OR($J2262&lt;&gt;"x",$A2262&lt;=FinReleve),1,0))</f>
        <v/>
      </c>
      <c r="P2262" s="6" t="str">
        <f>IF($D2262="","",IF(AND($L2262="Crédit",OR(IFERROR(INDEX('Paramètres'!$O:$O,MATCH($D2262,'Paramètres'!$M:$M,0))&amp;"","")&lt;&gt;"",ISNUMBER(SEARCH("remboursement",IFERROR(INDEX('Paramètres'!$N:$N,MATCH($D2262,'Paramètres'!$M:$M,0))&amp;"",""))))),1,0))</f>
        <v/>
      </c>
      <c r="Q2262" s="6" t="str">
        <f>IF($K2262="","",IF(ISNUMBER(SEARCH("transfert-interne",IFERROR(INDEX('Paramètres'!$N:$N,MATCH($D2262,'Paramètres'!$M:$M,0))&amp;"",""))),0,IF($L2262="Débit",$K2262,IF($P2262=1,-$K2262,0))))</f>
        <v/>
      </c>
      <c r="R2262" s="6" t="str">
        <f>IF($K2262="","",IF($L2262="Crédit",$K2262,-$K2262))</f>
        <v/>
      </c>
      <c r="S2262" s="6" t="str">
        <f>IF($C2262="","",IFERROR(INDEX('Paramètres'!$H:$H,MATCH($C2262,'Paramètres'!$D:$D,0))&amp;"",""))</f>
        <v/>
      </c>
      <c r="T2262" s="6" t="str">
        <f>IF($K2262="","",IF($S2262="",0,IF(ISNUMBER(SEARCH("apport-exterieur",IFERROR(INDEX('Paramètres'!$N:$N,MATCH($D2262,'Paramètres'!$M:$M,0))&amp;"",""))),0,IF(OR(IFERROR(INDEX('Paramètres'!$I:$I,MATCH($C2262,'Paramètres'!$D:$D,0))&amp;"","")="Les deux",IFERROR(INDEX('Paramètres'!$I:$I,MATCH($C2262,'Paramètres'!$D:$D,0))&amp;"","")=IF($P2262=1,"Débit",$L2262)),-IF($P2262=1,-$K2262,$K2262),0))))</f>
        <v/>
      </c>
      <c r="U2262" s="6" t="str">
        <f>IF($K2262="","",IF(ISNUMBER(SEARCH("sortie-epargne",IFERROR(INDEX('Paramètres'!$N:$N,MATCH($D2262,'Paramètres'!$M:$M,0))&amp;"",""))),$K2262,0))</f>
        <v/>
      </c>
      <c r="V2262" s="6" t="str">
        <f>IF(AND($A2262&lt;&gt;"",$O2262=1,$L2262="Débit",N($Q2262)&gt;0,$A2262&gt;=Visualisation!$B$1,$A2262&lt;Visualisation!$D$1),MAX($V$1:V2261)+1,"")</f>
        <v/>
      </c>
    </row>
    <row r="2263" spans="1:22" x14ac:dyDescent="0.25">
      <c r="A2263" s="9"/>
      <c r="E2263" s="10"/>
      <c r="K2263" s="11" t="str">
        <f>IF($E2263="","",ROUND($E2263*IF(ISNA(MATCH($C2263,'Paramètres'!$D:$D,0)),1,IF(INDEX('Paramètres'!$J:$J,MATCH($C2263,'Paramètres'!$D:$D,0))="",1,INDEX('Paramètres'!$J:$J,MATCH($C2263,'Paramètres'!$D:$D,0)))),2))</f>
        <v/>
      </c>
      <c r="L2263" s="6" t="str">
        <f>IF($D2263="","",IF($F2263&lt;&gt;"",$F2263,IF(ISNA(MATCH($D2263,'Paramètres'!$M:$M,0)),"⚠ Type inconnu",IFERROR(INDEX('Paramètres'!$P:$P,MATCH($D2263,'Paramètres'!$M:$M,0))&amp;"",""))))</f>
        <v/>
      </c>
      <c r="M2263" s="6" t="str">
        <f>IF($D2263="","",IF(ISNA(MATCH($D2263,'Paramètres'!$M:$M,0)),"⚠ Type inconnu",IF($L2263="Crédit","",IFERROR(INDEX('Paramètres'!$O:$O,MATCH($D2263,'Paramètres'!$M:$M,0))&amp;"",""))))</f>
        <v/>
      </c>
      <c r="N2263" s="6" t="str">
        <f>IF($D2263="","",IFERROR(INDEX('Paramètres'!$Q:$Q,MATCH($D2263,'Paramètres'!$M:$M,0))&amp;"",""))</f>
        <v/>
      </c>
      <c r="O2263" s="6" t="str">
        <f>IF($A2263="","",IF(OR($J2263&lt;&gt;"x",$A2263&lt;=FinReleve),1,0))</f>
        <v/>
      </c>
      <c r="P2263" s="6" t="str">
        <f>IF($D2263="","",IF(AND($L2263="Crédit",OR(IFERROR(INDEX('Paramètres'!$O:$O,MATCH($D2263,'Paramètres'!$M:$M,0))&amp;"","")&lt;&gt;"",ISNUMBER(SEARCH("remboursement",IFERROR(INDEX('Paramètres'!$N:$N,MATCH($D2263,'Paramètres'!$M:$M,0))&amp;"",""))))),1,0))</f>
        <v/>
      </c>
      <c r="Q2263" s="6" t="str">
        <f>IF($K2263="","",IF(ISNUMBER(SEARCH("transfert-interne",IFERROR(INDEX('Paramètres'!$N:$N,MATCH($D2263,'Paramètres'!$M:$M,0))&amp;"",""))),0,IF($L2263="Débit",$K2263,IF($P2263=1,-$K2263,0))))</f>
        <v/>
      </c>
      <c r="R2263" s="6" t="str">
        <f>IF($K2263="","",IF($L2263="Crédit",$K2263,-$K2263))</f>
        <v/>
      </c>
      <c r="S2263" s="6" t="str">
        <f>IF($C2263="","",IFERROR(INDEX('Paramètres'!$H:$H,MATCH($C2263,'Paramètres'!$D:$D,0))&amp;"",""))</f>
        <v/>
      </c>
      <c r="T2263" s="6" t="str">
        <f>IF($K2263="","",IF($S2263="",0,IF(ISNUMBER(SEARCH("apport-exterieur",IFERROR(INDEX('Paramètres'!$N:$N,MATCH($D2263,'Paramètres'!$M:$M,0))&amp;"",""))),0,IF(OR(IFERROR(INDEX('Paramètres'!$I:$I,MATCH($C2263,'Paramètres'!$D:$D,0))&amp;"","")="Les deux",IFERROR(INDEX('Paramètres'!$I:$I,MATCH($C2263,'Paramètres'!$D:$D,0))&amp;"","")=IF($P2263=1,"Débit",$L2263)),-IF($P2263=1,-$K2263,$K2263),0))))</f>
        <v/>
      </c>
      <c r="U2263" s="6" t="str">
        <f>IF($K2263="","",IF(ISNUMBER(SEARCH("sortie-epargne",IFERROR(INDEX('Paramètres'!$N:$N,MATCH($D2263,'Paramètres'!$M:$M,0))&amp;"",""))),$K2263,0))</f>
        <v/>
      </c>
      <c r="V2263" s="6" t="str">
        <f>IF(AND($A2263&lt;&gt;"",$O2263=1,$L2263="Débit",N($Q2263)&gt;0,$A2263&gt;=Visualisation!$B$1,$A2263&lt;Visualisation!$D$1),MAX($V$1:V2262)+1,"")</f>
        <v/>
      </c>
    </row>
    <row r="2264" spans="1:22" x14ac:dyDescent="0.25">
      <c r="A2264" s="9"/>
      <c r="E2264" s="10"/>
      <c r="K2264" s="11" t="str">
        <f>IF($E2264="","",ROUND($E2264*IF(ISNA(MATCH($C2264,'Paramètres'!$D:$D,0)),1,IF(INDEX('Paramètres'!$J:$J,MATCH($C2264,'Paramètres'!$D:$D,0))="",1,INDEX('Paramètres'!$J:$J,MATCH($C2264,'Paramètres'!$D:$D,0)))),2))</f>
        <v/>
      </c>
      <c r="L2264" s="6" t="str">
        <f>IF($D2264="","",IF($F2264&lt;&gt;"",$F2264,IF(ISNA(MATCH($D2264,'Paramètres'!$M:$M,0)),"⚠ Type inconnu",IFERROR(INDEX('Paramètres'!$P:$P,MATCH($D2264,'Paramètres'!$M:$M,0))&amp;"",""))))</f>
        <v/>
      </c>
      <c r="M2264" s="6" t="str">
        <f>IF($D2264="","",IF(ISNA(MATCH($D2264,'Paramètres'!$M:$M,0)),"⚠ Type inconnu",IF($L2264="Crédit","",IFERROR(INDEX('Paramètres'!$O:$O,MATCH($D2264,'Paramètres'!$M:$M,0))&amp;"",""))))</f>
        <v/>
      </c>
      <c r="N2264" s="6" t="str">
        <f>IF($D2264="","",IFERROR(INDEX('Paramètres'!$Q:$Q,MATCH($D2264,'Paramètres'!$M:$M,0))&amp;"",""))</f>
        <v/>
      </c>
      <c r="O2264" s="6" t="str">
        <f>IF($A2264="","",IF(OR($J2264&lt;&gt;"x",$A2264&lt;=FinReleve),1,0))</f>
        <v/>
      </c>
      <c r="P2264" s="6" t="str">
        <f>IF($D2264="","",IF(AND($L2264="Crédit",OR(IFERROR(INDEX('Paramètres'!$O:$O,MATCH($D2264,'Paramètres'!$M:$M,0))&amp;"","")&lt;&gt;"",ISNUMBER(SEARCH("remboursement",IFERROR(INDEX('Paramètres'!$N:$N,MATCH($D2264,'Paramètres'!$M:$M,0))&amp;"",""))))),1,0))</f>
        <v/>
      </c>
      <c r="Q2264" s="6" t="str">
        <f>IF($K2264="","",IF(ISNUMBER(SEARCH("transfert-interne",IFERROR(INDEX('Paramètres'!$N:$N,MATCH($D2264,'Paramètres'!$M:$M,0))&amp;"",""))),0,IF($L2264="Débit",$K2264,IF($P2264=1,-$K2264,0))))</f>
        <v/>
      </c>
      <c r="R2264" s="6" t="str">
        <f>IF($K2264="","",IF($L2264="Crédit",$K2264,-$K2264))</f>
        <v/>
      </c>
      <c r="S2264" s="6" t="str">
        <f>IF($C2264="","",IFERROR(INDEX('Paramètres'!$H:$H,MATCH($C2264,'Paramètres'!$D:$D,0))&amp;"",""))</f>
        <v/>
      </c>
      <c r="T2264" s="6" t="str">
        <f>IF($K2264="","",IF($S2264="",0,IF(ISNUMBER(SEARCH("apport-exterieur",IFERROR(INDEX('Paramètres'!$N:$N,MATCH($D2264,'Paramètres'!$M:$M,0))&amp;"",""))),0,IF(OR(IFERROR(INDEX('Paramètres'!$I:$I,MATCH($C2264,'Paramètres'!$D:$D,0))&amp;"","")="Les deux",IFERROR(INDEX('Paramètres'!$I:$I,MATCH($C2264,'Paramètres'!$D:$D,0))&amp;"","")=IF($P2264=1,"Débit",$L2264)),-IF($P2264=1,-$K2264,$K2264),0))))</f>
        <v/>
      </c>
      <c r="U2264" s="6" t="str">
        <f>IF($K2264="","",IF(ISNUMBER(SEARCH("sortie-epargne",IFERROR(INDEX('Paramètres'!$N:$N,MATCH($D2264,'Paramètres'!$M:$M,0))&amp;"",""))),$K2264,0))</f>
        <v/>
      </c>
      <c r="V2264" s="6" t="str">
        <f>IF(AND($A2264&lt;&gt;"",$O2264=1,$L2264="Débit",N($Q2264)&gt;0,$A2264&gt;=Visualisation!$B$1,$A2264&lt;Visualisation!$D$1),MAX($V$1:V2263)+1,"")</f>
        <v/>
      </c>
    </row>
    <row r="2265" spans="1:22" x14ac:dyDescent="0.25">
      <c r="A2265" s="9"/>
      <c r="E2265" s="10"/>
      <c r="K2265" s="11" t="str">
        <f>IF($E2265="","",ROUND($E2265*IF(ISNA(MATCH($C2265,'Paramètres'!$D:$D,0)),1,IF(INDEX('Paramètres'!$J:$J,MATCH($C2265,'Paramètres'!$D:$D,0))="",1,INDEX('Paramètres'!$J:$J,MATCH($C2265,'Paramètres'!$D:$D,0)))),2))</f>
        <v/>
      </c>
      <c r="L2265" s="6" t="str">
        <f>IF($D2265="","",IF($F2265&lt;&gt;"",$F2265,IF(ISNA(MATCH($D2265,'Paramètres'!$M:$M,0)),"⚠ Type inconnu",IFERROR(INDEX('Paramètres'!$P:$P,MATCH($D2265,'Paramètres'!$M:$M,0))&amp;"",""))))</f>
        <v/>
      </c>
      <c r="M2265" s="6" t="str">
        <f>IF($D2265="","",IF(ISNA(MATCH($D2265,'Paramètres'!$M:$M,0)),"⚠ Type inconnu",IF($L2265="Crédit","",IFERROR(INDEX('Paramètres'!$O:$O,MATCH($D2265,'Paramètres'!$M:$M,0))&amp;"",""))))</f>
        <v/>
      </c>
      <c r="N2265" s="6" t="str">
        <f>IF($D2265="","",IFERROR(INDEX('Paramètres'!$Q:$Q,MATCH($D2265,'Paramètres'!$M:$M,0))&amp;"",""))</f>
        <v/>
      </c>
      <c r="O2265" s="6" t="str">
        <f>IF($A2265="","",IF(OR($J2265&lt;&gt;"x",$A2265&lt;=FinReleve),1,0))</f>
        <v/>
      </c>
      <c r="P2265" s="6" t="str">
        <f>IF($D2265="","",IF(AND($L2265="Crédit",OR(IFERROR(INDEX('Paramètres'!$O:$O,MATCH($D2265,'Paramètres'!$M:$M,0))&amp;"","")&lt;&gt;"",ISNUMBER(SEARCH("remboursement",IFERROR(INDEX('Paramètres'!$N:$N,MATCH($D2265,'Paramètres'!$M:$M,0))&amp;"",""))))),1,0))</f>
        <v/>
      </c>
      <c r="Q2265" s="6" t="str">
        <f>IF($K2265="","",IF(ISNUMBER(SEARCH("transfert-interne",IFERROR(INDEX('Paramètres'!$N:$N,MATCH($D2265,'Paramètres'!$M:$M,0))&amp;"",""))),0,IF($L2265="Débit",$K2265,IF($P2265=1,-$K2265,0))))</f>
        <v/>
      </c>
      <c r="R2265" s="6" t="str">
        <f>IF($K2265="","",IF($L2265="Crédit",$K2265,-$K2265))</f>
        <v/>
      </c>
      <c r="S2265" s="6" t="str">
        <f>IF($C2265="","",IFERROR(INDEX('Paramètres'!$H:$H,MATCH($C2265,'Paramètres'!$D:$D,0))&amp;"",""))</f>
        <v/>
      </c>
      <c r="T2265" s="6" t="str">
        <f>IF($K2265="","",IF($S2265="",0,IF(ISNUMBER(SEARCH("apport-exterieur",IFERROR(INDEX('Paramètres'!$N:$N,MATCH($D2265,'Paramètres'!$M:$M,0))&amp;"",""))),0,IF(OR(IFERROR(INDEX('Paramètres'!$I:$I,MATCH($C2265,'Paramètres'!$D:$D,0))&amp;"","")="Les deux",IFERROR(INDEX('Paramètres'!$I:$I,MATCH($C2265,'Paramètres'!$D:$D,0))&amp;"","")=IF($P2265=1,"Débit",$L2265)),-IF($P2265=1,-$K2265,$K2265),0))))</f>
        <v/>
      </c>
      <c r="U2265" s="6" t="str">
        <f>IF($K2265="","",IF(ISNUMBER(SEARCH("sortie-epargne",IFERROR(INDEX('Paramètres'!$N:$N,MATCH($D2265,'Paramètres'!$M:$M,0))&amp;"",""))),$K2265,0))</f>
        <v/>
      </c>
      <c r="V2265" s="6" t="str">
        <f>IF(AND($A2265&lt;&gt;"",$O2265=1,$L2265="Débit",N($Q2265)&gt;0,$A2265&gt;=Visualisation!$B$1,$A2265&lt;Visualisation!$D$1),MAX($V$1:V2264)+1,"")</f>
        <v/>
      </c>
    </row>
    <row r="2266" spans="1:22" x14ac:dyDescent="0.25">
      <c r="A2266" s="9"/>
      <c r="E2266" s="10"/>
      <c r="K2266" s="11" t="str">
        <f>IF($E2266="","",ROUND($E2266*IF(ISNA(MATCH($C2266,'Paramètres'!$D:$D,0)),1,IF(INDEX('Paramètres'!$J:$J,MATCH($C2266,'Paramètres'!$D:$D,0))="",1,INDEX('Paramètres'!$J:$J,MATCH($C2266,'Paramètres'!$D:$D,0)))),2))</f>
        <v/>
      </c>
      <c r="L2266" s="6" t="str">
        <f>IF($D2266="","",IF($F2266&lt;&gt;"",$F2266,IF(ISNA(MATCH($D2266,'Paramètres'!$M:$M,0)),"⚠ Type inconnu",IFERROR(INDEX('Paramètres'!$P:$P,MATCH($D2266,'Paramètres'!$M:$M,0))&amp;"",""))))</f>
        <v/>
      </c>
      <c r="M2266" s="6" t="str">
        <f>IF($D2266="","",IF(ISNA(MATCH($D2266,'Paramètres'!$M:$M,0)),"⚠ Type inconnu",IF($L2266="Crédit","",IFERROR(INDEX('Paramètres'!$O:$O,MATCH($D2266,'Paramètres'!$M:$M,0))&amp;"",""))))</f>
        <v/>
      </c>
      <c r="N2266" s="6" t="str">
        <f>IF($D2266="","",IFERROR(INDEX('Paramètres'!$Q:$Q,MATCH($D2266,'Paramètres'!$M:$M,0))&amp;"",""))</f>
        <v/>
      </c>
      <c r="O2266" s="6" t="str">
        <f>IF($A2266="","",IF(OR($J2266&lt;&gt;"x",$A2266&lt;=FinReleve),1,0))</f>
        <v/>
      </c>
      <c r="P2266" s="6" t="str">
        <f>IF($D2266="","",IF(AND($L2266="Crédit",OR(IFERROR(INDEX('Paramètres'!$O:$O,MATCH($D2266,'Paramètres'!$M:$M,0))&amp;"","")&lt;&gt;"",ISNUMBER(SEARCH("remboursement",IFERROR(INDEX('Paramètres'!$N:$N,MATCH($D2266,'Paramètres'!$M:$M,0))&amp;"",""))))),1,0))</f>
        <v/>
      </c>
      <c r="Q2266" s="6" t="str">
        <f>IF($K2266="","",IF(ISNUMBER(SEARCH("transfert-interne",IFERROR(INDEX('Paramètres'!$N:$N,MATCH($D2266,'Paramètres'!$M:$M,0))&amp;"",""))),0,IF($L2266="Débit",$K2266,IF($P2266=1,-$K2266,0))))</f>
        <v/>
      </c>
      <c r="R2266" s="6" t="str">
        <f>IF($K2266="","",IF($L2266="Crédit",$K2266,-$K2266))</f>
        <v/>
      </c>
      <c r="S2266" s="6" t="str">
        <f>IF($C2266="","",IFERROR(INDEX('Paramètres'!$H:$H,MATCH($C2266,'Paramètres'!$D:$D,0))&amp;"",""))</f>
        <v/>
      </c>
      <c r="T2266" s="6" t="str">
        <f>IF($K2266="","",IF($S2266="",0,IF(ISNUMBER(SEARCH("apport-exterieur",IFERROR(INDEX('Paramètres'!$N:$N,MATCH($D2266,'Paramètres'!$M:$M,0))&amp;"",""))),0,IF(OR(IFERROR(INDEX('Paramètres'!$I:$I,MATCH($C2266,'Paramètres'!$D:$D,0))&amp;"","")="Les deux",IFERROR(INDEX('Paramètres'!$I:$I,MATCH($C2266,'Paramètres'!$D:$D,0))&amp;"","")=IF($P2266=1,"Débit",$L2266)),-IF($P2266=1,-$K2266,$K2266),0))))</f>
        <v/>
      </c>
      <c r="U2266" s="6" t="str">
        <f>IF($K2266="","",IF(ISNUMBER(SEARCH("sortie-epargne",IFERROR(INDEX('Paramètres'!$N:$N,MATCH($D2266,'Paramètres'!$M:$M,0))&amp;"",""))),$K2266,0))</f>
        <v/>
      </c>
      <c r="V2266" s="6" t="str">
        <f>IF(AND($A2266&lt;&gt;"",$O2266=1,$L2266="Débit",N($Q2266)&gt;0,$A2266&gt;=Visualisation!$B$1,$A2266&lt;Visualisation!$D$1),MAX($V$1:V2265)+1,"")</f>
        <v/>
      </c>
    </row>
    <row r="2267" spans="1:22" x14ac:dyDescent="0.25">
      <c r="A2267" s="9"/>
      <c r="E2267" s="10"/>
      <c r="K2267" s="11" t="str">
        <f>IF($E2267="","",ROUND($E2267*IF(ISNA(MATCH($C2267,'Paramètres'!$D:$D,0)),1,IF(INDEX('Paramètres'!$J:$J,MATCH($C2267,'Paramètres'!$D:$D,0))="",1,INDEX('Paramètres'!$J:$J,MATCH($C2267,'Paramètres'!$D:$D,0)))),2))</f>
        <v/>
      </c>
      <c r="L2267" s="6" t="str">
        <f>IF($D2267="","",IF($F2267&lt;&gt;"",$F2267,IF(ISNA(MATCH($D2267,'Paramètres'!$M:$M,0)),"⚠ Type inconnu",IFERROR(INDEX('Paramètres'!$P:$P,MATCH($D2267,'Paramètres'!$M:$M,0))&amp;"",""))))</f>
        <v/>
      </c>
      <c r="M2267" s="6" t="str">
        <f>IF($D2267="","",IF(ISNA(MATCH($D2267,'Paramètres'!$M:$M,0)),"⚠ Type inconnu",IF($L2267="Crédit","",IFERROR(INDEX('Paramètres'!$O:$O,MATCH($D2267,'Paramètres'!$M:$M,0))&amp;"",""))))</f>
        <v/>
      </c>
      <c r="N2267" s="6" t="str">
        <f>IF($D2267="","",IFERROR(INDEX('Paramètres'!$Q:$Q,MATCH($D2267,'Paramètres'!$M:$M,0))&amp;"",""))</f>
        <v/>
      </c>
      <c r="O2267" s="6" t="str">
        <f>IF($A2267="","",IF(OR($J2267&lt;&gt;"x",$A2267&lt;=FinReleve),1,0))</f>
        <v/>
      </c>
      <c r="P2267" s="6" t="str">
        <f>IF($D2267="","",IF(AND($L2267="Crédit",OR(IFERROR(INDEX('Paramètres'!$O:$O,MATCH($D2267,'Paramètres'!$M:$M,0))&amp;"","")&lt;&gt;"",ISNUMBER(SEARCH("remboursement",IFERROR(INDEX('Paramètres'!$N:$N,MATCH($D2267,'Paramètres'!$M:$M,0))&amp;"",""))))),1,0))</f>
        <v/>
      </c>
      <c r="Q2267" s="6" t="str">
        <f>IF($K2267="","",IF(ISNUMBER(SEARCH("transfert-interne",IFERROR(INDEX('Paramètres'!$N:$N,MATCH($D2267,'Paramètres'!$M:$M,0))&amp;"",""))),0,IF($L2267="Débit",$K2267,IF($P2267=1,-$K2267,0))))</f>
        <v/>
      </c>
      <c r="R2267" s="6" t="str">
        <f>IF($K2267="","",IF($L2267="Crédit",$K2267,-$K2267))</f>
        <v/>
      </c>
      <c r="S2267" s="6" t="str">
        <f>IF($C2267="","",IFERROR(INDEX('Paramètres'!$H:$H,MATCH($C2267,'Paramètres'!$D:$D,0))&amp;"",""))</f>
        <v/>
      </c>
      <c r="T2267" s="6" t="str">
        <f>IF($K2267="","",IF($S2267="",0,IF(ISNUMBER(SEARCH("apport-exterieur",IFERROR(INDEX('Paramètres'!$N:$N,MATCH($D2267,'Paramètres'!$M:$M,0))&amp;"",""))),0,IF(OR(IFERROR(INDEX('Paramètres'!$I:$I,MATCH($C2267,'Paramètres'!$D:$D,0))&amp;"","")="Les deux",IFERROR(INDEX('Paramètres'!$I:$I,MATCH($C2267,'Paramètres'!$D:$D,0))&amp;"","")=IF($P2267=1,"Débit",$L2267)),-IF($P2267=1,-$K2267,$K2267),0))))</f>
        <v/>
      </c>
      <c r="U2267" s="6" t="str">
        <f>IF($K2267="","",IF(ISNUMBER(SEARCH("sortie-epargne",IFERROR(INDEX('Paramètres'!$N:$N,MATCH($D2267,'Paramètres'!$M:$M,0))&amp;"",""))),$K2267,0))</f>
        <v/>
      </c>
      <c r="V2267" s="6" t="str">
        <f>IF(AND($A2267&lt;&gt;"",$O2267=1,$L2267="Débit",N($Q2267)&gt;0,$A2267&gt;=Visualisation!$B$1,$A2267&lt;Visualisation!$D$1),MAX($V$1:V2266)+1,"")</f>
        <v/>
      </c>
    </row>
    <row r="2268" spans="1:22" x14ac:dyDescent="0.25">
      <c r="A2268" s="9"/>
      <c r="E2268" s="10"/>
      <c r="K2268" s="11" t="str">
        <f>IF($E2268="","",ROUND($E2268*IF(ISNA(MATCH($C2268,'Paramètres'!$D:$D,0)),1,IF(INDEX('Paramètres'!$J:$J,MATCH($C2268,'Paramètres'!$D:$D,0))="",1,INDEX('Paramètres'!$J:$J,MATCH($C2268,'Paramètres'!$D:$D,0)))),2))</f>
        <v/>
      </c>
      <c r="L2268" s="6" t="str">
        <f>IF($D2268="","",IF($F2268&lt;&gt;"",$F2268,IF(ISNA(MATCH($D2268,'Paramètres'!$M:$M,0)),"⚠ Type inconnu",IFERROR(INDEX('Paramètres'!$P:$P,MATCH($D2268,'Paramètres'!$M:$M,0))&amp;"",""))))</f>
        <v/>
      </c>
      <c r="M2268" s="6" t="str">
        <f>IF($D2268="","",IF(ISNA(MATCH($D2268,'Paramètres'!$M:$M,0)),"⚠ Type inconnu",IF($L2268="Crédit","",IFERROR(INDEX('Paramètres'!$O:$O,MATCH($D2268,'Paramètres'!$M:$M,0))&amp;"",""))))</f>
        <v/>
      </c>
      <c r="N2268" s="6" t="str">
        <f>IF($D2268="","",IFERROR(INDEX('Paramètres'!$Q:$Q,MATCH($D2268,'Paramètres'!$M:$M,0))&amp;"",""))</f>
        <v/>
      </c>
      <c r="O2268" s="6" t="str">
        <f>IF($A2268="","",IF(OR($J2268&lt;&gt;"x",$A2268&lt;=FinReleve),1,0))</f>
        <v/>
      </c>
      <c r="P2268" s="6" t="str">
        <f>IF($D2268="","",IF(AND($L2268="Crédit",OR(IFERROR(INDEX('Paramètres'!$O:$O,MATCH($D2268,'Paramètres'!$M:$M,0))&amp;"","")&lt;&gt;"",ISNUMBER(SEARCH("remboursement",IFERROR(INDEX('Paramètres'!$N:$N,MATCH($D2268,'Paramètres'!$M:$M,0))&amp;"",""))))),1,0))</f>
        <v/>
      </c>
      <c r="Q2268" s="6" t="str">
        <f>IF($K2268="","",IF(ISNUMBER(SEARCH("transfert-interne",IFERROR(INDEX('Paramètres'!$N:$N,MATCH($D2268,'Paramètres'!$M:$M,0))&amp;"",""))),0,IF($L2268="Débit",$K2268,IF($P2268=1,-$K2268,0))))</f>
        <v/>
      </c>
      <c r="R2268" s="6" t="str">
        <f>IF($K2268="","",IF($L2268="Crédit",$K2268,-$K2268))</f>
        <v/>
      </c>
      <c r="S2268" s="6" t="str">
        <f>IF($C2268="","",IFERROR(INDEX('Paramètres'!$H:$H,MATCH($C2268,'Paramètres'!$D:$D,0))&amp;"",""))</f>
        <v/>
      </c>
      <c r="T2268" s="6" t="str">
        <f>IF($K2268="","",IF($S2268="",0,IF(ISNUMBER(SEARCH("apport-exterieur",IFERROR(INDEX('Paramètres'!$N:$N,MATCH($D2268,'Paramètres'!$M:$M,0))&amp;"",""))),0,IF(OR(IFERROR(INDEX('Paramètres'!$I:$I,MATCH($C2268,'Paramètres'!$D:$D,0))&amp;"","")="Les deux",IFERROR(INDEX('Paramètres'!$I:$I,MATCH($C2268,'Paramètres'!$D:$D,0))&amp;"","")=IF($P2268=1,"Débit",$L2268)),-IF($P2268=1,-$K2268,$K2268),0))))</f>
        <v/>
      </c>
      <c r="U2268" s="6" t="str">
        <f>IF($K2268="","",IF(ISNUMBER(SEARCH("sortie-epargne",IFERROR(INDEX('Paramètres'!$N:$N,MATCH($D2268,'Paramètres'!$M:$M,0))&amp;"",""))),$K2268,0))</f>
        <v/>
      </c>
      <c r="V2268" s="6" t="str">
        <f>IF(AND($A2268&lt;&gt;"",$O2268=1,$L2268="Débit",N($Q2268)&gt;0,$A2268&gt;=Visualisation!$B$1,$A2268&lt;Visualisation!$D$1),MAX($V$1:V2267)+1,"")</f>
        <v/>
      </c>
    </row>
    <row r="2269" spans="1:22" x14ac:dyDescent="0.25">
      <c r="A2269" s="9"/>
      <c r="E2269" s="10"/>
      <c r="K2269" s="11" t="str">
        <f>IF($E2269="","",ROUND($E2269*IF(ISNA(MATCH($C2269,'Paramètres'!$D:$D,0)),1,IF(INDEX('Paramètres'!$J:$J,MATCH($C2269,'Paramètres'!$D:$D,0))="",1,INDEX('Paramètres'!$J:$J,MATCH($C2269,'Paramètres'!$D:$D,0)))),2))</f>
        <v/>
      </c>
      <c r="L2269" s="6" t="str">
        <f>IF($D2269="","",IF($F2269&lt;&gt;"",$F2269,IF(ISNA(MATCH($D2269,'Paramètres'!$M:$M,0)),"⚠ Type inconnu",IFERROR(INDEX('Paramètres'!$P:$P,MATCH($D2269,'Paramètres'!$M:$M,0))&amp;"",""))))</f>
        <v/>
      </c>
      <c r="M2269" s="6" t="str">
        <f>IF($D2269="","",IF(ISNA(MATCH($D2269,'Paramètres'!$M:$M,0)),"⚠ Type inconnu",IF($L2269="Crédit","",IFERROR(INDEX('Paramètres'!$O:$O,MATCH($D2269,'Paramètres'!$M:$M,0))&amp;"",""))))</f>
        <v/>
      </c>
      <c r="N2269" s="6" t="str">
        <f>IF($D2269="","",IFERROR(INDEX('Paramètres'!$Q:$Q,MATCH($D2269,'Paramètres'!$M:$M,0))&amp;"",""))</f>
        <v/>
      </c>
      <c r="O2269" s="6" t="str">
        <f>IF($A2269="","",IF(OR($J2269&lt;&gt;"x",$A2269&lt;=FinReleve),1,0))</f>
        <v/>
      </c>
      <c r="P2269" s="6" t="str">
        <f>IF($D2269="","",IF(AND($L2269="Crédit",OR(IFERROR(INDEX('Paramètres'!$O:$O,MATCH($D2269,'Paramètres'!$M:$M,0))&amp;"","")&lt;&gt;"",ISNUMBER(SEARCH("remboursement",IFERROR(INDEX('Paramètres'!$N:$N,MATCH($D2269,'Paramètres'!$M:$M,0))&amp;"",""))))),1,0))</f>
        <v/>
      </c>
      <c r="Q2269" s="6" t="str">
        <f>IF($K2269="","",IF(ISNUMBER(SEARCH("transfert-interne",IFERROR(INDEX('Paramètres'!$N:$N,MATCH($D2269,'Paramètres'!$M:$M,0))&amp;"",""))),0,IF($L2269="Débit",$K2269,IF($P2269=1,-$K2269,0))))</f>
        <v/>
      </c>
      <c r="R2269" s="6" t="str">
        <f>IF($K2269="","",IF($L2269="Crédit",$K2269,-$K2269))</f>
        <v/>
      </c>
      <c r="S2269" s="6" t="str">
        <f>IF($C2269="","",IFERROR(INDEX('Paramètres'!$H:$H,MATCH($C2269,'Paramètres'!$D:$D,0))&amp;"",""))</f>
        <v/>
      </c>
      <c r="T2269" s="6" t="str">
        <f>IF($K2269="","",IF($S2269="",0,IF(ISNUMBER(SEARCH("apport-exterieur",IFERROR(INDEX('Paramètres'!$N:$N,MATCH($D2269,'Paramètres'!$M:$M,0))&amp;"",""))),0,IF(OR(IFERROR(INDEX('Paramètres'!$I:$I,MATCH($C2269,'Paramètres'!$D:$D,0))&amp;"","")="Les deux",IFERROR(INDEX('Paramètres'!$I:$I,MATCH($C2269,'Paramètres'!$D:$D,0))&amp;"","")=IF($P2269=1,"Débit",$L2269)),-IF($P2269=1,-$K2269,$K2269),0))))</f>
        <v/>
      </c>
      <c r="U2269" s="6" t="str">
        <f>IF($K2269="","",IF(ISNUMBER(SEARCH("sortie-epargne",IFERROR(INDEX('Paramètres'!$N:$N,MATCH($D2269,'Paramètres'!$M:$M,0))&amp;"",""))),$K2269,0))</f>
        <v/>
      </c>
      <c r="V2269" s="6" t="str">
        <f>IF(AND($A2269&lt;&gt;"",$O2269=1,$L2269="Débit",N($Q2269)&gt;0,$A2269&gt;=Visualisation!$B$1,$A2269&lt;Visualisation!$D$1),MAX($V$1:V2268)+1,"")</f>
        <v/>
      </c>
    </row>
    <row r="2270" spans="1:22" x14ac:dyDescent="0.25">
      <c r="A2270" s="9"/>
      <c r="E2270" s="10"/>
      <c r="K2270" s="11" t="str">
        <f>IF($E2270="","",ROUND($E2270*IF(ISNA(MATCH($C2270,'Paramètres'!$D:$D,0)),1,IF(INDEX('Paramètres'!$J:$J,MATCH($C2270,'Paramètres'!$D:$D,0))="",1,INDEX('Paramètres'!$J:$J,MATCH($C2270,'Paramètres'!$D:$D,0)))),2))</f>
        <v/>
      </c>
      <c r="L2270" s="6" t="str">
        <f>IF($D2270="","",IF($F2270&lt;&gt;"",$F2270,IF(ISNA(MATCH($D2270,'Paramètres'!$M:$M,0)),"⚠ Type inconnu",IFERROR(INDEX('Paramètres'!$P:$P,MATCH($D2270,'Paramètres'!$M:$M,0))&amp;"",""))))</f>
        <v/>
      </c>
      <c r="M2270" s="6" t="str">
        <f>IF($D2270="","",IF(ISNA(MATCH($D2270,'Paramètres'!$M:$M,0)),"⚠ Type inconnu",IF($L2270="Crédit","",IFERROR(INDEX('Paramètres'!$O:$O,MATCH($D2270,'Paramètres'!$M:$M,0))&amp;"",""))))</f>
        <v/>
      </c>
      <c r="N2270" s="6" t="str">
        <f>IF($D2270="","",IFERROR(INDEX('Paramètres'!$Q:$Q,MATCH($D2270,'Paramètres'!$M:$M,0))&amp;"",""))</f>
        <v/>
      </c>
      <c r="O2270" s="6" t="str">
        <f>IF($A2270="","",IF(OR($J2270&lt;&gt;"x",$A2270&lt;=FinReleve),1,0))</f>
        <v/>
      </c>
      <c r="P2270" s="6" t="str">
        <f>IF($D2270="","",IF(AND($L2270="Crédit",OR(IFERROR(INDEX('Paramètres'!$O:$O,MATCH($D2270,'Paramètres'!$M:$M,0))&amp;"","")&lt;&gt;"",ISNUMBER(SEARCH("remboursement",IFERROR(INDEX('Paramètres'!$N:$N,MATCH($D2270,'Paramètres'!$M:$M,0))&amp;"",""))))),1,0))</f>
        <v/>
      </c>
      <c r="Q2270" s="6" t="str">
        <f>IF($K2270="","",IF(ISNUMBER(SEARCH("transfert-interne",IFERROR(INDEX('Paramètres'!$N:$N,MATCH($D2270,'Paramètres'!$M:$M,0))&amp;"",""))),0,IF($L2270="Débit",$K2270,IF($P2270=1,-$K2270,0))))</f>
        <v/>
      </c>
      <c r="R2270" s="6" t="str">
        <f>IF($K2270="","",IF($L2270="Crédit",$K2270,-$K2270))</f>
        <v/>
      </c>
      <c r="S2270" s="6" t="str">
        <f>IF($C2270="","",IFERROR(INDEX('Paramètres'!$H:$H,MATCH($C2270,'Paramètres'!$D:$D,0))&amp;"",""))</f>
        <v/>
      </c>
      <c r="T2270" s="6" t="str">
        <f>IF($K2270="","",IF($S2270="",0,IF(ISNUMBER(SEARCH("apport-exterieur",IFERROR(INDEX('Paramètres'!$N:$N,MATCH($D2270,'Paramètres'!$M:$M,0))&amp;"",""))),0,IF(OR(IFERROR(INDEX('Paramètres'!$I:$I,MATCH($C2270,'Paramètres'!$D:$D,0))&amp;"","")="Les deux",IFERROR(INDEX('Paramètres'!$I:$I,MATCH($C2270,'Paramètres'!$D:$D,0))&amp;"","")=IF($P2270=1,"Débit",$L2270)),-IF($P2270=1,-$K2270,$K2270),0))))</f>
        <v/>
      </c>
      <c r="U2270" s="6" t="str">
        <f>IF($K2270="","",IF(ISNUMBER(SEARCH("sortie-epargne",IFERROR(INDEX('Paramètres'!$N:$N,MATCH($D2270,'Paramètres'!$M:$M,0))&amp;"",""))),$K2270,0))</f>
        <v/>
      </c>
      <c r="V2270" s="6" t="str">
        <f>IF(AND($A2270&lt;&gt;"",$O2270=1,$L2270="Débit",N($Q2270)&gt;0,$A2270&gt;=Visualisation!$B$1,$A2270&lt;Visualisation!$D$1),MAX($V$1:V2269)+1,"")</f>
        <v/>
      </c>
    </row>
    <row r="2271" spans="1:22" x14ac:dyDescent="0.25">
      <c r="A2271" s="9"/>
      <c r="E2271" s="10"/>
      <c r="K2271" s="11" t="str">
        <f>IF($E2271="","",ROUND($E2271*IF(ISNA(MATCH($C2271,'Paramètres'!$D:$D,0)),1,IF(INDEX('Paramètres'!$J:$J,MATCH($C2271,'Paramètres'!$D:$D,0))="",1,INDEX('Paramètres'!$J:$J,MATCH($C2271,'Paramètres'!$D:$D,0)))),2))</f>
        <v/>
      </c>
      <c r="L2271" s="6" t="str">
        <f>IF($D2271="","",IF($F2271&lt;&gt;"",$F2271,IF(ISNA(MATCH($D2271,'Paramètres'!$M:$M,0)),"⚠ Type inconnu",IFERROR(INDEX('Paramètres'!$P:$P,MATCH($D2271,'Paramètres'!$M:$M,0))&amp;"",""))))</f>
        <v/>
      </c>
      <c r="M2271" s="6" t="str">
        <f>IF($D2271="","",IF(ISNA(MATCH($D2271,'Paramètres'!$M:$M,0)),"⚠ Type inconnu",IF($L2271="Crédit","",IFERROR(INDEX('Paramètres'!$O:$O,MATCH($D2271,'Paramètres'!$M:$M,0))&amp;"",""))))</f>
        <v/>
      </c>
      <c r="N2271" s="6" t="str">
        <f>IF($D2271="","",IFERROR(INDEX('Paramètres'!$Q:$Q,MATCH($D2271,'Paramètres'!$M:$M,0))&amp;"",""))</f>
        <v/>
      </c>
      <c r="O2271" s="6" t="str">
        <f>IF($A2271="","",IF(OR($J2271&lt;&gt;"x",$A2271&lt;=FinReleve),1,0))</f>
        <v/>
      </c>
      <c r="P2271" s="6" t="str">
        <f>IF($D2271="","",IF(AND($L2271="Crédit",OR(IFERROR(INDEX('Paramètres'!$O:$O,MATCH($D2271,'Paramètres'!$M:$M,0))&amp;"","")&lt;&gt;"",ISNUMBER(SEARCH("remboursement",IFERROR(INDEX('Paramètres'!$N:$N,MATCH($D2271,'Paramètres'!$M:$M,0))&amp;"",""))))),1,0))</f>
        <v/>
      </c>
      <c r="Q2271" s="6" t="str">
        <f>IF($K2271="","",IF(ISNUMBER(SEARCH("transfert-interne",IFERROR(INDEX('Paramètres'!$N:$N,MATCH($D2271,'Paramètres'!$M:$M,0))&amp;"",""))),0,IF($L2271="Débit",$K2271,IF($P2271=1,-$K2271,0))))</f>
        <v/>
      </c>
      <c r="R2271" s="6" t="str">
        <f>IF($K2271="","",IF($L2271="Crédit",$K2271,-$K2271))</f>
        <v/>
      </c>
      <c r="S2271" s="6" t="str">
        <f>IF($C2271="","",IFERROR(INDEX('Paramètres'!$H:$H,MATCH($C2271,'Paramètres'!$D:$D,0))&amp;"",""))</f>
        <v/>
      </c>
      <c r="T2271" s="6" t="str">
        <f>IF($K2271="","",IF($S2271="",0,IF(ISNUMBER(SEARCH("apport-exterieur",IFERROR(INDEX('Paramètres'!$N:$N,MATCH($D2271,'Paramètres'!$M:$M,0))&amp;"",""))),0,IF(OR(IFERROR(INDEX('Paramètres'!$I:$I,MATCH($C2271,'Paramètres'!$D:$D,0))&amp;"","")="Les deux",IFERROR(INDEX('Paramètres'!$I:$I,MATCH($C2271,'Paramètres'!$D:$D,0))&amp;"","")=IF($P2271=1,"Débit",$L2271)),-IF($P2271=1,-$K2271,$K2271),0))))</f>
        <v/>
      </c>
      <c r="U2271" s="6" t="str">
        <f>IF($K2271="","",IF(ISNUMBER(SEARCH("sortie-epargne",IFERROR(INDEX('Paramètres'!$N:$N,MATCH($D2271,'Paramètres'!$M:$M,0))&amp;"",""))),$K2271,0))</f>
        <v/>
      </c>
      <c r="V2271" s="6" t="str">
        <f>IF(AND($A2271&lt;&gt;"",$O2271=1,$L2271="Débit",N($Q2271)&gt;0,$A2271&gt;=Visualisation!$B$1,$A2271&lt;Visualisation!$D$1),MAX($V$1:V2270)+1,"")</f>
        <v/>
      </c>
    </row>
    <row r="2272" spans="1:22" x14ac:dyDescent="0.25">
      <c r="A2272" s="9"/>
      <c r="E2272" s="10"/>
      <c r="K2272" s="11" t="str">
        <f>IF($E2272="","",ROUND($E2272*IF(ISNA(MATCH($C2272,'Paramètres'!$D:$D,0)),1,IF(INDEX('Paramètres'!$J:$J,MATCH($C2272,'Paramètres'!$D:$D,0))="",1,INDEX('Paramètres'!$J:$J,MATCH($C2272,'Paramètres'!$D:$D,0)))),2))</f>
        <v/>
      </c>
      <c r="L2272" s="6" t="str">
        <f>IF($D2272="","",IF($F2272&lt;&gt;"",$F2272,IF(ISNA(MATCH($D2272,'Paramètres'!$M:$M,0)),"⚠ Type inconnu",IFERROR(INDEX('Paramètres'!$P:$P,MATCH($D2272,'Paramètres'!$M:$M,0))&amp;"",""))))</f>
        <v/>
      </c>
      <c r="M2272" s="6" t="str">
        <f>IF($D2272="","",IF(ISNA(MATCH($D2272,'Paramètres'!$M:$M,0)),"⚠ Type inconnu",IF($L2272="Crédit","",IFERROR(INDEX('Paramètres'!$O:$O,MATCH($D2272,'Paramètres'!$M:$M,0))&amp;"",""))))</f>
        <v/>
      </c>
      <c r="N2272" s="6" t="str">
        <f>IF($D2272="","",IFERROR(INDEX('Paramètres'!$Q:$Q,MATCH($D2272,'Paramètres'!$M:$M,0))&amp;"",""))</f>
        <v/>
      </c>
      <c r="O2272" s="6" t="str">
        <f>IF($A2272="","",IF(OR($J2272&lt;&gt;"x",$A2272&lt;=FinReleve),1,0))</f>
        <v/>
      </c>
      <c r="P2272" s="6" t="str">
        <f>IF($D2272="","",IF(AND($L2272="Crédit",OR(IFERROR(INDEX('Paramètres'!$O:$O,MATCH($D2272,'Paramètres'!$M:$M,0))&amp;"","")&lt;&gt;"",ISNUMBER(SEARCH("remboursement",IFERROR(INDEX('Paramètres'!$N:$N,MATCH($D2272,'Paramètres'!$M:$M,0))&amp;"",""))))),1,0))</f>
        <v/>
      </c>
      <c r="Q2272" s="6" t="str">
        <f>IF($K2272="","",IF(ISNUMBER(SEARCH("transfert-interne",IFERROR(INDEX('Paramètres'!$N:$N,MATCH($D2272,'Paramètres'!$M:$M,0))&amp;"",""))),0,IF($L2272="Débit",$K2272,IF($P2272=1,-$K2272,0))))</f>
        <v/>
      </c>
      <c r="R2272" s="6" t="str">
        <f>IF($K2272="","",IF($L2272="Crédit",$K2272,-$K2272))</f>
        <v/>
      </c>
      <c r="S2272" s="6" t="str">
        <f>IF($C2272="","",IFERROR(INDEX('Paramètres'!$H:$H,MATCH($C2272,'Paramètres'!$D:$D,0))&amp;"",""))</f>
        <v/>
      </c>
      <c r="T2272" s="6" t="str">
        <f>IF($K2272="","",IF($S2272="",0,IF(ISNUMBER(SEARCH("apport-exterieur",IFERROR(INDEX('Paramètres'!$N:$N,MATCH($D2272,'Paramètres'!$M:$M,0))&amp;"",""))),0,IF(OR(IFERROR(INDEX('Paramètres'!$I:$I,MATCH($C2272,'Paramètres'!$D:$D,0))&amp;"","")="Les deux",IFERROR(INDEX('Paramètres'!$I:$I,MATCH($C2272,'Paramètres'!$D:$D,0))&amp;"","")=IF($P2272=1,"Débit",$L2272)),-IF($P2272=1,-$K2272,$K2272),0))))</f>
        <v/>
      </c>
      <c r="U2272" s="6" t="str">
        <f>IF($K2272="","",IF(ISNUMBER(SEARCH("sortie-epargne",IFERROR(INDEX('Paramètres'!$N:$N,MATCH($D2272,'Paramètres'!$M:$M,0))&amp;"",""))),$K2272,0))</f>
        <v/>
      </c>
      <c r="V2272" s="6" t="str">
        <f>IF(AND($A2272&lt;&gt;"",$O2272=1,$L2272="Débit",N($Q2272)&gt;0,$A2272&gt;=Visualisation!$B$1,$A2272&lt;Visualisation!$D$1),MAX($V$1:V2271)+1,"")</f>
        <v/>
      </c>
    </row>
    <row r="2273" spans="1:22" x14ac:dyDescent="0.25">
      <c r="A2273" s="9"/>
      <c r="E2273" s="10"/>
      <c r="K2273" s="11" t="str">
        <f>IF($E2273="","",ROUND($E2273*IF(ISNA(MATCH($C2273,'Paramètres'!$D:$D,0)),1,IF(INDEX('Paramètres'!$J:$J,MATCH($C2273,'Paramètres'!$D:$D,0))="",1,INDEX('Paramètres'!$J:$J,MATCH($C2273,'Paramètres'!$D:$D,0)))),2))</f>
        <v/>
      </c>
      <c r="L2273" s="6" t="str">
        <f>IF($D2273="","",IF($F2273&lt;&gt;"",$F2273,IF(ISNA(MATCH($D2273,'Paramètres'!$M:$M,0)),"⚠ Type inconnu",IFERROR(INDEX('Paramètres'!$P:$P,MATCH($D2273,'Paramètres'!$M:$M,0))&amp;"",""))))</f>
        <v/>
      </c>
      <c r="M2273" s="6" t="str">
        <f>IF($D2273="","",IF(ISNA(MATCH($D2273,'Paramètres'!$M:$M,0)),"⚠ Type inconnu",IF($L2273="Crédit","",IFERROR(INDEX('Paramètres'!$O:$O,MATCH($D2273,'Paramètres'!$M:$M,0))&amp;"",""))))</f>
        <v/>
      </c>
      <c r="N2273" s="6" t="str">
        <f>IF($D2273="","",IFERROR(INDEX('Paramètres'!$Q:$Q,MATCH($D2273,'Paramètres'!$M:$M,0))&amp;"",""))</f>
        <v/>
      </c>
      <c r="O2273" s="6" t="str">
        <f>IF($A2273="","",IF(OR($J2273&lt;&gt;"x",$A2273&lt;=FinReleve),1,0))</f>
        <v/>
      </c>
      <c r="P2273" s="6" t="str">
        <f>IF($D2273="","",IF(AND($L2273="Crédit",OR(IFERROR(INDEX('Paramètres'!$O:$O,MATCH($D2273,'Paramètres'!$M:$M,0))&amp;"","")&lt;&gt;"",ISNUMBER(SEARCH("remboursement",IFERROR(INDEX('Paramètres'!$N:$N,MATCH($D2273,'Paramètres'!$M:$M,0))&amp;"",""))))),1,0))</f>
        <v/>
      </c>
      <c r="Q2273" s="6" t="str">
        <f>IF($K2273="","",IF(ISNUMBER(SEARCH("transfert-interne",IFERROR(INDEX('Paramètres'!$N:$N,MATCH($D2273,'Paramètres'!$M:$M,0))&amp;"",""))),0,IF($L2273="Débit",$K2273,IF($P2273=1,-$K2273,0))))</f>
        <v/>
      </c>
      <c r="R2273" s="6" t="str">
        <f>IF($K2273="","",IF($L2273="Crédit",$K2273,-$K2273))</f>
        <v/>
      </c>
      <c r="S2273" s="6" t="str">
        <f>IF($C2273="","",IFERROR(INDEX('Paramètres'!$H:$H,MATCH($C2273,'Paramètres'!$D:$D,0))&amp;"",""))</f>
        <v/>
      </c>
      <c r="T2273" s="6" t="str">
        <f>IF($K2273="","",IF($S2273="",0,IF(ISNUMBER(SEARCH("apport-exterieur",IFERROR(INDEX('Paramètres'!$N:$N,MATCH($D2273,'Paramètres'!$M:$M,0))&amp;"",""))),0,IF(OR(IFERROR(INDEX('Paramètres'!$I:$I,MATCH($C2273,'Paramètres'!$D:$D,0))&amp;"","")="Les deux",IFERROR(INDEX('Paramètres'!$I:$I,MATCH($C2273,'Paramètres'!$D:$D,0))&amp;"","")=IF($P2273=1,"Débit",$L2273)),-IF($P2273=1,-$K2273,$K2273),0))))</f>
        <v/>
      </c>
      <c r="U2273" s="6" t="str">
        <f>IF($K2273="","",IF(ISNUMBER(SEARCH("sortie-epargne",IFERROR(INDEX('Paramètres'!$N:$N,MATCH($D2273,'Paramètres'!$M:$M,0))&amp;"",""))),$K2273,0))</f>
        <v/>
      </c>
      <c r="V2273" s="6" t="str">
        <f>IF(AND($A2273&lt;&gt;"",$O2273=1,$L2273="Débit",N($Q2273)&gt;0,$A2273&gt;=Visualisation!$B$1,$A2273&lt;Visualisation!$D$1),MAX($V$1:V2272)+1,"")</f>
        <v/>
      </c>
    </row>
    <row r="2274" spans="1:22" x14ac:dyDescent="0.25">
      <c r="A2274" s="9"/>
      <c r="E2274" s="10"/>
      <c r="K2274" s="11" t="str">
        <f>IF($E2274="","",ROUND($E2274*IF(ISNA(MATCH($C2274,'Paramètres'!$D:$D,0)),1,IF(INDEX('Paramètres'!$J:$J,MATCH($C2274,'Paramètres'!$D:$D,0))="",1,INDEX('Paramètres'!$J:$J,MATCH($C2274,'Paramètres'!$D:$D,0)))),2))</f>
        <v/>
      </c>
      <c r="L2274" s="6" t="str">
        <f>IF($D2274="","",IF($F2274&lt;&gt;"",$F2274,IF(ISNA(MATCH($D2274,'Paramètres'!$M:$M,0)),"⚠ Type inconnu",IFERROR(INDEX('Paramètres'!$P:$P,MATCH($D2274,'Paramètres'!$M:$M,0))&amp;"",""))))</f>
        <v/>
      </c>
      <c r="M2274" s="6" t="str">
        <f>IF($D2274="","",IF(ISNA(MATCH($D2274,'Paramètres'!$M:$M,0)),"⚠ Type inconnu",IF($L2274="Crédit","",IFERROR(INDEX('Paramètres'!$O:$O,MATCH($D2274,'Paramètres'!$M:$M,0))&amp;"",""))))</f>
        <v/>
      </c>
      <c r="N2274" s="6" t="str">
        <f>IF($D2274="","",IFERROR(INDEX('Paramètres'!$Q:$Q,MATCH($D2274,'Paramètres'!$M:$M,0))&amp;"",""))</f>
        <v/>
      </c>
      <c r="O2274" s="6" t="str">
        <f>IF($A2274="","",IF(OR($J2274&lt;&gt;"x",$A2274&lt;=FinReleve),1,0))</f>
        <v/>
      </c>
      <c r="P2274" s="6" t="str">
        <f>IF($D2274="","",IF(AND($L2274="Crédit",OR(IFERROR(INDEX('Paramètres'!$O:$O,MATCH($D2274,'Paramètres'!$M:$M,0))&amp;"","")&lt;&gt;"",ISNUMBER(SEARCH("remboursement",IFERROR(INDEX('Paramètres'!$N:$N,MATCH($D2274,'Paramètres'!$M:$M,0))&amp;"",""))))),1,0))</f>
        <v/>
      </c>
      <c r="Q2274" s="6" t="str">
        <f>IF($K2274="","",IF(ISNUMBER(SEARCH("transfert-interne",IFERROR(INDEX('Paramètres'!$N:$N,MATCH($D2274,'Paramètres'!$M:$M,0))&amp;"",""))),0,IF($L2274="Débit",$K2274,IF($P2274=1,-$K2274,0))))</f>
        <v/>
      </c>
      <c r="R2274" s="6" t="str">
        <f>IF($K2274="","",IF($L2274="Crédit",$K2274,-$K2274))</f>
        <v/>
      </c>
      <c r="S2274" s="6" t="str">
        <f>IF($C2274="","",IFERROR(INDEX('Paramètres'!$H:$H,MATCH($C2274,'Paramètres'!$D:$D,0))&amp;"",""))</f>
        <v/>
      </c>
      <c r="T2274" s="6" t="str">
        <f>IF($K2274="","",IF($S2274="",0,IF(ISNUMBER(SEARCH("apport-exterieur",IFERROR(INDEX('Paramètres'!$N:$N,MATCH($D2274,'Paramètres'!$M:$M,0))&amp;"",""))),0,IF(OR(IFERROR(INDEX('Paramètres'!$I:$I,MATCH($C2274,'Paramètres'!$D:$D,0))&amp;"","")="Les deux",IFERROR(INDEX('Paramètres'!$I:$I,MATCH($C2274,'Paramètres'!$D:$D,0))&amp;"","")=IF($P2274=1,"Débit",$L2274)),-IF($P2274=1,-$K2274,$K2274),0))))</f>
        <v/>
      </c>
      <c r="U2274" s="6" t="str">
        <f>IF($K2274="","",IF(ISNUMBER(SEARCH("sortie-epargne",IFERROR(INDEX('Paramètres'!$N:$N,MATCH($D2274,'Paramètres'!$M:$M,0))&amp;"",""))),$K2274,0))</f>
        <v/>
      </c>
      <c r="V2274" s="6" t="str">
        <f>IF(AND($A2274&lt;&gt;"",$O2274=1,$L2274="Débit",N($Q2274)&gt;0,$A2274&gt;=Visualisation!$B$1,$A2274&lt;Visualisation!$D$1),MAX($V$1:V2273)+1,"")</f>
        <v/>
      </c>
    </row>
    <row r="2275" spans="1:22" x14ac:dyDescent="0.25">
      <c r="A2275" s="9"/>
      <c r="E2275" s="10"/>
      <c r="K2275" s="11" t="str">
        <f>IF($E2275="","",ROUND($E2275*IF(ISNA(MATCH($C2275,'Paramètres'!$D:$D,0)),1,IF(INDEX('Paramètres'!$J:$J,MATCH($C2275,'Paramètres'!$D:$D,0))="",1,INDEX('Paramètres'!$J:$J,MATCH($C2275,'Paramètres'!$D:$D,0)))),2))</f>
        <v/>
      </c>
      <c r="L2275" s="6" t="str">
        <f>IF($D2275="","",IF($F2275&lt;&gt;"",$F2275,IF(ISNA(MATCH($D2275,'Paramètres'!$M:$M,0)),"⚠ Type inconnu",IFERROR(INDEX('Paramètres'!$P:$P,MATCH($D2275,'Paramètres'!$M:$M,0))&amp;"",""))))</f>
        <v/>
      </c>
      <c r="M2275" s="6" t="str">
        <f>IF($D2275="","",IF(ISNA(MATCH($D2275,'Paramètres'!$M:$M,0)),"⚠ Type inconnu",IF($L2275="Crédit","",IFERROR(INDEX('Paramètres'!$O:$O,MATCH($D2275,'Paramètres'!$M:$M,0))&amp;"",""))))</f>
        <v/>
      </c>
      <c r="N2275" s="6" t="str">
        <f>IF($D2275="","",IFERROR(INDEX('Paramètres'!$Q:$Q,MATCH($D2275,'Paramètres'!$M:$M,0))&amp;"",""))</f>
        <v/>
      </c>
      <c r="O2275" s="6" t="str">
        <f>IF($A2275="","",IF(OR($J2275&lt;&gt;"x",$A2275&lt;=FinReleve),1,0))</f>
        <v/>
      </c>
      <c r="P2275" s="6" t="str">
        <f>IF($D2275="","",IF(AND($L2275="Crédit",OR(IFERROR(INDEX('Paramètres'!$O:$O,MATCH($D2275,'Paramètres'!$M:$M,0))&amp;"","")&lt;&gt;"",ISNUMBER(SEARCH("remboursement",IFERROR(INDEX('Paramètres'!$N:$N,MATCH($D2275,'Paramètres'!$M:$M,0))&amp;"",""))))),1,0))</f>
        <v/>
      </c>
      <c r="Q2275" s="6" t="str">
        <f>IF($K2275="","",IF(ISNUMBER(SEARCH("transfert-interne",IFERROR(INDEX('Paramètres'!$N:$N,MATCH($D2275,'Paramètres'!$M:$M,0))&amp;"",""))),0,IF($L2275="Débit",$K2275,IF($P2275=1,-$K2275,0))))</f>
        <v/>
      </c>
      <c r="R2275" s="6" t="str">
        <f>IF($K2275="","",IF($L2275="Crédit",$K2275,-$K2275))</f>
        <v/>
      </c>
      <c r="S2275" s="6" t="str">
        <f>IF($C2275="","",IFERROR(INDEX('Paramètres'!$H:$H,MATCH($C2275,'Paramètres'!$D:$D,0))&amp;"",""))</f>
        <v/>
      </c>
      <c r="T2275" s="6" t="str">
        <f>IF($K2275="","",IF($S2275="",0,IF(ISNUMBER(SEARCH("apport-exterieur",IFERROR(INDEX('Paramètres'!$N:$N,MATCH($D2275,'Paramètres'!$M:$M,0))&amp;"",""))),0,IF(OR(IFERROR(INDEX('Paramètres'!$I:$I,MATCH($C2275,'Paramètres'!$D:$D,0))&amp;"","")="Les deux",IFERROR(INDEX('Paramètres'!$I:$I,MATCH($C2275,'Paramètres'!$D:$D,0))&amp;"","")=IF($P2275=1,"Débit",$L2275)),-IF($P2275=1,-$K2275,$K2275),0))))</f>
        <v/>
      </c>
      <c r="U2275" s="6" t="str">
        <f>IF($K2275="","",IF(ISNUMBER(SEARCH("sortie-epargne",IFERROR(INDEX('Paramètres'!$N:$N,MATCH($D2275,'Paramètres'!$M:$M,0))&amp;"",""))),$K2275,0))</f>
        <v/>
      </c>
      <c r="V2275" s="6" t="str">
        <f>IF(AND($A2275&lt;&gt;"",$O2275=1,$L2275="Débit",N($Q2275)&gt;0,$A2275&gt;=Visualisation!$B$1,$A2275&lt;Visualisation!$D$1),MAX($V$1:V2274)+1,"")</f>
        <v/>
      </c>
    </row>
    <row r="2276" spans="1:22" x14ac:dyDescent="0.25">
      <c r="A2276" s="9"/>
      <c r="E2276" s="10"/>
      <c r="K2276" s="11" t="str">
        <f>IF($E2276="","",ROUND($E2276*IF(ISNA(MATCH($C2276,'Paramètres'!$D:$D,0)),1,IF(INDEX('Paramètres'!$J:$J,MATCH($C2276,'Paramètres'!$D:$D,0))="",1,INDEX('Paramètres'!$J:$J,MATCH($C2276,'Paramètres'!$D:$D,0)))),2))</f>
        <v/>
      </c>
      <c r="L2276" s="6" t="str">
        <f>IF($D2276="","",IF($F2276&lt;&gt;"",$F2276,IF(ISNA(MATCH($D2276,'Paramètres'!$M:$M,0)),"⚠ Type inconnu",IFERROR(INDEX('Paramètres'!$P:$P,MATCH($D2276,'Paramètres'!$M:$M,0))&amp;"",""))))</f>
        <v/>
      </c>
      <c r="M2276" s="6" t="str">
        <f>IF($D2276="","",IF(ISNA(MATCH($D2276,'Paramètres'!$M:$M,0)),"⚠ Type inconnu",IF($L2276="Crédit","",IFERROR(INDEX('Paramètres'!$O:$O,MATCH($D2276,'Paramètres'!$M:$M,0))&amp;"",""))))</f>
        <v/>
      </c>
      <c r="N2276" s="6" t="str">
        <f>IF($D2276="","",IFERROR(INDEX('Paramètres'!$Q:$Q,MATCH($D2276,'Paramètres'!$M:$M,0))&amp;"",""))</f>
        <v/>
      </c>
      <c r="O2276" s="6" t="str">
        <f>IF($A2276="","",IF(OR($J2276&lt;&gt;"x",$A2276&lt;=FinReleve),1,0))</f>
        <v/>
      </c>
      <c r="P2276" s="6" t="str">
        <f>IF($D2276="","",IF(AND($L2276="Crédit",OR(IFERROR(INDEX('Paramètres'!$O:$O,MATCH($D2276,'Paramètres'!$M:$M,0))&amp;"","")&lt;&gt;"",ISNUMBER(SEARCH("remboursement",IFERROR(INDEX('Paramètres'!$N:$N,MATCH($D2276,'Paramètres'!$M:$M,0))&amp;"",""))))),1,0))</f>
        <v/>
      </c>
      <c r="Q2276" s="6" t="str">
        <f>IF($K2276="","",IF(ISNUMBER(SEARCH("transfert-interne",IFERROR(INDEX('Paramètres'!$N:$N,MATCH($D2276,'Paramètres'!$M:$M,0))&amp;"",""))),0,IF($L2276="Débit",$K2276,IF($P2276=1,-$K2276,0))))</f>
        <v/>
      </c>
      <c r="R2276" s="6" t="str">
        <f>IF($K2276="","",IF($L2276="Crédit",$K2276,-$K2276))</f>
        <v/>
      </c>
      <c r="S2276" s="6" t="str">
        <f>IF($C2276="","",IFERROR(INDEX('Paramètres'!$H:$H,MATCH($C2276,'Paramètres'!$D:$D,0))&amp;"",""))</f>
        <v/>
      </c>
      <c r="T2276" s="6" t="str">
        <f>IF($K2276="","",IF($S2276="",0,IF(ISNUMBER(SEARCH("apport-exterieur",IFERROR(INDEX('Paramètres'!$N:$N,MATCH($D2276,'Paramètres'!$M:$M,0))&amp;"",""))),0,IF(OR(IFERROR(INDEX('Paramètres'!$I:$I,MATCH($C2276,'Paramètres'!$D:$D,0))&amp;"","")="Les deux",IFERROR(INDEX('Paramètres'!$I:$I,MATCH($C2276,'Paramètres'!$D:$D,0))&amp;"","")=IF($P2276=1,"Débit",$L2276)),-IF($P2276=1,-$K2276,$K2276),0))))</f>
        <v/>
      </c>
      <c r="U2276" s="6" t="str">
        <f>IF($K2276="","",IF(ISNUMBER(SEARCH("sortie-epargne",IFERROR(INDEX('Paramètres'!$N:$N,MATCH($D2276,'Paramètres'!$M:$M,0))&amp;"",""))),$K2276,0))</f>
        <v/>
      </c>
      <c r="V2276" s="6" t="str">
        <f>IF(AND($A2276&lt;&gt;"",$O2276=1,$L2276="Débit",N($Q2276)&gt;0,$A2276&gt;=Visualisation!$B$1,$A2276&lt;Visualisation!$D$1),MAX($V$1:V2275)+1,"")</f>
        <v/>
      </c>
    </row>
    <row r="2277" spans="1:22" x14ac:dyDescent="0.25">
      <c r="A2277" s="9"/>
      <c r="E2277" s="10"/>
      <c r="K2277" s="11" t="str">
        <f>IF($E2277="","",ROUND($E2277*IF(ISNA(MATCH($C2277,'Paramètres'!$D:$D,0)),1,IF(INDEX('Paramètres'!$J:$J,MATCH($C2277,'Paramètres'!$D:$D,0))="",1,INDEX('Paramètres'!$J:$J,MATCH($C2277,'Paramètres'!$D:$D,0)))),2))</f>
        <v/>
      </c>
      <c r="L2277" s="6" t="str">
        <f>IF($D2277="","",IF($F2277&lt;&gt;"",$F2277,IF(ISNA(MATCH($D2277,'Paramètres'!$M:$M,0)),"⚠ Type inconnu",IFERROR(INDEX('Paramètres'!$P:$P,MATCH($D2277,'Paramètres'!$M:$M,0))&amp;"",""))))</f>
        <v/>
      </c>
      <c r="M2277" s="6" t="str">
        <f>IF($D2277="","",IF(ISNA(MATCH($D2277,'Paramètres'!$M:$M,0)),"⚠ Type inconnu",IF($L2277="Crédit","",IFERROR(INDEX('Paramètres'!$O:$O,MATCH($D2277,'Paramètres'!$M:$M,0))&amp;"",""))))</f>
        <v/>
      </c>
      <c r="N2277" s="6" t="str">
        <f>IF($D2277="","",IFERROR(INDEX('Paramètres'!$Q:$Q,MATCH($D2277,'Paramètres'!$M:$M,0))&amp;"",""))</f>
        <v/>
      </c>
      <c r="O2277" s="6" t="str">
        <f>IF($A2277="","",IF(OR($J2277&lt;&gt;"x",$A2277&lt;=FinReleve),1,0))</f>
        <v/>
      </c>
      <c r="P2277" s="6" t="str">
        <f>IF($D2277="","",IF(AND($L2277="Crédit",OR(IFERROR(INDEX('Paramètres'!$O:$O,MATCH($D2277,'Paramètres'!$M:$M,0))&amp;"","")&lt;&gt;"",ISNUMBER(SEARCH("remboursement",IFERROR(INDEX('Paramètres'!$N:$N,MATCH($D2277,'Paramètres'!$M:$M,0))&amp;"",""))))),1,0))</f>
        <v/>
      </c>
      <c r="Q2277" s="6" t="str">
        <f>IF($K2277="","",IF(ISNUMBER(SEARCH("transfert-interne",IFERROR(INDEX('Paramètres'!$N:$N,MATCH($D2277,'Paramètres'!$M:$M,0))&amp;"",""))),0,IF($L2277="Débit",$K2277,IF($P2277=1,-$K2277,0))))</f>
        <v/>
      </c>
      <c r="R2277" s="6" t="str">
        <f>IF($K2277="","",IF($L2277="Crédit",$K2277,-$K2277))</f>
        <v/>
      </c>
      <c r="S2277" s="6" t="str">
        <f>IF($C2277="","",IFERROR(INDEX('Paramètres'!$H:$H,MATCH($C2277,'Paramètres'!$D:$D,0))&amp;"",""))</f>
        <v/>
      </c>
      <c r="T2277" s="6" t="str">
        <f>IF($K2277="","",IF($S2277="",0,IF(ISNUMBER(SEARCH("apport-exterieur",IFERROR(INDEX('Paramètres'!$N:$N,MATCH($D2277,'Paramètres'!$M:$M,0))&amp;"",""))),0,IF(OR(IFERROR(INDEX('Paramètres'!$I:$I,MATCH($C2277,'Paramètres'!$D:$D,0))&amp;"","")="Les deux",IFERROR(INDEX('Paramètres'!$I:$I,MATCH($C2277,'Paramètres'!$D:$D,0))&amp;"","")=IF($P2277=1,"Débit",$L2277)),-IF($P2277=1,-$K2277,$K2277),0))))</f>
        <v/>
      </c>
      <c r="U2277" s="6" t="str">
        <f>IF($K2277="","",IF(ISNUMBER(SEARCH("sortie-epargne",IFERROR(INDEX('Paramètres'!$N:$N,MATCH($D2277,'Paramètres'!$M:$M,0))&amp;"",""))),$K2277,0))</f>
        <v/>
      </c>
      <c r="V2277" s="6" t="str">
        <f>IF(AND($A2277&lt;&gt;"",$O2277=1,$L2277="Débit",N($Q2277)&gt;0,$A2277&gt;=Visualisation!$B$1,$A2277&lt;Visualisation!$D$1),MAX($V$1:V2276)+1,"")</f>
        <v/>
      </c>
    </row>
    <row r="2278" spans="1:22" x14ac:dyDescent="0.25">
      <c r="A2278" s="9"/>
      <c r="E2278" s="10"/>
      <c r="K2278" s="11" t="str">
        <f>IF($E2278="","",ROUND($E2278*IF(ISNA(MATCH($C2278,'Paramètres'!$D:$D,0)),1,IF(INDEX('Paramètres'!$J:$J,MATCH($C2278,'Paramètres'!$D:$D,0))="",1,INDEX('Paramètres'!$J:$J,MATCH($C2278,'Paramètres'!$D:$D,0)))),2))</f>
        <v/>
      </c>
      <c r="L2278" s="6" t="str">
        <f>IF($D2278="","",IF($F2278&lt;&gt;"",$F2278,IF(ISNA(MATCH($D2278,'Paramètres'!$M:$M,0)),"⚠ Type inconnu",IFERROR(INDEX('Paramètres'!$P:$P,MATCH($D2278,'Paramètres'!$M:$M,0))&amp;"",""))))</f>
        <v/>
      </c>
      <c r="M2278" s="6" t="str">
        <f>IF($D2278="","",IF(ISNA(MATCH($D2278,'Paramètres'!$M:$M,0)),"⚠ Type inconnu",IF($L2278="Crédit","",IFERROR(INDEX('Paramètres'!$O:$O,MATCH($D2278,'Paramètres'!$M:$M,0))&amp;"",""))))</f>
        <v/>
      </c>
      <c r="N2278" s="6" t="str">
        <f>IF($D2278="","",IFERROR(INDEX('Paramètres'!$Q:$Q,MATCH($D2278,'Paramètres'!$M:$M,0))&amp;"",""))</f>
        <v/>
      </c>
      <c r="O2278" s="6" t="str">
        <f>IF($A2278="","",IF(OR($J2278&lt;&gt;"x",$A2278&lt;=FinReleve),1,0))</f>
        <v/>
      </c>
      <c r="P2278" s="6" t="str">
        <f>IF($D2278="","",IF(AND($L2278="Crédit",OR(IFERROR(INDEX('Paramètres'!$O:$O,MATCH($D2278,'Paramètres'!$M:$M,0))&amp;"","")&lt;&gt;"",ISNUMBER(SEARCH("remboursement",IFERROR(INDEX('Paramètres'!$N:$N,MATCH($D2278,'Paramètres'!$M:$M,0))&amp;"",""))))),1,0))</f>
        <v/>
      </c>
      <c r="Q2278" s="6" t="str">
        <f>IF($K2278="","",IF(ISNUMBER(SEARCH("transfert-interne",IFERROR(INDEX('Paramètres'!$N:$N,MATCH($D2278,'Paramètres'!$M:$M,0))&amp;"",""))),0,IF($L2278="Débit",$K2278,IF($P2278=1,-$K2278,0))))</f>
        <v/>
      </c>
      <c r="R2278" s="6" t="str">
        <f>IF($K2278="","",IF($L2278="Crédit",$K2278,-$K2278))</f>
        <v/>
      </c>
      <c r="S2278" s="6" t="str">
        <f>IF($C2278="","",IFERROR(INDEX('Paramètres'!$H:$H,MATCH($C2278,'Paramètres'!$D:$D,0))&amp;"",""))</f>
        <v/>
      </c>
      <c r="T2278" s="6" t="str">
        <f>IF($K2278="","",IF($S2278="",0,IF(ISNUMBER(SEARCH("apport-exterieur",IFERROR(INDEX('Paramètres'!$N:$N,MATCH($D2278,'Paramètres'!$M:$M,0))&amp;"",""))),0,IF(OR(IFERROR(INDEX('Paramètres'!$I:$I,MATCH($C2278,'Paramètres'!$D:$D,0))&amp;"","")="Les deux",IFERROR(INDEX('Paramètres'!$I:$I,MATCH($C2278,'Paramètres'!$D:$D,0))&amp;"","")=IF($P2278=1,"Débit",$L2278)),-IF($P2278=1,-$K2278,$K2278),0))))</f>
        <v/>
      </c>
      <c r="U2278" s="6" t="str">
        <f>IF($K2278="","",IF(ISNUMBER(SEARCH("sortie-epargne",IFERROR(INDEX('Paramètres'!$N:$N,MATCH($D2278,'Paramètres'!$M:$M,0))&amp;"",""))),$K2278,0))</f>
        <v/>
      </c>
      <c r="V2278" s="6" t="str">
        <f>IF(AND($A2278&lt;&gt;"",$O2278=1,$L2278="Débit",N($Q2278)&gt;0,$A2278&gt;=Visualisation!$B$1,$A2278&lt;Visualisation!$D$1),MAX($V$1:V2277)+1,"")</f>
        <v/>
      </c>
    </row>
    <row r="2279" spans="1:22" x14ac:dyDescent="0.25">
      <c r="A2279" s="9"/>
      <c r="E2279" s="10"/>
      <c r="K2279" s="11" t="str">
        <f>IF($E2279="","",ROUND($E2279*IF(ISNA(MATCH($C2279,'Paramètres'!$D:$D,0)),1,IF(INDEX('Paramètres'!$J:$J,MATCH($C2279,'Paramètres'!$D:$D,0))="",1,INDEX('Paramètres'!$J:$J,MATCH($C2279,'Paramètres'!$D:$D,0)))),2))</f>
        <v/>
      </c>
      <c r="L2279" s="6" t="str">
        <f>IF($D2279="","",IF($F2279&lt;&gt;"",$F2279,IF(ISNA(MATCH($D2279,'Paramètres'!$M:$M,0)),"⚠ Type inconnu",IFERROR(INDEX('Paramètres'!$P:$P,MATCH($D2279,'Paramètres'!$M:$M,0))&amp;"",""))))</f>
        <v/>
      </c>
      <c r="M2279" s="6" t="str">
        <f>IF($D2279="","",IF(ISNA(MATCH($D2279,'Paramètres'!$M:$M,0)),"⚠ Type inconnu",IF($L2279="Crédit","",IFERROR(INDEX('Paramètres'!$O:$O,MATCH($D2279,'Paramètres'!$M:$M,0))&amp;"",""))))</f>
        <v/>
      </c>
      <c r="N2279" s="6" t="str">
        <f>IF($D2279="","",IFERROR(INDEX('Paramètres'!$Q:$Q,MATCH($D2279,'Paramètres'!$M:$M,0))&amp;"",""))</f>
        <v/>
      </c>
      <c r="O2279" s="6" t="str">
        <f>IF($A2279="","",IF(OR($J2279&lt;&gt;"x",$A2279&lt;=FinReleve),1,0))</f>
        <v/>
      </c>
      <c r="P2279" s="6" t="str">
        <f>IF($D2279="","",IF(AND($L2279="Crédit",OR(IFERROR(INDEX('Paramètres'!$O:$O,MATCH($D2279,'Paramètres'!$M:$M,0))&amp;"","")&lt;&gt;"",ISNUMBER(SEARCH("remboursement",IFERROR(INDEX('Paramètres'!$N:$N,MATCH($D2279,'Paramètres'!$M:$M,0))&amp;"",""))))),1,0))</f>
        <v/>
      </c>
      <c r="Q2279" s="6" t="str">
        <f>IF($K2279="","",IF(ISNUMBER(SEARCH("transfert-interne",IFERROR(INDEX('Paramètres'!$N:$N,MATCH($D2279,'Paramètres'!$M:$M,0))&amp;"",""))),0,IF($L2279="Débit",$K2279,IF($P2279=1,-$K2279,0))))</f>
        <v/>
      </c>
      <c r="R2279" s="6" t="str">
        <f>IF($K2279="","",IF($L2279="Crédit",$K2279,-$K2279))</f>
        <v/>
      </c>
      <c r="S2279" s="6" t="str">
        <f>IF($C2279="","",IFERROR(INDEX('Paramètres'!$H:$H,MATCH($C2279,'Paramètres'!$D:$D,0))&amp;"",""))</f>
        <v/>
      </c>
      <c r="T2279" s="6" t="str">
        <f>IF($K2279="","",IF($S2279="",0,IF(ISNUMBER(SEARCH("apport-exterieur",IFERROR(INDEX('Paramètres'!$N:$N,MATCH($D2279,'Paramètres'!$M:$M,0))&amp;"",""))),0,IF(OR(IFERROR(INDEX('Paramètres'!$I:$I,MATCH($C2279,'Paramètres'!$D:$D,0))&amp;"","")="Les deux",IFERROR(INDEX('Paramètres'!$I:$I,MATCH($C2279,'Paramètres'!$D:$D,0))&amp;"","")=IF($P2279=1,"Débit",$L2279)),-IF($P2279=1,-$K2279,$K2279),0))))</f>
        <v/>
      </c>
      <c r="U2279" s="6" t="str">
        <f>IF($K2279="","",IF(ISNUMBER(SEARCH("sortie-epargne",IFERROR(INDEX('Paramètres'!$N:$N,MATCH($D2279,'Paramètres'!$M:$M,0))&amp;"",""))),$K2279,0))</f>
        <v/>
      </c>
      <c r="V2279" s="6" t="str">
        <f>IF(AND($A2279&lt;&gt;"",$O2279=1,$L2279="Débit",N($Q2279)&gt;0,$A2279&gt;=Visualisation!$B$1,$A2279&lt;Visualisation!$D$1),MAX($V$1:V2278)+1,"")</f>
        <v/>
      </c>
    </row>
    <row r="2280" spans="1:22" x14ac:dyDescent="0.25">
      <c r="A2280" s="9"/>
      <c r="E2280" s="10"/>
      <c r="K2280" s="11" t="str">
        <f>IF($E2280="","",ROUND($E2280*IF(ISNA(MATCH($C2280,'Paramètres'!$D:$D,0)),1,IF(INDEX('Paramètres'!$J:$J,MATCH($C2280,'Paramètres'!$D:$D,0))="",1,INDEX('Paramètres'!$J:$J,MATCH($C2280,'Paramètres'!$D:$D,0)))),2))</f>
        <v/>
      </c>
      <c r="L2280" s="6" t="str">
        <f>IF($D2280="","",IF($F2280&lt;&gt;"",$F2280,IF(ISNA(MATCH($D2280,'Paramètres'!$M:$M,0)),"⚠ Type inconnu",IFERROR(INDEX('Paramètres'!$P:$P,MATCH($D2280,'Paramètres'!$M:$M,0))&amp;"",""))))</f>
        <v/>
      </c>
      <c r="M2280" s="6" t="str">
        <f>IF($D2280="","",IF(ISNA(MATCH($D2280,'Paramètres'!$M:$M,0)),"⚠ Type inconnu",IF($L2280="Crédit","",IFERROR(INDEX('Paramètres'!$O:$O,MATCH($D2280,'Paramètres'!$M:$M,0))&amp;"",""))))</f>
        <v/>
      </c>
      <c r="N2280" s="6" t="str">
        <f>IF($D2280="","",IFERROR(INDEX('Paramètres'!$Q:$Q,MATCH($D2280,'Paramètres'!$M:$M,0))&amp;"",""))</f>
        <v/>
      </c>
      <c r="O2280" s="6" t="str">
        <f>IF($A2280="","",IF(OR($J2280&lt;&gt;"x",$A2280&lt;=FinReleve),1,0))</f>
        <v/>
      </c>
      <c r="P2280" s="6" t="str">
        <f>IF($D2280="","",IF(AND($L2280="Crédit",OR(IFERROR(INDEX('Paramètres'!$O:$O,MATCH($D2280,'Paramètres'!$M:$M,0))&amp;"","")&lt;&gt;"",ISNUMBER(SEARCH("remboursement",IFERROR(INDEX('Paramètres'!$N:$N,MATCH($D2280,'Paramètres'!$M:$M,0))&amp;"",""))))),1,0))</f>
        <v/>
      </c>
      <c r="Q2280" s="6" t="str">
        <f>IF($K2280="","",IF(ISNUMBER(SEARCH("transfert-interne",IFERROR(INDEX('Paramètres'!$N:$N,MATCH($D2280,'Paramètres'!$M:$M,0))&amp;"",""))),0,IF($L2280="Débit",$K2280,IF($P2280=1,-$K2280,0))))</f>
        <v/>
      </c>
      <c r="R2280" s="6" t="str">
        <f>IF($K2280="","",IF($L2280="Crédit",$K2280,-$K2280))</f>
        <v/>
      </c>
      <c r="S2280" s="6" t="str">
        <f>IF($C2280="","",IFERROR(INDEX('Paramètres'!$H:$H,MATCH($C2280,'Paramètres'!$D:$D,0))&amp;"",""))</f>
        <v/>
      </c>
      <c r="T2280" s="6" t="str">
        <f>IF($K2280="","",IF($S2280="",0,IF(ISNUMBER(SEARCH("apport-exterieur",IFERROR(INDEX('Paramètres'!$N:$N,MATCH($D2280,'Paramètres'!$M:$M,0))&amp;"",""))),0,IF(OR(IFERROR(INDEX('Paramètres'!$I:$I,MATCH($C2280,'Paramètres'!$D:$D,0))&amp;"","")="Les deux",IFERROR(INDEX('Paramètres'!$I:$I,MATCH($C2280,'Paramètres'!$D:$D,0))&amp;"","")=IF($P2280=1,"Débit",$L2280)),-IF($P2280=1,-$K2280,$K2280),0))))</f>
        <v/>
      </c>
      <c r="U2280" s="6" t="str">
        <f>IF($K2280="","",IF(ISNUMBER(SEARCH("sortie-epargne",IFERROR(INDEX('Paramètres'!$N:$N,MATCH($D2280,'Paramètres'!$M:$M,0))&amp;"",""))),$K2280,0))</f>
        <v/>
      </c>
      <c r="V2280" s="6" t="str">
        <f>IF(AND($A2280&lt;&gt;"",$O2280=1,$L2280="Débit",N($Q2280)&gt;0,$A2280&gt;=Visualisation!$B$1,$A2280&lt;Visualisation!$D$1),MAX($V$1:V2279)+1,"")</f>
        <v/>
      </c>
    </row>
    <row r="2281" spans="1:22" x14ac:dyDescent="0.25">
      <c r="A2281" s="9"/>
      <c r="E2281" s="10"/>
      <c r="K2281" s="11" t="str">
        <f>IF($E2281="","",ROUND($E2281*IF(ISNA(MATCH($C2281,'Paramètres'!$D:$D,0)),1,IF(INDEX('Paramètres'!$J:$J,MATCH($C2281,'Paramètres'!$D:$D,0))="",1,INDEX('Paramètres'!$J:$J,MATCH($C2281,'Paramètres'!$D:$D,0)))),2))</f>
        <v/>
      </c>
      <c r="L2281" s="6" t="str">
        <f>IF($D2281="","",IF($F2281&lt;&gt;"",$F2281,IF(ISNA(MATCH($D2281,'Paramètres'!$M:$M,0)),"⚠ Type inconnu",IFERROR(INDEX('Paramètres'!$P:$P,MATCH($D2281,'Paramètres'!$M:$M,0))&amp;"",""))))</f>
        <v/>
      </c>
      <c r="M2281" s="6" t="str">
        <f>IF($D2281="","",IF(ISNA(MATCH($D2281,'Paramètres'!$M:$M,0)),"⚠ Type inconnu",IF($L2281="Crédit","",IFERROR(INDEX('Paramètres'!$O:$O,MATCH($D2281,'Paramètres'!$M:$M,0))&amp;"",""))))</f>
        <v/>
      </c>
      <c r="N2281" s="6" t="str">
        <f>IF($D2281="","",IFERROR(INDEX('Paramètres'!$Q:$Q,MATCH($D2281,'Paramètres'!$M:$M,0))&amp;"",""))</f>
        <v/>
      </c>
      <c r="O2281" s="6" t="str">
        <f>IF($A2281="","",IF(OR($J2281&lt;&gt;"x",$A2281&lt;=FinReleve),1,0))</f>
        <v/>
      </c>
      <c r="P2281" s="6" t="str">
        <f>IF($D2281="","",IF(AND($L2281="Crédit",OR(IFERROR(INDEX('Paramètres'!$O:$O,MATCH($D2281,'Paramètres'!$M:$M,0))&amp;"","")&lt;&gt;"",ISNUMBER(SEARCH("remboursement",IFERROR(INDEX('Paramètres'!$N:$N,MATCH($D2281,'Paramètres'!$M:$M,0))&amp;"",""))))),1,0))</f>
        <v/>
      </c>
      <c r="Q2281" s="6" t="str">
        <f>IF($K2281="","",IF(ISNUMBER(SEARCH("transfert-interne",IFERROR(INDEX('Paramètres'!$N:$N,MATCH($D2281,'Paramètres'!$M:$M,0))&amp;"",""))),0,IF($L2281="Débit",$K2281,IF($P2281=1,-$K2281,0))))</f>
        <v/>
      </c>
      <c r="R2281" s="6" t="str">
        <f>IF($K2281="","",IF($L2281="Crédit",$K2281,-$K2281))</f>
        <v/>
      </c>
      <c r="S2281" s="6" t="str">
        <f>IF($C2281="","",IFERROR(INDEX('Paramètres'!$H:$H,MATCH($C2281,'Paramètres'!$D:$D,0))&amp;"",""))</f>
        <v/>
      </c>
      <c r="T2281" s="6" t="str">
        <f>IF($K2281="","",IF($S2281="",0,IF(ISNUMBER(SEARCH("apport-exterieur",IFERROR(INDEX('Paramètres'!$N:$N,MATCH($D2281,'Paramètres'!$M:$M,0))&amp;"",""))),0,IF(OR(IFERROR(INDEX('Paramètres'!$I:$I,MATCH($C2281,'Paramètres'!$D:$D,0))&amp;"","")="Les deux",IFERROR(INDEX('Paramètres'!$I:$I,MATCH($C2281,'Paramètres'!$D:$D,0))&amp;"","")=IF($P2281=1,"Débit",$L2281)),-IF($P2281=1,-$K2281,$K2281),0))))</f>
        <v/>
      </c>
      <c r="U2281" s="6" t="str">
        <f>IF($K2281="","",IF(ISNUMBER(SEARCH("sortie-epargne",IFERROR(INDEX('Paramètres'!$N:$N,MATCH($D2281,'Paramètres'!$M:$M,0))&amp;"",""))),$K2281,0))</f>
        <v/>
      </c>
      <c r="V2281" s="6" t="str">
        <f>IF(AND($A2281&lt;&gt;"",$O2281=1,$L2281="Débit",N($Q2281)&gt;0,$A2281&gt;=Visualisation!$B$1,$A2281&lt;Visualisation!$D$1),MAX($V$1:V2280)+1,"")</f>
        <v/>
      </c>
    </row>
    <row r="2282" spans="1:22" x14ac:dyDescent="0.25">
      <c r="A2282" s="9"/>
      <c r="E2282" s="10"/>
      <c r="K2282" s="11" t="str">
        <f>IF($E2282="","",ROUND($E2282*IF(ISNA(MATCH($C2282,'Paramètres'!$D:$D,0)),1,IF(INDEX('Paramètres'!$J:$J,MATCH($C2282,'Paramètres'!$D:$D,0))="",1,INDEX('Paramètres'!$J:$J,MATCH($C2282,'Paramètres'!$D:$D,0)))),2))</f>
        <v/>
      </c>
      <c r="L2282" s="6" t="str">
        <f>IF($D2282="","",IF($F2282&lt;&gt;"",$F2282,IF(ISNA(MATCH($D2282,'Paramètres'!$M:$M,0)),"⚠ Type inconnu",IFERROR(INDEX('Paramètres'!$P:$P,MATCH($D2282,'Paramètres'!$M:$M,0))&amp;"",""))))</f>
        <v/>
      </c>
      <c r="M2282" s="6" t="str">
        <f>IF($D2282="","",IF(ISNA(MATCH($D2282,'Paramètres'!$M:$M,0)),"⚠ Type inconnu",IF($L2282="Crédit","",IFERROR(INDEX('Paramètres'!$O:$O,MATCH($D2282,'Paramètres'!$M:$M,0))&amp;"",""))))</f>
        <v/>
      </c>
      <c r="N2282" s="6" t="str">
        <f>IF($D2282="","",IFERROR(INDEX('Paramètres'!$Q:$Q,MATCH($D2282,'Paramètres'!$M:$M,0))&amp;"",""))</f>
        <v/>
      </c>
      <c r="O2282" s="6" t="str">
        <f>IF($A2282="","",IF(OR($J2282&lt;&gt;"x",$A2282&lt;=FinReleve),1,0))</f>
        <v/>
      </c>
      <c r="P2282" s="6" t="str">
        <f>IF($D2282="","",IF(AND($L2282="Crédit",OR(IFERROR(INDEX('Paramètres'!$O:$O,MATCH($D2282,'Paramètres'!$M:$M,0))&amp;"","")&lt;&gt;"",ISNUMBER(SEARCH("remboursement",IFERROR(INDEX('Paramètres'!$N:$N,MATCH($D2282,'Paramètres'!$M:$M,0))&amp;"",""))))),1,0))</f>
        <v/>
      </c>
      <c r="Q2282" s="6" t="str">
        <f>IF($K2282="","",IF(ISNUMBER(SEARCH("transfert-interne",IFERROR(INDEX('Paramètres'!$N:$N,MATCH($D2282,'Paramètres'!$M:$M,0))&amp;"",""))),0,IF($L2282="Débit",$K2282,IF($P2282=1,-$K2282,0))))</f>
        <v/>
      </c>
      <c r="R2282" s="6" t="str">
        <f>IF($K2282="","",IF($L2282="Crédit",$K2282,-$K2282))</f>
        <v/>
      </c>
      <c r="S2282" s="6" t="str">
        <f>IF($C2282="","",IFERROR(INDEX('Paramètres'!$H:$H,MATCH($C2282,'Paramètres'!$D:$D,0))&amp;"",""))</f>
        <v/>
      </c>
      <c r="T2282" s="6" t="str">
        <f>IF($K2282="","",IF($S2282="",0,IF(ISNUMBER(SEARCH("apport-exterieur",IFERROR(INDEX('Paramètres'!$N:$N,MATCH($D2282,'Paramètres'!$M:$M,0))&amp;"",""))),0,IF(OR(IFERROR(INDEX('Paramètres'!$I:$I,MATCH($C2282,'Paramètres'!$D:$D,0))&amp;"","")="Les deux",IFERROR(INDEX('Paramètres'!$I:$I,MATCH($C2282,'Paramètres'!$D:$D,0))&amp;"","")=IF($P2282=1,"Débit",$L2282)),-IF($P2282=1,-$K2282,$K2282),0))))</f>
        <v/>
      </c>
      <c r="U2282" s="6" t="str">
        <f>IF($K2282="","",IF(ISNUMBER(SEARCH("sortie-epargne",IFERROR(INDEX('Paramètres'!$N:$N,MATCH($D2282,'Paramètres'!$M:$M,0))&amp;"",""))),$K2282,0))</f>
        <v/>
      </c>
      <c r="V2282" s="6" t="str">
        <f>IF(AND($A2282&lt;&gt;"",$O2282=1,$L2282="Débit",N($Q2282)&gt;0,$A2282&gt;=Visualisation!$B$1,$A2282&lt;Visualisation!$D$1),MAX($V$1:V2281)+1,"")</f>
        <v/>
      </c>
    </row>
    <row r="2283" spans="1:22" x14ac:dyDescent="0.25">
      <c r="A2283" s="9"/>
      <c r="E2283" s="10"/>
      <c r="K2283" s="11" t="str">
        <f>IF($E2283="","",ROUND($E2283*IF(ISNA(MATCH($C2283,'Paramètres'!$D:$D,0)),1,IF(INDEX('Paramètres'!$J:$J,MATCH($C2283,'Paramètres'!$D:$D,0))="",1,INDEX('Paramètres'!$J:$J,MATCH($C2283,'Paramètres'!$D:$D,0)))),2))</f>
        <v/>
      </c>
      <c r="L2283" s="6" t="str">
        <f>IF($D2283="","",IF($F2283&lt;&gt;"",$F2283,IF(ISNA(MATCH($D2283,'Paramètres'!$M:$M,0)),"⚠ Type inconnu",IFERROR(INDEX('Paramètres'!$P:$P,MATCH($D2283,'Paramètres'!$M:$M,0))&amp;"",""))))</f>
        <v/>
      </c>
      <c r="M2283" s="6" t="str">
        <f>IF($D2283="","",IF(ISNA(MATCH($D2283,'Paramètres'!$M:$M,0)),"⚠ Type inconnu",IF($L2283="Crédit","",IFERROR(INDEX('Paramètres'!$O:$O,MATCH($D2283,'Paramètres'!$M:$M,0))&amp;"",""))))</f>
        <v/>
      </c>
      <c r="N2283" s="6" t="str">
        <f>IF($D2283="","",IFERROR(INDEX('Paramètres'!$Q:$Q,MATCH($D2283,'Paramètres'!$M:$M,0))&amp;"",""))</f>
        <v/>
      </c>
      <c r="O2283" s="6" t="str">
        <f>IF($A2283="","",IF(OR($J2283&lt;&gt;"x",$A2283&lt;=FinReleve),1,0))</f>
        <v/>
      </c>
      <c r="P2283" s="6" t="str">
        <f>IF($D2283="","",IF(AND($L2283="Crédit",OR(IFERROR(INDEX('Paramètres'!$O:$O,MATCH($D2283,'Paramètres'!$M:$M,0))&amp;"","")&lt;&gt;"",ISNUMBER(SEARCH("remboursement",IFERROR(INDEX('Paramètres'!$N:$N,MATCH($D2283,'Paramètres'!$M:$M,0))&amp;"",""))))),1,0))</f>
        <v/>
      </c>
      <c r="Q2283" s="6" t="str">
        <f>IF($K2283="","",IF(ISNUMBER(SEARCH("transfert-interne",IFERROR(INDEX('Paramètres'!$N:$N,MATCH($D2283,'Paramètres'!$M:$M,0))&amp;"",""))),0,IF($L2283="Débit",$K2283,IF($P2283=1,-$K2283,0))))</f>
        <v/>
      </c>
      <c r="R2283" s="6" t="str">
        <f>IF($K2283="","",IF($L2283="Crédit",$K2283,-$K2283))</f>
        <v/>
      </c>
      <c r="S2283" s="6" t="str">
        <f>IF($C2283="","",IFERROR(INDEX('Paramètres'!$H:$H,MATCH($C2283,'Paramètres'!$D:$D,0))&amp;"",""))</f>
        <v/>
      </c>
      <c r="T2283" s="6" t="str">
        <f>IF($K2283="","",IF($S2283="",0,IF(ISNUMBER(SEARCH("apport-exterieur",IFERROR(INDEX('Paramètres'!$N:$N,MATCH($D2283,'Paramètres'!$M:$M,0))&amp;"",""))),0,IF(OR(IFERROR(INDEX('Paramètres'!$I:$I,MATCH($C2283,'Paramètres'!$D:$D,0))&amp;"","")="Les deux",IFERROR(INDEX('Paramètres'!$I:$I,MATCH($C2283,'Paramètres'!$D:$D,0))&amp;"","")=IF($P2283=1,"Débit",$L2283)),-IF($P2283=1,-$K2283,$K2283),0))))</f>
        <v/>
      </c>
      <c r="U2283" s="6" t="str">
        <f>IF($K2283="","",IF(ISNUMBER(SEARCH("sortie-epargne",IFERROR(INDEX('Paramètres'!$N:$N,MATCH($D2283,'Paramètres'!$M:$M,0))&amp;"",""))),$K2283,0))</f>
        <v/>
      </c>
      <c r="V2283" s="6" t="str">
        <f>IF(AND($A2283&lt;&gt;"",$O2283=1,$L2283="Débit",N($Q2283)&gt;0,$A2283&gt;=Visualisation!$B$1,$A2283&lt;Visualisation!$D$1),MAX($V$1:V2282)+1,"")</f>
        <v/>
      </c>
    </row>
    <row r="2284" spans="1:22" x14ac:dyDescent="0.25">
      <c r="A2284" s="9"/>
      <c r="E2284" s="10"/>
      <c r="K2284" s="11" t="str">
        <f>IF($E2284="","",ROUND($E2284*IF(ISNA(MATCH($C2284,'Paramètres'!$D:$D,0)),1,IF(INDEX('Paramètres'!$J:$J,MATCH($C2284,'Paramètres'!$D:$D,0))="",1,INDEX('Paramètres'!$J:$J,MATCH($C2284,'Paramètres'!$D:$D,0)))),2))</f>
        <v/>
      </c>
      <c r="L2284" s="6" t="str">
        <f>IF($D2284="","",IF($F2284&lt;&gt;"",$F2284,IF(ISNA(MATCH($D2284,'Paramètres'!$M:$M,0)),"⚠ Type inconnu",IFERROR(INDEX('Paramètres'!$P:$P,MATCH($D2284,'Paramètres'!$M:$M,0))&amp;"",""))))</f>
        <v/>
      </c>
      <c r="M2284" s="6" t="str">
        <f>IF($D2284="","",IF(ISNA(MATCH($D2284,'Paramètres'!$M:$M,0)),"⚠ Type inconnu",IF($L2284="Crédit","",IFERROR(INDEX('Paramètres'!$O:$O,MATCH($D2284,'Paramètres'!$M:$M,0))&amp;"",""))))</f>
        <v/>
      </c>
      <c r="N2284" s="6" t="str">
        <f>IF($D2284="","",IFERROR(INDEX('Paramètres'!$Q:$Q,MATCH($D2284,'Paramètres'!$M:$M,0))&amp;"",""))</f>
        <v/>
      </c>
      <c r="O2284" s="6" t="str">
        <f>IF($A2284="","",IF(OR($J2284&lt;&gt;"x",$A2284&lt;=FinReleve),1,0))</f>
        <v/>
      </c>
      <c r="P2284" s="6" t="str">
        <f>IF($D2284="","",IF(AND($L2284="Crédit",OR(IFERROR(INDEX('Paramètres'!$O:$O,MATCH($D2284,'Paramètres'!$M:$M,0))&amp;"","")&lt;&gt;"",ISNUMBER(SEARCH("remboursement",IFERROR(INDEX('Paramètres'!$N:$N,MATCH($D2284,'Paramètres'!$M:$M,0))&amp;"",""))))),1,0))</f>
        <v/>
      </c>
      <c r="Q2284" s="6" t="str">
        <f>IF($K2284="","",IF(ISNUMBER(SEARCH("transfert-interne",IFERROR(INDEX('Paramètres'!$N:$N,MATCH($D2284,'Paramètres'!$M:$M,0))&amp;"",""))),0,IF($L2284="Débit",$K2284,IF($P2284=1,-$K2284,0))))</f>
        <v/>
      </c>
      <c r="R2284" s="6" t="str">
        <f>IF($K2284="","",IF($L2284="Crédit",$K2284,-$K2284))</f>
        <v/>
      </c>
      <c r="S2284" s="6" t="str">
        <f>IF($C2284="","",IFERROR(INDEX('Paramètres'!$H:$H,MATCH($C2284,'Paramètres'!$D:$D,0))&amp;"",""))</f>
        <v/>
      </c>
      <c r="T2284" s="6" t="str">
        <f>IF($K2284="","",IF($S2284="",0,IF(ISNUMBER(SEARCH("apport-exterieur",IFERROR(INDEX('Paramètres'!$N:$N,MATCH($D2284,'Paramètres'!$M:$M,0))&amp;"",""))),0,IF(OR(IFERROR(INDEX('Paramètres'!$I:$I,MATCH($C2284,'Paramètres'!$D:$D,0))&amp;"","")="Les deux",IFERROR(INDEX('Paramètres'!$I:$I,MATCH($C2284,'Paramètres'!$D:$D,0))&amp;"","")=IF($P2284=1,"Débit",$L2284)),-IF($P2284=1,-$K2284,$K2284),0))))</f>
        <v/>
      </c>
      <c r="U2284" s="6" t="str">
        <f>IF($K2284="","",IF(ISNUMBER(SEARCH("sortie-epargne",IFERROR(INDEX('Paramètres'!$N:$N,MATCH($D2284,'Paramètres'!$M:$M,0))&amp;"",""))),$K2284,0))</f>
        <v/>
      </c>
      <c r="V2284" s="6" t="str">
        <f>IF(AND($A2284&lt;&gt;"",$O2284=1,$L2284="Débit",N($Q2284)&gt;0,$A2284&gt;=Visualisation!$B$1,$A2284&lt;Visualisation!$D$1),MAX($V$1:V2283)+1,"")</f>
        <v/>
      </c>
    </row>
    <row r="2285" spans="1:22" x14ac:dyDescent="0.25">
      <c r="A2285" s="9"/>
      <c r="E2285" s="10"/>
      <c r="K2285" s="11" t="str">
        <f>IF($E2285="","",ROUND($E2285*IF(ISNA(MATCH($C2285,'Paramètres'!$D:$D,0)),1,IF(INDEX('Paramètres'!$J:$J,MATCH($C2285,'Paramètres'!$D:$D,0))="",1,INDEX('Paramètres'!$J:$J,MATCH($C2285,'Paramètres'!$D:$D,0)))),2))</f>
        <v/>
      </c>
      <c r="L2285" s="6" t="str">
        <f>IF($D2285="","",IF($F2285&lt;&gt;"",$F2285,IF(ISNA(MATCH($D2285,'Paramètres'!$M:$M,0)),"⚠ Type inconnu",IFERROR(INDEX('Paramètres'!$P:$P,MATCH($D2285,'Paramètres'!$M:$M,0))&amp;"",""))))</f>
        <v/>
      </c>
      <c r="M2285" s="6" t="str">
        <f>IF($D2285="","",IF(ISNA(MATCH($D2285,'Paramètres'!$M:$M,0)),"⚠ Type inconnu",IF($L2285="Crédit","",IFERROR(INDEX('Paramètres'!$O:$O,MATCH($D2285,'Paramètres'!$M:$M,0))&amp;"",""))))</f>
        <v/>
      </c>
      <c r="N2285" s="6" t="str">
        <f>IF($D2285="","",IFERROR(INDEX('Paramètres'!$Q:$Q,MATCH($D2285,'Paramètres'!$M:$M,0))&amp;"",""))</f>
        <v/>
      </c>
      <c r="O2285" s="6" t="str">
        <f>IF($A2285="","",IF(OR($J2285&lt;&gt;"x",$A2285&lt;=FinReleve),1,0))</f>
        <v/>
      </c>
      <c r="P2285" s="6" t="str">
        <f>IF($D2285="","",IF(AND($L2285="Crédit",OR(IFERROR(INDEX('Paramètres'!$O:$O,MATCH($D2285,'Paramètres'!$M:$M,0))&amp;"","")&lt;&gt;"",ISNUMBER(SEARCH("remboursement",IFERROR(INDEX('Paramètres'!$N:$N,MATCH($D2285,'Paramètres'!$M:$M,0))&amp;"",""))))),1,0))</f>
        <v/>
      </c>
      <c r="Q2285" s="6" t="str">
        <f>IF($K2285="","",IF(ISNUMBER(SEARCH("transfert-interne",IFERROR(INDEX('Paramètres'!$N:$N,MATCH($D2285,'Paramètres'!$M:$M,0))&amp;"",""))),0,IF($L2285="Débit",$K2285,IF($P2285=1,-$K2285,0))))</f>
        <v/>
      </c>
      <c r="R2285" s="6" t="str">
        <f>IF($K2285="","",IF($L2285="Crédit",$K2285,-$K2285))</f>
        <v/>
      </c>
      <c r="S2285" s="6" t="str">
        <f>IF($C2285="","",IFERROR(INDEX('Paramètres'!$H:$H,MATCH($C2285,'Paramètres'!$D:$D,0))&amp;"",""))</f>
        <v/>
      </c>
      <c r="T2285" s="6" t="str">
        <f>IF($K2285="","",IF($S2285="",0,IF(ISNUMBER(SEARCH("apport-exterieur",IFERROR(INDEX('Paramètres'!$N:$N,MATCH($D2285,'Paramètres'!$M:$M,0))&amp;"",""))),0,IF(OR(IFERROR(INDEX('Paramètres'!$I:$I,MATCH($C2285,'Paramètres'!$D:$D,0))&amp;"","")="Les deux",IFERROR(INDEX('Paramètres'!$I:$I,MATCH($C2285,'Paramètres'!$D:$D,0))&amp;"","")=IF($P2285=1,"Débit",$L2285)),-IF($P2285=1,-$K2285,$K2285),0))))</f>
        <v/>
      </c>
      <c r="U2285" s="6" t="str">
        <f>IF($K2285="","",IF(ISNUMBER(SEARCH("sortie-epargne",IFERROR(INDEX('Paramètres'!$N:$N,MATCH($D2285,'Paramètres'!$M:$M,0))&amp;"",""))),$K2285,0))</f>
        <v/>
      </c>
      <c r="V2285" s="6" t="str">
        <f>IF(AND($A2285&lt;&gt;"",$O2285=1,$L2285="Débit",N($Q2285)&gt;0,$A2285&gt;=Visualisation!$B$1,$A2285&lt;Visualisation!$D$1),MAX($V$1:V2284)+1,"")</f>
        <v/>
      </c>
    </row>
    <row r="2286" spans="1:22" x14ac:dyDescent="0.25">
      <c r="A2286" s="9"/>
      <c r="E2286" s="10"/>
      <c r="K2286" s="11" t="str">
        <f>IF($E2286="","",ROUND($E2286*IF(ISNA(MATCH($C2286,'Paramètres'!$D:$D,0)),1,IF(INDEX('Paramètres'!$J:$J,MATCH($C2286,'Paramètres'!$D:$D,0))="",1,INDEX('Paramètres'!$J:$J,MATCH($C2286,'Paramètres'!$D:$D,0)))),2))</f>
        <v/>
      </c>
      <c r="L2286" s="6" t="str">
        <f>IF($D2286="","",IF($F2286&lt;&gt;"",$F2286,IF(ISNA(MATCH($D2286,'Paramètres'!$M:$M,0)),"⚠ Type inconnu",IFERROR(INDEX('Paramètres'!$P:$P,MATCH($D2286,'Paramètres'!$M:$M,0))&amp;"",""))))</f>
        <v/>
      </c>
      <c r="M2286" s="6" t="str">
        <f>IF($D2286="","",IF(ISNA(MATCH($D2286,'Paramètres'!$M:$M,0)),"⚠ Type inconnu",IF($L2286="Crédit","",IFERROR(INDEX('Paramètres'!$O:$O,MATCH($D2286,'Paramètres'!$M:$M,0))&amp;"",""))))</f>
        <v/>
      </c>
      <c r="N2286" s="6" t="str">
        <f>IF($D2286="","",IFERROR(INDEX('Paramètres'!$Q:$Q,MATCH($D2286,'Paramètres'!$M:$M,0))&amp;"",""))</f>
        <v/>
      </c>
      <c r="O2286" s="6" t="str">
        <f>IF($A2286="","",IF(OR($J2286&lt;&gt;"x",$A2286&lt;=FinReleve),1,0))</f>
        <v/>
      </c>
      <c r="P2286" s="6" t="str">
        <f>IF($D2286="","",IF(AND($L2286="Crédit",OR(IFERROR(INDEX('Paramètres'!$O:$O,MATCH($D2286,'Paramètres'!$M:$M,0))&amp;"","")&lt;&gt;"",ISNUMBER(SEARCH("remboursement",IFERROR(INDEX('Paramètres'!$N:$N,MATCH($D2286,'Paramètres'!$M:$M,0))&amp;"",""))))),1,0))</f>
        <v/>
      </c>
      <c r="Q2286" s="6" t="str">
        <f>IF($K2286="","",IF(ISNUMBER(SEARCH("transfert-interne",IFERROR(INDEX('Paramètres'!$N:$N,MATCH($D2286,'Paramètres'!$M:$M,0))&amp;"",""))),0,IF($L2286="Débit",$K2286,IF($P2286=1,-$K2286,0))))</f>
        <v/>
      </c>
      <c r="R2286" s="6" t="str">
        <f>IF($K2286="","",IF($L2286="Crédit",$K2286,-$K2286))</f>
        <v/>
      </c>
      <c r="S2286" s="6" t="str">
        <f>IF($C2286="","",IFERROR(INDEX('Paramètres'!$H:$H,MATCH($C2286,'Paramètres'!$D:$D,0))&amp;"",""))</f>
        <v/>
      </c>
      <c r="T2286" s="6" t="str">
        <f>IF($K2286="","",IF($S2286="",0,IF(ISNUMBER(SEARCH("apport-exterieur",IFERROR(INDEX('Paramètres'!$N:$N,MATCH($D2286,'Paramètres'!$M:$M,0))&amp;"",""))),0,IF(OR(IFERROR(INDEX('Paramètres'!$I:$I,MATCH($C2286,'Paramètres'!$D:$D,0))&amp;"","")="Les deux",IFERROR(INDEX('Paramètres'!$I:$I,MATCH($C2286,'Paramètres'!$D:$D,0))&amp;"","")=IF($P2286=1,"Débit",$L2286)),-IF($P2286=1,-$K2286,$K2286),0))))</f>
        <v/>
      </c>
      <c r="U2286" s="6" t="str">
        <f>IF($K2286="","",IF(ISNUMBER(SEARCH("sortie-epargne",IFERROR(INDEX('Paramètres'!$N:$N,MATCH($D2286,'Paramètres'!$M:$M,0))&amp;"",""))),$K2286,0))</f>
        <v/>
      </c>
      <c r="V2286" s="6" t="str">
        <f>IF(AND($A2286&lt;&gt;"",$O2286=1,$L2286="Débit",N($Q2286)&gt;0,$A2286&gt;=Visualisation!$B$1,$A2286&lt;Visualisation!$D$1),MAX($V$1:V2285)+1,"")</f>
        <v/>
      </c>
    </row>
    <row r="2287" spans="1:22" x14ac:dyDescent="0.25">
      <c r="A2287" s="9"/>
      <c r="E2287" s="10"/>
      <c r="K2287" s="11" t="str">
        <f>IF($E2287="","",ROUND($E2287*IF(ISNA(MATCH($C2287,'Paramètres'!$D:$D,0)),1,IF(INDEX('Paramètres'!$J:$J,MATCH($C2287,'Paramètres'!$D:$D,0))="",1,INDEX('Paramètres'!$J:$J,MATCH($C2287,'Paramètres'!$D:$D,0)))),2))</f>
        <v/>
      </c>
      <c r="L2287" s="6" t="str">
        <f>IF($D2287="","",IF($F2287&lt;&gt;"",$F2287,IF(ISNA(MATCH($D2287,'Paramètres'!$M:$M,0)),"⚠ Type inconnu",IFERROR(INDEX('Paramètres'!$P:$P,MATCH($D2287,'Paramètres'!$M:$M,0))&amp;"",""))))</f>
        <v/>
      </c>
      <c r="M2287" s="6" t="str">
        <f>IF($D2287="","",IF(ISNA(MATCH($D2287,'Paramètres'!$M:$M,0)),"⚠ Type inconnu",IF($L2287="Crédit","",IFERROR(INDEX('Paramètres'!$O:$O,MATCH($D2287,'Paramètres'!$M:$M,0))&amp;"",""))))</f>
        <v/>
      </c>
      <c r="N2287" s="6" t="str">
        <f>IF($D2287="","",IFERROR(INDEX('Paramètres'!$Q:$Q,MATCH($D2287,'Paramètres'!$M:$M,0))&amp;"",""))</f>
        <v/>
      </c>
      <c r="O2287" s="6" t="str">
        <f>IF($A2287="","",IF(OR($J2287&lt;&gt;"x",$A2287&lt;=FinReleve),1,0))</f>
        <v/>
      </c>
      <c r="P2287" s="6" t="str">
        <f>IF($D2287="","",IF(AND($L2287="Crédit",OR(IFERROR(INDEX('Paramètres'!$O:$O,MATCH($D2287,'Paramètres'!$M:$M,0))&amp;"","")&lt;&gt;"",ISNUMBER(SEARCH("remboursement",IFERROR(INDEX('Paramètres'!$N:$N,MATCH($D2287,'Paramètres'!$M:$M,0))&amp;"",""))))),1,0))</f>
        <v/>
      </c>
      <c r="Q2287" s="6" t="str">
        <f>IF($K2287="","",IF(ISNUMBER(SEARCH("transfert-interne",IFERROR(INDEX('Paramètres'!$N:$N,MATCH($D2287,'Paramètres'!$M:$M,0))&amp;"",""))),0,IF($L2287="Débit",$K2287,IF($P2287=1,-$K2287,0))))</f>
        <v/>
      </c>
      <c r="R2287" s="6" t="str">
        <f>IF($K2287="","",IF($L2287="Crédit",$K2287,-$K2287))</f>
        <v/>
      </c>
      <c r="S2287" s="6" t="str">
        <f>IF($C2287="","",IFERROR(INDEX('Paramètres'!$H:$H,MATCH($C2287,'Paramètres'!$D:$D,0))&amp;"",""))</f>
        <v/>
      </c>
      <c r="T2287" s="6" t="str">
        <f>IF($K2287="","",IF($S2287="",0,IF(ISNUMBER(SEARCH("apport-exterieur",IFERROR(INDEX('Paramètres'!$N:$N,MATCH($D2287,'Paramètres'!$M:$M,0))&amp;"",""))),0,IF(OR(IFERROR(INDEX('Paramètres'!$I:$I,MATCH($C2287,'Paramètres'!$D:$D,0))&amp;"","")="Les deux",IFERROR(INDEX('Paramètres'!$I:$I,MATCH($C2287,'Paramètres'!$D:$D,0))&amp;"","")=IF($P2287=1,"Débit",$L2287)),-IF($P2287=1,-$K2287,$K2287),0))))</f>
        <v/>
      </c>
      <c r="U2287" s="6" t="str">
        <f>IF($K2287="","",IF(ISNUMBER(SEARCH("sortie-epargne",IFERROR(INDEX('Paramètres'!$N:$N,MATCH($D2287,'Paramètres'!$M:$M,0))&amp;"",""))),$K2287,0))</f>
        <v/>
      </c>
      <c r="V2287" s="6" t="str">
        <f>IF(AND($A2287&lt;&gt;"",$O2287=1,$L2287="Débit",N($Q2287)&gt;0,$A2287&gt;=Visualisation!$B$1,$A2287&lt;Visualisation!$D$1),MAX($V$1:V2286)+1,"")</f>
        <v/>
      </c>
    </row>
    <row r="2288" spans="1:22" x14ac:dyDescent="0.25">
      <c r="A2288" s="9"/>
      <c r="E2288" s="10"/>
      <c r="K2288" s="11" t="str">
        <f>IF($E2288="","",ROUND($E2288*IF(ISNA(MATCH($C2288,'Paramètres'!$D:$D,0)),1,IF(INDEX('Paramètres'!$J:$J,MATCH($C2288,'Paramètres'!$D:$D,0))="",1,INDEX('Paramètres'!$J:$J,MATCH($C2288,'Paramètres'!$D:$D,0)))),2))</f>
        <v/>
      </c>
      <c r="L2288" s="6" t="str">
        <f>IF($D2288="","",IF($F2288&lt;&gt;"",$F2288,IF(ISNA(MATCH($D2288,'Paramètres'!$M:$M,0)),"⚠ Type inconnu",IFERROR(INDEX('Paramètres'!$P:$P,MATCH($D2288,'Paramètres'!$M:$M,0))&amp;"",""))))</f>
        <v/>
      </c>
      <c r="M2288" s="6" t="str">
        <f>IF($D2288="","",IF(ISNA(MATCH($D2288,'Paramètres'!$M:$M,0)),"⚠ Type inconnu",IF($L2288="Crédit","",IFERROR(INDEX('Paramètres'!$O:$O,MATCH($D2288,'Paramètres'!$M:$M,0))&amp;"",""))))</f>
        <v/>
      </c>
      <c r="N2288" s="6" t="str">
        <f>IF($D2288="","",IFERROR(INDEX('Paramètres'!$Q:$Q,MATCH($D2288,'Paramètres'!$M:$M,0))&amp;"",""))</f>
        <v/>
      </c>
      <c r="O2288" s="6" t="str">
        <f>IF($A2288="","",IF(OR($J2288&lt;&gt;"x",$A2288&lt;=FinReleve),1,0))</f>
        <v/>
      </c>
      <c r="P2288" s="6" t="str">
        <f>IF($D2288="","",IF(AND($L2288="Crédit",OR(IFERROR(INDEX('Paramètres'!$O:$O,MATCH($D2288,'Paramètres'!$M:$M,0))&amp;"","")&lt;&gt;"",ISNUMBER(SEARCH("remboursement",IFERROR(INDEX('Paramètres'!$N:$N,MATCH($D2288,'Paramètres'!$M:$M,0))&amp;"",""))))),1,0))</f>
        <v/>
      </c>
      <c r="Q2288" s="6" t="str">
        <f>IF($K2288="","",IF(ISNUMBER(SEARCH("transfert-interne",IFERROR(INDEX('Paramètres'!$N:$N,MATCH($D2288,'Paramètres'!$M:$M,0))&amp;"",""))),0,IF($L2288="Débit",$K2288,IF($P2288=1,-$K2288,0))))</f>
        <v/>
      </c>
      <c r="R2288" s="6" t="str">
        <f>IF($K2288="","",IF($L2288="Crédit",$K2288,-$K2288))</f>
        <v/>
      </c>
      <c r="S2288" s="6" t="str">
        <f>IF($C2288="","",IFERROR(INDEX('Paramètres'!$H:$H,MATCH($C2288,'Paramètres'!$D:$D,0))&amp;"",""))</f>
        <v/>
      </c>
      <c r="T2288" s="6" t="str">
        <f>IF($K2288="","",IF($S2288="",0,IF(ISNUMBER(SEARCH("apport-exterieur",IFERROR(INDEX('Paramètres'!$N:$N,MATCH($D2288,'Paramètres'!$M:$M,0))&amp;"",""))),0,IF(OR(IFERROR(INDEX('Paramètres'!$I:$I,MATCH($C2288,'Paramètres'!$D:$D,0))&amp;"","")="Les deux",IFERROR(INDEX('Paramètres'!$I:$I,MATCH($C2288,'Paramètres'!$D:$D,0))&amp;"","")=IF($P2288=1,"Débit",$L2288)),-IF($P2288=1,-$K2288,$K2288),0))))</f>
        <v/>
      </c>
      <c r="U2288" s="6" t="str">
        <f>IF($K2288="","",IF(ISNUMBER(SEARCH("sortie-epargne",IFERROR(INDEX('Paramètres'!$N:$N,MATCH($D2288,'Paramètres'!$M:$M,0))&amp;"",""))),$K2288,0))</f>
        <v/>
      </c>
      <c r="V2288" s="6" t="str">
        <f>IF(AND($A2288&lt;&gt;"",$O2288=1,$L2288="Débit",N($Q2288)&gt;0,$A2288&gt;=Visualisation!$B$1,$A2288&lt;Visualisation!$D$1),MAX($V$1:V2287)+1,"")</f>
        <v/>
      </c>
    </row>
    <row r="2289" spans="1:22" x14ac:dyDescent="0.25">
      <c r="A2289" s="9"/>
      <c r="E2289" s="10"/>
      <c r="K2289" s="11" t="str">
        <f>IF($E2289="","",ROUND($E2289*IF(ISNA(MATCH($C2289,'Paramètres'!$D:$D,0)),1,IF(INDEX('Paramètres'!$J:$J,MATCH($C2289,'Paramètres'!$D:$D,0))="",1,INDEX('Paramètres'!$J:$J,MATCH($C2289,'Paramètres'!$D:$D,0)))),2))</f>
        <v/>
      </c>
      <c r="L2289" s="6" t="str">
        <f>IF($D2289="","",IF($F2289&lt;&gt;"",$F2289,IF(ISNA(MATCH($D2289,'Paramètres'!$M:$M,0)),"⚠ Type inconnu",IFERROR(INDEX('Paramètres'!$P:$P,MATCH($D2289,'Paramètres'!$M:$M,0))&amp;"",""))))</f>
        <v/>
      </c>
      <c r="M2289" s="6" t="str">
        <f>IF($D2289="","",IF(ISNA(MATCH($D2289,'Paramètres'!$M:$M,0)),"⚠ Type inconnu",IF($L2289="Crédit","",IFERROR(INDEX('Paramètres'!$O:$O,MATCH($D2289,'Paramètres'!$M:$M,0))&amp;"",""))))</f>
        <v/>
      </c>
      <c r="N2289" s="6" t="str">
        <f>IF($D2289="","",IFERROR(INDEX('Paramètres'!$Q:$Q,MATCH($D2289,'Paramètres'!$M:$M,0))&amp;"",""))</f>
        <v/>
      </c>
      <c r="O2289" s="6" t="str">
        <f>IF($A2289="","",IF(OR($J2289&lt;&gt;"x",$A2289&lt;=FinReleve),1,0))</f>
        <v/>
      </c>
      <c r="P2289" s="6" t="str">
        <f>IF($D2289="","",IF(AND($L2289="Crédit",OR(IFERROR(INDEX('Paramètres'!$O:$O,MATCH($D2289,'Paramètres'!$M:$M,0))&amp;"","")&lt;&gt;"",ISNUMBER(SEARCH("remboursement",IFERROR(INDEX('Paramètres'!$N:$N,MATCH($D2289,'Paramètres'!$M:$M,0))&amp;"",""))))),1,0))</f>
        <v/>
      </c>
      <c r="Q2289" s="6" t="str">
        <f>IF($K2289="","",IF(ISNUMBER(SEARCH("transfert-interne",IFERROR(INDEX('Paramètres'!$N:$N,MATCH($D2289,'Paramètres'!$M:$M,0))&amp;"",""))),0,IF($L2289="Débit",$K2289,IF($P2289=1,-$K2289,0))))</f>
        <v/>
      </c>
      <c r="R2289" s="6" t="str">
        <f>IF($K2289="","",IF($L2289="Crédit",$K2289,-$K2289))</f>
        <v/>
      </c>
      <c r="S2289" s="6" t="str">
        <f>IF($C2289="","",IFERROR(INDEX('Paramètres'!$H:$H,MATCH($C2289,'Paramètres'!$D:$D,0))&amp;"",""))</f>
        <v/>
      </c>
      <c r="T2289" s="6" t="str">
        <f>IF($K2289="","",IF($S2289="",0,IF(ISNUMBER(SEARCH("apport-exterieur",IFERROR(INDEX('Paramètres'!$N:$N,MATCH($D2289,'Paramètres'!$M:$M,0))&amp;"",""))),0,IF(OR(IFERROR(INDEX('Paramètres'!$I:$I,MATCH($C2289,'Paramètres'!$D:$D,0))&amp;"","")="Les deux",IFERROR(INDEX('Paramètres'!$I:$I,MATCH($C2289,'Paramètres'!$D:$D,0))&amp;"","")=IF($P2289=1,"Débit",$L2289)),-IF($P2289=1,-$K2289,$K2289),0))))</f>
        <v/>
      </c>
      <c r="U2289" s="6" t="str">
        <f>IF($K2289="","",IF(ISNUMBER(SEARCH("sortie-epargne",IFERROR(INDEX('Paramètres'!$N:$N,MATCH($D2289,'Paramètres'!$M:$M,0))&amp;"",""))),$K2289,0))</f>
        <v/>
      </c>
      <c r="V2289" s="6" t="str">
        <f>IF(AND($A2289&lt;&gt;"",$O2289=1,$L2289="Débit",N($Q2289)&gt;0,$A2289&gt;=Visualisation!$B$1,$A2289&lt;Visualisation!$D$1),MAX($V$1:V2288)+1,"")</f>
        <v/>
      </c>
    </row>
    <row r="2290" spans="1:22" x14ac:dyDescent="0.25">
      <c r="A2290" s="9"/>
      <c r="E2290" s="10"/>
      <c r="K2290" s="11" t="str">
        <f>IF($E2290="","",ROUND($E2290*IF(ISNA(MATCH($C2290,'Paramètres'!$D:$D,0)),1,IF(INDEX('Paramètres'!$J:$J,MATCH($C2290,'Paramètres'!$D:$D,0))="",1,INDEX('Paramètres'!$J:$J,MATCH($C2290,'Paramètres'!$D:$D,0)))),2))</f>
        <v/>
      </c>
      <c r="L2290" s="6" t="str">
        <f>IF($D2290="","",IF($F2290&lt;&gt;"",$F2290,IF(ISNA(MATCH($D2290,'Paramètres'!$M:$M,0)),"⚠ Type inconnu",IFERROR(INDEX('Paramètres'!$P:$P,MATCH($D2290,'Paramètres'!$M:$M,0))&amp;"",""))))</f>
        <v/>
      </c>
      <c r="M2290" s="6" t="str">
        <f>IF($D2290="","",IF(ISNA(MATCH($D2290,'Paramètres'!$M:$M,0)),"⚠ Type inconnu",IF($L2290="Crédit","",IFERROR(INDEX('Paramètres'!$O:$O,MATCH($D2290,'Paramètres'!$M:$M,0))&amp;"",""))))</f>
        <v/>
      </c>
      <c r="N2290" s="6" t="str">
        <f>IF($D2290="","",IFERROR(INDEX('Paramètres'!$Q:$Q,MATCH($D2290,'Paramètres'!$M:$M,0))&amp;"",""))</f>
        <v/>
      </c>
      <c r="O2290" s="6" t="str">
        <f>IF($A2290="","",IF(OR($J2290&lt;&gt;"x",$A2290&lt;=FinReleve),1,0))</f>
        <v/>
      </c>
      <c r="P2290" s="6" t="str">
        <f>IF($D2290="","",IF(AND($L2290="Crédit",OR(IFERROR(INDEX('Paramètres'!$O:$O,MATCH($D2290,'Paramètres'!$M:$M,0))&amp;"","")&lt;&gt;"",ISNUMBER(SEARCH("remboursement",IFERROR(INDEX('Paramètres'!$N:$N,MATCH($D2290,'Paramètres'!$M:$M,0))&amp;"",""))))),1,0))</f>
        <v/>
      </c>
      <c r="Q2290" s="6" t="str">
        <f>IF($K2290="","",IF(ISNUMBER(SEARCH("transfert-interne",IFERROR(INDEX('Paramètres'!$N:$N,MATCH($D2290,'Paramètres'!$M:$M,0))&amp;"",""))),0,IF($L2290="Débit",$K2290,IF($P2290=1,-$K2290,0))))</f>
        <v/>
      </c>
      <c r="R2290" s="6" t="str">
        <f>IF($K2290="","",IF($L2290="Crédit",$K2290,-$K2290))</f>
        <v/>
      </c>
      <c r="S2290" s="6" t="str">
        <f>IF($C2290="","",IFERROR(INDEX('Paramètres'!$H:$H,MATCH($C2290,'Paramètres'!$D:$D,0))&amp;"",""))</f>
        <v/>
      </c>
      <c r="T2290" s="6" t="str">
        <f>IF($K2290="","",IF($S2290="",0,IF(ISNUMBER(SEARCH("apport-exterieur",IFERROR(INDEX('Paramètres'!$N:$N,MATCH($D2290,'Paramètres'!$M:$M,0))&amp;"",""))),0,IF(OR(IFERROR(INDEX('Paramètres'!$I:$I,MATCH($C2290,'Paramètres'!$D:$D,0))&amp;"","")="Les deux",IFERROR(INDEX('Paramètres'!$I:$I,MATCH($C2290,'Paramètres'!$D:$D,0))&amp;"","")=IF($P2290=1,"Débit",$L2290)),-IF($P2290=1,-$K2290,$K2290),0))))</f>
        <v/>
      </c>
      <c r="U2290" s="6" t="str">
        <f>IF($K2290="","",IF(ISNUMBER(SEARCH("sortie-epargne",IFERROR(INDEX('Paramètres'!$N:$N,MATCH($D2290,'Paramètres'!$M:$M,0))&amp;"",""))),$K2290,0))</f>
        <v/>
      </c>
      <c r="V2290" s="6" t="str">
        <f>IF(AND($A2290&lt;&gt;"",$O2290=1,$L2290="Débit",N($Q2290)&gt;0,$A2290&gt;=Visualisation!$B$1,$A2290&lt;Visualisation!$D$1),MAX($V$1:V2289)+1,"")</f>
        <v/>
      </c>
    </row>
    <row r="2291" spans="1:22" x14ac:dyDescent="0.25">
      <c r="A2291" s="9"/>
      <c r="E2291" s="10"/>
      <c r="K2291" s="11" t="str">
        <f>IF($E2291="","",ROUND($E2291*IF(ISNA(MATCH($C2291,'Paramètres'!$D:$D,0)),1,IF(INDEX('Paramètres'!$J:$J,MATCH($C2291,'Paramètres'!$D:$D,0))="",1,INDEX('Paramètres'!$J:$J,MATCH($C2291,'Paramètres'!$D:$D,0)))),2))</f>
        <v/>
      </c>
      <c r="L2291" s="6" t="str">
        <f>IF($D2291="","",IF($F2291&lt;&gt;"",$F2291,IF(ISNA(MATCH($D2291,'Paramètres'!$M:$M,0)),"⚠ Type inconnu",IFERROR(INDEX('Paramètres'!$P:$P,MATCH($D2291,'Paramètres'!$M:$M,0))&amp;"",""))))</f>
        <v/>
      </c>
      <c r="M2291" s="6" t="str">
        <f>IF($D2291="","",IF(ISNA(MATCH($D2291,'Paramètres'!$M:$M,0)),"⚠ Type inconnu",IF($L2291="Crédit","",IFERROR(INDEX('Paramètres'!$O:$O,MATCH($D2291,'Paramètres'!$M:$M,0))&amp;"",""))))</f>
        <v/>
      </c>
      <c r="N2291" s="6" t="str">
        <f>IF($D2291="","",IFERROR(INDEX('Paramètres'!$Q:$Q,MATCH($D2291,'Paramètres'!$M:$M,0))&amp;"",""))</f>
        <v/>
      </c>
      <c r="O2291" s="6" t="str">
        <f>IF($A2291="","",IF(OR($J2291&lt;&gt;"x",$A2291&lt;=FinReleve),1,0))</f>
        <v/>
      </c>
      <c r="P2291" s="6" t="str">
        <f>IF($D2291="","",IF(AND($L2291="Crédit",OR(IFERROR(INDEX('Paramètres'!$O:$O,MATCH($D2291,'Paramètres'!$M:$M,0))&amp;"","")&lt;&gt;"",ISNUMBER(SEARCH("remboursement",IFERROR(INDEX('Paramètres'!$N:$N,MATCH($D2291,'Paramètres'!$M:$M,0))&amp;"",""))))),1,0))</f>
        <v/>
      </c>
      <c r="Q2291" s="6" t="str">
        <f>IF($K2291="","",IF(ISNUMBER(SEARCH("transfert-interne",IFERROR(INDEX('Paramètres'!$N:$N,MATCH($D2291,'Paramètres'!$M:$M,0))&amp;"",""))),0,IF($L2291="Débit",$K2291,IF($P2291=1,-$K2291,0))))</f>
        <v/>
      </c>
      <c r="R2291" s="6" t="str">
        <f>IF($K2291="","",IF($L2291="Crédit",$K2291,-$K2291))</f>
        <v/>
      </c>
      <c r="S2291" s="6" t="str">
        <f>IF($C2291="","",IFERROR(INDEX('Paramètres'!$H:$H,MATCH($C2291,'Paramètres'!$D:$D,0))&amp;"",""))</f>
        <v/>
      </c>
      <c r="T2291" s="6" t="str">
        <f>IF($K2291="","",IF($S2291="",0,IF(ISNUMBER(SEARCH("apport-exterieur",IFERROR(INDEX('Paramètres'!$N:$N,MATCH($D2291,'Paramètres'!$M:$M,0))&amp;"",""))),0,IF(OR(IFERROR(INDEX('Paramètres'!$I:$I,MATCH($C2291,'Paramètres'!$D:$D,0))&amp;"","")="Les deux",IFERROR(INDEX('Paramètres'!$I:$I,MATCH($C2291,'Paramètres'!$D:$D,0))&amp;"","")=IF($P2291=1,"Débit",$L2291)),-IF($P2291=1,-$K2291,$K2291),0))))</f>
        <v/>
      </c>
      <c r="U2291" s="6" t="str">
        <f>IF($K2291="","",IF(ISNUMBER(SEARCH("sortie-epargne",IFERROR(INDEX('Paramètres'!$N:$N,MATCH($D2291,'Paramètres'!$M:$M,0))&amp;"",""))),$K2291,0))</f>
        <v/>
      </c>
      <c r="V2291" s="6" t="str">
        <f>IF(AND($A2291&lt;&gt;"",$O2291=1,$L2291="Débit",N($Q2291)&gt;0,$A2291&gt;=Visualisation!$B$1,$A2291&lt;Visualisation!$D$1),MAX($V$1:V2290)+1,"")</f>
        <v/>
      </c>
    </row>
    <row r="2292" spans="1:22" x14ac:dyDescent="0.25">
      <c r="A2292" s="9"/>
      <c r="E2292" s="10"/>
      <c r="K2292" s="11" t="str">
        <f>IF($E2292="","",ROUND($E2292*IF(ISNA(MATCH($C2292,'Paramètres'!$D:$D,0)),1,IF(INDEX('Paramètres'!$J:$J,MATCH($C2292,'Paramètres'!$D:$D,0))="",1,INDEX('Paramètres'!$J:$J,MATCH($C2292,'Paramètres'!$D:$D,0)))),2))</f>
        <v/>
      </c>
      <c r="L2292" s="6" t="str">
        <f>IF($D2292="","",IF($F2292&lt;&gt;"",$F2292,IF(ISNA(MATCH($D2292,'Paramètres'!$M:$M,0)),"⚠ Type inconnu",IFERROR(INDEX('Paramètres'!$P:$P,MATCH($D2292,'Paramètres'!$M:$M,0))&amp;"",""))))</f>
        <v/>
      </c>
      <c r="M2292" s="6" t="str">
        <f>IF($D2292="","",IF(ISNA(MATCH($D2292,'Paramètres'!$M:$M,0)),"⚠ Type inconnu",IF($L2292="Crédit","",IFERROR(INDEX('Paramètres'!$O:$O,MATCH($D2292,'Paramètres'!$M:$M,0))&amp;"",""))))</f>
        <v/>
      </c>
      <c r="N2292" s="6" t="str">
        <f>IF($D2292="","",IFERROR(INDEX('Paramètres'!$Q:$Q,MATCH($D2292,'Paramètres'!$M:$M,0))&amp;"",""))</f>
        <v/>
      </c>
      <c r="O2292" s="6" t="str">
        <f>IF($A2292="","",IF(OR($J2292&lt;&gt;"x",$A2292&lt;=FinReleve),1,0))</f>
        <v/>
      </c>
      <c r="P2292" s="6" t="str">
        <f>IF($D2292="","",IF(AND($L2292="Crédit",OR(IFERROR(INDEX('Paramètres'!$O:$O,MATCH($D2292,'Paramètres'!$M:$M,0))&amp;"","")&lt;&gt;"",ISNUMBER(SEARCH("remboursement",IFERROR(INDEX('Paramètres'!$N:$N,MATCH($D2292,'Paramètres'!$M:$M,0))&amp;"",""))))),1,0))</f>
        <v/>
      </c>
      <c r="Q2292" s="6" t="str">
        <f>IF($K2292="","",IF(ISNUMBER(SEARCH("transfert-interne",IFERROR(INDEX('Paramètres'!$N:$N,MATCH($D2292,'Paramètres'!$M:$M,0))&amp;"",""))),0,IF($L2292="Débit",$K2292,IF($P2292=1,-$K2292,0))))</f>
        <v/>
      </c>
      <c r="R2292" s="6" t="str">
        <f>IF($K2292="","",IF($L2292="Crédit",$K2292,-$K2292))</f>
        <v/>
      </c>
      <c r="S2292" s="6" t="str">
        <f>IF($C2292="","",IFERROR(INDEX('Paramètres'!$H:$H,MATCH($C2292,'Paramètres'!$D:$D,0))&amp;"",""))</f>
        <v/>
      </c>
      <c r="T2292" s="6" t="str">
        <f>IF($K2292="","",IF($S2292="",0,IF(ISNUMBER(SEARCH("apport-exterieur",IFERROR(INDEX('Paramètres'!$N:$N,MATCH($D2292,'Paramètres'!$M:$M,0))&amp;"",""))),0,IF(OR(IFERROR(INDEX('Paramètres'!$I:$I,MATCH($C2292,'Paramètres'!$D:$D,0))&amp;"","")="Les deux",IFERROR(INDEX('Paramètres'!$I:$I,MATCH($C2292,'Paramètres'!$D:$D,0))&amp;"","")=IF($P2292=1,"Débit",$L2292)),-IF($P2292=1,-$K2292,$K2292),0))))</f>
        <v/>
      </c>
      <c r="U2292" s="6" t="str">
        <f>IF($K2292="","",IF(ISNUMBER(SEARCH("sortie-epargne",IFERROR(INDEX('Paramètres'!$N:$N,MATCH($D2292,'Paramètres'!$M:$M,0))&amp;"",""))),$K2292,0))</f>
        <v/>
      </c>
      <c r="V2292" s="6" t="str">
        <f>IF(AND($A2292&lt;&gt;"",$O2292=1,$L2292="Débit",N($Q2292)&gt;0,$A2292&gt;=Visualisation!$B$1,$A2292&lt;Visualisation!$D$1),MAX($V$1:V2291)+1,"")</f>
        <v/>
      </c>
    </row>
    <row r="2293" spans="1:22" x14ac:dyDescent="0.25">
      <c r="A2293" s="9"/>
      <c r="E2293" s="10"/>
      <c r="K2293" s="11" t="str">
        <f>IF($E2293="","",ROUND($E2293*IF(ISNA(MATCH($C2293,'Paramètres'!$D:$D,0)),1,IF(INDEX('Paramètres'!$J:$J,MATCH($C2293,'Paramètres'!$D:$D,0))="",1,INDEX('Paramètres'!$J:$J,MATCH($C2293,'Paramètres'!$D:$D,0)))),2))</f>
        <v/>
      </c>
      <c r="L2293" s="6" t="str">
        <f>IF($D2293="","",IF($F2293&lt;&gt;"",$F2293,IF(ISNA(MATCH($D2293,'Paramètres'!$M:$M,0)),"⚠ Type inconnu",IFERROR(INDEX('Paramètres'!$P:$P,MATCH($D2293,'Paramètres'!$M:$M,0))&amp;"",""))))</f>
        <v/>
      </c>
      <c r="M2293" s="6" t="str">
        <f>IF($D2293="","",IF(ISNA(MATCH($D2293,'Paramètres'!$M:$M,0)),"⚠ Type inconnu",IF($L2293="Crédit","",IFERROR(INDEX('Paramètres'!$O:$O,MATCH($D2293,'Paramètres'!$M:$M,0))&amp;"",""))))</f>
        <v/>
      </c>
      <c r="N2293" s="6" t="str">
        <f>IF($D2293="","",IFERROR(INDEX('Paramètres'!$Q:$Q,MATCH($D2293,'Paramètres'!$M:$M,0))&amp;"",""))</f>
        <v/>
      </c>
      <c r="O2293" s="6" t="str">
        <f>IF($A2293="","",IF(OR($J2293&lt;&gt;"x",$A2293&lt;=FinReleve),1,0))</f>
        <v/>
      </c>
      <c r="P2293" s="6" t="str">
        <f>IF($D2293="","",IF(AND($L2293="Crédit",OR(IFERROR(INDEX('Paramètres'!$O:$O,MATCH($D2293,'Paramètres'!$M:$M,0))&amp;"","")&lt;&gt;"",ISNUMBER(SEARCH("remboursement",IFERROR(INDEX('Paramètres'!$N:$N,MATCH($D2293,'Paramètres'!$M:$M,0))&amp;"",""))))),1,0))</f>
        <v/>
      </c>
      <c r="Q2293" s="6" t="str">
        <f>IF($K2293="","",IF(ISNUMBER(SEARCH("transfert-interne",IFERROR(INDEX('Paramètres'!$N:$N,MATCH($D2293,'Paramètres'!$M:$M,0))&amp;"",""))),0,IF($L2293="Débit",$K2293,IF($P2293=1,-$K2293,0))))</f>
        <v/>
      </c>
      <c r="R2293" s="6" t="str">
        <f>IF($K2293="","",IF($L2293="Crédit",$K2293,-$K2293))</f>
        <v/>
      </c>
      <c r="S2293" s="6" t="str">
        <f>IF($C2293="","",IFERROR(INDEX('Paramètres'!$H:$H,MATCH($C2293,'Paramètres'!$D:$D,0))&amp;"",""))</f>
        <v/>
      </c>
      <c r="T2293" s="6" t="str">
        <f>IF($K2293="","",IF($S2293="",0,IF(ISNUMBER(SEARCH("apport-exterieur",IFERROR(INDEX('Paramètres'!$N:$N,MATCH($D2293,'Paramètres'!$M:$M,0))&amp;"",""))),0,IF(OR(IFERROR(INDEX('Paramètres'!$I:$I,MATCH($C2293,'Paramètres'!$D:$D,0))&amp;"","")="Les deux",IFERROR(INDEX('Paramètres'!$I:$I,MATCH($C2293,'Paramètres'!$D:$D,0))&amp;"","")=IF($P2293=1,"Débit",$L2293)),-IF($P2293=1,-$K2293,$K2293),0))))</f>
        <v/>
      </c>
      <c r="U2293" s="6" t="str">
        <f>IF($K2293="","",IF(ISNUMBER(SEARCH("sortie-epargne",IFERROR(INDEX('Paramètres'!$N:$N,MATCH($D2293,'Paramètres'!$M:$M,0))&amp;"",""))),$K2293,0))</f>
        <v/>
      </c>
      <c r="V2293" s="6" t="str">
        <f>IF(AND($A2293&lt;&gt;"",$O2293=1,$L2293="Débit",N($Q2293)&gt;0,$A2293&gt;=Visualisation!$B$1,$A2293&lt;Visualisation!$D$1),MAX($V$1:V2292)+1,"")</f>
        <v/>
      </c>
    </row>
    <row r="2294" spans="1:22" x14ac:dyDescent="0.25">
      <c r="A2294" s="9"/>
      <c r="E2294" s="10"/>
      <c r="K2294" s="11" t="str">
        <f>IF($E2294="","",ROUND($E2294*IF(ISNA(MATCH($C2294,'Paramètres'!$D:$D,0)),1,IF(INDEX('Paramètres'!$J:$J,MATCH($C2294,'Paramètres'!$D:$D,0))="",1,INDEX('Paramètres'!$J:$J,MATCH($C2294,'Paramètres'!$D:$D,0)))),2))</f>
        <v/>
      </c>
      <c r="L2294" s="6" t="str">
        <f>IF($D2294="","",IF($F2294&lt;&gt;"",$F2294,IF(ISNA(MATCH($D2294,'Paramètres'!$M:$M,0)),"⚠ Type inconnu",IFERROR(INDEX('Paramètres'!$P:$P,MATCH($D2294,'Paramètres'!$M:$M,0))&amp;"",""))))</f>
        <v/>
      </c>
      <c r="M2294" s="6" t="str">
        <f>IF($D2294="","",IF(ISNA(MATCH($D2294,'Paramètres'!$M:$M,0)),"⚠ Type inconnu",IF($L2294="Crédit","",IFERROR(INDEX('Paramètres'!$O:$O,MATCH($D2294,'Paramètres'!$M:$M,0))&amp;"",""))))</f>
        <v/>
      </c>
      <c r="N2294" s="6" t="str">
        <f>IF($D2294="","",IFERROR(INDEX('Paramètres'!$Q:$Q,MATCH($D2294,'Paramètres'!$M:$M,0))&amp;"",""))</f>
        <v/>
      </c>
      <c r="O2294" s="6" t="str">
        <f>IF($A2294="","",IF(OR($J2294&lt;&gt;"x",$A2294&lt;=FinReleve),1,0))</f>
        <v/>
      </c>
      <c r="P2294" s="6" t="str">
        <f>IF($D2294="","",IF(AND($L2294="Crédit",OR(IFERROR(INDEX('Paramètres'!$O:$O,MATCH($D2294,'Paramètres'!$M:$M,0))&amp;"","")&lt;&gt;"",ISNUMBER(SEARCH("remboursement",IFERROR(INDEX('Paramètres'!$N:$N,MATCH($D2294,'Paramètres'!$M:$M,0))&amp;"",""))))),1,0))</f>
        <v/>
      </c>
      <c r="Q2294" s="6" t="str">
        <f>IF($K2294="","",IF(ISNUMBER(SEARCH("transfert-interne",IFERROR(INDEX('Paramètres'!$N:$N,MATCH($D2294,'Paramètres'!$M:$M,0))&amp;"",""))),0,IF($L2294="Débit",$K2294,IF($P2294=1,-$K2294,0))))</f>
        <v/>
      </c>
      <c r="R2294" s="6" t="str">
        <f>IF($K2294="","",IF($L2294="Crédit",$K2294,-$K2294))</f>
        <v/>
      </c>
      <c r="S2294" s="6" t="str">
        <f>IF($C2294="","",IFERROR(INDEX('Paramètres'!$H:$H,MATCH($C2294,'Paramètres'!$D:$D,0))&amp;"",""))</f>
        <v/>
      </c>
      <c r="T2294" s="6" t="str">
        <f>IF($K2294="","",IF($S2294="",0,IF(ISNUMBER(SEARCH("apport-exterieur",IFERROR(INDEX('Paramètres'!$N:$N,MATCH($D2294,'Paramètres'!$M:$M,0))&amp;"",""))),0,IF(OR(IFERROR(INDEX('Paramètres'!$I:$I,MATCH($C2294,'Paramètres'!$D:$D,0))&amp;"","")="Les deux",IFERROR(INDEX('Paramètres'!$I:$I,MATCH($C2294,'Paramètres'!$D:$D,0))&amp;"","")=IF($P2294=1,"Débit",$L2294)),-IF($P2294=1,-$K2294,$K2294),0))))</f>
        <v/>
      </c>
      <c r="U2294" s="6" t="str">
        <f>IF($K2294="","",IF(ISNUMBER(SEARCH("sortie-epargne",IFERROR(INDEX('Paramètres'!$N:$N,MATCH($D2294,'Paramètres'!$M:$M,0))&amp;"",""))),$K2294,0))</f>
        <v/>
      </c>
      <c r="V2294" s="6" t="str">
        <f>IF(AND($A2294&lt;&gt;"",$O2294=1,$L2294="Débit",N($Q2294)&gt;0,$A2294&gt;=Visualisation!$B$1,$A2294&lt;Visualisation!$D$1),MAX($V$1:V2293)+1,"")</f>
        <v/>
      </c>
    </row>
    <row r="2295" spans="1:22" x14ac:dyDescent="0.25">
      <c r="A2295" s="9"/>
      <c r="E2295" s="10"/>
      <c r="K2295" s="11" t="str">
        <f>IF($E2295="","",ROUND($E2295*IF(ISNA(MATCH($C2295,'Paramètres'!$D:$D,0)),1,IF(INDEX('Paramètres'!$J:$J,MATCH($C2295,'Paramètres'!$D:$D,0))="",1,INDEX('Paramètres'!$J:$J,MATCH($C2295,'Paramètres'!$D:$D,0)))),2))</f>
        <v/>
      </c>
      <c r="L2295" s="6" t="str">
        <f>IF($D2295="","",IF($F2295&lt;&gt;"",$F2295,IF(ISNA(MATCH($D2295,'Paramètres'!$M:$M,0)),"⚠ Type inconnu",IFERROR(INDEX('Paramètres'!$P:$P,MATCH($D2295,'Paramètres'!$M:$M,0))&amp;"",""))))</f>
        <v/>
      </c>
      <c r="M2295" s="6" t="str">
        <f>IF($D2295="","",IF(ISNA(MATCH($D2295,'Paramètres'!$M:$M,0)),"⚠ Type inconnu",IF($L2295="Crédit","",IFERROR(INDEX('Paramètres'!$O:$O,MATCH($D2295,'Paramètres'!$M:$M,0))&amp;"",""))))</f>
        <v/>
      </c>
      <c r="N2295" s="6" t="str">
        <f>IF($D2295="","",IFERROR(INDEX('Paramètres'!$Q:$Q,MATCH($D2295,'Paramètres'!$M:$M,0))&amp;"",""))</f>
        <v/>
      </c>
      <c r="O2295" s="6" t="str">
        <f>IF($A2295="","",IF(OR($J2295&lt;&gt;"x",$A2295&lt;=FinReleve),1,0))</f>
        <v/>
      </c>
      <c r="P2295" s="6" t="str">
        <f>IF($D2295="","",IF(AND($L2295="Crédit",OR(IFERROR(INDEX('Paramètres'!$O:$O,MATCH($D2295,'Paramètres'!$M:$M,0))&amp;"","")&lt;&gt;"",ISNUMBER(SEARCH("remboursement",IFERROR(INDEX('Paramètres'!$N:$N,MATCH($D2295,'Paramètres'!$M:$M,0))&amp;"",""))))),1,0))</f>
        <v/>
      </c>
      <c r="Q2295" s="6" t="str">
        <f>IF($K2295="","",IF(ISNUMBER(SEARCH("transfert-interne",IFERROR(INDEX('Paramètres'!$N:$N,MATCH($D2295,'Paramètres'!$M:$M,0))&amp;"",""))),0,IF($L2295="Débit",$K2295,IF($P2295=1,-$K2295,0))))</f>
        <v/>
      </c>
      <c r="R2295" s="6" t="str">
        <f>IF($K2295="","",IF($L2295="Crédit",$K2295,-$K2295))</f>
        <v/>
      </c>
      <c r="S2295" s="6" t="str">
        <f>IF($C2295="","",IFERROR(INDEX('Paramètres'!$H:$H,MATCH($C2295,'Paramètres'!$D:$D,0))&amp;"",""))</f>
        <v/>
      </c>
      <c r="T2295" s="6" t="str">
        <f>IF($K2295="","",IF($S2295="",0,IF(ISNUMBER(SEARCH("apport-exterieur",IFERROR(INDEX('Paramètres'!$N:$N,MATCH($D2295,'Paramètres'!$M:$M,0))&amp;"",""))),0,IF(OR(IFERROR(INDEX('Paramètres'!$I:$I,MATCH($C2295,'Paramètres'!$D:$D,0))&amp;"","")="Les deux",IFERROR(INDEX('Paramètres'!$I:$I,MATCH($C2295,'Paramètres'!$D:$D,0))&amp;"","")=IF($P2295=1,"Débit",$L2295)),-IF($P2295=1,-$K2295,$K2295),0))))</f>
        <v/>
      </c>
      <c r="U2295" s="6" t="str">
        <f>IF($K2295="","",IF(ISNUMBER(SEARCH("sortie-epargne",IFERROR(INDEX('Paramètres'!$N:$N,MATCH($D2295,'Paramètres'!$M:$M,0))&amp;"",""))),$K2295,0))</f>
        <v/>
      </c>
      <c r="V2295" s="6" t="str">
        <f>IF(AND($A2295&lt;&gt;"",$O2295=1,$L2295="Débit",N($Q2295)&gt;0,$A2295&gt;=Visualisation!$B$1,$A2295&lt;Visualisation!$D$1),MAX($V$1:V2294)+1,"")</f>
        <v/>
      </c>
    </row>
    <row r="2296" spans="1:22" x14ac:dyDescent="0.25">
      <c r="A2296" s="9"/>
      <c r="E2296" s="10"/>
      <c r="K2296" s="11" t="str">
        <f>IF($E2296="","",ROUND($E2296*IF(ISNA(MATCH($C2296,'Paramètres'!$D:$D,0)),1,IF(INDEX('Paramètres'!$J:$J,MATCH($C2296,'Paramètres'!$D:$D,0))="",1,INDEX('Paramètres'!$J:$J,MATCH($C2296,'Paramètres'!$D:$D,0)))),2))</f>
        <v/>
      </c>
      <c r="L2296" s="6" t="str">
        <f>IF($D2296="","",IF($F2296&lt;&gt;"",$F2296,IF(ISNA(MATCH($D2296,'Paramètres'!$M:$M,0)),"⚠ Type inconnu",IFERROR(INDEX('Paramètres'!$P:$P,MATCH($D2296,'Paramètres'!$M:$M,0))&amp;"",""))))</f>
        <v/>
      </c>
      <c r="M2296" s="6" t="str">
        <f>IF($D2296="","",IF(ISNA(MATCH($D2296,'Paramètres'!$M:$M,0)),"⚠ Type inconnu",IF($L2296="Crédit","",IFERROR(INDEX('Paramètres'!$O:$O,MATCH($D2296,'Paramètres'!$M:$M,0))&amp;"",""))))</f>
        <v/>
      </c>
      <c r="N2296" s="6" t="str">
        <f>IF($D2296="","",IFERROR(INDEX('Paramètres'!$Q:$Q,MATCH($D2296,'Paramètres'!$M:$M,0))&amp;"",""))</f>
        <v/>
      </c>
      <c r="O2296" s="6" t="str">
        <f>IF($A2296="","",IF(OR($J2296&lt;&gt;"x",$A2296&lt;=FinReleve),1,0))</f>
        <v/>
      </c>
      <c r="P2296" s="6" t="str">
        <f>IF($D2296="","",IF(AND($L2296="Crédit",OR(IFERROR(INDEX('Paramètres'!$O:$O,MATCH($D2296,'Paramètres'!$M:$M,0))&amp;"","")&lt;&gt;"",ISNUMBER(SEARCH("remboursement",IFERROR(INDEX('Paramètres'!$N:$N,MATCH($D2296,'Paramètres'!$M:$M,0))&amp;"",""))))),1,0))</f>
        <v/>
      </c>
      <c r="Q2296" s="6" t="str">
        <f>IF($K2296="","",IF(ISNUMBER(SEARCH("transfert-interne",IFERROR(INDEX('Paramètres'!$N:$N,MATCH($D2296,'Paramètres'!$M:$M,0))&amp;"",""))),0,IF($L2296="Débit",$K2296,IF($P2296=1,-$K2296,0))))</f>
        <v/>
      </c>
      <c r="R2296" s="6" t="str">
        <f>IF($K2296="","",IF($L2296="Crédit",$K2296,-$K2296))</f>
        <v/>
      </c>
      <c r="S2296" s="6" t="str">
        <f>IF($C2296="","",IFERROR(INDEX('Paramètres'!$H:$H,MATCH($C2296,'Paramètres'!$D:$D,0))&amp;"",""))</f>
        <v/>
      </c>
      <c r="T2296" s="6" t="str">
        <f>IF($K2296="","",IF($S2296="",0,IF(ISNUMBER(SEARCH("apport-exterieur",IFERROR(INDEX('Paramètres'!$N:$N,MATCH($D2296,'Paramètres'!$M:$M,0))&amp;"",""))),0,IF(OR(IFERROR(INDEX('Paramètres'!$I:$I,MATCH($C2296,'Paramètres'!$D:$D,0))&amp;"","")="Les deux",IFERROR(INDEX('Paramètres'!$I:$I,MATCH($C2296,'Paramètres'!$D:$D,0))&amp;"","")=IF($P2296=1,"Débit",$L2296)),-IF($P2296=1,-$K2296,$K2296),0))))</f>
        <v/>
      </c>
      <c r="U2296" s="6" t="str">
        <f>IF($K2296="","",IF(ISNUMBER(SEARCH("sortie-epargne",IFERROR(INDEX('Paramètres'!$N:$N,MATCH($D2296,'Paramètres'!$M:$M,0))&amp;"",""))),$K2296,0))</f>
        <v/>
      </c>
      <c r="V2296" s="6" t="str">
        <f>IF(AND($A2296&lt;&gt;"",$O2296=1,$L2296="Débit",N($Q2296)&gt;0,$A2296&gt;=Visualisation!$B$1,$A2296&lt;Visualisation!$D$1),MAX($V$1:V2295)+1,"")</f>
        <v/>
      </c>
    </row>
    <row r="2297" spans="1:22" x14ac:dyDescent="0.25">
      <c r="A2297" s="9"/>
      <c r="E2297" s="10"/>
      <c r="K2297" s="11" t="str">
        <f>IF($E2297="","",ROUND($E2297*IF(ISNA(MATCH($C2297,'Paramètres'!$D:$D,0)),1,IF(INDEX('Paramètres'!$J:$J,MATCH($C2297,'Paramètres'!$D:$D,0))="",1,INDEX('Paramètres'!$J:$J,MATCH($C2297,'Paramètres'!$D:$D,0)))),2))</f>
        <v/>
      </c>
      <c r="L2297" s="6" t="str">
        <f>IF($D2297="","",IF($F2297&lt;&gt;"",$F2297,IF(ISNA(MATCH($D2297,'Paramètres'!$M:$M,0)),"⚠ Type inconnu",IFERROR(INDEX('Paramètres'!$P:$P,MATCH($D2297,'Paramètres'!$M:$M,0))&amp;"",""))))</f>
        <v/>
      </c>
      <c r="M2297" s="6" t="str">
        <f>IF($D2297="","",IF(ISNA(MATCH($D2297,'Paramètres'!$M:$M,0)),"⚠ Type inconnu",IF($L2297="Crédit","",IFERROR(INDEX('Paramètres'!$O:$O,MATCH($D2297,'Paramètres'!$M:$M,0))&amp;"",""))))</f>
        <v/>
      </c>
      <c r="N2297" s="6" t="str">
        <f>IF($D2297="","",IFERROR(INDEX('Paramètres'!$Q:$Q,MATCH($D2297,'Paramètres'!$M:$M,0))&amp;"",""))</f>
        <v/>
      </c>
      <c r="O2297" s="6" t="str">
        <f>IF($A2297="","",IF(OR($J2297&lt;&gt;"x",$A2297&lt;=FinReleve),1,0))</f>
        <v/>
      </c>
      <c r="P2297" s="6" t="str">
        <f>IF($D2297="","",IF(AND($L2297="Crédit",OR(IFERROR(INDEX('Paramètres'!$O:$O,MATCH($D2297,'Paramètres'!$M:$M,0))&amp;"","")&lt;&gt;"",ISNUMBER(SEARCH("remboursement",IFERROR(INDEX('Paramètres'!$N:$N,MATCH($D2297,'Paramètres'!$M:$M,0))&amp;"",""))))),1,0))</f>
        <v/>
      </c>
      <c r="Q2297" s="6" t="str">
        <f>IF($K2297="","",IF(ISNUMBER(SEARCH("transfert-interne",IFERROR(INDEX('Paramètres'!$N:$N,MATCH($D2297,'Paramètres'!$M:$M,0))&amp;"",""))),0,IF($L2297="Débit",$K2297,IF($P2297=1,-$K2297,0))))</f>
        <v/>
      </c>
      <c r="R2297" s="6" t="str">
        <f>IF($K2297="","",IF($L2297="Crédit",$K2297,-$K2297))</f>
        <v/>
      </c>
      <c r="S2297" s="6" t="str">
        <f>IF($C2297="","",IFERROR(INDEX('Paramètres'!$H:$H,MATCH($C2297,'Paramètres'!$D:$D,0))&amp;"",""))</f>
        <v/>
      </c>
      <c r="T2297" s="6" t="str">
        <f>IF($K2297="","",IF($S2297="",0,IF(ISNUMBER(SEARCH("apport-exterieur",IFERROR(INDEX('Paramètres'!$N:$N,MATCH($D2297,'Paramètres'!$M:$M,0))&amp;"",""))),0,IF(OR(IFERROR(INDEX('Paramètres'!$I:$I,MATCH($C2297,'Paramètres'!$D:$D,0))&amp;"","")="Les deux",IFERROR(INDEX('Paramètres'!$I:$I,MATCH($C2297,'Paramètres'!$D:$D,0))&amp;"","")=IF($P2297=1,"Débit",$L2297)),-IF($P2297=1,-$K2297,$K2297),0))))</f>
        <v/>
      </c>
      <c r="U2297" s="6" t="str">
        <f>IF($K2297="","",IF(ISNUMBER(SEARCH("sortie-epargne",IFERROR(INDEX('Paramètres'!$N:$N,MATCH($D2297,'Paramètres'!$M:$M,0))&amp;"",""))),$K2297,0))</f>
        <v/>
      </c>
      <c r="V2297" s="6" t="str">
        <f>IF(AND($A2297&lt;&gt;"",$O2297=1,$L2297="Débit",N($Q2297)&gt;0,$A2297&gt;=Visualisation!$B$1,$A2297&lt;Visualisation!$D$1),MAX($V$1:V2296)+1,"")</f>
        <v/>
      </c>
    </row>
    <row r="2298" spans="1:22" x14ac:dyDescent="0.25">
      <c r="A2298" s="9"/>
      <c r="E2298" s="10"/>
      <c r="K2298" s="11" t="str">
        <f>IF($E2298="","",ROUND($E2298*IF(ISNA(MATCH($C2298,'Paramètres'!$D:$D,0)),1,IF(INDEX('Paramètres'!$J:$J,MATCH($C2298,'Paramètres'!$D:$D,0))="",1,INDEX('Paramètres'!$J:$J,MATCH($C2298,'Paramètres'!$D:$D,0)))),2))</f>
        <v/>
      </c>
      <c r="L2298" s="6" t="str">
        <f>IF($D2298="","",IF($F2298&lt;&gt;"",$F2298,IF(ISNA(MATCH($D2298,'Paramètres'!$M:$M,0)),"⚠ Type inconnu",IFERROR(INDEX('Paramètres'!$P:$P,MATCH($D2298,'Paramètres'!$M:$M,0))&amp;"",""))))</f>
        <v/>
      </c>
      <c r="M2298" s="6" t="str">
        <f>IF($D2298="","",IF(ISNA(MATCH($D2298,'Paramètres'!$M:$M,0)),"⚠ Type inconnu",IF($L2298="Crédit","",IFERROR(INDEX('Paramètres'!$O:$O,MATCH($D2298,'Paramètres'!$M:$M,0))&amp;"",""))))</f>
        <v/>
      </c>
      <c r="N2298" s="6" t="str">
        <f>IF($D2298="","",IFERROR(INDEX('Paramètres'!$Q:$Q,MATCH($D2298,'Paramètres'!$M:$M,0))&amp;"",""))</f>
        <v/>
      </c>
      <c r="O2298" s="6" t="str">
        <f>IF($A2298="","",IF(OR($J2298&lt;&gt;"x",$A2298&lt;=FinReleve),1,0))</f>
        <v/>
      </c>
      <c r="P2298" s="6" t="str">
        <f>IF($D2298="","",IF(AND($L2298="Crédit",OR(IFERROR(INDEX('Paramètres'!$O:$O,MATCH($D2298,'Paramètres'!$M:$M,0))&amp;"","")&lt;&gt;"",ISNUMBER(SEARCH("remboursement",IFERROR(INDEX('Paramètres'!$N:$N,MATCH($D2298,'Paramètres'!$M:$M,0))&amp;"",""))))),1,0))</f>
        <v/>
      </c>
      <c r="Q2298" s="6" t="str">
        <f>IF($K2298="","",IF(ISNUMBER(SEARCH("transfert-interne",IFERROR(INDEX('Paramètres'!$N:$N,MATCH($D2298,'Paramètres'!$M:$M,0))&amp;"",""))),0,IF($L2298="Débit",$K2298,IF($P2298=1,-$K2298,0))))</f>
        <v/>
      </c>
      <c r="R2298" s="6" t="str">
        <f>IF($K2298="","",IF($L2298="Crédit",$K2298,-$K2298))</f>
        <v/>
      </c>
      <c r="S2298" s="6" t="str">
        <f>IF($C2298="","",IFERROR(INDEX('Paramètres'!$H:$H,MATCH($C2298,'Paramètres'!$D:$D,0))&amp;"",""))</f>
        <v/>
      </c>
      <c r="T2298" s="6" t="str">
        <f>IF($K2298="","",IF($S2298="",0,IF(ISNUMBER(SEARCH("apport-exterieur",IFERROR(INDEX('Paramètres'!$N:$N,MATCH($D2298,'Paramètres'!$M:$M,0))&amp;"",""))),0,IF(OR(IFERROR(INDEX('Paramètres'!$I:$I,MATCH($C2298,'Paramètres'!$D:$D,0))&amp;"","")="Les deux",IFERROR(INDEX('Paramètres'!$I:$I,MATCH($C2298,'Paramètres'!$D:$D,0))&amp;"","")=IF($P2298=1,"Débit",$L2298)),-IF($P2298=1,-$K2298,$K2298),0))))</f>
        <v/>
      </c>
      <c r="U2298" s="6" t="str">
        <f>IF($K2298="","",IF(ISNUMBER(SEARCH("sortie-epargne",IFERROR(INDEX('Paramètres'!$N:$N,MATCH($D2298,'Paramètres'!$M:$M,0))&amp;"",""))),$K2298,0))</f>
        <v/>
      </c>
      <c r="V2298" s="6" t="str">
        <f>IF(AND($A2298&lt;&gt;"",$O2298=1,$L2298="Débit",N($Q2298)&gt;0,$A2298&gt;=Visualisation!$B$1,$A2298&lt;Visualisation!$D$1),MAX($V$1:V2297)+1,"")</f>
        <v/>
      </c>
    </row>
    <row r="2299" spans="1:22" x14ac:dyDescent="0.25">
      <c r="A2299" s="9"/>
      <c r="E2299" s="10"/>
      <c r="K2299" s="11" t="str">
        <f>IF($E2299="","",ROUND($E2299*IF(ISNA(MATCH($C2299,'Paramètres'!$D:$D,0)),1,IF(INDEX('Paramètres'!$J:$J,MATCH($C2299,'Paramètres'!$D:$D,0))="",1,INDEX('Paramètres'!$J:$J,MATCH($C2299,'Paramètres'!$D:$D,0)))),2))</f>
        <v/>
      </c>
      <c r="L2299" s="6" t="str">
        <f>IF($D2299="","",IF($F2299&lt;&gt;"",$F2299,IF(ISNA(MATCH($D2299,'Paramètres'!$M:$M,0)),"⚠ Type inconnu",IFERROR(INDEX('Paramètres'!$P:$P,MATCH($D2299,'Paramètres'!$M:$M,0))&amp;"",""))))</f>
        <v/>
      </c>
      <c r="M2299" s="6" t="str">
        <f>IF($D2299="","",IF(ISNA(MATCH($D2299,'Paramètres'!$M:$M,0)),"⚠ Type inconnu",IF($L2299="Crédit","",IFERROR(INDEX('Paramètres'!$O:$O,MATCH($D2299,'Paramètres'!$M:$M,0))&amp;"",""))))</f>
        <v/>
      </c>
      <c r="N2299" s="6" t="str">
        <f>IF($D2299="","",IFERROR(INDEX('Paramètres'!$Q:$Q,MATCH($D2299,'Paramètres'!$M:$M,0))&amp;"",""))</f>
        <v/>
      </c>
      <c r="O2299" s="6" t="str">
        <f>IF($A2299="","",IF(OR($J2299&lt;&gt;"x",$A2299&lt;=FinReleve),1,0))</f>
        <v/>
      </c>
      <c r="P2299" s="6" t="str">
        <f>IF($D2299="","",IF(AND($L2299="Crédit",OR(IFERROR(INDEX('Paramètres'!$O:$O,MATCH($D2299,'Paramètres'!$M:$M,0))&amp;"","")&lt;&gt;"",ISNUMBER(SEARCH("remboursement",IFERROR(INDEX('Paramètres'!$N:$N,MATCH($D2299,'Paramètres'!$M:$M,0))&amp;"",""))))),1,0))</f>
        <v/>
      </c>
      <c r="Q2299" s="6" t="str">
        <f>IF($K2299="","",IF(ISNUMBER(SEARCH("transfert-interne",IFERROR(INDEX('Paramètres'!$N:$N,MATCH($D2299,'Paramètres'!$M:$M,0))&amp;"",""))),0,IF($L2299="Débit",$K2299,IF($P2299=1,-$K2299,0))))</f>
        <v/>
      </c>
      <c r="R2299" s="6" t="str">
        <f>IF($K2299="","",IF($L2299="Crédit",$K2299,-$K2299))</f>
        <v/>
      </c>
      <c r="S2299" s="6" t="str">
        <f>IF($C2299="","",IFERROR(INDEX('Paramètres'!$H:$H,MATCH($C2299,'Paramètres'!$D:$D,0))&amp;"",""))</f>
        <v/>
      </c>
      <c r="T2299" s="6" t="str">
        <f>IF($K2299="","",IF($S2299="",0,IF(ISNUMBER(SEARCH("apport-exterieur",IFERROR(INDEX('Paramètres'!$N:$N,MATCH($D2299,'Paramètres'!$M:$M,0))&amp;"",""))),0,IF(OR(IFERROR(INDEX('Paramètres'!$I:$I,MATCH($C2299,'Paramètres'!$D:$D,0))&amp;"","")="Les deux",IFERROR(INDEX('Paramètres'!$I:$I,MATCH($C2299,'Paramètres'!$D:$D,0))&amp;"","")=IF($P2299=1,"Débit",$L2299)),-IF($P2299=1,-$K2299,$K2299),0))))</f>
        <v/>
      </c>
      <c r="U2299" s="6" t="str">
        <f>IF($K2299="","",IF(ISNUMBER(SEARCH("sortie-epargne",IFERROR(INDEX('Paramètres'!$N:$N,MATCH($D2299,'Paramètres'!$M:$M,0))&amp;"",""))),$K2299,0))</f>
        <v/>
      </c>
      <c r="V2299" s="6" t="str">
        <f>IF(AND($A2299&lt;&gt;"",$O2299=1,$L2299="Débit",N($Q2299)&gt;0,$A2299&gt;=Visualisation!$B$1,$A2299&lt;Visualisation!$D$1),MAX($V$1:V2298)+1,"")</f>
        <v/>
      </c>
    </row>
    <row r="2300" spans="1:22" x14ac:dyDescent="0.25">
      <c r="A2300" s="9"/>
      <c r="E2300" s="10"/>
      <c r="K2300" s="11" t="str">
        <f>IF($E2300="","",ROUND($E2300*IF(ISNA(MATCH($C2300,'Paramètres'!$D:$D,0)),1,IF(INDEX('Paramètres'!$J:$J,MATCH($C2300,'Paramètres'!$D:$D,0))="",1,INDEX('Paramètres'!$J:$J,MATCH($C2300,'Paramètres'!$D:$D,0)))),2))</f>
        <v/>
      </c>
      <c r="L2300" s="6" t="str">
        <f>IF($D2300="","",IF($F2300&lt;&gt;"",$F2300,IF(ISNA(MATCH($D2300,'Paramètres'!$M:$M,0)),"⚠ Type inconnu",IFERROR(INDEX('Paramètres'!$P:$P,MATCH($D2300,'Paramètres'!$M:$M,0))&amp;"",""))))</f>
        <v/>
      </c>
      <c r="M2300" s="6" t="str">
        <f>IF($D2300="","",IF(ISNA(MATCH($D2300,'Paramètres'!$M:$M,0)),"⚠ Type inconnu",IF($L2300="Crédit","",IFERROR(INDEX('Paramètres'!$O:$O,MATCH($D2300,'Paramètres'!$M:$M,0))&amp;"",""))))</f>
        <v/>
      </c>
      <c r="N2300" s="6" t="str">
        <f>IF($D2300="","",IFERROR(INDEX('Paramètres'!$Q:$Q,MATCH($D2300,'Paramètres'!$M:$M,0))&amp;"",""))</f>
        <v/>
      </c>
      <c r="O2300" s="6" t="str">
        <f>IF($A2300="","",IF(OR($J2300&lt;&gt;"x",$A2300&lt;=FinReleve),1,0))</f>
        <v/>
      </c>
      <c r="P2300" s="6" t="str">
        <f>IF($D2300="","",IF(AND($L2300="Crédit",OR(IFERROR(INDEX('Paramètres'!$O:$O,MATCH($D2300,'Paramètres'!$M:$M,0))&amp;"","")&lt;&gt;"",ISNUMBER(SEARCH("remboursement",IFERROR(INDEX('Paramètres'!$N:$N,MATCH($D2300,'Paramètres'!$M:$M,0))&amp;"",""))))),1,0))</f>
        <v/>
      </c>
      <c r="Q2300" s="6" t="str">
        <f>IF($K2300="","",IF(ISNUMBER(SEARCH("transfert-interne",IFERROR(INDEX('Paramètres'!$N:$N,MATCH($D2300,'Paramètres'!$M:$M,0))&amp;"",""))),0,IF($L2300="Débit",$K2300,IF($P2300=1,-$K2300,0))))</f>
        <v/>
      </c>
      <c r="R2300" s="6" t="str">
        <f>IF($K2300="","",IF($L2300="Crédit",$K2300,-$K2300))</f>
        <v/>
      </c>
      <c r="S2300" s="6" t="str">
        <f>IF($C2300="","",IFERROR(INDEX('Paramètres'!$H:$H,MATCH($C2300,'Paramètres'!$D:$D,0))&amp;"",""))</f>
        <v/>
      </c>
      <c r="T2300" s="6" t="str">
        <f>IF($K2300="","",IF($S2300="",0,IF(ISNUMBER(SEARCH("apport-exterieur",IFERROR(INDEX('Paramètres'!$N:$N,MATCH($D2300,'Paramètres'!$M:$M,0))&amp;"",""))),0,IF(OR(IFERROR(INDEX('Paramètres'!$I:$I,MATCH($C2300,'Paramètres'!$D:$D,0))&amp;"","")="Les deux",IFERROR(INDEX('Paramètres'!$I:$I,MATCH($C2300,'Paramètres'!$D:$D,0))&amp;"","")=IF($P2300=1,"Débit",$L2300)),-IF($P2300=1,-$K2300,$K2300),0))))</f>
        <v/>
      </c>
      <c r="U2300" s="6" t="str">
        <f>IF($K2300="","",IF(ISNUMBER(SEARCH("sortie-epargne",IFERROR(INDEX('Paramètres'!$N:$N,MATCH($D2300,'Paramètres'!$M:$M,0))&amp;"",""))),$K2300,0))</f>
        <v/>
      </c>
      <c r="V2300" s="6" t="str">
        <f>IF(AND($A2300&lt;&gt;"",$O2300=1,$L2300="Débit",N($Q2300)&gt;0,$A2300&gt;=Visualisation!$B$1,$A2300&lt;Visualisation!$D$1),MAX($V$1:V2299)+1,"")</f>
        <v/>
      </c>
    </row>
    <row r="2301" spans="1:22" x14ac:dyDescent="0.25">
      <c r="A2301" s="9"/>
      <c r="E2301" s="10"/>
      <c r="K2301" s="11" t="str">
        <f>IF($E2301="","",ROUND($E2301*IF(ISNA(MATCH($C2301,'Paramètres'!$D:$D,0)),1,IF(INDEX('Paramètres'!$J:$J,MATCH($C2301,'Paramètres'!$D:$D,0))="",1,INDEX('Paramètres'!$J:$J,MATCH($C2301,'Paramètres'!$D:$D,0)))),2))</f>
        <v/>
      </c>
      <c r="L2301" s="6" t="str">
        <f>IF($D2301="","",IF($F2301&lt;&gt;"",$F2301,IF(ISNA(MATCH($D2301,'Paramètres'!$M:$M,0)),"⚠ Type inconnu",IFERROR(INDEX('Paramètres'!$P:$P,MATCH($D2301,'Paramètres'!$M:$M,0))&amp;"",""))))</f>
        <v/>
      </c>
      <c r="M2301" s="6" t="str">
        <f>IF($D2301="","",IF(ISNA(MATCH($D2301,'Paramètres'!$M:$M,0)),"⚠ Type inconnu",IF($L2301="Crédit","",IFERROR(INDEX('Paramètres'!$O:$O,MATCH($D2301,'Paramètres'!$M:$M,0))&amp;"",""))))</f>
        <v/>
      </c>
      <c r="N2301" s="6" t="str">
        <f>IF($D2301="","",IFERROR(INDEX('Paramètres'!$Q:$Q,MATCH($D2301,'Paramètres'!$M:$M,0))&amp;"",""))</f>
        <v/>
      </c>
      <c r="O2301" s="6" t="str">
        <f>IF($A2301="","",IF(OR($J2301&lt;&gt;"x",$A2301&lt;=FinReleve),1,0))</f>
        <v/>
      </c>
      <c r="P2301" s="6" t="str">
        <f>IF($D2301="","",IF(AND($L2301="Crédit",OR(IFERROR(INDEX('Paramètres'!$O:$O,MATCH($D2301,'Paramètres'!$M:$M,0))&amp;"","")&lt;&gt;"",ISNUMBER(SEARCH("remboursement",IFERROR(INDEX('Paramètres'!$N:$N,MATCH($D2301,'Paramètres'!$M:$M,0))&amp;"",""))))),1,0))</f>
        <v/>
      </c>
      <c r="Q2301" s="6" t="str">
        <f>IF($K2301="","",IF(ISNUMBER(SEARCH("transfert-interne",IFERROR(INDEX('Paramètres'!$N:$N,MATCH($D2301,'Paramètres'!$M:$M,0))&amp;"",""))),0,IF($L2301="Débit",$K2301,IF($P2301=1,-$K2301,0))))</f>
        <v/>
      </c>
      <c r="R2301" s="6" t="str">
        <f>IF($K2301="","",IF($L2301="Crédit",$K2301,-$K2301))</f>
        <v/>
      </c>
      <c r="S2301" s="6" t="str">
        <f>IF($C2301="","",IFERROR(INDEX('Paramètres'!$H:$H,MATCH($C2301,'Paramètres'!$D:$D,0))&amp;"",""))</f>
        <v/>
      </c>
      <c r="T2301" s="6" t="str">
        <f>IF($K2301="","",IF($S2301="",0,IF(ISNUMBER(SEARCH("apport-exterieur",IFERROR(INDEX('Paramètres'!$N:$N,MATCH($D2301,'Paramètres'!$M:$M,0))&amp;"",""))),0,IF(OR(IFERROR(INDEX('Paramètres'!$I:$I,MATCH($C2301,'Paramètres'!$D:$D,0))&amp;"","")="Les deux",IFERROR(INDEX('Paramètres'!$I:$I,MATCH($C2301,'Paramètres'!$D:$D,0))&amp;"","")=IF($P2301=1,"Débit",$L2301)),-IF($P2301=1,-$K2301,$K2301),0))))</f>
        <v/>
      </c>
      <c r="U2301" s="6" t="str">
        <f>IF($K2301="","",IF(ISNUMBER(SEARCH("sortie-epargne",IFERROR(INDEX('Paramètres'!$N:$N,MATCH($D2301,'Paramètres'!$M:$M,0))&amp;"",""))),$K2301,0))</f>
        <v/>
      </c>
      <c r="V2301" s="6" t="str">
        <f>IF(AND($A2301&lt;&gt;"",$O2301=1,$L2301="Débit",N($Q2301)&gt;0,$A2301&gt;=Visualisation!$B$1,$A2301&lt;Visualisation!$D$1),MAX($V$1:V2300)+1,"")</f>
        <v/>
      </c>
    </row>
    <row r="2302" spans="1:22" x14ac:dyDescent="0.25">
      <c r="A2302" s="9"/>
      <c r="E2302" s="10"/>
      <c r="K2302" s="11" t="str">
        <f>IF($E2302="","",ROUND($E2302*IF(ISNA(MATCH($C2302,'Paramètres'!$D:$D,0)),1,IF(INDEX('Paramètres'!$J:$J,MATCH($C2302,'Paramètres'!$D:$D,0))="",1,INDEX('Paramètres'!$J:$J,MATCH($C2302,'Paramètres'!$D:$D,0)))),2))</f>
        <v/>
      </c>
      <c r="L2302" s="6" t="str">
        <f>IF($D2302="","",IF($F2302&lt;&gt;"",$F2302,IF(ISNA(MATCH($D2302,'Paramètres'!$M:$M,0)),"⚠ Type inconnu",IFERROR(INDEX('Paramètres'!$P:$P,MATCH($D2302,'Paramètres'!$M:$M,0))&amp;"",""))))</f>
        <v/>
      </c>
      <c r="M2302" s="6" t="str">
        <f>IF($D2302="","",IF(ISNA(MATCH($D2302,'Paramètres'!$M:$M,0)),"⚠ Type inconnu",IF($L2302="Crédit","",IFERROR(INDEX('Paramètres'!$O:$O,MATCH($D2302,'Paramètres'!$M:$M,0))&amp;"",""))))</f>
        <v/>
      </c>
      <c r="N2302" s="6" t="str">
        <f>IF($D2302="","",IFERROR(INDEX('Paramètres'!$Q:$Q,MATCH($D2302,'Paramètres'!$M:$M,0))&amp;"",""))</f>
        <v/>
      </c>
      <c r="O2302" s="6" t="str">
        <f>IF($A2302="","",IF(OR($J2302&lt;&gt;"x",$A2302&lt;=FinReleve),1,0))</f>
        <v/>
      </c>
      <c r="P2302" s="6" t="str">
        <f>IF($D2302="","",IF(AND($L2302="Crédit",OR(IFERROR(INDEX('Paramètres'!$O:$O,MATCH($D2302,'Paramètres'!$M:$M,0))&amp;"","")&lt;&gt;"",ISNUMBER(SEARCH("remboursement",IFERROR(INDEX('Paramètres'!$N:$N,MATCH($D2302,'Paramètres'!$M:$M,0))&amp;"",""))))),1,0))</f>
        <v/>
      </c>
      <c r="Q2302" s="6" t="str">
        <f>IF($K2302="","",IF(ISNUMBER(SEARCH("transfert-interne",IFERROR(INDEX('Paramètres'!$N:$N,MATCH($D2302,'Paramètres'!$M:$M,0))&amp;"",""))),0,IF($L2302="Débit",$K2302,IF($P2302=1,-$K2302,0))))</f>
        <v/>
      </c>
      <c r="R2302" s="6" t="str">
        <f>IF($K2302="","",IF($L2302="Crédit",$K2302,-$K2302))</f>
        <v/>
      </c>
      <c r="S2302" s="6" t="str">
        <f>IF($C2302="","",IFERROR(INDEX('Paramètres'!$H:$H,MATCH($C2302,'Paramètres'!$D:$D,0))&amp;"",""))</f>
        <v/>
      </c>
      <c r="T2302" s="6" t="str">
        <f>IF($K2302="","",IF($S2302="",0,IF(ISNUMBER(SEARCH("apport-exterieur",IFERROR(INDEX('Paramètres'!$N:$N,MATCH($D2302,'Paramètres'!$M:$M,0))&amp;"",""))),0,IF(OR(IFERROR(INDEX('Paramètres'!$I:$I,MATCH($C2302,'Paramètres'!$D:$D,0))&amp;"","")="Les deux",IFERROR(INDEX('Paramètres'!$I:$I,MATCH($C2302,'Paramètres'!$D:$D,0))&amp;"","")=IF($P2302=1,"Débit",$L2302)),-IF($P2302=1,-$K2302,$K2302),0))))</f>
        <v/>
      </c>
      <c r="U2302" s="6" t="str">
        <f>IF($K2302="","",IF(ISNUMBER(SEARCH("sortie-epargne",IFERROR(INDEX('Paramètres'!$N:$N,MATCH($D2302,'Paramètres'!$M:$M,0))&amp;"",""))),$K2302,0))</f>
        <v/>
      </c>
      <c r="V2302" s="6" t="str">
        <f>IF(AND($A2302&lt;&gt;"",$O2302=1,$L2302="Débit",N($Q2302)&gt;0,$A2302&gt;=Visualisation!$B$1,$A2302&lt;Visualisation!$D$1),MAX($V$1:V2301)+1,"")</f>
        <v/>
      </c>
    </row>
    <row r="2303" spans="1:22" x14ac:dyDescent="0.25">
      <c r="A2303" s="9"/>
      <c r="E2303" s="10"/>
      <c r="K2303" s="11" t="str">
        <f>IF($E2303="","",ROUND($E2303*IF(ISNA(MATCH($C2303,'Paramètres'!$D:$D,0)),1,IF(INDEX('Paramètres'!$J:$J,MATCH($C2303,'Paramètres'!$D:$D,0))="",1,INDEX('Paramètres'!$J:$J,MATCH($C2303,'Paramètres'!$D:$D,0)))),2))</f>
        <v/>
      </c>
      <c r="L2303" s="6" t="str">
        <f>IF($D2303="","",IF($F2303&lt;&gt;"",$F2303,IF(ISNA(MATCH($D2303,'Paramètres'!$M:$M,0)),"⚠ Type inconnu",IFERROR(INDEX('Paramètres'!$P:$P,MATCH($D2303,'Paramètres'!$M:$M,0))&amp;"",""))))</f>
        <v/>
      </c>
      <c r="M2303" s="6" t="str">
        <f>IF($D2303="","",IF(ISNA(MATCH($D2303,'Paramètres'!$M:$M,0)),"⚠ Type inconnu",IF($L2303="Crédit","",IFERROR(INDEX('Paramètres'!$O:$O,MATCH($D2303,'Paramètres'!$M:$M,0))&amp;"",""))))</f>
        <v/>
      </c>
      <c r="N2303" s="6" t="str">
        <f>IF($D2303="","",IFERROR(INDEX('Paramètres'!$Q:$Q,MATCH($D2303,'Paramètres'!$M:$M,0))&amp;"",""))</f>
        <v/>
      </c>
      <c r="O2303" s="6" t="str">
        <f>IF($A2303="","",IF(OR($J2303&lt;&gt;"x",$A2303&lt;=FinReleve),1,0))</f>
        <v/>
      </c>
      <c r="P2303" s="6" t="str">
        <f>IF($D2303="","",IF(AND($L2303="Crédit",OR(IFERROR(INDEX('Paramètres'!$O:$O,MATCH($D2303,'Paramètres'!$M:$M,0))&amp;"","")&lt;&gt;"",ISNUMBER(SEARCH("remboursement",IFERROR(INDEX('Paramètres'!$N:$N,MATCH($D2303,'Paramètres'!$M:$M,0))&amp;"",""))))),1,0))</f>
        <v/>
      </c>
      <c r="Q2303" s="6" t="str">
        <f>IF($K2303="","",IF(ISNUMBER(SEARCH("transfert-interne",IFERROR(INDEX('Paramètres'!$N:$N,MATCH($D2303,'Paramètres'!$M:$M,0))&amp;"",""))),0,IF($L2303="Débit",$K2303,IF($P2303=1,-$K2303,0))))</f>
        <v/>
      </c>
      <c r="R2303" s="6" t="str">
        <f>IF($K2303="","",IF($L2303="Crédit",$K2303,-$K2303))</f>
        <v/>
      </c>
      <c r="S2303" s="6" t="str">
        <f>IF($C2303="","",IFERROR(INDEX('Paramètres'!$H:$H,MATCH($C2303,'Paramètres'!$D:$D,0))&amp;"",""))</f>
        <v/>
      </c>
      <c r="T2303" s="6" t="str">
        <f>IF($K2303="","",IF($S2303="",0,IF(ISNUMBER(SEARCH("apport-exterieur",IFERROR(INDEX('Paramètres'!$N:$N,MATCH($D2303,'Paramètres'!$M:$M,0))&amp;"",""))),0,IF(OR(IFERROR(INDEX('Paramètres'!$I:$I,MATCH($C2303,'Paramètres'!$D:$D,0))&amp;"","")="Les deux",IFERROR(INDEX('Paramètres'!$I:$I,MATCH($C2303,'Paramètres'!$D:$D,0))&amp;"","")=IF($P2303=1,"Débit",$L2303)),-IF($P2303=1,-$K2303,$K2303),0))))</f>
        <v/>
      </c>
      <c r="U2303" s="6" t="str">
        <f>IF($K2303="","",IF(ISNUMBER(SEARCH("sortie-epargne",IFERROR(INDEX('Paramètres'!$N:$N,MATCH($D2303,'Paramètres'!$M:$M,0))&amp;"",""))),$K2303,0))</f>
        <v/>
      </c>
      <c r="V2303" s="6" t="str">
        <f>IF(AND($A2303&lt;&gt;"",$O2303=1,$L2303="Débit",N($Q2303)&gt;0,$A2303&gt;=Visualisation!$B$1,$A2303&lt;Visualisation!$D$1),MAX($V$1:V2302)+1,"")</f>
        <v/>
      </c>
    </row>
    <row r="2304" spans="1:22" x14ac:dyDescent="0.25">
      <c r="A2304" s="9"/>
      <c r="E2304" s="10"/>
      <c r="K2304" s="11" t="str">
        <f>IF($E2304="","",ROUND($E2304*IF(ISNA(MATCH($C2304,'Paramètres'!$D:$D,0)),1,IF(INDEX('Paramètres'!$J:$J,MATCH($C2304,'Paramètres'!$D:$D,0))="",1,INDEX('Paramètres'!$J:$J,MATCH($C2304,'Paramètres'!$D:$D,0)))),2))</f>
        <v/>
      </c>
      <c r="L2304" s="6" t="str">
        <f>IF($D2304="","",IF($F2304&lt;&gt;"",$F2304,IF(ISNA(MATCH($D2304,'Paramètres'!$M:$M,0)),"⚠ Type inconnu",IFERROR(INDEX('Paramètres'!$P:$P,MATCH($D2304,'Paramètres'!$M:$M,0))&amp;"",""))))</f>
        <v/>
      </c>
      <c r="M2304" s="6" t="str">
        <f>IF($D2304="","",IF(ISNA(MATCH($D2304,'Paramètres'!$M:$M,0)),"⚠ Type inconnu",IF($L2304="Crédit","",IFERROR(INDEX('Paramètres'!$O:$O,MATCH($D2304,'Paramètres'!$M:$M,0))&amp;"",""))))</f>
        <v/>
      </c>
      <c r="N2304" s="6" t="str">
        <f>IF($D2304="","",IFERROR(INDEX('Paramètres'!$Q:$Q,MATCH($D2304,'Paramètres'!$M:$M,0))&amp;"",""))</f>
        <v/>
      </c>
      <c r="O2304" s="6" t="str">
        <f>IF($A2304="","",IF(OR($J2304&lt;&gt;"x",$A2304&lt;=FinReleve),1,0))</f>
        <v/>
      </c>
      <c r="P2304" s="6" t="str">
        <f>IF($D2304="","",IF(AND($L2304="Crédit",OR(IFERROR(INDEX('Paramètres'!$O:$O,MATCH($D2304,'Paramètres'!$M:$M,0))&amp;"","")&lt;&gt;"",ISNUMBER(SEARCH("remboursement",IFERROR(INDEX('Paramètres'!$N:$N,MATCH($D2304,'Paramètres'!$M:$M,0))&amp;"",""))))),1,0))</f>
        <v/>
      </c>
      <c r="Q2304" s="6" t="str">
        <f>IF($K2304="","",IF(ISNUMBER(SEARCH("transfert-interne",IFERROR(INDEX('Paramètres'!$N:$N,MATCH($D2304,'Paramètres'!$M:$M,0))&amp;"",""))),0,IF($L2304="Débit",$K2304,IF($P2304=1,-$K2304,0))))</f>
        <v/>
      </c>
      <c r="R2304" s="6" t="str">
        <f>IF($K2304="","",IF($L2304="Crédit",$K2304,-$K2304))</f>
        <v/>
      </c>
      <c r="S2304" s="6" t="str">
        <f>IF($C2304="","",IFERROR(INDEX('Paramètres'!$H:$H,MATCH($C2304,'Paramètres'!$D:$D,0))&amp;"",""))</f>
        <v/>
      </c>
      <c r="T2304" s="6" t="str">
        <f>IF($K2304="","",IF($S2304="",0,IF(ISNUMBER(SEARCH("apport-exterieur",IFERROR(INDEX('Paramètres'!$N:$N,MATCH($D2304,'Paramètres'!$M:$M,0))&amp;"",""))),0,IF(OR(IFERROR(INDEX('Paramètres'!$I:$I,MATCH($C2304,'Paramètres'!$D:$D,0))&amp;"","")="Les deux",IFERROR(INDEX('Paramètres'!$I:$I,MATCH($C2304,'Paramètres'!$D:$D,0))&amp;"","")=IF($P2304=1,"Débit",$L2304)),-IF($P2304=1,-$K2304,$K2304),0))))</f>
        <v/>
      </c>
      <c r="U2304" s="6" t="str">
        <f>IF($K2304="","",IF(ISNUMBER(SEARCH("sortie-epargne",IFERROR(INDEX('Paramètres'!$N:$N,MATCH($D2304,'Paramètres'!$M:$M,0))&amp;"",""))),$K2304,0))</f>
        <v/>
      </c>
      <c r="V2304" s="6" t="str">
        <f>IF(AND($A2304&lt;&gt;"",$O2304=1,$L2304="Débit",N($Q2304)&gt;0,$A2304&gt;=Visualisation!$B$1,$A2304&lt;Visualisation!$D$1),MAX($V$1:V2303)+1,"")</f>
        <v/>
      </c>
    </row>
    <row r="2305" spans="1:22" x14ac:dyDescent="0.25">
      <c r="A2305" s="9"/>
      <c r="E2305" s="10"/>
      <c r="K2305" s="11" t="str">
        <f>IF($E2305="","",ROUND($E2305*IF(ISNA(MATCH($C2305,'Paramètres'!$D:$D,0)),1,IF(INDEX('Paramètres'!$J:$J,MATCH($C2305,'Paramètres'!$D:$D,0))="",1,INDEX('Paramètres'!$J:$J,MATCH($C2305,'Paramètres'!$D:$D,0)))),2))</f>
        <v/>
      </c>
      <c r="L2305" s="6" t="str">
        <f>IF($D2305="","",IF($F2305&lt;&gt;"",$F2305,IF(ISNA(MATCH($D2305,'Paramètres'!$M:$M,0)),"⚠ Type inconnu",IFERROR(INDEX('Paramètres'!$P:$P,MATCH($D2305,'Paramètres'!$M:$M,0))&amp;"",""))))</f>
        <v/>
      </c>
      <c r="M2305" s="6" t="str">
        <f>IF($D2305="","",IF(ISNA(MATCH($D2305,'Paramètres'!$M:$M,0)),"⚠ Type inconnu",IF($L2305="Crédit","",IFERROR(INDEX('Paramètres'!$O:$O,MATCH($D2305,'Paramètres'!$M:$M,0))&amp;"",""))))</f>
        <v/>
      </c>
      <c r="N2305" s="6" t="str">
        <f>IF($D2305="","",IFERROR(INDEX('Paramètres'!$Q:$Q,MATCH($D2305,'Paramètres'!$M:$M,0))&amp;"",""))</f>
        <v/>
      </c>
      <c r="O2305" s="6" t="str">
        <f>IF($A2305="","",IF(OR($J2305&lt;&gt;"x",$A2305&lt;=FinReleve),1,0))</f>
        <v/>
      </c>
      <c r="P2305" s="6" t="str">
        <f>IF($D2305="","",IF(AND($L2305="Crédit",OR(IFERROR(INDEX('Paramètres'!$O:$O,MATCH($D2305,'Paramètres'!$M:$M,0))&amp;"","")&lt;&gt;"",ISNUMBER(SEARCH("remboursement",IFERROR(INDEX('Paramètres'!$N:$N,MATCH($D2305,'Paramètres'!$M:$M,0))&amp;"",""))))),1,0))</f>
        <v/>
      </c>
      <c r="Q2305" s="6" t="str">
        <f>IF($K2305="","",IF(ISNUMBER(SEARCH("transfert-interne",IFERROR(INDEX('Paramètres'!$N:$N,MATCH($D2305,'Paramètres'!$M:$M,0))&amp;"",""))),0,IF($L2305="Débit",$K2305,IF($P2305=1,-$K2305,0))))</f>
        <v/>
      </c>
      <c r="R2305" s="6" t="str">
        <f>IF($K2305="","",IF($L2305="Crédit",$K2305,-$K2305))</f>
        <v/>
      </c>
      <c r="S2305" s="6" t="str">
        <f>IF($C2305="","",IFERROR(INDEX('Paramètres'!$H:$H,MATCH($C2305,'Paramètres'!$D:$D,0))&amp;"",""))</f>
        <v/>
      </c>
      <c r="T2305" s="6" t="str">
        <f>IF($K2305="","",IF($S2305="",0,IF(ISNUMBER(SEARCH("apport-exterieur",IFERROR(INDEX('Paramètres'!$N:$N,MATCH($D2305,'Paramètres'!$M:$M,0))&amp;"",""))),0,IF(OR(IFERROR(INDEX('Paramètres'!$I:$I,MATCH($C2305,'Paramètres'!$D:$D,0))&amp;"","")="Les deux",IFERROR(INDEX('Paramètres'!$I:$I,MATCH($C2305,'Paramètres'!$D:$D,0))&amp;"","")=IF($P2305=1,"Débit",$L2305)),-IF($P2305=1,-$K2305,$K2305),0))))</f>
        <v/>
      </c>
      <c r="U2305" s="6" t="str">
        <f>IF($K2305="","",IF(ISNUMBER(SEARCH("sortie-epargne",IFERROR(INDEX('Paramètres'!$N:$N,MATCH($D2305,'Paramètres'!$M:$M,0))&amp;"",""))),$K2305,0))</f>
        <v/>
      </c>
      <c r="V2305" s="6" t="str">
        <f>IF(AND($A2305&lt;&gt;"",$O2305=1,$L2305="Débit",N($Q2305)&gt;0,$A2305&gt;=Visualisation!$B$1,$A2305&lt;Visualisation!$D$1),MAX($V$1:V2304)+1,"")</f>
        <v/>
      </c>
    </row>
    <row r="2306" spans="1:22" x14ac:dyDescent="0.25">
      <c r="A2306" s="9"/>
      <c r="E2306" s="10"/>
      <c r="K2306" s="11" t="str">
        <f>IF($E2306="","",ROUND($E2306*IF(ISNA(MATCH($C2306,'Paramètres'!$D:$D,0)),1,IF(INDEX('Paramètres'!$J:$J,MATCH($C2306,'Paramètres'!$D:$D,0))="",1,INDEX('Paramètres'!$J:$J,MATCH($C2306,'Paramètres'!$D:$D,0)))),2))</f>
        <v/>
      </c>
      <c r="L2306" s="6" t="str">
        <f>IF($D2306="","",IF($F2306&lt;&gt;"",$F2306,IF(ISNA(MATCH($D2306,'Paramètres'!$M:$M,0)),"⚠ Type inconnu",IFERROR(INDEX('Paramètres'!$P:$P,MATCH($D2306,'Paramètres'!$M:$M,0))&amp;"",""))))</f>
        <v/>
      </c>
      <c r="M2306" s="6" t="str">
        <f>IF($D2306="","",IF(ISNA(MATCH($D2306,'Paramètres'!$M:$M,0)),"⚠ Type inconnu",IF($L2306="Crédit","",IFERROR(INDEX('Paramètres'!$O:$O,MATCH($D2306,'Paramètres'!$M:$M,0))&amp;"",""))))</f>
        <v/>
      </c>
      <c r="N2306" s="6" t="str">
        <f>IF($D2306="","",IFERROR(INDEX('Paramètres'!$Q:$Q,MATCH($D2306,'Paramètres'!$M:$M,0))&amp;"",""))</f>
        <v/>
      </c>
      <c r="O2306" s="6" t="str">
        <f>IF($A2306="","",IF(OR($J2306&lt;&gt;"x",$A2306&lt;=FinReleve),1,0))</f>
        <v/>
      </c>
      <c r="P2306" s="6" t="str">
        <f>IF($D2306="","",IF(AND($L2306="Crédit",OR(IFERROR(INDEX('Paramètres'!$O:$O,MATCH($D2306,'Paramètres'!$M:$M,0))&amp;"","")&lt;&gt;"",ISNUMBER(SEARCH("remboursement",IFERROR(INDEX('Paramètres'!$N:$N,MATCH($D2306,'Paramètres'!$M:$M,0))&amp;"",""))))),1,0))</f>
        <v/>
      </c>
      <c r="Q2306" s="6" t="str">
        <f>IF($K2306="","",IF(ISNUMBER(SEARCH("transfert-interne",IFERROR(INDEX('Paramètres'!$N:$N,MATCH($D2306,'Paramètres'!$M:$M,0))&amp;"",""))),0,IF($L2306="Débit",$K2306,IF($P2306=1,-$K2306,0))))</f>
        <v/>
      </c>
      <c r="R2306" s="6" t="str">
        <f>IF($K2306="","",IF($L2306="Crédit",$K2306,-$K2306))</f>
        <v/>
      </c>
      <c r="S2306" s="6" t="str">
        <f>IF($C2306="","",IFERROR(INDEX('Paramètres'!$H:$H,MATCH($C2306,'Paramètres'!$D:$D,0))&amp;"",""))</f>
        <v/>
      </c>
      <c r="T2306" s="6" t="str">
        <f>IF($K2306="","",IF($S2306="",0,IF(ISNUMBER(SEARCH("apport-exterieur",IFERROR(INDEX('Paramètres'!$N:$N,MATCH($D2306,'Paramètres'!$M:$M,0))&amp;"",""))),0,IF(OR(IFERROR(INDEX('Paramètres'!$I:$I,MATCH($C2306,'Paramètres'!$D:$D,0))&amp;"","")="Les deux",IFERROR(INDEX('Paramètres'!$I:$I,MATCH($C2306,'Paramètres'!$D:$D,0))&amp;"","")=IF($P2306=1,"Débit",$L2306)),-IF($P2306=1,-$K2306,$K2306),0))))</f>
        <v/>
      </c>
      <c r="U2306" s="6" t="str">
        <f>IF($K2306="","",IF(ISNUMBER(SEARCH("sortie-epargne",IFERROR(INDEX('Paramètres'!$N:$N,MATCH($D2306,'Paramètres'!$M:$M,0))&amp;"",""))),$K2306,0))</f>
        <v/>
      </c>
      <c r="V2306" s="6" t="str">
        <f>IF(AND($A2306&lt;&gt;"",$O2306=1,$L2306="Débit",N($Q2306)&gt;0,$A2306&gt;=Visualisation!$B$1,$A2306&lt;Visualisation!$D$1),MAX($V$1:V2305)+1,"")</f>
        <v/>
      </c>
    </row>
    <row r="2307" spans="1:22" x14ac:dyDescent="0.25">
      <c r="A2307" s="9"/>
      <c r="E2307" s="10"/>
      <c r="K2307" s="11" t="str">
        <f>IF($E2307="","",ROUND($E2307*IF(ISNA(MATCH($C2307,'Paramètres'!$D:$D,0)),1,IF(INDEX('Paramètres'!$J:$J,MATCH($C2307,'Paramètres'!$D:$D,0))="",1,INDEX('Paramètres'!$J:$J,MATCH($C2307,'Paramètres'!$D:$D,0)))),2))</f>
        <v/>
      </c>
      <c r="L2307" s="6" t="str">
        <f>IF($D2307="","",IF($F2307&lt;&gt;"",$F2307,IF(ISNA(MATCH($D2307,'Paramètres'!$M:$M,0)),"⚠ Type inconnu",IFERROR(INDEX('Paramètres'!$P:$P,MATCH($D2307,'Paramètres'!$M:$M,0))&amp;"",""))))</f>
        <v/>
      </c>
      <c r="M2307" s="6" t="str">
        <f>IF($D2307="","",IF(ISNA(MATCH($D2307,'Paramètres'!$M:$M,0)),"⚠ Type inconnu",IF($L2307="Crédit","",IFERROR(INDEX('Paramètres'!$O:$O,MATCH($D2307,'Paramètres'!$M:$M,0))&amp;"",""))))</f>
        <v/>
      </c>
      <c r="N2307" s="6" t="str">
        <f>IF($D2307="","",IFERROR(INDEX('Paramètres'!$Q:$Q,MATCH($D2307,'Paramètres'!$M:$M,0))&amp;"",""))</f>
        <v/>
      </c>
      <c r="O2307" s="6" t="str">
        <f>IF($A2307="","",IF(OR($J2307&lt;&gt;"x",$A2307&lt;=FinReleve),1,0))</f>
        <v/>
      </c>
      <c r="P2307" s="6" t="str">
        <f>IF($D2307="","",IF(AND($L2307="Crédit",OR(IFERROR(INDEX('Paramètres'!$O:$O,MATCH($D2307,'Paramètres'!$M:$M,0))&amp;"","")&lt;&gt;"",ISNUMBER(SEARCH("remboursement",IFERROR(INDEX('Paramètres'!$N:$N,MATCH($D2307,'Paramètres'!$M:$M,0))&amp;"",""))))),1,0))</f>
        <v/>
      </c>
      <c r="Q2307" s="6" t="str">
        <f>IF($K2307="","",IF(ISNUMBER(SEARCH("transfert-interne",IFERROR(INDEX('Paramètres'!$N:$N,MATCH($D2307,'Paramètres'!$M:$M,0))&amp;"",""))),0,IF($L2307="Débit",$K2307,IF($P2307=1,-$K2307,0))))</f>
        <v/>
      </c>
      <c r="R2307" s="6" t="str">
        <f>IF($K2307="","",IF($L2307="Crédit",$K2307,-$K2307))</f>
        <v/>
      </c>
      <c r="S2307" s="6" t="str">
        <f>IF($C2307="","",IFERROR(INDEX('Paramètres'!$H:$H,MATCH($C2307,'Paramètres'!$D:$D,0))&amp;"",""))</f>
        <v/>
      </c>
      <c r="T2307" s="6" t="str">
        <f>IF($K2307="","",IF($S2307="",0,IF(ISNUMBER(SEARCH("apport-exterieur",IFERROR(INDEX('Paramètres'!$N:$N,MATCH($D2307,'Paramètres'!$M:$M,0))&amp;"",""))),0,IF(OR(IFERROR(INDEX('Paramètres'!$I:$I,MATCH($C2307,'Paramètres'!$D:$D,0))&amp;"","")="Les deux",IFERROR(INDEX('Paramètres'!$I:$I,MATCH($C2307,'Paramètres'!$D:$D,0))&amp;"","")=IF($P2307=1,"Débit",$L2307)),-IF($P2307=1,-$K2307,$K2307),0))))</f>
        <v/>
      </c>
      <c r="U2307" s="6" t="str">
        <f>IF($K2307="","",IF(ISNUMBER(SEARCH("sortie-epargne",IFERROR(INDEX('Paramètres'!$N:$N,MATCH($D2307,'Paramètres'!$M:$M,0))&amp;"",""))),$K2307,0))</f>
        <v/>
      </c>
      <c r="V2307" s="6" t="str">
        <f>IF(AND($A2307&lt;&gt;"",$O2307=1,$L2307="Débit",N($Q2307)&gt;0,$A2307&gt;=Visualisation!$B$1,$A2307&lt;Visualisation!$D$1),MAX($V$1:V2306)+1,"")</f>
        <v/>
      </c>
    </row>
    <row r="2308" spans="1:22" x14ac:dyDescent="0.25">
      <c r="A2308" s="9"/>
      <c r="E2308" s="10"/>
      <c r="K2308" s="11" t="str">
        <f>IF($E2308="","",ROUND($E2308*IF(ISNA(MATCH($C2308,'Paramètres'!$D:$D,0)),1,IF(INDEX('Paramètres'!$J:$J,MATCH($C2308,'Paramètres'!$D:$D,0))="",1,INDEX('Paramètres'!$J:$J,MATCH($C2308,'Paramètres'!$D:$D,0)))),2))</f>
        <v/>
      </c>
      <c r="L2308" s="6" t="str">
        <f>IF($D2308="","",IF($F2308&lt;&gt;"",$F2308,IF(ISNA(MATCH($D2308,'Paramètres'!$M:$M,0)),"⚠ Type inconnu",IFERROR(INDEX('Paramètres'!$P:$P,MATCH($D2308,'Paramètres'!$M:$M,0))&amp;"",""))))</f>
        <v/>
      </c>
      <c r="M2308" s="6" t="str">
        <f>IF($D2308="","",IF(ISNA(MATCH($D2308,'Paramètres'!$M:$M,0)),"⚠ Type inconnu",IF($L2308="Crédit","",IFERROR(INDEX('Paramètres'!$O:$O,MATCH($D2308,'Paramètres'!$M:$M,0))&amp;"",""))))</f>
        <v/>
      </c>
      <c r="N2308" s="6" t="str">
        <f>IF($D2308="","",IFERROR(INDEX('Paramètres'!$Q:$Q,MATCH($D2308,'Paramètres'!$M:$M,0))&amp;"",""))</f>
        <v/>
      </c>
      <c r="O2308" s="6" t="str">
        <f>IF($A2308="","",IF(OR($J2308&lt;&gt;"x",$A2308&lt;=FinReleve),1,0))</f>
        <v/>
      </c>
      <c r="P2308" s="6" t="str">
        <f>IF($D2308="","",IF(AND($L2308="Crédit",OR(IFERROR(INDEX('Paramètres'!$O:$O,MATCH($D2308,'Paramètres'!$M:$M,0))&amp;"","")&lt;&gt;"",ISNUMBER(SEARCH("remboursement",IFERROR(INDEX('Paramètres'!$N:$N,MATCH($D2308,'Paramètres'!$M:$M,0))&amp;"",""))))),1,0))</f>
        <v/>
      </c>
      <c r="Q2308" s="6" t="str">
        <f>IF($K2308="","",IF(ISNUMBER(SEARCH("transfert-interne",IFERROR(INDEX('Paramètres'!$N:$N,MATCH($D2308,'Paramètres'!$M:$M,0))&amp;"",""))),0,IF($L2308="Débit",$K2308,IF($P2308=1,-$K2308,0))))</f>
        <v/>
      </c>
      <c r="R2308" s="6" t="str">
        <f>IF($K2308="","",IF($L2308="Crédit",$K2308,-$K2308))</f>
        <v/>
      </c>
      <c r="S2308" s="6" t="str">
        <f>IF($C2308="","",IFERROR(INDEX('Paramètres'!$H:$H,MATCH($C2308,'Paramètres'!$D:$D,0))&amp;"",""))</f>
        <v/>
      </c>
      <c r="T2308" s="6" t="str">
        <f>IF($K2308="","",IF($S2308="",0,IF(ISNUMBER(SEARCH("apport-exterieur",IFERROR(INDEX('Paramètres'!$N:$N,MATCH($D2308,'Paramètres'!$M:$M,0))&amp;"",""))),0,IF(OR(IFERROR(INDEX('Paramètres'!$I:$I,MATCH($C2308,'Paramètres'!$D:$D,0))&amp;"","")="Les deux",IFERROR(INDEX('Paramètres'!$I:$I,MATCH($C2308,'Paramètres'!$D:$D,0))&amp;"","")=IF($P2308=1,"Débit",$L2308)),-IF($P2308=1,-$K2308,$K2308),0))))</f>
        <v/>
      </c>
      <c r="U2308" s="6" t="str">
        <f>IF($K2308="","",IF(ISNUMBER(SEARCH("sortie-epargne",IFERROR(INDEX('Paramètres'!$N:$N,MATCH($D2308,'Paramètres'!$M:$M,0))&amp;"",""))),$K2308,0))</f>
        <v/>
      </c>
      <c r="V2308" s="6" t="str">
        <f>IF(AND($A2308&lt;&gt;"",$O2308=1,$L2308="Débit",N($Q2308)&gt;0,$A2308&gt;=Visualisation!$B$1,$A2308&lt;Visualisation!$D$1),MAX($V$1:V2307)+1,"")</f>
        <v/>
      </c>
    </row>
    <row r="2309" spans="1:22" x14ac:dyDescent="0.25">
      <c r="A2309" s="9"/>
      <c r="E2309" s="10"/>
      <c r="K2309" s="11" t="str">
        <f>IF($E2309="","",ROUND($E2309*IF(ISNA(MATCH($C2309,'Paramètres'!$D:$D,0)),1,IF(INDEX('Paramètres'!$J:$J,MATCH($C2309,'Paramètres'!$D:$D,0))="",1,INDEX('Paramètres'!$J:$J,MATCH($C2309,'Paramètres'!$D:$D,0)))),2))</f>
        <v/>
      </c>
      <c r="L2309" s="6" t="str">
        <f>IF($D2309="","",IF($F2309&lt;&gt;"",$F2309,IF(ISNA(MATCH($D2309,'Paramètres'!$M:$M,0)),"⚠ Type inconnu",IFERROR(INDEX('Paramètres'!$P:$P,MATCH($D2309,'Paramètres'!$M:$M,0))&amp;"",""))))</f>
        <v/>
      </c>
      <c r="M2309" s="6" t="str">
        <f>IF($D2309="","",IF(ISNA(MATCH($D2309,'Paramètres'!$M:$M,0)),"⚠ Type inconnu",IF($L2309="Crédit","",IFERROR(INDEX('Paramètres'!$O:$O,MATCH($D2309,'Paramètres'!$M:$M,0))&amp;"",""))))</f>
        <v/>
      </c>
      <c r="N2309" s="6" t="str">
        <f>IF($D2309="","",IFERROR(INDEX('Paramètres'!$Q:$Q,MATCH($D2309,'Paramètres'!$M:$M,0))&amp;"",""))</f>
        <v/>
      </c>
      <c r="O2309" s="6" t="str">
        <f>IF($A2309="","",IF(OR($J2309&lt;&gt;"x",$A2309&lt;=FinReleve),1,0))</f>
        <v/>
      </c>
      <c r="P2309" s="6" t="str">
        <f>IF($D2309="","",IF(AND($L2309="Crédit",OR(IFERROR(INDEX('Paramètres'!$O:$O,MATCH($D2309,'Paramètres'!$M:$M,0))&amp;"","")&lt;&gt;"",ISNUMBER(SEARCH("remboursement",IFERROR(INDEX('Paramètres'!$N:$N,MATCH($D2309,'Paramètres'!$M:$M,0))&amp;"",""))))),1,0))</f>
        <v/>
      </c>
      <c r="Q2309" s="6" t="str">
        <f>IF($K2309="","",IF(ISNUMBER(SEARCH("transfert-interne",IFERROR(INDEX('Paramètres'!$N:$N,MATCH($D2309,'Paramètres'!$M:$M,0))&amp;"",""))),0,IF($L2309="Débit",$K2309,IF($P2309=1,-$K2309,0))))</f>
        <v/>
      </c>
      <c r="R2309" s="6" t="str">
        <f>IF($K2309="","",IF($L2309="Crédit",$K2309,-$K2309))</f>
        <v/>
      </c>
      <c r="S2309" s="6" t="str">
        <f>IF($C2309="","",IFERROR(INDEX('Paramètres'!$H:$H,MATCH($C2309,'Paramètres'!$D:$D,0))&amp;"",""))</f>
        <v/>
      </c>
      <c r="T2309" s="6" t="str">
        <f>IF($K2309="","",IF($S2309="",0,IF(ISNUMBER(SEARCH("apport-exterieur",IFERROR(INDEX('Paramètres'!$N:$N,MATCH($D2309,'Paramètres'!$M:$M,0))&amp;"",""))),0,IF(OR(IFERROR(INDEX('Paramètres'!$I:$I,MATCH($C2309,'Paramètres'!$D:$D,0))&amp;"","")="Les deux",IFERROR(INDEX('Paramètres'!$I:$I,MATCH($C2309,'Paramètres'!$D:$D,0))&amp;"","")=IF($P2309=1,"Débit",$L2309)),-IF($P2309=1,-$K2309,$K2309),0))))</f>
        <v/>
      </c>
      <c r="U2309" s="6" t="str">
        <f>IF($K2309="","",IF(ISNUMBER(SEARCH("sortie-epargne",IFERROR(INDEX('Paramètres'!$N:$N,MATCH($D2309,'Paramètres'!$M:$M,0))&amp;"",""))),$K2309,0))</f>
        <v/>
      </c>
      <c r="V2309" s="6" t="str">
        <f>IF(AND($A2309&lt;&gt;"",$O2309=1,$L2309="Débit",N($Q2309)&gt;0,$A2309&gt;=Visualisation!$B$1,$A2309&lt;Visualisation!$D$1),MAX($V$1:V2308)+1,"")</f>
        <v/>
      </c>
    </row>
    <row r="2310" spans="1:22" x14ac:dyDescent="0.25">
      <c r="A2310" s="9"/>
      <c r="E2310" s="10"/>
      <c r="K2310" s="11" t="str">
        <f>IF($E2310="","",ROUND($E2310*IF(ISNA(MATCH($C2310,'Paramètres'!$D:$D,0)),1,IF(INDEX('Paramètres'!$J:$J,MATCH($C2310,'Paramètres'!$D:$D,0))="",1,INDEX('Paramètres'!$J:$J,MATCH($C2310,'Paramètres'!$D:$D,0)))),2))</f>
        <v/>
      </c>
      <c r="L2310" s="6" t="str">
        <f>IF($D2310="","",IF($F2310&lt;&gt;"",$F2310,IF(ISNA(MATCH($D2310,'Paramètres'!$M:$M,0)),"⚠ Type inconnu",IFERROR(INDEX('Paramètres'!$P:$P,MATCH($D2310,'Paramètres'!$M:$M,0))&amp;"",""))))</f>
        <v/>
      </c>
      <c r="M2310" s="6" t="str">
        <f>IF($D2310="","",IF(ISNA(MATCH($D2310,'Paramètres'!$M:$M,0)),"⚠ Type inconnu",IF($L2310="Crédit","",IFERROR(INDEX('Paramètres'!$O:$O,MATCH($D2310,'Paramètres'!$M:$M,0))&amp;"",""))))</f>
        <v/>
      </c>
      <c r="N2310" s="6" t="str">
        <f>IF($D2310="","",IFERROR(INDEX('Paramètres'!$Q:$Q,MATCH($D2310,'Paramètres'!$M:$M,0))&amp;"",""))</f>
        <v/>
      </c>
      <c r="O2310" s="6" t="str">
        <f>IF($A2310="","",IF(OR($J2310&lt;&gt;"x",$A2310&lt;=FinReleve),1,0))</f>
        <v/>
      </c>
      <c r="P2310" s="6" t="str">
        <f>IF($D2310="","",IF(AND($L2310="Crédit",OR(IFERROR(INDEX('Paramètres'!$O:$O,MATCH($D2310,'Paramètres'!$M:$M,0))&amp;"","")&lt;&gt;"",ISNUMBER(SEARCH("remboursement",IFERROR(INDEX('Paramètres'!$N:$N,MATCH($D2310,'Paramètres'!$M:$M,0))&amp;"",""))))),1,0))</f>
        <v/>
      </c>
      <c r="Q2310" s="6" t="str">
        <f>IF($K2310="","",IF(ISNUMBER(SEARCH("transfert-interne",IFERROR(INDEX('Paramètres'!$N:$N,MATCH($D2310,'Paramètres'!$M:$M,0))&amp;"",""))),0,IF($L2310="Débit",$K2310,IF($P2310=1,-$K2310,0))))</f>
        <v/>
      </c>
      <c r="R2310" s="6" t="str">
        <f>IF($K2310="","",IF($L2310="Crédit",$K2310,-$K2310))</f>
        <v/>
      </c>
      <c r="S2310" s="6" t="str">
        <f>IF($C2310="","",IFERROR(INDEX('Paramètres'!$H:$H,MATCH($C2310,'Paramètres'!$D:$D,0))&amp;"",""))</f>
        <v/>
      </c>
      <c r="T2310" s="6" t="str">
        <f>IF($K2310="","",IF($S2310="",0,IF(ISNUMBER(SEARCH("apport-exterieur",IFERROR(INDEX('Paramètres'!$N:$N,MATCH($D2310,'Paramètres'!$M:$M,0))&amp;"",""))),0,IF(OR(IFERROR(INDEX('Paramètres'!$I:$I,MATCH($C2310,'Paramètres'!$D:$D,0))&amp;"","")="Les deux",IFERROR(INDEX('Paramètres'!$I:$I,MATCH($C2310,'Paramètres'!$D:$D,0))&amp;"","")=IF($P2310=1,"Débit",$L2310)),-IF($P2310=1,-$K2310,$K2310),0))))</f>
        <v/>
      </c>
      <c r="U2310" s="6" t="str">
        <f>IF($K2310="","",IF(ISNUMBER(SEARCH("sortie-epargne",IFERROR(INDEX('Paramètres'!$N:$N,MATCH($D2310,'Paramètres'!$M:$M,0))&amp;"",""))),$K2310,0))</f>
        <v/>
      </c>
      <c r="V2310" s="6" t="str">
        <f>IF(AND($A2310&lt;&gt;"",$O2310=1,$L2310="Débit",N($Q2310)&gt;0,$A2310&gt;=Visualisation!$B$1,$A2310&lt;Visualisation!$D$1),MAX($V$1:V2309)+1,"")</f>
        <v/>
      </c>
    </row>
    <row r="2311" spans="1:22" x14ac:dyDescent="0.25">
      <c r="A2311" s="9"/>
      <c r="E2311" s="10"/>
      <c r="K2311" s="11" t="str">
        <f>IF($E2311="","",ROUND($E2311*IF(ISNA(MATCH($C2311,'Paramètres'!$D:$D,0)),1,IF(INDEX('Paramètres'!$J:$J,MATCH($C2311,'Paramètres'!$D:$D,0))="",1,INDEX('Paramètres'!$J:$J,MATCH($C2311,'Paramètres'!$D:$D,0)))),2))</f>
        <v/>
      </c>
      <c r="L2311" s="6" t="str">
        <f>IF($D2311="","",IF($F2311&lt;&gt;"",$F2311,IF(ISNA(MATCH($D2311,'Paramètres'!$M:$M,0)),"⚠ Type inconnu",IFERROR(INDEX('Paramètres'!$P:$P,MATCH($D2311,'Paramètres'!$M:$M,0))&amp;"",""))))</f>
        <v/>
      </c>
      <c r="M2311" s="6" t="str">
        <f>IF($D2311="","",IF(ISNA(MATCH($D2311,'Paramètres'!$M:$M,0)),"⚠ Type inconnu",IF($L2311="Crédit","",IFERROR(INDEX('Paramètres'!$O:$O,MATCH($D2311,'Paramètres'!$M:$M,0))&amp;"",""))))</f>
        <v/>
      </c>
      <c r="N2311" s="6" t="str">
        <f>IF($D2311="","",IFERROR(INDEX('Paramètres'!$Q:$Q,MATCH($D2311,'Paramètres'!$M:$M,0))&amp;"",""))</f>
        <v/>
      </c>
      <c r="O2311" s="6" t="str">
        <f>IF($A2311="","",IF(OR($J2311&lt;&gt;"x",$A2311&lt;=FinReleve),1,0))</f>
        <v/>
      </c>
      <c r="P2311" s="6" t="str">
        <f>IF($D2311="","",IF(AND($L2311="Crédit",OR(IFERROR(INDEX('Paramètres'!$O:$O,MATCH($D2311,'Paramètres'!$M:$M,0))&amp;"","")&lt;&gt;"",ISNUMBER(SEARCH("remboursement",IFERROR(INDEX('Paramètres'!$N:$N,MATCH($D2311,'Paramètres'!$M:$M,0))&amp;"",""))))),1,0))</f>
        <v/>
      </c>
      <c r="Q2311" s="6" t="str">
        <f>IF($K2311="","",IF(ISNUMBER(SEARCH("transfert-interne",IFERROR(INDEX('Paramètres'!$N:$N,MATCH($D2311,'Paramètres'!$M:$M,0))&amp;"",""))),0,IF($L2311="Débit",$K2311,IF($P2311=1,-$K2311,0))))</f>
        <v/>
      </c>
      <c r="R2311" s="6" t="str">
        <f>IF($K2311="","",IF($L2311="Crédit",$K2311,-$K2311))</f>
        <v/>
      </c>
      <c r="S2311" s="6" t="str">
        <f>IF($C2311="","",IFERROR(INDEX('Paramètres'!$H:$H,MATCH($C2311,'Paramètres'!$D:$D,0))&amp;"",""))</f>
        <v/>
      </c>
      <c r="T2311" s="6" t="str">
        <f>IF($K2311="","",IF($S2311="",0,IF(ISNUMBER(SEARCH("apport-exterieur",IFERROR(INDEX('Paramètres'!$N:$N,MATCH($D2311,'Paramètres'!$M:$M,0))&amp;"",""))),0,IF(OR(IFERROR(INDEX('Paramètres'!$I:$I,MATCH($C2311,'Paramètres'!$D:$D,0))&amp;"","")="Les deux",IFERROR(INDEX('Paramètres'!$I:$I,MATCH($C2311,'Paramètres'!$D:$D,0))&amp;"","")=IF($P2311=1,"Débit",$L2311)),-IF($P2311=1,-$K2311,$K2311),0))))</f>
        <v/>
      </c>
      <c r="U2311" s="6" t="str">
        <f>IF($K2311="","",IF(ISNUMBER(SEARCH("sortie-epargne",IFERROR(INDEX('Paramètres'!$N:$N,MATCH($D2311,'Paramètres'!$M:$M,0))&amp;"",""))),$K2311,0))</f>
        <v/>
      </c>
      <c r="V2311" s="6" t="str">
        <f>IF(AND($A2311&lt;&gt;"",$O2311=1,$L2311="Débit",N($Q2311)&gt;0,$A2311&gt;=Visualisation!$B$1,$A2311&lt;Visualisation!$D$1),MAX($V$1:V2310)+1,"")</f>
        <v/>
      </c>
    </row>
    <row r="2312" spans="1:22" x14ac:dyDescent="0.25">
      <c r="A2312" s="9"/>
      <c r="E2312" s="10"/>
      <c r="K2312" s="11" t="str">
        <f>IF($E2312="","",ROUND($E2312*IF(ISNA(MATCH($C2312,'Paramètres'!$D:$D,0)),1,IF(INDEX('Paramètres'!$J:$J,MATCH($C2312,'Paramètres'!$D:$D,0))="",1,INDEX('Paramètres'!$J:$J,MATCH($C2312,'Paramètres'!$D:$D,0)))),2))</f>
        <v/>
      </c>
      <c r="L2312" s="6" t="str">
        <f>IF($D2312="","",IF($F2312&lt;&gt;"",$F2312,IF(ISNA(MATCH($D2312,'Paramètres'!$M:$M,0)),"⚠ Type inconnu",IFERROR(INDEX('Paramètres'!$P:$P,MATCH($D2312,'Paramètres'!$M:$M,0))&amp;"",""))))</f>
        <v/>
      </c>
      <c r="M2312" s="6" t="str">
        <f>IF($D2312="","",IF(ISNA(MATCH($D2312,'Paramètres'!$M:$M,0)),"⚠ Type inconnu",IF($L2312="Crédit","",IFERROR(INDEX('Paramètres'!$O:$O,MATCH($D2312,'Paramètres'!$M:$M,0))&amp;"",""))))</f>
        <v/>
      </c>
      <c r="N2312" s="6" t="str">
        <f>IF($D2312="","",IFERROR(INDEX('Paramètres'!$Q:$Q,MATCH($D2312,'Paramètres'!$M:$M,0))&amp;"",""))</f>
        <v/>
      </c>
      <c r="O2312" s="6" t="str">
        <f>IF($A2312="","",IF(OR($J2312&lt;&gt;"x",$A2312&lt;=FinReleve),1,0))</f>
        <v/>
      </c>
      <c r="P2312" s="6" t="str">
        <f>IF($D2312="","",IF(AND($L2312="Crédit",OR(IFERROR(INDEX('Paramètres'!$O:$O,MATCH($D2312,'Paramètres'!$M:$M,0))&amp;"","")&lt;&gt;"",ISNUMBER(SEARCH("remboursement",IFERROR(INDEX('Paramètres'!$N:$N,MATCH($D2312,'Paramètres'!$M:$M,0))&amp;"",""))))),1,0))</f>
        <v/>
      </c>
      <c r="Q2312" s="6" t="str">
        <f>IF($K2312="","",IF(ISNUMBER(SEARCH("transfert-interne",IFERROR(INDEX('Paramètres'!$N:$N,MATCH($D2312,'Paramètres'!$M:$M,0))&amp;"",""))),0,IF($L2312="Débit",$K2312,IF($P2312=1,-$K2312,0))))</f>
        <v/>
      </c>
      <c r="R2312" s="6" t="str">
        <f>IF($K2312="","",IF($L2312="Crédit",$K2312,-$K2312))</f>
        <v/>
      </c>
      <c r="S2312" s="6" t="str">
        <f>IF($C2312="","",IFERROR(INDEX('Paramètres'!$H:$H,MATCH($C2312,'Paramètres'!$D:$D,0))&amp;"",""))</f>
        <v/>
      </c>
      <c r="T2312" s="6" t="str">
        <f>IF($K2312="","",IF($S2312="",0,IF(ISNUMBER(SEARCH("apport-exterieur",IFERROR(INDEX('Paramètres'!$N:$N,MATCH($D2312,'Paramètres'!$M:$M,0))&amp;"",""))),0,IF(OR(IFERROR(INDEX('Paramètres'!$I:$I,MATCH($C2312,'Paramètres'!$D:$D,0))&amp;"","")="Les deux",IFERROR(INDEX('Paramètres'!$I:$I,MATCH($C2312,'Paramètres'!$D:$D,0))&amp;"","")=IF($P2312=1,"Débit",$L2312)),-IF($P2312=1,-$K2312,$K2312),0))))</f>
        <v/>
      </c>
      <c r="U2312" s="6" t="str">
        <f>IF($K2312="","",IF(ISNUMBER(SEARCH("sortie-epargne",IFERROR(INDEX('Paramètres'!$N:$N,MATCH($D2312,'Paramètres'!$M:$M,0))&amp;"",""))),$K2312,0))</f>
        <v/>
      </c>
      <c r="V2312" s="6" t="str">
        <f>IF(AND($A2312&lt;&gt;"",$O2312=1,$L2312="Débit",N($Q2312)&gt;0,$A2312&gt;=Visualisation!$B$1,$A2312&lt;Visualisation!$D$1),MAX($V$1:V2311)+1,"")</f>
        <v/>
      </c>
    </row>
    <row r="2313" spans="1:22" x14ac:dyDescent="0.25">
      <c r="A2313" s="9"/>
      <c r="E2313" s="10"/>
      <c r="K2313" s="11" t="str">
        <f>IF($E2313="","",ROUND($E2313*IF(ISNA(MATCH($C2313,'Paramètres'!$D:$D,0)),1,IF(INDEX('Paramètres'!$J:$J,MATCH($C2313,'Paramètres'!$D:$D,0))="",1,INDEX('Paramètres'!$J:$J,MATCH($C2313,'Paramètres'!$D:$D,0)))),2))</f>
        <v/>
      </c>
      <c r="L2313" s="6" t="str">
        <f>IF($D2313="","",IF($F2313&lt;&gt;"",$F2313,IF(ISNA(MATCH($D2313,'Paramètres'!$M:$M,0)),"⚠ Type inconnu",IFERROR(INDEX('Paramètres'!$P:$P,MATCH($D2313,'Paramètres'!$M:$M,0))&amp;"",""))))</f>
        <v/>
      </c>
      <c r="M2313" s="6" t="str">
        <f>IF($D2313="","",IF(ISNA(MATCH($D2313,'Paramètres'!$M:$M,0)),"⚠ Type inconnu",IF($L2313="Crédit","",IFERROR(INDEX('Paramètres'!$O:$O,MATCH($D2313,'Paramètres'!$M:$M,0))&amp;"",""))))</f>
        <v/>
      </c>
      <c r="N2313" s="6" t="str">
        <f>IF($D2313="","",IFERROR(INDEX('Paramètres'!$Q:$Q,MATCH($D2313,'Paramètres'!$M:$M,0))&amp;"",""))</f>
        <v/>
      </c>
      <c r="O2313" s="6" t="str">
        <f>IF($A2313="","",IF(OR($J2313&lt;&gt;"x",$A2313&lt;=FinReleve),1,0))</f>
        <v/>
      </c>
      <c r="P2313" s="6" t="str">
        <f>IF($D2313="","",IF(AND($L2313="Crédit",OR(IFERROR(INDEX('Paramètres'!$O:$O,MATCH($D2313,'Paramètres'!$M:$M,0))&amp;"","")&lt;&gt;"",ISNUMBER(SEARCH("remboursement",IFERROR(INDEX('Paramètres'!$N:$N,MATCH($D2313,'Paramètres'!$M:$M,0))&amp;"",""))))),1,0))</f>
        <v/>
      </c>
      <c r="Q2313" s="6" t="str">
        <f>IF($K2313="","",IF(ISNUMBER(SEARCH("transfert-interne",IFERROR(INDEX('Paramètres'!$N:$N,MATCH($D2313,'Paramètres'!$M:$M,0))&amp;"",""))),0,IF($L2313="Débit",$K2313,IF($P2313=1,-$K2313,0))))</f>
        <v/>
      </c>
      <c r="R2313" s="6" t="str">
        <f>IF($K2313="","",IF($L2313="Crédit",$K2313,-$K2313))</f>
        <v/>
      </c>
      <c r="S2313" s="6" t="str">
        <f>IF($C2313="","",IFERROR(INDEX('Paramètres'!$H:$H,MATCH($C2313,'Paramètres'!$D:$D,0))&amp;"",""))</f>
        <v/>
      </c>
      <c r="T2313" s="6" t="str">
        <f>IF($K2313="","",IF($S2313="",0,IF(ISNUMBER(SEARCH("apport-exterieur",IFERROR(INDEX('Paramètres'!$N:$N,MATCH($D2313,'Paramètres'!$M:$M,0))&amp;"",""))),0,IF(OR(IFERROR(INDEX('Paramètres'!$I:$I,MATCH($C2313,'Paramètres'!$D:$D,0))&amp;"","")="Les deux",IFERROR(INDEX('Paramètres'!$I:$I,MATCH($C2313,'Paramètres'!$D:$D,0))&amp;"","")=IF($P2313=1,"Débit",$L2313)),-IF($P2313=1,-$K2313,$K2313),0))))</f>
        <v/>
      </c>
      <c r="U2313" s="6" t="str">
        <f>IF($K2313="","",IF(ISNUMBER(SEARCH("sortie-epargne",IFERROR(INDEX('Paramètres'!$N:$N,MATCH($D2313,'Paramètres'!$M:$M,0))&amp;"",""))),$K2313,0))</f>
        <v/>
      </c>
      <c r="V2313" s="6" t="str">
        <f>IF(AND($A2313&lt;&gt;"",$O2313=1,$L2313="Débit",N($Q2313)&gt;0,$A2313&gt;=Visualisation!$B$1,$A2313&lt;Visualisation!$D$1),MAX($V$1:V2312)+1,"")</f>
        <v/>
      </c>
    </row>
    <row r="2314" spans="1:22" x14ac:dyDescent="0.25">
      <c r="A2314" s="9"/>
      <c r="E2314" s="10"/>
      <c r="K2314" s="11" t="str">
        <f>IF($E2314="","",ROUND($E2314*IF(ISNA(MATCH($C2314,'Paramètres'!$D:$D,0)),1,IF(INDEX('Paramètres'!$J:$J,MATCH($C2314,'Paramètres'!$D:$D,0))="",1,INDEX('Paramètres'!$J:$J,MATCH($C2314,'Paramètres'!$D:$D,0)))),2))</f>
        <v/>
      </c>
      <c r="L2314" s="6" t="str">
        <f>IF($D2314="","",IF($F2314&lt;&gt;"",$F2314,IF(ISNA(MATCH($D2314,'Paramètres'!$M:$M,0)),"⚠ Type inconnu",IFERROR(INDEX('Paramètres'!$P:$P,MATCH($D2314,'Paramètres'!$M:$M,0))&amp;"",""))))</f>
        <v/>
      </c>
      <c r="M2314" s="6" t="str">
        <f>IF($D2314="","",IF(ISNA(MATCH($D2314,'Paramètres'!$M:$M,0)),"⚠ Type inconnu",IF($L2314="Crédit","",IFERROR(INDEX('Paramètres'!$O:$O,MATCH($D2314,'Paramètres'!$M:$M,0))&amp;"",""))))</f>
        <v/>
      </c>
      <c r="N2314" s="6" t="str">
        <f>IF($D2314="","",IFERROR(INDEX('Paramètres'!$Q:$Q,MATCH($D2314,'Paramètres'!$M:$M,0))&amp;"",""))</f>
        <v/>
      </c>
      <c r="O2314" s="6" t="str">
        <f>IF($A2314="","",IF(OR($J2314&lt;&gt;"x",$A2314&lt;=FinReleve),1,0))</f>
        <v/>
      </c>
      <c r="P2314" s="6" t="str">
        <f>IF($D2314="","",IF(AND($L2314="Crédit",OR(IFERROR(INDEX('Paramètres'!$O:$O,MATCH($D2314,'Paramètres'!$M:$M,0))&amp;"","")&lt;&gt;"",ISNUMBER(SEARCH("remboursement",IFERROR(INDEX('Paramètres'!$N:$N,MATCH($D2314,'Paramètres'!$M:$M,0))&amp;"",""))))),1,0))</f>
        <v/>
      </c>
      <c r="Q2314" s="6" t="str">
        <f>IF($K2314="","",IF(ISNUMBER(SEARCH("transfert-interne",IFERROR(INDEX('Paramètres'!$N:$N,MATCH($D2314,'Paramètres'!$M:$M,0))&amp;"",""))),0,IF($L2314="Débit",$K2314,IF($P2314=1,-$K2314,0))))</f>
        <v/>
      </c>
      <c r="R2314" s="6" t="str">
        <f>IF($K2314="","",IF($L2314="Crédit",$K2314,-$K2314))</f>
        <v/>
      </c>
      <c r="S2314" s="6" t="str">
        <f>IF($C2314="","",IFERROR(INDEX('Paramètres'!$H:$H,MATCH($C2314,'Paramètres'!$D:$D,0))&amp;"",""))</f>
        <v/>
      </c>
      <c r="T2314" s="6" t="str">
        <f>IF($K2314="","",IF($S2314="",0,IF(ISNUMBER(SEARCH("apport-exterieur",IFERROR(INDEX('Paramètres'!$N:$N,MATCH($D2314,'Paramètres'!$M:$M,0))&amp;"",""))),0,IF(OR(IFERROR(INDEX('Paramètres'!$I:$I,MATCH($C2314,'Paramètres'!$D:$D,0))&amp;"","")="Les deux",IFERROR(INDEX('Paramètres'!$I:$I,MATCH($C2314,'Paramètres'!$D:$D,0))&amp;"","")=IF($P2314=1,"Débit",$L2314)),-IF($P2314=1,-$K2314,$K2314),0))))</f>
        <v/>
      </c>
      <c r="U2314" s="6" t="str">
        <f>IF($K2314="","",IF(ISNUMBER(SEARCH("sortie-epargne",IFERROR(INDEX('Paramètres'!$N:$N,MATCH($D2314,'Paramètres'!$M:$M,0))&amp;"",""))),$K2314,0))</f>
        <v/>
      </c>
      <c r="V2314" s="6" t="str">
        <f>IF(AND($A2314&lt;&gt;"",$O2314=1,$L2314="Débit",N($Q2314)&gt;0,$A2314&gt;=Visualisation!$B$1,$A2314&lt;Visualisation!$D$1),MAX($V$1:V2313)+1,"")</f>
        <v/>
      </c>
    </row>
    <row r="2315" spans="1:22" x14ac:dyDescent="0.25">
      <c r="A2315" s="9"/>
      <c r="E2315" s="10"/>
      <c r="K2315" s="11" t="str">
        <f>IF($E2315="","",ROUND($E2315*IF(ISNA(MATCH($C2315,'Paramètres'!$D:$D,0)),1,IF(INDEX('Paramètres'!$J:$J,MATCH($C2315,'Paramètres'!$D:$D,0))="",1,INDEX('Paramètres'!$J:$J,MATCH($C2315,'Paramètres'!$D:$D,0)))),2))</f>
        <v/>
      </c>
      <c r="L2315" s="6" t="str">
        <f>IF($D2315="","",IF($F2315&lt;&gt;"",$F2315,IF(ISNA(MATCH($D2315,'Paramètres'!$M:$M,0)),"⚠ Type inconnu",IFERROR(INDEX('Paramètres'!$P:$P,MATCH($D2315,'Paramètres'!$M:$M,0))&amp;"",""))))</f>
        <v/>
      </c>
      <c r="M2315" s="6" t="str">
        <f>IF($D2315="","",IF(ISNA(MATCH($D2315,'Paramètres'!$M:$M,0)),"⚠ Type inconnu",IF($L2315="Crédit","",IFERROR(INDEX('Paramètres'!$O:$O,MATCH($D2315,'Paramètres'!$M:$M,0))&amp;"",""))))</f>
        <v/>
      </c>
      <c r="N2315" s="6" t="str">
        <f>IF($D2315="","",IFERROR(INDEX('Paramètres'!$Q:$Q,MATCH($D2315,'Paramètres'!$M:$M,0))&amp;"",""))</f>
        <v/>
      </c>
      <c r="O2315" s="6" t="str">
        <f>IF($A2315="","",IF(OR($J2315&lt;&gt;"x",$A2315&lt;=FinReleve),1,0))</f>
        <v/>
      </c>
      <c r="P2315" s="6" t="str">
        <f>IF($D2315="","",IF(AND($L2315="Crédit",OR(IFERROR(INDEX('Paramètres'!$O:$O,MATCH($D2315,'Paramètres'!$M:$M,0))&amp;"","")&lt;&gt;"",ISNUMBER(SEARCH("remboursement",IFERROR(INDEX('Paramètres'!$N:$N,MATCH($D2315,'Paramètres'!$M:$M,0))&amp;"",""))))),1,0))</f>
        <v/>
      </c>
      <c r="Q2315" s="6" t="str">
        <f>IF($K2315="","",IF(ISNUMBER(SEARCH("transfert-interne",IFERROR(INDEX('Paramètres'!$N:$N,MATCH($D2315,'Paramètres'!$M:$M,0))&amp;"",""))),0,IF($L2315="Débit",$K2315,IF($P2315=1,-$K2315,0))))</f>
        <v/>
      </c>
      <c r="R2315" s="6" t="str">
        <f>IF($K2315="","",IF($L2315="Crédit",$K2315,-$K2315))</f>
        <v/>
      </c>
      <c r="S2315" s="6" t="str">
        <f>IF($C2315="","",IFERROR(INDEX('Paramètres'!$H:$H,MATCH($C2315,'Paramètres'!$D:$D,0))&amp;"",""))</f>
        <v/>
      </c>
      <c r="T2315" s="6" t="str">
        <f>IF($K2315="","",IF($S2315="",0,IF(ISNUMBER(SEARCH("apport-exterieur",IFERROR(INDEX('Paramètres'!$N:$N,MATCH($D2315,'Paramètres'!$M:$M,0))&amp;"",""))),0,IF(OR(IFERROR(INDEX('Paramètres'!$I:$I,MATCH($C2315,'Paramètres'!$D:$D,0))&amp;"","")="Les deux",IFERROR(INDEX('Paramètres'!$I:$I,MATCH($C2315,'Paramètres'!$D:$D,0))&amp;"","")=IF($P2315=1,"Débit",$L2315)),-IF($P2315=1,-$K2315,$K2315),0))))</f>
        <v/>
      </c>
      <c r="U2315" s="6" t="str">
        <f>IF($K2315="","",IF(ISNUMBER(SEARCH("sortie-epargne",IFERROR(INDEX('Paramètres'!$N:$N,MATCH($D2315,'Paramètres'!$M:$M,0))&amp;"",""))),$K2315,0))</f>
        <v/>
      </c>
      <c r="V2315" s="6" t="str">
        <f>IF(AND($A2315&lt;&gt;"",$O2315=1,$L2315="Débit",N($Q2315)&gt;0,$A2315&gt;=Visualisation!$B$1,$A2315&lt;Visualisation!$D$1),MAX($V$1:V2314)+1,"")</f>
        <v/>
      </c>
    </row>
    <row r="2316" spans="1:22" x14ac:dyDescent="0.25">
      <c r="A2316" s="9"/>
      <c r="E2316" s="10"/>
      <c r="K2316" s="11" t="str">
        <f>IF($E2316="","",ROUND($E2316*IF(ISNA(MATCH($C2316,'Paramètres'!$D:$D,0)),1,IF(INDEX('Paramètres'!$J:$J,MATCH($C2316,'Paramètres'!$D:$D,0))="",1,INDEX('Paramètres'!$J:$J,MATCH($C2316,'Paramètres'!$D:$D,0)))),2))</f>
        <v/>
      </c>
      <c r="L2316" s="6" t="str">
        <f>IF($D2316="","",IF($F2316&lt;&gt;"",$F2316,IF(ISNA(MATCH($D2316,'Paramètres'!$M:$M,0)),"⚠ Type inconnu",IFERROR(INDEX('Paramètres'!$P:$P,MATCH($D2316,'Paramètres'!$M:$M,0))&amp;"",""))))</f>
        <v/>
      </c>
      <c r="M2316" s="6" t="str">
        <f>IF($D2316="","",IF(ISNA(MATCH($D2316,'Paramètres'!$M:$M,0)),"⚠ Type inconnu",IF($L2316="Crédit","",IFERROR(INDEX('Paramètres'!$O:$O,MATCH($D2316,'Paramètres'!$M:$M,0))&amp;"",""))))</f>
        <v/>
      </c>
      <c r="N2316" s="6" t="str">
        <f>IF($D2316="","",IFERROR(INDEX('Paramètres'!$Q:$Q,MATCH($D2316,'Paramètres'!$M:$M,0))&amp;"",""))</f>
        <v/>
      </c>
      <c r="O2316" s="6" t="str">
        <f>IF($A2316="","",IF(OR($J2316&lt;&gt;"x",$A2316&lt;=FinReleve),1,0))</f>
        <v/>
      </c>
      <c r="P2316" s="6" t="str">
        <f>IF($D2316="","",IF(AND($L2316="Crédit",OR(IFERROR(INDEX('Paramètres'!$O:$O,MATCH($D2316,'Paramètres'!$M:$M,0))&amp;"","")&lt;&gt;"",ISNUMBER(SEARCH("remboursement",IFERROR(INDEX('Paramètres'!$N:$N,MATCH($D2316,'Paramètres'!$M:$M,0))&amp;"",""))))),1,0))</f>
        <v/>
      </c>
      <c r="Q2316" s="6" t="str">
        <f>IF($K2316="","",IF(ISNUMBER(SEARCH("transfert-interne",IFERROR(INDEX('Paramètres'!$N:$N,MATCH($D2316,'Paramètres'!$M:$M,0))&amp;"",""))),0,IF($L2316="Débit",$K2316,IF($P2316=1,-$K2316,0))))</f>
        <v/>
      </c>
      <c r="R2316" s="6" t="str">
        <f>IF($K2316="","",IF($L2316="Crédit",$K2316,-$K2316))</f>
        <v/>
      </c>
      <c r="S2316" s="6" t="str">
        <f>IF($C2316="","",IFERROR(INDEX('Paramètres'!$H:$H,MATCH($C2316,'Paramètres'!$D:$D,0))&amp;"",""))</f>
        <v/>
      </c>
      <c r="T2316" s="6" t="str">
        <f>IF($K2316="","",IF($S2316="",0,IF(ISNUMBER(SEARCH("apport-exterieur",IFERROR(INDEX('Paramètres'!$N:$N,MATCH($D2316,'Paramètres'!$M:$M,0))&amp;"",""))),0,IF(OR(IFERROR(INDEX('Paramètres'!$I:$I,MATCH($C2316,'Paramètres'!$D:$D,0))&amp;"","")="Les deux",IFERROR(INDEX('Paramètres'!$I:$I,MATCH($C2316,'Paramètres'!$D:$D,0))&amp;"","")=IF($P2316=1,"Débit",$L2316)),-IF($P2316=1,-$K2316,$K2316),0))))</f>
        <v/>
      </c>
      <c r="U2316" s="6" t="str">
        <f>IF($K2316="","",IF(ISNUMBER(SEARCH("sortie-epargne",IFERROR(INDEX('Paramètres'!$N:$N,MATCH($D2316,'Paramètres'!$M:$M,0))&amp;"",""))),$K2316,0))</f>
        <v/>
      </c>
      <c r="V2316" s="6" t="str">
        <f>IF(AND($A2316&lt;&gt;"",$O2316=1,$L2316="Débit",N($Q2316)&gt;0,$A2316&gt;=Visualisation!$B$1,$A2316&lt;Visualisation!$D$1),MAX($V$1:V2315)+1,"")</f>
        <v/>
      </c>
    </row>
    <row r="2317" spans="1:22" x14ac:dyDescent="0.25">
      <c r="A2317" s="9"/>
      <c r="E2317" s="10"/>
      <c r="K2317" s="11" t="str">
        <f>IF($E2317="","",ROUND($E2317*IF(ISNA(MATCH($C2317,'Paramètres'!$D:$D,0)),1,IF(INDEX('Paramètres'!$J:$J,MATCH($C2317,'Paramètres'!$D:$D,0))="",1,INDEX('Paramètres'!$J:$J,MATCH($C2317,'Paramètres'!$D:$D,0)))),2))</f>
        <v/>
      </c>
      <c r="L2317" s="6" t="str">
        <f>IF($D2317="","",IF($F2317&lt;&gt;"",$F2317,IF(ISNA(MATCH($D2317,'Paramètres'!$M:$M,0)),"⚠ Type inconnu",IFERROR(INDEX('Paramètres'!$P:$P,MATCH($D2317,'Paramètres'!$M:$M,0))&amp;"",""))))</f>
        <v/>
      </c>
      <c r="M2317" s="6" t="str">
        <f>IF($D2317="","",IF(ISNA(MATCH($D2317,'Paramètres'!$M:$M,0)),"⚠ Type inconnu",IF($L2317="Crédit","",IFERROR(INDEX('Paramètres'!$O:$O,MATCH($D2317,'Paramètres'!$M:$M,0))&amp;"",""))))</f>
        <v/>
      </c>
      <c r="N2317" s="6" t="str">
        <f>IF($D2317="","",IFERROR(INDEX('Paramètres'!$Q:$Q,MATCH($D2317,'Paramètres'!$M:$M,0))&amp;"",""))</f>
        <v/>
      </c>
      <c r="O2317" s="6" t="str">
        <f>IF($A2317="","",IF(OR($J2317&lt;&gt;"x",$A2317&lt;=FinReleve),1,0))</f>
        <v/>
      </c>
      <c r="P2317" s="6" t="str">
        <f>IF($D2317="","",IF(AND($L2317="Crédit",OR(IFERROR(INDEX('Paramètres'!$O:$O,MATCH($D2317,'Paramètres'!$M:$M,0))&amp;"","")&lt;&gt;"",ISNUMBER(SEARCH("remboursement",IFERROR(INDEX('Paramètres'!$N:$N,MATCH($D2317,'Paramètres'!$M:$M,0))&amp;"",""))))),1,0))</f>
        <v/>
      </c>
      <c r="Q2317" s="6" t="str">
        <f>IF($K2317="","",IF(ISNUMBER(SEARCH("transfert-interne",IFERROR(INDEX('Paramètres'!$N:$N,MATCH($D2317,'Paramètres'!$M:$M,0))&amp;"",""))),0,IF($L2317="Débit",$K2317,IF($P2317=1,-$K2317,0))))</f>
        <v/>
      </c>
      <c r="R2317" s="6" t="str">
        <f>IF($K2317="","",IF($L2317="Crédit",$K2317,-$K2317))</f>
        <v/>
      </c>
      <c r="S2317" s="6" t="str">
        <f>IF($C2317="","",IFERROR(INDEX('Paramètres'!$H:$H,MATCH($C2317,'Paramètres'!$D:$D,0))&amp;"",""))</f>
        <v/>
      </c>
      <c r="T2317" s="6" t="str">
        <f>IF($K2317="","",IF($S2317="",0,IF(ISNUMBER(SEARCH("apport-exterieur",IFERROR(INDEX('Paramètres'!$N:$N,MATCH($D2317,'Paramètres'!$M:$M,0))&amp;"",""))),0,IF(OR(IFERROR(INDEX('Paramètres'!$I:$I,MATCH($C2317,'Paramètres'!$D:$D,0))&amp;"","")="Les deux",IFERROR(INDEX('Paramètres'!$I:$I,MATCH($C2317,'Paramètres'!$D:$D,0))&amp;"","")=IF($P2317=1,"Débit",$L2317)),-IF($P2317=1,-$K2317,$K2317),0))))</f>
        <v/>
      </c>
      <c r="U2317" s="6" t="str">
        <f>IF($K2317="","",IF(ISNUMBER(SEARCH("sortie-epargne",IFERROR(INDEX('Paramètres'!$N:$N,MATCH($D2317,'Paramètres'!$M:$M,0))&amp;"",""))),$K2317,0))</f>
        <v/>
      </c>
      <c r="V2317" s="6" t="str">
        <f>IF(AND($A2317&lt;&gt;"",$O2317=1,$L2317="Débit",N($Q2317)&gt;0,$A2317&gt;=Visualisation!$B$1,$A2317&lt;Visualisation!$D$1),MAX($V$1:V2316)+1,"")</f>
        <v/>
      </c>
    </row>
    <row r="2318" spans="1:22" x14ac:dyDescent="0.25">
      <c r="A2318" s="9"/>
      <c r="E2318" s="10"/>
      <c r="K2318" s="11" t="str">
        <f>IF($E2318="","",ROUND($E2318*IF(ISNA(MATCH($C2318,'Paramètres'!$D:$D,0)),1,IF(INDEX('Paramètres'!$J:$J,MATCH($C2318,'Paramètres'!$D:$D,0))="",1,INDEX('Paramètres'!$J:$J,MATCH($C2318,'Paramètres'!$D:$D,0)))),2))</f>
        <v/>
      </c>
      <c r="L2318" s="6" t="str">
        <f>IF($D2318="","",IF($F2318&lt;&gt;"",$F2318,IF(ISNA(MATCH($D2318,'Paramètres'!$M:$M,0)),"⚠ Type inconnu",IFERROR(INDEX('Paramètres'!$P:$P,MATCH($D2318,'Paramètres'!$M:$M,0))&amp;"",""))))</f>
        <v/>
      </c>
      <c r="M2318" s="6" t="str">
        <f>IF($D2318="","",IF(ISNA(MATCH($D2318,'Paramètres'!$M:$M,0)),"⚠ Type inconnu",IF($L2318="Crédit","",IFERROR(INDEX('Paramètres'!$O:$O,MATCH($D2318,'Paramètres'!$M:$M,0))&amp;"",""))))</f>
        <v/>
      </c>
      <c r="N2318" s="6" t="str">
        <f>IF($D2318="","",IFERROR(INDEX('Paramètres'!$Q:$Q,MATCH($D2318,'Paramètres'!$M:$M,0))&amp;"",""))</f>
        <v/>
      </c>
      <c r="O2318" s="6" t="str">
        <f>IF($A2318="","",IF(OR($J2318&lt;&gt;"x",$A2318&lt;=FinReleve),1,0))</f>
        <v/>
      </c>
      <c r="P2318" s="6" t="str">
        <f>IF($D2318="","",IF(AND($L2318="Crédit",OR(IFERROR(INDEX('Paramètres'!$O:$O,MATCH($D2318,'Paramètres'!$M:$M,0))&amp;"","")&lt;&gt;"",ISNUMBER(SEARCH("remboursement",IFERROR(INDEX('Paramètres'!$N:$N,MATCH($D2318,'Paramètres'!$M:$M,0))&amp;"",""))))),1,0))</f>
        <v/>
      </c>
      <c r="Q2318" s="6" t="str">
        <f>IF($K2318="","",IF(ISNUMBER(SEARCH("transfert-interne",IFERROR(INDEX('Paramètres'!$N:$N,MATCH($D2318,'Paramètres'!$M:$M,0))&amp;"",""))),0,IF($L2318="Débit",$K2318,IF($P2318=1,-$K2318,0))))</f>
        <v/>
      </c>
      <c r="R2318" s="6" t="str">
        <f>IF($K2318="","",IF($L2318="Crédit",$K2318,-$K2318))</f>
        <v/>
      </c>
      <c r="S2318" s="6" t="str">
        <f>IF($C2318="","",IFERROR(INDEX('Paramètres'!$H:$H,MATCH($C2318,'Paramètres'!$D:$D,0))&amp;"",""))</f>
        <v/>
      </c>
      <c r="T2318" s="6" t="str">
        <f>IF($K2318="","",IF($S2318="",0,IF(ISNUMBER(SEARCH("apport-exterieur",IFERROR(INDEX('Paramètres'!$N:$N,MATCH($D2318,'Paramètres'!$M:$M,0))&amp;"",""))),0,IF(OR(IFERROR(INDEX('Paramètres'!$I:$I,MATCH($C2318,'Paramètres'!$D:$D,0))&amp;"","")="Les deux",IFERROR(INDEX('Paramètres'!$I:$I,MATCH($C2318,'Paramètres'!$D:$D,0))&amp;"","")=IF($P2318=1,"Débit",$L2318)),-IF($P2318=1,-$K2318,$K2318),0))))</f>
        <v/>
      </c>
      <c r="U2318" s="6" t="str">
        <f>IF($K2318="","",IF(ISNUMBER(SEARCH("sortie-epargne",IFERROR(INDEX('Paramètres'!$N:$N,MATCH($D2318,'Paramètres'!$M:$M,0))&amp;"",""))),$K2318,0))</f>
        <v/>
      </c>
      <c r="V2318" s="6" t="str">
        <f>IF(AND($A2318&lt;&gt;"",$O2318=1,$L2318="Débit",N($Q2318)&gt;0,$A2318&gt;=Visualisation!$B$1,$A2318&lt;Visualisation!$D$1),MAX($V$1:V2317)+1,"")</f>
        <v/>
      </c>
    </row>
    <row r="2319" spans="1:22" x14ac:dyDescent="0.25">
      <c r="A2319" s="9"/>
      <c r="E2319" s="10"/>
      <c r="K2319" s="11" t="str">
        <f>IF($E2319="","",ROUND($E2319*IF(ISNA(MATCH($C2319,'Paramètres'!$D:$D,0)),1,IF(INDEX('Paramètres'!$J:$J,MATCH($C2319,'Paramètres'!$D:$D,0))="",1,INDEX('Paramètres'!$J:$J,MATCH($C2319,'Paramètres'!$D:$D,0)))),2))</f>
        <v/>
      </c>
      <c r="L2319" s="6" t="str">
        <f>IF($D2319="","",IF($F2319&lt;&gt;"",$F2319,IF(ISNA(MATCH($D2319,'Paramètres'!$M:$M,0)),"⚠ Type inconnu",IFERROR(INDEX('Paramètres'!$P:$P,MATCH($D2319,'Paramètres'!$M:$M,0))&amp;"",""))))</f>
        <v/>
      </c>
      <c r="M2319" s="6" t="str">
        <f>IF($D2319="","",IF(ISNA(MATCH($D2319,'Paramètres'!$M:$M,0)),"⚠ Type inconnu",IF($L2319="Crédit","",IFERROR(INDEX('Paramètres'!$O:$O,MATCH($D2319,'Paramètres'!$M:$M,0))&amp;"",""))))</f>
        <v/>
      </c>
      <c r="N2319" s="6" t="str">
        <f>IF($D2319="","",IFERROR(INDEX('Paramètres'!$Q:$Q,MATCH($D2319,'Paramètres'!$M:$M,0))&amp;"",""))</f>
        <v/>
      </c>
      <c r="O2319" s="6" t="str">
        <f>IF($A2319="","",IF(OR($J2319&lt;&gt;"x",$A2319&lt;=FinReleve),1,0))</f>
        <v/>
      </c>
      <c r="P2319" s="6" t="str">
        <f>IF($D2319="","",IF(AND($L2319="Crédit",OR(IFERROR(INDEX('Paramètres'!$O:$O,MATCH($D2319,'Paramètres'!$M:$M,0))&amp;"","")&lt;&gt;"",ISNUMBER(SEARCH("remboursement",IFERROR(INDEX('Paramètres'!$N:$N,MATCH($D2319,'Paramètres'!$M:$M,0))&amp;"",""))))),1,0))</f>
        <v/>
      </c>
      <c r="Q2319" s="6" t="str">
        <f>IF($K2319="","",IF(ISNUMBER(SEARCH("transfert-interne",IFERROR(INDEX('Paramètres'!$N:$N,MATCH($D2319,'Paramètres'!$M:$M,0))&amp;"",""))),0,IF($L2319="Débit",$K2319,IF($P2319=1,-$K2319,0))))</f>
        <v/>
      </c>
      <c r="R2319" s="6" t="str">
        <f>IF($K2319="","",IF($L2319="Crédit",$K2319,-$K2319))</f>
        <v/>
      </c>
      <c r="S2319" s="6" t="str">
        <f>IF($C2319="","",IFERROR(INDEX('Paramètres'!$H:$H,MATCH($C2319,'Paramètres'!$D:$D,0))&amp;"",""))</f>
        <v/>
      </c>
      <c r="T2319" s="6" t="str">
        <f>IF($K2319="","",IF($S2319="",0,IF(ISNUMBER(SEARCH("apport-exterieur",IFERROR(INDEX('Paramètres'!$N:$N,MATCH($D2319,'Paramètres'!$M:$M,0))&amp;"",""))),0,IF(OR(IFERROR(INDEX('Paramètres'!$I:$I,MATCH($C2319,'Paramètres'!$D:$D,0))&amp;"","")="Les deux",IFERROR(INDEX('Paramètres'!$I:$I,MATCH($C2319,'Paramètres'!$D:$D,0))&amp;"","")=IF($P2319=1,"Débit",$L2319)),-IF($P2319=1,-$K2319,$K2319),0))))</f>
        <v/>
      </c>
      <c r="U2319" s="6" t="str">
        <f>IF($K2319="","",IF(ISNUMBER(SEARCH("sortie-epargne",IFERROR(INDEX('Paramètres'!$N:$N,MATCH($D2319,'Paramètres'!$M:$M,0))&amp;"",""))),$K2319,0))</f>
        <v/>
      </c>
      <c r="V2319" s="6" t="str">
        <f>IF(AND($A2319&lt;&gt;"",$O2319=1,$L2319="Débit",N($Q2319)&gt;0,$A2319&gt;=Visualisation!$B$1,$A2319&lt;Visualisation!$D$1),MAX($V$1:V2318)+1,"")</f>
        <v/>
      </c>
    </row>
    <row r="2320" spans="1:22" x14ac:dyDescent="0.25">
      <c r="A2320" s="9"/>
      <c r="E2320" s="10"/>
      <c r="K2320" s="11" t="str">
        <f>IF($E2320="","",ROUND($E2320*IF(ISNA(MATCH($C2320,'Paramètres'!$D:$D,0)),1,IF(INDEX('Paramètres'!$J:$J,MATCH($C2320,'Paramètres'!$D:$D,0))="",1,INDEX('Paramètres'!$J:$J,MATCH($C2320,'Paramètres'!$D:$D,0)))),2))</f>
        <v/>
      </c>
      <c r="L2320" s="6" t="str">
        <f>IF($D2320="","",IF($F2320&lt;&gt;"",$F2320,IF(ISNA(MATCH($D2320,'Paramètres'!$M:$M,0)),"⚠ Type inconnu",IFERROR(INDEX('Paramètres'!$P:$P,MATCH($D2320,'Paramètres'!$M:$M,0))&amp;"",""))))</f>
        <v/>
      </c>
      <c r="M2320" s="6" t="str">
        <f>IF($D2320="","",IF(ISNA(MATCH($D2320,'Paramètres'!$M:$M,0)),"⚠ Type inconnu",IF($L2320="Crédit","",IFERROR(INDEX('Paramètres'!$O:$O,MATCH($D2320,'Paramètres'!$M:$M,0))&amp;"",""))))</f>
        <v/>
      </c>
      <c r="N2320" s="6" t="str">
        <f>IF($D2320="","",IFERROR(INDEX('Paramètres'!$Q:$Q,MATCH($D2320,'Paramètres'!$M:$M,0))&amp;"",""))</f>
        <v/>
      </c>
      <c r="O2320" s="6" t="str">
        <f>IF($A2320="","",IF(OR($J2320&lt;&gt;"x",$A2320&lt;=FinReleve),1,0))</f>
        <v/>
      </c>
      <c r="P2320" s="6" t="str">
        <f>IF($D2320="","",IF(AND($L2320="Crédit",OR(IFERROR(INDEX('Paramètres'!$O:$O,MATCH($D2320,'Paramètres'!$M:$M,0))&amp;"","")&lt;&gt;"",ISNUMBER(SEARCH("remboursement",IFERROR(INDEX('Paramètres'!$N:$N,MATCH($D2320,'Paramètres'!$M:$M,0))&amp;"",""))))),1,0))</f>
        <v/>
      </c>
      <c r="Q2320" s="6" t="str">
        <f>IF($K2320="","",IF(ISNUMBER(SEARCH("transfert-interne",IFERROR(INDEX('Paramètres'!$N:$N,MATCH($D2320,'Paramètres'!$M:$M,0))&amp;"",""))),0,IF($L2320="Débit",$K2320,IF($P2320=1,-$K2320,0))))</f>
        <v/>
      </c>
      <c r="R2320" s="6" t="str">
        <f>IF($K2320="","",IF($L2320="Crédit",$K2320,-$K2320))</f>
        <v/>
      </c>
      <c r="S2320" s="6" t="str">
        <f>IF($C2320="","",IFERROR(INDEX('Paramètres'!$H:$H,MATCH($C2320,'Paramètres'!$D:$D,0))&amp;"",""))</f>
        <v/>
      </c>
      <c r="T2320" s="6" t="str">
        <f>IF($K2320="","",IF($S2320="",0,IF(ISNUMBER(SEARCH("apport-exterieur",IFERROR(INDEX('Paramètres'!$N:$N,MATCH($D2320,'Paramètres'!$M:$M,0))&amp;"",""))),0,IF(OR(IFERROR(INDEX('Paramètres'!$I:$I,MATCH($C2320,'Paramètres'!$D:$D,0))&amp;"","")="Les deux",IFERROR(INDEX('Paramètres'!$I:$I,MATCH($C2320,'Paramètres'!$D:$D,0))&amp;"","")=IF($P2320=1,"Débit",$L2320)),-IF($P2320=1,-$K2320,$K2320),0))))</f>
        <v/>
      </c>
      <c r="U2320" s="6" t="str">
        <f>IF($K2320="","",IF(ISNUMBER(SEARCH("sortie-epargne",IFERROR(INDEX('Paramètres'!$N:$N,MATCH($D2320,'Paramètres'!$M:$M,0))&amp;"",""))),$K2320,0))</f>
        <v/>
      </c>
      <c r="V2320" s="6" t="str">
        <f>IF(AND($A2320&lt;&gt;"",$O2320=1,$L2320="Débit",N($Q2320)&gt;0,$A2320&gt;=Visualisation!$B$1,$A2320&lt;Visualisation!$D$1),MAX($V$1:V2319)+1,"")</f>
        <v/>
      </c>
    </row>
    <row r="2321" spans="1:22" x14ac:dyDescent="0.25">
      <c r="A2321" s="9"/>
      <c r="E2321" s="10"/>
      <c r="K2321" s="11" t="str">
        <f>IF($E2321="","",ROUND($E2321*IF(ISNA(MATCH($C2321,'Paramètres'!$D:$D,0)),1,IF(INDEX('Paramètres'!$J:$J,MATCH($C2321,'Paramètres'!$D:$D,0))="",1,INDEX('Paramètres'!$J:$J,MATCH($C2321,'Paramètres'!$D:$D,0)))),2))</f>
        <v/>
      </c>
      <c r="L2321" s="6" t="str">
        <f>IF($D2321="","",IF($F2321&lt;&gt;"",$F2321,IF(ISNA(MATCH($D2321,'Paramètres'!$M:$M,0)),"⚠ Type inconnu",IFERROR(INDEX('Paramètres'!$P:$P,MATCH($D2321,'Paramètres'!$M:$M,0))&amp;"",""))))</f>
        <v/>
      </c>
      <c r="M2321" s="6" t="str">
        <f>IF($D2321="","",IF(ISNA(MATCH($D2321,'Paramètres'!$M:$M,0)),"⚠ Type inconnu",IF($L2321="Crédit","",IFERROR(INDEX('Paramètres'!$O:$O,MATCH($D2321,'Paramètres'!$M:$M,0))&amp;"",""))))</f>
        <v/>
      </c>
      <c r="N2321" s="6" t="str">
        <f>IF($D2321="","",IFERROR(INDEX('Paramètres'!$Q:$Q,MATCH($D2321,'Paramètres'!$M:$M,0))&amp;"",""))</f>
        <v/>
      </c>
      <c r="O2321" s="6" t="str">
        <f>IF($A2321="","",IF(OR($J2321&lt;&gt;"x",$A2321&lt;=FinReleve),1,0))</f>
        <v/>
      </c>
      <c r="P2321" s="6" t="str">
        <f>IF($D2321="","",IF(AND($L2321="Crédit",OR(IFERROR(INDEX('Paramètres'!$O:$O,MATCH($D2321,'Paramètres'!$M:$M,0))&amp;"","")&lt;&gt;"",ISNUMBER(SEARCH("remboursement",IFERROR(INDEX('Paramètres'!$N:$N,MATCH($D2321,'Paramètres'!$M:$M,0))&amp;"",""))))),1,0))</f>
        <v/>
      </c>
      <c r="Q2321" s="6" t="str">
        <f>IF($K2321="","",IF(ISNUMBER(SEARCH("transfert-interne",IFERROR(INDEX('Paramètres'!$N:$N,MATCH($D2321,'Paramètres'!$M:$M,0))&amp;"",""))),0,IF($L2321="Débit",$K2321,IF($P2321=1,-$K2321,0))))</f>
        <v/>
      </c>
      <c r="R2321" s="6" t="str">
        <f>IF($K2321="","",IF($L2321="Crédit",$K2321,-$K2321))</f>
        <v/>
      </c>
      <c r="S2321" s="6" t="str">
        <f>IF($C2321="","",IFERROR(INDEX('Paramètres'!$H:$H,MATCH($C2321,'Paramètres'!$D:$D,0))&amp;"",""))</f>
        <v/>
      </c>
      <c r="T2321" s="6" t="str">
        <f>IF($K2321="","",IF($S2321="",0,IF(ISNUMBER(SEARCH("apport-exterieur",IFERROR(INDEX('Paramètres'!$N:$N,MATCH($D2321,'Paramètres'!$M:$M,0))&amp;"",""))),0,IF(OR(IFERROR(INDEX('Paramètres'!$I:$I,MATCH($C2321,'Paramètres'!$D:$D,0))&amp;"","")="Les deux",IFERROR(INDEX('Paramètres'!$I:$I,MATCH($C2321,'Paramètres'!$D:$D,0))&amp;"","")=IF($P2321=1,"Débit",$L2321)),-IF($P2321=1,-$K2321,$K2321),0))))</f>
        <v/>
      </c>
      <c r="U2321" s="6" t="str">
        <f>IF($K2321="","",IF(ISNUMBER(SEARCH("sortie-epargne",IFERROR(INDEX('Paramètres'!$N:$N,MATCH($D2321,'Paramètres'!$M:$M,0))&amp;"",""))),$K2321,0))</f>
        <v/>
      </c>
      <c r="V2321" s="6" t="str">
        <f>IF(AND($A2321&lt;&gt;"",$O2321=1,$L2321="Débit",N($Q2321)&gt;0,$A2321&gt;=Visualisation!$B$1,$A2321&lt;Visualisation!$D$1),MAX($V$1:V2320)+1,"")</f>
        <v/>
      </c>
    </row>
    <row r="2322" spans="1:22" x14ac:dyDescent="0.25">
      <c r="A2322" s="9"/>
      <c r="E2322" s="10"/>
      <c r="K2322" s="11" t="str">
        <f>IF($E2322="","",ROUND($E2322*IF(ISNA(MATCH($C2322,'Paramètres'!$D:$D,0)),1,IF(INDEX('Paramètres'!$J:$J,MATCH($C2322,'Paramètres'!$D:$D,0))="",1,INDEX('Paramètres'!$J:$J,MATCH($C2322,'Paramètres'!$D:$D,0)))),2))</f>
        <v/>
      </c>
      <c r="L2322" s="6" t="str">
        <f>IF($D2322="","",IF($F2322&lt;&gt;"",$F2322,IF(ISNA(MATCH($D2322,'Paramètres'!$M:$M,0)),"⚠ Type inconnu",IFERROR(INDEX('Paramètres'!$P:$P,MATCH($D2322,'Paramètres'!$M:$M,0))&amp;"",""))))</f>
        <v/>
      </c>
      <c r="M2322" s="6" t="str">
        <f>IF($D2322="","",IF(ISNA(MATCH($D2322,'Paramètres'!$M:$M,0)),"⚠ Type inconnu",IF($L2322="Crédit","",IFERROR(INDEX('Paramètres'!$O:$O,MATCH($D2322,'Paramètres'!$M:$M,0))&amp;"",""))))</f>
        <v/>
      </c>
      <c r="N2322" s="6" t="str">
        <f>IF($D2322="","",IFERROR(INDEX('Paramètres'!$Q:$Q,MATCH($D2322,'Paramètres'!$M:$M,0))&amp;"",""))</f>
        <v/>
      </c>
      <c r="O2322" s="6" t="str">
        <f>IF($A2322="","",IF(OR($J2322&lt;&gt;"x",$A2322&lt;=FinReleve),1,0))</f>
        <v/>
      </c>
      <c r="P2322" s="6" t="str">
        <f>IF($D2322="","",IF(AND($L2322="Crédit",OR(IFERROR(INDEX('Paramètres'!$O:$O,MATCH($D2322,'Paramètres'!$M:$M,0))&amp;"","")&lt;&gt;"",ISNUMBER(SEARCH("remboursement",IFERROR(INDEX('Paramètres'!$N:$N,MATCH($D2322,'Paramètres'!$M:$M,0))&amp;"",""))))),1,0))</f>
        <v/>
      </c>
      <c r="Q2322" s="6" t="str">
        <f>IF($K2322="","",IF(ISNUMBER(SEARCH("transfert-interne",IFERROR(INDEX('Paramètres'!$N:$N,MATCH($D2322,'Paramètres'!$M:$M,0))&amp;"",""))),0,IF($L2322="Débit",$K2322,IF($P2322=1,-$K2322,0))))</f>
        <v/>
      </c>
      <c r="R2322" s="6" t="str">
        <f>IF($K2322="","",IF($L2322="Crédit",$K2322,-$K2322))</f>
        <v/>
      </c>
      <c r="S2322" s="6" t="str">
        <f>IF($C2322="","",IFERROR(INDEX('Paramètres'!$H:$H,MATCH($C2322,'Paramètres'!$D:$D,0))&amp;"",""))</f>
        <v/>
      </c>
      <c r="T2322" s="6" t="str">
        <f>IF($K2322="","",IF($S2322="",0,IF(ISNUMBER(SEARCH("apport-exterieur",IFERROR(INDEX('Paramètres'!$N:$N,MATCH($D2322,'Paramètres'!$M:$M,0))&amp;"",""))),0,IF(OR(IFERROR(INDEX('Paramètres'!$I:$I,MATCH($C2322,'Paramètres'!$D:$D,0))&amp;"","")="Les deux",IFERROR(INDEX('Paramètres'!$I:$I,MATCH($C2322,'Paramètres'!$D:$D,0))&amp;"","")=IF($P2322=1,"Débit",$L2322)),-IF($P2322=1,-$K2322,$K2322),0))))</f>
        <v/>
      </c>
      <c r="U2322" s="6" t="str">
        <f>IF($K2322="","",IF(ISNUMBER(SEARCH("sortie-epargne",IFERROR(INDEX('Paramètres'!$N:$N,MATCH($D2322,'Paramètres'!$M:$M,0))&amp;"",""))),$K2322,0))</f>
        <v/>
      </c>
      <c r="V2322" s="6" t="str">
        <f>IF(AND($A2322&lt;&gt;"",$O2322=1,$L2322="Débit",N($Q2322)&gt;0,$A2322&gt;=Visualisation!$B$1,$A2322&lt;Visualisation!$D$1),MAX($V$1:V2321)+1,"")</f>
        <v/>
      </c>
    </row>
    <row r="2323" spans="1:22" x14ac:dyDescent="0.25">
      <c r="A2323" s="9"/>
      <c r="E2323" s="10"/>
      <c r="K2323" s="11" t="str">
        <f>IF($E2323="","",ROUND($E2323*IF(ISNA(MATCH($C2323,'Paramètres'!$D:$D,0)),1,IF(INDEX('Paramètres'!$J:$J,MATCH($C2323,'Paramètres'!$D:$D,0))="",1,INDEX('Paramètres'!$J:$J,MATCH($C2323,'Paramètres'!$D:$D,0)))),2))</f>
        <v/>
      </c>
      <c r="L2323" s="6" t="str">
        <f>IF($D2323="","",IF($F2323&lt;&gt;"",$F2323,IF(ISNA(MATCH($D2323,'Paramètres'!$M:$M,0)),"⚠ Type inconnu",IFERROR(INDEX('Paramètres'!$P:$P,MATCH($D2323,'Paramètres'!$M:$M,0))&amp;"",""))))</f>
        <v/>
      </c>
      <c r="M2323" s="6" t="str">
        <f>IF($D2323="","",IF(ISNA(MATCH($D2323,'Paramètres'!$M:$M,0)),"⚠ Type inconnu",IF($L2323="Crédit","",IFERROR(INDEX('Paramètres'!$O:$O,MATCH($D2323,'Paramètres'!$M:$M,0))&amp;"",""))))</f>
        <v/>
      </c>
      <c r="N2323" s="6" t="str">
        <f>IF($D2323="","",IFERROR(INDEX('Paramètres'!$Q:$Q,MATCH($D2323,'Paramètres'!$M:$M,0))&amp;"",""))</f>
        <v/>
      </c>
      <c r="O2323" s="6" t="str">
        <f>IF($A2323="","",IF(OR($J2323&lt;&gt;"x",$A2323&lt;=FinReleve),1,0))</f>
        <v/>
      </c>
      <c r="P2323" s="6" t="str">
        <f>IF($D2323="","",IF(AND($L2323="Crédit",OR(IFERROR(INDEX('Paramètres'!$O:$O,MATCH($D2323,'Paramètres'!$M:$M,0))&amp;"","")&lt;&gt;"",ISNUMBER(SEARCH("remboursement",IFERROR(INDEX('Paramètres'!$N:$N,MATCH($D2323,'Paramètres'!$M:$M,0))&amp;"",""))))),1,0))</f>
        <v/>
      </c>
      <c r="Q2323" s="6" t="str">
        <f>IF($K2323="","",IF(ISNUMBER(SEARCH("transfert-interne",IFERROR(INDEX('Paramètres'!$N:$N,MATCH($D2323,'Paramètres'!$M:$M,0))&amp;"",""))),0,IF($L2323="Débit",$K2323,IF($P2323=1,-$K2323,0))))</f>
        <v/>
      </c>
      <c r="R2323" s="6" t="str">
        <f>IF($K2323="","",IF($L2323="Crédit",$K2323,-$K2323))</f>
        <v/>
      </c>
      <c r="S2323" s="6" t="str">
        <f>IF($C2323="","",IFERROR(INDEX('Paramètres'!$H:$H,MATCH($C2323,'Paramètres'!$D:$D,0))&amp;"",""))</f>
        <v/>
      </c>
      <c r="T2323" s="6" t="str">
        <f>IF($K2323="","",IF($S2323="",0,IF(ISNUMBER(SEARCH("apport-exterieur",IFERROR(INDEX('Paramètres'!$N:$N,MATCH($D2323,'Paramètres'!$M:$M,0))&amp;"",""))),0,IF(OR(IFERROR(INDEX('Paramètres'!$I:$I,MATCH($C2323,'Paramètres'!$D:$D,0))&amp;"","")="Les deux",IFERROR(INDEX('Paramètres'!$I:$I,MATCH($C2323,'Paramètres'!$D:$D,0))&amp;"","")=IF($P2323=1,"Débit",$L2323)),-IF($P2323=1,-$K2323,$K2323),0))))</f>
        <v/>
      </c>
      <c r="U2323" s="6" t="str">
        <f>IF($K2323="","",IF(ISNUMBER(SEARCH("sortie-epargne",IFERROR(INDEX('Paramètres'!$N:$N,MATCH($D2323,'Paramètres'!$M:$M,0))&amp;"",""))),$K2323,0))</f>
        <v/>
      </c>
      <c r="V2323" s="6" t="str">
        <f>IF(AND($A2323&lt;&gt;"",$O2323=1,$L2323="Débit",N($Q2323)&gt;0,$A2323&gt;=Visualisation!$B$1,$A2323&lt;Visualisation!$D$1),MAX($V$1:V2322)+1,"")</f>
        <v/>
      </c>
    </row>
    <row r="2324" spans="1:22" x14ac:dyDescent="0.25">
      <c r="A2324" s="9"/>
      <c r="E2324" s="10"/>
      <c r="K2324" s="11" t="str">
        <f>IF($E2324="","",ROUND($E2324*IF(ISNA(MATCH($C2324,'Paramètres'!$D:$D,0)),1,IF(INDEX('Paramètres'!$J:$J,MATCH($C2324,'Paramètres'!$D:$D,0))="",1,INDEX('Paramètres'!$J:$J,MATCH($C2324,'Paramètres'!$D:$D,0)))),2))</f>
        <v/>
      </c>
      <c r="L2324" s="6" t="str">
        <f>IF($D2324="","",IF($F2324&lt;&gt;"",$F2324,IF(ISNA(MATCH($D2324,'Paramètres'!$M:$M,0)),"⚠ Type inconnu",IFERROR(INDEX('Paramètres'!$P:$P,MATCH($D2324,'Paramètres'!$M:$M,0))&amp;"",""))))</f>
        <v/>
      </c>
      <c r="M2324" s="6" t="str">
        <f>IF($D2324="","",IF(ISNA(MATCH($D2324,'Paramètres'!$M:$M,0)),"⚠ Type inconnu",IF($L2324="Crédit","",IFERROR(INDEX('Paramètres'!$O:$O,MATCH($D2324,'Paramètres'!$M:$M,0))&amp;"",""))))</f>
        <v/>
      </c>
      <c r="N2324" s="6" t="str">
        <f>IF($D2324="","",IFERROR(INDEX('Paramètres'!$Q:$Q,MATCH($D2324,'Paramètres'!$M:$M,0))&amp;"",""))</f>
        <v/>
      </c>
      <c r="O2324" s="6" t="str">
        <f>IF($A2324="","",IF(OR($J2324&lt;&gt;"x",$A2324&lt;=FinReleve),1,0))</f>
        <v/>
      </c>
      <c r="P2324" s="6" t="str">
        <f>IF($D2324="","",IF(AND($L2324="Crédit",OR(IFERROR(INDEX('Paramètres'!$O:$O,MATCH($D2324,'Paramètres'!$M:$M,0))&amp;"","")&lt;&gt;"",ISNUMBER(SEARCH("remboursement",IFERROR(INDEX('Paramètres'!$N:$N,MATCH($D2324,'Paramètres'!$M:$M,0))&amp;"",""))))),1,0))</f>
        <v/>
      </c>
      <c r="Q2324" s="6" t="str">
        <f>IF($K2324="","",IF(ISNUMBER(SEARCH("transfert-interne",IFERROR(INDEX('Paramètres'!$N:$N,MATCH($D2324,'Paramètres'!$M:$M,0))&amp;"",""))),0,IF($L2324="Débit",$K2324,IF($P2324=1,-$K2324,0))))</f>
        <v/>
      </c>
      <c r="R2324" s="6" t="str">
        <f>IF($K2324="","",IF($L2324="Crédit",$K2324,-$K2324))</f>
        <v/>
      </c>
      <c r="S2324" s="6" t="str">
        <f>IF($C2324="","",IFERROR(INDEX('Paramètres'!$H:$H,MATCH($C2324,'Paramètres'!$D:$D,0))&amp;"",""))</f>
        <v/>
      </c>
      <c r="T2324" s="6" t="str">
        <f>IF($K2324="","",IF($S2324="",0,IF(ISNUMBER(SEARCH("apport-exterieur",IFERROR(INDEX('Paramètres'!$N:$N,MATCH($D2324,'Paramètres'!$M:$M,0))&amp;"",""))),0,IF(OR(IFERROR(INDEX('Paramètres'!$I:$I,MATCH($C2324,'Paramètres'!$D:$D,0))&amp;"","")="Les deux",IFERROR(INDEX('Paramètres'!$I:$I,MATCH($C2324,'Paramètres'!$D:$D,0))&amp;"","")=IF($P2324=1,"Débit",$L2324)),-IF($P2324=1,-$K2324,$K2324),0))))</f>
        <v/>
      </c>
      <c r="U2324" s="6" t="str">
        <f>IF($K2324="","",IF(ISNUMBER(SEARCH("sortie-epargne",IFERROR(INDEX('Paramètres'!$N:$N,MATCH($D2324,'Paramètres'!$M:$M,0))&amp;"",""))),$K2324,0))</f>
        <v/>
      </c>
      <c r="V2324" s="6" t="str">
        <f>IF(AND($A2324&lt;&gt;"",$O2324=1,$L2324="Débit",N($Q2324)&gt;0,$A2324&gt;=Visualisation!$B$1,$A2324&lt;Visualisation!$D$1),MAX($V$1:V2323)+1,"")</f>
        <v/>
      </c>
    </row>
    <row r="2325" spans="1:22" x14ac:dyDescent="0.25">
      <c r="A2325" s="9"/>
      <c r="E2325" s="10"/>
      <c r="K2325" s="11" t="str">
        <f>IF($E2325="","",ROUND($E2325*IF(ISNA(MATCH($C2325,'Paramètres'!$D:$D,0)),1,IF(INDEX('Paramètres'!$J:$J,MATCH($C2325,'Paramètres'!$D:$D,0))="",1,INDEX('Paramètres'!$J:$J,MATCH($C2325,'Paramètres'!$D:$D,0)))),2))</f>
        <v/>
      </c>
      <c r="L2325" s="6" t="str">
        <f>IF($D2325="","",IF($F2325&lt;&gt;"",$F2325,IF(ISNA(MATCH($D2325,'Paramètres'!$M:$M,0)),"⚠ Type inconnu",IFERROR(INDEX('Paramètres'!$P:$P,MATCH($D2325,'Paramètres'!$M:$M,0))&amp;"",""))))</f>
        <v/>
      </c>
      <c r="M2325" s="6" t="str">
        <f>IF($D2325="","",IF(ISNA(MATCH($D2325,'Paramètres'!$M:$M,0)),"⚠ Type inconnu",IF($L2325="Crédit","",IFERROR(INDEX('Paramètres'!$O:$O,MATCH($D2325,'Paramètres'!$M:$M,0))&amp;"",""))))</f>
        <v/>
      </c>
      <c r="N2325" s="6" t="str">
        <f>IF($D2325="","",IFERROR(INDEX('Paramètres'!$Q:$Q,MATCH($D2325,'Paramètres'!$M:$M,0))&amp;"",""))</f>
        <v/>
      </c>
      <c r="O2325" s="6" t="str">
        <f>IF($A2325="","",IF(OR($J2325&lt;&gt;"x",$A2325&lt;=FinReleve),1,0))</f>
        <v/>
      </c>
      <c r="P2325" s="6" t="str">
        <f>IF($D2325="","",IF(AND($L2325="Crédit",OR(IFERROR(INDEX('Paramètres'!$O:$O,MATCH($D2325,'Paramètres'!$M:$M,0))&amp;"","")&lt;&gt;"",ISNUMBER(SEARCH("remboursement",IFERROR(INDEX('Paramètres'!$N:$N,MATCH($D2325,'Paramètres'!$M:$M,0))&amp;"",""))))),1,0))</f>
        <v/>
      </c>
      <c r="Q2325" s="6" t="str">
        <f>IF($K2325="","",IF(ISNUMBER(SEARCH("transfert-interne",IFERROR(INDEX('Paramètres'!$N:$N,MATCH($D2325,'Paramètres'!$M:$M,0))&amp;"",""))),0,IF($L2325="Débit",$K2325,IF($P2325=1,-$K2325,0))))</f>
        <v/>
      </c>
      <c r="R2325" s="6" t="str">
        <f>IF($K2325="","",IF($L2325="Crédit",$K2325,-$K2325))</f>
        <v/>
      </c>
      <c r="S2325" s="6" t="str">
        <f>IF($C2325="","",IFERROR(INDEX('Paramètres'!$H:$H,MATCH($C2325,'Paramètres'!$D:$D,0))&amp;"",""))</f>
        <v/>
      </c>
      <c r="T2325" s="6" t="str">
        <f>IF($K2325="","",IF($S2325="",0,IF(ISNUMBER(SEARCH("apport-exterieur",IFERROR(INDEX('Paramètres'!$N:$N,MATCH($D2325,'Paramètres'!$M:$M,0))&amp;"",""))),0,IF(OR(IFERROR(INDEX('Paramètres'!$I:$I,MATCH($C2325,'Paramètres'!$D:$D,0))&amp;"","")="Les deux",IFERROR(INDEX('Paramètres'!$I:$I,MATCH($C2325,'Paramètres'!$D:$D,0))&amp;"","")=IF($P2325=1,"Débit",$L2325)),-IF($P2325=1,-$K2325,$K2325),0))))</f>
        <v/>
      </c>
      <c r="U2325" s="6" t="str">
        <f>IF($K2325="","",IF(ISNUMBER(SEARCH("sortie-epargne",IFERROR(INDEX('Paramètres'!$N:$N,MATCH($D2325,'Paramètres'!$M:$M,0))&amp;"",""))),$K2325,0))</f>
        <v/>
      </c>
      <c r="V2325" s="6" t="str">
        <f>IF(AND($A2325&lt;&gt;"",$O2325=1,$L2325="Débit",N($Q2325)&gt;0,$A2325&gt;=Visualisation!$B$1,$A2325&lt;Visualisation!$D$1),MAX($V$1:V2324)+1,"")</f>
        <v/>
      </c>
    </row>
    <row r="2326" spans="1:22" x14ac:dyDescent="0.25">
      <c r="A2326" s="9"/>
      <c r="E2326" s="10"/>
      <c r="K2326" s="11" t="str">
        <f>IF($E2326="","",ROUND($E2326*IF(ISNA(MATCH($C2326,'Paramètres'!$D:$D,0)),1,IF(INDEX('Paramètres'!$J:$J,MATCH($C2326,'Paramètres'!$D:$D,0))="",1,INDEX('Paramètres'!$J:$J,MATCH($C2326,'Paramètres'!$D:$D,0)))),2))</f>
        <v/>
      </c>
      <c r="L2326" s="6" t="str">
        <f>IF($D2326="","",IF($F2326&lt;&gt;"",$F2326,IF(ISNA(MATCH($D2326,'Paramètres'!$M:$M,0)),"⚠ Type inconnu",IFERROR(INDEX('Paramètres'!$P:$P,MATCH($D2326,'Paramètres'!$M:$M,0))&amp;"",""))))</f>
        <v/>
      </c>
      <c r="M2326" s="6" t="str">
        <f>IF($D2326="","",IF(ISNA(MATCH($D2326,'Paramètres'!$M:$M,0)),"⚠ Type inconnu",IF($L2326="Crédit","",IFERROR(INDEX('Paramètres'!$O:$O,MATCH($D2326,'Paramètres'!$M:$M,0))&amp;"",""))))</f>
        <v/>
      </c>
      <c r="N2326" s="6" t="str">
        <f>IF($D2326="","",IFERROR(INDEX('Paramètres'!$Q:$Q,MATCH($D2326,'Paramètres'!$M:$M,0))&amp;"",""))</f>
        <v/>
      </c>
      <c r="O2326" s="6" t="str">
        <f>IF($A2326="","",IF(OR($J2326&lt;&gt;"x",$A2326&lt;=FinReleve),1,0))</f>
        <v/>
      </c>
      <c r="P2326" s="6" t="str">
        <f>IF($D2326="","",IF(AND($L2326="Crédit",OR(IFERROR(INDEX('Paramètres'!$O:$O,MATCH($D2326,'Paramètres'!$M:$M,0))&amp;"","")&lt;&gt;"",ISNUMBER(SEARCH("remboursement",IFERROR(INDEX('Paramètres'!$N:$N,MATCH($D2326,'Paramètres'!$M:$M,0))&amp;"",""))))),1,0))</f>
        <v/>
      </c>
      <c r="Q2326" s="6" t="str">
        <f>IF($K2326="","",IF(ISNUMBER(SEARCH("transfert-interne",IFERROR(INDEX('Paramètres'!$N:$N,MATCH($D2326,'Paramètres'!$M:$M,0))&amp;"",""))),0,IF($L2326="Débit",$K2326,IF($P2326=1,-$K2326,0))))</f>
        <v/>
      </c>
      <c r="R2326" s="6" t="str">
        <f>IF($K2326="","",IF($L2326="Crédit",$K2326,-$K2326))</f>
        <v/>
      </c>
      <c r="S2326" s="6" t="str">
        <f>IF($C2326="","",IFERROR(INDEX('Paramètres'!$H:$H,MATCH($C2326,'Paramètres'!$D:$D,0))&amp;"",""))</f>
        <v/>
      </c>
      <c r="T2326" s="6" t="str">
        <f>IF($K2326="","",IF($S2326="",0,IF(ISNUMBER(SEARCH("apport-exterieur",IFERROR(INDEX('Paramètres'!$N:$N,MATCH($D2326,'Paramètres'!$M:$M,0))&amp;"",""))),0,IF(OR(IFERROR(INDEX('Paramètres'!$I:$I,MATCH($C2326,'Paramètres'!$D:$D,0))&amp;"","")="Les deux",IFERROR(INDEX('Paramètres'!$I:$I,MATCH($C2326,'Paramètres'!$D:$D,0))&amp;"","")=IF($P2326=1,"Débit",$L2326)),-IF($P2326=1,-$K2326,$K2326),0))))</f>
        <v/>
      </c>
      <c r="U2326" s="6" t="str">
        <f>IF($K2326="","",IF(ISNUMBER(SEARCH("sortie-epargne",IFERROR(INDEX('Paramètres'!$N:$N,MATCH($D2326,'Paramètres'!$M:$M,0))&amp;"",""))),$K2326,0))</f>
        <v/>
      </c>
      <c r="V2326" s="6" t="str">
        <f>IF(AND($A2326&lt;&gt;"",$O2326=1,$L2326="Débit",N($Q2326)&gt;0,$A2326&gt;=Visualisation!$B$1,$A2326&lt;Visualisation!$D$1),MAX($V$1:V2325)+1,"")</f>
        <v/>
      </c>
    </row>
    <row r="2327" spans="1:22" x14ac:dyDescent="0.25">
      <c r="A2327" s="9"/>
      <c r="E2327" s="10"/>
      <c r="K2327" s="11" t="str">
        <f>IF($E2327="","",ROUND($E2327*IF(ISNA(MATCH($C2327,'Paramètres'!$D:$D,0)),1,IF(INDEX('Paramètres'!$J:$J,MATCH($C2327,'Paramètres'!$D:$D,0))="",1,INDEX('Paramètres'!$J:$J,MATCH($C2327,'Paramètres'!$D:$D,0)))),2))</f>
        <v/>
      </c>
      <c r="L2327" s="6" t="str">
        <f>IF($D2327="","",IF($F2327&lt;&gt;"",$F2327,IF(ISNA(MATCH($D2327,'Paramètres'!$M:$M,0)),"⚠ Type inconnu",IFERROR(INDEX('Paramètres'!$P:$P,MATCH($D2327,'Paramètres'!$M:$M,0))&amp;"",""))))</f>
        <v/>
      </c>
      <c r="M2327" s="6" t="str">
        <f>IF($D2327="","",IF(ISNA(MATCH($D2327,'Paramètres'!$M:$M,0)),"⚠ Type inconnu",IF($L2327="Crédit","",IFERROR(INDEX('Paramètres'!$O:$O,MATCH($D2327,'Paramètres'!$M:$M,0))&amp;"",""))))</f>
        <v/>
      </c>
      <c r="N2327" s="6" t="str">
        <f>IF($D2327="","",IFERROR(INDEX('Paramètres'!$Q:$Q,MATCH($D2327,'Paramètres'!$M:$M,0))&amp;"",""))</f>
        <v/>
      </c>
      <c r="O2327" s="6" t="str">
        <f>IF($A2327="","",IF(OR($J2327&lt;&gt;"x",$A2327&lt;=FinReleve),1,0))</f>
        <v/>
      </c>
      <c r="P2327" s="6" t="str">
        <f>IF($D2327="","",IF(AND($L2327="Crédit",OR(IFERROR(INDEX('Paramètres'!$O:$O,MATCH($D2327,'Paramètres'!$M:$M,0))&amp;"","")&lt;&gt;"",ISNUMBER(SEARCH("remboursement",IFERROR(INDEX('Paramètres'!$N:$N,MATCH($D2327,'Paramètres'!$M:$M,0))&amp;"",""))))),1,0))</f>
        <v/>
      </c>
      <c r="Q2327" s="6" t="str">
        <f>IF($K2327="","",IF(ISNUMBER(SEARCH("transfert-interne",IFERROR(INDEX('Paramètres'!$N:$N,MATCH($D2327,'Paramètres'!$M:$M,0))&amp;"",""))),0,IF($L2327="Débit",$K2327,IF($P2327=1,-$K2327,0))))</f>
        <v/>
      </c>
      <c r="R2327" s="6" t="str">
        <f>IF($K2327="","",IF($L2327="Crédit",$K2327,-$K2327))</f>
        <v/>
      </c>
      <c r="S2327" s="6" t="str">
        <f>IF($C2327="","",IFERROR(INDEX('Paramètres'!$H:$H,MATCH($C2327,'Paramètres'!$D:$D,0))&amp;"",""))</f>
        <v/>
      </c>
      <c r="T2327" s="6" t="str">
        <f>IF($K2327="","",IF($S2327="",0,IF(ISNUMBER(SEARCH("apport-exterieur",IFERROR(INDEX('Paramètres'!$N:$N,MATCH($D2327,'Paramètres'!$M:$M,0))&amp;"",""))),0,IF(OR(IFERROR(INDEX('Paramètres'!$I:$I,MATCH($C2327,'Paramètres'!$D:$D,0))&amp;"","")="Les deux",IFERROR(INDEX('Paramètres'!$I:$I,MATCH($C2327,'Paramètres'!$D:$D,0))&amp;"","")=IF($P2327=1,"Débit",$L2327)),-IF($P2327=1,-$K2327,$K2327),0))))</f>
        <v/>
      </c>
      <c r="U2327" s="6" t="str">
        <f>IF($K2327="","",IF(ISNUMBER(SEARCH("sortie-epargne",IFERROR(INDEX('Paramètres'!$N:$N,MATCH($D2327,'Paramètres'!$M:$M,0))&amp;"",""))),$K2327,0))</f>
        <v/>
      </c>
      <c r="V2327" s="6" t="str">
        <f>IF(AND($A2327&lt;&gt;"",$O2327=1,$L2327="Débit",N($Q2327)&gt;0,$A2327&gt;=Visualisation!$B$1,$A2327&lt;Visualisation!$D$1),MAX($V$1:V2326)+1,"")</f>
        <v/>
      </c>
    </row>
    <row r="2328" spans="1:22" x14ac:dyDescent="0.25">
      <c r="A2328" s="9"/>
      <c r="E2328" s="10"/>
      <c r="K2328" s="11" t="str">
        <f>IF($E2328="","",ROUND($E2328*IF(ISNA(MATCH($C2328,'Paramètres'!$D:$D,0)),1,IF(INDEX('Paramètres'!$J:$J,MATCH($C2328,'Paramètres'!$D:$D,0))="",1,INDEX('Paramètres'!$J:$J,MATCH($C2328,'Paramètres'!$D:$D,0)))),2))</f>
        <v/>
      </c>
      <c r="L2328" s="6" t="str">
        <f>IF($D2328="","",IF($F2328&lt;&gt;"",$F2328,IF(ISNA(MATCH($D2328,'Paramètres'!$M:$M,0)),"⚠ Type inconnu",IFERROR(INDEX('Paramètres'!$P:$P,MATCH($D2328,'Paramètres'!$M:$M,0))&amp;"",""))))</f>
        <v/>
      </c>
      <c r="M2328" s="6" t="str">
        <f>IF($D2328="","",IF(ISNA(MATCH($D2328,'Paramètres'!$M:$M,0)),"⚠ Type inconnu",IF($L2328="Crédit","",IFERROR(INDEX('Paramètres'!$O:$O,MATCH($D2328,'Paramètres'!$M:$M,0))&amp;"",""))))</f>
        <v/>
      </c>
      <c r="N2328" s="6" t="str">
        <f>IF($D2328="","",IFERROR(INDEX('Paramètres'!$Q:$Q,MATCH($D2328,'Paramètres'!$M:$M,0))&amp;"",""))</f>
        <v/>
      </c>
      <c r="O2328" s="6" t="str">
        <f>IF($A2328="","",IF(OR($J2328&lt;&gt;"x",$A2328&lt;=FinReleve),1,0))</f>
        <v/>
      </c>
      <c r="P2328" s="6" t="str">
        <f>IF($D2328="","",IF(AND($L2328="Crédit",OR(IFERROR(INDEX('Paramètres'!$O:$O,MATCH($D2328,'Paramètres'!$M:$M,0))&amp;"","")&lt;&gt;"",ISNUMBER(SEARCH("remboursement",IFERROR(INDEX('Paramètres'!$N:$N,MATCH($D2328,'Paramètres'!$M:$M,0))&amp;"",""))))),1,0))</f>
        <v/>
      </c>
      <c r="Q2328" s="6" t="str">
        <f>IF($K2328="","",IF(ISNUMBER(SEARCH("transfert-interne",IFERROR(INDEX('Paramètres'!$N:$N,MATCH($D2328,'Paramètres'!$M:$M,0))&amp;"",""))),0,IF($L2328="Débit",$K2328,IF($P2328=1,-$K2328,0))))</f>
        <v/>
      </c>
      <c r="R2328" s="6" t="str">
        <f>IF($K2328="","",IF($L2328="Crédit",$K2328,-$K2328))</f>
        <v/>
      </c>
      <c r="S2328" s="6" t="str">
        <f>IF($C2328="","",IFERROR(INDEX('Paramètres'!$H:$H,MATCH($C2328,'Paramètres'!$D:$D,0))&amp;"",""))</f>
        <v/>
      </c>
      <c r="T2328" s="6" t="str">
        <f>IF($K2328="","",IF($S2328="",0,IF(ISNUMBER(SEARCH("apport-exterieur",IFERROR(INDEX('Paramètres'!$N:$N,MATCH($D2328,'Paramètres'!$M:$M,0))&amp;"",""))),0,IF(OR(IFERROR(INDEX('Paramètres'!$I:$I,MATCH($C2328,'Paramètres'!$D:$D,0))&amp;"","")="Les deux",IFERROR(INDEX('Paramètres'!$I:$I,MATCH($C2328,'Paramètres'!$D:$D,0))&amp;"","")=IF($P2328=1,"Débit",$L2328)),-IF($P2328=1,-$K2328,$K2328),0))))</f>
        <v/>
      </c>
      <c r="U2328" s="6" t="str">
        <f>IF($K2328="","",IF(ISNUMBER(SEARCH("sortie-epargne",IFERROR(INDEX('Paramètres'!$N:$N,MATCH($D2328,'Paramètres'!$M:$M,0))&amp;"",""))),$K2328,0))</f>
        <v/>
      </c>
      <c r="V2328" s="6" t="str">
        <f>IF(AND($A2328&lt;&gt;"",$O2328=1,$L2328="Débit",N($Q2328)&gt;0,$A2328&gt;=Visualisation!$B$1,$A2328&lt;Visualisation!$D$1),MAX($V$1:V2327)+1,"")</f>
        <v/>
      </c>
    </row>
    <row r="2329" spans="1:22" x14ac:dyDescent="0.25">
      <c r="A2329" s="9"/>
      <c r="E2329" s="10"/>
      <c r="K2329" s="11" t="str">
        <f>IF($E2329="","",ROUND($E2329*IF(ISNA(MATCH($C2329,'Paramètres'!$D:$D,0)),1,IF(INDEX('Paramètres'!$J:$J,MATCH($C2329,'Paramètres'!$D:$D,0))="",1,INDEX('Paramètres'!$J:$J,MATCH($C2329,'Paramètres'!$D:$D,0)))),2))</f>
        <v/>
      </c>
      <c r="L2329" s="6" t="str">
        <f>IF($D2329="","",IF($F2329&lt;&gt;"",$F2329,IF(ISNA(MATCH($D2329,'Paramètres'!$M:$M,0)),"⚠ Type inconnu",IFERROR(INDEX('Paramètres'!$P:$P,MATCH($D2329,'Paramètres'!$M:$M,0))&amp;"",""))))</f>
        <v/>
      </c>
      <c r="M2329" s="6" t="str">
        <f>IF($D2329="","",IF(ISNA(MATCH($D2329,'Paramètres'!$M:$M,0)),"⚠ Type inconnu",IF($L2329="Crédit","",IFERROR(INDEX('Paramètres'!$O:$O,MATCH($D2329,'Paramètres'!$M:$M,0))&amp;"",""))))</f>
        <v/>
      </c>
      <c r="N2329" s="6" t="str">
        <f>IF($D2329="","",IFERROR(INDEX('Paramètres'!$Q:$Q,MATCH($D2329,'Paramètres'!$M:$M,0))&amp;"",""))</f>
        <v/>
      </c>
      <c r="O2329" s="6" t="str">
        <f>IF($A2329="","",IF(OR($J2329&lt;&gt;"x",$A2329&lt;=FinReleve),1,0))</f>
        <v/>
      </c>
      <c r="P2329" s="6" t="str">
        <f>IF($D2329="","",IF(AND($L2329="Crédit",OR(IFERROR(INDEX('Paramètres'!$O:$O,MATCH($D2329,'Paramètres'!$M:$M,0))&amp;"","")&lt;&gt;"",ISNUMBER(SEARCH("remboursement",IFERROR(INDEX('Paramètres'!$N:$N,MATCH($D2329,'Paramètres'!$M:$M,0))&amp;"",""))))),1,0))</f>
        <v/>
      </c>
      <c r="Q2329" s="6" t="str">
        <f>IF($K2329="","",IF(ISNUMBER(SEARCH("transfert-interne",IFERROR(INDEX('Paramètres'!$N:$N,MATCH($D2329,'Paramètres'!$M:$M,0))&amp;"",""))),0,IF($L2329="Débit",$K2329,IF($P2329=1,-$K2329,0))))</f>
        <v/>
      </c>
      <c r="R2329" s="6" t="str">
        <f>IF($K2329="","",IF($L2329="Crédit",$K2329,-$K2329))</f>
        <v/>
      </c>
      <c r="S2329" s="6" t="str">
        <f>IF($C2329="","",IFERROR(INDEX('Paramètres'!$H:$H,MATCH($C2329,'Paramètres'!$D:$D,0))&amp;"",""))</f>
        <v/>
      </c>
      <c r="T2329" s="6" t="str">
        <f>IF($K2329="","",IF($S2329="",0,IF(ISNUMBER(SEARCH("apport-exterieur",IFERROR(INDEX('Paramètres'!$N:$N,MATCH($D2329,'Paramètres'!$M:$M,0))&amp;"",""))),0,IF(OR(IFERROR(INDEX('Paramètres'!$I:$I,MATCH($C2329,'Paramètres'!$D:$D,0))&amp;"","")="Les deux",IFERROR(INDEX('Paramètres'!$I:$I,MATCH($C2329,'Paramètres'!$D:$D,0))&amp;"","")=IF($P2329=1,"Débit",$L2329)),-IF($P2329=1,-$K2329,$K2329),0))))</f>
        <v/>
      </c>
      <c r="U2329" s="6" t="str">
        <f>IF($K2329="","",IF(ISNUMBER(SEARCH("sortie-epargne",IFERROR(INDEX('Paramètres'!$N:$N,MATCH($D2329,'Paramètres'!$M:$M,0))&amp;"",""))),$K2329,0))</f>
        <v/>
      </c>
      <c r="V2329" s="6" t="str">
        <f>IF(AND($A2329&lt;&gt;"",$O2329=1,$L2329="Débit",N($Q2329)&gt;0,$A2329&gt;=Visualisation!$B$1,$A2329&lt;Visualisation!$D$1),MAX($V$1:V2328)+1,"")</f>
        <v/>
      </c>
    </row>
    <row r="2330" spans="1:22" x14ac:dyDescent="0.25">
      <c r="A2330" s="9"/>
      <c r="E2330" s="10"/>
      <c r="K2330" s="11" t="str">
        <f>IF($E2330="","",ROUND($E2330*IF(ISNA(MATCH($C2330,'Paramètres'!$D:$D,0)),1,IF(INDEX('Paramètres'!$J:$J,MATCH($C2330,'Paramètres'!$D:$D,0))="",1,INDEX('Paramètres'!$J:$J,MATCH($C2330,'Paramètres'!$D:$D,0)))),2))</f>
        <v/>
      </c>
      <c r="L2330" s="6" t="str">
        <f>IF($D2330="","",IF($F2330&lt;&gt;"",$F2330,IF(ISNA(MATCH($D2330,'Paramètres'!$M:$M,0)),"⚠ Type inconnu",IFERROR(INDEX('Paramètres'!$P:$P,MATCH($D2330,'Paramètres'!$M:$M,0))&amp;"",""))))</f>
        <v/>
      </c>
      <c r="M2330" s="6" t="str">
        <f>IF($D2330="","",IF(ISNA(MATCH($D2330,'Paramètres'!$M:$M,0)),"⚠ Type inconnu",IF($L2330="Crédit","",IFERROR(INDEX('Paramètres'!$O:$O,MATCH($D2330,'Paramètres'!$M:$M,0))&amp;"",""))))</f>
        <v/>
      </c>
      <c r="N2330" s="6" t="str">
        <f>IF($D2330="","",IFERROR(INDEX('Paramètres'!$Q:$Q,MATCH($D2330,'Paramètres'!$M:$M,0))&amp;"",""))</f>
        <v/>
      </c>
      <c r="O2330" s="6" t="str">
        <f>IF($A2330="","",IF(OR($J2330&lt;&gt;"x",$A2330&lt;=FinReleve),1,0))</f>
        <v/>
      </c>
      <c r="P2330" s="6" t="str">
        <f>IF($D2330="","",IF(AND($L2330="Crédit",OR(IFERROR(INDEX('Paramètres'!$O:$O,MATCH($D2330,'Paramètres'!$M:$M,0))&amp;"","")&lt;&gt;"",ISNUMBER(SEARCH("remboursement",IFERROR(INDEX('Paramètres'!$N:$N,MATCH($D2330,'Paramètres'!$M:$M,0))&amp;"",""))))),1,0))</f>
        <v/>
      </c>
      <c r="Q2330" s="6" t="str">
        <f>IF($K2330="","",IF(ISNUMBER(SEARCH("transfert-interne",IFERROR(INDEX('Paramètres'!$N:$N,MATCH($D2330,'Paramètres'!$M:$M,0))&amp;"",""))),0,IF($L2330="Débit",$K2330,IF($P2330=1,-$K2330,0))))</f>
        <v/>
      </c>
      <c r="R2330" s="6" t="str">
        <f>IF($K2330="","",IF($L2330="Crédit",$K2330,-$K2330))</f>
        <v/>
      </c>
      <c r="S2330" s="6" t="str">
        <f>IF($C2330="","",IFERROR(INDEX('Paramètres'!$H:$H,MATCH($C2330,'Paramètres'!$D:$D,0))&amp;"",""))</f>
        <v/>
      </c>
      <c r="T2330" s="6" t="str">
        <f>IF($K2330="","",IF($S2330="",0,IF(ISNUMBER(SEARCH("apport-exterieur",IFERROR(INDEX('Paramètres'!$N:$N,MATCH($D2330,'Paramètres'!$M:$M,0))&amp;"",""))),0,IF(OR(IFERROR(INDEX('Paramètres'!$I:$I,MATCH($C2330,'Paramètres'!$D:$D,0))&amp;"","")="Les deux",IFERROR(INDEX('Paramètres'!$I:$I,MATCH($C2330,'Paramètres'!$D:$D,0))&amp;"","")=IF($P2330=1,"Débit",$L2330)),-IF($P2330=1,-$K2330,$K2330),0))))</f>
        <v/>
      </c>
      <c r="U2330" s="6" t="str">
        <f>IF($K2330="","",IF(ISNUMBER(SEARCH("sortie-epargne",IFERROR(INDEX('Paramètres'!$N:$N,MATCH($D2330,'Paramètres'!$M:$M,0))&amp;"",""))),$K2330,0))</f>
        <v/>
      </c>
      <c r="V2330" s="6" t="str">
        <f>IF(AND($A2330&lt;&gt;"",$O2330=1,$L2330="Débit",N($Q2330)&gt;0,$A2330&gt;=Visualisation!$B$1,$A2330&lt;Visualisation!$D$1),MAX($V$1:V2329)+1,"")</f>
        <v/>
      </c>
    </row>
    <row r="2331" spans="1:22" x14ac:dyDescent="0.25">
      <c r="A2331" s="9"/>
      <c r="E2331" s="10"/>
      <c r="K2331" s="11" t="str">
        <f>IF($E2331="","",ROUND($E2331*IF(ISNA(MATCH($C2331,'Paramètres'!$D:$D,0)),1,IF(INDEX('Paramètres'!$J:$J,MATCH($C2331,'Paramètres'!$D:$D,0))="",1,INDEX('Paramètres'!$J:$J,MATCH($C2331,'Paramètres'!$D:$D,0)))),2))</f>
        <v/>
      </c>
      <c r="L2331" s="6" t="str">
        <f>IF($D2331="","",IF($F2331&lt;&gt;"",$F2331,IF(ISNA(MATCH($D2331,'Paramètres'!$M:$M,0)),"⚠ Type inconnu",IFERROR(INDEX('Paramètres'!$P:$P,MATCH($D2331,'Paramètres'!$M:$M,0))&amp;"",""))))</f>
        <v/>
      </c>
      <c r="M2331" s="6" t="str">
        <f>IF($D2331="","",IF(ISNA(MATCH($D2331,'Paramètres'!$M:$M,0)),"⚠ Type inconnu",IF($L2331="Crédit","",IFERROR(INDEX('Paramètres'!$O:$O,MATCH($D2331,'Paramètres'!$M:$M,0))&amp;"",""))))</f>
        <v/>
      </c>
      <c r="N2331" s="6" t="str">
        <f>IF($D2331="","",IFERROR(INDEX('Paramètres'!$Q:$Q,MATCH($D2331,'Paramètres'!$M:$M,0))&amp;"",""))</f>
        <v/>
      </c>
      <c r="O2331" s="6" t="str">
        <f>IF($A2331="","",IF(OR($J2331&lt;&gt;"x",$A2331&lt;=FinReleve),1,0))</f>
        <v/>
      </c>
      <c r="P2331" s="6" t="str">
        <f>IF($D2331="","",IF(AND($L2331="Crédit",OR(IFERROR(INDEX('Paramètres'!$O:$O,MATCH($D2331,'Paramètres'!$M:$M,0))&amp;"","")&lt;&gt;"",ISNUMBER(SEARCH("remboursement",IFERROR(INDEX('Paramètres'!$N:$N,MATCH($D2331,'Paramètres'!$M:$M,0))&amp;"",""))))),1,0))</f>
        <v/>
      </c>
      <c r="Q2331" s="6" t="str">
        <f>IF($K2331="","",IF(ISNUMBER(SEARCH("transfert-interne",IFERROR(INDEX('Paramètres'!$N:$N,MATCH($D2331,'Paramètres'!$M:$M,0))&amp;"",""))),0,IF($L2331="Débit",$K2331,IF($P2331=1,-$K2331,0))))</f>
        <v/>
      </c>
      <c r="R2331" s="6" t="str">
        <f>IF($K2331="","",IF($L2331="Crédit",$K2331,-$K2331))</f>
        <v/>
      </c>
      <c r="S2331" s="6" t="str">
        <f>IF($C2331="","",IFERROR(INDEX('Paramètres'!$H:$H,MATCH($C2331,'Paramètres'!$D:$D,0))&amp;"",""))</f>
        <v/>
      </c>
      <c r="T2331" s="6" t="str">
        <f>IF($K2331="","",IF($S2331="",0,IF(ISNUMBER(SEARCH("apport-exterieur",IFERROR(INDEX('Paramètres'!$N:$N,MATCH($D2331,'Paramètres'!$M:$M,0))&amp;"",""))),0,IF(OR(IFERROR(INDEX('Paramètres'!$I:$I,MATCH($C2331,'Paramètres'!$D:$D,0))&amp;"","")="Les deux",IFERROR(INDEX('Paramètres'!$I:$I,MATCH($C2331,'Paramètres'!$D:$D,0))&amp;"","")=IF($P2331=1,"Débit",$L2331)),-IF($P2331=1,-$K2331,$K2331),0))))</f>
        <v/>
      </c>
      <c r="U2331" s="6" t="str">
        <f>IF($K2331="","",IF(ISNUMBER(SEARCH("sortie-epargne",IFERROR(INDEX('Paramètres'!$N:$N,MATCH($D2331,'Paramètres'!$M:$M,0))&amp;"",""))),$K2331,0))</f>
        <v/>
      </c>
      <c r="V2331" s="6" t="str">
        <f>IF(AND($A2331&lt;&gt;"",$O2331=1,$L2331="Débit",N($Q2331)&gt;0,$A2331&gt;=Visualisation!$B$1,$A2331&lt;Visualisation!$D$1),MAX($V$1:V2330)+1,"")</f>
        <v/>
      </c>
    </row>
    <row r="2332" spans="1:22" x14ac:dyDescent="0.25">
      <c r="A2332" s="9"/>
      <c r="E2332" s="10"/>
      <c r="K2332" s="11" t="str">
        <f>IF($E2332="","",ROUND($E2332*IF(ISNA(MATCH($C2332,'Paramètres'!$D:$D,0)),1,IF(INDEX('Paramètres'!$J:$J,MATCH($C2332,'Paramètres'!$D:$D,0))="",1,INDEX('Paramètres'!$J:$J,MATCH($C2332,'Paramètres'!$D:$D,0)))),2))</f>
        <v/>
      </c>
      <c r="L2332" s="6" t="str">
        <f>IF($D2332="","",IF($F2332&lt;&gt;"",$F2332,IF(ISNA(MATCH($D2332,'Paramètres'!$M:$M,0)),"⚠ Type inconnu",IFERROR(INDEX('Paramètres'!$P:$P,MATCH($D2332,'Paramètres'!$M:$M,0))&amp;"",""))))</f>
        <v/>
      </c>
      <c r="M2332" s="6" t="str">
        <f>IF($D2332="","",IF(ISNA(MATCH($D2332,'Paramètres'!$M:$M,0)),"⚠ Type inconnu",IF($L2332="Crédit","",IFERROR(INDEX('Paramètres'!$O:$O,MATCH($D2332,'Paramètres'!$M:$M,0))&amp;"",""))))</f>
        <v/>
      </c>
      <c r="N2332" s="6" t="str">
        <f>IF($D2332="","",IFERROR(INDEX('Paramètres'!$Q:$Q,MATCH($D2332,'Paramètres'!$M:$M,0))&amp;"",""))</f>
        <v/>
      </c>
      <c r="O2332" s="6" t="str">
        <f>IF($A2332="","",IF(OR($J2332&lt;&gt;"x",$A2332&lt;=FinReleve),1,0))</f>
        <v/>
      </c>
      <c r="P2332" s="6" t="str">
        <f>IF($D2332="","",IF(AND($L2332="Crédit",OR(IFERROR(INDEX('Paramètres'!$O:$O,MATCH($D2332,'Paramètres'!$M:$M,0))&amp;"","")&lt;&gt;"",ISNUMBER(SEARCH("remboursement",IFERROR(INDEX('Paramètres'!$N:$N,MATCH($D2332,'Paramètres'!$M:$M,0))&amp;"",""))))),1,0))</f>
        <v/>
      </c>
      <c r="Q2332" s="6" t="str">
        <f>IF($K2332="","",IF(ISNUMBER(SEARCH("transfert-interne",IFERROR(INDEX('Paramètres'!$N:$N,MATCH($D2332,'Paramètres'!$M:$M,0))&amp;"",""))),0,IF($L2332="Débit",$K2332,IF($P2332=1,-$K2332,0))))</f>
        <v/>
      </c>
      <c r="R2332" s="6" t="str">
        <f>IF($K2332="","",IF($L2332="Crédit",$K2332,-$K2332))</f>
        <v/>
      </c>
      <c r="S2332" s="6" t="str">
        <f>IF($C2332="","",IFERROR(INDEX('Paramètres'!$H:$H,MATCH($C2332,'Paramètres'!$D:$D,0))&amp;"",""))</f>
        <v/>
      </c>
      <c r="T2332" s="6" t="str">
        <f>IF($K2332="","",IF($S2332="",0,IF(ISNUMBER(SEARCH("apport-exterieur",IFERROR(INDEX('Paramètres'!$N:$N,MATCH($D2332,'Paramètres'!$M:$M,0))&amp;"",""))),0,IF(OR(IFERROR(INDEX('Paramètres'!$I:$I,MATCH($C2332,'Paramètres'!$D:$D,0))&amp;"","")="Les deux",IFERROR(INDEX('Paramètres'!$I:$I,MATCH($C2332,'Paramètres'!$D:$D,0))&amp;"","")=IF($P2332=1,"Débit",$L2332)),-IF($P2332=1,-$K2332,$K2332),0))))</f>
        <v/>
      </c>
      <c r="U2332" s="6" t="str">
        <f>IF($K2332="","",IF(ISNUMBER(SEARCH("sortie-epargne",IFERROR(INDEX('Paramètres'!$N:$N,MATCH($D2332,'Paramètres'!$M:$M,0))&amp;"",""))),$K2332,0))</f>
        <v/>
      </c>
      <c r="V2332" s="6" t="str">
        <f>IF(AND($A2332&lt;&gt;"",$O2332=1,$L2332="Débit",N($Q2332)&gt;0,$A2332&gt;=Visualisation!$B$1,$A2332&lt;Visualisation!$D$1),MAX($V$1:V2331)+1,"")</f>
        <v/>
      </c>
    </row>
    <row r="2333" spans="1:22" x14ac:dyDescent="0.25">
      <c r="A2333" s="9"/>
      <c r="E2333" s="10"/>
      <c r="K2333" s="11" t="str">
        <f>IF($E2333="","",ROUND($E2333*IF(ISNA(MATCH($C2333,'Paramètres'!$D:$D,0)),1,IF(INDEX('Paramètres'!$J:$J,MATCH($C2333,'Paramètres'!$D:$D,0))="",1,INDEX('Paramètres'!$J:$J,MATCH($C2333,'Paramètres'!$D:$D,0)))),2))</f>
        <v/>
      </c>
      <c r="L2333" s="6" t="str">
        <f>IF($D2333="","",IF($F2333&lt;&gt;"",$F2333,IF(ISNA(MATCH($D2333,'Paramètres'!$M:$M,0)),"⚠ Type inconnu",IFERROR(INDEX('Paramètres'!$P:$P,MATCH($D2333,'Paramètres'!$M:$M,0))&amp;"",""))))</f>
        <v/>
      </c>
      <c r="M2333" s="6" t="str">
        <f>IF($D2333="","",IF(ISNA(MATCH($D2333,'Paramètres'!$M:$M,0)),"⚠ Type inconnu",IF($L2333="Crédit","",IFERROR(INDEX('Paramètres'!$O:$O,MATCH($D2333,'Paramètres'!$M:$M,0))&amp;"",""))))</f>
        <v/>
      </c>
      <c r="N2333" s="6" t="str">
        <f>IF($D2333="","",IFERROR(INDEX('Paramètres'!$Q:$Q,MATCH($D2333,'Paramètres'!$M:$M,0))&amp;"",""))</f>
        <v/>
      </c>
      <c r="O2333" s="6" t="str">
        <f>IF($A2333="","",IF(OR($J2333&lt;&gt;"x",$A2333&lt;=FinReleve),1,0))</f>
        <v/>
      </c>
      <c r="P2333" s="6" t="str">
        <f>IF($D2333="","",IF(AND($L2333="Crédit",OR(IFERROR(INDEX('Paramètres'!$O:$O,MATCH($D2333,'Paramètres'!$M:$M,0))&amp;"","")&lt;&gt;"",ISNUMBER(SEARCH("remboursement",IFERROR(INDEX('Paramètres'!$N:$N,MATCH($D2333,'Paramètres'!$M:$M,0))&amp;"",""))))),1,0))</f>
        <v/>
      </c>
      <c r="Q2333" s="6" t="str">
        <f>IF($K2333="","",IF(ISNUMBER(SEARCH("transfert-interne",IFERROR(INDEX('Paramètres'!$N:$N,MATCH($D2333,'Paramètres'!$M:$M,0))&amp;"",""))),0,IF($L2333="Débit",$K2333,IF($P2333=1,-$K2333,0))))</f>
        <v/>
      </c>
      <c r="R2333" s="6" t="str">
        <f>IF($K2333="","",IF($L2333="Crédit",$K2333,-$K2333))</f>
        <v/>
      </c>
      <c r="S2333" s="6" t="str">
        <f>IF($C2333="","",IFERROR(INDEX('Paramètres'!$H:$H,MATCH($C2333,'Paramètres'!$D:$D,0))&amp;"",""))</f>
        <v/>
      </c>
      <c r="T2333" s="6" t="str">
        <f>IF($K2333="","",IF($S2333="",0,IF(ISNUMBER(SEARCH("apport-exterieur",IFERROR(INDEX('Paramètres'!$N:$N,MATCH($D2333,'Paramètres'!$M:$M,0))&amp;"",""))),0,IF(OR(IFERROR(INDEX('Paramètres'!$I:$I,MATCH($C2333,'Paramètres'!$D:$D,0))&amp;"","")="Les deux",IFERROR(INDEX('Paramètres'!$I:$I,MATCH($C2333,'Paramètres'!$D:$D,0))&amp;"","")=IF($P2333=1,"Débit",$L2333)),-IF($P2333=1,-$K2333,$K2333),0))))</f>
        <v/>
      </c>
      <c r="U2333" s="6" t="str">
        <f>IF($K2333="","",IF(ISNUMBER(SEARCH("sortie-epargne",IFERROR(INDEX('Paramètres'!$N:$N,MATCH($D2333,'Paramètres'!$M:$M,0))&amp;"",""))),$K2333,0))</f>
        <v/>
      </c>
      <c r="V2333" s="6" t="str">
        <f>IF(AND($A2333&lt;&gt;"",$O2333=1,$L2333="Débit",N($Q2333)&gt;0,$A2333&gt;=Visualisation!$B$1,$A2333&lt;Visualisation!$D$1),MAX($V$1:V2332)+1,"")</f>
        <v/>
      </c>
    </row>
    <row r="2334" spans="1:22" x14ac:dyDescent="0.25">
      <c r="A2334" s="9"/>
      <c r="E2334" s="10"/>
      <c r="K2334" s="11" t="str">
        <f>IF($E2334="","",ROUND($E2334*IF(ISNA(MATCH($C2334,'Paramètres'!$D:$D,0)),1,IF(INDEX('Paramètres'!$J:$J,MATCH($C2334,'Paramètres'!$D:$D,0))="",1,INDEX('Paramètres'!$J:$J,MATCH($C2334,'Paramètres'!$D:$D,0)))),2))</f>
        <v/>
      </c>
      <c r="L2334" s="6" t="str">
        <f>IF($D2334="","",IF($F2334&lt;&gt;"",$F2334,IF(ISNA(MATCH($D2334,'Paramètres'!$M:$M,0)),"⚠ Type inconnu",IFERROR(INDEX('Paramètres'!$P:$P,MATCH($D2334,'Paramètres'!$M:$M,0))&amp;"",""))))</f>
        <v/>
      </c>
      <c r="M2334" s="6" t="str">
        <f>IF($D2334="","",IF(ISNA(MATCH($D2334,'Paramètres'!$M:$M,0)),"⚠ Type inconnu",IF($L2334="Crédit","",IFERROR(INDEX('Paramètres'!$O:$O,MATCH($D2334,'Paramètres'!$M:$M,0))&amp;"",""))))</f>
        <v/>
      </c>
      <c r="N2334" s="6" t="str">
        <f>IF($D2334="","",IFERROR(INDEX('Paramètres'!$Q:$Q,MATCH($D2334,'Paramètres'!$M:$M,0))&amp;"",""))</f>
        <v/>
      </c>
      <c r="O2334" s="6" t="str">
        <f>IF($A2334="","",IF(OR($J2334&lt;&gt;"x",$A2334&lt;=FinReleve),1,0))</f>
        <v/>
      </c>
      <c r="P2334" s="6" t="str">
        <f>IF($D2334="","",IF(AND($L2334="Crédit",OR(IFERROR(INDEX('Paramètres'!$O:$O,MATCH($D2334,'Paramètres'!$M:$M,0))&amp;"","")&lt;&gt;"",ISNUMBER(SEARCH("remboursement",IFERROR(INDEX('Paramètres'!$N:$N,MATCH($D2334,'Paramètres'!$M:$M,0))&amp;"",""))))),1,0))</f>
        <v/>
      </c>
      <c r="Q2334" s="6" t="str">
        <f>IF($K2334="","",IF(ISNUMBER(SEARCH("transfert-interne",IFERROR(INDEX('Paramètres'!$N:$N,MATCH($D2334,'Paramètres'!$M:$M,0))&amp;"",""))),0,IF($L2334="Débit",$K2334,IF($P2334=1,-$K2334,0))))</f>
        <v/>
      </c>
      <c r="R2334" s="6" t="str">
        <f>IF($K2334="","",IF($L2334="Crédit",$K2334,-$K2334))</f>
        <v/>
      </c>
      <c r="S2334" s="6" t="str">
        <f>IF($C2334="","",IFERROR(INDEX('Paramètres'!$H:$H,MATCH($C2334,'Paramètres'!$D:$D,0))&amp;"",""))</f>
        <v/>
      </c>
      <c r="T2334" s="6" t="str">
        <f>IF($K2334="","",IF($S2334="",0,IF(ISNUMBER(SEARCH("apport-exterieur",IFERROR(INDEX('Paramètres'!$N:$N,MATCH($D2334,'Paramètres'!$M:$M,0))&amp;"",""))),0,IF(OR(IFERROR(INDEX('Paramètres'!$I:$I,MATCH($C2334,'Paramètres'!$D:$D,0))&amp;"","")="Les deux",IFERROR(INDEX('Paramètres'!$I:$I,MATCH($C2334,'Paramètres'!$D:$D,0))&amp;"","")=IF($P2334=1,"Débit",$L2334)),-IF($P2334=1,-$K2334,$K2334),0))))</f>
        <v/>
      </c>
      <c r="U2334" s="6" t="str">
        <f>IF($K2334="","",IF(ISNUMBER(SEARCH("sortie-epargne",IFERROR(INDEX('Paramètres'!$N:$N,MATCH($D2334,'Paramètres'!$M:$M,0))&amp;"",""))),$K2334,0))</f>
        <v/>
      </c>
      <c r="V2334" s="6" t="str">
        <f>IF(AND($A2334&lt;&gt;"",$O2334=1,$L2334="Débit",N($Q2334)&gt;0,$A2334&gt;=Visualisation!$B$1,$A2334&lt;Visualisation!$D$1),MAX($V$1:V2333)+1,"")</f>
        <v/>
      </c>
    </row>
    <row r="2335" spans="1:22" x14ac:dyDescent="0.25">
      <c r="A2335" s="9"/>
      <c r="E2335" s="10"/>
      <c r="K2335" s="11" t="str">
        <f>IF($E2335="","",ROUND($E2335*IF(ISNA(MATCH($C2335,'Paramètres'!$D:$D,0)),1,IF(INDEX('Paramètres'!$J:$J,MATCH($C2335,'Paramètres'!$D:$D,0))="",1,INDEX('Paramètres'!$J:$J,MATCH($C2335,'Paramètres'!$D:$D,0)))),2))</f>
        <v/>
      </c>
      <c r="L2335" s="6" t="str">
        <f>IF($D2335="","",IF($F2335&lt;&gt;"",$F2335,IF(ISNA(MATCH($D2335,'Paramètres'!$M:$M,0)),"⚠ Type inconnu",IFERROR(INDEX('Paramètres'!$P:$P,MATCH($D2335,'Paramètres'!$M:$M,0))&amp;"",""))))</f>
        <v/>
      </c>
      <c r="M2335" s="6" t="str">
        <f>IF($D2335="","",IF(ISNA(MATCH($D2335,'Paramètres'!$M:$M,0)),"⚠ Type inconnu",IF($L2335="Crédit","",IFERROR(INDEX('Paramètres'!$O:$O,MATCH($D2335,'Paramètres'!$M:$M,0))&amp;"",""))))</f>
        <v/>
      </c>
      <c r="N2335" s="6" t="str">
        <f>IF($D2335="","",IFERROR(INDEX('Paramètres'!$Q:$Q,MATCH($D2335,'Paramètres'!$M:$M,0))&amp;"",""))</f>
        <v/>
      </c>
      <c r="O2335" s="6" t="str">
        <f>IF($A2335="","",IF(OR($J2335&lt;&gt;"x",$A2335&lt;=FinReleve),1,0))</f>
        <v/>
      </c>
      <c r="P2335" s="6" t="str">
        <f>IF($D2335="","",IF(AND($L2335="Crédit",OR(IFERROR(INDEX('Paramètres'!$O:$O,MATCH($D2335,'Paramètres'!$M:$M,0))&amp;"","")&lt;&gt;"",ISNUMBER(SEARCH("remboursement",IFERROR(INDEX('Paramètres'!$N:$N,MATCH($D2335,'Paramètres'!$M:$M,0))&amp;"",""))))),1,0))</f>
        <v/>
      </c>
      <c r="Q2335" s="6" t="str">
        <f>IF($K2335="","",IF(ISNUMBER(SEARCH("transfert-interne",IFERROR(INDEX('Paramètres'!$N:$N,MATCH($D2335,'Paramètres'!$M:$M,0))&amp;"",""))),0,IF($L2335="Débit",$K2335,IF($P2335=1,-$K2335,0))))</f>
        <v/>
      </c>
      <c r="R2335" s="6" t="str">
        <f>IF($K2335="","",IF($L2335="Crédit",$K2335,-$K2335))</f>
        <v/>
      </c>
      <c r="S2335" s="6" t="str">
        <f>IF($C2335="","",IFERROR(INDEX('Paramètres'!$H:$H,MATCH($C2335,'Paramètres'!$D:$D,0))&amp;"",""))</f>
        <v/>
      </c>
      <c r="T2335" s="6" t="str">
        <f>IF($K2335="","",IF($S2335="",0,IF(ISNUMBER(SEARCH("apport-exterieur",IFERROR(INDEX('Paramètres'!$N:$N,MATCH($D2335,'Paramètres'!$M:$M,0))&amp;"",""))),0,IF(OR(IFERROR(INDEX('Paramètres'!$I:$I,MATCH($C2335,'Paramètres'!$D:$D,0))&amp;"","")="Les deux",IFERROR(INDEX('Paramètres'!$I:$I,MATCH($C2335,'Paramètres'!$D:$D,0))&amp;"","")=IF($P2335=1,"Débit",$L2335)),-IF($P2335=1,-$K2335,$K2335),0))))</f>
        <v/>
      </c>
      <c r="U2335" s="6" t="str">
        <f>IF($K2335="","",IF(ISNUMBER(SEARCH("sortie-epargne",IFERROR(INDEX('Paramètres'!$N:$N,MATCH($D2335,'Paramètres'!$M:$M,0))&amp;"",""))),$K2335,0))</f>
        <v/>
      </c>
      <c r="V2335" s="6" t="str">
        <f>IF(AND($A2335&lt;&gt;"",$O2335=1,$L2335="Débit",N($Q2335)&gt;0,$A2335&gt;=Visualisation!$B$1,$A2335&lt;Visualisation!$D$1),MAX($V$1:V2334)+1,"")</f>
        <v/>
      </c>
    </row>
    <row r="2336" spans="1:22" x14ac:dyDescent="0.25">
      <c r="A2336" s="9"/>
      <c r="E2336" s="10"/>
      <c r="K2336" s="11" t="str">
        <f>IF($E2336="","",ROUND($E2336*IF(ISNA(MATCH($C2336,'Paramètres'!$D:$D,0)),1,IF(INDEX('Paramètres'!$J:$J,MATCH($C2336,'Paramètres'!$D:$D,0))="",1,INDEX('Paramètres'!$J:$J,MATCH($C2336,'Paramètres'!$D:$D,0)))),2))</f>
        <v/>
      </c>
      <c r="L2336" s="6" t="str">
        <f>IF($D2336="","",IF($F2336&lt;&gt;"",$F2336,IF(ISNA(MATCH($D2336,'Paramètres'!$M:$M,0)),"⚠ Type inconnu",IFERROR(INDEX('Paramètres'!$P:$P,MATCH($D2336,'Paramètres'!$M:$M,0))&amp;"",""))))</f>
        <v/>
      </c>
      <c r="M2336" s="6" t="str">
        <f>IF($D2336="","",IF(ISNA(MATCH($D2336,'Paramètres'!$M:$M,0)),"⚠ Type inconnu",IF($L2336="Crédit","",IFERROR(INDEX('Paramètres'!$O:$O,MATCH($D2336,'Paramètres'!$M:$M,0))&amp;"",""))))</f>
        <v/>
      </c>
      <c r="N2336" s="6" t="str">
        <f>IF($D2336="","",IFERROR(INDEX('Paramètres'!$Q:$Q,MATCH($D2336,'Paramètres'!$M:$M,0))&amp;"",""))</f>
        <v/>
      </c>
      <c r="O2336" s="6" t="str">
        <f>IF($A2336="","",IF(OR($J2336&lt;&gt;"x",$A2336&lt;=FinReleve),1,0))</f>
        <v/>
      </c>
      <c r="P2336" s="6" t="str">
        <f>IF($D2336="","",IF(AND($L2336="Crédit",OR(IFERROR(INDEX('Paramètres'!$O:$O,MATCH($D2336,'Paramètres'!$M:$M,0))&amp;"","")&lt;&gt;"",ISNUMBER(SEARCH("remboursement",IFERROR(INDEX('Paramètres'!$N:$N,MATCH($D2336,'Paramètres'!$M:$M,0))&amp;"",""))))),1,0))</f>
        <v/>
      </c>
      <c r="Q2336" s="6" t="str">
        <f>IF($K2336="","",IF(ISNUMBER(SEARCH("transfert-interne",IFERROR(INDEX('Paramètres'!$N:$N,MATCH($D2336,'Paramètres'!$M:$M,0))&amp;"",""))),0,IF($L2336="Débit",$K2336,IF($P2336=1,-$K2336,0))))</f>
        <v/>
      </c>
      <c r="R2336" s="6" t="str">
        <f>IF($K2336="","",IF($L2336="Crédit",$K2336,-$K2336))</f>
        <v/>
      </c>
      <c r="S2336" s="6" t="str">
        <f>IF($C2336="","",IFERROR(INDEX('Paramètres'!$H:$H,MATCH($C2336,'Paramètres'!$D:$D,0))&amp;"",""))</f>
        <v/>
      </c>
      <c r="T2336" s="6" t="str">
        <f>IF($K2336="","",IF($S2336="",0,IF(ISNUMBER(SEARCH("apport-exterieur",IFERROR(INDEX('Paramètres'!$N:$N,MATCH($D2336,'Paramètres'!$M:$M,0))&amp;"",""))),0,IF(OR(IFERROR(INDEX('Paramètres'!$I:$I,MATCH($C2336,'Paramètres'!$D:$D,0))&amp;"","")="Les deux",IFERROR(INDEX('Paramètres'!$I:$I,MATCH($C2336,'Paramètres'!$D:$D,0))&amp;"","")=IF($P2336=1,"Débit",$L2336)),-IF($P2336=1,-$K2336,$K2336),0))))</f>
        <v/>
      </c>
      <c r="U2336" s="6" t="str">
        <f>IF($K2336="","",IF(ISNUMBER(SEARCH("sortie-epargne",IFERROR(INDEX('Paramètres'!$N:$N,MATCH($D2336,'Paramètres'!$M:$M,0))&amp;"",""))),$K2336,0))</f>
        <v/>
      </c>
      <c r="V2336" s="6" t="str">
        <f>IF(AND($A2336&lt;&gt;"",$O2336=1,$L2336="Débit",N($Q2336)&gt;0,$A2336&gt;=Visualisation!$B$1,$A2336&lt;Visualisation!$D$1),MAX($V$1:V2335)+1,"")</f>
        <v/>
      </c>
    </row>
    <row r="2337" spans="1:22" x14ac:dyDescent="0.25">
      <c r="A2337" s="9"/>
      <c r="E2337" s="10"/>
      <c r="K2337" s="11" t="str">
        <f>IF($E2337="","",ROUND($E2337*IF(ISNA(MATCH($C2337,'Paramètres'!$D:$D,0)),1,IF(INDEX('Paramètres'!$J:$J,MATCH($C2337,'Paramètres'!$D:$D,0))="",1,INDEX('Paramètres'!$J:$J,MATCH($C2337,'Paramètres'!$D:$D,0)))),2))</f>
        <v/>
      </c>
      <c r="L2337" s="6" t="str">
        <f>IF($D2337="","",IF($F2337&lt;&gt;"",$F2337,IF(ISNA(MATCH($D2337,'Paramètres'!$M:$M,0)),"⚠ Type inconnu",IFERROR(INDEX('Paramètres'!$P:$P,MATCH($D2337,'Paramètres'!$M:$M,0))&amp;"",""))))</f>
        <v/>
      </c>
      <c r="M2337" s="6" t="str">
        <f>IF($D2337="","",IF(ISNA(MATCH($D2337,'Paramètres'!$M:$M,0)),"⚠ Type inconnu",IF($L2337="Crédit","",IFERROR(INDEX('Paramètres'!$O:$O,MATCH($D2337,'Paramètres'!$M:$M,0))&amp;"",""))))</f>
        <v/>
      </c>
      <c r="N2337" s="6" t="str">
        <f>IF($D2337="","",IFERROR(INDEX('Paramètres'!$Q:$Q,MATCH($D2337,'Paramètres'!$M:$M,0))&amp;"",""))</f>
        <v/>
      </c>
      <c r="O2337" s="6" t="str">
        <f>IF($A2337="","",IF(OR($J2337&lt;&gt;"x",$A2337&lt;=FinReleve),1,0))</f>
        <v/>
      </c>
      <c r="P2337" s="6" t="str">
        <f>IF($D2337="","",IF(AND($L2337="Crédit",OR(IFERROR(INDEX('Paramètres'!$O:$O,MATCH($D2337,'Paramètres'!$M:$M,0))&amp;"","")&lt;&gt;"",ISNUMBER(SEARCH("remboursement",IFERROR(INDEX('Paramètres'!$N:$N,MATCH($D2337,'Paramètres'!$M:$M,0))&amp;"",""))))),1,0))</f>
        <v/>
      </c>
      <c r="Q2337" s="6" t="str">
        <f>IF($K2337="","",IF(ISNUMBER(SEARCH("transfert-interne",IFERROR(INDEX('Paramètres'!$N:$N,MATCH($D2337,'Paramètres'!$M:$M,0))&amp;"",""))),0,IF($L2337="Débit",$K2337,IF($P2337=1,-$K2337,0))))</f>
        <v/>
      </c>
      <c r="R2337" s="6" t="str">
        <f>IF($K2337="","",IF($L2337="Crédit",$K2337,-$K2337))</f>
        <v/>
      </c>
      <c r="S2337" s="6" t="str">
        <f>IF($C2337="","",IFERROR(INDEX('Paramètres'!$H:$H,MATCH($C2337,'Paramètres'!$D:$D,0))&amp;"",""))</f>
        <v/>
      </c>
      <c r="T2337" s="6" t="str">
        <f>IF($K2337="","",IF($S2337="",0,IF(ISNUMBER(SEARCH("apport-exterieur",IFERROR(INDEX('Paramètres'!$N:$N,MATCH($D2337,'Paramètres'!$M:$M,0))&amp;"",""))),0,IF(OR(IFERROR(INDEX('Paramètres'!$I:$I,MATCH($C2337,'Paramètres'!$D:$D,0))&amp;"","")="Les deux",IFERROR(INDEX('Paramètres'!$I:$I,MATCH($C2337,'Paramètres'!$D:$D,0))&amp;"","")=IF($P2337=1,"Débit",$L2337)),-IF($P2337=1,-$K2337,$K2337),0))))</f>
        <v/>
      </c>
      <c r="U2337" s="6" t="str">
        <f>IF($K2337="","",IF(ISNUMBER(SEARCH("sortie-epargne",IFERROR(INDEX('Paramètres'!$N:$N,MATCH($D2337,'Paramètres'!$M:$M,0))&amp;"",""))),$K2337,0))</f>
        <v/>
      </c>
      <c r="V2337" s="6" t="str">
        <f>IF(AND($A2337&lt;&gt;"",$O2337=1,$L2337="Débit",N($Q2337)&gt;0,$A2337&gt;=Visualisation!$B$1,$A2337&lt;Visualisation!$D$1),MAX($V$1:V2336)+1,"")</f>
        <v/>
      </c>
    </row>
    <row r="2338" spans="1:22" x14ac:dyDescent="0.25">
      <c r="A2338" s="9"/>
      <c r="E2338" s="10"/>
      <c r="K2338" s="11" t="str">
        <f>IF($E2338="","",ROUND($E2338*IF(ISNA(MATCH($C2338,'Paramètres'!$D:$D,0)),1,IF(INDEX('Paramètres'!$J:$J,MATCH($C2338,'Paramètres'!$D:$D,0))="",1,INDEX('Paramètres'!$J:$J,MATCH($C2338,'Paramètres'!$D:$D,0)))),2))</f>
        <v/>
      </c>
      <c r="L2338" s="6" t="str">
        <f>IF($D2338="","",IF($F2338&lt;&gt;"",$F2338,IF(ISNA(MATCH($D2338,'Paramètres'!$M:$M,0)),"⚠ Type inconnu",IFERROR(INDEX('Paramètres'!$P:$P,MATCH($D2338,'Paramètres'!$M:$M,0))&amp;"",""))))</f>
        <v/>
      </c>
      <c r="M2338" s="6" t="str">
        <f>IF($D2338="","",IF(ISNA(MATCH($D2338,'Paramètres'!$M:$M,0)),"⚠ Type inconnu",IF($L2338="Crédit","",IFERROR(INDEX('Paramètres'!$O:$O,MATCH($D2338,'Paramètres'!$M:$M,0))&amp;"",""))))</f>
        <v/>
      </c>
      <c r="N2338" s="6" t="str">
        <f>IF($D2338="","",IFERROR(INDEX('Paramètres'!$Q:$Q,MATCH($D2338,'Paramètres'!$M:$M,0))&amp;"",""))</f>
        <v/>
      </c>
      <c r="O2338" s="6" t="str">
        <f>IF($A2338="","",IF(OR($J2338&lt;&gt;"x",$A2338&lt;=FinReleve),1,0))</f>
        <v/>
      </c>
      <c r="P2338" s="6" t="str">
        <f>IF($D2338="","",IF(AND($L2338="Crédit",OR(IFERROR(INDEX('Paramètres'!$O:$O,MATCH($D2338,'Paramètres'!$M:$M,0))&amp;"","")&lt;&gt;"",ISNUMBER(SEARCH("remboursement",IFERROR(INDEX('Paramètres'!$N:$N,MATCH($D2338,'Paramètres'!$M:$M,0))&amp;"",""))))),1,0))</f>
        <v/>
      </c>
      <c r="Q2338" s="6" t="str">
        <f>IF($K2338="","",IF(ISNUMBER(SEARCH("transfert-interne",IFERROR(INDEX('Paramètres'!$N:$N,MATCH($D2338,'Paramètres'!$M:$M,0))&amp;"",""))),0,IF($L2338="Débit",$K2338,IF($P2338=1,-$K2338,0))))</f>
        <v/>
      </c>
      <c r="R2338" s="6" t="str">
        <f>IF($K2338="","",IF($L2338="Crédit",$K2338,-$K2338))</f>
        <v/>
      </c>
      <c r="S2338" s="6" t="str">
        <f>IF($C2338="","",IFERROR(INDEX('Paramètres'!$H:$H,MATCH($C2338,'Paramètres'!$D:$D,0))&amp;"",""))</f>
        <v/>
      </c>
      <c r="T2338" s="6" t="str">
        <f>IF($K2338="","",IF($S2338="",0,IF(ISNUMBER(SEARCH("apport-exterieur",IFERROR(INDEX('Paramètres'!$N:$N,MATCH($D2338,'Paramètres'!$M:$M,0))&amp;"",""))),0,IF(OR(IFERROR(INDEX('Paramètres'!$I:$I,MATCH($C2338,'Paramètres'!$D:$D,0))&amp;"","")="Les deux",IFERROR(INDEX('Paramètres'!$I:$I,MATCH($C2338,'Paramètres'!$D:$D,0))&amp;"","")=IF($P2338=1,"Débit",$L2338)),-IF($P2338=1,-$K2338,$K2338),0))))</f>
        <v/>
      </c>
      <c r="U2338" s="6" t="str">
        <f>IF($K2338="","",IF(ISNUMBER(SEARCH("sortie-epargne",IFERROR(INDEX('Paramètres'!$N:$N,MATCH($D2338,'Paramètres'!$M:$M,0))&amp;"",""))),$K2338,0))</f>
        <v/>
      </c>
      <c r="V2338" s="6" t="str">
        <f>IF(AND($A2338&lt;&gt;"",$O2338=1,$L2338="Débit",N($Q2338)&gt;0,$A2338&gt;=Visualisation!$B$1,$A2338&lt;Visualisation!$D$1),MAX($V$1:V2337)+1,"")</f>
        <v/>
      </c>
    </row>
    <row r="2339" spans="1:22" x14ac:dyDescent="0.25">
      <c r="A2339" s="9"/>
      <c r="E2339" s="10"/>
      <c r="K2339" s="11" t="str">
        <f>IF($E2339="","",ROUND($E2339*IF(ISNA(MATCH($C2339,'Paramètres'!$D:$D,0)),1,IF(INDEX('Paramètres'!$J:$J,MATCH($C2339,'Paramètres'!$D:$D,0))="",1,INDEX('Paramètres'!$J:$J,MATCH($C2339,'Paramètres'!$D:$D,0)))),2))</f>
        <v/>
      </c>
      <c r="L2339" s="6" t="str">
        <f>IF($D2339="","",IF($F2339&lt;&gt;"",$F2339,IF(ISNA(MATCH($D2339,'Paramètres'!$M:$M,0)),"⚠ Type inconnu",IFERROR(INDEX('Paramètres'!$P:$P,MATCH($D2339,'Paramètres'!$M:$M,0))&amp;"",""))))</f>
        <v/>
      </c>
      <c r="M2339" s="6" t="str">
        <f>IF($D2339="","",IF(ISNA(MATCH($D2339,'Paramètres'!$M:$M,0)),"⚠ Type inconnu",IF($L2339="Crédit","",IFERROR(INDEX('Paramètres'!$O:$O,MATCH($D2339,'Paramètres'!$M:$M,0))&amp;"",""))))</f>
        <v/>
      </c>
      <c r="N2339" s="6" t="str">
        <f>IF($D2339="","",IFERROR(INDEX('Paramètres'!$Q:$Q,MATCH($D2339,'Paramètres'!$M:$M,0))&amp;"",""))</f>
        <v/>
      </c>
      <c r="O2339" s="6" t="str">
        <f>IF($A2339="","",IF(OR($J2339&lt;&gt;"x",$A2339&lt;=FinReleve),1,0))</f>
        <v/>
      </c>
      <c r="P2339" s="6" t="str">
        <f>IF($D2339="","",IF(AND($L2339="Crédit",OR(IFERROR(INDEX('Paramètres'!$O:$O,MATCH($D2339,'Paramètres'!$M:$M,0))&amp;"","")&lt;&gt;"",ISNUMBER(SEARCH("remboursement",IFERROR(INDEX('Paramètres'!$N:$N,MATCH($D2339,'Paramètres'!$M:$M,0))&amp;"",""))))),1,0))</f>
        <v/>
      </c>
      <c r="Q2339" s="6" t="str">
        <f>IF($K2339="","",IF(ISNUMBER(SEARCH("transfert-interne",IFERROR(INDEX('Paramètres'!$N:$N,MATCH($D2339,'Paramètres'!$M:$M,0))&amp;"",""))),0,IF($L2339="Débit",$K2339,IF($P2339=1,-$K2339,0))))</f>
        <v/>
      </c>
      <c r="R2339" s="6" t="str">
        <f>IF($K2339="","",IF($L2339="Crédit",$K2339,-$K2339))</f>
        <v/>
      </c>
      <c r="S2339" s="6" t="str">
        <f>IF($C2339="","",IFERROR(INDEX('Paramètres'!$H:$H,MATCH($C2339,'Paramètres'!$D:$D,0))&amp;"",""))</f>
        <v/>
      </c>
      <c r="T2339" s="6" t="str">
        <f>IF($K2339="","",IF($S2339="",0,IF(ISNUMBER(SEARCH("apport-exterieur",IFERROR(INDEX('Paramètres'!$N:$N,MATCH($D2339,'Paramètres'!$M:$M,0))&amp;"",""))),0,IF(OR(IFERROR(INDEX('Paramètres'!$I:$I,MATCH($C2339,'Paramètres'!$D:$D,0))&amp;"","")="Les deux",IFERROR(INDEX('Paramètres'!$I:$I,MATCH($C2339,'Paramètres'!$D:$D,0))&amp;"","")=IF($P2339=1,"Débit",$L2339)),-IF($P2339=1,-$K2339,$K2339),0))))</f>
        <v/>
      </c>
      <c r="U2339" s="6" t="str">
        <f>IF($K2339="","",IF(ISNUMBER(SEARCH("sortie-epargne",IFERROR(INDEX('Paramètres'!$N:$N,MATCH($D2339,'Paramètres'!$M:$M,0))&amp;"",""))),$K2339,0))</f>
        <v/>
      </c>
      <c r="V2339" s="6" t="str">
        <f>IF(AND($A2339&lt;&gt;"",$O2339=1,$L2339="Débit",N($Q2339)&gt;0,$A2339&gt;=Visualisation!$B$1,$A2339&lt;Visualisation!$D$1),MAX($V$1:V2338)+1,"")</f>
        <v/>
      </c>
    </row>
    <row r="2340" spans="1:22" x14ac:dyDescent="0.25">
      <c r="A2340" s="9"/>
      <c r="E2340" s="10"/>
      <c r="K2340" s="11" t="str">
        <f>IF($E2340="","",ROUND($E2340*IF(ISNA(MATCH($C2340,'Paramètres'!$D:$D,0)),1,IF(INDEX('Paramètres'!$J:$J,MATCH($C2340,'Paramètres'!$D:$D,0))="",1,INDEX('Paramètres'!$J:$J,MATCH($C2340,'Paramètres'!$D:$D,0)))),2))</f>
        <v/>
      </c>
      <c r="L2340" s="6" t="str">
        <f>IF($D2340="","",IF($F2340&lt;&gt;"",$F2340,IF(ISNA(MATCH($D2340,'Paramètres'!$M:$M,0)),"⚠ Type inconnu",IFERROR(INDEX('Paramètres'!$P:$P,MATCH($D2340,'Paramètres'!$M:$M,0))&amp;"",""))))</f>
        <v/>
      </c>
      <c r="M2340" s="6" t="str">
        <f>IF($D2340="","",IF(ISNA(MATCH($D2340,'Paramètres'!$M:$M,0)),"⚠ Type inconnu",IF($L2340="Crédit","",IFERROR(INDEX('Paramètres'!$O:$O,MATCH($D2340,'Paramètres'!$M:$M,0))&amp;"",""))))</f>
        <v/>
      </c>
      <c r="N2340" s="6" t="str">
        <f>IF($D2340="","",IFERROR(INDEX('Paramètres'!$Q:$Q,MATCH($D2340,'Paramètres'!$M:$M,0))&amp;"",""))</f>
        <v/>
      </c>
      <c r="O2340" s="6" t="str">
        <f>IF($A2340="","",IF(OR($J2340&lt;&gt;"x",$A2340&lt;=FinReleve),1,0))</f>
        <v/>
      </c>
      <c r="P2340" s="6" t="str">
        <f>IF($D2340="","",IF(AND($L2340="Crédit",OR(IFERROR(INDEX('Paramètres'!$O:$O,MATCH($D2340,'Paramètres'!$M:$M,0))&amp;"","")&lt;&gt;"",ISNUMBER(SEARCH("remboursement",IFERROR(INDEX('Paramètres'!$N:$N,MATCH($D2340,'Paramètres'!$M:$M,0))&amp;"",""))))),1,0))</f>
        <v/>
      </c>
      <c r="Q2340" s="6" t="str">
        <f>IF($K2340="","",IF(ISNUMBER(SEARCH("transfert-interne",IFERROR(INDEX('Paramètres'!$N:$N,MATCH($D2340,'Paramètres'!$M:$M,0))&amp;"",""))),0,IF($L2340="Débit",$K2340,IF($P2340=1,-$K2340,0))))</f>
        <v/>
      </c>
      <c r="R2340" s="6" t="str">
        <f>IF($K2340="","",IF($L2340="Crédit",$K2340,-$K2340))</f>
        <v/>
      </c>
      <c r="S2340" s="6" t="str">
        <f>IF($C2340="","",IFERROR(INDEX('Paramètres'!$H:$H,MATCH($C2340,'Paramètres'!$D:$D,0))&amp;"",""))</f>
        <v/>
      </c>
      <c r="T2340" s="6" t="str">
        <f>IF($K2340="","",IF($S2340="",0,IF(ISNUMBER(SEARCH("apport-exterieur",IFERROR(INDEX('Paramètres'!$N:$N,MATCH($D2340,'Paramètres'!$M:$M,0))&amp;"",""))),0,IF(OR(IFERROR(INDEX('Paramètres'!$I:$I,MATCH($C2340,'Paramètres'!$D:$D,0))&amp;"","")="Les deux",IFERROR(INDEX('Paramètres'!$I:$I,MATCH($C2340,'Paramètres'!$D:$D,0))&amp;"","")=IF($P2340=1,"Débit",$L2340)),-IF($P2340=1,-$K2340,$K2340),0))))</f>
        <v/>
      </c>
      <c r="U2340" s="6" t="str">
        <f>IF($K2340="","",IF(ISNUMBER(SEARCH("sortie-epargne",IFERROR(INDEX('Paramètres'!$N:$N,MATCH($D2340,'Paramètres'!$M:$M,0))&amp;"",""))),$K2340,0))</f>
        <v/>
      </c>
      <c r="V2340" s="6" t="str">
        <f>IF(AND($A2340&lt;&gt;"",$O2340=1,$L2340="Débit",N($Q2340)&gt;0,$A2340&gt;=Visualisation!$B$1,$A2340&lt;Visualisation!$D$1),MAX($V$1:V2339)+1,"")</f>
        <v/>
      </c>
    </row>
    <row r="2341" spans="1:22" x14ac:dyDescent="0.25">
      <c r="A2341" s="9"/>
      <c r="E2341" s="10"/>
      <c r="K2341" s="11" t="str">
        <f>IF($E2341="","",ROUND($E2341*IF(ISNA(MATCH($C2341,'Paramètres'!$D:$D,0)),1,IF(INDEX('Paramètres'!$J:$J,MATCH($C2341,'Paramètres'!$D:$D,0))="",1,INDEX('Paramètres'!$J:$J,MATCH($C2341,'Paramètres'!$D:$D,0)))),2))</f>
        <v/>
      </c>
      <c r="L2341" s="6" t="str">
        <f>IF($D2341="","",IF($F2341&lt;&gt;"",$F2341,IF(ISNA(MATCH($D2341,'Paramètres'!$M:$M,0)),"⚠ Type inconnu",IFERROR(INDEX('Paramètres'!$P:$P,MATCH($D2341,'Paramètres'!$M:$M,0))&amp;"",""))))</f>
        <v/>
      </c>
      <c r="M2341" s="6" t="str">
        <f>IF($D2341="","",IF(ISNA(MATCH($D2341,'Paramètres'!$M:$M,0)),"⚠ Type inconnu",IF($L2341="Crédit","",IFERROR(INDEX('Paramètres'!$O:$O,MATCH($D2341,'Paramètres'!$M:$M,0))&amp;"",""))))</f>
        <v/>
      </c>
      <c r="N2341" s="6" t="str">
        <f>IF($D2341="","",IFERROR(INDEX('Paramètres'!$Q:$Q,MATCH($D2341,'Paramètres'!$M:$M,0))&amp;"",""))</f>
        <v/>
      </c>
      <c r="O2341" s="6" t="str">
        <f>IF($A2341="","",IF(OR($J2341&lt;&gt;"x",$A2341&lt;=FinReleve),1,0))</f>
        <v/>
      </c>
      <c r="P2341" s="6" t="str">
        <f>IF($D2341="","",IF(AND($L2341="Crédit",OR(IFERROR(INDEX('Paramètres'!$O:$O,MATCH($D2341,'Paramètres'!$M:$M,0))&amp;"","")&lt;&gt;"",ISNUMBER(SEARCH("remboursement",IFERROR(INDEX('Paramètres'!$N:$N,MATCH($D2341,'Paramètres'!$M:$M,0))&amp;"",""))))),1,0))</f>
        <v/>
      </c>
      <c r="Q2341" s="6" t="str">
        <f>IF($K2341="","",IF(ISNUMBER(SEARCH("transfert-interne",IFERROR(INDEX('Paramètres'!$N:$N,MATCH($D2341,'Paramètres'!$M:$M,0))&amp;"",""))),0,IF($L2341="Débit",$K2341,IF($P2341=1,-$K2341,0))))</f>
        <v/>
      </c>
      <c r="R2341" s="6" t="str">
        <f>IF($K2341="","",IF($L2341="Crédit",$K2341,-$K2341))</f>
        <v/>
      </c>
      <c r="S2341" s="6" t="str">
        <f>IF($C2341="","",IFERROR(INDEX('Paramètres'!$H:$H,MATCH($C2341,'Paramètres'!$D:$D,0))&amp;"",""))</f>
        <v/>
      </c>
      <c r="T2341" s="6" t="str">
        <f>IF($K2341="","",IF($S2341="",0,IF(ISNUMBER(SEARCH("apport-exterieur",IFERROR(INDEX('Paramètres'!$N:$N,MATCH($D2341,'Paramètres'!$M:$M,0))&amp;"",""))),0,IF(OR(IFERROR(INDEX('Paramètres'!$I:$I,MATCH($C2341,'Paramètres'!$D:$D,0))&amp;"","")="Les deux",IFERROR(INDEX('Paramètres'!$I:$I,MATCH($C2341,'Paramètres'!$D:$D,0))&amp;"","")=IF($P2341=1,"Débit",$L2341)),-IF($P2341=1,-$K2341,$K2341),0))))</f>
        <v/>
      </c>
      <c r="U2341" s="6" t="str">
        <f>IF($K2341="","",IF(ISNUMBER(SEARCH("sortie-epargne",IFERROR(INDEX('Paramètres'!$N:$N,MATCH($D2341,'Paramètres'!$M:$M,0))&amp;"",""))),$K2341,0))</f>
        <v/>
      </c>
      <c r="V2341" s="6" t="str">
        <f>IF(AND($A2341&lt;&gt;"",$O2341=1,$L2341="Débit",N($Q2341)&gt;0,$A2341&gt;=Visualisation!$B$1,$A2341&lt;Visualisation!$D$1),MAX($V$1:V2340)+1,"")</f>
        <v/>
      </c>
    </row>
    <row r="2342" spans="1:22" x14ac:dyDescent="0.25">
      <c r="A2342" s="9"/>
      <c r="E2342" s="10"/>
      <c r="K2342" s="11" t="str">
        <f>IF($E2342="","",ROUND($E2342*IF(ISNA(MATCH($C2342,'Paramètres'!$D:$D,0)),1,IF(INDEX('Paramètres'!$J:$J,MATCH($C2342,'Paramètres'!$D:$D,0))="",1,INDEX('Paramètres'!$J:$J,MATCH($C2342,'Paramètres'!$D:$D,0)))),2))</f>
        <v/>
      </c>
      <c r="L2342" s="6" t="str">
        <f>IF($D2342="","",IF($F2342&lt;&gt;"",$F2342,IF(ISNA(MATCH($D2342,'Paramètres'!$M:$M,0)),"⚠ Type inconnu",IFERROR(INDEX('Paramètres'!$P:$P,MATCH($D2342,'Paramètres'!$M:$M,0))&amp;"",""))))</f>
        <v/>
      </c>
      <c r="M2342" s="6" t="str">
        <f>IF($D2342="","",IF(ISNA(MATCH($D2342,'Paramètres'!$M:$M,0)),"⚠ Type inconnu",IF($L2342="Crédit","",IFERROR(INDEX('Paramètres'!$O:$O,MATCH($D2342,'Paramètres'!$M:$M,0))&amp;"",""))))</f>
        <v/>
      </c>
      <c r="N2342" s="6" t="str">
        <f>IF($D2342="","",IFERROR(INDEX('Paramètres'!$Q:$Q,MATCH($D2342,'Paramètres'!$M:$M,0))&amp;"",""))</f>
        <v/>
      </c>
      <c r="O2342" s="6" t="str">
        <f>IF($A2342="","",IF(OR($J2342&lt;&gt;"x",$A2342&lt;=FinReleve),1,0))</f>
        <v/>
      </c>
      <c r="P2342" s="6" t="str">
        <f>IF($D2342="","",IF(AND($L2342="Crédit",OR(IFERROR(INDEX('Paramètres'!$O:$O,MATCH($D2342,'Paramètres'!$M:$M,0))&amp;"","")&lt;&gt;"",ISNUMBER(SEARCH("remboursement",IFERROR(INDEX('Paramètres'!$N:$N,MATCH($D2342,'Paramètres'!$M:$M,0))&amp;"",""))))),1,0))</f>
        <v/>
      </c>
      <c r="Q2342" s="6" t="str">
        <f>IF($K2342="","",IF(ISNUMBER(SEARCH("transfert-interne",IFERROR(INDEX('Paramètres'!$N:$N,MATCH($D2342,'Paramètres'!$M:$M,0))&amp;"",""))),0,IF($L2342="Débit",$K2342,IF($P2342=1,-$K2342,0))))</f>
        <v/>
      </c>
      <c r="R2342" s="6" t="str">
        <f>IF($K2342="","",IF($L2342="Crédit",$K2342,-$K2342))</f>
        <v/>
      </c>
      <c r="S2342" s="6" t="str">
        <f>IF($C2342="","",IFERROR(INDEX('Paramètres'!$H:$H,MATCH($C2342,'Paramètres'!$D:$D,0))&amp;"",""))</f>
        <v/>
      </c>
      <c r="T2342" s="6" t="str">
        <f>IF($K2342="","",IF($S2342="",0,IF(ISNUMBER(SEARCH("apport-exterieur",IFERROR(INDEX('Paramètres'!$N:$N,MATCH($D2342,'Paramètres'!$M:$M,0))&amp;"",""))),0,IF(OR(IFERROR(INDEX('Paramètres'!$I:$I,MATCH($C2342,'Paramètres'!$D:$D,0))&amp;"","")="Les deux",IFERROR(INDEX('Paramètres'!$I:$I,MATCH($C2342,'Paramètres'!$D:$D,0))&amp;"","")=IF($P2342=1,"Débit",$L2342)),-IF($P2342=1,-$K2342,$K2342),0))))</f>
        <v/>
      </c>
      <c r="U2342" s="6" t="str">
        <f>IF($K2342="","",IF(ISNUMBER(SEARCH("sortie-epargne",IFERROR(INDEX('Paramètres'!$N:$N,MATCH($D2342,'Paramètres'!$M:$M,0))&amp;"",""))),$K2342,0))</f>
        <v/>
      </c>
      <c r="V2342" s="6" t="str">
        <f>IF(AND($A2342&lt;&gt;"",$O2342=1,$L2342="Débit",N($Q2342)&gt;0,$A2342&gt;=Visualisation!$B$1,$A2342&lt;Visualisation!$D$1),MAX($V$1:V2341)+1,"")</f>
        <v/>
      </c>
    </row>
    <row r="2343" spans="1:22" x14ac:dyDescent="0.25">
      <c r="A2343" s="9"/>
      <c r="E2343" s="10"/>
      <c r="K2343" s="11" t="str">
        <f>IF($E2343="","",ROUND($E2343*IF(ISNA(MATCH($C2343,'Paramètres'!$D:$D,0)),1,IF(INDEX('Paramètres'!$J:$J,MATCH($C2343,'Paramètres'!$D:$D,0))="",1,INDEX('Paramètres'!$J:$J,MATCH($C2343,'Paramètres'!$D:$D,0)))),2))</f>
        <v/>
      </c>
      <c r="L2343" s="6" t="str">
        <f>IF($D2343="","",IF($F2343&lt;&gt;"",$F2343,IF(ISNA(MATCH($D2343,'Paramètres'!$M:$M,0)),"⚠ Type inconnu",IFERROR(INDEX('Paramètres'!$P:$P,MATCH($D2343,'Paramètres'!$M:$M,0))&amp;"",""))))</f>
        <v/>
      </c>
      <c r="M2343" s="6" t="str">
        <f>IF($D2343="","",IF(ISNA(MATCH($D2343,'Paramètres'!$M:$M,0)),"⚠ Type inconnu",IF($L2343="Crédit","",IFERROR(INDEX('Paramètres'!$O:$O,MATCH($D2343,'Paramètres'!$M:$M,0))&amp;"",""))))</f>
        <v/>
      </c>
      <c r="N2343" s="6" t="str">
        <f>IF($D2343="","",IFERROR(INDEX('Paramètres'!$Q:$Q,MATCH($D2343,'Paramètres'!$M:$M,0))&amp;"",""))</f>
        <v/>
      </c>
      <c r="O2343" s="6" t="str">
        <f>IF($A2343="","",IF(OR($J2343&lt;&gt;"x",$A2343&lt;=FinReleve),1,0))</f>
        <v/>
      </c>
      <c r="P2343" s="6" t="str">
        <f>IF($D2343="","",IF(AND($L2343="Crédit",OR(IFERROR(INDEX('Paramètres'!$O:$O,MATCH($D2343,'Paramètres'!$M:$M,0))&amp;"","")&lt;&gt;"",ISNUMBER(SEARCH("remboursement",IFERROR(INDEX('Paramètres'!$N:$N,MATCH($D2343,'Paramètres'!$M:$M,0))&amp;"",""))))),1,0))</f>
        <v/>
      </c>
      <c r="Q2343" s="6" t="str">
        <f>IF($K2343="","",IF(ISNUMBER(SEARCH("transfert-interne",IFERROR(INDEX('Paramètres'!$N:$N,MATCH($D2343,'Paramètres'!$M:$M,0))&amp;"",""))),0,IF($L2343="Débit",$K2343,IF($P2343=1,-$K2343,0))))</f>
        <v/>
      </c>
      <c r="R2343" s="6" t="str">
        <f>IF($K2343="","",IF($L2343="Crédit",$K2343,-$K2343))</f>
        <v/>
      </c>
      <c r="S2343" s="6" t="str">
        <f>IF($C2343="","",IFERROR(INDEX('Paramètres'!$H:$H,MATCH($C2343,'Paramètres'!$D:$D,0))&amp;"",""))</f>
        <v/>
      </c>
      <c r="T2343" s="6" t="str">
        <f>IF($K2343="","",IF($S2343="",0,IF(ISNUMBER(SEARCH("apport-exterieur",IFERROR(INDEX('Paramètres'!$N:$N,MATCH($D2343,'Paramètres'!$M:$M,0))&amp;"",""))),0,IF(OR(IFERROR(INDEX('Paramètres'!$I:$I,MATCH($C2343,'Paramètres'!$D:$D,0))&amp;"","")="Les deux",IFERROR(INDEX('Paramètres'!$I:$I,MATCH($C2343,'Paramètres'!$D:$D,0))&amp;"","")=IF($P2343=1,"Débit",$L2343)),-IF($P2343=1,-$K2343,$K2343),0))))</f>
        <v/>
      </c>
      <c r="U2343" s="6" t="str">
        <f>IF($K2343="","",IF(ISNUMBER(SEARCH("sortie-epargne",IFERROR(INDEX('Paramètres'!$N:$N,MATCH($D2343,'Paramètres'!$M:$M,0))&amp;"",""))),$K2343,0))</f>
        <v/>
      </c>
      <c r="V2343" s="6" t="str">
        <f>IF(AND($A2343&lt;&gt;"",$O2343=1,$L2343="Débit",N($Q2343)&gt;0,$A2343&gt;=Visualisation!$B$1,$A2343&lt;Visualisation!$D$1),MAX($V$1:V2342)+1,"")</f>
        <v/>
      </c>
    </row>
    <row r="2344" spans="1:22" x14ac:dyDescent="0.25">
      <c r="A2344" s="9"/>
      <c r="E2344" s="10"/>
      <c r="K2344" s="11" t="str">
        <f>IF($E2344="","",ROUND($E2344*IF(ISNA(MATCH($C2344,'Paramètres'!$D:$D,0)),1,IF(INDEX('Paramètres'!$J:$J,MATCH($C2344,'Paramètres'!$D:$D,0))="",1,INDEX('Paramètres'!$J:$J,MATCH($C2344,'Paramètres'!$D:$D,0)))),2))</f>
        <v/>
      </c>
      <c r="L2344" s="6" t="str">
        <f>IF($D2344="","",IF($F2344&lt;&gt;"",$F2344,IF(ISNA(MATCH($D2344,'Paramètres'!$M:$M,0)),"⚠ Type inconnu",IFERROR(INDEX('Paramètres'!$P:$P,MATCH($D2344,'Paramètres'!$M:$M,0))&amp;"",""))))</f>
        <v/>
      </c>
      <c r="M2344" s="6" t="str">
        <f>IF($D2344="","",IF(ISNA(MATCH($D2344,'Paramètres'!$M:$M,0)),"⚠ Type inconnu",IF($L2344="Crédit","",IFERROR(INDEX('Paramètres'!$O:$O,MATCH($D2344,'Paramètres'!$M:$M,0))&amp;"",""))))</f>
        <v/>
      </c>
      <c r="N2344" s="6" t="str">
        <f>IF($D2344="","",IFERROR(INDEX('Paramètres'!$Q:$Q,MATCH($D2344,'Paramètres'!$M:$M,0))&amp;"",""))</f>
        <v/>
      </c>
      <c r="O2344" s="6" t="str">
        <f>IF($A2344="","",IF(OR($J2344&lt;&gt;"x",$A2344&lt;=FinReleve),1,0))</f>
        <v/>
      </c>
      <c r="P2344" s="6" t="str">
        <f>IF($D2344="","",IF(AND($L2344="Crédit",OR(IFERROR(INDEX('Paramètres'!$O:$O,MATCH($D2344,'Paramètres'!$M:$M,0))&amp;"","")&lt;&gt;"",ISNUMBER(SEARCH("remboursement",IFERROR(INDEX('Paramètres'!$N:$N,MATCH($D2344,'Paramètres'!$M:$M,0))&amp;"",""))))),1,0))</f>
        <v/>
      </c>
      <c r="Q2344" s="6" t="str">
        <f>IF($K2344="","",IF(ISNUMBER(SEARCH("transfert-interne",IFERROR(INDEX('Paramètres'!$N:$N,MATCH($D2344,'Paramètres'!$M:$M,0))&amp;"",""))),0,IF($L2344="Débit",$K2344,IF($P2344=1,-$K2344,0))))</f>
        <v/>
      </c>
      <c r="R2344" s="6" t="str">
        <f>IF($K2344="","",IF($L2344="Crédit",$K2344,-$K2344))</f>
        <v/>
      </c>
      <c r="S2344" s="6" t="str">
        <f>IF($C2344="","",IFERROR(INDEX('Paramètres'!$H:$H,MATCH($C2344,'Paramètres'!$D:$D,0))&amp;"",""))</f>
        <v/>
      </c>
      <c r="T2344" s="6" t="str">
        <f>IF($K2344="","",IF($S2344="",0,IF(ISNUMBER(SEARCH("apport-exterieur",IFERROR(INDEX('Paramètres'!$N:$N,MATCH($D2344,'Paramètres'!$M:$M,0))&amp;"",""))),0,IF(OR(IFERROR(INDEX('Paramètres'!$I:$I,MATCH($C2344,'Paramètres'!$D:$D,0))&amp;"","")="Les deux",IFERROR(INDEX('Paramètres'!$I:$I,MATCH($C2344,'Paramètres'!$D:$D,0))&amp;"","")=IF($P2344=1,"Débit",$L2344)),-IF($P2344=1,-$K2344,$K2344),0))))</f>
        <v/>
      </c>
      <c r="U2344" s="6" t="str">
        <f>IF($K2344="","",IF(ISNUMBER(SEARCH("sortie-epargne",IFERROR(INDEX('Paramètres'!$N:$N,MATCH($D2344,'Paramètres'!$M:$M,0))&amp;"",""))),$K2344,0))</f>
        <v/>
      </c>
      <c r="V2344" s="6" t="str">
        <f>IF(AND($A2344&lt;&gt;"",$O2344=1,$L2344="Débit",N($Q2344)&gt;0,$A2344&gt;=Visualisation!$B$1,$A2344&lt;Visualisation!$D$1),MAX($V$1:V2343)+1,"")</f>
        <v/>
      </c>
    </row>
    <row r="2345" spans="1:22" x14ac:dyDescent="0.25">
      <c r="A2345" s="9"/>
      <c r="E2345" s="10"/>
      <c r="K2345" s="11" t="str">
        <f>IF($E2345="","",ROUND($E2345*IF(ISNA(MATCH($C2345,'Paramètres'!$D:$D,0)),1,IF(INDEX('Paramètres'!$J:$J,MATCH($C2345,'Paramètres'!$D:$D,0))="",1,INDEX('Paramètres'!$J:$J,MATCH($C2345,'Paramètres'!$D:$D,0)))),2))</f>
        <v/>
      </c>
      <c r="L2345" s="6" t="str">
        <f>IF($D2345="","",IF($F2345&lt;&gt;"",$F2345,IF(ISNA(MATCH($D2345,'Paramètres'!$M:$M,0)),"⚠ Type inconnu",IFERROR(INDEX('Paramètres'!$P:$P,MATCH($D2345,'Paramètres'!$M:$M,0))&amp;"",""))))</f>
        <v/>
      </c>
      <c r="M2345" s="6" t="str">
        <f>IF($D2345="","",IF(ISNA(MATCH($D2345,'Paramètres'!$M:$M,0)),"⚠ Type inconnu",IF($L2345="Crédit","",IFERROR(INDEX('Paramètres'!$O:$O,MATCH($D2345,'Paramètres'!$M:$M,0))&amp;"",""))))</f>
        <v/>
      </c>
      <c r="N2345" s="6" t="str">
        <f>IF($D2345="","",IFERROR(INDEX('Paramètres'!$Q:$Q,MATCH($D2345,'Paramètres'!$M:$M,0))&amp;"",""))</f>
        <v/>
      </c>
      <c r="O2345" s="6" t="str">
        <f>IF($A2345="","",IF(OR($J2345&lt;&gt;"x",$A2345&lt;=FinReleve),1,0))</f>
        <v/>
      </c>
      <c r="P2345" s="6" t="str">
        <f>IF($D2345="","",IF(AND($L2345="Crédit",OR(IFERROR(INDEX('Paramètres'!$O:$O,MATCH($D2345,'Paramètres'!$M:$M,0))&amp;"","")&lt;&gt;"",ISNUMBER(SEARCH("remboursement",IFERROR(INDEX('Paramètres'!$N:$N,MATCH($D2345,'Paramètres'!$M:$M,0))&amp;"",""))))),1,0))</f>
        <v/>
      </c>
      <c r="Q2345" s="6" t="str">
        <f>IF($K2345="","",IF(ISNUMBER(SEARCH("transfert-interne",IFERROR(INDEX('Paramètres'!$N:$N,MATCH($D2345,'Paramètres'!$M:$M,0))&amp;"",""))),0,IF($L2345="Débit",$K2345,IF($P2345=1,-$K2345,0))))</f>
        <v/>
      </c>
      <c r="R2345" s="6" t="str">
        <f>IF($K2345="","",IF($L2345="Crédit",$K2345,-$K2345))</f>
        <v/>
      </c>
      <c r="S2345" s="6" t="str">
        <f>IF($C2345="","",IFERROR(INDEX('Paramètres'!$H:$H,MATCH($C2345,'Paramètres'!$D:$D,0))&amp;"",""))</f>
        <v/>
      </c>
      <c r="T2345" s="6" t="str">
        <f>IF($K2345="","",IF($S2345="",0,IF(ISNUMBER(SEARCH("apport-exterieur",IFERROR(INDEX('Paramètres'!$N:$N,MATCH($D2345,'Paramètres'!$M:$M,0))&amp;"",""))),0,IF(OR(IFERROR(INDEX('Paramètres'!$I:$I,MATCH($C2345,'Paramètres'!$D:$D,0))&amp;"","")="Les deux",IFERROR(INDEX('Paramètres'!$I:$I,MATCH($C2345,'Paramètres'!$D:$D,0))&amp;"","")=IF($P2345=1,"Débit",$L2345)),-IF($P2345=1,-$K2345,$K2345),0))))</f>
        <v/>
      </c>
      <c r="U2345" s="6" t="str">
        <f>IF($K2345="","",IF(ISNUMBER(SEARCH("sortie-epargne",IFERROR(INDEX('Paramètres'!$N:$N,MATCH($D2345,'Paramètres'!$M:$M,0))&amp;"",""))),$K2345,0))</f>
        <v/>
      </c>
      <c r="V2345" s="6" t="str">
        <f>IF(AND($A2345&lt;&gt;"",$O2345=1,$L2345="Débit",N($Q2345)&gt;0,$A2345&gt;=Visualisation!$B$1,$A2345&lt;Visualisation!$D$1),MAX($V$1:V2344)+1,"")</f>
        <v/>
      </c>
    </row>
    <row r="2346" spans="1:22" x14ac:dyDescent="0.25">
      <c r="A2346" s="9"/>
      <c r="E2346" s="10"/>
      <c r="K2346" s="11" t="str">
        <f>IF($E2346="","",ROUND($E2346*IF(ISNA(MATCH($C2346,'Paramètres'!$D:$D,0)),1,IF(INDEX('Paramètres'!$J:$J,MATCH($C2346,'Paramètres'!$D:$D,0))="",1,INDEX('Paramètres'!$J:$J,MATCH($C2346,'Paramètres'!$D:$D,0)))),2))</f>
        <v/>
      </c>
      <c r="L2346" s="6" t="str">
        <f>IF($D2346="","",IF($F2346&lt;&gt;"",$F2346,IF(ISNA(MATCH($D2346,'Paramètres'!$M:$M,0)),"⚠ Type inconnu",IFERROR(INDEX('Paramètres'!$P:$P,MATCH($D2346,'Paramètres'!$M:$M,0))&amp;"",""))))</f>
        <v/>
      </c>
      <c r="M2346" s="6" t="str">
        <f>IF($D2346="","",IF(ISNA(MATCH($D2346,'Paramètres'!$M:$M,0)),"⚠ Type inconnu",IF($L2346="Crédit","",IFERROR(INDEX('Paramètres'!$O:$O,MATCH($D2346,'Paramètres'!$M:$M,0))&amp;"",""))))</f>
        <v/>
      </c>
      <c r="N2346" s="6" t="str">
        <f>IF($D2346="","",IFERROR(INDEX('Paramètres'!$Q:$Q,MATCH($D2346,'Paramètres'!$M:$M,0))&amp;"",""))</f>
        <v/>
      </c>
      <c r="O2346" s="6" t="str">
        <f>IF($A2346="","",IF(OR($J2346&lt;&gt;"x",$A2346&lt;=FinReleve),1,0))</f>
        <v/>
      </c>
      <c r="P2346" s="6" t="str">
        <f>IF($D2346="","",IF(AND($L2346="Crédit",OR(IFERROR(INDEX('Paramètres'!$O:$O,MATCH($D2346,'Paramètres'!$M:$M,0))&amp;"","")&lt;&gt;"",ISNUMBER(SEARCH("remboursement",IFERROR(INDEX('Paramètres'!$N:$N,MATCH($D2346,'Paramètres'!$M:$M,0))&amp;"",""))))),1,0))</f>
        <v/>
      </c>
      <c r="Q2346" s="6" t="str">
        <f>IF($K2346="","",IF(ISNUMBER(SEARCH("transfert-interne",IFERROR(INDEX('Paramètres'!$N:$N,MATCH($D2346,'Paramètres'!$M:$M,0))&amp;"",""))),0,IF($L2346="Débit",$K2346,IF($P2346=1,-$K2346,0))))</f>
        <v/>
      </c>
      <c r="R2346" s="6" t="str">
        <f>IF($K2346="","",IF($L2346="Crédit",$K2346,-$K2346))</f>
        <v/>
      </c>
      <c r="S2346" s="6" t="str">
        <f>IF($C2346="","",IFERROR(INDEX('Paramètres'!$H:$H,MATCH($C2346,'Paramètres'!$D:$D,0))&amp;"",""))</f>
        <v/>
      </c>
      <c r="T2346" s="6" t="str">
        <f>IF($K2346="","",IF($S2346="",0,IF(ISNUMBER(SEARCH("apport-exterieur",IFERROR(INDEX('Paramètres'!$N:$N,MATCH($D2346,'Paramètres'!$M:$M,0))&amp;"",""))),0,IF(OR(IFERROR(INDEX('Paramètres'!$I:$I,MATCH($C2346,'Paramètres'!$D:$D,0))&amp;"","")="Les deux",IFERROR(INDEX('Paramètres'!$I:$I,MATCH($C2346,'Paramètres'!$D:$D,0))&amp;"","")=IF($P2346=1,"Débit",$L2346)),-IF($P2346=1,-$K2346,$K2346),0))))</f>
        <v/>
      </c>
      <c r="U2346" s="6" t="str">
        <f>IF($K2346="","",IF(ISNUMBER(SEARCH("sortie-epargne",IFERROR(INDEX('Paramètres'!$N:$N,MATCH($D2346,'Paramètres'!$M:$M,0))&amp;"",""))),$K2346,0))</f>
        <v/>
      </c>
      <c r="V2346" s="6" t="str">
        <f>IF(AND($A2346&lt;&gt;"",$O2346=1,$L2346="Débit",N($Q2346)&gt;0,$A2346&gt;=Visualisation!$B$1,$A2346&lt;Visualisation!$D$1),MAX($V$1:V2345)+1,"")</f>
        <v/>
      </c>
    </row>
    <row r="2347" spans="1:22" x14ac:dyDescent="0.25">
      <c r="A2347" s="9"/>
      <c r="E2347" s="10"/>
      <c r="K2347" s="11" t="str">
        <f>IF($E2347="","",ROUND($E2347*IF(ISNA(MATCH($C2347,'Paramètres'!$D:$D,0)),1,IF(INDEX('Paramètres'!$J:$J,MATCH($C2347,'Paramètres'!$D:$D,0))="",1,INDEX('Paramètres'!$J:$J,MATCH($C2347,'Paramètres'!$D:$D,0)))),2))</f>
        <v/>
      </c>
      <c r="L2347" s="6" t="str">
        <f>IF($D2347="","",IF($F2347&lt;&gt;"",$F2347,IF(ISNA(MATCH($D2347,'Paramètres'!$M:$M,0)),"⚠ Type inconnu",IFERROR(INDEX('Paramètres'!$P:$P,MATCH($D2347,'Paramètres'!$M:$M,0))&amp;"",""))))</f>
        <v/>
      </c>
      <c r="M2347" s="6" t="str">
        <f>IF($D2347="","",IF(ISNA(MATCH($D2347,'Paramètres'!$M:$M,0)),"⚠ Type inconnu",IF($L2347="Crédit","",IFERROR(INDEX('Paramètres'!$O:$O,MATCH($D2347,'Paramètres'!$M:$M,0))&amp;"",""))))</f>
        <v/>
      </c>
      <c r="N2347" s="6" t="str">
        <f>IF($D2347="","",IFERROR(INDEX('Paramètres'!$Q:$Q,MATCH($D2347,'Paramètres'!$M:$M,0))&amp;"",""))</f>
        <v/>
      </c>
      <c r="O2347" s="6" t="str">
        <f>IF($A2347="","",IF(OR($J2347&lt;&gt;"x",$A2347&lt;=FinReleve),1,0))</f>
        <v/>
      </c>
      <c r="P2347" s="6" t="str">
        <f>IF($D2347="","",IF(AND($L2347="Crédit",OR(IFERROR(INDEX('Paramètres'!$O:$O,MATCH($D2347,'Paramètres'!$M:$M,0))&amp;"","")&lt;&gt;"",ISNUMBER(SEARCH("remboursement",IFERROR(INDEX('Paramètres'!$N:$N,MATCH($D2347,'Paramètres'!$M:$M,0))&amp;"",""))))),1,0))</f>
        <v/>
      </c>
      <c r="Q2347" s="6" t="str">
        <f>IF($K2347="","",IF(ISNUMBER(SEARCH("transfert-interne",IFERROR(INDEX('Paramètres'!$N:$N,MATCH($D2347,'Paramètres'!$M:$M,0))&amp;"",""))),0,IF($L2347="Débit",$K2347,IF($P2347=1,-$K2347,0))))</f>
        <v/>
      </c>
      <c r="R2347" s="6" t="str">
        <f>IF($K2347="","",IF($L2347="Crédit",$K2347,-$K2347))</f>
        <v/>
      </c>
      <c r="S2347" s="6" t="str">
        <f>IF($C2347="","",IFERROR(INDEX('Paramètres'!$H:$H,MATCH($C2347,'Paramètres'!$D:$D,0))&amp;"",""))</f>
        <v/>
      </c>
      <c r="T2347" s="6" t="str">
        <f>IF($K2347="","",IF($S2347="",0,IF(ISNUMBER(SEARCH("apport-exterieur",IFERROR(INDEX('Paramètres'!$N:$N,MATCH($D2347,'Paramètres'!$M:$M,0))&amp;"",""))),0,IF(OR(IFERROR(INDEX('Paramètres'!$I:$I,MATCH($C2347,'Paramètres'!$D:$D,0))&amp;"","")="Les deux",IFERROR(INDEX('Paramètres'!$I:$I,MATCH($C2347,'Paramètres'!$D:$D,0))&amp;"","")=IF($P2347=1,"Débit",$L2347)),-IF($P2347=1,-$K2347,$K2347),0))))</f>
        <v/>
      </c>
      <c r="U2347" s="6" t="str">
        <f>IF($K2347="","",IF(ISNUMBER(SEARCH("sortie-epargne",IFERROR(INDEX('Paramètres'!$N:$N,MATCH($D2347,'Paramètres'!$M:$M,0))&amp;"",""))),$K2347,0))</f>
        <v/>
      </c>
      <c r="V2347" s="6" t="str">
        <f>IF(AND($A2347&lt;&gt;"",$O2347=1,$L2347="Débit",N($Q2347)&gt;0,$A2347&gt;=Visualisation!$B$1,$A2347&lt;Visualisation!$D$1),MAX($V$1:V2346)+1,"")</f>
        <v/>
      </c>
    </row>
    <row r="2348" spans="1:22" x14ac:dyDescent="0.25">
      <c r="A2348" s="9"/>
      <c r="E2348" s="10"/>
      <c r="K2348" s="11" t="str">
        <f>IF($E2348="","",ROUND($E2348*IF(ISNA(MATCH($C2348,'Paramètres'!$D:$D,0)),1,IF(INDEX('Paramètres'!$J:$J,MATCH($C2348,'Paramètres'!$D:$D,0))="",1,INDEX('Paramètres'!$J:$J,MATCH($C2348,'Paramètres'!$D:$D,0)))),2))</f>
        <v/>
      </c>
      <c r="L2348" s="6" t="str">
        <f>IF($D2348="","",IF($F2348&lt;&gt;"",$F2348,IF(ISNA(MATCH($D2348,'Paramètres'!$M:$M,0)),"⚠ Type inconnu",IFERROR(INDEX('Paramètres'!$P:$P,MATCH($D2348,'Paramètres'!$M:$M,0))&amp;"",""))))</f>
        <v/>
      </c>
      <c r="M2348" s="6" t="str">
        <f>IF($D2348="","",IF(ISNA(MATCH($D2348,'Paramètres'!$M:$M,0)),"⚠ Type inconnu",IF($L2348="Crédit","",IFERROR(INDEX('Paramètres'!$O:$O,MATCH($D2348,'Paramètres'!$M:$M,0))&amp;"",""))))</f>
        <v/>
      </c>
      <c r="N2348" s="6" t="str">
        <f>IF($D2348="","",IFERROR(INDEX('Paramètres'!$Q:$Q,MATCH($D2348,'Paramètres'!$M:$M,0))&amp;"",""))</f>
        <v/>
      </c>
      <c r="O2348" s="6" t="str">
        <f>IF($A2348="","",IF(OR($J2348&lt;&gt;"x",$A2348&lt;=FinReleve),1,0))</f>
        <v/>
      </c>
      <c r="P2348" s="6" t="str">
        <f>IF($D2348="","",IF(AND($L2348="Crédit",OR(IFERROR(INDEX('Paramètres'!$O:$O,MATCH($D2348,'Paramètres'!$M:$M,0))&amp;"","")&lt;&gt;"",ISNUMBER(SEARCH("remboursement",IFERROR(INDEX('Paramètres'!$N:$N,MATCH($D2348,'Paramètres'!$M:$M,0))&amp;"",""))))),1,0))</f>
        <v/>
      </c>
      <c r="Q2348" s="6" t="str">
        <f>IF($K2348="","",IF(ISNUMBER(SEARCH("transfert-interne",IFERROR(INDEX('Paramètres'!$N:$N,MATCH($D2348,'Paramètres'!$M:$M,0))&amp;"",""))),0,IF($L2348="Débit",$K2348,IF($P2348=1,-$K2348,0))))</f>
        <v/>
      </c>
      <c r="R2348" s="6" t="str">
        <f>IF($K2348="","",IF($L2348="Crédit",$K2348,-$K2348))</f>
        <v/>
      </c>
      <c r="S2348" s="6" t="str">
        <f>IF($C2348="","",IFERROR(INDEX('Paramètres'!$H:$H,MATCH($C2348,'Paramètres'!$D:$D,0))&amp;"",""))</f>
        <v/>
      </c>
      <c r="T2348" s="6" t="str">
        <f>IF($K2348="","",IF($S2348="",0,IF(ISNUMBER(SEARCH("apport-exterieur",IFERROR(INDEX('Paramètres'!$N:$N,MATCH($D2348,'Paramètres'!$M:$M,0))&amp;"",""))),0,IF(OR(IFERROR(INDEX('Paramètres'!$I:$I,MATCH($C2348,'Paramètres'!$D:$D,0))&amp;"","")="Les deux",IFERROR(INDEX('Paramètres'!$I:$I,MATCH($C2348,'Paramètres'!$D:$D,0))&amp;"","")=IF($P2348=1,"Débit",$L2348)),-IF($P2348=1,-$K2348,$K2348),0))))</f>
        <v/>
      </c>
      <c r="U2348" s="6" t="str">
        <f>IF($K2348="","",IF(ISNUMBER(SEARCH("sortie-epargne",IFERROR(INDEX('Paramètres'!$N:$N,MATCH($D2348,'Paramètres'!$M:$M,0))&amp;"",""))),$K2348,0))</f>
        <v/>
      </c>
      <c r="V2348" s="6" t="str">
        <f>IF(AND($A2348&lt;&gt;"",$O2348=1,$L2348="Débit",N($Q2348)&gt;0,$A2348&gt;=Visualisation!$B$1,$A2348&lt;Visualisation!$D$1),MAX($V$1:V2347)+1,"")</f>
        <v/>
      </c>
    </row>
    <row r="2349" spans="1:22" x14ac:dyDescent="0.25">
      <c r="A2349" s="9"/>
      <c r="E2349" s="10"/>
      <c r="K2349" s="11" t="str">
        <f>IF($E2349="","",ROUND($E2349*IF(ISNA(MATCH($C2349,'Paramètres'!$D:$D,0)),1,IF(INDEX('Paramètres'!$J:$J,MATCH($C2349,'Paramètres'!$D:$D,0))="",1,INDEX('Paramètres'!$J:$J,MATCH($C2349,'Paramètres'!$D:$D,0)))),2))</f>
        <v/>
      </c>
      <c r="L2349" s="6" t="str">
        <f>IF($D2349="","",IF($F2349&lt;&gt;"",$F2349,IF(ISNA(MATCH($D2349,'Paramètres'!$M:$M,0)),"⚠ Type inconnu",IFERROR(INDEX('Paramètres'!$P:$P,MATCH($D2349,'Paramètres'!$M:$M,0))&amp;"",""))))</f>
        <v/>
      </c>
      <c r="M2349" s="6" t="str">
        <f>IF($D2349="","",IF(ISNA(MATCH($D2349,'Paramètres'!$M:$M,0)),"⚠ Type inconnu",IF($L2349="Crédit","",IFERROR(INDEX('Paramètres'!$O:$O,MATCH($D2349,'Paramètres'!$M:$M,0))&amp;"",""))))</f>
        <v/>
      </c>
      <c r="N2349" s="6" t="str">
        <f>IF($D2349="","",IFERROR(INDEX('Paramètres'!$Q:$Q,MATCH($D2349,'Paramètres'!$M:$M,0))&amp;"",""))</f>
        <v/>
      </c>
      <c r="O2349" s="6" t="str">
        <f>IF($A2349="","",IF(OR($J2349&lt;&gt;"x",$A2349&lt;=FinReleve),1,0))</f>
        <v/>
      </c>
      <c r="P2349" s="6" t="str">
        <f>IF($D2349="","",IF(AND($L2349="Crédit",OR(IFERROR(INDEX('Paramètres'!$O:$O,MATCH($D2349,'Paramètres'!$M:$M,0))&amp;"","")&lt;&gt;"",ISNUMBER(SEARCH("remboursement",IFERROR(INDEX('Paramètres'!$N:$N,MATCH($D2349,'Paramètres'!$M:$M,0))&amp;"",""))))),1,0))</f>
        <v/>
      </c>
      <c r="Q2349" s="6" t="str">
        <f>IF($K2349="","",IF(ISNUMBER(SEARCH("transfert-interne",IFERROR(INDEX('Paramètres'!$N:$N,MATCH($D2349,'Paramètres'!$M:$M,0))&amp;"",""))),0,IF($L2349="Débit",$K2349,IF($P2349=1,-$K2349,0))))</f>
        <v/>
      </c>
      <c r="R2349" s="6" t="str">
        <f>IF($K2349="","",IF($L2349="Crédit",$K2349,-$K2349))</f>
        <v/>
      </c>
      <c r="S2349" s="6" t="str">
        <f>IF($C2349="","",IFERROR(INDEX('Paramètres'!$H:$H,MATCH($C2349,'Paramètres'!$D:$D,0))&amp;"",""))</f>
        <v/>
      </c>
      <c r="T2349" s="6" t="str">
        <f>IF($K2349="","",IF($S2349="",0,IF(ISNUMBER(SEARCH("apport-exterieur",IFERROR(INDEX('Paramètres'!$N:$N,MATCH($D2349,'Paramètres'!$M:$M,0))&amp;"",""))),0,IF(OR(IFERROR(INDEX('Paramètres'!$I:$I,MATCH($C2349,'Paramètres'!$D:$D,0))&amp;"","")="Les deux",IFERROR(INDEX('Paramètres'!$I:$I,MATCH($C2349,'Paramètres'!$D:$D,0))&amp;"","")=IF($P2349=1,"Débit",$L2349)),-IF($P2349=1,-$K2349,$K2349),0))))</f>
        <v/>
      </c>
      <c r="U2349" s="6" t="str">
        <f>IF($K2349="","",IF(ISNUMBER(SEARCH("sortie-epargne",IFERROR(INDEX('Paramètres'!$N:$N,MATCH($D2349,'Paramètres'!$M:$M,0))&amp;"",""))),$K2349,0))</f>
        <v/>
      </c>
      <c r="V2349" s="6" t="str">
        <f>IF(AND($A2349&lt;&gt;"",$O2349=1,$L2349="Débit",N($Q2349)&gt;0,$A2349&gt;=Visualisation!$B$1,$A2349&lt;Visualisation!$D$1),MAX($V$1:V2348)+1,"")</f>
        <v/>
      </c>
    </row>
    <row r="2350" spans="1:22" x14ac:dyDescent="0.25">
      <c r="A2350" s="9"/>
      <c r="E2350" s="10"/>
      <c r="K2350" s="11" t="str">
        <f>IF($E2350="","",ROUND($E2350*IF(ISNA(MATCH($C2350,'Paramètres'!$D:$D,0)),1,IF(INDEX('Paramètres'!$J:$J,MATCH($C2350,'Paramètres'!$D:$D,0))="",1,INDEX('Paramètres'!$J:$J,MATCH($C2350,'Paramètres'!$D:$D,0)))),2))</f>
        <v/>
      </c>
      <c r="L2350" s="6" t="str">
        <f>IF($D2350="","",IF($F2350&lt;&gt;"",$F2350,IF(ISNA(MATCH($D2350,'Paramètres'!$M:$M,0)),"⚠ Type inconnu",IFERROR(INDEX('Paramètres'!$P:$P,MATCH($D2350,'Paramètres'!$M:$M,0))&amp;"",""))))</f>
        <v/>
      </c>
      <c r="M2350" s="6" t="str">
        <f>IF($D2350="","",IF(ISNA(MATCH($D2350,'Paramètres'!$M:$M,0)),"⚠ Type inconnu",IF($L2350="Crédit","",IFERROR(INDEX('Paramètres'!$O:$O,MATCH($D2350,'Paramètres'!$M:$M,0))&amp;"",""))))</f>
        <v/>
      </c>
      <c r="N2350" s="6" t="str">
        <f>IF($D2350="","",IFERROR(INDEX('Paramètres'!$Q:$Q,MATCH($D2350,'Paramètres'!$M:$M,0))&amp;"",""))</f>
        <v/>
      </c>
      <c r="O2350" s="6" t="str">
        <f>IF($A2350="","",IF(OR($J2350&lt;&gt;"x",$A2350&lt;=FinReleve),1,0))</f>
        <v/>
      </c>
      <c r="P2350" s="6" t="str">
        <f>IF($D2350="","",IF(AND($L2350="Crédit",OR(IFERROR(INDEX('Paramètres'!$O:$O,MATCH($D2350,'Paramètres'!$M:$M,0))&amp;"","")&lt;&gt;"",ISNUMBER(SEARCH("remboursement",IFERROR(INDEX('Paramètres'!$N:$N,MATCH($D2350,'Paramètres'!$M:$M,0))&amp;"",""))))),1,0))</f>
        <v/>
      </c>
      <c r="Q2350" s="6" t="str">
        <f>IF($K2350="","",IF(ISNUMBER(SEARCH("transfert-interne",IFERROR(INDEX('Paramètres'!$N:$N,MATCH($D2350,'Paramètres'!$M:$M,0))&amp;"",""))),0,IF($L2350="Débit",$K2350,IF($P2350=1,-$K2350,0))))</f>
        <v/>
      </c>
      <c r="R2350" s="6" t="str">
        <f>IF($K2350="","",IF($L2350="Crédit",$K2350,-$K2350))</f>
        <v/>
      </c>
      <c r="S2350" s="6" t="str">
        <f>IF($C2350="","",IFERROR(INDEX('Paramètres'!$H:$H,MATCH($C2350,'Paramètres'!$D:$D,0))&amp;"",""))</f>
        <v/>
      </c>
      <c r="T2350" s="6" t="str">
        <f>IF($K2350="","",IF($S2350="",0,IF(ISNUMBER(SEARCH("apport-exterieur",IFERROR(INDEX('Paramètres'!$N:$N,MATCH($D2350,'Paramètres'!$M:$M,0))&amp;"",""))),0,IF(OR(IFERROR(INDEX('Paramètres'!$I:$I,MATCH($C2350,'Paramètres'!$D:$D,0))&amp;"","")="Les deux",IFERROR(INDEX('Paramètres'!$I:$I,MATCH($C2350,'Paramètres'!$D:$D,0))&amp;"","")=IF($P2350=1,"Débit",$L2350)),-IF($P2350=1,-$K2350,$K2350),0))))</f>
        <v/>
      </c>
      <c r="U2350" s="6" t="str">
        <f>IF($K2350="","",IF(ISNUMBER(SEARCH("sortie-epargne",IFERROR(INDEX('Paramètres'!$N:$N,MATCH($D2350,'Paramètres'!$M:$M,0))&amp;"",""))),$K2350,0))</f>
        <v/>
      </c>
      <c r="V2350" s="6" t="str">
        <f>IF(AND($A2350&lt;&gt;"",$O2350=1,$L2350="Débit",N($Q2350)&gt;0,$A2350&gt;=Visualisation!$B$1,$A2350&lt;Visualisation!$D$1),MAX($V$1:V2349)+1,"")</f>
        <v/>
      </c>
    </row>
    <row r="2351" spans="1:22" x14ac:dyDescent="0.25">
      <c r="A2351" s="9"/>
      <c r="E2351" s="10"/>
      <c r="K2351" s="11" t="str">
        <f>IF($E2351="","",ROUND($E2351*IF(ISNA(MATCH($C2351,'Paramètres'!$D:$D,0)),1,IF(INDEX('Paramètres'!$J:$J,MATCH($C2351,'Paramètres'!$D:$D,0))="",1,INDEX('Paramètres'!$J:$J,MATCH($C2351,'Paramètres'!$D:$D,0)))),2))</f>
        <v/>
      </c>
      <c r="L2351" s="6" t="str">
        <f>IF($D2351="","",IF($F2351&lt;&gt;"",$F2351,IF(ISNA(MATCH($D2351,'Paramètres'!$M:$M,0)),"⚠ Type inconnu",IFERROR(INDEX('Paramètres'!$P:$P,MATCH($D2351,'Paramètres'!$M:$M,0))&amp;"",""))))</f>
        <v/>
      </c>
      <c r="M2351" s="6" t="str">
        <f>IF($D2351="","",IF(ISNA(MATCH($D2351,'Paramètres'!$M:$M,0)),"⚠ Type inconnu",IF($L2351="Crédit","",IFERROR(INDEX('Paramètres'!$O:$O,MATCH($D2351,'Paramètres'!$M:$M,0))&amp;"",""))))</f>
        <v/>
      </c>
      <c r="N2351" s="6" t="str">
        <f>IF($D2351="","",IFERROR(INDEX('Paramètres'!$Q:$Q,MATCH($D2351,'Paramètres'!$M:$M,0))&amp;"",""))</f>
        <v/>
      </c>
      <c r="O2351" s="6" t="str">
        <f>IF($A2351="","",IF(OR($J2351&lt;&gt;"x",$A2351&lt;=FinReleve),1,0))</f>
        <v/>
      </c>
      <c r="P2351" s="6" t="str">
        <f>IF($D2351="","",IF(AND($L2351="Crédit",OR(IFERROR(INDEX('Paramètres'!$O:$O,MATCH($D2351,'Paramètres'!$M:$M,0))&amp;"","")&lt;&gt;"",ISNUMBER(SEARCH("remboursement",IFERROR(INDEX('Paramètres'!$N:$N,MATCH($D2351,'Paramètres'!$M:$M,0))&amp;"",""))))),1,0))</f>
        <v/>
      </c>
      <c r="Q2351" s="6" t="str">
        <f>IF($K2351="","",IF(ISNUMBER(SEARCH("transfert-interne",IFERROR(INDEX('Paramètres'!$N:$N,MATCH($D2351,'Paramètres'!$M:$M,0))&amp;"",""))),0,IF($L2351="Débit",$K2351,IF($P2351=1,-$K2351,0))))</f>
        <v/>
      </c>
      <c r="R2351" s="6" t="str">
        <f>IF($K2351="","",IF($L2351="Crédit",$K2351,-$K2351))</f>
        <v/>
      </c>
      <c r="S2351" s="6" t="str">
        <f>IF($C2351="","",IFERROR(INDEX('Paramètres'!$H:$H,MATCH($C2351,'Paramètres'!$D:$D,0))&amp;"",""))</f>
        <v/>
      </c>
      <c r="T2351" s="6" t="str">
        <f>IF($K2351="","",IF($S2351="",0,IF(ISNUMBER(SEARCH("apport-exterieur",IFERROR(INDEX('Paramètres'!$N:$N,MATCH($D2351,'Paramètres'!$M:$M,0))&amp;"",""))),0,IF(OR(IFERROR(INDEX('Paramètres'!$I:$I,MATCH($C2351,'Paramètres'!$D:$D,0))&amp;"","")="Les deux",IFERROR(INDEX('Paramètres'!$I:$I,MATCH($C2351,'Paramètres'!$D:$D,0))&amp;"","")=IF($P2351=1,"Débit",$L2351)),-IF($P2351=1,-$K2351,$K2351),0))))</f>
        <v/>
      </c>
      <c r="U2351" s="6" t="str">
        <f>IF($K2351="","",IF(ISNUMBER(SEARCH("sortie-epargne",IFERROR(INDEX('Paramètres'!$N:$N,MATCH($D2351,'Paramètres'!$M:$M,0))&amp;"",""))),$K2351,0))</f>
        <v/>
      </c>
      <c r="V2351" s="6" t="str">
        <f>IF(AND($A2351&lt;&gt;"",$O2351=1,$L2351="Débit",N($Q2351)&gt;0,$A2351&gt;=Visualisation!$B$1,$A2351&lt;Visualisation!$D$1),MAX($V$1:V2350)+1,"")</f>
        <v/>
      </c>
    </row>
    <row r="2352" spans="1:22" x14ac:dyDescent="0.25">
      <c r="A2352" s="9"/>
      <c r="E2352" s="10"/>
      <c r="K2352" s="11" t="str">
        <f>IF($E2352="","",ROUND($E2352*IF(ISNA(MATCH($C2352,'Paramètres'!$D:$D,0)),1,IF(INDEX('Paramètres'!$J:$J,MATCH($C2352,'Paramètres'!$D:$D,0))="",1,INDEX('Paramètres'!$J:$J,MATCH($C2352,'Paramètres'!$D:$D,0)))),2))</f>
        <v/>
      </c>
      <c r="L2352" s="6" t="str">
        <f>IF($D2352="","",IF($F2352&lt;&gt;"",$F2352,IF(ISNA(MATCH($D2352,'Paramètres'!$M:$M,0)),"⚠ Type inconnu",IFERROR(INDEX('Paramètres'!$P:$P,MATCH($D2352,'Paramètres'!$M:$M,0))&amp;"",""))))</f>
        <v/>
      </c>
      <c r="M2352" s="6" t="str">
        <f>IF($D2352="","",IF(ISNA(MATCH($D2352,'Paramètres'!$M:$M,0)),"⚠ Type inconnu",IF($L2352="Crédit","",IFERROR(INDEX('Paramètres'!$O:$O,MATCH($D2352,'Paramètres'!$M:$M,0))&amp;"",""))))</f>
        <v/>
      </c>
      <c r="N2352" s="6" t="str">
        <f>IF($D2352="","",IFERROR(INDEX('Paramètres'!$Q:$Q,MATCH($D2352,'Paramètres'!$M:$M,0))&amp;"",""))</f>
        <v/>
      </c>
      <c r="O2352" s="6" t="str">
        <f>IF($A2352="","",IF(OR($J2352&lt;&gt;"x",$A2352&lt;=FinReleve),1,0))</f>
        <v/>
      </c>
      <c r="P2352" s="6" t="str">
        <f>IF($D2352="","",IF(AND($L2352="Crédit",OR(IFERROR(INDEX('Paramètres'!$O:$O,MATCH($D2352,'Paramètres'!$M:$M,0))&amp;"","")&lt;&gt;"",ISNUMBER(SEARCH("remboursement",IFERROR(INDEX('Paramètres'!$N:$N,MATCH($D2352,'Paramètres'!$M:$M,0))&amp;"",""))))),1,0))</f>
        <v/>
      </c>
      <c r="Q2352" s="6" t="str">
        <f>IF($K2352="","",IF(ISNUMBER(SEARCH("transfert-interne",IFERROR(INDEX('Paramètres'!$N:$N,MATCH($D2352,'Paramètres'!$M:$M,0))&amp;"",""))),0,IF($L2352="Débit",$K2352,IF($P2352=1,-$K2352,0))))</f>
        <v/>
      </c>
      <c r="R2352" s="6" t="str">
        <f>IF($K2352="","",IF($L2352="Crédit",$K2352,-$K2352))</f>
        <v/>
      </c>
      <c r="S2352" s="6" t="str">
        <f>IF($C2352="","",IFERROR(INDEX('Paramètres'!$H:$H,MATCH($C2352,'Paramètres'!$D:$D,0))&amp;"",""))</f>
        <v/>
      </c>
      <c r="T2352" s="6" t="str">
        <f>IF($K2352="","",IF($S2352="",0,IF(ISNUMBER(SEARCH("apport-exterieur",IFERROR(INDEX('Paramètres'!$N:$N,MATCH($D2352,'Paramètres'!$M:$M,0))&amp;"",""))),0,IF(OR(IFERROR(INDEX('Paramètres'!$I:$I,MATCH($C2352,'Paramètres'!$D:$D,0))&amp;"","")="Les deux",IFERROR(INDEX('Paramètres'!$I:$I,MATCH($C2352,'Paramètres'!$D:$D,0))&amp;"","")=IF($P2352=1,"Débit",$L2352)),-IF($P2352=1,-$K2352,$K2352),0))))</f>
        <v/>
      </c>
      <c r="U2352" s="6" t="str">
        <f>IF($K2352="","",IF(ISNUMBER(SEARCH("sortie-epargne",IFERROR(INDEX('Paramètres'!$N:$N,MATCH($D2352,'Paramètres'!$M:$M,0))&amp;"",""))),$K2352,0))</f>
        <v/>
      </c>
      <c r="V2352" s="6" t="str">
        <f>IF(AND($A2352&lt;&gt;"",$O2352=1,$L2352="Débit",N($Q2352)&gt;0,$A2352&gt;=Visualisation!$B$1,$A2352&lt;Visualisation!$D$1),MAX($V$1:V2351)+1,"")</f>
        <v/>
      </c>
    </row>
    <row r="2353" spans="1:22" x14ac:dyDescent="0.25">
      <c r="A2353" s="9"/>
      <c r="E2353" s="10"/>
      <c r="K2353" s="11" t="str">
        <f>IF($E2353="","",ROUND($E2353*IF(ISNA(MATCH($C2353,'Paramètres'!$D:$D,0)),1,IF(INDEX('Paramètres'!$J:$J,MATCH($C2353,'Paramètres'!$D:$D,0))="",1,INDEX('Paramètres'!$J:$J,MATCH($C2353,'Paramètres'!$D:$D,0)))),2))</f>
        <v/>
      </c>
      <c r="L2353" s="6" t="str">
        <f>IF($D2353="","",IF($F2353&lt;&gt;"",$F2353,IF(ISNA(MATCH($D2353,'Paramètres'!$M:$M,0)),"⚠ Type inconnu",IFERROR(INDEX('Paramètres'!$P:$P,MATCH($D2353,'Paramètres'!$M:$M,0))&amp;"",""))))</f>
        <v/>
      </c>
      <c r="M2353" s="6" t="str">
        <f>IF($D2353="","",IF(ISNA(MATCH($D2353,'Paramètres'!$M:$M,0)),"⚠ Type inconnu",IF($L2353="Crédit","",IFERROR(INDEX('Paramètres'!$O:$O,MATCH($D2353,'Paramètres'!$M:$M,0))&amp;"",""))))</f>
        <v/>
      </c>
      <c r="N2353" s="6" t="str">
        <f>IF($D2353="","",IFERROR(INDEX('Paramètres'!$Q:$Q,MATCH($D2353,'Paramètres'!$M:$M,0))&amp;"",""))</f>
        <v/>
      </c>
      <c r="O2353" s="6" t="str">
        <f>IF($A2353="","",IF(OR($J2353&lt;&gt;"x",$A2353&lt;=FinReleve),1,0))</f>
        <v/>
      </c>
      <c r="P2353" s="6" t="str">
        <f>IF($D2353="","",IF(AND($L2353="Crédit",OR(IFERROR(INDEX('Paramètres'!$O:$O,MATCH($D2353,'Paramètres'!$M:$M,0))&amp;"","")&lt;&gt;"",ISNUMBER(SEARCH("remboursement",IFERROR(INDEX('Paramètres'!$N:$N,MATCH($D2353,'Paramètres'!$M:$M,0))&amp;"",""))))),1,0))</f>
        <v/>
      </c>
      <c r="Q2353" s="6" t="str">
        <f>IF($K2353="","",IF(ISNUMBER(SEARCH("transfert-interne",IFERROR(INDEX('Paramètres'!$N:$N,MATCH($D2353,'Paramètres'!$M:$M,0))&amp;"",""))),0,IF($L2353="Débit",$K2353,IF($P2353=1,-$K2353,0))))</f>
        <v/>
      </c>
      <c r="R2353" s="6" t="str">
        <f>IF($K2353="","",IF($L2353="Crédit",$K2353,-$K2353))</f>
        <v/>
      </c>
      <c r="S2353" s="6" t="str">
        <f>IF($C2353="","",IFERROR(INDEX('Paramètres'!$H:$H,MATCH($C2353,'Paramètres'!$D:$D,0))&amp;"",""))</f>
        <v/>
      </c>
      <c r="T2353" s="6" t="str">
        <f>IF($K2353="","",IF($S2353="",0,IF(ISNUMBER(SEARCH("apport-exterieur",IFERROR(INDEX('Paramètres'!$N:$N,MATCH($D2353,'Paramètres'!$M:$M,0))&amp;"",""))),0,IF(OR(IFERROR(INDEX('Paramètres'!$I:$I,MATCH($C2353,'Paramètres'!$D:$D,0))&amp;"","")="Les deux",IFERROR(INDEX('Paramètres'!$I:$I,MATCH($C2353,'Paramètres'!$D:$D,0))&amp;"","")=IF($P2353=1,"Débit",$L2353)),-IF($P2353=1,-$K2353,$K2353),0))))</f>
        <v/>
      </c>
      <c r="U2353" s="6" t="str">
        <f>IF($K2353="","",IF(ISNUMBER(SEARCH("sortie-epargne",IFERROR(INDEX('Paramètres'!$N:$N,MATCH($D2353,'Paramètres'!$M:$M,0))&amp;"",""))),$K2353,0))</f>
        <v/>
      </c>
      <c r="V2353" s="6" t="str">
        <f>IF(AND($A2353&lt;&gt;"",$O2353=1,$L2353="Débit",N($Q2353)&gt;0,$A2353&gt;=Visualisation!$B$1,$A2353&lt;Visualisation!$D$1),MAX($V$1:V2352)+1,"")</f>
        <v/>
      </c>
    </row>
    <row r="2354" spans="1:22" x14ac:dyDescent="0.25">
      <c r="A2354" s="9"/>
      <c r="E2354" s="10"/>
      <c r="K2354" s="11" t="str">
        <f>IF($E2354="","",ROUND($E2354*IF(ISNA(MATCH($C2354,'Paramètres'!$D:$D,0)),1,IF(INDEX('Paramètres'!$J:$J,MATCH($C2354,'Paramètres'!$D:$D,0))="",1,INDEX('Paramètres'!$J:$J,MATCH($C2354,'Paramètres'!$D:$D,0)))),2))</f>
        <v/>
      </c>
      <c r="L2354" s="6" t="str">
        <f>IF($D2354="","",IF($F2354&lt;&gt;"",$F2354,IF(ISNA(MATCH($D2354,'Paramètres'!$M:$M,0)),"⚠ Type inconnu",IFERROR(INDEX('Paramètres'!$P:$P,MATCH($D2354,'Paramètres'!$M:$M,0))&amp;"",""))))</f>
        <v/>
      </c>
      <c r="M2354" s="6" t="str">
        <f>IF($D2354="","",IF(ISNA(MATCH($D2354,'Paramètres'!$M:$M,0)),"⚠ Type inconnu",IF($L2354="Crédit","",IFERROR(INDEX('Paramètres'!$O:$O,MATCH($D2354,'Paramètres'!$M:$M,0))&amp;"",""))))</f>
        <v/>
      </c>
      <c r="N2354" s="6" t="str">
        <f>IF($D2354="","",IFERROR(INDEX('Paramètres'!$Q:$Q,MATCH($D2354,'Paramètres'!$M:$M,0))&amp;"",""))</f>
        <v/>
      </c>
      <c r="O2354" s="6" t="str">
        <f>IF($A2354="","",IF(OR($J2354&lt;&gt;"x",$A2354&lt;=FinReleve),1,0))</f>
        <v/>
      </c>
      <c r="P2354" s="6" t="str">
        <f>IF($D2354="","",IF(AND($L2354="Crédit",OR(IFERROR(INDEX('Paramètres'!$O:$O,MATCH($D2354,'Paramètres'!$M:$M,0))&amp;"","")&lt;&gt;"",ISNUMBER(SEARCH("remboursement",IFERROR(INDEX('Paramètres'!$N:$N,MATCH($D2354,'Paramètres'!$M:$M,0))&amp;"",""))))),1,0))</f>
        <v/>
      </c>
      <c r="Q2354" s="6" t="str">
        <f>IF($K2354="","",IF(ISNUMBER(SEARCH("transfert-interne",IFERROR(INDEX('Paramètres'!$N:$N,MATCH($D2354,'Paramètres'!$M:$M,0))&amp;"",""))),0,IF($L2354="Débit",$K2354,IF($P2354=1,-$K2354,0))))</f>
        <v/>
      </c>
      <c r="R2354" s="6" t="str">
        <f>IF($K2354="","",IF($L2354="Crédit",$K2354,-$K2354))</f>
        <v/>
      </c>
      <c r="S2354" s="6" t="str">
        <f>IF($C2354="","",IFERROR(INDEX('Paramètres'!$H:$H,MATCH($C2354,'Paramètres'!$D:$D,0))&amp;"",""))</f>
        <v/>
      </c>
      <c r="T2354" s="6" t="str">
        <f>IF($K2354="","",IF($S2354="",0,IF(ISNUMBER(SEARCH("apport-exterieur",IFERROR(INDEX('Paramètres'!$N:$N,MATCH($D2354,'Paramètres'!$M:$M,0))&amp;"",""))),0,IF(OR(IFERROR(INDEX('Paramètres'!$I:$I,MATCH($C2354,'Paramètres'!$D:$D,0))&amp;"","")="Les deux",IFERROR(INDEX('Paramètres'!$I:$I,MATCH($C2354,'Paramètres'!$D:$D,0))&amp;"","")=IF($P2354=1,"Débit",$L2354)),-IF($P2354=1,-$K2354,$K2354),0))))</f>
        <v/>
      </c>
      <c r="U2354" s="6" t="str">
        <f>IF($K2354="","",IF(ISNUMBER(SEARCH("sortie-epargne",IFERROR(INDEX('Paramètres'!$N:$N,MATCH($D2354,'Paramètres'!$M:$M,0))&amp;"",""))),$K2354,0))</f>
        <v/>
      </c>
      <c r="V2354" s="6" t="str">
        <f>IF(AND($A2354&lt;&gt;"",$O2354=1,$L2354="Débit",N($Q2354)&gt;0,$A2354&gt;=Visualisation!$B$1,$A2354&lt;Visualisation!$D$1),MAX($V$1:V2353)+1,"")</f>
        <v/>
      </c>
    </row>
    <row r="2355" spans="1:22" x14ac:dyDescent="0.25">
      <c r="A2355" s="9"/>
      <c r="E2355" s="10"/>
      <c r="K2355" s="11" t="str">
        <f>IF($E2355="","",ROUND($E2355*IF(ISNA(MATCH($C2355,'Paramètres'!$D:$D,0)),1,IF(INDEX('Paramètres'!$J:$J,MATCH($C2355,'Paramètres'!$D:$D,0))="",1,INDEX('Paramètres'!$J:$J,MATCH($C2355,'Paramètres'!$D:$D,0)))),2))</f>
        <v/>
      </c>
      <c r="L2355" s="6" t="str">
        <f>IF($D2355="","",IF($F2355&lt;&gt;"",$F2355,IF(ISNA(MATCH($D2355,'Paramètres'!$M:$M,0)),"⚠ Type inconnu",IFERROR(INDEX('Paramètres'!$P:$P,MATCH($D2355,'Paramètres'!$M:$M,0))&amp;"",""))))</f>
        <v/>
      </c>
      <c r="M2355" s="6" t="str">
        <f>IF($D2355="","",IF(ISNA(MATCH($D2355,'Paramètres'!$M:$M,0)),"⚠ Type inconnu",IF($L2355="Crédit","",IFERROR(INDEX('Paramètres'!$O:$O,MATCH($D2355,'Paramètres'!$M:$M,0))&amp;"",""))))</f>
        <v/>
      </c>
      <c r="N2355" s="6" t="str">
        <f>IF($D2355="","",IFERROR(INDEX('Paramètres'!$Q:$Q,MATCH($D2355,'Paramètres'!$M:$M,0))&amp;"",""))</f>
        <v/>
      </c>
      <c r="O2355" s="6" t="str">
        <f>IF($A2355="","",IF(OR($J2355&lt;&gt;"x",$A2355&lt;=FinReleve),1,0))</f>
        <v/>
      </c>
      <c r="P2355" s="6" t="str">
        <f>IF($D2355="","",IF(AND($L2355="Crédit",OR(IFERROR(INDEX('Paramètres'!$O:$O,MATCH($D2355,'Paramètres'!$M:$M,0))&amp;"","")&lt;&gt;"",ISNUMBER(SEARCH("remboursement",IFERROR(INDEX('Paramètres'!$N:$N,MATCH($D2355,'Paramètres'!$M:$M,0))&amp;"",""))))),1,0))</f>
        <v/>
      </c>
      <c r="Q2355" s="6" t="str">
        <f>IF($K2355="","",IF(ISNUMBER(SEARCH("transfert-interne",IFERROR(INDEX('Paramètres'!$N:$N,MATCH($D2355,'Paramètres'!$M:$M,0))&amp;"",""))),0,IF($L2355="Débit",$K2355,IF($P2355=1,-$K2355,0))))</f>
        <v/>
      </c>
      <c r="R2355" s="6" t="str">
        <f>IF($K2355="","",IF($L2355="Crédit",$K2355,-$K2355))</f>
        <v/>
      </c>
      <c r="S2355" s="6" t="str">
        <f>IF($C2355="","",IFERROR(INDEX('Paramètres'!$H:$H,MATCH($C2355,'Paramètres'!$D:$D,0))&amp;"",""))</f>
        <v/>
      </c>
      <c r="T2355" s="6" t="str">
        <f>IF($K2355="","",IF($S2355="",0,IF(ISNUMBER(SEARCH("apport-exterieur",IFERROR(INDEX('Paramètres'!$N:$N,MATCH($D2355,'Paramètres'!$M:$M,0))&amp;"",""))),0,IF(OR(IFERROR(INDEX('Paramètres'!$I:$I,MATCH($C2355,'Paramètres'!$D:$D,0))&amp;"","")="Les deux",IFERROR(INDEX('Paramètres'!$I:$I,MATCH($C2355,'Paramètres'!$D:$D,0))&amp;"","")=IF($P2355=1,"Débit",$L2355)),-IF($P2355=1,-$K2355,$K2355),0))))</f>
        <v/>
      </c>
      <c r="U2355" s="6" t="str">
        <f>IF($K2355="","",IF(ISNUMBER(SEARCH("sortie-epargne",IFERROR(INDEX('Paramètres'!$N:$N,MATCH($D2355,'Paramètres'!$M:$M,0))&amp;"",""))),$K2355,0))</f>
        <v/>
      </c>
      <c r="V2355" s="6" t="str">
        <f>IF(AND($A2355&lt;&gt;"",$O2355=1,$L2355="Débit",N($Q2355)&gt;0,$A2355&gt;=Visualisation!$B$1,$A2355&lt;Visualisation!$D$1),MAX($V$1:V2354)+1,"")</f>
        <v/>
      </c>
    </row>
    <row r="2356" spans="1:22" x14ac:dyDescent="0.25">
      <c r="A2356" s="9"/>
      <c r="E2356" s="10"/>
      <c r="K2356" s="11" t="str">
        <f>IF($E2356="","",ROUND($E2356*IF(ISNA(MATCH($C2356,'Paramètres'!$D:$D,0)),1,IF(INDEX('Paramètres'!$J:$J,MATCH($C2356,'Paramètres'!$D:$D,0))="",1,INDEX('Paramètres'!$J:$J,MATCH($C2356,'Paramètres'!$D:$D,0)))),2))</f>
        <v/>
      </c>
      <c r="L2356" s="6" t="str">
        <f>IF($D2356="","",IF($F2356&lt;&gt;"",$F2356,IF(ISNA(MATCH($D2356,'Paramètres'!$M:$M,0)),"⚠ Type inconnu",IFERROR(INDEX('Paramètres'!$P:$P,MATCH($D2356,'Paramètres'!$M:$M,0))&amp;"",""))))</f>
        <v/>
      </c>
      <c r="M2356" s="6" t="str">
        <f>IF($D2356="","",IF(ISNA(MATCH($D2356,'Paramètres'!$M:$M,0)),"⚠ Type inconnu",IF($L2356="Crédit","",IFERROR(INDEX('Paramètres'!$O:$O,MATCH($D2356,'Paramètres'!$M:$M,0))&amp;"",""))))</f>
        <v/>
      </c>
      <c r="N2356" s="6" t="str">
        <f>IF($D2356="","",IFERROR(INDEX('Paramètres'!$Q:$Q,MATCH($D2356,'Paramètres'!$M:$M,0))&amp;"",""))</f>
        <v/>
      </c>
      <c r="O2356" s="6" t="str">
        <f>IF($A2356="","",IF(OR($J2356&lt;&gt;"x",$A2356&lt;=FinReleve),1,0))</f>
        <v/>
      </c>
      <c r="P2356" s="6" t="str">
        <f>IF($D2356="","",IF(AND($L2356="Crédit",OR(IFERROR(INDEX('Paramètres'!$O:$O,MATCH($D2356,'Paramètres'!$M:$M,0))&amp;"","")&lt;&gt;"",ISNUMBER(SEARCH("remboursement",IFERROR(INDEX('Paramètres'!$N:$N,MATCH($D2356,'Paramètres'!$M:$M,0))&amp;"",""))))),1,0))</f>
        <v/>
      </c>
      <c r="Q2356" s="6" t="str">
        <f>IF($K2356="","",IF(ISNUMBER(SEARCH("transfert-interne",IFERROR(INDEX('Paramètres'!$N:$N,MATCH($D2356,'Paramètres'!$M:$M,0))&amp;"",""))),0,IF($L2356="Débit",$K2356,IF($P2356=1,-$K2356,0))))</f>
        <v/>
      </c>
      <c r="R2356" s="6" t="str">
        <f>IF($K2356="","",IF($L2356="Crédit",$K2356,-$K2356))</f>
        <v/>
      </c>
      <c r="S2356" s="6" t="str">
        <f>IF($C2356="","",IFERROR(INDEX('Paramètres'!$H:$H,MATCH($C2356,'Paramètres'!$D:$D,0))&amp;"",""))</f>
        <v/>
      </c>
      <c r="T2356" s="6" t="str">
        <f>IF($K2356="","",IF($S2356="",0,IF(ISNUMBER(SEARCH("apport-exterieur",IFERROR(INDEX('Paramètres'!$N:$N,MATCH($D2356,'Paramètres'!$M:$M,0))&amp;"",""))),0,IF(OR(IFERROR(INDEX('Paramètres'!$I:$I,MATCH($C2356,'Paramètres'!$D:$D,0))&amp;"","")="Les deux",IFERROR(INDEX('Paramètres'!$I:$I,MATCH($C2356,'Paramètres'!$D:$D,0))&amp;"","")=IF($P2356=1,"Débit",$L2356)),-IF($P2356=1,-$K2356,$K2356),0))))</f>
        <v/>
      </c>
      <c r="U2356" s="6" t="str">
        <f>IF($K2356="","",IF(ISNUMBER(SEARCH("sortie-epargne",IFERROR(INDEX('Paramètres'!$N:$N,MATCH($D2356,'Paramètres'!$M:$M,0))&amp;"",""))),$K2356,0))</f>
        <v/>
      </c>
      <c r="V2356" s="6" t="str">
        <f>IF(AND($A2356&lt;&gt;"",$O2356=1,$L2356="Débit",N($Q2356)&gt;0,$A2356&gt;=Visualisation!$B$1,$A2356&lt;Visualisation!$D$1),MAX($V$1:V2355)+1,"")</f>
        <v/>
      </c>
    </row>
    <row r="2357" spans="1:22" x14ac:dyDescent="0.25">
      <c r="A2357" s="9"/>
      <c r="E2357" s="10"/>
      <c r="K2357" s="11" t="str">
        <f>IF($E2357="","",ROUND($E2357*IF(ISNA(MATCH($C2357,'Paramètres'!$D:$D,0)),1,IF(INDEX('Paramètres'!$J:$J,MATCH($C2357,'Paramètres'!$D:$D,0))="",1,INDEX('Paramètres'!$J:$J,MATCH($C2357,'Paramètres'!$D:$D,0)))),2))</f>
        <v/>
      </c>
      <c r="L2357" s="6" t="str">
        <f>IF($D2357="","",IF($F2357&lt;&gt;"",$F2357,IF(ISNA(MATCH($D2357,'Paramètres'!$M:$M,0)),"⚠ Type inconnu",IFERROR(INDEX('Paramètres'!$P:$P,MATCH($D2357,'Paramètres'!$M:$M,0))&amp;"",""))))</f>
        <v/>
      </c>
      <c r="M2357" s="6" t="str">
        <f>IF($D2357="","",IF(ISNA(MATCH($D2357,'Paramètres'!$M:$M,0)),"⚠ Type inconnu",IF($L2357="Crédit","",IFERROR(INDEX('Paramètres'!$O:$O,MATCH($D2357,'Paramètres'!$M:$M,0))&amp;"",""))))</f>
        <v/>
      </c>
      <c r="N2357" s="6" t="str">
        <f>IF($D2357="","",IFERROR(INDEX('Paramètres'!$Q:$Q,MATCH($D2357,'Paramètres'!$M:$M,0))&amp;"",""))</f>
        <v/>
      </c>
      <c r="O2357" s="6" t="str">
        <f>IF($A2357="","",IF(OR($J2357&lt;&gt;"x",$A2357&lt;=FinReleve),1,0))</f>
        <v/>
      </c>
      <c r="P2357" s="6" t="str">
        <f>IF($D2357="","",IF(AND($L2357="Crédit",OR(IFERROR(INDEX('Paramètres'!$O:$O,MATCH($D2357,'Paramètres'!$M:$M,0))&amp;"","")&lt;&gt;"",ISNUMBER(SEARCH("remboursement",IFERROR(INDEX('Paramètres'!$N:$N,MATCH($D2357,'Paramètres'!$M:$M,0))&amp;"",""))))),1,0))</f>
        <v/>
      </c>
      <c r="Q2357" s="6" t="str">
        <f>IF($K2357="","",IF(ISNUMBER(SEARCH("transfert-interne",IFERROR(INDEX('Paramètres'!$N:$N,MATCH($D2357,'Paramètres'!$M:$M,0))&amp;"",""))),0,IF($L2357="Débit",$K2357,IF($P2357=1,-$K2357,0))))</f>
        <v/>
      </c>
      <c r="R2357" s="6" t="str">
        <f>IF($K2357="","",IF($L2357="Crédit",$K2357,-$K2357))</f>
        <v/>
      </c>
      <c r="S2357" s="6" t="str">
        <f>IF($C2357="","",IFERROR(INDEX('Paramètres'!$H:$H,MATCH($C2357,'Paramètres'!$D:$D,0))&amp;"",""))</f>
        <v/>
      </c>
      <c r="T2357" s="6" t="str">
        <f>IF($K2357="","",IF($S2357="",0,IF(ISNUMBER(SEARCH("apport-exterieur",IFERROR(INDEX('Paramètres'!$N:$N,MATCH($D2357,'Paramètres'!$M:$M,0))&amp;"",""))),0,IF(OR(IFERROR(INDEX('Paramètres'!$I:$I,MATCH($C2357,'Paramètres'!$D:$D,0))&amp;"","")="Les deux",IFERROR(INDEX('Paramètres'!$I:$I,MATCH($C2357,'Paramètres'!$D:$D,0))&amp;"","")=IF($P2357=1,"Débit",$L2357)),-IF($P2357=1,-$K2357,$K2357),0))))</f>
        <v/>
      </c>
      <c r="U2357" s="6" t="str">
        <f>IF($K2357="","",IF(ISNUMBER(SEARCH("sortie-epargne",IFERROR(INDEX('Paramètres'!$N:$N,MATCH($D2357,'Paramètres'!$M:$M,0))&amp;"",""))),$K2357,0))</f>
        <v/>
      </c>
      <c r="V2357" s="6" t="str">
        <f>IF(AND($A2357&lt;&gt;"",$O2357=1,$L2357="Débit",N($Q2357)&gt;0,$A2357&gt;=Visualisation!$B$1,$A2357&lt;Visualisation!$D$1),MAX($V$1:V2356)+1,"")</f>
        <v/>
      </c>
    </row>
    <row r="2358" spans="1:22" x14ac:dyDescent="0.25">
      <c r="A2358" s="9"/>
      <c r="E2358" s="10"/>
      <c r="K2358" s="11" t="str">
        <f>IF($E2358="","",ROUND($E2358*IF(ISNA(MATCH($C2358,'Paramètres'!$D:$D,0)),1,IF(INDEX('Paramètres'!$J:$J,MATCH($C2358,'Paramètres'!$D:$D,0))="",1,INDEX('Paramètres'!$J:$J,MATCH($C2358,'Paramètres'!$D:$D,0)))),2))</f>
        <v/>
      </c>
      <c r="L2358" s="6" t="str">
        <f>IF($D2358="","",IF($F2358&lt;&gt;"",$F2358,IF(ISNA(MATCH($D2358,'Paramètres'!$M:$M,0)),"⚠ Type inconnu",IFERROR(INDEX('Paramètres'!$P:$P,MATCH($D2358,'Paramètres'!$M:$M,0))&amp;"",""))))</f>
        <v/>
      </c>
      <c r="M2358" s="6" t="str">
        <f>IF($D2358="","",IF(ISNA(MATCH($D2358,'Paramètres'!$M:$M,0)),"⚠ Type inconnu",IF($L2358="Crédit","",IFERROR(INDEX('Paramètres'!$O:$O,MATCH($D2358,'Paramètres'!$M:$M,0))&amp;"",""))))</f>
        <v/>
      </c>
      <c r="N2358" s="6" t="str">
        <f>IF($D2358="","",IFERROR(INDEX('Paramètres'!$Q:$Q,MATCH($D2358,'Paramètres'!$M:$M,0))&amp;"",""))</f>
        <v/>
      </c>
      <c r="O2358" s="6" t="str">
        <f>IF($A2358="","",IF(OR($J2358&lt;&gt;"x",$A2358&lt;=FinReleve),1,0))</f>
        <v/>
      </c>
      <c r="P2358" s="6" t="str">
        <f>IF($D2358="","",IF(AND($L2358="Crédit",OR(IFERROR(INDEX('Paramètres'!$O:$O,MATCH($D2358,'Paramètres'!$M:$M,0))&amp;"","")&lt;&gt;"",ISNUMBER(SEARCH("remboursement",IFERROR(INDEX('Paramètres'!$N:$N,MATCH($D2358,'Paramètres'!$M:$M,0))&amp;"",""))))),1,0))</f>
        <v/>
      </c>
      <c r="Q2358" s="6" t="str">
        <f>IF($K2358="","",IF(ISNUMBER(SEARCH("transfert-interne",IFERROR(INDEX('Paramètres'!$N:$N,MATCH($D2358,'Paramètres'!$M:$M,0))&amp;"",""))),0,IF($L2358="Débit",$K2358,IF($P2358=1,-$K2358,0))))</f>
        <v/>
      </c>
      <c r="R2358" s="6" t="str">
        <f>IF($K2358="","",IF($L2358="Crédit",$K2358,-$K2358))</f>
        <v/>
      </c>
      <c r="S2358" s="6" t="str">
        <f>IF($C2358="","",IFERROR(INDEX('Paramètres'!$H:$H,MATCH($C2358,'Paramètres'!$D:$D,0))&amp;"",""))</f>
        <v/>
      </c>
      <c r="T2358" s="6" t="str">
        <f>IF($K2358="","",IF($S2358="",0,IF(ISNUMBER(SEARCH("apport-exterieur",IFERROR(INDEX('Paramètres'!$N:$N,MATCH($D2358,'Paramètres'!$M:$M,0))&amp;"",""))),0,IF(OR(IFERROR(INDEX('Paramètres'!$I:$I,MATCH($C2358,'Paramètres'!$D:$D,0))&amp;"","")="Les deux",IFERROR(INDEX('Paramètres'!$I:$I,MATCH($C2358,'Paramètres'!$D:$D,0))&amp;"","")=IF($P2358=1,"Débit",$L2358)),-IF($P2358=1,-$K2358,$K2358),0))))</f>
        <v/>
      </c>
      <c r="U2358" s="6" t="str">
        <f>IF($K2358="","",IF(ISNUMBER(SEARCH("sortie-epargne",IFERROR(INDEX('Paramètres'!$N:$N,MATCH($D2358,'Paramètres'!$M:$M,0))&amp;"",""))),$K2358,0))</f>
        <v/>
      </c>
      <c r="V2358" s="6" t="str">
        <f>IF(AND($A2358&lt;&gt;"",$O2358=1,$L2358="Débit",N($Q2358)&gt;0,$A2358&gt;=Visualisation!$B$1,$A2358&lt;Visualisation!$D$1),MAX($V$1:V2357)+1,"")</f>
        <v/>
      </c>
    </row>
    <row r="2359" spans="1:22" x14ac:dyDescent="0.25">
      <c r="A2359" s="9"/>
      <c r="E2359" s="10"/>
      <c r="K2359" s="11" t="str">
        <f>IF($E2359="","",ROUND($E2359*IF(ISNA(MATCH($C2359,'Paramètres'!$D:$D,0)),1,IF(INDEX('Paramètres'!$J:$J,MATCH($C2359,'Paramètres'!$D:$D,0))="",1,INDEX('Paramètres'!$J:$J,MATCH($C2359,'Paramètres'!$D:$D,0)))),2))</f>
        <v/>
      </c>
      <c r="L2359" s="6" t="str">
        <f>IF($D2359="","",IF($F2359&lt;&gt;"",$F2359,IF(ISNA(MATCH($D2359,'Paramètres'!$M:$M,0)),"⚠ Type inconnu",IFERROR(INDEX('Paramètres'!$P:$P,MATCH($D2359,'Paramètres'!$M:$M,0))&amp;"",""))))</f>
        <v/>
      </c>
      <c r="M2359" s="6" t="str">
        <f>IF($D2359="","",IF(ISNA(MATCH($D2359,'Paramètres'!$M:$M,0)),"⚠ Type inconnu",IF($L2359="Crédit","",IFERROR(INDEX('Paramètres'!$O:$O,MATCH($D2359,'Paramètres'!$M:$M,0))&amp;"",""))))</f>
        <v/>
      </c>
      <c r="N2359" s="6" t="str">
        <f>IF($D2359="","",IFERROR(INDEX('Paramètres'!$Q:$Q,MATCH($D2359,'Paramètres'!$M:$M,0))&amp;"",""))</f>
        <v/>
      </c>
      <c r="O2359" s="6" t="str">
        <f>IF($A2359="","",IF(OR($J2359&lt;&gt;"x",$A2359&lt;=FinReleve),1,0))</f>
        <v/>
      </c>
      <c r="P2359" s="6" t="str">
        <f>IF($D2359="","",IF(AND($L2359="Crédit",OR(IFERROR(INDEX('Paramètres'!$O:$O,MATCH($D2359,'Paramètres'!$M:$M,0))&amp;"","")&lt;&gt;"",ISNUMBER(SEARCH("remboursement",IFERROR(INDEX('Paramètres'!$N:$N,MATCH($D2359,'Paramètres'!$M:$M,0))&amp;"",""))))),1,0))</f>
        <v/>
      </c>
      <c r="Q2359" s="6" t="str">
        <f>IF($K2359="","",IF(ISNUMBER(SEARCH("transfert-interne",IFERROR(INDEX('Paramètres'!$N:$N,MATCH($D2359,'Paramètres'!$M:$M,0))&amp;"",""))),0,IF($L2359="Débit",$K2359,IF($P2359=1,-$K2359,0))))</f>
        <v/>
      </c>
      <c r="R2359" s="6" t="str">
        <f>IF($K2359="","",IF($L2359="Crédit",$K2359,-$K2359))</f>
        <v/>
      </c>
      <c r="S2359" s="6" t="str">
        <f>IF($C2359="","",IFERROR(INDEX('Paramètres'!$H:$H,MATCH($C2359,'Paramètres'!$D:$D,0))&amp;"",""))</f>
        <v/>
      </c>
      <c r="T2359" s="6" t="str">
        <f>IF($K2359="","",IF($S2359="",0,IF(ISNUMBER(SEARCH("apport-exterieur",IFERROR(INDEX('Paramètres'!$N:$N,MATCH($D2359,'Paramètres'!$M:$M,0))&amp;"",""))),0,IF(OR(IFERROR(INDEX('Paramètres'!$I:$I,MATCH($C2359,'Paramètres'!$D:$D,0))&amp;"","")="Les deux",IFERROR(INDEX('Paramètres'!$I:$I,MATCH($C2359,'Paramètres'!$D:$D,0))&amp;"","")=IF($P2359=1,"Débit",$L2359)),-IF($P2359=1,-$K2359,$K2359),0))))</f>
        <v/>
      </c>
      <c r="U2359" s="6" t="str">
        <f>IF($K2359="","",IF(ISNUMBER(SEARCH("sortie-epargne",IFERROR(INDEX('Paramètres'!$N:$N,MATCH($D2359,'Paramètres'!$M:$M,0))&amp;"",""))),$K2359,0))</f>
        <v/>
      </c>
      <c r="V2359" s="6" t="str">
        <f>IF(AND($A2359&lt;&gt;"",$O2359=1,$L2359="Débit",N($Q2359)&gt;0,$A2359&gt;=Visualisation!$B$1,$A2359&lt;Visualisation!$D$1),MAX($V$1:V2358)+1,"")</f>
        <v/>
      </c>
    </row>
    <row r="2360" spans="1:22" x14ac:dyDescent="0.25">
      <c r="A2360" s="9"/>
      <c r="E2360" s="10"/>
      <c r="K2360" s="11" t="str">
        <f>IF($E2360="","",ROUND($E2360*IF(ISNA(MATCH($C2360,'Paramètres'!$D:$D,0)),1,IF(INDEX('Paramètres'!$J:$J,MATCH($C2360,'Paramètres'!$D:$D,0))="",1,INDEX('Paramètres'!$J:$J,MATCH($C2360,'Paramètres'!$D:$D,0)))),2))</f>
        <v/>
      </c>
      <c r="L2360" s="6" t="str">
        <f>IF($D2360="","",IF($F2360&lt;&gt;"",$F2360,IF(ISNA(MATCH($D2360,'Paramètres'!$M:$M,0)),"⚠ Type inconnu",IFERROR(INDEX('Paramètres'!$P:$P,MATCH($D2360,'Paramètres'!$M:$M,0))&amp;"",""))))</f>
        <v/>
      </c>
      <c r="M2360" s="6" t="str">
        <f>IF($D2360="","",IF(ISNA(MATCH($D2360,'Paramètres'!$M:$M,0)),"⚠ Type inconnu",IF($L2360="Crédit","",IFERROR(INDEX('Paramètres'!$O:$O,MATCH($D2360,'Paramètres'!$M:$M,0))&amp;"",""))))</f>
        <v/>
      </c>
      <c r="N2360" s="6" t="str">
        <f>IF($D2360="","",IFERROR(INDEX('Paramètres'!$Q:$Q,MATCH($D2360,'Paramètres'!$M:$M,0))&amp;"",""))</f>
        <v/>
      </c>
      <c r="O2360" s="6" t="str">
        <f>IF($A2360="","",IF(OR($J2360&lt;&gt;"x",$A2360&lt;=FinReleve),1,0))</f>
        <v/>
      </c>
      <c r="P2360" s="6" t="str">
        <f>IF($D2360="","",IF(AND($L2360="Crédit",OR(IFERROR(INDEX('Paramètres'!$O:$O,MATCH($D2360,'Paramètres'!$M:$M,0))&amp;"","")&lt;&gt;"",ISNUMBER(SEARCH("remboursement",IFERROR(INDEX('Paramètres'!$N:$N,MATCH($D2360,'Paramètres'!$M:$M,0))&amp;"",""))))),1,0))</f>
        <v/>
      </c>
      <c r="Q2360" s="6" t="str">
        <f>IF($K2360="","",IF(ISNUMBER(SEARCH("transfert-interne",IFERROR(INDEX('Paramètres'!$N:$N,MATCH($D2360,'Paramètres'!$M:$M,0))&amp;"",""))),0,IF($L2360="Débit",$K2360,IF($P2360=1,-$K2360,0))))</f>
        <v/>
      </c>
      <c r="R2360" s="6" t="str">
        <f>IF($K2360="","",IF($L2360="Crédit",$K2360,-$K2360))</f>
        <v/>
      </c>
      <c r="S2360" s="6" t="str">
        <f>IF($C2360="","",IFERROR(INDEX('Paramètres'!$H:$H,MATCH($C2360,'Paramètres'!$D:$D,0))&amp;"",""))</f>
        <v/>
      </c>
      <c r="T2360" s="6" t="str">
        <f>IF($K2360="","",IF($S2360="",0,IF(ISNUMBER(SEARCH("apport-exterieur",IFERROR(INDEX('Paramètres'!$N:$N,MATCH($D2360,'Paramètres'!$M:$M,0))&amp;"",""))),0,IF(OR(IFERROR(INDEX('Paramètres'!$I:$I,MATCH($C2360,'Paramètres'!$D:$D,0))&amp;"","")="Les deux",IFERROR(INDEX('Paramètres'!$I:$I,MATCH($C2360,'Paramètres'!$D:$D,0))&amp;"","")=IF($P2360=1,"Débit",$L2360)),-IF($P2360=1,-$K2360,$K2360),0))))</f>
        <v/>
      </c>
      <c r="U2360" s="6" t="str">
        <f>IF($K2360="","",IF(ISNUMBER(SEARCH("sortie-epargne",IFERROR(INDEX('Paramètres'!$N:$N,MATCH($D2360,'Paramètres'!$M:$M,0))&amp;"",""))),$K2360,0))</f>
        <v/>
      </c>
      <c r="V2360" s="6" t="str">
        <f>IF(AND($A2360&lt;&gt;"",$O2360=1,$L2360="Débit",N($Q2360)&gt;0,$A2360&gt;=Visualisation!$B$1,$A2360&lt;Visualisation!$D$1),MAX($V$1:V2359)+1,"")</f>
        <v/>
      </c>
    </row>
    <row r="2361" spans="1:22" x14ac:dyDescent="0.25">
      <c r="A2361" s="9"/>
      <c r="E2361" s="10"/>
      <c r="K2361" s="11" t="str">
        <f>IF($E2361="","",ROUND($E2361*IF(ISNA(MATCH($C2361,'Paramètres'!$D:$D,0)),1,IF(INDEX('Paramètres'!$J:$J,MATCH($C2361,'Paramètres'!$D:$D,0))="",1,INDEX('Paramètres'!$J:$J,MATCH($C2361,'Paramètres'!$D:$D,0)))),2))</f>
        <v/>
      </c>
      <c r="L2361" s="6" t="str">
        <f>IF($D2361="","",IF($F2361&lt;&gt;"",$F2361,IF(ISNA(MATCH($D2361,'Paramètres'!$M:$M,0)),"⚠ Type inconnu",IFERROR(INDEX('Paramètres'!$P:$P,MATCH($D2361,'Paramètres'!$M:$M,0))&amp;"",""))))</f>
        <v/>
      </c>
      <c r="M2361" s="6" t="str">
        <f>IF($D2361="","",IF(ISNA(MATCH($D2361,'Paramètres'!$M:$M,0)),"⚠ Type inconnu",IF($L2361="Crédit","",IFERROR(INDEX('Paramètres'!$O:$O,MATCH($D2361,'Paramètres'!$M:$M,0))&amp;"",""))))</f>
        <v/>
      </c>
      <c r="N2361" s="6" t="str">
        <f>IF($D2361="","",IFERROR(INDEX('Paramètres'!$Q:$Q,MATCH($D2361,'Paramètres'!$M:$M,0))&amp;"",""))</f>
        <v/>
      </c>
      <c r="O2361" s="6" t="str">
        <f>IF($A2361="","",IF(OR($J2361&lt;&gt;"x",$A2361&lt;=FinReleve),1,0))</f>
        <v/>
      </c>
      <c r="P2361" s="6" t="str">
        <f>IF($D2361="","",IF(AND($L2361="Crédit",OR(IFERROR(INDEX('Paramètres'!$O:$O,MATCH($D2361,'Paramètres'!$M:$M,0))&amp;"","")&lt;&gt;"",ISNUMBER(SEARCH("remboursement",IFERROR(INDEX('Paramètres'!$N:$N,MATCH($D2361,'Paramètres'!$M:$M,0))&amp;"",""))))),1,0))</f>
        <v/>
      </c>
      <c r="Q2361" s="6" t="str">
        <f>IF($K2361="","",IF(ISNUMBER(SEARCH("transfert-interne",IFERROR(INDEX('Paramètres'!$N:$N,MATCH($D2361,'Paramètres'!$M:$M,0))&amp;"",""))),0,IF($L2361="Débit",$K2361,IF($P2361=1,-$K2361,0))))</f>
        <v/>
      </c>
      <c r="R2361" s="6" t="str">
        <f>IF($K2361="","",IF($L2361="Crédit",$K2361,-$K2361))</f>
        <v/>
      </c>
      <c r="S2361" s="6" t="str">
        <f>IF($C2361="","",IFERROR(INDEX('Paramètres'!$H:$H,MATCH($C2361,'Paramètres'!$D:$D,0))&amp;"",""))</f>
        <v/>
      </c>
      <c r="T2361" s="6" t="str">
        <f>IF($K2361="","",IF($S2361="",0,IF(ISNUMBER(SEARCH("apport-exterieur",IFERROR(INDEX('Paramètres'!$N:$N,MATCH($D2361,'Paramètres'!$M:$M,0))&amp;"",""))),0,IF(OR(IFERROR(INDEX('Paramètres'!$I:$I,MATCH($C2361,'Paramètres'!$D:$D,0))&amp;"","")="Les deux",IFERROR(INDEX('Paramètres'!$I:$I,MATCH($C2361,'Paramètres'!$D:$D,0))&amp;"","")=IF($P2361=1,"Débit",$L2361)),-IF($P2361=1,-$K2361,$K2361),0))))</f>
        <v/>
      </c>
      <c r="U2361" s="6" t="str">
        <f>IF($K2361="","",IF(ISNUMBER(SEARCH("sortie-epargne",IFERROR(INDEX('Paramètres'!$N:$N,MATCH($D2361,'Paramètres'!$M:$M,0))&amp;"",""))),$K2361,0))</f>
        <v/>
      </c>
      <c r="V2361" s="6" t="str">
        <f>IF(AND($A2361&lt;&gt;"",$O2361=1,$L2361="Débit",N($Q2361)&gt;0,$A2361&gt;=Visualisation!$B$1,$A2361&lt;Visualisation!$D$1),MAX($V$1:V2360)+1,"")</f>
        <v/>
      </c>
    </row>
    <row r="2362" spans="1:22" x14ac:dyDescent="0.25">
      <c r="A2362" s="9"/>
      <c r="E2362" s="10"/>
      <c r="K2362" s="11" t="str">
        <f>IF($E2362="","",ROUND($E2362*IF(ISNA(MATCH($C2362,'Paramètres'!$D:$D,0)),1,IF(INDEX('Paramètres'!$J:$J,MATCH($C2362,'Paramètres'!$D:$D,0))="",1,INDEX('Paramètres'!$J:$J,MATCH($C2362,'Paramètres'!$D:$D,0)))),2))</f>
        <v/>
      </c>
      <c r="L2362" s="6" t="str">
        <f>IF($D2362="","",IF($F2362&lt;&gt;"",$F2362,IF(ISNA(MATCH($D2362,'Paramètres'!$M:$M,0)),"⚠ Type inconnu",IFERROR(INDEX('Paramètres'!$P:$P,MATCH($D2362,'Paramètres'!$M:$M,0))&amp;"",""))))</f>
        <v/>
      </c>
      <c r="M2362" s="6" t="str">
        <f>IF($D2362="","",IF(ISNA(MATCH($D2362,'Paramètres'!$M:$M,0)),"⚠ Type inconnu",IF($L2362="Crédit","",IFERROR(INDEX('Paramètres'!$O:$O,MATCH($D2362,'Paramètres'!$M:$M,0))&amp;"",""))))</f>
        <v/>
      </c>
      <c r="N2362" s="6" t="str">
        <f>IF($D2362="","",IFERROR(INDEX('Paramètres'!$Q:$Q,MATCH($D2362,'Paramètres'!$M:$M,0))&amp;"",""))</f>
        <v/>
      </c>
      <c r="O2362" s="6" t="str">
        <f>IF($A2362="","",IF(OR($J2362&lt;&gt;"x",$A2362&lt;=FinReleve),1,0))</f>
        <v/>
      </c>
      <c r="P2362" s="6" t="str">
        <f>IF($D2362="","",IF(AND($L2362="Crédit",OR(IFERROR(INDEX('Paramètres'!$O:$O,MATCH($D2362,'Paramètres'!$M:$M,0))&amp;"","")&lt;&gt;"",ISNUMBER(SEARCH("remboursement",IFERROR(INDEX('Paramètres'!$N:$N,MATCH($D2362,'Paramètres'!$M:$M,0))&amp;"",""))))),1,0))</f>
        <v/>
      </c>
      <c r="Q2362" s="6" t="str">
        <f>IF($K2362="","",IF(ISNUMBER(SEARCH("transfert-interne",IFERROR(INDEX('Paramètres'!$N:$N,MATCH($D2362,'Paramètres'!$M:$M,0))&amp;"",""))),0,IF($L2362="Débit",$K2362,IF($P2362=1,-$K2362,0))))</f>
        <v/>
      </c>
      <c r="R2362" s="6" t="str">
        <f>IF($K2362="","",IF($L2362="Crédit",$K2362,-$K2362))</f>
        <v/>
      </c>
      <c r="S2362" s="6" t="str">
        <f>IF($C2362="","",IFERROR(INDEX('Paramètres'!$H:$H,MATCH($C2362,'Paramètres'!$D:$D,0))&amp;"",""))</f>
        <v/>
      </c>
      <c r="T2362" s="6" t="str">
        <f>IF($K2362="","",IF($S2362="",0,IF(ISNUMBER(SEARCH("apport-exterieur",IFERROR(INDEX('Paramètres'!$N:$N,MATCH($D2362,'Paramètres'!$M:$M,0))&amp;"",""))),0,IF(OR(IFERROR(INDEX('Paramètres'!$I:$I,MATCH($C2362,'Paramètres'!$D:$D,0))&amp;"","")="Les deux",IFERROR(INDEX('Paramètres'!$I:$I,MATCH($C2362,'Paramètres'!$D:$D,0))&amp;"","")=IF($P2362=1,"Débit",$L2362)),-IF($P2362=1,-$K2362,$K2362),0))))</f>
        <v/>
      </c>
      <c r="U2362" s="6" t="str">
        <f>IF($K2362="","",IF(ISNUMBER(SEARCH("sortie-epargne",IFERROR(INDEX('Paramètres'!$N:$N,MATCH($D2362,'Paramètres'!$M:$M,0))&amp;"",""))),$K2362,0))</f>
        <v/>
      </c>
      <c r="V2362" s="6" t="str">
        <f>IF(AND($A2362&lt;&gt;"",$O2362=1,$L2362="Débit",N($Q2362)&gt;0,$A2362&gt;=Visualisation!$B$1,$A2362&lt;Visualisation!$D$1),MAX($V$1:V2361)+1,"")</f>
        <v/>
      </c>
    </row>
    <row r="2363" spans="1:22" x14ac:dyDescent="0.25">
      <c r="A2363" s="9"/>
      <c r="E2363" s="10"/>
      <c r="K2363" s="11" t="str">
        <f>IF($E2363="","",ROUND($E2363*IF(ISNA(MATCH($C2363,'Paramètres'!$D:$D,0)),1,IF(INDEX('Paramètres'!$J:$J,MATCH($C2363,'Paramètres'!$D:$D,0))="",1,INDEX('Paramètres'!$J:$J,MATCH($C2363,'Paramètres'!$D:$D,0)))),2))</f>
        <v/>
      </c>
      <c r="L2363" s="6" t="str">
        <f>IF($D2363="","",IF($F2363&lt;&gt;"",$F2363,IF(ISNA(MATCH($D2363,'Paramètres'!$M:$M,0)),"⚠ Type inconnu",IFERROR(INDEX('Paramètres'!$P:$P,MATCH($D2363,'Paramètres'!$M:$M,0))&amp;"",""))))</f>
        <v/>
      </c>
      <c r="M2363" s="6" t="str">
        <f>IF($D2363="","",IF(ISNA(MATCH($D2363,'Paramètres'!$M:$M,0)),"⚠ Type inconnu",IF($L2363="Crédit","",IFERROR(INDEX('Paramètres'!$O:$O,MATCH($D2363,'Paramètres'!$M:$M,0))&amp;"",""))))</f>
        <v/>
      </c>
      <c r="N2363" s="6" t="str">
        <f>IF($D2363="","",IFERROR(INDEX('Paramètres'!$Q:$Q,MATCH($D2363,'Paramètres'!$M:$M,0))&amp;"",""))</f>
        <v/>
      </c>
      <c r="O2363" s="6" t="str">
        <f>IF($A2363="","",IF(OR($J2363&lt;&gt;"x",$A2363&lt;=FinReleve),1,0))</f>
        <v/>
      </c>
      <c r="P2363" s="6" t="str">
        <f>IF($D2363="","",IF(AND($L2363="Crédit",OR(IFERROR(INDEX('Paramètres'!$O:$O,MATCH($D2363,'Paramètres'!$M:$M,0))&amp;"","")&lt;&gt;"",ISNUMBER(SEARCH("remboursement",IFERROR(INDEX('Paramètres'!$N:$N,MATCH($D2363,'Paramètres'!$M:$M,0))&amp;"",""))))),1,0))</f>
        <v/>
      </c>
      <c r="Q2363" s="6" t="str">
        <f>IF($K2363="","",IF(ISNUMBER(SEARCH("transfert-interne",IFERROR(INDEX('Paramètres'!$N:$N,MATCH($D2363,'Paramètres'!$M:$M,0))&amp;"",""))),0,IF($L2363="Débit",$K2363,IF($P2363=1,-$K2363,0))))</f>
        <v/>
      </c>
      <c r="R2363" s="6" t="str">
        <f>IF($K2363="","",IF($L2363="Crédit",$K2363,-$K2363))</f>
        <v/>
      </c>
      <c r="S2363" s="6" t="str">
        <f>IF($C2363="","",IFERROR(INDEX('Paramètres'!$H:$H,MATCH($C2363,'Paramètres'!$D:$D,0))&amp;"",""))</f>
        <v/>
      </c>
      <c r="T2363" s="6" t="str">
        <f>IF($K2363="","",IF($S2363="",0,IF(ISNUMBER(SEARCH("apport-exterieur",IFERROR(INDEX('Paramètres'!$N:$N,MATCH($D2363,'Paramètres'!$M:$M,0))&amp;"",""))),0,IF(OR(IFERROR(INDEX('Paramètres'!$I:$I,MATCH($C2363,'Paramètres'!$D:$D,0))&amp;"","")="Les deux",IFERROR(INDEX('Paramètres'!$I:$I,MATCH($C2363,'Paramètres'!$D:$D,0))&amp;"","")=IF($P2363=1,"Débit",$L2363)),-IF($P2363=1,-$K2363,$K2363),0))))</f>
        <v/>
      </c>
      <c r="U2363" s="6" t="str">
        <f>IF($K2363="","",IF(ISNUMBER(SEARCH("sortie-epargne",IFERROR(INDEX('Paramètres'!$N:$N,MATCH($D2363,'Paramètres'!$M:$M,0))&amp;"",""))),$K2363,0))</f>
        <v/>
      </c>
      <c r="V2363" s="6" t="str">
        <f>IF(AND($A2363&lt;&gt;"",$O2363=1,$L2363="Débit",N($Q2363)&gt;0,$A2363&gt;=Visualisation!$B$1,$A2363&lt;Visualisation!$D$1),MAX($V$1:V2362)+1,"")</f>
        <v/>
      </c>
    </row>
    <row r="2364" spans="1:22" x14ac:dyDescent="0.25">
      <c r="A2364" s="9"/>
      <c r="E2364" s="10"/>
      <c r="K2364" s="11" t="str">
        <f>IF($E2364="","",ROUND($E2364*IF(ISNA(MATCH($C2364,'Paramètres'!$D:$D,0)),1,IF(INDEX('Paramètres'!$J:$J,MATCH($C2364,'Paramètres'!$D:$D,0))="",1,INDEX('Paramètres'!$J:$J,MATCH($C2364,'Paramètres'!$D:$D,0)))),2))</f>
        <v/>
      </c>
      <c r="L2364" s="6" t="str">
        <f>IF($D2364="","",IF($F2364&lt;&gt;"",$F2364,IF(ISNA(MATCH($D2364,'Paramètres'!$M:$M,0)),"⚠ Type inconnu",IFERROR(INDEX('Paramètres'!$P:$P,MATCH($D2364,'Paramètres'!$M:$M,0))&amp;"",""))))</f>
        <v/>
      </c>
      <c r="M2364" s="6" t="str">
        <f>IF($D2364="","",IF(ISNA(MATCH($D2364,'Paramètres'!$M:$M,0)),"⚠ Type inconnu",IF($L2364="Crédit","",IFERROR(INDEX('Paramètres'!$O:$O,MATCH($D2364,'Paramètres'!$M:$M,0))&amp;"",""))))</f>
        <v/>
      </c>
      <c r="N2364" s="6" t="str">
        <f>IF($D2364="","",IFERROR(INDEX('Paramètres'!$Q:$Q,MATCH($D2364,'Paramètres'!$M:$M,0))&amp;"",""))</f>
        <v/>
      </c>
      <c r="O2364" s="6" t="str">
        <f>IF($A2364="","",IF(OR($J2364&lt;&gt;"x",$A2364&lt;=FinReleve),1,0))</f>
        <v/>
      </c>
      <c r="P2364" s="6" t="str">
        <f>IF($D2364="","",IF(AND($L2364="Crédit",OR(IFERROR(INDEX('Paramètres'!$O:$O,MATCH($D2364,'Paramètres'!$M:$M,0))&amp;"","")&lt;&gt;"",ISNUMBER(SEARCH("remboursement",IFERROR(INDEX('Paramètres'!$N:$N,MATCH($D2364,'Paramètres'!$M:$M,0))&amp;"",""))))),1,0))</f>
        <v/>
      </c>
      <c r="Q2364" s="6" t="str">
        <f>IF($K2364="","",IF(ISNUMBER(SEARCH("transfert-interne",IFERROR(INDEX('Paramètres'!$N:$N,MATCH($D2364,'Paramètres'!$M:$M,0))&amp;"",""))),0,IF($L2364="Débit",$K2364,IF($P2364=1,-$K2364,0))))</f>
        <v/>
      </c>
      <c r="R2364" s="6" t="str">
        <f>IF($K2364="","",IF($L2364="Crédit",$K2364,-$K2364))</f>
        <v/>
      </c>
      <c r="S2364" s="6" t="str">
        <f>IF($C2364="","",IFERROR(INDEX('Paramètres'!$H:$H,MATCH($C2364,'Paramètres'!$D:$D,0))&amp;"",""))</f>
        <v/>
      </c>
      <c r="T2364" s="6" t="str">
        <f>IF($K2364="","",IF($S2364="",0,IF(ISNUMBER(SEARCH("apport-exterieur",IFERROR(INDEX('Paramètres'!$N:$N,MATCH($D2364,'Paramètres'!$M:$M,0))&amp;"",""))),0,IF(OR(IFERROR(INDEX('Paramètres'!$I:$I,MATCH($C2364,'Paramètres'!$D:$D,0))&amp;"","")="Les deux",IFERROR(INDEX('Paramètres'!$I:$I,MATCH($C2364,'Paramètres'!$D:$D,0))&amp;"","")=IF($P2364=1,"Débit",$L2364)),-IF($P2364=1,-$K2364,$K2364),0))))</f>
        <v/>
      </c>
      <c r="U2364" s="6" t="str">
        <f>IF($K2364="","",IF(ISNUMBER(SEARCH("sortie-epargne",IFERROR(INDEX('Paramètres'!$N:$N,MATCH($D2364,'Paramètres'!$M:$M,0))&amp;"",""))),$K2364,0))</f>
        <v/>
      </c>
      <c r="V2364" s="6" t="str">
        <f>IF(AND($A2364&lt;&gt;"",$O2364=1,$L2364="Débit",N($Q2364)&gt;0,$A2364&gt;=Visualisation!$B$1,$A2364&lt;Visualisation!$D$1),MAX($V$1:V2363)+1,"")</f>
        <v/>
      </c>
    </row>
    <row r="2365" spans="1:22" x14ac:dyDescent="0.25">
      <c r="A2365" s="9"/>
      <c r="E2365" s="10"/>
      <c r="K2365" s="11" t="str">
        <f>IF($E2365="","",ROUND($E2365*IF(ISNA(MATCH($C2365,'Paramètres'!$D:$D,0)),1,IF(INDEX('Paramètres'!$J:$J,MATCH($C2365,'Paramètres'!$D:$D,0))="",1,INDEX('Paramètres'!$J:$J,MATCH($C2365,'Paramètres'!$D:$D,0)))),2))</f>
        <v/>
      </c>
      <c r="L2365" s="6" t="str">
        <f>IF($D2365="","",IF($F2365&lt;&gt;"",$F2365,IF(ISNA(MATCH($D2365,'Paramètres'!$M:$M,0)),"⚠ Type inconnu",IFERROR(INDEX('Paramètres'!$P:$P,MATCH($D2365,'Paramètres'!$M:$M,0))&amp;"",""))))</f>
        <v/>
      </c>
      <c r="M2365" s="6" t="str">
        <f>IF($D2365="","",IF(ISNA(MATCH($D2365,'Paramètres'!$M:$M,0)),"⚠ Type inconnu",IF($L2365="Crédit","",IFERROR(INDEX('Paramètres'!$O:$O,MATCH($D2365,'Paramètres'!$M:$M,0))&amp;"",""))))</f>
        <v/>
      </c>
      <c r="N2365" s="6" t="str">
        <f>IF($D2365="","",IFERROR(INDEX('Paramètres'!$Q:$Q,MATCH($D2365,'Paramètres'!$M:$M,0))&amp;"",""))</f>
        <v/>
      </c>
      <c r="O2365" s="6" t="str">
        <f>IF($A2365="","",IF(OR($J2365&lt;&gt;"x",$A2365&lt;=FinReleve),1,0))</f>
        <v/>
      </c>
      <c r="P2365" s="6" t="str">
        <f>IF($D2365="","",IF(AND($L2365="Crédit",OR(IFERROR(INDEX('Paramètres'!$O:$O,MATCH($D2365,'Paramètres'!$M:$M,0))&amp;"","")&lt;&gt;"",ISNUMBER(SEARCH("remboursement",IFERROR(INDEX('Paramètres'!$N:$N,MATCH($D2365,'Paramètres'!$M:$M,0))&amp;"",""))))),1,0))</f>
        <v/>
      </c>
      <c r="Q2365" s="6" t="str">
        <f>IF($K2365="","",IF(ISNUMBER(SEARCH("transfert-interne",IFERROR(INDEX('Paramètres'!$N:$N,MATCH($D2365,'Paramètres'!$M:$M,0))&amp;"",""))),0,IF($L2365="Débit",$K2365,IF($P2365=1,-$K2365,0))))</f>
        <v/>
      </c>
      <c r="R2365" s="6" t="str">
        <f>IF($K2365="","",IF($L2365="Crédit",$K2365,-$K2365))</f>
        <v/>
      </c>
      <c r="S2365" s="6" t="str">
        <f>IF($C2365="","",IFERROR(INDEX('Paramètres'!$H:$H,MATCH($C2365,'Paramètres'!$D:$D,0))&amp;"",""))</f>
        <v/>
      </c>
      <c r="T2365" s="6" t="str">
        <f>IF($K2365="","",IF($S2365="",0,IF(ISNUMBER(SEARCH("apport-exterieur",IFERROR(INDEX('Paramètres'!$N:$N,MATCH($D2365,'Paramètres'!$M:$M,0))&amp;"",""))),0,IF(OR(IFERROR(INDEX('Paramètres'!$I:$I,MATCH($C2365,'Paramètres'!$D:$D,0))&amp;"","")="Les deux",IFERROR(INDEX('Paramètres'!$I:$I,MATCH($C2365,'Paramètres'!$D:$D,0))&amp;"","")=IF($P2365=1,"Débit",$L2365)),-IF($P2365=1,-$K2365,$K2365),0))))</f>
        <v/>
      </c>
      <c r="U2365" s="6" t="str">
        <f>IF($K2365="","",IF(ISNUMBER(SEARCH("sortie-epargne",IFERROR(INDEX('Paramètres'!$N:$N,MATCH($D2365,'Paramètres'!$M:$M,0))&amp;"",""))),$K2365,0))</f>
        <v/>
      </c>
      <c r="V2365" s="6" t="str">
        <f>IF(AND($A2365&lt;&gt;"",$O2365=1,$L2365="Débit",N($Q2365)&gt;0,$A2365&gt;=Visualisation!$B$1,$A2365&lt;Visualisation!$D$1),MAX($V$1:V2364)+1,"")</f>
        <v/>
      </c>
    </row>
    <row r="2366" spans="1:22" x14ac:dyDescent="0.25">
      <c r="A2366" s="9"/>
      <c r="E2366" s="10"/>
      <c r="K2366" s="11" t="str">
        <f>IF($E2366="","",ROUND($E2366*IF(ISNA(MATCH($C2366,'Paramètres'!$D:$D,0)),1,IF(INDEX('Paramètres'!$J:$J,MATCH($C2366,'Paramètres'!$D:$D,0))="",1,INDEX('Paramètres'!$J:$J,MATCH($C2366,'Paramètres'!$D:$D,0)))),2))</f>
        <v/>
      </c>
      <c r="L2366" s="6" t="str">
        <f>IF($D2366="","",IF($F2366&lt;&gt;"",$F2366,IF(ISNA(MATCH($D2366,'Paramètres'!$M:$M,0)),"⚠ Type inconnu",IFERROR(INDEX('Paramètres'!$P:$P,MATCH($D2366,'Paramètres'!$M:$M,0))&amp;"",""))))</f>
        <v/>
      </c>
      <c r="M2366" s="6" t="str">
        <f>IF($D2366="","",IF(ISNA(MATCH($D2366,'Paramètres'!$M:$M,0)),"⚠ Type inconnu",IF($L2366="Crédit","",IFERROR(INDEX('Paramètres'!$O:$O,MATCH($D2366,'Paramètres'!$M:$M,0))&amp;"",""))))</f>
        <v/>
      </c>
      <c r="N2366" s="6" t="str">
        <f>IF($D2366="","",IFERROR(INDEX('Paramètres'!$Q:$Q,MATCH($D2366,'Paramètres'!$M:$M,0))&amp;"",""))</f>
        <v/>
      </c>
      <c r="O2366" s="6" t="str">
        <f>IF($A2366="","",IF(OR($J2366&lt;&gt;"x",$A2366&lt;=FinReleve),1,0))</f>
        <v/>
      </c>
      <c r="P2366" s="6" t="str">
        <f>IF($D2366="","",IF(AND($L2366="Crédit",OR(IFERROR(INDEX('Paramètres'!$O:$O,MATCH($D2366,'Paramètres'!$M:$M,0))&amp;"","")&lt;&gt;"",ISNUMBER(SEARCH("remboursement",IFERROR(INDEX('Paramètres'!$N:$N,MATCH($D2366,'Paramètres'!$M:$M,0))&amp;"",""))))),1,0))</f>
        <v/>
      </c>
      <c r="Q2366" s="6" t="str">
        <f>IF($K2366="","",IF(ISNUMBER(SEARCH("transfert-interne",IFERROR(INDEX('Paramètres'!$N:$N,MATCH($D2366,'Paramètres'!$M:$M,0))&amp;"",""))),0,IF($L2366="Débit",$K2366,IF($P2366=1,-$K2366,0))))</f>
        <v/>
      </c>
      <c r="R2366" s="6" t="str">
        <f>IF($K2366="","",IF($L2366="Crédit",$K2366,-$K2366))</f>
        <v/>
      </c>
      <c r="S2366" s="6" t="str">
        <f>IF($C2366="","",IFERROR(INDEX('Paramètres'!$H:$H,MATCH($C2366,'Paramètres'!$D:$D,0))&amp;"",""))</f>
        <v/>
      </c>
      <c r="T2366" s="6" t="str">
        <f>IF($K2366="","",IF($S2366="",0,IF(ISNUMBER(SEARCH("apport-exterieur",IFERROR(INDEX('Paramètres'!$N:$N,MATCH($D2366,'Paramètres'!$M:$M,0))&amp;"",""))),0,IF(OR(IFERROR(INDEX('Paramètres'!$I:$I,MATCH($C2366,'Paramètres'!$D:$D,0))&amp;"","")="Les deux",IFERROR(INDEX('Paramètres'!$I:$I,MATCH($C2366,'Paramètres'!$D:$D,0))&amp;"","")=IF($P2366=1,"Débit",$L2366)),-IF($P2366=1,-$K2366,$K2366),0))))</f>
        <v/>
      </c>
      <c r="U2366" s="6" t="str">
        <f>IF($K2366="","",IF(ISNUMBER(SEARCH("sortie-epargne",IFERROR(INDEX('Paramètres'!$N:$N,MATCH($D2366,'Paramètres'!$M:$M,0))&amp;"",""))),$K2366,0))</f>
        <v/>
      </c>
      <c r="V2366" s="6" t="str">
        <f>IF(AND($A2366&lt;&gt;"",$O2366=1,$L2366="Débit",N($Q2366)&gt;0,$A2366&gt;=Visualisation!$B$1,$A2366&lt;Visualisation!$D$1),MAX($V$1:V2365)+1,"")</f>
        <v/>
      </c>
    </row>
    <row r="2367" spans="1:22" x14ac:dyDescent="0.25">
      <c r="A2367" s="9"/>
      <c r="E2367" s="10"/>
      <c r="K2367" s="11" t="str">
        <f>IF($E2367="","",ROUND($E2367*IF(ISNA(MATCH($C2367,'Paramètres'!$D:$D,0)),1,IF(INDEX('Paramètres'!$J:$J,MATCH($C2367,'Paramètres'!$D:$D,0))="",1,INDEX('Paramètres'!$J:$J,MATCH($C2367,'Paramètres'!$D:$D,0)))),2))</f>
        <v/>
      </c>
      <c r="L2367" s="6" t="str">
        <f>IF($D2367="","",IF($F2367&lt;&gt;"",$F2367,IF(ISNA(MATCH($D2367,'Paramètres'!$M:$M,0)),"⚠ Type inconnu",IFERROR(INDEX('Paramètres'!$P:$P,MATCH($D2367,'Paramètres'!$M:$M,0))&amp;"",""))))</f>
        <v/>
      </c>
      <c r="M2367" s="6" t="str">
        <f>IF($D2367="","",IF(ISNA(MATCH($D2367,'Paramètres'!$M:$M,0)),"⚠ Type inconnu",IF($L2367="Crédit","",IFERROR(INDEX('Paramètres'!$O:$O,MATCH($D2367,'Paramètres'!$M:$M,0))&amp;"",""))))</f>
        <v/>
      </c>
      <c r="N2367" s="6" t="str">
        <f>IF($D2367="","",IFERROR(INDEX('Paramètres'!$Q:$Q,MATCH($D2367,'Paramètres'!$M:$M,0))&amp;"",""))</f>
        <v/>
      </c>
      <c r="O2367" s="6" t="str">
        <f>IF($A2367="","",IF(OR($J2367&lt;&gt;"x",$A2367&lt;=FinReleve),1,0))</f>
        <v/>
      </c>
      <c r="P2367" s="6" t="str">
        <f>IF($D2367="","",IF(AND($L2367="Crédit",OR(IFERROR(INDEX('Paramètres'!$O:$O,MATCH($D2367,'Paramètres'!$M:$M,0))&amp;"","")&lt;&gt;"",ISNUMBER(SEARCH("remboursement",IFERROR(INDEX('Paramètres'!$N:$N,MATCH($D2367,'Paramètres'!$M:$M,0))&amp;"",""))))),1,0))</f>
        <v/>
      </c>
      <c r="Q2367" s="6" t="str">
        <f>IF($K2367="","",IF(ISNUMBER(SEARCH("transfert-interne",IFERROR(INDEX('Paramètres'!$N:$N,MATCH($D2367,'Paramètres'!$M:$M,0))&amp;"",""))),0,IF($L2367="Débit",$K2367,IF($P2367=1,-$K2367,0))))</f>
        <v/>
      </c>
      <c r="R2367" s="6" t="str">
        <f>IF($K2367="","",IF($L2367="Crédit",$K2367,-$K2367))</f>
        <v/>
      </c>
      <c r="S2367" s="6" t="str">
        <f>IF($C2367="","",IFERROR(INDEX('Paramètres'!$H:$H,MATCH($C2367,'Paramètres'!$D:$D,0))&amp;"",""))</f>
        <v/>
      </c>
      <c r="T2367" s="6" t="str">
        <f>IF($K2367="","",IF($S2367="",0,IF(ISNUMBER(SEARCH("apport-exterieur",IFERROR(INDEX('Paramètres'!$N:$N,MATCH($D2367,'Paramètres'!$M:$M,0))&amp;"",""))),0,IF(OR(IFERROR(INDEX('Paramètres'!$I:$I,MATCH($C2367,'Paramètres'!$D:$D,0))&amp;"","")="Les deux",IFERROR(INDEX('Paramètres'!$I:$I,MATCH($C2367,'Paramètres'!$D:$D,0))&amp;"","")=IF($P2367=1,"Débit",$L2367)),-IF($P2367=1,-$K2367,$K2367),0))))</f>
        <v/>
      </c>
      <c r="U2367" s="6" t="str">
        <f>IF($K2367="","",IF(ISNUMBER(SEARCH("sortie-epargne",IFERROR(INDEX('Paramètres'!$N:$N,MATCH($D2367,'Paramètres'!$M:$M,0))&amp;"",""))),$K2367,0))</f>
        <v/>
      </c>
      <c r="V2367" s="6" t="str">
        <f>IF(AND($A2367&lt;&gt;"",$O2367=1,$L2367="Débit",N($Q2367)&gt;0,$A2367&gt;=Visualisation!$B$1,$A2367&lt;Visualisation!$D$1),MAX($V$1:V2366)+1,"")</f>
        <v/>
      </c>
    </row>
    <row r="2368" spans="1:22" x14ac:dyDescent="0.25">
      <c r="A2368" s="9"/>
      <c r="E2368" s="10"/>
      <c r="K2368" s="11" t="str">
        <f>IF($E2368="","",ROUND($E2368*IF(ISNA(MATCH($C2368,'Paramètres'!$D:$D,0)),1,IF(INDEX('Paramètres'!$J:$J,MATCH($C2368,'Paramètres'!$D:$D,0))="",1,INDEX('Paramètres'!$J:$J,MATCH($C2368,'Paramètres'!$D:$D,0)))),2))</f>
        <v/>
      </c>
      <c r="L2368" s="6" t="str">
        <f>IF($D2368="","",IF($F2368&lt;&gt;"",$F2368,IF(ISNA(MATCH($D2368,'Paramètres'!$M:$M,0)),"⚠ Type inconnu",IFERROR(INDEX('Paramètres'!$P:$P,MATCH($D2368,'Paramètres'!$M:$M,0))&amp;"",""))))</f>
        <v/>
      </c>
      <c r="M2368" s="6" t="str">
        <f>IF($D2368="","",IF(ISNA(MATCH($D2368,'Paramètres'!$M:$M,0)),"⚠ Type inconnu",IF($L2368="Crédit","",IFERROR(INDEX('Paramètres'!$O:$O,MATCH($D2368,'Paramètres'!$M:$M,0))&amp;"",""))))</f>
        <v/>
      </c>
      <c r="N2368" s="6" t="str">
        <f>IF($D2368="","",IFERROR(INDEX('Paramètres'!$Q:$Q,MATCH($D2368,'Paramètres'!$M:$M,0))&amp;"",""))</f>
        <v/>
      </c>
      <c r="O2368" s="6" t="str">
        <f>IF($A2368="","",IF(OR($J2368&lt;&gt;"x",$A2368&lt;=FinReleve),1,0))</f>
        <v/>
      </c>
      <c r="P2368" s="6" t="str">
        <f>IF($D2368="","",IF(AND($L2368="Crédit",OR(IFERROR(INDEX('Paramètres'!$O:$O,MATCH($D2368,'Paramètres'!$M:$M,0))&amp;"","")&lt;&gt;"",ISNUMBER(SEARCH("remboursement",IFERROR(INDEX('Paramètres'!$N:$N,MATCH($D2368,'Paramètres'!$M:$M,0))&amp;"",""))))),1,0))</f>
        <v/>
      </c>
      <c r="Q2368" s="6" t="str">
        <f>IF($K2368="","",IF(ISNUMBER(SEARCH("transfert-interne",IFERROR(INDEX('Paramètres'!$N:$N,MATCH($D2368,'Paramètres'!$M:$M,0))&amp;"",""))),0,IF($L2368="Débit",$K2368,IF($P2368=1,-$K2368,0))))</f>
        <v/>
      </c>
      <c r="R2368" s="6" t="str">
        <f>IF($K2368="","",IF($L2368="Crédit",$K2368,-$K2368))</f>
        <v/>
      </c>
      <c r="S2368" s="6" t="str">
        <f>IF($C2368="","",IFERROR(INDEX('Paramètres'!$H:$H,MATCH($C2368,'Paramètres'!$D:$D,0))&amp;"",""))</f>
        <v/>
      </c>
      <c r="T2368" s="6" t="str">
        <f>IF($K2368="","",IF($S2368="",0,IF(ISNUMBER(SEARCH("apport-exterieur",IFERROR(INDEX('Paramètres'!$N:$N,MATCH($D2368,'Paramètres'!$M:$M,0))&amp;"",""))),0,IF(OR(IFERROR(INDEX('Paramètres'!$I:$I,MATCH($C2368,'Paramètres'!$D:$D,0))&amp;"","")="Les deux",IFERROR(INDEX('Paramètres'!$I:$I,MATCH($C2368,'Paramètres'!$D:$D,0))&amp;"","")=IF($P2368=1,"Débit",$L2368)),-IF($P2368=1,-$K2368,$K2368),0))))</f>
        <v/>
      </c>
      <c r="U2368" s="6" t="str">
        <f>IF($K2368="","",IF(ISNUMBER(SEARCH("sortie-epargne",IFERROR(INDEX('Paramètres'!$N:$N,MATCH($D2368,'Paramètres'!$M:$M,0))&amp;"",""))),$K2368,0))</f>
        <v/>
      </c>
      <c r="V2368" s="6" t="str">
        <f>IF(AND($A2368&lt;&gt;"",$O2368=1,$L2368="Débit",N($Q2368)&gt;0,$A2368&gt;=Visualisation!$B$1,$A2368&lt;Visualisation!$D$1),MAX($V$1:V2367)+1,"")</f>
        <v/>
      </c>
    </row>
    <row r="2369" spans="1:22" x14ac:dyDescent="0.25">
      <c r="A2369" s="9"/>
      <c r="E2369" s="10"/>
      <c r="K2369" s="11" t="str">
        <f>IF($E2369="","",ROUND($E2369*IF(ISNA(MATCH($C2369,'Paramètres'!$D:$D,0)),1,IF(INDEX('Paramètres'!$J:$J,MATCH($C2369,'Paramètres'!$D:$D,0))="",1,INDEX('Paramètres'!$J:$J,MATCH($C2369,'Paramètres'!$D:$D,0)))),2))</f>
        <v/>
      </c>
      <c r="L2369" s="6" t="str">
        <f>IF($D2369="","",IF($F2369&lt;&gt;"",$F2369,IF(ISNA(MATCH($D2369,'Paramètres'!$M:$M,0)),"⚠ Type inconnu",IFERROR(INDEX('Paramètres'!$P:$P,MATCH($D2369,'Paramètres'!$M:$M,0))&amp;"",""))))</f>
        <v/>
      </c>
      <c r="M2369" s="6" t="str">
        <f>IF($D2369="","",IF(ISNA(MATCH($D2369,'Paramètres'!$M:$M,0)),"⚠ Type inconnu",IF($L2369="Crédit","",IFERROR(INDEX('Paramètres'!$O:$O,MATCH($D2369,'Paramètres'!$M:$M,0))&amp;"",""))))</f>
        <v/>
      </c>
      <c r="N2369" s="6" t="str">
        <f>IF($D2369="","",IFERROR(INDEX('Paramètres'!$Q:$Q,MATCH($D2369,'Paramètres'!$M:$M,0))&amp;"",""))</f>
        <v/>
      </c>
      <c r="O2369" s="6" t="str">
        <f>IF($A2369="","",IF(OR($J2369&lt;&gt;"x",$A2369&lt;=FinReleve),1,0))</f>
        <v/>
      </c>
      <c r="P2369" s="6" t="str">
        <f>IF($D2369="","",IF(AND($L2369="Crédit",OR(IFERROR(INDEX('Paramètres'!$O:$O,MATCH($D2369,'Paramètres'!$M:$M,0))&amp;"","")&lt;&gt;"",ISNUMBER(SEARCH("remboursement",IFERROR(INDEX('Paramètres'!$N:$N,MATCH($D2369,'Paramètres'!$M:$M,0))&amp;"",""))))),1,0))</f>
        <v/>
      </c>
      <c r="Q2369" s="6" t="str">
        <f>IF($K2369="","",IF(ISNUMBER(SEARCH("transfert-interne",IFERROR(INDEX('Paramètres'!$N:$N,MATCH($D2369,'Paramètres'!$M:$M,0))&amp;"",""))),0,IF($L2369="Débit",$K2369,IF($P2369=1,-$K2369,0))))</f>
        <v/>
      </c>
      <c r="R2369" s="6" t="str">
        <f>IF($K2369="","",IF($L2369="Crédit",$K2369,-$K2369))</f>
        <v/>
      </c>
      <c r="S2369" s="6" t="str">
        <f>IF($C2369="","",IFERROR(INDEX('Paramètres'!$H:$H,MATCH($C2369,'Paramètres'!$D:$D,0))&amp;"",""))</f>
        <v/>
      </c>
      <c r="T2369" s="6" t="str">
        <f>IF($K2369="","",IF($S2369="",0,IF(ISNUMBER(SEARCH("apport-exterieur",IFERROR(INDEX('Paramètres'!$N:$N,MATCH($D2369,'Paramètres'!$M:$M,0))&amp;"",""))),0,IF(OR(IFERROR(INDEX('Paramètres'!$I:$I,MATCH($C2369,'Paramètres'!$D:$D,0))&amp;"","")="Les deux",IFERROR(INDEX('Paramètres'!$I:$I,MATCH($C2369,'Paramètres'!$D:$D,0))&amp;"","")=IF($P2369=1,"Débit",$L2369)),-IF($P2369=1,-$K2369,$K2369),0))))</f>
        <v/>
      </c>
      <c r="U2369" s="6" t="str">
        <f>IF($K2369="","",IF(ISNUMBER(SEARCH("sortie-epargne",IFERROR(INDEX('Paramètres'!$N:$N,MATCH($D2369,'Paramètres'!$M:$M,0))&amp;"",""))),$K2369,0))</f>
        <v/>
      </c>
      <c r="V2369" s="6" t="str">
        <f>IF(AND($A2369&lt;&gt;"",$O2369=1,$L2369="Débit",N($Q2369)&gt;0,$A2369&gt;=Visualisation!$B$1,$A2369&lt;Visualisation!$D$1),MAX($V$1:V2368)+1,"")</f>
        <v/>
      </c>
    </row>
    <row r="2370" spans="1:22" x14ac:dyDescent="0.25">
      <c r="A2370" s="9"/>
      <c r="E2370" s="10"/>
      <c r="K2370" s="11" t="str">
        <f>IF($E2370="","",ROUND($E2370*IF(ISNA(MATCH($C2370,'Paramètres'!$D:$D,0)),1,IF(INDEX('Paramètres'!$J:$J,MATCH($C2370,'Paramètres'!$D:$D,0))="",1,INDEX('Paramètres'!$J:$J,MATCH($C2370,'Paramètres'!$D:$D,0)))),2))</f>
        <v/>
      </c>
      <c r="L2370" s="6" t="str">
        <f>IF($D2370="","",IF($F2370&lt;&gt;"",$F2370,IF(ISNA(MATCH($D2370,'Paramètres'!$M:$M,0)),"⚠ Type inconnu",IFERROR(INDEX('Paramètres'!$P:$P,MATCH($D2370,'Paramètres'!$M:$M,0))&amp;"",""))))</f>
        <v/>
      </c>
      <c r="M2370" s="6" t="str">
        <f>IF($D2370="","",IF(ISNA(MATCH($D2370,'Paramètres'!$M:$M,0)),"⚠ Type inconnu",IF($L2370="Crédit","",IFERROR(INDEX('Paramètres'!$O:$O,MATCH($D2370,'Paramètres'!$M:$M,0))&amp;"",""))))</f>
        <v/>
      </c>
      <c r="N2370" s="6" t="str">
        <f>IF($D2370="","",IFERROR(INDEX('Paramètres'!$Q:$Q,MATCH($D2370,'Paramètres'!$M:$M,0))&amp;"",""))</f>
        <v/>
      </c>
      <c r="O2370" s="6" t="str">
        <f>IF($A2370="","",IF(OR($J2370&lt;&gt;"x",$A2370&lt;=FinReleve),1,0))</f>
        <v/>
      </c>
      <c r="P2370" s="6" t="str">
        <f>IF($D2370="","",IF(AND($L2370="Crédit",OR(IFERROR(INDEX('Paramètres'!$O:$O,MATCH($D2370,'Paramètres'!$M:$M,0))&amp;"","")&lt;&gt;"",ISNUMBER(SEARCH("remboursement",IFERROR(INDEX('Paramètres'!$N:$N,MATCH($D2370,'Paramètres'!$M:$M,0))&amp;"",""))))),1,0))</f>
        <v/>
      </c>
      <c r="Q2370" s="6" t="str">
        <f>IF($K2370="","",IF(ISNUMBER(SEARCH("transfert-interne",IFERROR(INDEX('Paramètres'!$N:$N,MATCH($D2370,'Paramètres'!$M:$M,0))&amp;"",""))),0,IF($L2370="Débit",$K2370,IF($P2370=1,-$K2370,0))))</f>
        <v/>
      </c>
      <c r="R2370" s="6" t="str">
        <f>IF($K2370="","",IF($L2370="Crédit",$K2370,-$K2370))</f>
        <v/>
      </c>
      <c r="S2370" s="6" t="str">
        <f>IF($C2370="","",IFERROR(INDEX('Paramètres'!$H:$H,MATCH($C2370,'Paramètres'!$D:$D,0))&amp;"",""))</f>
        <v/>
      </c>
      <c r="T2370" s="6" t="str">
        <f>IF($K2370="","",IF($S2370="",0,IF(ISNUMBER(SEARCH("apport-exterieur",IFERROR(INDEX('Paramètres'!$N:$N,MATCH($D2370,'Paramètres'!$M:$M,0))&amp;"",""))),0,IF(OR(IFERROR(INDEX('Paramètres'!$I:$I,MATCH($C2370,'Paramètres'!$D:$D,0))&amp;"","")="Les deux",IFERROR(INDEX('Paramètres'!$I:$I,MATCH($C2370,'Paramètres'!$D:$D,0))&amp;"","")=IF($P2370=1,"Débit",$L2370)),-IF($P2370=1,-$K2370,$K2370),0))))</f>
        <v/>
      </c>
      <c r="U2370" s="6" t="str">
        <f>IF($K2370="","",IF(ISNUMBER(SEARCH("sortie-epargne",IFERROR(INDEX('Paramètres'!$N:$N,MATCH($D2370,'Paramètres'!$M:$M,0))&amp;"",""))),$K2370,0))</f>
        <v/>
      </c>
      <c r="V2370" s="6" t="str">
        <f>IF(AND($A2370&lt;&gt;"",$O2370=1,$L2370="Débit",N($Q2370)&gt;0,$A2370&gt;=Visualisation!$B$1,$A2370&lt;Visualisation!$D$1),MAX($V$1:V2369)+1,"")</f>
        <v/>
      </c>
    </row>
    <row r="2371" spans="1:22" x14ac:dyDescent="0.25">
      <c r="A2371" s="9"/>
      <c r="E2371" s="10"/>
      <c r="K2371" s="11" t="str">
        <f>IF($E2371="","",ROUND($E2371*IF(ISNA(MATCH($C2371,'Paramètres'!$D:$D,0)),1,IF(INDEX('Paramètres'!$J:$J,MATCH($C2371,'Paramètres'!$D:$D,0))="",1,INDEX('Paramètres'!$J:$J,MATCH($C2371,'Paramètres'!$D:$D,0)))),2))</f>
        <v/>
      </c>
      <c r="L2371" s="6" t="str">
        <f>IF($D2371="","",IF($F2371&lt;&gt;"",$F2371,IF(ISNA(MATCH($D2371,'Paramètres'!$M:$M,0)),"⚠ Type inconnu",IFERROR(INDEX('Paramètres'!$P:$P,MATCH($D2371,'Paramètres'!$M:$M,0))&amp;"",""))))</f>
        <v/>
      </c>
      <c r="M2371" s="6" t="str">
        <f>IF($D2371="","",IF(ISNA(MATCH($D2371,'Paramètres'!$M:$M,0)),"⚠ Type inconnu",IF($L2371="Crédit","",IFERROR(INDEX('Paramètres'!$O:$O,MATCH($D2371,'Paramètres'!$M:$M,0))&amp;"",""))))</f>
        <v/>
      </c>
      <c r="N2371" s="6" t="str">
        <f>IF($D2371="","",IFERROR(INDEX('Paramètres'!$Q:$Q,MATCH($D2371,'Paramètres'!$M:$M,0))&amp;"",""))</f>
        <v/>
      </c>
      <c r="O2371" s="6" t="str">
        <f>IF($A2371="","",IF(OR($J2371&lt;&gt;"x",$A2371&lt;=FinReleve),1,0))</f>
        <v/>
      </c>
      <c r="P2371" s="6" t="str">
        <f>IF($D2371="","",IF(AND($L2371="Crédit",OR(IFERROR(INDEX('Paramètres'!$O:$O,MATCH($D2371,'Paramètres'!$M:$M,0))&amp;"","")&lt;&gt;"",ISNUMBER(SEARCH("remboursement",IFERROR(INDEX('Paramètres'!$N:$N,MATCH($D2371,'Paramètres'!$M:$M,0))&amp;"",""))))),1,0))</f>
        <v/>
      </c>
      <c r="Q2371" s="6" t="str">
        <f>IF($K2371="","",IF(ISNUMBER(SEARCH("transfert-interne",IFERROR(INDEX('Paramètres'!$N:$N,MATCH($D2371,'Paramètres'!$M:$M,0))&amp;"",""))),0,IF($L2371="Débit",$K2371,IF($P2371=1,-$K2371,0))))</f>
        <v/>
      </c>
      <c r="R2371" s="6" t="str">
        <f>IF($K2371="","",IF($L2371="Crédit",$K2371,-$K2371))</f>
        <v/>
      </c>
      <c r="S2371" s="6" t="str">
        <f>IF($C2371="","",IFERROR(INDEX('Paramètres'!$H:$H,MATCH($C2371,'Paramètres'!$D:$D,0))&amp;"",""))</f>
        <v/>
      </c>
      <c r="T2371" s="6" t="str">
        <f>IF($K2371="","",IF($S2371="",0,IF(ISNUMBER(SEARCH("apport-exterieur",IFERROR(INDEX('Paramètres'!$N:$N,MATCH($D2371,'Paramètres'!$M:$M,0))&amp;"",""))),0,IF(OR(IFERROR(INDEX('Paramètres'!$I:$I,MATCH($C2371,'Paramètres'!$D:$D,0))&amp;"","")="Les deux",IFERROR(INDEX('Paramètres'!$I:$I,MATCH($C2371,'Paramètres'!$D:$D,0))&amp;"","")=IF($P2371=1,"Débit",$L2371)),-IF($P2371=1,-$K2371,$K2371),0))))</f>
        <v/>
      </c>
      <c r="U2371" s="6" t="str">
        <f>IF($K2371="","",IF(ISNUMBER(SEARCH("sortie-epargne",IFERROR(INDEX('Paramètres'!$N:$N,MATCH($D2371,'Paramètres'!$M:$M,0))&amp;"",""))),$K2371,0))</f>
        <v/>
      </c>
      <c r="V2371" s="6" t="str">
        <f>IF(AND($A2371&lt;&gt;"",$O2371=1,$L2371="Débit",N($Q2371)&gt;0,$A2371&gt;=Visualisation!$B$1,$A2371&lt;Visualisation!$D$1),MAX($V$1:V2370)+1,"")</f>
        <v/>
      </c>
    </row>
    <row r="2372" spans="1:22" x14ac:dyDescent="0.25">
      <c r="A2372" s="9"/>
      <c r="E2372" s="10"/>
      <c r="K2372" s="11" t="str">
        <f>IF($E2372="","",ROUND($E2372*IF(ISNA(MATCH($C2372,'Paramètres'!$D:$D,0)),1,IF(INDEX('Paramètres'!$J:$J,MATCH($C2372,'Paramètres'!$D:$D,0))="",1,INDEX('Paramètres'!$J:$J,MATCH($C2372,'Paramètres'!$D:$D,0)))),2))</f>
        <v/>
      </c>
      <c r="L2372" s="6" t="str">
        <f>IF($D2372="","",IF($F2372&lt;&gt;"",$F2372,IF(ISNA(MATCH($D2372,'Paramètres'!$M:$M,0)),"⚠ Type inconnu",IFERROR(INDEX('Paramètres'!$P:$P,MATCH($D2372,'Paramètres'!$M:$M,0))&amp;"",""))))</f>
        <v/>
      </c>
      <c r="M2372" s="6" t="str">
        <f>IF($D2372="","",IF(ISNA(MATCH($D2372,'Paramètres'!$M:$M,0)),"⚠ Type inconnu",IF($L2372="Crédit","",IFERROR(INDEX('Paramètres'!$O:$O,MATCH($D2372,'Paramètres'!$M:$M,0))&amp;"",""))))</f>
        <v/>
      </c>
      <c r="N2372" s="6" t="str">
        <f>IF($D2372="","",IFERROR(INDEX('Paramètres'!$Q:$Q,MATCH($D2372,'Paramètres'!$M:$M,0))&amp;"",""))</f>
        <v/>
      </c>
      <c r="O2372" s="6" t="str">
        <f>IF($A2372="","",IF(OR($J2372&lt;&gt;"x",$A2372&lt;=FinReleve),1,0))</f>
        <v/>
      </c>
      <c r="P2372" s="6" t="str">
        <f>IF($D2372="","",IF(AND($L2372="Crédit",OR(IFERROR(INDEX('Paramètres'!$O:$O,MATCH($D2372,'Paramètres'!$M:$M,0))&amp;"","")&lt;&gt;"",ISNUMBER(SEARCH("remboursement",IFERROR(INDEX('Paramètres'!$N:$N,MATCH($D2372,'Paramètres'!$M:$M,0))&amp;"",""))))),1,0))</f>
        <v/>
      </c>
      <c r="Q2372" s="6" t="str">
        <f>IF($K2372="","",IF(ISNUMBER(SEARCH("transfert-interne",IFERROR(INDEX('Paramètres'!$N:$N,MATCH($D2372,'Paramètres'!$M:$M,0))&amp;"",""))),0,IF($L2372="Débit",$K2372,IF($P2372=1,-$K2372,0))))</f>
        <v/>
      </c>
      <c r="R2372" s="6" t="str">
        <f>IF($K2372="","",IF($L2372="Crédit",$K2372,-$K2372))</f>
        <v/>
      </c>
      <c r="S2372" s="6" t="str">
        <f>IF($C2372="","",IFERROR(INDEX('Paramètres'!$H:$H,MATCH($C2372,'Paramètres'!$D:$D,0))&amp;"",""))</f>
        <v/>
      </c>
      <c r="T2372" s="6" t="str">
        <f>IF($K2372="","",IF($S2372="",0,IF(ISNUMBER(SEARCH("apport-exterieur",IFERROR(INDEX('Paramètres'!$N:$N,MATCH($D2372,'Paramètres'!$M:$M,0))&amp;"",""))),0,IF(OR(IFERROR(INDEX('Paramètres'!$I:$I,MATCH($C2372,'Paramètres'!$D:$D,0))&amp;"","")="Les deux",IFERROR(INDEX('Paramètres'!$I:$I,MATCH($C2372,'Paramètres'!$D:$D,0))&amp;"","")=IF($P2372=1,"Débit",$L2372)),-IF($P2372=1,-$K2372,$K2372),0))))</f>
        <v/>
      </c>
      <c r="U2372" s="6" t="str">
        <f>IF($K2372="","",IF(ISNUMBER(SEARCH("sortie-epargne",IFERROR(INDEX('Paramètres'!$N:$N,MATCH($D2372,'Paramètres'!$M:$M,0))&amp;"",""))),$K2372,0))</f>
        <v/>
      </c>
      <c r="V2372" s="6" t="str">
        <f>IF(AND($A2372&lt;&gt;"",$O2372=1,$L2372="Débit",N($Q2372)&gt;0,$A2372&gt;=Visualisation!$B$1,$A2372&lt;Visualisation!$D$1),MAX($V$1:V2371)+1,"")</f>
        <v/>
      </c>
    </row>
    <row r="2373" spans="1:22" x14ac:dyDescent="0.25">
      <c r="A2373" s="9"/>
      <c r="E2373" s="10"/>
      <c r="K2373" s="11" t="str">
        <f>IF($E2373="","",ROUND($E2373*IF(ISNA(MATCH($C2373,'Paramètres'!$D:$D,0)),1,IF(INDEX('Paramètres'!$J:$J,MATCH($C2373,'Paramètres'!$D:$D,0))="",1,INDEX('Paramètres'!$J:$J,MATCH($C2373,'Paramètres'!$D:$D,0)))),2))</f>
        <v/>
      </c>
      <c r="L2373" s="6" t="str">
        <f>IF($D2373="","",IF($F2373&lt;&gt;"",$F2373,IF(ISNA(MATCH($D2373,'Paramètres'!$M:$M,0)),"⚠ Type inconnu",IFERROR(INDEX('Paramètres'!$P:$P,MATCH($D2373,'Paramètres'!$M:$M,0))&amp;"",""))))</f>
        <v/>
      </c>
      <c r="M2373" s="6" t="str">
        <f>IF($D2373="","",IF(ISNA(MATCH($D2373,'Paramètres'!$M:$M,0)),"⚠ Type inconnu",IF($L2373="Crédit","",IFERROR(INDEX('Paramètres'!$O:$O,MATCH($D2373,'Paramètres'!$M:$M,0))&amp;"",""))))</f>
        <v/>
      </c>
      <c r="N2373" s="6" t="str">
        <f>IF($D2373="","",IFERROR(INDEX('Paramètres'!$Q:$Q,MATCH($D2373,'Paramètres'!$M:$M,0))&amp;"",""))</f>
        <v/>
      </c>
      <c r="O2373" s="6" t="str">
        <f>IF($A2373="","",IF(OR($J2373&lt;&gt;"x",$A2373&lt;=FinReleve),1,0))</f>
        <v/>
      </c>
      <c r="P2373" s="6" t="str">
        <f>IF($D2373="","",IF(AND($L2373="Crédit",OR(IFERROR(INDEX('Paramètres'!$O:$O,MATCH($D2373,'Paramètres'!$M:$M,0))&amp;"","")&lt;&gt;"",ISNUMBER(SEARCH("remboursement",IFERROR(INDEX('Paramètres'!$N:$N,MATCH($D2373,'Paramètres'!$M:$M,0))&amp;"",""))))),1,0))</f>
        <v/>
      </c>
      <c r="Q2373" s="6" t="str">
        <f>IF($K2373="","",IF(ISNUMBER(SEARCH("transfert-interne",IFERROR(INDEX('Paramètres'!$N:$N,MATCH($D2373,'Paramètres'!$M:$M,0))&amp;"",""))),0,IF($L2373="Débit",$K2373,IF($P2373=1,-$K2373,0))))</f>
        <v/>
      </c>
      <c r="R2373" s="6" t="str">
        <f>IF($K2373="","",IF($L2373="Crédit",$K2373,-$K2373))</f>
        <v/>
      </c>
      <c r="S2373" s="6" t="str">
        <f>IF($C2373="","",IFERROR(INDEX('Paramètres'!$H:$H,MATCH($C2373,'Paramètres'!$D:$D,0))&amp;"",""))</f>
        <v/>
      </c>
      <c r="T2373" s="6" t="str">
        <f>IF($K2373="","",IF($S2373="",0,IF(ISNUMBER(SEARCH("apport-exterieur",IFERROR(INDEX('Paramètres'!$N:$N,MATCH($D2373,'Paramètres'!$M:$M,0))&amp;"",""))),0,IF(OR(IFERROR(INDEX('Paramètres'!$I:$I,MATCH($C2373,'Paramètres'!$D:$D,0))&amp;"","")="Les deux",IFERROR(INDEX('Paramètres'!$I:$I,MATCH($C2373,'Paramètres'!$D:$D,0))&amp;"","")=IF($P2373=1,"Débit",$L2373)),-IF($P2373=1,-$K2373,$K2373),0))))</f>
        <v/>
      </c>
      <c r="U2373" s="6" t="str">
        <f>IF($K2373="","",IF(ISNUMBER(SEARCH("sortie-epargne",IFERROR(INDEX('Paramètres'!$N:$N,MATCH($D2373,'Paramètres'!$M:$M,0))&amp;"",""))),$K2373,0))</f>
        <v/>
      </c>
      <c r="V2373" s="6" t="str">
        <f>IF(AND($A2373&lt;&gt;"",$O2373=1,$L2373="Débit",N($Q2373)&gt;0,$A2373&gt;=Visualisation!$B$1,$A2373&lt;Visualisation!$D$1),MAX($V$1:V2372)+1,"")</f>
        <v/>
      </c>
    </row>
    <row r="2374" spans="1:22" x14ac:dyDescent="0.25">
      <c r="A2374" s="9"/>
      <c r="E2374" s="10"/>
      <c r="K2374" s="11" t="str">
        <f>IF($E2374="","",ROUND($E2374*IF(ISNA(MATCH($C2374,'Paramètres'!$D:$D,0)),1,IF(INDEX('Paramètres'!$J:$J,MATCH($C2374,'Paramètres'!$D:$D,0))="",1,INDEX('Paramètres'!$J:$J,MATCH($C2374,'Paramètres'!$D:$D,0)))),2))</f>
        <v/>
      </c>
      <c r="L2374" s="6" t="str">
        <f>IF($D2374="","",IF($F2374&lt;&gt;"",$F2374,IF(ISNA(MATCH($D2374,'Paramètres'!$M:$M,0)),"⚠ Type inconnu",IFERROR(INDEX('Paramètres'!$P:$P,MATCH($D2374,'Paramètres'!$M:$M,0))&amp;"",""))))</f>
        <v/>
      </c>
      <c r="M2374" s="6" t="str">
        <f>IF($D2374="","",IF(ISNA(MATCH($D2374,'Paramètres'!$M:$M,0)),"⚠ Type inconnu",IF($L2374="Crédit","",IFERROR(INDEX('Paramètres'!$O:$O,MATCH($D2374,'Paramètres'!$M:$M,0))&amp;"",""))))</f>
        <v/>
      </c>
      <c r="N2374" s="6" t="str">
        <f>IF($D2374="","",IFERROR(INDEX('Paramètres'!$Q:$Q,MATCH($D2374,'Paramètres'!$M:$M,0))&amp;"",""))</f>
        <v/>
      </c>
      <c r="O2374" s="6" t="str">
        <f>IF($A2374="","",IF(OR($J2374&lt;&gt;"x",$A2374&lt;=FinReleve),1,0))</f>
        <v/>
      </c>
      <c r="P2374" s="6" t="str">
        <f>IF($D2374="","",IF(AND($L2374="Crédit",OR(IFERROR(INDEX('Paramètres'!$O:$O,MATCH($D2374,'Paramètres'!$M:$M,0))&amp;"","")&lt;&gt;"",ISNUMBER(SEARCH("remboursement",IFERROR(INDEX('Paramètres'!$N:$N,MATCH($D2374,'Paramètres'!$M:$M,0))&amp;"",""))))),1,0))</f>
        <v/>
      </c>
      <c r="Q2374" s="6" t="str">
        <f>IF($K2374="","",IF(ISNUMBER(SEARCH("transfert-interne",IFERROR(INDEX('Paramètres'!$N:$N,MATCH($D2374,'Paramètres'!$M:$M,0))&amp;"",""))),0,IF($L2374="Débit",$K2374,IF($P2374=1,-$K2374,0))))</f>
        <v/>
      </c>
      <c r="R2374" s="6" t="str">
        <f>IF($K2374="","",IF($L2374="Crédit",$K2374,-$K2374))</f>
        <v/>
      </c>
      <c r="S2374" s="6" t="str">
        <f>IF($C2374="","",IFERROR(INDEX('Paramètres'!$H:$H,MATCH($C2374,'Paramètres'!$D:$D,0))&amp;"",""))</f>
        <v/>
      </c>
      <c r="T2374" s="6" t="str">
        <f>IF($K2374="","",IF($S2374="",0,IF(ISNUMBER(SEARCH("apport-exterieur",IFERROR(INDEX('Paramètres'!$N:$N,MATCH($D2374,'Paramètres'!$M:$M,0))&amp;"",""))),0,IF(OR(IFERROR(INDEX('Paramètres'!$I:$I,MATCH($C2374,'Paramètres'!$D:$D,0))&amp;"","")="Les deux",IFERROR(INDEX('Paramètres'!$I:$I,MATCH($C2374,'Paramètres'!$D:$D,0))&amp;"","")=IF($P2374=1,"Débit",$L2374)),-IF($P2374=1,-$K2374,$K2374),0))))</f>
        <v/>
      </c>
      <c r="U2374" s="6" t="str">
        <f>IF($K2374="","",IF(ISNUMBER(SEARCH("sortie-epargne",IFERROR(INDEX('Paramètres'!$N:$N,MATCH($D2374,'Paramètres'!$M:$M,0))&amp;"",""))),$K2374,0))</f>
        <v/>
      </c>
      <c r="V2374" s="6" t="str">
        <f>IF(AND($A2374&lt;&gt;"",$O2374=1,$L2374="Débit",N($Q2374)&gt;0,$A2374&gt;=Visualisation!$B$1,$A2374&lt;Visualisation!$D$1),MAX($V$1:V2373)+1,"")</f>
        <v/>
      </c>
    </row>
    <row r="2375" spans="1:22" x14ac:dyDescent="0.25">
      <c r="A2375" s="9"/>
      <c r="E2375" s="10"/>
      <c r="K2375" s="11" t="str">
        <f>IF($E2375="","",ROUND($E2375*IF(ISNA(MATCH($C2375,'Paramètres'!$D:$D,0)),1,IF(INDEX('Paramètres'!$J:$J,MATCH($C2375,'Paramètres'!$D:$D,0))="",1,INDEX('Paramètres'!$J:$J,MATCH($C2375,'Paramètres'!$D:$D,0)))),2))</f>
        <v/>
      </c>
      <c r="L2375" s="6" t="str">
        <f>IF($D2375="","",IF($F2375&lt;&gt;"",$F2375,IF(ISNA(MATCH($D2375,'Paramètres'!$M:$M,0)),"⚠ Type inconnu",IFERROR(INDEX('Paramètres'!$P:$P,MATCH($D2375,'Paramètres'!$M:$M,0))&amp;"",""))))</f>
        <v/>
      </c>
      <c r="M2375" s="6" t="str">
        <f>IF($D2375="","",IF(ISNA(MATCH($D2375,'Paramètres'!$M:$M,0)),"⚠ Type inconnu",IF($L2375="Crédit","",IFERROR(INDEX('Paramètres'!$O:$O,MATCH($D2375,'Paramètres'!$M:$M,0))&amp;"",""))))</f>
        <v/>
      </c>
      <c r="N2375" s="6" t="str">
        <f>IF($D2375="","",IFERROR(INDEX('Paramètres'!$Q:$Q,MATCH($D2375,'Paramètres'!$M:$M,0))&amp;"",""))</f>
        <v/>
      </c>
      <c r="O2375" s="6" t="str">
        <f>IF($A2375="","",IF(OR($J2375&lt;&gt;"x",$A2375&lt;=FinReleve),1,0))</f>
        <v/>
      </c>
      <c r="P2375" s="6" t="str">
        <f>IF($D2375="","",IF(AND($L2375="Crédit",OR(IFERROR(INDEX('Paramètres'!$O:$O,MATCH($D2375,'Paramètres'!$M:$M,0))&amp;"","")&lt;&gt;"",ISNUMBER(SEARCH("remboursement",IFERROR(INDEX('Paramètres'!$N:$N,MATCH($D2375,'Paramètres'!$M:$M,0))&amp;"",""))))),1,0))</f>
        <v/>
      </c>
      <c r="Q2375" s="6" t="str">
        <f>IF($K2375="","",IF(ISNUMBER(SEARCH("transfert-interne",IFERROR(INDEX('Paramètres'!$N:$N,MATCH($D2375,'Paramètres'!$M:$M,0))&amp;"",""))),0,IF($L2375="Débit",$K2375,IF($P2375=1,-$K2375,0))))</f>
        <v/>
      </c>
      <c r="R2375" s="6" t="str">
        <f>IF($K2375="","",IF($L2375="Crédit",$K2375,-$K2375))</f>
        <v/>
      </c>
      <c r="S2375" s="6" t="str">
        <f>IF($C2375="","",IFERROR(INDEX('Paramètres'!$H:$H,MATCH($C2375,'Paramètres'!$D:$D,0))&amp;"",""))</f>
        <v/>
      </c>
      <c r="T2375" s="6" t="str">
        <f>IF($K2375="","",IF($S2375="",0,IF(ISNUMBER(SEARCH("apport-exterieur",IFERROR(INDEX('Paramètres'!$N:$N,MATCH($D2375,'Paramètres'!$M:$M,0))&amp;"",""))),0,IF(OR(IFERROR(INDEX('Paramètres'!$I:$I,MATCH($C2375,'Paramètres'!$D:$D,0))&amp;"","")="Les deux",IFERROR(INDEX('Paramètres'!$I:$I,MATCH($C2375,'Paramètres'!$D:$D,0))&amp;"","")=IF($P2375=1,"Débit",$L2375)),-IF($P2375=1,-$K2375,$K2375),0))))</f>
        <v/>
      </c>
      <c r="U2375" s="6" t="str">
        <f>IF($K2375="","",IF(ISNUMBER(SEARCH("sortie-epargne",IFERROR(INDEX('Paramètres'!$N:$N,MATCH($D2375,'Paramètres'!$M:$M,0))&amp;"",""))),$K2375,0))</f>
        <v/>
      </c>
      <c r="V2375" s="6" t="str">
        <f>IF(AND($A2375&lt;&gt;"",$O2375=1,$L2375="Débit",N($Q2375)&gt;0,$A2375&gt;=Visualisation!$B$1,$A2375&lt;Visualisation!$D$1),MAX($V$1:V2374)+1,"")</f>
        <v/>
      </c>
    </row>
    <row r="2376" spans="1:22" x14ac:dyDescent="0.25">
      <c r="A2376" s="9"/>
      <c r="E2376" s="10"/>
      <c r="K2376" s="11" t="str">
        <f>IF($E2376="","",ROUND($E2376*IF(ISNA(MATCH($C2376,'Paramètres'!$D:$D,0)),1,IF(INDEX('Paramètres'!$J:$J,MATCH($C2376,'Paramètres'!$D:$D,0))="",1,INDEX('Paramètres'!$J:$J,MATCH($C2376,'Paramètres'!$D:$D,0)))),2))</f>
        <v/>
      </c>
      <c r="L2376" s="6" t="str">
        <f>IF($D2376="","",IF($F2376&lt;&gt;"",$F2376,IF(ISNA(MATCH($D2376,'Paramètres'!$M:$M,0)),"⚠ Type inconnu",IFERROR(INDEX('Paramètres'!$P:$P,MATCH($D2376,'Paramètres'!$M:$M,0))&amp;"",""))))</f>
        <v/>
      </c>
      <c r="M2376" s="6" t="str">
        <f>IF($D2376="","",IF(ISNA(MATCH($D2376,'Paramètres'!$M:$M,0)),"⚠ Type inconnu",IF($L2376="Crédit","",IFERROR(INDEX('Paramètres'!$O:$O,MATCH($D2376,'Paramètres'!$M:$M,0))&amp;"",""))))</f>
        <v/>
      </c>
      <c r="N2376" s="6" t="str">
        <f>IF($D2376="","",IFERROR(INDEX('Paramètres'!$Q:$Q,MATCH($D2376,'Paramètres'!$M:$M,0))&amp;"",""))</f>
        <v/>
      </c>
      <c r="O2376" s="6" t="str">
        <f>IF($A2376="","",IF(OR($J2376&lt;&gt;"x",$A2376&lt;=FinReleve),1,0))</f>
        <v/>
      </c>
      <c r="P2376" s="6" t="str">
        <f>IF($D2376="","",IF(AND($L2376="Crédit",OR(IFERROR(INDEX('Paramètres'!$O:$O,MATCH($D2376,'Paramètres'!$M:$M,0))&amp;"","")&lt;&gt;"",ISNUMBER(SEARCH("remboursement",IFERROR(INDEX('Paramètres'!$N:$N,MATCH($D2376,'Paramètres'!$M:$M,0))&amp;"",""))))),1,0))</f>
        <v/>
      </c>
      <c r="Q2376" s="6" t="str">
        <f>IF($K2376="","",IF(ISNUMBER(SEARCH("transfert-interne",IFERROR(INDEX('Paramètres'!$N:$N,MATCH($D2376,'Paramètres'!$M:$M,0))&amp;"",""))),0,IF($L2376="Débit",$K2376,IF($P2376=1,-$K2376,0))))</f>
        <v/>
      </c>
      <c r="R2376" s="6" t="str">
        <f>IF($K2376="","",IF($L2376="Crédit",$K2376,-$K2376))</f>
        <v/>
      </c>
      <c r="S2376" s="6" t="str">
        <f>IF($C2376="","",IFERROR(INDEX('Paramètres'!$H:$H,MATCH($C2376,'Paramètres'!$D:$D,0))&amp;"",""))</f>
        <v/>
      </c>
      <c r="T2376" s="6" t="str">
        <f>IF($K2376="","",IF($S2376="",0,IF(ISNUMBER(SEARCH("apport-exterieur",IFERROR(INDEX('Paramètres'!$N:$N,MATCH($D2376,'Paramètres'!$M:$M,0))&amp;"",""))),0,IF(OR(IFERROR(INDEX('Paramètres'!$I:$I,MATCH($C2376,'Paramètres'!$D:$D,0))&amp;"","")="Les deux",IFERROR(INDEX('Paramètres'!$I:$I,MATCH($C2376,'Paramètres'!$D:$D,0))&amp;"","")=IF($P2376=1,"Débit",$L2376)),-IF($P2376=1,-$K2376,$K2376),0))))</f>
        <v/>
      </c>
      <c r="U2376" s="6" t="str">
        <f>IF($K2376="","",IF(ISNUMBER(SEARCH("sortie-epargne",IFERROR(INDEX('Paramètres'!$N:$N,MATCH($D2376,'Paramètres'!$M:$M,0))&amp;"",""))),$K2376,0))</f>
        <v/>
      </c>
      <c r="V2376" s="6" t="str">
        <f>IF(AND($A2376&lt;&gt;"",$O2376=1,$L2376="Débit",N($Q2376)&gt;0,$A2376&gt;=Visualisation!$B$1,$A2376&lt;Visualisation!$D$1),MAX($V$1:V2375)+1,"")</f>
        <v/>
      </c>
    </row>
    <row r="2377" spans="1:22" x14ac:dyDescent="0.25">
      <c r="A2377" s="9"/>
      <c r="E2377" s="10"/>
      <c r="K2377" s="11" t="str">
        <f>IF($E2377="","",ROUND($E2377*IF(ISNA(MATCH($C2377,'Paramètres'!$D:$D,0)),1,IF(INDEX('Paramètres'!$J:$J,MATCH($C2377,'Paramètres'!$D:$D,0))="",1,INDEX('Paramètres'!$J:$J,MATCH($C2377,'Paramètres'!$D:$D,0)))),2))</f>
        <v/>
      </c>
      <c r="L2377" s="6" t="str">
        <f>IF($D2377="","",IF($F2377&lt;&gt;"",$F2377,IF(ISNA(MATCH($D2377,'Paramètres'!$M:$M,0)),"⚠ Type inconnu",IFERROR(INDEX('Paramètres'!$P:$P,MATCH($D2377,'Paramètres'!$M:$M,0))&amp;"",""))))</f>
        <v/>
      </c>
      <c r="M2377" s="6" t="str">
        <f>IF($D2377="","",IF(ISNA(MATCH($D2377,'Paramètres'!$M:$M,0)),"⚠ Type inconnu",IF($L2377="Crédit","",IFERROR(INDEX('Paramètres'!$O:$O,MATCH($D2377,'Paramètres'!$M:$M,0))&amp;"",""))))</f>
        <v/>
      </c>
      <c r="N2377" s="6" t="str">
        <f>IF($D2377="","",IFERROR(INDEX('Paramètres'!$Q:$Q,MATCH($D2377,'Paramètres'!$M:$M,0))&amp;"",""))</f>
        <v/>
      </c>
      <c r="O2377" s="6" t="str">
        <f>IF($A2377="","",IF(OR($J2377&lt;&gt;"x",$A2377&lt;=FinReleve),1,0))</f>
        <v/>
      </c>
      <c r="P2377" s="6" t="str">
        <f>IF($D2377="","",IF(AND($L2377="Crédit",OR(IFERROR(INDEX('Paramètres'!$O:$O,MATCH($D2377,'Paramètres'!$M:$M,0))&amp;"","")&lt;&gt;"",ISNUMBER(SEARCH("remboursement",IFERROR(INDEX('Paramètres'!$N:$N,MATCH($D2377,'Paramètres'!$M:$M,0))&amp;"",""))))),1,0))</f>
        <v/>
      </c>
      <c r="Q2377" s="6" t="str">
        <f>IF($K2377="","",IF(ISNUMBER(SEARCH("transfert-interne",IFERROR(INDEX('Paramètres'!$N:$N,MATCH($D2377,'Paramètres'!$M:$M,0))&amp;"",""))),0,IF($L2377="Débit",$K2377,IF($P2377=1,-$K2377,0))))</f>
        <v/>
      </c>
      <c r="R2377" s="6" t="str">
        <f>IF($K2377="","",IF($L2377="Crédit",$K2377,-$K2377))</f>
        <v/>
      </c>
      <c r="S2377" s="6" t="str">
        <f>IF($C2377="","",IFERROR(INDEX('Paramètres'!$H:$H,MATCH($C2377,'Paramètres'!$D:$D,0))&amp;"",""))</f>
        <v/>
      </c>
      <c r="T2377" s="6" t="str">
        <f>IF($K2377="","",IF($S2377="",0,IF(ISNUMBER(SEARCH("apport-exterieur",IFERROR(INDEX('Paramètres'!$N:$N,MATCH($D2377,'Paramètres'!$M:$M,0))&amp;"",""))),0,IF(OR(IFERROR(INDEX('Paramètres'!$I:$I,MATCH($C2377,'Paramètres'!$D:$D,0))&amp;"","")="Les deux",IFERROR(INDEX('Paramètres'!$I:$I,MATCH($C2377,'Paramètres'!$D:$D,0))&amp;"","")=IF($P2377=1,"Débit",$L2377)),-IF($P2377=1,-$K2377,$K2377),0))))</f>
        <v/>
      </c>
      <c r="U2377" s="6" t="str">
        <f>IF($K2377="","",IF(ISNUMBER(SEARCH("sortie-epargne",IFERROR(INDEX('Paramètres'!$N:$N,MATCH($D2377,'Paramètres'!$M:$M,0))&amp;"",""))),$K2377,0))</f>
        <v/>
      </c>
      <c r="V2377" s="6" t="str">
        <f>IF(AND($A2377&lt;&gt;"",$O2377=1,$L2377="Débit",N($Q2377)&gt;0,$A2377&gt;=Visualisation!$B$1,$A2377&lt;Visualisation!$D$1),MAX($V$1:V2376)+1,"")</f>
        <v/>
      </c>
    </row>
    <row r="2378" spans="1:22" x14ac:dyDescent="0.25">
      <c r="A2378" s="9"/>
      <c r="E2378" s="10"/>
      <c r="K2378" s="11" t="str">
        <f>IF($E2378="","",ROUND($E2378*IF(ISNA(MATCH($C2378,'Paramètres'!$D:$D,0)),1,IF(INDEX('Paramètres'!$J:$J,MATCH($C2378,'Paramètres'!$D:$D,0))="",1,INDEX('Paramètres'!$J:$J,MATCH($C2378,'Paramètres'!$D:$D,0)))),2))</f>
        <v/>
      </c>
      <c r="L2378" s="6" t="str">
        <f>IF($D2378="","",IF($F2378&lt;&gt;"",$F2378,IF(ISNA(MATCH($D2378,'Paramètres'!$M:$M,0)),"⚠ Type inconnu",IFERROR(INDEX('Paramètres'!$P:$P,MATCH($D2378,'Paramètres'!$M:$M,0))&amp;"",""))))</f>
        <v/>
      </c>
      <c r="M2378" s="6" t="str">
        <f>IF($D2378="","",IF(ISNA(MATCH($D2378,'Paramètres'!$M:$M,0)),"⚠ Type inconnu",IF($L2378="Crédit","",IFERROR(INDEX('Paramètres'!$O:$O,MATCH($D2378,'Paramètres'!$M:$M,0))&amp;"",""))))</f>
        <v/>
      </c>
      <c r="N2378" s="6" t="str">
        <f>IF($D2378="","",IFERROR(INDEX('Paramètres'!$Q:$Q,MATCH($D2378,'Paramètres'!$M:$M,0))&amp;"",""))</f>
        <v/>
      </c>
      <c r="O2378" s="6" t="str">
        <f>IF($A2378="","",IF(OR($J2378&lt;&gt;"x",$A2378&lt;=FinReleve),1,0))</f>
        <v/>
      </c>
      <c r="P2378" s="6" t="str">
        <f>IF($D2378="","",IF(AND($L2378="Crédit",OR(IFERROR(INDEX('Paramètres'!$O:$O,MATCH($D2378,'Paramètres'!$M:$M,0))&amp;"","")&lt;&gt;"",ISNUMBER(SEARCH("remboursement",IFERROR(INDEX('Paramètres'!$N:$N,MATCH($D2378,'Paramètres'!$M:$M,0))&amp;"",""))))),1,0))</f>
        <v/>
      </c>
      <c r="Q2378" s="6" t="str">
        <f>IF($K2378="","",IF(ISNUMBER(SEARCH("transfert-interne",IFERROR(INDEX('Paramètres'!$N:$N,MATCH($D2378,'Paramètres'!$M:$M,0))&amp;"",""))),0,IF($L2378="Débit",$K2378,IF($P2378=1,-$K2378,0))))</f>
        <v/>
      </c>
      <c r="R2378" s="6" t="str">
        <f>IF($K2378="","",IF($L2378="Crédit",$K2378,-$K2378))</f>
        <v/>
      </c>
      <c r="S2378" s="6" t="str">
        <f>IF($C2378="","",IFERROR(INDEX('Paramètres'!$H:$H,MATCH($C2378,'Paramètres'!$D:$D,0))&amp;"",""))</f>
        <v/>
      </c>
      <c r="T2378" s="6" t="str">
        <f>IF($K2378="","",IF($S2378="",0,IF(ISNUMBER(SEARCH("apport-exterieur",IFERROR(INDEX('Paramètres'!$N:$N,MATCH($D2378,'Paramètres'!$M:$M,0))&amp;"",""))),0,IF(OR(IFERROR(INDEX('Paramètres'!$I:$I,MATCH($C2378,'Paramètres'!$D:$D,0))&amp;"","")="Les deux",IFERROR(INDEX('Paramètres'!$I:$I,MATCH($C2378,'Paramètres'!$D:$D,0))&amp;"","")=IF($P2378=1,"Débit",$L2378)),-IF($P2378=1,-$K2378,$K2378),0))))</f>
        <v/>
      </c>
      <c r="U2378" s="6" t="str">
        <f>IF($K2378="","",IF(ISNUMBER(SEARCH("sortie-epargne",IFERROR(INDEX('Paramètres'!$N:$N,MATCH($D2378,'Paramètres'!$M:$M,0))&amp;"",""))),$K2378,0))</f>
        <v/>
      </c>
      <c r="V2378" s="6" t="str">
        <f>IF(AND($A2378&lt;&gt;"",$O2378=1,$L2378="Débit",N($Q2378)&gt;0,$A2378&gt;=Visualisation!$B$1,$A2378&lt;Visualisation!$D$1),MAX($V$1:V2377)+1,"")</f>
        <v/>
      </c>
    </row>
    <row r="2379" spans="1:22" x14ac:dyDescent="0.25">
      <c r="A2379" s="9"/>
      <c r="E2379" s="10"/>
      <c r="K2379" s="11" t="str">
        <f>IF($E2379="","",ROUND($E2379*IF(ISNA(MATCH($C2379,'Paramètres'!$D:$D,0)),1,IF(INDEX('Paramètres'!$J:$J,MATCH($C2379,'Paramètres'!$D:$D,0))="",1,INDEX('Paramètres'!$J:$J,MATCH($C2379,'Paramètres'!$D:$D,0)))),2))</f>
        <v/>
      </c>
      <c r="L2379" s="6" t="str">
        <f>IF($D2379="","",IF($F2379&lt;&gt;"",$F2379,IF(ISNA(MATCH($D2379,'Paramètres'!$M:$M,0)),"⚠ Type inconnu",IFERROR(INDEX('Paramètres'!$P:$P,MATCH($D2379,'Paramètres'!$M:$M,0))&amp;"",""))))</f>
        <v/>
      </c>
      <c r="M2379" s="6" t="str">
        <f>IF($D2379="","",IF(ISNA(MATCH($D2379,'Paramètres'!$M:$M,0)),"⚠ Type inconnu",IF($L2379="Crédit","",IFERROR(INDEX('Paramètres'!$O:$O,MATCH($D2379,'Paramètres'!$M:$M,0))&amp;"",""))))</f>
        <v/>
      </c>
      <c r="N2379" s="6" t="str">
        <f>IF($D2379="","",IFERROR(INDEX('Paramètres'!$Q:$Q,MATCH($D2379,'Paramètres'!$M:$M,0))&amp;"",""))</f>
        <v/>
      </c>
      <c r="O2379" s="6" t="str">
        <f>IF($A2379="","",IF(OR($J2379&lt;&gt;"x",$A2379&lt;=FinReleve),1,0))</f>
        <v/>
      </c>
      <c r="P2379" s="6" t="str">
        <f>IF($D2379="","",IF(AND($L2379="Crédit",OR(IFERROR(INDEX('Paramètres'!$O:$O,MATCH($D2379,'Paramètres'!$M:$M,0))&amp;"","")&lt;&gt;"",ISNUMBER(SEARCH("remboursement",IFERROR(INDEX('Paramètres'!$N:$N,MATCH($D2379,'Paramètres'!$M:$M,0))&amp;"",""))))),1,0))</f>
        <v/>
      </c>
      <c r="Q2379" s="6" t="str">
        <f>IF($K2379="","",IF(ISNUMBER(SEARCH("transfert-interne",IFERROR(INDEX('Paramètres'!$N:$N,MATCH($D2379,'Paramètres'!$M:$M,0))&amp;"",""))),0,IF($L2379="Débit",$K2379,IF($P2379=1,-$K2379,0))))</f>
        <v/>
      </c>
      <c r="R2379" s="6" t="str">
        <f>IF($K2379="","",IF($L2379="Crédit",$K2379,-$K2379))</f>
        <v/>
      </c>
      <c r="S2379" s="6" t="str">
        <f>IF($C2379="","",IFERROR(INDEX('Paramètres'!$H:$H,MATCH($C2379,'Paramètres'!$D:$D,0))&amp;"",""))</f>
        <v/>
      </c>
      <c r="T2379" s="6" t="str">
        <f>IF($K2379="","",IF($S2379="",0,IF(ISNUMBER(SEARCH("apport-exterieur",IFERROR(INDEX('Paramètres'!$N:$N,MATCH($D2379,'Paramètres'!$M:$M,0))&amp;"",""))),0,IF(OR(IFERROR(INDEX('Paramètres'!$I:$I,MATCH($C2379,'Paramètres'!$D:$D,0))&amp;"","")="Les deux",IFERROR(INDEX('Paramètres'!$I:$I,MATCH($C2379,'Paramètres'!$D:$D,0))&amp;"","")=IF($P2379=1,"Débit",$L2379)),-IF($P2379=1,-$K2379,$K2379),0))))</f>
        <v/>
      </c>
      <c r="U2379" s="6" t="str">
        <f>IF($K2379="","",IF(ISNUMBER(SEARCH("sortie-epargne",IFERROR(INDEX('Paramètres'!$N:$N,MATCH($D2379,'Paramètres'!$M:$M,0))&amp;"",""))),$K2379,0))</f>
        <v/>
      </c>
      <c r="V2379" s="6" t="str">
        <f>IF(AND($A2379&lt;&gt;"",$O2379=1,$L2379="Débit",N($Q2379)&gt;0,$A2379&gt;=Visualisation!$B$1,$A2379&lt;Visualisation!$D$1),MAX($V$1:V2378)+1,"")</f>
        <v/>
      </c>
    </row>
    <row r="2380" spans="1:22" x14ac:dyDescent="0.25">
      <c r="A2380" s="9"/>
      <c r="E2380" s="10"/>
      <c r="K2380" s="11" t="str">
        <f>IF($E2380="","",ROUND($E2380*IF(ISNA(MATCH($C2380,'Paramètres'!$D:$D,0)),1,IF(INDEX('Paramètres'!$J:$J,MATCH($C2380,'Paramètres'!$D:$D,0))="",1,INDEX('Paramètres'!$J:$J,MATCH($C2380,'Paramètres'!$D:$D,0)))),2))</f>
        <v/>
      </c>
      <c r="L2380" s="6" t="str">
        <f>IF($D2380="","",IF($F2380&lt;&gt;"",$F2380,IF(ISNA(MATCH($D2380,'Paramètres'!$M:$M,0)),"⚠ Type inconnu",IFERROR(INDEX('Paramètres'!$P:$P,MATCH($D2380,'Paramètres'!$M:$M,0))&amp;"",""))))</f>
        <v/>
      </c>
      <c r="M2380" s="6" t="str">
        <f>IF($D2380="","",IF(ISNA(MATCH($D2380,'Paramètres'!$M:$M,0)),"⚠ Type inconnu",IF($L2380="Crédit","",IFERROR(INDEX('Paramètres'!$O:$O,MATCH($D2380,'Paramètres'!$M:$M,0))&amp;"",""))))</f>
        <v/>
      </c>
      <c r="N2380" s="6" t="str">
        <f>IF($D2380="","",IFERROR(INDEX('Paramètres'!$Q:$Q,MATCH($D2380,'Paramètres'!$M:$M,0))&amp;"",""))</f>
        <v/>
      </c>
      <c r="O2380" s="6" t="str">
        <f>IF($A2380="","",IF(OR($J2380&lt;&gt;"x",$A2380&lt;=FinReleve),1,0))</f>
        <v/>
      </c>
      <c r="P2380" s="6" t="str">
        <f>IF($D2380="","",IF(AND($L2380="Crédit",OR(IFERROR(INDEX('Paramètres'!$O:$O,MATCH($D2380,'Paramètres'!$M:$M,0))&amp;"","")&lt;&gt;"",ISNUMBER(SEARCH("remboursement",IFERROR(INDEX('Paramètres'!$N:$N,MATCH($D2380,'Paramètres'!$M:$M,0))&amp;"",""))))),1,0))</f>
        <v/>
      </c>
      <c r="Q2380" s="6" t="str">
        <f>IF($K2380="","",IF(ISNUMBER(SEARCH("transfert-interne",IFERROR(INDEX('Paramètres'!$N:$N,MATCH($D2380,'Paramètres'!$M:$M,0))&amp;"",""))),0,IF($L2380="Débit",$K2380,IF($P2380=1,-$K2380,0))))</f>
        <v/>
      </c>
      <c r="R2380" s="6" t="str">
        <f>IF($K2380="","",IF($L2380="Crédit",$K2380,-$K2380))</f>
        <v/>
      </c>
      <c r="S2380" s="6" t="str">
        <f>IF($C2380="","",IFERROR(INDEX('Paramètres'!$H:$H,MATCH($C2380,'Paramètres'!$D:$D,0))&amp;"",""))</f>
        <v/>
      </c>
      <c r="T2380" s="6" t="str">
        <f>IF($K2380="","",IF($S2380="",0,IF(ISNUMBER(SEARCH("apport-exterieur",IFERROR(INDEX('Paramètres'!$N:$N,MATCH($D2380,'Paramètres'!$M:$M,0))&amp;"",""))),0,IF(OR(IFERROR(INDEX('Paramètres'!$I:$I,MATCH($C2380,'Paramètres'!$D:$D,0))&amp;"","")="Les deux",IFERROR(INDEX('Paramètres'!$I:$I,MATCH($C2380,'Paramètres'!$D:$D,0))&amp;"","")=IF($P2380=1,"Débit",$L2380)),-IF($P2380=1,-$K2380,$K2380),0))))</f>
        <v/>
      </c>
      <c r="U2380" s="6" t="str">
        <f>IF($K2380="","",IF(ISNUMBER(SEARCH("sortie-epargne",IFERROR(INDEX('Paramètres'!$N:$N,MATCH($D2380,'Paramètres'!$M:$M,0))&amp;"",""))),$K2380,0))</f>
        <v/>
      </c>
      <c r="V2380" s="6" t="str">
        <f>IF(AND($A2380&lt;&gt;"",$O2380=1,$L2380="Débit",N($Q2380)&gt;0,$A2380&gt;=Visualisation!$B$1,$A2380&lt;Visualisation!$D$1),MAX($V$1:V2379)+1,"")</f>
        <v/>
      </c>
    </row>
    <row r="2381" spans="1:22" x14ac:dyDescent="0.25">
      <c r="A2381" s="9"/>
      <c r="E2381" s="10"/>
      <c r="K2381" s="11" t="str">
        <f>IF($E2381="","",ROUND($E2381*IF(ISNA(MATCH($C2381,'Paramètres'!$D:$D,0)),1,IF(INDEX('Paramètres'!$J:$J,MATCH($C2381,'Paramètres'!$D:$D,0))="",1,INDEX('Paramètres'!$J:$J,MATCH($C2381,'Paramètres'!$D:$D,0)))),2))</f>
        <v/>
      </c>
      <c r="L2381" s="6" t="str">
        <f>IF($D2381="","",IF($F2381&lt;&gt;"",$F2381,IF(ISNA(MATCH($D2381,'Paramètres'!$M:$M,0)),"⚠ Type inconnu",IFERROR(INDEX('Paramètres'!$P:$P,MATCH($D2381,'Paramètres'!$M:$M,0))&amp;"",""))))</f>
        <v/>
      </c>
      <c r="M2381" s="6" t="str">
        <f>IF($D2381="","",IF(ISNA(MATCH($D2381,'Paramètres'!$M:$M,0)),"⚠ Type inconnu",IF($L2381="Crédit","",IFERROR(INDEX('Paramètres'!$O:$O,MATCH($D2381,'Paramètres'!$M:$M,0))&amp;"",""))))</f>
        <v/>
      </c>
      <c r="N2381" s="6" t="str">
        <f>IF($D2381="","",IFERROR(INDEX('Paramètres'!$Q:$Q,MATCH($D2381,'Paramètres'!$M:$M,0))&amp;"",""))</f>
        <v/>
      </c>
      <c r="O2381" s="6" t="str">
        <f>IF($A2381="","",IF(OR($J2381&lt;&gt;"x",$A2381&lt;=FinReleve),1,0))</f>
        <v/>
      </c>
      <c r="P2381" s="6" t="str">
        <f>IF($D2381="","",IF(AND($L2381="Crédit",OR(IFERROR(INDEX('Paramètres'!$O:$O,MATCH($D2381,'Paramètres'!$M:$M,0))&amp;"","")&lt;&gt;"",ISNUMBER(SEARCH("remboursement",IFERROR(INDEX('Paramètres'!$N:$N,MATCH($D2381,'Paramètres'!$M:$M,0))&amp;"",""))))),1,0))</f>
        <v/>
      </c>
      <c r="Q2381" s="6" t="str">
        <f>IF($K2381="","",IF(ISNUMBER(SEARCH("transfert-interne",IFERROR(INDEX('Paramètres'!$N:$N,MATCH($D2381,'Paramètres'!$M:$M,0))&amp;"",""))),0,IF($L2381="Débit",$K2381,IF($P2381=1,-$K2381,0))))</f>
        <v/>
      </c>
      <c r="R2381" s="6" t="str">
        <f>IF($K2381="","",IF($L2381="Crédit",$K2381,-$K2381))</f>
        <v/>
      </c>
      <c r="S2381" s="6" t="str">
        <f>IF($C2381="","",IFERROR(INDEX('Paramètres'!$H:$H,MATCH($C2381,'Paramètres'!$D:$D,0))&amp;"",""))</f>
        <v/>
      </c>
      <c r="T2381" s="6" t="str">
        <f>IF($K2381="","",IF($S2381="",0,IF(ISNUMBER(SEARCH("apport-exterieur",IFERROR(INDEX('Paramètres'!$N:$N,MATCH($D2381,'Paramètres'!$M:$M,0))&amp;"",""))),0,IF(OR(IFERROR(INDEX('Paramètres'!$I:$I,MATCH($C2381,'Paramètres'!$D:$D,0))&amp;"","")="Les deux",IFERROR(INDEX('Paramètres'!$I:$I,MATCH($C2381,'Paramètres'!$D:$D,0))&amp;"","")=IF($P2381=1,"Débit",$L2381)),-IF($P2381=1,-$K2381,$K2381),0))))</f>
        <v/>
      </c>
      <c r="U2381" s="6" t="str">
        <f>IF($K2381="","",IF(ISNUMBER(SEARCH("sortie-epargne",IFERROR(INDEX('Paramètres'!$N:$N,MATCH($D2381,'Paramètres'!$M:$M,0))&amp;"",""))),$K2381,0))</f>
        <v/>
      </c>
      <c r="V2381" s="6" t="str">
        <f>IF(AND($A2381&lt;&gt;"",$O2381=1,$L2381="Débit",N($Q2381)&gt;0,$A2381&gt;=Visualisation!$B$1,$A2381&lt;Visualisation!$D$1),MAX($V$1:V2380)+1,"")</f>
        <v/>
      </c>
    </row>
    <row r="2382" spans="1:22" x14ac:dyDescent="0.25">
      <c r="A2382" s="9"/>
      <c r="E2382" s="10"/>
      <c r="K2382" s="11" t="str">
        <f>IF($E2382="","",ROUND($E2382*IF(ISNA(MATCH($C2382,'Paramètres'!$D:$D,0)),1,IF(INDEX('Paramètres'!$J:$J,MATCH($C2382,'Paramètres'!$D:$D,0))="",1,INDEX('Paramètres'!$J:$J,MATCH($C2382,'Paramètres'!$D:$D,0)))),2))</f>
        <v/>
      </c>
      <c r="L2382" s="6" t="str">
        <f>IF($D2382="","",IF($F2382&lt;&gt;"",$F2382,IF(ISNA(MATCH($D2382,'Paramètres'!$M:$M,0)),"⚠ Type inconnu",IFERROR(INDEX('Paramètres'!$P:$P,MATCH($D2382,'Paramètres'!$M:$M,0))&amp;"",""))))</f>
        <v/>
      </c>
      <c r="M2382" s="6" t="str">
        <f>IF($D2382="","",IF(ISNA(MATCH($D2382,'Paramètres'!$M:$M,0)),"⚠ Type inconnu",IF($L2382="Crédit","",IFERROR(INDEX('Paramètres'!$O:$O,MATCH($D2382,'Paramètres'!$M:$M,0))&amp;"",""))))</f>
        <v/>
      </c>
      <c r="N2382" s="6" t="str">
        <f>IF($D2382="","",IFERROR(INDEX('Paramètres'!$Q:$Q,MATCH($D2382,'Paramètres'!$M:$M,0))&amp;"",""))</f>
        <v/>
      </c>
      <c r="O2382" s="6" t="str">
        <f>IF($A2382="","",IF(OR($J2382&lt;&gt;"x",$A2382&lt;=FinReleve),1,0))</f>
        <v/>
      </c>
      <c r="P2382" s="6" t="str">
        <f>IF($D2382="","",IF(AND($L2382="Crédit",OR(IFERROR(INDEX('Paramètres'!$O:$O,MATCH($D2382,'Paramètres'!$M:$M,0))&amp;"","")&lt;&gt;"",ISNUMBER(SEARCH("remboursement",IFERROR(INDEX('Paramètres'!$N:$N,MATCH($D2382,'Paramètres'!$M:$M,0))&amp;"",""))))),1,0))</f>
        <v/>
      </c>
      <c r="Q2382" s="6" t="str">
        <f>IF($K2382="","",IF(ISNUMBER(SEARCH("transfert-interne",IFERROR(INDEX('Paramètres'!$N:$N,MATCH($D2382,'Paramètres'!$M:$M,0))&amp;"",""))),0,IF($L2382="Débit",$K2382,IF($P2382=1,-$K2382,0))))</f>
        <v/>
      </c>
      <c r="R2382" s="6" t="str">
        <f>IF($K2382="","",IF($L2382="Crédit",$K2382,-$K2382))</f>
        <v/>
      </c>
      <c r="S2382" s="6" t="str">
        <f>IF($C2382="","",IFERROR(INDEX('Paramètres'!$H:$H,MATCH($C2382,'Paramètres'!$D:$D,0))&amp;"",""))</f>
        <v/>
      </c>
      <c r="T2382" s="6" t="str">
        <f>IF($K2382="","",IF($S2382="",0,IF(ISNUMBER(SEARCH("apport-exterieur",IFERROR(INDEX('Paramètres'!$N:$N,MATCH($D2382,'Paramètres'!$M:$M,0))&amp;"",""))),0,IF(OR(IFERROR(INDEX('Paramètres'!$I:$I,MATCH($C2382,'Paramètres'!$D:$D,0))&amp;"","")="Les deux",IFERROR(INDEX('Paramètres'!$I:$I,MATCH($C2382,'Paramètres'!$D:$D,0))&amp;"","")=IF($P2382=1,"Débit",$L2382)),-IF($P2382=1,-$K2382,$K2382),0))))</f>
        <v/>
      </c>
      <c r="U2382" s="6" t="str">
        <f>IF($K2382="","",IF(ISNUMBER(SEARCH("sortie-epargne",IFERROR(INDEX('Paramètres'!$N:$N,MATCH($D2382,'Paramètres'!$M:$M,0))&amp;"",""))),$K2382,0))</f>
        <v/>
      </c>
      <c r="V2382" s="6" t="str">
        <f>IF(AND($A2382&lt;&gt;"",$O2382=1,$L2382="Débit",N($Q2382)&gt;0,$A2382&gt;=Visualisation!$B$1,$A2382&lt;Visualisation!$D$1),MAX($V$1:V2381)+1,"")</f>
        <v/>
      </c>
    </row>
    <row r="2383" spans="1:22" x14ac:dyDescent="0.25">
      <c r="A2383" s="9"/>
      <c r="E2383" s="10"/>
      <c r="K2383" s="11" t="str">
        <f>IF($E2383="","",ROUND($E2383*IF(ISNA(MATCH($C2383,'Paramètres'!$D:$D,0)),1,IF(INDEX('Paramètres'!$J:$J,MATCH($C2383,'Paramètres'!$D:$D,0))="",1,INDEX('Paramètres'!$J:$J,MATCH($C2383,'Paramètres'!$D:$D,0)))),2))</f>
        <v/>
      </c>
      <c r="L2383" s="6" t="str">
        <f>IF($D2383="","",IF($F2383&lt;&gt;"",$F2383,IF(ISNA(MATCH($D2383,'Paramètres'!$M:$M,0)),"⚠ Type inconnu",IFERROR(INDEX('Paramètres'!$P:$P,MATCH($D2383,'Paramètres'!$M:$M,0))&amp;"",""))))</f>
        <v/>
      </c>
      <c r="M2383" s="6" t="str">
        <f>IF($D2383="","",IF(ISNA(MATCH($D2383,'Paramètres'!$M:$M,0)),"⚠ Type inconnu",IF($L2383="Crédit","",IFERROR(INDEX('Paramètres'!$O:$O,MATCH($D2383,'Paramètres'!$M:$M,0))&amp;"",""))))</f>
        <v/>
      </c>
      <c r="N2383" s="6" t="str">
        <f>IF($D2383="","",IFERROR(INDEX('Paramètres'!$Q:$Q,MATCH($D2383,'Paramètres'!$M:$M,0))&amp;"",""))</f>
        <v/>
      </c>
      <c r="O2383" s="6" t="str">
        <f>IF($A2383="","",IF(OR($J2383&lt;&gt;"x",$A2383&lt;=FinReleve),1,0))</f>
        <v/>
      </c>
      <c r="P2383" s="6" t="str">
        <f>IF($D2383="","",IF(AND($L2383="Crédit",OR(IFERROR(INDEX('Paramètres'!$O:$O,MATCH($D2383,'Paramètres'!$M:$M,0))&amp;"","")&lt;&gt;"",ISNUMBER(SEARCH("remboursement",IFERROR(INDEX('Paramètres'!$N:$N,MATCH($D2383,'Paramètres'!$M:$M,0))&amp;"",""))))),1,0))</f>
        <v/>
      </c>
      <c r="Q2383" s="6" t="str">
        <f>IF($K2383="","",IF(ISNUMBER(SEARCH("transfert-interne",IFERROR(INDEX('Paramètres'!$N:$N,MATCH($D2383,'Paramètres'!$M:$M,0))&amp;"",""))),0,IF($L2383="Débit",$K2383,IF($P2383=1,-$K2383,0))))</f>
        <v/>
      </c>
      <c r="R2383" s="6" t="str">
        <f>IF($K2383="","",IF($L2383="Crédit",$K2383,-$K2383))</f>
        <v/>
      </c>
      <c r="S2383" s="6" t="str">
        <f>IF($C2383="","",IFERROR(INDEX('Paramètres'!$H:$H,MATCH($C2383,'Paramètres'!$D:$D,0))&amp;"",""))</f>
        <v/>
      </c>
      <c r="T2383" s="6" t="str">
        <f>IF($K2383="","",IF($S2383="",0,IF(ISNUMBER(SEARCH("apport-exterieur",IFERROR(INDEX('Paramètres'!$N:$N,MATCH($D2383,'Paramètres'!$M:$M,0))&amp;"",""))),0,IF(OR(IFERROR(INDEX('Paramètres'!$I:$I,MATCH($C2383,'Paramètres'!$D:$D,0))&amp;"","")="Les deux",IFERROR(INDEX('Paramètres'!$I:$I,MATCH($C2383,'Paramètres'!$D:$D,0))&amp;"","")=IF($P2383=1,"Débit",$L2383)),-IF($P2383=1,-$K2383,$K2383),0))))</f>
        <v/>
      </c>
      <c r="U2383" s="6" t="str">
        <f>IF($K2383="","",IF(ISNUMBER(SEARCH("sortie-epargne",IFERROR(INDEX('Paramètres'!$N:$N,MATCH($D2383,'Paramètres'!$M:$M,0))&amp;"",""))),$K2383,0))</f>
        <v/>
      </c>
      <c r="V2383" s="6" t="str">
        <f>IF(AND($A2383&lt;&gt;"",$O2383=1,$L2383="Débit",N($Q2383)&gt;0,$A2383&gt;=Visualisation!$B$1,$A2383&lt;Visualisation!$D$1),MAX($V$1:V2382)+1,"")</f>
        <v/>
      </c>
    </row>
    <row r="2384" spans="1:22" x14ac:dyDescent="0.25">
      <c r="A2384" s="9"/>
      <c r="E2384" s="10"/>
      <c r="K2384" s="11" t="str">
        <f>IF($E2384="","",ROUND($E2384*IF(ISNA(MATCH($C2384,'Paramètres'!$D:$D,0)),1,IF(INDEX('Paramètres'!$J:$J,MATCH($C2384,'Paramètres'!$D:$D,0))="",1,INDEX('Paramètres'!$J:$J,MATCH($C2384,'Paramètres'!$D:$D,0)))),2))</f>
        <v/>
      </c>
      <c r="L2384" s="6" t="str">
        <f>IF($D2384="","",IF($F2384&lt;&gt;"",$F2384,IF(ISNA(MATCH($D2384,'Paramètres'!$M:$M,0)),"⚠ Type inconnu",IFERROR(INDEX('Paramètres'!$P:$P,MATCH($D2384,'Paramètres'!$M:$M,0))&amp;"",""))))</f>
        <v/>
      </c>
      <c r="M2384" s="6" t="str">
        <f>IF($D2384="","",IF(ISNA(MATCH($D2384,'Paramètres'!$M:$M,0)),"⚠ Type inconnu",IF($L2384="Crédit","",IFERROR(INDEX('Paramètres'!$O:$O,MATCH($D2384,'Paramètres'!$M:$M,0))&amp;"",""))))</f>
        <v/>
      </c>
      <c r="N2384" s="6" t="str">
        <f>IF($D2384="","",IFERROR(INDEX('Paramètres'!$Q:$Q,MATCH($D2384,'Paramètres'!$M:$M,0))&amp;"",""))</f>
        <v/>
      </c>
      <c r="O2384" s="6" t="str">
        <f>IF($A2384="","",IF(OR($J2384&lt;&gt;"x",$A2384&lt;=FinReleve),1,0))</f>
        <v/>
      </c>
      <c r="P2384" s="6" t="str">
        <f>IF($D2384="","",IF(AND($L2384="Crédit",OR(IFERROR(INDEX('Paramètres'!$O:$O,MATCH($D2384,'Paramètres'!$M:$M,0))&amp;"","")&lt;&gt;"",ISNUMBER(SEARCH("remboursement",IFERROR(INDEX('Paramètres'!$N:$N,MATCH($D2384,'Paramètres'!$M:$M,0))&amp;"",""))))),1,0))</f>
        <v/>
      </c>
      <c r="Q2384" s="6" t="str">
        <f>IF($K2384="","",IF(ISNUMBER(SEARCH("transfert-interne",IFERROR(INDEX('Paramètres'!$N:$N,MATCH($D2384,'Paramètres'!$M:$M,0))&amp;"",""))),0,IF($L2384="Débit",$K2384,IF($P2384=1,-$K2384,0))))</f>
        <v/>
      </c>
      <c r="R2384" s="6" t="str">
        <f>IF($K2384="","",IF($L2384="Crédit",$K2384,-$K2384))</f>
        <v/>
      </c>
      <c r="S2384" s="6" t="str">
        <f>IF($C2384="","",IFERROR(INDEX('Paramètres'!$H:$H,MATCH($C2384,'Paramètres'!$D:$D,0))&amp;"",""))</f>
        <v/>
      </c>
      <c r="T2384" s="6" t="str">
        <f>IF($K2384="","",IF($S2384="",0,IF(ISNUMBER(SEARCH("apport-exterieur",IFERROR(INDEX('Paramètres'!$N:$N,MATCH($D2384,'Paramètres'!$M:$M,0))&amp;"",""))),0,IF(OR(IFERROR(INDEX('Paramètres'!$I:$I,MATCH($C2384,'Paramètres'!$D:$D,0))&amp;"","")="Les deux",IFERROR(INDEX('Paramètres'!$I:$I,MATCH($C2384,'Paramètres'!$D:$D,0))&amp;"","")=IF($P2384=1,"Débit",$L2384)),-IF($P2384=1,-$K2384,$K2384),0))))</f>
        <v/>
      </c>
      <c r="U2384" s="6" t="str">
        <f>IF($K2384="","",IF(ISNUMBER(SEARCH("sortie-epargne",IFERROR(INDEX('Paramètres'!$N:$N,MATCH($D2384,'Paramètres'!$M:$M,0))&amp;"",""))),$K2384,0))</f>
        <v/>
      </c>
      <c r="V2384" s="6" t="str">
        <f>IF(AND($A2384&lt;&gt;"",$O2384=1,$L2384="Débit",N($Q2384)&gt;0,$A2384&gt;=Visualisation!$B$1,$A2384&lt;Visualisation!$D$1),MAX($V$1:V2383)+1,"")</f>
        <v/>
      </c>
    </row>
    <row r="2385" spans="1:22" x14ac:dyDescent="0.25">
      <c r="A2385" s="9"/>
      <c r="E2385" s="10"/>
      <c r="K2385" s="11" t="str">
        <f>IF($E2385="","",ROUND($E2385*IF(ISNA(MATCH($C2385,'Paramètres'!$D:$D,0)),1,IF(INDEX('Paramètres'!$J:$J,MATCH($C2385,'Paramètres'!$D:$D,0))="",1,INDEX('Paramètres'!$J:$J,MATCH($C2385,'Paramètres'!$D:$D,0)))),2))</f>
        <v/>
      </c>
      <c r="L2385" s="6" t="str">
        <f>IF($D2385="","",IF($F2385&lt;&gt;"",$F2385,IF(ISNA(MATCH($D2385,'Paramètres'!$M:$M,0)),"⚠ Type inconnu",IFERROR(INDEX('Paramètres'!$P:$P,MATCH($D2385,'Paramètres'!$M:$M,0))&amp;"",""))))</f>
        <v/>
      </c>
      <c r="M2385" s="6" t="str">
        <f>IF($D2385="","",IF(ISNA(MATCH($D2385,'Paramètres'!$M:$M,0)),"⚠ Type inconnu",IF($L2385="Crédit","",IFERROR(INDEX('Paramètres'!$O:$O,MATCH($D2385,'Paramètres'!$M:$M,0))&amp;"",""))))</f>
        <v/>
      </c>
      <c r="N2385" s="6" t="str">
        <f>IF($D2385="","",IFERROR(INDEX('Paramètres'!$Q:$Q,MATCH($D2385,'Paramètres'!$M:$M,0))&amp;"",""))</f>
        <v/>
      </c>
      <c r="O2385" s="6" t="str">
        <f>IF($A2385="","",IF(OR($J2385&lt;&gt;"x",$A2385&lt;=FinReleve),1,0))</f>
        <v/>
      </c>
      <c r="P2385" s="6" t="str">
        <f>IF($D2385="","",IF(AND($L2385="Crédit",OR(IFERROR(INDEX('Paramètres'!$O:$O,MATCH($D2385,'Paramètres'!$M:$M,0))&amp;"","")&lt;&gt;"",ISNUMBER(SEARCH("remboursement",IFERROR(INDEX('Paramètres'!$N:$N,MATCH($D2385,'Paramètres'!$M:$M,0))&amp;"",""))))),1,0))</f>
        <v/>
      </c>
      <c r="Q2385" s="6" t="str">
        <f>IF($K2385="","",IF(ISNUMBER(SEARCH("transfert-interne",IFERROR(INDEX('Paramètres'!$N:$N,MATCH($D2385,'Paramètres'!$M:$M,0))&amp;"",""))),0,IF($L2385="Débit",$K2385,IF($P2385=1,-$K2385,0))))</f>
        <v/>
      </c>
      <c r="R2385" s="6" t="str">
        <f>IF($K2385="","",IF($L2385="Crédit",$K2385,-$K2385))</f>
        <v/>
      </c>
      <c r="S2385" s="6" t="str">
        <f>IF($C2385="","",IFERROR(INDEX('Paramètres'!$H:$H,MATCH($C2385,'Paramètres'!$D:$D,0))&amp;"",""))</f>
        <v/>
      </c>
      <c r="T2385" s="6" t="str">
        <f>IF($K2385="","",IF($S2385="",0,IF(ISNUMBER(SEARCH("apport-exterieur",IFERROR(INDEX('Paramètres'!$N:$N,MATCH($D2385,'Paramètres'!$M:$M,0))&amp;"",""))),0,IF(OR(IFERROR(INDEX('Paramètres'!$I:$I,MATCH($C2385,'Paramètres'!$D:$D,0))&amp;"","")="Les deux",IFERROR(INDEX('Paramètres'!$I:$I,MATCH($C2385,'Paramètres'!$D:$D,0))&amp;"","")=IF($P2385=1,"Débit",$L2385)),-IF($P2385=1,-$K2385,$K2385),0))))</f>
        <v/>
      </c>
      <c r="U2385" s="6" t="str">
        <f>IF($K2385="","",IF(ISNUMBER(SEARCH("sortie-epargne",IFERROR(INDEX('Paramètres'!$N:$N,MATCH($D2385,'Paramètres'!$M:$M,0))&amp;"",""))),$K2385,0))</f>
        <v/>
      </c>
      <c r="V2385" s="6" t="str">
        <f>IF(AND($A2385&lt;&gt;"",$O2385=1,$L2385="Débit",N($Q2385)&gt;0,$A2385&gt;=Visualisation!$B$1,$A2385&lt;Visualisation!$D$1),MAX($V$1:V2384)+1,"")</f>
        <v/>
      </c>
    </row>
    <row r="2386" spans="1:22" x14ac:dyDescent="0.25">
      <c r="A2386" s="9"/>
      <c r="E2386" s="10"/>
      <c r="K2386" s="11" t="str">
        <f>IF($E2386="","",ROUND($E2386*IF(ISNA(MATCH($C2386,'Paramètres'!$D:$D,0)),1,IF(INDEX('Paramètres'!$J:$J,MATCH($C2386,'Paramètres'!$D:$D,0))="",1,INDEX('Paramètres'!$J:$J,MATCH($C2386,'Paramètres'!$D:$D,0)))),2))</f>
        <v/>
      </c>
      <c r="L2386" s="6" t="str">
        <f>IF($D2386="","",IF($F2386&lt;&gt;"",$F2386,IF(ISNA(MATCH($D2386,'Paramètres'!$M:$M,0)),"⚠ Type inconnu",IFERROR(INDEX('Paramètres'!$P:$P,MATCH($D2386,'Paramètres'!$M:$M,0))&amp;"",""))))</f>
        <v/>
      </c>
      <c r="M2386" s="6" t="str">
        <f>IF($D2386="","",IF(ISNA(MATCH($D2386,'Paramètres'!$M:$M,0)),"⚠ Type inconnu",IF($L2386="Crédit","",IFERROR(INDEX('Paramètres'!$O:$O,MATCH($D2386,'Paramètres'!$M:$M,0))&amp;"",""))))</f>
        <v/>
      </c>
      <c r="N2386" s="6" t="str">
        <f>IF($D2386="","",IFERROR(INDEX('Paramètres'!$Q:$Q,MATCH($D2386,'Paramètres'!$M:$M,0))&amp;"",""))</f>
        <v/>
      </c>
      <c r="O2386" s="6" t="str">
        <f>IF($A2386="","",IF(OR($J2386&lt;&gt;"x",$A2386&lt;=FinReleve),1,0))</f>
        <v/>
      </c>
      <c r="P2386" s="6" t="str">
        <f>IF($D2386="","",IF(AND($L2386="Crédit",OR(IFERROR(INDEX('Paramètres'!$O:$O,MATCH($D2386,'Paramètres'!$M:$M,0))&amp;"","")&lt;&gt;"",ISNUMBER(SEARCH("remboursement",IFERROR(INDEX('Paramètres'!$N:$N,MATCH($D2386,'Paramètres'!$M:$M,0))&amp;"",""))))),1,0))</f>
        <v/>
      </c>
      <c r="Q2386" s="6" t="str">
        <f>IF($K2386="","",IF(ISNUMBER(SEARCH("transfert-interne",IFERROR(INDEX('Paramètres'!$N:$N,MATCH($D2386,'Paramètres'!$M:$M,0))&amp;"",""))),0,IF($L2386="Débit",$K2386,IF($P2386=1,-$K2386,0))))</f>
        <v/>
      </c>
      <c r="R2386" s="6" t="str">
        <f>IF($K2386="","",IF($L2386="Crédit",$K2386,-$K2386))</f>
        <v/>
      </c>
      <c r="S2386" s="6" t="str">
        <f>IF($C2386="","",IFERROR(INDEX('Paramètres'!$H:$H,MATCH($C2386,'Paramètres'!$D:$D,0))&amp;"",""))</f>
        <v/>
      </c>
      <c r="T2386" s="6" t="str">
        <f>IF($K2386="","",IF($S2386="",0,IF(ISNUMBER(SEARCH("apport-exterieur",IFERROR(INDEX('Paramètres'!$N:$N,MATCH($D2386,'Paramètres'!$M:$M,0))&amp;"",""))),0,IF(OR(IFERROR(INDEX('Paramètres'!$I:$I,MATCH($C2386,'Paramètres'!$D:$D,0))&amp;"","")="Les deux",IFERROR(INDEX('Paramètres'!$I:$I,MATCH($C2386,'Paramètres'!$D:$D,0))&amp;"","")=IF($P2386=1,"Débit",$L2386)),-IF($P2386=1,-$K2386,$K2386),0))))</f>
        <v/>
      </c>
      <c r="U2386" s="6" t="str">
        <f>IF($K2386="","",IF(ISNUMBER(SEARCH("sortie-epargne",IFERROR(INDEX('Paramètres'!$N:$N,MATCH($D2386,'Paramètres'!$M:$M,0))&amp;"",""))),$K2386,0))</f>
        <v/>
      </c>
      <c r="V2386" s="6" t="str">
        <f>IF(AND($A2386&lt;&gt;"",$O2386=1,$L2386="Débit",N($Q2386)&gt;0,$A2386&gt;=Visualisation!$B$1,$A2386&lt;Visualisation!$D$1),MAX($V$1:V2385)+1,"")</f>
        <v/>
      </c>
    </row>
    <row r="2387" spans="1:22" x14ac:dyDescent="0.25">
      <c r="A2387" s="9"/>
      <c r="E2387" s="10"/>
      <c r="K2387" s="11" t="str">
        <f>IF($E2387="","",ROUND($E2387*IF(ISNA(MATCH($C2387,'Paramètres'!$D:$D,0)),1,IF(INDEX('Paramètres'!$J:$J,MATCH($C2387,'Paramètres'!$D:$D,0))="",1,INDEX('Paramètres'!$J:$J,MATCH($C2387,'Paramètres'!$D:$D,0)))),2))</f>
        <v/>
      </c>
      <c r="L2387" s="6" t="str">
        <f>IF($D2387="","",IF($F2387&lt;&gt;"",$F2387,IF(ISNA(MATCH($D2387,'Paramètres'!$M:$M,0)),"⚠ Type inconnu",IFERROR(INDEX('Paramètres'!$P:$P,MATCH($D2387,'Paramètres'!$M:$M,0))&amp;"",""))))</f>
        <v/>
      </c>
      <c r="M2387" s="6" t="str">
        <f>IF($D2387="","",IF(ISNA(MATCH($D2387,'Paramètres'!$M:$M,0)),"⚠ Type inconnu",IF($L2387="Crédit","",IFERROR(INDEX('Paramètres'!$O:$O,MATCH($D2387,'Paramètres'!$M:$M,0))&amp;"",""))))</f>
        <v/>
      </c>
      <c r="N2387" s="6" t="str">
        <f>IF($D2387="","",IFERROR(INDEX('Paramètres'!$Q:$Q,MATCH($D2387,'Paramètres'!$M:$M,0))&amp;"",""))</f>
        <v/>
      </c>
      <c r="O2387" s="6" t="str">
        <f>IF($A2387="","",IF(OR($J2387&lt;&gt;"x",$A2387&lt;=FinReleve),1,0))</f>
        <v/>
      </c>
      <c r="P2387" s="6" t="str">
        <f>IF($D2387="","",IF(AND($L2387="Crédit",OR(IFERROR(INDEX('Paramètres'!$O:$O,MATCH($D2387,'Paramètres'!$M:$M,0))&amp;"","")&lt;&gt;"",ISNUMBER(SEARCH("remboursement",IFERROR(INDEX('Paramètres'!$N:$N,MATCH($D2387,'Paramètres'!$M:$M,0))&amp;"",""))))),1,0))</f>
        <v/>
      </c>
      <c r="Q2387" s="6" t="str">
        <f>IF($K2387="","",IF(ISNUMBER(SEARCH("transfert-interne",IFERROR(INDEX('Paramètres'!$N:$N,MATCH($D2387,'Paramètres'!$M:$M,0))&amp;"",""))),0,IF($L2387="Débit",$K2387,IF($P2387=1,-$K2387,0))))</f>
        <v/>
      </c>
      <c r="R2387" s="6" t="str">
        <f>IF($K2387="","",IF($L2387="Crédit",$K2387,-$K2387))</f>
        <v/>
      </c>
      <c r="S2387" s="6" t="str">
        <f>IF($C2387="","",IFERROR(INDEX('Paramètres'!$H:$H,MATCH($C2387,'Paramètres'!$D:$D,0))&amp;"",""))</f>
        <v/>
      </c>
      <c r="T2387" s="6" t="str">
        <f>IF($K2387="","",IF($S2387="",0,IF(ISNUMBER(SEARCH("apport-exterieur",IFERROR(INDEX('Paramètres'!$N:$N,MATCH($D2387,'Paramètres'!$M:$M,0))&amp;"",""))),0,IF(OR(IFERROR(INDEX('Paramètres'!$I:$I,MATCH($C2387,'Paramètres'!$D:$D,0))&amp;"","")="Les deux",IFERROR(INDEX('Paramètres'!$I:$I,MATCH($C2387,'Paramètres'!$D:$D,0))&amp;"","")=IF($P2387=1,"Débit",$L2387)),-IF($P2387=1,-$K2387,$K2387),0))))</f>
        <v/>
      </c>
      <c r="U2387" s="6" t="str">
        <f>IF($K2387="","",IF(ISNUMBER(SEARCH("sortie-epargne",IFERROR(INDEX('Paramètres'!$N:$N,MATCH($D2387,'Paramètres'!$M:$M,0))&amp;"",""))),$K2387,0))</f>
        <v/>
      </c>
      <c r="V2387" s="6" t="str">
        <f>IF(AND($A2387&lt;&gt;"",$O2387=1,$L2387="Débit",N($Q2387)&gt;0,$A2387&gt;=Visualisation!$B$1,$A2387&lt;Visualisation!$D$1),MAX($V$1:V2386)+1,"")</f>
        <v/>
      </c>
    </row>
    <row r="2388" spans="1:22" x14ac:dyDescent="0.25">
      <c r="A2388" s="9"/>
      <c r="E2388" s="10"/>
      <c r="K2388" s="11" t="str">
        <f>IF($E2388="","",ROUND($E2388*IF(ISNA(MATCH($C2388,'Paramètres'!$D:$D,0)),1,IF(INDEX('Paramètres'!$J:$J,MATCH($C2388,'Paramètres'!$D:$D,0))="",1,INDEX('Paramètres'!$J:$J,MATCH($C2388,'Paramètres'!$D:$D,0)))),2))</f>
        <v/>
      </c>
      <c r="L2388" s="6" t="str">
        <f>IF($D2388="","",IF($F2388&lt;&gt;"",$F2388,IF(ISNA(MATCH($D2388,'Paramètres'!$M:$M,0)),"⚠ Type inconnu",IFERROR(INDEX('Paramètres'!$P:$P,MATCH($D2388,'Paramètres'!$M:$M,0))&amp;"",""))))</f>
        <v/>
      </c>
      <c r="M2388" s="6" t="str">
        <f>IF($D2388="","",IF(ISNA(MATCH($D2388,'Paramètres'!$M:$M,0)),"⚠ Type inconnu",IF($L2388="Crédit","",IFERROR(INDEX('Paramètres'!$O:$O,MATCH($D2388,'Paramètres'!$M:$M,0))&amp;"",""))))</f>
        <v/>
      </c>
      <c r="N2388" s="6" t="str">
        <f>IF($D2388="","",IFERROR(INDEX('Paramètres'!$Q:$Q,MATCH($D2388,'Paramètres'!$M:$M,0))&amp;"",""))</f>
        <v/>
      </c>
      <c r="O2388" s="6" t="str">
        <f>IF($A2388="","",IF(OR($J2388&lt;&gt;"x",$A2388&lt;=FinReleve),1,0))</f>
        <v/>
      </c>
      <c r="P2388" s="6" t="str">
        <f>IF($D2388="","",IF(AND($L2388="Crédit",OR(IFERROR(INDEX('Paramètres'!$O:$O,MATCH($D2388,'Paramètres'!$M:$M,0))&amp;"","")&lt;&gt;"",ISNUMBER(SEARCH("remboursement",IFERROR(INDEX('Paramètres'!$N:$N,MATCH($D2388,'Paramètres'!$M:$M,0))&amp;"",""))))),1,0))</f>
        <v/>
      </c>
      <c r="Q2388" s="6" t="str">
        <f>IF($K2388="","",IF(ISNUMBER(SEARCH("transfert-interne",IFERROR(INDEX('Paramètres'!$N:$N,MATCH($D2388,'Paramètres'!$M:$M,0))&amp;"",""))),0,IF($L2388="Débit",$K2388,IF($P2388=1,-$K2388,0))))</f>
        <v/>
      </c>
      <c r="R2388" s="6" t="str">
        <f>IF($K2388="","",IF($L2388="Crédit",$K2388,-$K2388))</f>
        <v/>
      </c>
      <c r="S2388" s="6" t="str">
        <f>IF($C2388="","",IFERROR(INDEX('Paramètres'!$H:$H,MATCH($C2388,'Paramètres'!$D:$D,0))&amp;"",""))</f>
        <v/>
      </c>
      <c r="T2388" s="6" t="str">
        <f>IF($K2388="","",IF($S2388="",0,IF(ISNUMBER(SEARCH("apport-exterieur",IFERROR(INDEX('Paramètres'!$N:$N,MATCH($D2388,'Paramètres'!$M:$M,0))&amp;"",""))),0,IF(OR(IFERROR(INDEX('Paramètres'!$I:$I,MATCH($C2388,'Paramètres'!$D:$D,0))&amp;"","")="Les deux",IFERROR(INDEX('Paramètres'!$I:$I,MATCH($C2388,'Paramètres'!$D:$D,0))&amp;"","")=IF($P2388=1,"Débit",$L2388)),-IF($P2388=1,-$K2388,$K2388),0))))</f>
        <v/>
      </c>
      <c r="U2388" s="6" t="str">
        <f>IF($K2388="","",IF(ISNUMBER(SEARCH("sortie-epargne",IFERROR(INDEX('Paramètres'!$N:$N,MATCH($D2388,'Paramètres'!$M:$M,0))&amp;"",""))),$K2388,0))</f>
        <v/>
      </c>
      <c r="V2388" s="6" t="str">
        <f>IF(AND($A2388&lt;&gt;"",$O2388=1,$L2388="Débit",N($Q2388)&gt;0,$A2388&gt;=Visualisation!$B$1,$A2388&lt;Visualisation!$D$1),MAX($V$1:V2387)+1,"")</f>
        <v/>
      </c>
    </row>
    <row r="2389" spans="1:22" x14ac:dyDescent="0.25">
      <c r="A2389" s="9"/>
      <c r="E2389" s="10"/>
      <c r="K2389" s="11" t="str">
        <f>IF($E2389="","",ROUND($E2389*IF(ISNA(MATCH($C2389,'Paramètres'!$D:$D,0)),1,IF(INDEX('Paramètres'!$J:$J,MATCH($C2389,'Paramètres'!$D:$D,0))="",1,INDEX('Paramètres'!$J:$J,MATCH($C2389,'Paramètres'!$D:$D,0)))),2))</f>
        <v/>
      </c>
      <c r="L2389" s="6" t="str">
        <f>IF($D2389="","",IF($F2389&lt;&gt;"",$F2389,IF(ISNA(MATCH($D2389,'Paramètres'!$M:$M,0)),"⚠ Type inconnu",IFERROR(INDEX('Paramètres'!$P:$P,MATCH($D2389,'Paramètres'!$M:$M,0))&amp;"",""))))</f>
        <v/>
      </c>
      <c r="M2389" s="6" t="str">
        <f>IF($D2389="","",IF(ISNA(MATCH($D2389,'Paramètres'!$M:$M,0)),"⚠ Type inconnu",IF($L2389="Crédit","",IFERROR(INDEX('Paramètres'!$O:$O,MATCH($D2389,'Paramètres'!$M:$M,0))&amp;"",""))))</f>
        <v/>
      </c>
      <c r="N2389" s="6" t="str">
        <f>IF($D2389="","",IFERROR(INDEX('Paramètres'!$Q:$Q,MATCH($D2389,'Paramètres'!$M:$M,0))&amp;"",""))</f>
        <v/>
      </c>
      <c r="O2389" s="6" t="str">
        <f>IF($A2389="","",IF(OR($J2389&lt;&gt;"x",$A2389&lt;=FinReleve),1,0))</f>
        <v/>
      </c>
      <c r="P2389" s="6" t="str">
        <f>IF($D2389="","",IF(AND($L2389="Crédit",OR(IFERROR(INDEX('Paramètres'!$O:$O,MATCH($D2389,'Paramètres'!$M:$M,0))&amp;"","")&lt;&gt;"",ISNUMBER(SEARCH("remboursement",IFERROR(INDEX('Paramètres'!$N:$N,MATCH($D2389,'Paramètres'!$M:$M,0))&amp;"",""))))),1,0))</f>
        <v/>
      </c>
      <c r="Q2389" s="6" t="str">
        <f>IF($K2389="","",IF(ISNUMBER(SEARCH("transfert-interne",IFERROR(INDEX('Paramètres'!$N:$N,MATCH($D2389,'Paramètres'!$M:$M,0))&amp;"",""))),0,IF($L2389="Débit",$K2389,IF($P2389=1,-$K2389,0))))</f>
        <v/>
      </c>
      <c r="R2389" s="6" t="str">
        <f>IF($K2389="","",IF($L2389="Crédit",$K2389,-$K2389))</f>
        <v/>
      </c>
      <c r="S2389" s="6" t="str">
        <f>IF($C2389="","",IFERROR(INDEX('Paramètres'!$H:$H,MATCH($C2389,'Paramètres'!$D:$D,0))&amp;"",""))</f>
        <v/>
      </c>
      <c r="T2389" s="6" t="str">
        <f>IF($K2389="","",IF($S2389="",0,IF(ISNUMBER(SEARCH("apport-exterieur",IFERROR(INDEX('Paramètres'!$N:$N,MATCH($D2389,'Paramètres'!$M:$M,0))&amp;"",""))),0,IF(OR(IFERROR(INDEX('Paramètres'!$I:$I,MATCH($C2389,'Paramètres'!$D:$D,0))&amp;"","")="Les deux",IFERROR(INDEX('Paramètres'!$I:$I,MATCH($C2389,'Paramètres'!$D:$D,0))&amp;"","")=IF($P2389=1,"Débit",$L2389)),-IF($P2389=1,-$K2389,$K2389),0))))</f>
        <v/>
      </c>
      <c r="U2389" s="6" t="str">
        <f>IF($K2389="","",IF(ISNUMBER(SEARCH("sortie-epargne",IFERROR(INDEX('Paramètres'!$N:$N,MATCH($D2389,'Paramètres'!$M:$M,0))&amp;"",""))),$K2389,0))</f>
        <v/>
      </c>
      <c r="V2389" s="6" t="str">
        <f>IF(AND($A2389&lt;&gt;"",$O2389=1,$L2389="Débit",N($Q2389)&gt;0,$A2389&gt;=Visualisation!$B$1,$A2389&lt;Visualisation!$D$1),MAX($V$1:V2388)+1,"")</f>
        <v/>
      </c>
    </row>
    <row r="2390" spans="1:22" x14ac:dyDescent="0.25">
      <c r="A2390" s="9"/>
      <c r="E2390" s="10"/>
      <c r="K2390" s="11" t="str">
        <f>IF($E2390="","",ROUND($E2390*IF(ISNA(MATCH($C2390,'Paramètres'!$D:$D,0)),1,IF(INDEX('Paramètres'!$J:$J,MATCH($C2390,'Paramètres'!$D:$D,0))="",1,INDEX('Paramètres'!$J:$J,MATCH($C2390,'Paramètres'!$D:$D,0)))),2))</f>
        <v/>
      </c>
      <c r="L2390" s="6" t="str">
        <f>IF($D2390="","",IF($F2390&lt;&gt;"",$F2390,IF(ISNA(MATCH($D2390,'Paramètres'!$M:$M,0)),"⚠ Type inconnu",IFERROR(INDEX('Paramètres'!$P:$P,MATCH($D2390,'Paramètres'!$M:$M,0))&amp;"",""))))</f>
        <v/>
      </c>
      <c r="M2390" s="6" t="str">
        <f>IF($D2390="","",IF(ISNA(MATCH($D2390,'Paramètres'!$M:$M,0)),"⚠ Type inconnu",IF($L2390="Crédit","",IFERROR(INDEX('Paramètres'!$O:$O,MATCH($D2390,'Paramètres'!$M:$M,0))&amp;"",""))))</f>
        <v/>
      </c>
      <c r="N2390" s="6" t="str">
        <f>IF($D2390="","",IFERROR(INDEX('Paramètres'!$Q:$Q,MATCH($D2390,'Paramètres'!$M:$M,0))&amp;"",""))</f>
        <v/>
      </c>
      <c r="O2390" s="6" t="str">
        <f>IF($A2390="","",IF(OR($J2390&lt;&gt;"x",$A2390&lt;=FinReleve),1,0))</f>
        <v/>
      </c>
      <c r="P2390" s="6" t="str">
        <f>IF($D2390="","",IF(AND($L2390="Crédit",OR(IFERROR(INDEX('Paramètres'!$O:$O,MATCH($D2390,'Paramètres'!$M:$M,0))&amp;"","")&lt;&gt;"",ISNUMBER(SEARCH("remboursement",IFERROR(INDEX('Paramètres'!$N:$N,MATCH($D2390,'Paramètres'!$M:$M,0))&amp;"",""))))),1,0))</f>
        <v/>
      </c>
      <c r="Q2390" s="6" t="str">
        <f>IF($K2390="","",IF(ISNUMBER(SEARCH("transfert-interne",IFERROR(INDEX('Paramètres'!$N:$N,MATCH($D2390,'Paramètres'!$M:$M,0))&amp;"",""))),0,IF($L2390="Débit",$K2390,IF($P2390=1,-$K2390,0))))</f>
        <v/>
      </c>
      <c r="R2390" s="6" t="str">
        <f>IF($K2390="","",IF($L2390="Crédit",$K2390,-$K2390))</f>
        <v/>
      </c>
      <c r="S2390" s="6" t="str">
        <f>IF($C2390="","",IFERROR(INDEX('Paramètres'!$H:$H,MATCH($C2390,'Paramètres'!$D:$D,0))&amp;"",""))</f>
        <v/>
      </c>
      <c r="T2390" s="6" t="str">
        <f>IF($K2390="","",IF($S2390="",0,IF(ISNUMBER(SEARCH("apport-exterieur",IFERROR(INDEX('Paramètres'!$N:$N,MATCH($D2390,'Paramètres'!$M:$M,0))&amp;"",""))),0,IF(OR(IFERROR(INDEX('Paramètres'!$I:$I,MATCH($C2390,'Paramètres'!$D:$D,0))&amp;"","")="Les deux",IFERROR(INDEX('Paramètres'!$I:$I,MATCH($C2390,'Paramètres'!$D:$D,0))&amp;"","")=IF($P2390=1,"Débit",$L2390)),-IF($P2390=1,-$K2390,$K2390),0))))</f>
        <v/>
      </c>
      <c r="U2390" s="6" t="str">
        <f>IF($K2390="","",IF(ISNUMBER(SEARCH("sortie-epargne",IFERROR(INDEX('Paramètres'!$N:$N,MATCH($D2390,'Paramètres'!$M:$M,0))&amp;"",""))),$K2390,0))</f>
        <v/>
      </c>
      <c r="V2390" s="6" t="str">
        <f>IF(AND($A2390&lt;&gt;"",$O2390=1,$L2390="Débit",N($Q2390)&gt;0,$A2390&gt;=Visualisation!$B$1,$A2390&lt;Visualisation!$D$1),MAX($V$1:V2389)+1,"")</f>
        <v/>
      </c>
    </row>
    <row r="2391" spans="1:22" x14ac:dyDescent="0.25">
      <c r="A2391" s="9"/>
      <c r="E2391" s="10"/>
      <c r="K2391" s="11" t="str">
        <f>IF($E2391="","",ROUND($E2391*IF(ISNA(MATCH($C2391,'Paramètres'!$D:$D,0)),1,IF(INDEX('Paramètres'!$J:$J,MATCH($C2391,'Paramètres'!$D:$D,0))="",1,INDEX('Paramètres'!$J:$J,MATCH($C2391,'Paramètres'!$D:$D,0)))),2))</f>
        <v/>
      </c>
      <c r="L2391" s="6" t="str">
        <f>IF($D2391="","",IF($F2391&lt;&gt;"",$F2391,IF(ISNA(MATCH($D2391,'Paramètres'!$M:$M,0)),"⚠ Type inconnu",IFERROR(INDEX('Paramètres'!$P:$P,MATCH($D2391,'Paramètres'!$M:$M,0))&amp;"",""))))</f>
        <v/>
      </c>
      <c r="M2391" s="6" t="str">
        <f>IF($D2391="","",IF(ISNA(MATCH($D2391,'Paramètres'!$M:$M,0)),"⚠ Type inconnu",IF($L2391="Crédit","",IFERROR(INDEX('Paramètres'!$O:$O,MATCH($D2391,'Paramètres'!$M:$M,0))&amp;"",""))))</f>
        <v/>
      </c>
      <c r="N2391" s="6" t="str">
        <f>IF($D2391="","",IFERROR(INDEX('Paramètres'!$Q:$Q,MATCH($D2391,'Paramètres'!$M:$M,0))&amp;"",""))</f>
        <v/>
      </c>
      <c r="O2391" s="6" t="str">
        <f>IF($A2391="","",IF(OR($J2391&lt;&gt;"x",$A2391&lt;=FinReleve),1,0))</f>
        <v/>
      </c>
      <c r="P2391" s="6" t="str">
        <f>IF($D2391="","",IF(AND($L2391="Crédit",OR(IFERROR(INDEX('Paramètres'!$O:$O,MATCH($D2391,'Paramètres'!$M:$M,0))&amp;"","")&lt;&gt;"",ISNUMBER(SEARCH("remboursement",IFERROR(INDEX('Paramètres'!$N:$N,MATCH($D2391,'Paramètres'!$M:$M,0))&amp;"",""))))),1,0))</f>
        <v/>
      </c>
      <c r="Q2391" s="6" t="str">
        <f>IF($K2391="","",IF(ISNUMBER(SEARCH("transfert-interne",IFERROR(INDEX('Paramètres'!$N:$N,MATCH($D2391,'Paramètres'!$M:$M,0))&amp;"",""))),0,IF($L2391="Débit",$K2391,IF($P2391=1,-$K2391,0))))</f>
        <v/>
      </c>
      <c r="R2391" s="6" t="str">
        <f>IF($K2391="","",IF($L2391="Crédit",$K2391,-$K2391))</f>
        <v/>
      </c>
      <c r="S2391" s="6" t="str">
        <f>IF($C2391="","",IFERROR(INDEX('Paramètres'!$H:$H,MATCH($C2391,'Paramètres'!$D:$D,0))&amp;"",""))</f>
        <v/>
      </c>
      <c r="T2391" s="6" t="str">
        <f>IF($K2391="","",IF($S2391="",0,IF(ISNUMBER(SEARCH("apport-exterieur",IFERROR(INDEX('Paramètres'!$N:$N,MATCH($D2391,'Paramètres'!$M:$M,0))&amp;"",""))),0,IF(OR(IFERROR(INDEX('Paramètres'!$I:$I,MATCH($C2391,'Paramètres'!$D:$D,0))&amp;"","")="Les deux",IFERROR(INDEX('Paramètres'!$I:$I,MATCH($C2391,'Paramètres'!$D:$D,0))&amp;"","")=IF($P2391=1,"Débit",$L2391)),-IF($P2391=1,-$K2391,$K2391),0))))</f>
        <v/>
      </c>
      <c r="U2391" s="6" t="str">
        <f>IF($K2391="","",IF(ISNUMBER(SEARCH("sortie-epargne",IFERROR(INDEX('Paramètres'!$N:$N,MATCH($D2391,'Paramètres'!$M:$M,0))&amp;"",""))),$K2391,0))</f>
        <v/>
      </c>
      <c r="V2391" s="6" t="str">
        <f>IF(AND($A2391&lt;&gt;"",$O2391=1,$L2391="Débit",N($Q2391)&gt;0,$A2391&gt;=Visualisation!$B$1,$A2391&lt;Visualisation!$D$1),MAX($V$1:V2390)+1,"")</f>
        <v/>
      </c>
    </row>
    <row r="2392" spans="1:22" x14ac:dyDescent="0.25">
      <c r="A2392" s="9"/>
      <c r="E2392" s="10"/>
      <c r="K2392" s="11" t="str">
        <f>IF($E2392="","",ROUND($E2392*IF(ISNA(MATCH($C2392,'Paramètres'!$D:$D,0)),1,IF(INDEX('Paramètres'!$J:$J,MATCH($C2392,'Paramètres'!$D:$D,0))="",1,INDEX('Paramètres'!$J:$J,MATCH($C2392,'Paramètres'!$D:$D,0)))),2))</f>
        <v/>
      </c>
      <c r="L2392" s="6" t="str">
        <f>IF($D2392="","",IF($F2392&lt;&gt;"",$F2392,IF(ISNA(MATCH($D2392,'Paramètres'!$M:$M,0)),"⚠ Type inconnu",IFERROR(INDEX('Paramètres'!$P:$P,MATCH($D2392,'Paramètres'!$M:$M,0))&amp;"",""))))</f>
        <v/>
      </c>
      <c r="M2392" s="6" t="str">
        <f>IF($D2392="","",IF(ISNA(MATCH($D2392,'Paramètres'!$M:$M,0)),"⚠ Type inconnu",IF($L2392="Crédit","",IFERROR(INDEX('Paramètres'!$O:$O,MATCH($D2392,'Paramètres'!$M:$M,0))&amp;"",""))))</f>
        <v/>
      </c>
      <c r="N2392" s="6" t="str">
        <f>IF($D2392="","",IFERROR(INDEX('Paramètres'!$Q:$Q,MATCH($D2392,'Paramètres'!$M:$M,0))&amp;"",""))</f>
        <v/>
      </c>
      <c r="O2392" s="6" t="str">
        <f>IF($A2392="","",IF(OR($J2392&lt;&gt;"x",$A2392&lt;=FinReleve),1,0))</f>
        <v/>
      </c>
      <c r="P2392" s="6" t="str">
        <f>IF($D2392="","",IF(AND($L2392="Crédit",OR(IFERROR(INDEX('Paramètres'!$O:$O,MATCH($D2392,'Paramètres'!$M:$M,0))&amp;"","")&lt;&gt;"",ISNUMBER(SEARCH("remboursement",IFERROR(INDEX('Paramètres'!$N:$N,MATCH($D2392,'Paramètres'!$M:$M,0))&amp;"",""))))),1,0))</f>
        <v/>
      </c>
      <c r="Q2392" s="6" t="str">
        <f>IF($K2392="","",IF(ISNUMBER(SEARCH("transfert-interne",IFERROR(INDEX('Paramètres'!$N:$N,MATCH($D2392,'Paramètres'!$M:$M,0))&amp;"",""))),0,IF($L2392="Débit",$K2392,IF($P2392=1,-$K2392,0))))</f>
        <v/>
      </c>
      <c r="R2392" s="6" t="str">
        <f>IF($K2392="","",IF($L2392="Crédit",$K2392,-$K2392))</f>
        <v/>
      </c>
      <c r="S2392" s="6" t="str">
        <f>IF($C2392="","",IFERROR(INDEX('Paramètres'!$H:$H,MATCH($C2392,'Paramètres'!$D:$D,0))&amp;"",""))</f>
        <v/>
      </c>
      <c r="T2392" s="6" t="str">
        <f>IF($K2392="","",IF($S2392="",0,IF(ISNUMBER(SEARCH("apport-exterieur",IFERROR(INDEX('Paramètres'!$N:$N,MATCH($D2392,'Paramètres'!$M:$M,0))&amp;"",""))),0,IF(OR(IFERROR(INDEX('Paramètres'!$I:$I,MATCH($C2392,'Paramètres'!$D:$D,0))&amp;"","")="Les deux",IFERROR(INDEX('Paramètres'!$I:$I,MATCH($C2392,'Paramètres'!$D:$D,0))&amp;"","")=IF($P2392=1,"Débit",$L2392)),-IF($P2392=1,-$K2392,$K2392),0))))</f>
        <v/>
      </c>
      <c r="U2392" s="6" t="str">
        <f>IF($K2392="","",IF(ISNUMBER(SEARCH("sortie-epargne",IFERROR(INDEX('Paramètres'!$N:$N,MATCH($D2392,'Paramètres'!$M:$M,0))&amp;"",""))),$K2392,0))</f>
        <v/>
      </c>
      <c r="V2392" s="6" t="str">
        <f>IF(AND($A2392&lt;&gt;"",$O2392=1,$L2392="Débit",N($Q2392)&gt;0,$A2392&gt;=Visualisation!$B$1,$A2392&lt;Visualisation!$D$1),MAX($V$1:V2391)+1,"")</f>
        <v/>
      </c>
    </row>
    <row r="2393" spans="1:22" x14ac:dyDescent="0.25">
      <c r="A2393" s="9"/>
      <c r="E2393" s="10"/>
      <c r="K2393" s="11" t="str">
        <f>IF($E2393="","",ROUND($E2393*IF(ISNA(MATCH($C2393,'Paramètres'!$D:$D,0)),1,IF(INDEX('Paramètres'!$J:$J,MATCH($C2393,'Paramètres'!$D:$D,0))="",1,INDEX('Paramètres'!$J:$J,MATCH($C2393,'Paramètres'!$D:$D,0)))),2))</f>
        <v/>
      </c>
      <c r="L2393" s="6" t="str">
        <f>IF($D2393="","",IF($F2393&lt;&gt;"",$F2393,IF(ISNA(MATCH($D2393,'Paramètres'!$M:$M,0)),"⚠ Type inconnu",IFERROR(INDEX('Paramètres'!$P:$P,MATCH($D2393,'Paramètres'!$M:$M,0))&amp;"",""))))</f>
        <v/>
      </c>
      <c r="M2393" s="6" t="str">
        <f>IF($D2393="","",IF(ISNA(MATCH($D2393,'Paramètres'!$M:$M,0)),"⚠ Type inconnu",IF($L2393="Crédit","",IFERROR(INDEX('Paramètres'!$O:$O,MATCH($D2393,'Paramètres'!$M:$M,0))&amp;"",""))))</f>
        <v/>
      </c>
      <c r="N2393" s="6" t="str">
        <f>IF($D2393="","",IFERROR(INDEX('Paramètres'!$Q:$Q,MATCH($D2393,'Paramètres'!$M:$M,0))&amp;"",""))</f>
        <v/>
      </c>
      <c r="O2393" s="6" t="str">
        <f>IF($A2393="","",IF(OR($J2393&lt;&gt;"x",$A2393&lt;=FinReleve),1,0))</f>
        <v/>
      </c>
      <c r="P2393" s="6" t="str">
        <f>IF($D2393="","",IF(AND($L2393="Crédit",OR(IFERROR(INDEX('Paramètres'!$O:$O,MATCH($D2393,'Paramètres'!$M:$M,0))&amp;"","")&lt;&gt;"",ISNUMBER(SEARCH("remboursement",IFERROR(INDEX('Paramètres'!$N:$N,MATCH($D2393,'Paramètres'!$M:$M,0))&amp;"",""))))),1,0))</f>
        <v/>
      </c>
      <c r="Q2393" s="6" t="str">
        <f>IF($K2393="","",IF(ISNUMBER(SEARCH("transfert-interne",IFERROR(INDEX('Paramètres'!$N:$N,MATCH($D2393,'Paramètres'!$M:$M,0))&amp;"",""))),0,IF($L2393="Débit",$K2393,IF($P2393=1,-$K2393,0))))</f>
        <v/>
      </c>
      <c r="R2393" s="6" t="str">
        <f>IF($K2393="","",IF($L2393="Crédit",$K2393,-$K2393))</f>
        <v/>
      </c>
      <c r="S2393" s="6" t="str">
        <f>IF($C2393="","",IFERROR(INDEX('Paramètres'!$H:$H,MATCH($C2393,'Paramètres'!$D:$D,0))&amp;"",""))</f>
        <v/>
      </c>
      <c r="T2393" s="6" t="str">
        <f>IF($K2393="","",IF($S2393="",0,IF(ISNUMBER(SEARCH("apport-exterieur",IFERROR(INDEX('Paramètres'!$N:$N,MATCH($D2393,'Paramètres'!$M:$M,0))&amp;"",""))),0,IF(OR(IFERROR(INDEX('Paramètres'!$I:$I,MATCH($C2393,'Paramètres'!$D:$D,0))&amp;"","")="Les deux",IFERROR(INDEX('Paramètres'!$I:$I,MATCH($C2393,'Paramètres'!$D:$D,0))&amp;"","")=IF($P2393=1,"Débit",$L2393)),-IF($P2393=1,-$K2393,$K2393),0))))</f>
        <v/>
      </c>
      <c r="U2393" s="6" t="str">
        <f>IF($K2393="","",IF(ISNUMBER(SEARCH("sortie-epargne",IFERROR(INDEX('Paramètres'!$N:$N,MATCH($D2393,'Paramètres'!$M:$M,0))&amp;"",""))),$K2393,0))</f>
        <v/>
      </c>
      <c r="V2393" s="6" t="str">
        <f>IF(AND($A2393&lt;&gt;"",$O2393=1,$L2393="Débit",N($Q2393)&gt;0,$A2393&gt;=Visualisation!$B$1,$A2393&lt;Visualisation!$D$1),MAX($V$1:V2392)+1,"")</f>
        <v/>
      </c>
    </row>
    <row r="2394" spans="1:22" x14ac:dyDescent="0.25">
      <c r="A2394" s="9"/>
      <c r="E2394" s="10"/>
      <c r="K2394" s="11" t="str">
        <f>IF($E2394="","",ROUND($E2394*IF(ISNA(MATCH($C2394,'Paramètres'!$D:$D,0)),1,IF(INDEX('Paramètres'!$J:$J,MATCH($C2394,'Paramètres'!$D:$D,0))="",1,INDEX('Paramètres'!$J:$J,MATCH($C2394,'Paramètres'!$D:$D,0)))),2))</f>
        <v/>
      </c>
      <c r="L2394" s="6" t="str">
        <f>IF($D2394="","",IF($F2394&lt;&gt;"",$F2394,IF(ISNA(MATCH($D2394,'Paramètres'!$M:$M,0)),"⚠ Type inconnu",IFERROR(INDEX('Paramètres'!$P:$P,MATCH($D2394,'Paramètres'!$M:$M,0))&amp;"",""))))</f>
        <v/>
      </c>
      <c r="M2394" s="6" t="str">
        <f>IF($D2394="","",IF(ISNA(MATCH($D2394,'Paramètres'!$M:$M,0)),"⚠ Type inconnu",IF($L2394="Crédit","",IFERROR(INDEX('Paramètres'!$O:$O,MATCH($D2394,'Paramètres'!$M:$M,0))&amp;"",""))))</f>
        <v/>
      </c>
      <c r="N2394" s="6" t="str">
        <f>IF($D2394="","",IFERROR(INDEX('Paramètres'!$Q:$Q,MATCH($D2394,'Paramètres'!$M:$M,0))&amp;"",""))</f>
        <v/>
      </c>
      <c r="O2394" s="6" t="str">
        <f>IF($A2394="","",IF(OR($J2394&lt;&gt;"x",$A2394&lt;=FinReleve),1,0))</f>
        <v/>
      </c>
      <c r="P2394" s="6" t="str">
        <f>IF($D2394="","",IF(AND($L2394="Crédit",OR(IFERROR(INDEX('Paramètres'!$O:$O,MATCH($D2394,'Paramètres'!$M:$M,0))&amp;"","")&lt;&gt;"",ISNUMBER(SEARCH("remboursement",IFERROR(INDEX('Paramètres'!$N:$N,MATCH($D2394,'Paramètres'!$M:$M,0))&amp;"",""))))),1,0))</f>
        <v/>
      </c>
      <c r="Q2394" s="6" t="str">
        <f>IF($K2394="","",IF(ISNUMBER(SEARCH("transfert-interne",IFERROR(INDEX('Paramètres'!$N:$N,MATCH($D2394,'Paramètres'!$M:$M,0))&amp;"",""))),0,IF($L2394="Débit",$K2394,IF($P2394=1,-$K2394,0))))</f>
        <v/>
      </c>
      <c r="R2394" s="6" t="str">
        <f>IF($K2394="","",IF($L2394="Crédit",$K2394,-$K2394))</f>
        <v/>
      </c>
      <c r="S2394" s="6" t="str">
        <f>IF($C2394="","",IFERROR(INDEX('Paramètres'!$H:$H,MATCH($C2394,'Paramètres'!$D:$D,0))&amp;"",""))</f>
        <v/>
      </c>
      <c r="T2394" s="6" t="str">
        <f>IF($K2394="","",IF($S2394="",0,IF(ISNUMBER(SEARCH("apport-exterieur",IFERROR(INDEX('Paramètres'!$N:$N,MATCH($D2394,'Paramètres'!$M:$M,0))&amp;"",""))),0,IF(OR(IFERROR(INDEX('Paramètres'!$I:$I,MATCH($C2394,'Paramètres'!$D:$D,0))&amp;"","")="Les deux",IFERROR(INDEX('Paramètres'!$I:$I,MATCH($C2394,'Paramètres'!$D:$D,0))&amp;"","")=IF($P2394=1,"Débit",$L2394)),-IF($P2394=1,-$K2394,$K2394),0))))</f>
        <v/>
      </c>
      <c r="U2394" s="6" t="str">
        <f>IF($K2394="","",IF(ISNUMBER(SEARCH("sortie-epargne",IFERROR(INDEX('Paramètres'!$N:$N,MATCH($D2394,'Paramètres'!$M:$M,0))&amp;"",""))),$K2394,0))</f>
        <v/>
      </c>
      <c r="V2394" s="6" t="str">
        <f>IF(AND($A2394&lt;&gt;"",$O2394=1,$L2394="Débit",N($Q2394)&gt;0,$A2394&gt;=Visualisation!$B$1,$A2394&lt;Visualisation!$D$1),MAX($V$1:V2393)+1,"")</f>
        <v/>
      </c>
    </row>
    <row r="2395" spans="1:22" x14ac:dyDescent="0.25">
      <c r="A2395" s="9"/>
      <c r="E2395" s="10"/>
      <c r="K2395" s="11" t="str">
        <f>IF($E2395="","",ROUND($E2395*IF(ISNA(MATCH($C2395,'Paramètres'!$D:$D,0)),1,IF(INDEX('Paramètres'!$J:$J,MATCH($C2395,'Paramètres'!$D:$D,0))="",1,INDEX('Paramètres'!$J:$J,MATCH($C2395,'Paramètres'!$D:$D,0)))),2))</f>
        <v/>
      </c>
      <c r="L2395" s="6" t="str">
        <f>IF($D2395="","",IF($F2395&lt;&gt;"",$F2395,IF(ISNA(MATCH($D2395,'Paramètres'!$M:$M,0)),"⚠ Type inconnu",IFERROR(INDEX('Paramètres'!$P:$P,MATCH($D2395,'Paramètres'!$M:$M,0))&amp;"",""))))</f>
        <v/>
      </c>
      <c r="M2395" s="6" t="str">
        <f>IF($D2395="","",IF(ISNA(MATCH($D2395,'Paramètres'!$M:$M,0)),"⚠ Type inconnu",IF($L2395="Crédit","",IFERROR(INDEX('Paramètres'!$O:$O,MATCH($D2395,'Paramètres'!$M:$M,0))&amp;"",""))))</f>
        <v/>
      </c>
      <c r="N2395" s="6" t="str">
        <f>IF($D2395="","",IFERROR(INDEX('Paramètres'!$Q:$Q,MATCH($D2395,'Paramètres'!$M:$M,0))&amp;"",""))</f>
        <v/>
      </c>
      <c r="O2395" s="6" t="str">
        <f>IF($A2395="","",IF(OR($J2395&lt;&gt;"x",$A2395&lt;=FinReleve),1,0))</f>
        <v/>
      </c>
      <c r="P2395" s="6" t="str">
        <f>IF($D2395="","",IF(AND($L2395="Crédit",OR(IFERROR(INDEX('Paramètres'!$O:$O,MATCH($D2395,'Paramètres'!$M:$M,0))&amp;"","")&lt;&gt;"",ISNUMBER(SEARCH("remboursement",IFERROR(INDEX('Paramètres'!$N:$N,MATCH($D2395,'Paramètres'!$M:$M,0))&amp;"",""))))),1,0))</f>
        <v/>
      </c>
      <c r="Q2395" s="6" t="str">
        <f>IF($K2395="","",IF(ISNUMBER(SEARCH("transfert-interne",IFERROR(INDEX('Paramètres'!$N:$N,MATCH($D2395,'Paramètres'!$M:$M,0))&amp;"",""))),0,IF($L2395="Débit",$K2395,IF($P2395=1,-$K2395,0))))</f>
        <v/>
      </c>
      <c r="R2395" s="6" t="str">
        <f>IF($K2395="","",IF($L2395="Crédit",$K2395,-$K2395))</f>
        <v/>
      </c>
      <c r="S2395" s="6" t="str">
        <f>IF($C2395="","",IFERROR(INDEX('Paramètres'!$H:$H,MATCH($C2395,'Paramètres'!$D:$D,0))&amp;"",""))</f>
        <v/>
      </c>
      <c r="T2395" s="6" t="str">
        <f>IF($K2395="","",IF($S2395="",0,IF(ISNUMBER(SEARCH("apport-exterieur",IFERROR(INDEX('Paramètres'!$N:$N,MATCH($D2395,'Paramètres'!$M:$M,0))&amp;"",""))),0,IF(OR(IFERROR(INDEX('Paramètres'!$I:$I,MATCH($C2395,'Paramètres'!$D:$D,0))&amp;"","")="Les deux",IFERROR(INDEX('Paramètres'!$I:$I,MATCH($C2395,'Paramètres'!$D:$D,0))&amp;"","")=IF($P2395=1,"Débit",$L2395)),-IF($P2395=1,-$K2395,$K2395),0))))</f>
        <v/>
      </c>
      <c r="U2395" s="6" t="str">
        <f>IF($K2395="","",IF(ISNUMBER(SEARCH("sortie-epargne",IFERROR(INDEX('Paramètres'!$N:$N,MATCH($D2395,'Paramètres'!$M:$M,0))&amp;"",""))),$K2395,0))</f>
        <v/>
      </c>
      <c r="V2395" s="6" t="str">
        <f>IF(AND($A2395&lt;&gt;"",$O2395=1,$L2395="Débit",N($Q2395)&gt;0,$A2395&gt;=Visualisation!$B$1,$A2395&lt;Visualisation!$D$1),MAX($V$1:V2394)+1,"")</f>
        <v/>
      </c>
    </row>
    <row r="2396" spans="1:22" x14ac:dyDescent="0.25">
      <c r="A2396" s="9"/>
      <c r="E2396" s="10"/>
      <c r="K2396" s="11" t="str">
        <f>IF($E2396="","",ROUND($E2396*IF(ISNA(MATCH($C2396,'Paramètres'!$D:$D,0)),1,IF(INDEX('Paramètres'!$J:$J,MATCH($C2396,'Paramètres'!$D:$D,0))="",1,INDEX('Paramètres'!$J:$J,MATCH($C2396,'Paramètres'!$D:$D,0)))),2))</f>
        <v/>
      </c>
      <c r="L2396" s="6" t="str">
        <f>IF($D2396="","",IF($F2396&lt;&gt;"",$F2396,IF(ISNA(MATCH($D2396,'Paramètres'!$M:$M,0)),"⚠ Type inconnu",IFERROR(INDEX('Paramètres'!$P:$P,MATCH($D2396,'Paramètres'!$M:$M,0))&amp;"",""))))</f>
        <v/>
      </c>
      <c r="M2396" s="6" t="str">
        <f>IF($D2396="","",IF(ISNA(MATCH($D2396,'Paramètres'!$M:$M,0)),"⚠ Type inconnu",IF($L2396="Crédit","",IFERROR(INDEX('Paramètres'!$O:$O,MATCH($D2396,'Paramètres'!$M:$M,0))&amp;"",""))))</f>
        <v/>
      </c>
      <c r="N2396" s="6" t="str">
        <f>IF($D2396="","",IFERROR(INDEX('Paramètres'!$Q:$Q,MATCH($D2396,'Paramètres'!$M:$M,0))&amp;"",""))</f>
        <v/>
      </c>
      <c r="O2396" s="6" t="str">
        <f>IF($A2396="","",IF(OR($J2396&lt;&gt;"x",$A2396&lt;=FinReleve),1,0))</f>
        <v/>
      </c>
      <c r="P2396" s="6" t="str">
        <f>IF($D2396="","",IF(AND($L2396="Crédit",OR(IFERROR(INDEX('Paramètres'!$O:$O,MATCH($D2396,'Paramètres'!$M:$M,0))&amp;"","")&lt;&gt;"",ISNUMBER(SEARCH("remboursement",IFERROR(INDEX('Paramètres'!$N:$N,MATCH($D2396,'Paramètres'!$M:$M,0))&amp;"",""))))),1,0))</f>
        <v/>
      </c>
      <c r="Q2396" s="6" t="str">
        <f>IF($K2396="","",IF(ISNUMBER(SEARCH("transfert-interne",IFERROR(INDEX('Paramètres'!$N:$N,MATCH($D2396,'Paramètres'!$M:$M,0))&amp;"",""))),0,IF($L2396="Débit",$K2396,IF($P2396=1,-$K2396,0))))</f>
        <v/>
      </c>
      <c r="R2396" s="6" t="str">
        <f>IF($K2396="","",IF($L2396="Crédit",$K2396,-$K2396))</f>
        <v/>
      </c>
      <c r="S2396" s="6" t="str">
        <f>IF($C2396="","",IFERROR(INDEX('Paramètres'!$H:$H,MATCH($C2396,'Paramètres'!$D:$D,0))&amp;"",""))</f>
        <v/>
      </c>
      <c r="T2396" s="6" t="str">
        <f>IF($K2396="","",IF($S2396="",0,IF(ISNUMBER(SEARCH("apport-exterieur",IFERROR(INDEX('Paramètres'!$N:$N,MATCH($D2396,'Paramètres'!$M:$M,0))&amp;"",""))),0,IF(OR(IFERROR(INDEX('Paramètres'!$I:$I,MATCH($C2396,'Paramètres'!$D:$D,0))&amp;"","")="Les deux",IFERROR(INDEX('Paramètres'!$I:$I,MATCH($C2396,'Paramètres'!$D:$D,0))&amp;"","")=IF($P2396=1,"Débit",$L2396)),-IF($P2396=1,-$K2396,$K2396),0))))</f>
        <v/>
      </c>
      <c r="U2396" s="6" t="str">
        <f>IF($K2396="","",IF(ISNUMBER(SEARCH("sortie-epargne",IFERROR(INDEX('Paramètres'!$N:$N,MATCH($D2396,'Paramètres'!$M:$M,0))&amp;"",""))),$K2396,0))</f>
        <v/>
      </c>
      <c r="V2396" s="6" t="str">
        <f>IF(AND($A2396&lt;&gt;"",$O2396=1,$L2396="Débit",N($Q2396)&gt;0,$A2396&gt;=Visualisation!$B$1,$A2396&lt;Visualisation!$D$1),MAX($V$1:V2395)+1,"")</f>
        <v/>
      </c>
    </row>
    <row r="2397" spans="1:22" x14ac:dyDescent="0.25">
      <c r="A2397" s="9"/>
      <c r="E2397" s="10"/>
      <c r="K2397" s="11" t="str">
        <f>IF($E2397="","",ROUND($E2397*IF(ISNA(MATCH($C2397,'Paramètres'!$D:$D,0)),1,IF(INDEX('Paramètres'!$J:$J,MATCH($C2397,'Paramètres'!$D:$D,0))="",1,INDEX('Paramètres'!$J:$J,MATCH($C2397,'Paramètres'!$D:$D,0)))),2))</f>
        <v/>
      </c>
      <c r="L2397" s="6" t="str">
        <f>IF($D2397="","",IF($F2397&lt;&gt;"",$F2397,IF(ISNA(MATCH($D2397,'Paramètres'!$M:$M,0)),"⚠ Type inconnu",IFERROR(INDEX('Paramètres'!$P:$P,MATCH($D2397,'Paramètres'!$M:$M,0))&amp;"",""))))</f>
        <v/>
      </c>
      <c r="M2397" s="6" t="str">
        <f>IF($D2397="","",IF(ISNA(MATCH($D2397,'Paramètres'!$M:$M,0)),"⚠ Type inconnu",IF($L2397="Crédit","",IFERROR(INDEX('Paramètres'!$O:$O,MATCH($D2397,'Paramètres'!$M:$M,0))&amp;"",""))))</f>
        <v/>
      </c>
      <c r="N2397" s="6" t="str">
        <f>IF($D2397="","",IFERROR(INDEX('Paramètres'!$Q:$Q,MATCH($D2397,'Paramètres'!$M:$M,0))&amp;"",""))</f>
        <v/>
      </c>
      <c r="O2397" s="6" t="str">
        <f>IF($A2397="","",IF(OR($J2397&lt;&gt;"x",$A2397&lt;=FinReleve),1,0))</f>
        <v/>
      </c>
      <c r="P2397" s="6" t="str">
        <f>IF($D2397="","",IF(AND($L2397="Crédit",OR(IFERROR(INDEX('Paramètres'!$O:$O,MATCH($D2397,'Paramètres'!$M:$M,0))&amp;"","")&lt;&gt;"",ISNUMBER(SEARCH("remboursement",IFERROR(INDEX('Paramètres'!$N:$N,MATCH($D2397,'Paramètres'!$M:$M,0))&amp;"",""))))),1,0))</f>
        <v/>
      </c>
      <c r="Q2397" s="6" t="str">
        <f>IF($K2397="","",IF(ISNUMBER(SEARCH("transfert-interne",IFERROR(INDEX('Paramètres'!$N:$N,MATCH($D2397,'Paramètres'!$M:$M,0))&amp;"",""))),0,IF($L2397="Débit",$K2397,IF($P2397=1,-$K2397,0))))</f>
        <v/>
      </c>
      <c r="R2397" s="6" t="str">
        <f>IF($K2397="","",IF($L2397="Crédit",$K2397,-$K2397))</f>
        <v/>
      </c>
      <c r="S2397" s="6" t="str">
        <f>IF($C2397="","",IFERROR(INDEX('Paramètres'!$H:$H,MATCH($C2397,'Paramètres'!$D:$D,0))&amp;"",""))</f>
        <v/>
      </c>
      <c r="T2397" s="6" t="str">
        <f>IF($K2397="","",IF($S2397="",0,IF(ISNUMBER(SEARCH("apport-exterieur",IFERROR(INDEX('Paramètres'!$N:$N,MATCH($D2397,'Paramètres'!$M:$M,0))&amp;"",""))),0,IF(OR(IFERROR(INDEX('Paramètres'!$I:$I,MATCH($C2397,'Paramètres'!$D:$D,0))&amp;"","")="Les deux",IFERROR(INDEX('Paramètres'!$I:$I,MATCH($C2397,'Paramètres'!$D:$D,0))&amp;"","")=IF($P2397=1,"Débit",$L2397)),-IF($P2397=1,-$K2397,$K2397),0))))</f>
        <v/>
      </c>
      <c r="U2397" s="6" t="str">
        <f>IF($K2397="","",IF(ISNUMBER(SEARCH("sortie-epargne",IFERROR(INDEX('Paramètres'!$N:$N,MATCH($D2397,'Paramètres'!$M:$M,0))&amp;"",""))),$K2397,0))</f>
        <v/>
      </c>
      <c r="V2397" s="6" t="str">
        <f>IF(AND($A2397&lt;&gt;"",$O2397=1,$L2397="Débit",N($Q2397)&gt;0,$A2397&gt;=Visualisation!$B$1,$A2397&lt;Visualisation!$D$1),MAX($V$1:V2396)+1,"")</f>
        <v/>
      </c>
    </row>
    <row r="2398" spans="1:22" x14ac:dyDescent="0.25">
      <c r="A2398" s="9"/>
      <c r="E2398" s="10"/>
      <c r="K2398" s="11" t="str">
        <f>IF($E2398="","",ROUND($E2398*IF(ISNA(MATCH($C2398,'Paramètres'!$D:$D,0)),1,IF(INDEX('Paramètres'!$J:$J,MATCH($C2398,'Paramètres'!$D:$D,0))="",1,INDEX('Paramètres'!$J:$J,MATCH($C2398,'Paramètres'!$D:$D,0)))),2))</f>
        <v/>
      </c>
      <c r="L2398" s="6" t="str">
        <f>IF($D2398="","",IF($F2398&lt;&gt;"",$F2398,IF(ISNA(MATCH($D2398,'Paramètres'!$M:$M,0)),"⚠ Type inconnu",IFERROR(INDEX('Paramètres'!$P:$P,MATCH($D2398,'Paramètres'!$M:$M,0))&amp;"",""))))</f>
        <v/>
      </c>
      <c r="M2398" s="6" t="str">
        <f>IF($D2398="","",IF(ISNA(MATCH($D2398,'Paramètres'!$M:$M,0)),"⚠ Type inconnu",IF($L2398="Crédit","",IFERROR(INDEX('Paramètres'!$O:$O,MATCH($D2398,'Paramètres'!$M:$M,0))&amp;"",""))))</f>
        <v/>
      </c>
      <c r="N2398" s="6" t="str">
        <f>IF($D2398="","",IFERROR(INDEX('Paramètres'!$Q:$Q,MATCH($D2398,'Paramètres'!$M:$M,0))&amp;"",""))</f>
        <v/>
      </c>
      <c r="O2398" s="6" t="str">
        <f>IF($A2398="","",IF(OR($J2398&lt;&gt;"x",$A2398&lt;=FinReleve),1,0))</f>
        <v/>
      </c>
      <c r="P2398" s="6" t="str">
        <f>IF($D2398="","",IF(AND($L2398="Crédit",OR(IFERROR(INDEX('Paramètres'!$O:$O,MATCH($D2398,'Paramètres'!$M:$M,0))&amp;"","")&lt;&gt;"",ISNUMBER(SEARCH("remboursement",IFERROR(INDEX('Paramètres'!$N:$N,MATCH($D2398,'Paramètres'!$M:$M,0))&amp;"",""))))),1,0))</f>
        <v/>
      </c>
      <c r="Q2398" s="6" t="str">
        <f>IF($K2398="","",IF(ISNUMBER(SEARCH("transfert-interne",IFERROR(INDEX('Paramètres'!$N:$N,MATCH($D2398,'Paramètres'!$M:$M,0))&amp;"",""))),0,IF($L2398="Débit",$K2398,IF($P2398=1,-$K2398,0))))</f>
        <v/>
      </c>
      <c r="R2398" s="6" t="str">
        <f>IF($K2398="","",IF($L2398="Crédit",$K2398,-$K2398))</f>
        <v/>
      </c>
      <c r="S2398" s="6" t="str">
        <f>IF($C2398="","",IFERROR(INDEX('Paramètres'!$H:$H,MATCH($C2398,'Paramètres'!$D:$D,0))&amp;"",""))</f>
        <v/>
      </c>
      <c r="T2398" s="6" t="str">
        <f>IF($K2398="","",IF($S2398="",0,IF(ISNUMBER(SEARCH("apport-exterieur",IFERROR(INDEX('Paramètres'!$N:$N,MATCH($D2398,'Paramètres'!$M:$M,0))&amp;"",""))),0,IF(OR(IFERROR(INDEX('Paramètres'!$I:$I,MATCH($C2398,'Paramètres'!$D:$D,0))&amp;"","")="Les deux",IFERROR(INDEX('Paramètres'!$I:$I,MATCH($C2398,'Paramètres'!$D:$D,0))&amp;"","")=IF($P2398=1,"Débit",$L2398)),-IF($P2398=1,-$K2398,$K2398),0))))</f>
        <v/>
      </c>
      <c r="U2398" s="6" t="str">
        <f>IF($K2398="","",IF(ISNUMBER(SEARCH("sortie-epargne",IFERROR(INDEX('Paramètres'!$N:$N,MATCH($D2398,'Paramètres'!$M:$M,0))&amp;"",""))),$K2398,0))</f>
        <v/>
      </c>
      <c r="V2398" s="6" t="str">
        <f>IF(AND($A2398&lt;&gt;"",$O2398=1,$L2398="Débit",N($Q2398)&gt;0,$A2398&gt;=Visualisation!$B$1,$A2398&lt;Visualisation!$D$1),MAX($V$1:V2397)+1,"")</f>
        <v/>
      </c>
    </row>
    <row r="2399" spans="1:22" x14ac:dyDescent="0.25">
      <c r="A2399" s="9"/>
      <c r="E2399" s="10"/>
      <c r="K2399" s="11" t="str">
        <f>IF($E2399="","",ROUND($E2399*IF(ISNA(MATCH($C2399,'Paramètres'!$D:$D,0)),1,IF(INDEX('Paramètres'!$J:$J,MATCH($C2399,'Paramètres'!$D:$D,0))="",1,INDEX('Paramètres'!$J:$J,MATCH($C2399,'Paramètres'!$D:$D,0)))),2))</f>
        <v/>
      </c>
      <c r="L2399" s="6" t="str">
        <f>IF($D2399="","",IF($F2399&lt;&gt;"",$F2399,IF(ISNA(MATCH($D2399,'Paramètres'!$M:$M,0)),"⚠ Type inconnu",IFERROR(INDEX('Paramètres'!$P:$P,MATCH($D2399,'Paramètres'!$M:$M,0))&amp;"",""))))</f>
        <v/>
      </c>
      <c r="M2399" s="6" t="str">
        <f>IF($D2399="","",IF(ISNA(MATCH($D2399,'Paramètres'!$M:$M,0)),"⚠ Type inconnu",IF($L2399="Crédit","",IFERROR(INDEX('Paramètres'!$O:$O,MATCH($D2399,'Paramètres'!$M:$M,0))&amp;"",""))))</f>
        <v/>
      </c>
      <c r="N2399" s="6" t="str">
        <f>IF($D2399="","",IFERROR(INDEX('Paramètres'!$Q:$Q,MATCH($D2399,'Paramètres'!$M:$M,0))&amp;"",""))</f>
        <v/>
      </c>
      <c r="O2399" s="6" t="str">
        <f>IF($A2399="","",IF(OR($J2399&lt;&gt;"x",$A2399&lt;=FinReleve),1,0))</f>
        <v/>
      </c>
      <c r="P2399" s="6" t="str">
        <f>IF($D2399="","",IF(AND($L2399="Crédit",OR(IFERROR(INDEX('Paramètres'!$O:$O,MATCH($D2399,'Paramètres'!$M:$M,0))&amp;"","")&lt;&gt;"",ISNUMBER(SEARCH("remboursement",IFERROR(INDEX('Paramètres'!$N:$N,MATCH($D2399,'Paramètres'!$M:$M,0))&amp;"",""))))),1,0))</f>
        <v/>
      </c>
      <c r="Q2399" s="6" t="str">
        <f>IF($K2399="","",IF(ISNUMBER(SEARCH("transfert-interne",IFERROR(INDEX('Paramètres'!$N:$N,MATCH($D2399,'Paramètres'!$M:$M,0))&amp;"",""))),0,IF($L2399="Débit",$K2399,IF($P2399=1,-$K2399,0))))</f>
        <v/>
      </c>
      <c r="R2399" s="6" t="str">
        <f>IF($K2399="","",IF($L2399="Crédit",$K2399,-$K2399))</f>
        <v/>
      </c>
      <c r="S2399" s="6" t="str">
        <f>IF($C2399="","",IFERROR(INDEX('Paramètres'!$H:$H,MATCH($C2399,'Paramètres'!$D:$D,0))&amp;"",""))</f>
        <v/>
      </c>
      <c r="T2399" s="6" t="str">
        <f>IF($K2399="","",IF($S2399="",0,IF(ISNUMBER(SEARCH("apport-exterieur",IFERROR(INDEX('Paramètres'!$N:$N,MATCH($D2399,'Paramètres'!$M:$M,0))&amp;"",""))),0,IF(OR(IFERROR(INDEX('Paramètres'!$I:$I,MATCH($C2399,'Paramètres'!$D:$D,0))&amp;"","")="Les deux",IFERROR(INDEX('Paramètres'!$I:$I,MATCH($C2399,'Paramètres'!$D:$D,0))&amp;"","")=IF($P2399=1,"Débit",$L2399)),-IF($P2399=1,-$K2399,$K2399),0))))</f>
        <v/>
      </c>
      <c r="U2399" s="6" t="str">
        <f>IF($K2399="","",IF(ISNUMBER(SEARCH("sortie-epargne",IFERROR(INDEX('Paramètres'!$N:$N,MATCH($D2399,'Paramètres'!$M:$M,0))&amp;"",""))),$K2399,0))</f>
        <v/>
      </c>
      <c r="V2399" s="6" t="str">
        <f>IF(AND($A2399&lt;&gt;"",$O2399=1,$L2399="Débit",N($Q2399)&gt;0,$A2399&gt;=Visualisation!$B$1,$A2399&lt;Visualisation!$D$1),MAX($V$1:V2398)+1,"")</f>
        <v/>
      </c>
    </row>
    <row r="2400" spans="1:22" x14ac:dyDescent="0.25">
      <c r="A2400" s="9"/>
      <c r="E2400" s="10"/>
      <c r="K2400" s="11" t="str">
        <f>IF($E2400="","",ROUND($E2400*IF(ISNA(MATCH($C2400,'Paramètres'!$D:$D,0)),1,IF(INDEX('Paramètres'!$J:$J,MATCH($C2400,'Paramètres'!$D:$D,0))="",1,INDEX('Paramètres'!$J:$J,MATCH($C2400,'Paramètres'!$D:$D,0)))),2))</f>
        <v/>
      </c>
      <c r="L2400" s="6" t="str">
        <f>IF($D2400="","",IF($F2400&lt;&gt;"",$F2400,IF(ISNA(MATCH($D2400,'Paramètres'!$M:$M,0)),"⚠ Type inconnu",IFERROR(INDEX('Paramètres'!$P:$P,MATCH($D2400,'Paramètres'!$M:$M,0))&amp;"",""))))</f>
        <v/>
      </c>
      <c r="M2400" s="6" t="str">
        <f>IF($D2400="","",IF(ISNA(MATCH($D2400,'Paramètres'!$M:$M,0)),"⚠ Type inconnu",IF($L2400="Crédit","",IFERROR(INDEX('Paramètres'!$O:$O,MATCH($D2400,'Paramètres'!$M:$M,0))&amp;"",""))))</f>
        <v/>
      </c>
      <c r="N2400" s="6" t="str">
        <f>IF($D2400="","",IFERROR(INDEX('Paramètres'!$Q:$Q,MATCH($D2400,'Paramètres'!$M:$M,0))&amp;"",""))</f>
        <v/>
      </c>
      <c r="O2400" s="6" t="str">
        <f>IF($A2400="","",IF(OR($J2400&lt;&gt;"x",$A2400&lt;=FinReleve),1,0))</f>
        <v/>
      </c>
      <c r="P2400" s="6" t="str">
        <f>IF($D2400="","",IF(AND($L2400="Crédit",OR(IFERROR(INDEX('Paramètres'!$O:$O,MATCH($D2400,'Paramètres'!$M:$M,0))&amp;"","")&lt;&gt;"",ISNUMBER(SEARCH("remboursement",IFERROR(INDEX('Paramètres'!$N:$N,MATCH($D2400,'Paramètres'!$M:$M,0))&amp;"",""))))),1,0))</f>
        <v/>
      </c>
      <c r="Q2400" s="6" t="str">
        <f>IF($K2400="","",IF(ISNUMBER(SEARCH("transfert-interne",IFERROR(INDEX('Paramètres'!$N:$N,MATCH($D2400,'Paramètres'!$M:$M,0))&amp;"",""))),0,IF($L2400="Débit",$K2400,IF($P2400=1,-$K2400,0))))</f>
        <v/>
      </c>
      <c r="R2400" s="6" t="str">
        <f>IF($K2400="","",IF($L2400="Crédit",$K2400,-$K2400))</f>
        <v/>
      </c>
      <c r="S2400" s="6" t="str">
        <f>IF($C2400="","",IFERROR(INDEX('Paramètres'!$H:$H,MATCH($C2400,'Paramètres'!$D:$D,0))&amp;"",""))</f>
        <v/>
      </c>
      <c r="T2400" s="6" t="str">
        <f>IF($K2400="","",IF($S2400="",0,IF(ISNUMBER(SEARCH("apport-exterieur",IFERROR(INDEX('Paramètres'!$N:$N,MATCH($D2400,'Paramètres'!$M:$M,0))&amp;"",""))),0,IF(OR(IFERROR(INDEX('Paramètres'!$I:$I,MATCH($C2400,'Paramètres'!$D:$D,0))&amp;"","")="Les deux",IFERROR(INDEX('Paramètres'!$I:$I,MATCH($C2400,'Paramètres'!$D:$D,0))&amp;"","")=IF($P2400=1,"Débit",$L2400)),-IF($P2400=1,-$K2400,$K2400),0))))</f>
        <v/>
      </c>
      <c r="U2400" s="6" t="str">
        <f>IF($K2400="","",IF(ISNUMBER(SEARCH("sortie-epargne",IFERROR(INDEX('Paramètres'!$N:$N,MATCH($D2400,'Paramètres'!$M:$M,0))&amp;"",""))),$K2400,0))</f>
        <v/>
      </c>
      <c r="V2400" s="6" t="str">
        <f>IF(AND($A2400&lt;&gt;"",$O2400=1,$L2400="Débit",N($Q2400)&gt;0,$A2400&gt;=Visualisation!$B$1,$A2400&lt;Visualisation!$D$1),MAX($V$1:V2399)+1,"")</f>
        <v/>
      </c>
    </row>
    <row r="2401" spans="1:22" x14ac:dyDescent="0.25">
      <c r="A2401" s="9"/>
      <c r="E2401" s="10"/>
      <c r="K2401" s="11" t="str">
        <f>IF($E2401="","",ROUND($E2401*IF(ISNA(MATCH($C2401,'Paramètres'!$D:$D,0)),1,IF(INDEX('Paramètres'!$J:$J,MATCH($C2401,'Paramètres'!$D:$D,0))="",1,INDEX('Paramètres'!$J:$J,MATCH($C2401,'Paramètres'!$D:$D,0)))),2))</f>
        <v/>
      </c>
      <c r="L2401" s="6" t="str">
        <f>IF($D2401="","",IF($F2401&lt;&gt;"",$F2401,IF(ISNA(MATCH($D2401,'Paramètres'!$M:$M,0)),"⚠ Type inconnu",IFERROR(INDEX('Paramètres'!$P:$P,MATCH($D2401,'Paramètres'!$M:$M,0))&amp;"",""))))</f>
        <v/>
      </c>
      <c r="M2401" s="6" t="str">
        <f>IF($D2401="","",IF(ISNA(MATCH($D2401,'Paramètres'!$M:$M,0)),"⚠ Type inconnu",IF($L2401="Crédit","",IFERROR(INDEX('Paramètres'!$O:$O,MATCH($D2401,'Paramètres'!$M:$M,0))&amp;"",""))))</f>
        <v/>
      </c>
      <c r="N2401" s="6" t="str">
        <f>IF($D2401="","",IFERROR(INDEX('Paramètres'!$Q:$Q,MATCH($D2401,'Paramètres'!$M:$M,0))&amp;"",""))</f>
        <v/>
      </c>
      <c r="O2401" s="6" t="str">
        <f>IF($A2401="","",IF(OR($J2401&lt;&gt;"x",$A2401&lt;=FinReleve),1,0))</f>
        <v/>
      </c>
      <c r="P2401" s="6" t="str">
        <f>IF($D2401="","",IF(AND($L2401="Crédit",OR(IFERROR(INDEX('Paramètres'!$O:$O,MATCH($D2401,'Paramètres'!$M:$M,0))&amp;"","")&lt;&gt;"",ISNUMBER(SEARCH("remboursement",IFERROR(INDEX('Paramètres'!$N:$N,MATCH($D2401,'Paramètres'!$M:$M,0))&amp;"",""))))),1,0))</f>
        <v/>
      </c>
      <c r="Q2401" s="6" t="str">
        <f>IF($K2401="","",IF(ISNUMBER(SEARCH("transfert-interne",IFERROR(INDEX('Paramètres'!$N:$N,MATCH($D2401,'Paramètres'!$M:$M,0))&amp;"",""))),0,IF($L2401="Débit",$K2401,IF($P2401=1,-$K2401,0))))</f>
        <v/>
      </c>
      <c r="R2401" s="6" t="str">
        <f>IF($K2401="","",IF($L2401="Crédit",$K2401,-$K2401))</f>
        <v/>
      </c>
      <c r="S2401" s="6" t="str">
        <f>IF($C2401="","",IFERROR(INDEX('Paramètres'!$H:$H,MATCH($C2401,'Paramètres'!$D:$D,0))&amp;"",""))</f>
        <v/>
      </c>
      <c r="T2401" s="6" t="str">
        <f>IF($K2401="","",IF($S2401="",0,IF(ISNUMBER(SEARCH("apport-exterieur",IFERROR(INDEX('Paramètres'!$N:$N,MATCH($D2401,'Paramètres'!$M:$M,0))&amp;"",""))),0,IF(OR(IFERROR(INDEX('Paramètres'!$I:$I,MATCH($C2401,'Paramètres'!$D:$D,0))&amp;"","")="Les deux",IFERROR(INDEX('Paramètres'!$I:$I,MATCH($C2401,'Paramètres'!$D:$D,0))&amp;"","")=IF($P2401=1,"Débit",$L2401)),-IF($P2401=1,-$K2401,$K2401),0))))</f>
        <v/>
      </c>
      <c r="U2401" s="6" t="str">
        <f>IF($K2401="","",IF(ISNUMBER(SEARCH("sortie-epargne",IFERROR(INDEX('Paramètres'!$N:$N,MATCH($D2401,'Paramètres'!$M:$M,0))&amp;"",""))),$K2401,0))</f>
        <v/>
      </c>
      <c r="V2401" s="6" t="str">
        <f>IF(AND($A2401&lt;&gt;"",$O2401=1,$L2401="Débit",N($Q2401)&gt;0,$A2401&gt;=Visualisation!$B$1,$A2401&lt;Visualisation!$D$1),MAX($V$1:V2400)+1,"")</f>
        <v/>
      </c>
    </row>
    <row r="2402" spans="1:22" x14ac:dyDescent="0.25">
      <c r="A2402" s="9"/>
      <c r="E2402" s="10"/>
      <c r="K2402" s="11" t="str">
        <f>IF($E2402="","",ROUND($E2402*IF(ISNA(MATCH($C2402,'Paramètres'!$D:$D,0)),1,IF(INDEX('Paramètres'!$J:$J,MATCH($C2402,'Paramètres'!$D:$D,0))="",1,INDEX('Paramètres'!$J:$J,MATCH($C2402,'Paramètres'!$D:$D,0)))),2))</f>
        <v/>
      </c>
      <c r="L2402" s="6" t="str">
        <f>IF($D2402="","",IF($F2402&lt;&gt;"",$F2402,IF(ISNA(MATCH($D2402,'Paramètres'!$M:$M,0)),"⚠ Type inconnu",IFERROR(INDEX('Paramètres'!$P:$P,MATCH($D2402,'Paramètres'!$M:$M,0))&amp;"",""))))</f>
        <v/>
      </c>
      <c r="M2402" s="6" t="str">
        <f>IF($D2402="","",IF(ISNA(MATCH($D2402,'Paramètres'!$M:$M,0)),"⚠ Type inconnu",IF($L2402="Crédit","",IFERROR(INDEX('Paramètres'!$O:$O,MATCH($D2402,'Paramètres'!$M:$M,0))&amp;"",""))))</f>
        <v/>
      </c>
      <c r="N2402" s="6" t="str">
        <f>IF($D2402="","",IFERROR(INDEX('Paramètres'!$Q:$Q,MATCH($D2402,'Paramètres'!$M:$M,0))&amp;"",""))</f>
        <v/>
      </c>
      <c r="O2402" s="6" t="str">
        <f>IF($A2402="","",IF(OR($J2402&lt;&gt;"x",$A2402&lt;=FinReleve),1,0))</f>
        <v/>
      </c>
      <c r="P2402" s="6" t="str">
        <f>IF($D2402="","",IF(AND($L2402="Crédit",OR(IFERROR(INDEX('Paramètres'!$O:$O,MATCH($D2402,'Paramètres'!$M:$M,0))&amp;"","")&lt;&gt;"",ISNUMBER(SEARCH("remboursement",IFERROR(INDEX('Paramètres'!$N:$N,MATCH($D2402,'Paramètres'!$M:$M,0))&amp;"",""))))),1,0))</f>
        <v/>
      </c>
      <c r="Q2402" s="6" t="str">
        <f>IF($K2402="","",IF(ISNUMBER(SEARCH("transfert-interne",IFERROR(INDEX('Paramètres'!$N:$N,MATCH($D2402,'Paramètres'!$M:$M,0))&amp;"",""))),0,IF($L2402="Débit",$K2402,IF($P2402=1,-$K2402,0))))</f>
        <v/>
      </c>
      <c r="R2402" s="6" t="str">
        <f>IF($K2402="","",IF($L2402="Crédit",$K2402,-$K2402))</f>
        <v/>
      </c>
      <c r="S2402" s="6" t="str">
        <f>IF($C2402="","",IFERROR(INDEX('Paramètres'!$H:$H,MATCH($C2402,'Paramètres'!$D:$D,0))&amp;"",""))</f>
        <v/>
      </c>
      <c r="T2402" s="6" t="str">
        <f>IF($K2402="","",IF($S2402="",0,IF(ISNUMBER(SEARCH("apport-exterieur",IFERROR(INDEX('Paramètres'!$N:$N,MATCH($D2402,'Paramètres'!$M:$M,0))&amp;"",""))),0,IF(OR(IFERROR(INDEX('Paramètres'!$I:$I,MATCH($C2402,'Paramètres'!$D:$D,0))&amp;"","")="Les deux",IFERROR(INDEX('Paramètres'!$I:$I,MATCH($C2402,'Paramètres'!$D:$D,0))&amp;"","")=IF($P2402=1,"Débit",$L2402)),-IF($P2402=1,-$K2402,$K2402),0))))</f>
        <v/>
      </c>
      <c r="U2402" s="6" t="str">
        <f>IF($K2402="","",IF(ISNUMBER(SEARCH("sortie-epargne",IFERROR(INDEX('Paramètres'!$N:$N,MATCH($D2402,'Paramètres'!$M:$M,0))&amp;"",""))),$K2402,0))</f>
        <v/>
      </c>
      <c r="V2402" s="6" t="str">
        <f>IF(AND($A2402&lt;&gt;"",$O2402=1,$L2402="Débit",N($Q2402)&gt;0,$A2402&gt;=Visualisation!$B$1,$A2402&lt;Visualisation!$D$1),MAX($V$1:V2401)+1,"")</f>
        <v/>
      </c>
    </row>
    <row r="2403" spans="1:22" x14ac:dyDescent="0.25">
      <c r="A2403" s="9"/>
      <c r="E2403" s="10"/>
      <c r="K2403" s="11" t="str">
        <f>IF($E2403="","",ROUND($E2403*IF(ISNA(MATCH($C2403,'Paramètres'!$D:$D,0)),1,IF(INDEX('Paramètres'!$J:$J,MATCH($C2403,'Paramètres'!$D:$D,0))="",1,INDEX('Paramètres'!$J:$J,MATCH($C2403,'Paramètres'!$D:$D,0)))),2))</f>
        <v/>
      </c>
      <c r="L2403" s="6" t="str">
        <f>IF($D2403="","",IF($F2403&lt;&gt;"",$F2403,IF(ISNA(MATCH($D2403,'Paramètres'!$M:$M,0)),"⚠ Type inconnu",IFERROR(INDEX('Paramètres'!$P:$P,MATCH($D2403,'Paramètres'!$M:$M,0))&amp;"",""))))</f>
        <v/>
      </c>
      <c r="M2403" s="6" t="str">
        <f>IF($D2403="","",IF(ISNA(MATCH($D2403,'Paramètres'!$M:$M,0)),"⚠ Type inconnu",IF($L2403="Crédit","",IFERROR(INDEX('Paramètres'!$O:$O,MATCH($D2403,'Paramètres'!$M:$M,0))&amp;"",""))))</f>
        <v/>
      </c>
      <c r="N2403" s="6" t="str">
        <f>IF($D2403="","",IFERROR(INDEX('Paramètres'!$Q:$Q,MATCH($D2403,'Paramètres'!$M:$M,0))&amp;"",""))</f>
        <v/>
      </c>
      <c r="O2403" s="6" t="str">
        <f>IF($A2403="","",IF(OR($J2403&lt;&gt;"x",$A2403&lt;=FinReleve),1,0))</f>
        <v/>
      </c>
      <c r="P2403" s="6" t="str">
        <f>IF($D2403="","",IF(AND($L2403="Crédit",OR(IFERROR(INDEX('Paramètres'!$O:$O,MATCH($D2403,'Paramètres'!$M:$M,0))&amp;"","")&lt;&gt;"",ISNUMBER(SEARCH("remboursement",IFERROR(INDEX('Paramètres'!$N:$N,MATCH($D2403,'Paramètres'!$M:$M,0))&amp;"",""))))),1,0))</f>
        <v/>
      </c>
      <c r="Q2403" s="6" t="str">
        <f>IF($K2403="","",IF(ISNUMBER(SEARCH("transfert-interne",IFERROR(INDEX('Paramètres'!$N:$N,MATCH($D2403,'Paramètres'!$M:$M,0))&amp;"",""))),0,IF($L2403="Débit",$K2403,IF($P2403=1,-$K2403,0))))</f>
        <v/>
      </c>
      <c r="R2403" s="6" t="str">
        <f>IF($K2403="","",IF($L2403="Crédit",$K2403,-$K2403))</f>
        <v/>
      </c>
      <c r="S2403" s="6" t="str">
        <f>IF($C2403="","",IFERROR(INDEX('Paramètres'!$H:$H,MATCH($C2403,'Paramètres'!$D:$D,0))&amp;"",""))</f>
        <v/>
      </c>
      <c r="T2403" s="6" t="str">
        <f>IF($K2403="","",IF($S2403="",0,IF(ISNUMBER(SEARCH("apport-exterieur",IFERROR(INDEX('Paramètres'!$N:$N,MATCH($D2403,'Paramètres'!$M:$M,0))&amp;"",""))),0,IF(OR(IFERROR(INDEX('Paramètres'!$I:$I,MATCH($C2403,'Paramètres'!$D:$D,0))&amp;"","")="Les deux",IFERROR(INDEX('Paramètres'!$I:$I,MATCH($C2403,'Paramètres'!$D:$D,0))&amp;"","")=IF($P2403=1,"Débit",$L2403)),-IF($P2403=1,-$K2403,$K2403),0))))</f>
        <v/>
      </c>
      <c r="U2403" s="6" t="str">
        <f>IF($K2403="","",IF(ISNUMBER(SEARCH("sortie-epargne",IFERROR(INDEX('Paramètres'!$N:$N,MATCH($D2403,'Paramètres'!$M:$M,0))&amp;"",""))),$K2403,0))</f>
        <v/>
      </c>
      <c r="V2403" s="6" t="str">
        <f>IF(AND($A2403&lt;&gt;"",$O2403=1,$L2403="Débit",N($Q2403)&gt;0,$A2403&gt;=Visualisation!$B$1,$A2403&lt;Visualisation!$D$1),MAX($V$1:V2402)+1,"")</f>
        <v/>
      </c>
    </row>
    <row r="2404" spans="1:22" x14ac:dyDescent="0.25">
      <c r="A2404" s="9"/>
      <c r="E2404" s="10"/>
      <c r="K2404" s="11" t="str">
        <f>IF($E2404="","",ROUND($E2404*IF(ISNA(MATCH($C2404,'Paramètres'!$D:$D,0)),1,IF(INDEX('Paramètres'!$J:$J,MATCH($C2404,'Paramètres'!$D:$D,0))="",1,INDEX('Paramètres'!$J:$J,MATCH($C2404,'Paramètres'!$D:$D,0)))),2))</f>
        <v/>
      </c>
      <c r="L2404" s="6" t="str">
        <f>IF($D2404="","",IF($F2404&lt;&gt;"",$F2404,IF(ISNA(MATCH($D2404,'Paramètres'!$M:$M,0)),"⚠ Type inconnu",IFERROR(INDEX('Paramètres'!$P:$P,MATCH($D2404,'Paramètres'!$M:$M,0))&amp;"",""))))</f>
        <v/>
      </c>
      <c r="M2404" s="6" t="str">
        <f>IF($D2404="","",IF(ISNA(MATCH($D2404,'Paramètres'!$M:$M,0)),"⚠ Type inconnu",IF($L2404="Crédit","",IFERROR(INDEX('Paramètres'!$O:$O,MATCH($D2404,'Paramètres'!$M:$M,0))&amp;"",""))))</f>
        <v/>
      </c>
      <c r="N2404" s="6" t="str">
        <f>IF($D2404="","",IFERROR(INDEX('Paramètres'!$Q:$Q,MATCH($D2404,'Paramètres'!$M:$M,0))&amp;"",""))</f>
        <v/>
      </c>
      <c r="O2404" s="6" t="str">
        <f>IF($A2404="","",IF(OR($J2404&lt;&gt;"x",$A2404&lt;=FinReleve),1,0))</f>
        <v/>
      </c>
      <c r="P2404" s="6" t="str">
        <f>IF($D2404="","",IF(AND($L2404="Crédit",OR(IFERROR(INDEX('Paramètres'!$O:$O,MATCH($D2404,'Paramètres'!$M:$M,0))&amp;"","")&lt;&gt;"",ISNUMBER(SEARCH("remboursement",IFERROR(INDEX('Paramètres'!$N:$N,MATCH($D2404,'Paramètres'!$M:$M,0))&amp;"",""))))),1,0))</f>
        <v/>
      </c>
      <c r="Q2404" s="6" t="str">
        <f>IF($K2404="","",IF(ISNUMBER(SEARCH("transfert-interne",IFERROR(INDEX('Paramètres'!$N:$N,MATCH($D2404,'Paramètres'!$M:$M,0))&amp;"",""))),0,IF($L2404="Débit",$K2404,IF($P2404=1,-$K2404,0))))</f>
        <v/>
      </c>
      <c r="R2404" s="6" t="str">
        <f>IF($K2404="","",IF($L2404="Crédit",$K2404,-$K2404))</f>
        <v/>
      </c>
      <c r="S2404" s="6" t="str">
        <f>IF($C2404="","",IFERROR(INDEX('Paramètres'!$H:$H,MATCH($C2404,'Paramètres'!$D:$D,0))&amp;"",""))</f>
        <v/>
      </c>
      <c r="T2404" s="6" t="str">
        <f>IF($K2404="","",IF($S2404="",0,IF(ISNUMBER(SEARCH("apport-exterieur",IFERROR(INDEX('Paramètres'!$N:$N,MATCH($D2404,'Paramètres'!$M:$M,0))&amp;"",""))),0,IF(OR(IFERROR(INDEX('Paramètres'!$I:$I,MATCH($C2404,'Paramètres'!$D:$D,0))&amp;"","")="Les deux",IFERROR(INDEX('Paramètres'!$I:$I,MATCH($C2404,'Paramètres'!$D:$D,0))&amp;"","")=IF($P2404=1,"Débit",$L2404)),-IF($P2404=1,-$K2404,$K2404),0))))</f>
        <v/>
      </c>
      <c r="U2404" s="6" t="str">
        <f>IF($K2404="","",IF(ISNUMBER(SEARCH("sortie-epargne",IFERROR(INDEX('Paramètres'!$N:$N,MATCH($D2404,'Paramètres'!$M:$M,0))&amp;"",""))),$K2404,0))</f>
        <v/>
      </c>
      <c r="V2404" s="6" t="str">
        <f>IF(AND($A2404&lt;&gt;"",$O2404=1,$L2404="Débit",N($Q2404)&gt;0,$A2404&gt;=Visualisation!$B$1,$A2404&lt;Visualisation!$D$1),MAX($V$1:V2403)+1,"")</f>
        <v/>
      </c>
    </row>
    <row r="2405" spans="1:22" x14ac:dyDescent="0.25">
      <c r="A2405" s="9"/>
      <c r="E2405" s="10"/>
      <c r="K2405" s="11" t="str">
        <f>IF($E2405="","",ROUND($E2405*IF(ISNA(MATCH($C2405,'Paramètres'!$D:$D,0)),1,IF(INDEX('Paramètres'!$J:$J,MATCH($C2405,'Paramètres'!$D:$D,0))="",1,INDEX('Paramètres'!$J:$J,MATCH($C2405,'Paramètres'!$D:$D,0)))),2))</f>
        <v/>
      </c>
      <c r="L2405" s="6" t="str">
        <f>IF($D2405="","",IF($F2405&lt;&gt;"",$F2405,IF(ISNA(MATCH($D2405,'Paramètres'!$M:$M,0)),"⚠ Type inconnu",IFERROR(INDEX('Paramètres'!$P:$P,MATCH($D2405,'Paramètres'!$M:$M,0))&amp;"",""))))</f>
        <v/>
      </c>
      <c r="M2405" s="6" t="str">
        <f>IF($D2405="","",IF(ISNA(MATCH($D2405,'Paramètres'!$M:$M,0)),"⚠ Type inconnu",IF($L2405="Crédit","",IFERROR(INDEX('Paramètres'!$O:$O,MATCH($D2405,'Paramètres'!$M:$M,0))&amp;"",""))))</f>
        <v/>
      </c>
      <c r="N2405" s="6" t="str">
        <f>IF($D2405="","",IFERROR(INDEX('Paramètres'!$Q:$Q,MATCH($D2405,'Paramètres'!$M:$M,0))&amp;"",""))</f>
        <v/>
      </c>
      <c r="O2405" s="6" t="str">
        <f>IF($A2405="","",IF(OR($J2405&lt;&gt;"x",$A2405&lt;=FinReleve),1,0))</f>
        <v/>
      </c>
      <c r="P2405" s="6" t="str">
        <f>IF($D2405="","",IF(AND($L2405="Crédit",OR(IFERROR(INDEX('Paramètres'!$O:$O,MATCH($D2405,'Paramètres'!$M:$M,0))&amp;"","")&lt;&gt;"",ISNUMBER(SEARCH("remboursement",IFERROR(INDEX('Paramètres'!$N:$N,MATCH($D2405,'Paramètres'!$M:$M,0))&amp;"",""))))),1,0))</f>
        <v/>
      </c>
      <c r="Q2405" s="6" t="str">
        <f>IF($K2405="","",IF(ISNUMBER(SEARCH("transfert-interne",IFERROR(INDEX('Paramètres'!$N:$N,MATCH($D2405,'Paramètres'!$M:$M,0))&amp;"",""))),0,IF($L2405="Débit",$K2405,IF($P2405=1,-$K2405,0))))</f>
        <v/>
      </c>
      <c r="R2405" s="6" t="str">
        <f>IF($K2405="","",IF($L2405="Crédit",$K2405,-$K2405))</f>
        <v/>
      </c>
      <c r="S2405" s="6" t="str">
        <f>IF($C2405="","",IFERROR(INDEX('Paramètres'!$H:$H,MATCH($C2405,'Paramètres'!$D:$D,0))&amp;"",""))</f>
        <v/>
      </c>
      <c r="T2405" s="6" t="str">
        <f>IF($K2405="","",IF($S2405="",0,IF(ISNUMBER(SEARCH("apport-exterieur",IFERROR(INDEX('Paramètres'!$N:$N,MATCH($D2405,'Paramètres'!$M:$M,0))&amp;"",""))),0,IF(OR(IFERROR(INDEX('Paramètres'!$I:$I,MATCH($C2405,'Paramètres'!$D:$D,0))&amp;"","")="Les deux",IFERROR(INDEX('Paramètres'!$I:$I,MATCH($C2405,'Paramètres'!$D:$D,0))&amp;"","")=IF($P2405=1,"Débit",$L2405)),-IF($P2405=1,-$K2405,$K2405),0))))</f>
        <v/>
      </c>
      <c r="U2405" s="6" t="str">
        <f>IF($K2405="","",IF(ISNUMBER(SEARCH("sortie-epargne",IFERROR(INDEX('Paramètres'!$N:$N,MATCH($D2405,'Paramètres'!$M:$M,0))&amp;"",""))),$K2405,0))</f>
        <v/>
      </c>
      <c r="V2405" s="6" t="str">
        <f>IF(AND($A2405&lt;&gt;"",$O2405=1,$L2405="Débit",N($Q2405)&gt;0,$A2405&gt;=Visualisation!$B$1,$A2405&lt;Visualisation!$D$1),MAX($V$1:V2404)+1,"")</f>
        <v/>
      </c>
    </row>
    <row r="2406" spans="1:22" x14ac:dyDescent="0.25">
      <c r="A2406" s="9"/>
      <c r="E2406" s="10"/>
      <c r="K2406" s="11" t="str">
        <f>IF($E2406="","",ROUND($E2406*IF(ISNA(MATCH($C2406,'Paramètres'!$D:$D,0)),1,IF(INDEX('Paramètres'!$J:$J,MATCH($C2406,'Paramètres'!$D:$D,0))="",1,INDEX('Paramètres'!$J:$J,MATCH($C2406,'Paramètres'!$D:$D,0)))),2))</f>
        <v/>
      </c>
      <c r="L2406" s="6" t="str">
        <f>IF($D2406="","",IF($F2406&lt;&gt;"",$F2406,IF(ISNA(MATCH($D2406,'Paramètres'!$M:$M,0)),"⚠ Type inconnu",IFERROR(INDEX('Paramètres'!$P:$P,MATCH($D2406,'Paramètres'!$M:$M,0))&amp;"",""))))</f>
        <v/>
      </c>
      <c r="M2406" s="6" t="str">
        <f>IF($D2406="","",IF(ISNA(MATCH($D2406,'Paramètres'!$M:$M,0)),"⚠ Type inconnu",IF($L2406="Crédit","",IFERROR(INDEX('Paramètres'!$O:$O,MATCH($D2406,'Paramètres'!$M:$M,0))&amp;"",""))))</f>
        <v/>
      </c>
      <c r="N2406" s="6" t="str">
        <f>IF($D2406="","",IFERROR(INDEX('Paramètres'!$Q:$Q,MATCH($D2406,'Paramètres'!$M:$M,0))&amp;"",""))</f>
        <v/>
      </c>
      <c r="O2406" s="6" t="str">
        <f>IF($A2406="","",IF(OR($J2406&lt;&gt;"x",$A2406&lt;=FinReleve),1,0))</f>
        <v/>
      </c>
      <c r="P2406" s="6" t="str">
        <f>IF($D2406="","",IF(AND($L2406="Crédit",OR(IFERROR(INDEX('Paramètres'!$O:$O,MATCH($D2406,'Paramètres'!$M:$M,0))&amp;"","")&lt;&gt;"",ISNUMBER(SEARCH("remboursement",IFERROR(INDEX('Paramètres'!$N:$N,MATCH($D2406,'Paramètres'!$M:$M,0))&amp;"",""))))),1,0))</f>
        <v/>
      </c>
      <c r="Q2406" s="6" t="str">
        <f>IF($K2406="","",IF(ISNUMBER(SEARCH("transfert-interne",IFERROR(INDEX('Paramètres'!$N:$N,MATCH($D2406,'Paramètres'!$M:$M,0))&amp;"",""))),0,IF($L2406="Débit",$K2406,IF($P2406=1,-$K2406,0))))</f>
        <v/>
      </c>
      <c r="R2406" s="6" t="str">
        <f>IF($K2406="","",IF($L2406="Crédit",$K2406,-$K2406))</f>
        <v/>
      </c>
      <c r="S2406" s="6" t="str">
        <f>IF($C2406="","",IFERROR(INDEX('Paramètres'!$H:$H,MATCH($C2406,'Paramètres'!$D:$D,0))&amp;"",""))</f>
        <v/>
      </c>
      <c r="T2406" s="6" t="str">
        <f>IF($K2406="","",IF($S2406="",0,IF(ISNUMBER(SEARCH("apport-exterieur",IFERROR(INDEX('Paramètres'!$N:$N,MATCH($D2406,'Paramètres'!$M:$M,0))&amp;"",""))),0,IF(OR(IFERROR(INDEX('Paramètres'!$I:$I,MATCH($C2406,'Paramètres'!$D:$D,0))&amp;"","")="Les deux",IFERROR(INDEX('Paramètres'!$I:$I,MATCH($C2406,'Paramètres'!$D:$D,0))&amp;"","")=IF($P2406=1,"Débit",$L2406)),-IF($P2406=1,-$K2406,$K2406),0))))</f>
        <v/>
      </c>
      <c r="U2406" s="6" t="str">
        <f>IF($K2406="","",IF(ISNUMBER(SEARCH("sortie-epargne",IFERROR(INDEX('Paramètres'!$N:$N,MATCH($D2406,'Paramètres'!$M:$M,0))&amp;"",""))),$K2406,0))</f>
        <v/>
      </c>
      <c r="V2406" s="6" t="str">
        <f>IF(AND($A2406&lt;&gt;"",$O2406=1,$L2406="Débit",N($Q2406)&gt;0,$A2406&gt;=Visualisation!$B$1,$A2406&lt;Visualisation!$D$1),MAX($V$1:V2405)+1,"")</f>
        <v/>
      </c>
    </row>
    <row r="2407" spans="1:22" x14ac:dyDescent="0.25">
      <c r="A2407" s="9"/>
      <c r="E2407" s="10"/>
      <c r="K2407" s="11" t="str">
        <f>IF($E2407="","",ROUND($E2407*IF(ISNA(MATCH($C2407,'Paramètres'!$D:$D,0)),1,IF(INDEX('Paramètres'!$J:$J,MATCH($C2407,'Paramètres'!$D:$D,0))="",1,INDEX('Paramètres'!$J:$J,MATCH($C2407,'Paramètres'!$D:$D,0)))),2))</f>
        <v/>
      </c>
      <c r="L2407" s="6" t="str">
        <f>IF($D2407="","",IF($F2407&lt;&gt;"",$F2407,IF(ISNA(MATCH($D2407,'Paramètres'!$M:$M,0)),"⚠ Type inconnu",IFERROR(INDEX('Paramètres'!$P:$P,MATCH($D2407,'Paramètres'!$M:$M,0))&amp;"",""))))</f>
        <v/>
      </c>
      <c r="M2407" s="6" t="str">
        <f>IF($D2407="","",IF(ISNA(MATCH($D2407,'Paramètres'!$M:$M,0)),"⚠ Type inconnu",IF($L2407="Crédit","",IFERROR(INDEX('Paramètres'!$O:$O,MATCH($D2407,'Paramètres'!$M:$M,0))&amp;"",""))))</f>
        <v/>
      </c>
      <c r="N2407" s="6" t="str">
        <f>IF($D2407="","",IFERROR(INDEX('Paramètres'!$Q:$Q,MATCH($D2407,'Paramètres'!$M:$M,0))&amp;"",""))</f>
        <v/>
      </c>
      <c r="O2407" s="6" t="str">
        <f>IF($A2407="","",IF(OR($J2407&lt;&gt;"x",$A2407&lt;=FinReleve),1,0))</f>
        <v/>
      </c>
      <c r="P2407" s="6" t="str">
        <f>IF($D2407="","",IF(AND($L2407="Crédit",OR(IFERROR(INDEX('Paramètres'!$O:$O,MATCH($D2407,'Paramètres'!$M:$M,0))&amp;"","")&lt;&gt;"",ISNUMBER(SEARCH("remboursement",IFERROR(INDEX('Paramètres'!$N:$N,MATCH($D2407,'Paramètres'!$M:$M,0))&amp;"",""))))),1,0))</f>
        <v/>
      </c>
      <c r="Q2407" s="6" t="str">
        <f>IF($K2407="","",IF(ISNUMBER(SEARCH("transfert-interne",IFERROR(INDEX('Paramètres'!$N:$N,MATCH($D2407,'Paramètres'!$M:$M,0))&amp;"",""))),0,IF($L2407="Débit",$K2407,IF($P2407=1,-$K2407,0))))</f>
        <v/>
      </c>
      <c r="R2407" s="6" t="str">
        <f>IF($K2407="","",IF($L2407="Crédit",$K2407,-$K2407))</f>
        <v/>
      </c>
      <c r="S2407" s="6" t="str">
        <f>IF($C2407="","",IFERROR(INDEX('Paramètres'!$H:$H,MATCH($C2407,'Paramètres'!$D:$D,0))&amp;"",""))</f>
        <v/>
      </c>
      <c r="T2407" s="6" t="str">
        <f>IF($K2407="","",IF($S2407="",0,IF(ISNUMBER(SEARCH("apport-exterieur",IFERROR(INDEX('Paramètres'!$N:$N,MATCH($D2407,'Paramètres'!$M:$M,0))&amp;"",""))),0,IF(OR(IFERROR(INDEX('Paramètres'!$I:$I,MATCH($C2407,'Paramètres'!$D:$D,0))&amp;"","")="Les deux",IFERROR(INDEX('Paramètres'!$I:$I,MATCH($C2407,'Paramètres'!$D:$D,0))&amp;"","")=IF($P2407=1,"Débit",$L2407)),-IF($P2407=1,-$K2407,$K2407),0))))</f>
        <v/>
      </c>
      <c r="U2407" s="6" t="str">
        <f>IF($K2407="","",IF(ISNUMBER(SEARCH("sortie-epargne",IFERROR(INDEX('Paramètres'!$N:$N,MATCH($D2407,'Paramètres'!$M:$M,0))&amp;"",""))),$K2407,0))</f>
        <v/>
      </c>
      <c r="V2407" s="6" t="str">
        <f>IF(AND($A2407&lt;&gt;"",$O2407=1,$L2407="Débit",N($Q2407)&gt;0,$A2407&gt;=Visualisation!$B$1,$A2407&lt;Visualisation!$D$1),MAX($V$1:V2406)+1,"")</f>
        <v/>
      </c>
    </row>
    <row r="2408" spans="1:22" x14ac:dyDescent="0.25">
      <c r="A2408" s="9"/>
      <c r="E2408" s="10"/>
      <c r="K2408" s="11" t="str">
        <f>IF($E2408="","",ROUND($E2408*IF(ISNA(MATCH($C2408,'Paramètres'!$D:$D,0)),1,IF(INDEX('Paramètres'!$J:$J,MATCH($C2408,'Paramètres'!$D:$D,0))="",1,INDEX('Paramètres'!$J:$J,MATCH($C2408,'Paramètres'!$D:$D,0)))),2))</f>
        <v/>
      </c>
      <c r="L2408" s="6" t="str">
        <f>IF($D2408="","",IF($F2408&lt;&gt;"",$F2408,IF(ISNA(MATCH($D2408,'Paramètres'!$M:$M,0)),"⚠ Type inconnu",IFERROR(INDEX('Paramètres'!$P:$P,MATCH($D2408,'Paramètres'!$M:$M,0))&amp;"",""))))</f>
        <v/>
      </c>
      <c r="M2408" s="6" t="str">
        <f>IF($D2408="","",IF(ISNA(MATCH($D2408,'Paramètres'!$M:$M,0)),"⚠ Type inconnu",IF($L2408="Crédit","",IFERROR(INDEX('Paramètres'!$O:$O,MATCH($D2408,'Paramètres'!$M:$M,0))&amp;"",""))))</f>
        <v/>
      </c>
      <c r="N2408" s="6" t="str">
        <f>IF($D2408="","",IFERROR(INDEX('Paramètres'!$Q:$Q,MATCH($D2408,'Paramètres'!$M:$M,0))&amp;"",""))</f>
        <v/>
      </c>
      <c r="O2408" s="6" t="str">
        <f>IF($A2408="","",IF(OR($J2408&lt;&gt;"x",$A2408&lt;=FinReleve),1,0))</f>
        <v/>
      </c>
      <c r="P2408" s="6" t="str">
        <f>IF($D2408="","",IF(AND($L2408="Crédit",OR(IFERROR(INDEX('Paramètres'!$O:$O,MATCH($D2408,'Paramètres'!$M:$M,0))&amp;"","")&lt;&gt;"",ISNUMBER(SEARCH("remboursement",IFERROR(INDEX('Paramètres'!$N:$N,MATCH($D2408,'Paramètres'!$M:$M,0))&amp;"",""))))),1,0))</f>
        <v/>
      </c>
      <c r="Q2408" s="6" t="str">
        <f>IF($K2408="","",IF(ISNUMBER(SEARCH("transfert-interne",IFERROR(INDEX('Paramètres'!$N:$N,MATCH($D2408,'Paramètres'!$M:$M,0))&amp;"",""))),0,IF($L2408="Débit",$K2408,IF($P2408=1,-$K2408,0))))</f>
        <v/>
      </c>
      <c r="R2408" s="6" t="str">
        <f>IF($K2408="","",IF($L2408="Crédit",$K2408,-$K2408))</f>
        <v/>
      </c>
      <c r="S2408" s="6" t="str">
        <f>IF($C2408="","",IFERROR(INDEX('Paramètres'!$H:$H,MATCH($C2408,'Paramètres'!$D:$D,0))&amp;"",""))</f>
        <v/>
      </c>
      <c r="T2408" s="6" t="str">
        <f>IF($K2408="","",IF($S2408="",0,IF(ISNUMBER(SEARCH("apport-exterieur",IFERROR(INDEX('Paramètres'!$N:$N,MATCH($D2408,'Paramètres'!$M:$M,0))&amp;"",""))),0,IF(OR(IFERROR(INDEX('Paramètres'!$I:$I,MATCH($C2408,'Paramètres'!$D:$D,0))&amp;"","")="Les deux",IFERROR(INDEX('Paramètres'!$I:$I,MATCH($C2408,'Paramètres'!$D:$D,0))&amp;"","")=IF($P2408=1,"Débit",$L2408)),-IF($P2408=1,-$K2408,$K2408),0))))</f>
        <v/>
      </c>
      <c r="U2408" s="6" t="str">
        <f>IF($K2408="","",IF(ISNUMBER(SEARCH("sortie-epargne",IFERROR(INDEX('Paramètres'!$N:$N,MATCH($D2408,'Paramètres'!$M:$M,0))&amp;"",""))),$K2408,0))</f>
        <v/>
      </c>
      <c r="V2408" s="6" t="str">
        <f>IF(AND($A2408&lt;&gt;"",$O2408=1,$L2408="Débit",N($Q2408)&gt;0,$A2408&gt;=Visualisation!$B$1,$A2408&lt;Visualisation!$D$1),MAX($V$1:V2407)+1,"")</f>
        <v/>
      </c>
    </row>
    <row r="2409" spans="1:22" x14ac:dyDescent="0.25">
      <c r="A2409" s="9"/>
      <c r="E2409" s="10"/>
      <c r="K2409" s="11" t="str">
        <f>IF($E2409="","",ROUND($E2409*IF(ISNA(MATCH($C2409,'Paramètres'!$D:$D,0)),1,IF(INDEX('Paramètres'!$J:$J,MATCH($C2409,'Paramètres'!$D:$D,0))="",1,INDEX('Paramètres'!$J:$J,MATCH($C2409,'Paramètres'!$D:$D,0)))),2))</f>
        <v/>
      </c>
      <c r="L2409" s="6" t="str">
        <f>IF($D2409="","",IF($F2409&lt;&gt;"",$F2409,IF(ISNA(MATCH($D2409,'Paramètres'!$M:$M,0)),"⚠ Type inconnu",IFERROR(INDEX('Paramètres'!$P:$P,MATCH($D2409,'Paramètres'!$M:$M,0))&amp;"",""))))</f>
        <v/>
      </c>
      <c r="M2409" s="6" t="str">
        <f>IF($D2409="","",IF(ISNA(MATCH($D2409,'Paramètres'!$M:$M,0)),"⚠ Type inconnu",IF($L2409="Crédit","",IFERROR(INDEX('Paramètres'!$O:$O,MATCH($D2409,'Paramètres'!$M:$M,0))&amp;"",""))))</f>
        <v/>
      </c>
      <c r="N2409" s="6" t="str">
        <f>IF($D2409="","",IFERROR(INDEX('Paramètres'!$Q:$Q,MATCH($D2409,'Paramètres'!$M:$M,0))&amp;"",""))</f>
        <v/>
      </c>
      <c r="O2409" s="6" t="str">
        <f>IF($A2409="","",IF(OR($J2409&lt;&gt;"x",$A2409&lt;=FinReleve),1,0))</f>
        <v/>
      </c>
      <c r="P2409" s="6" t="str">
        <f>IF($D2409="","",IF(AND($L2409="Crédit",OR(IFERROR(INDEX('Paramètres'!$O:$O,MATCH($D2409,'Paramètres'!$M:$M,0))&amp;"","")&lt;&gt;"",ISNUMBER(SEARCH("remboursement",IFERROR(INDEX('Paramètres'!$N:$N,MATCH($D2409,'Paramètres'!$M:$M,0))&amp;"",""))))),1,0))</f>
        <v/>
      </c>
      <c r="Q2409" s="6" t="str">
        <f>IF($K2409="","",IF(ISNUMBER(SEARCH("transfert-interne",IFERROR(INDEX('Paramètres'!$N:$N,MATCH($D2409,'Paramètres'!$M:$M,0))&amp;"",""))),0,IF($L2409="Débit",$K2409,IF($P2409=1,-$K2409,0))))</f>
        <v/>
      </c>
      <c r="R2409" s="6" t="str">
        <f>IF($K2409="","",IF($L2409="Crédit",$K2409,-$K2409))</f>
        <v/>
      </c>
      <c r="S2409" s="6" t="str">
        <f>IF($C2409="","",IFERROR(INDEX('Paramètres'!$H:$H,MATCH($C2409,'Paramètres'!$D:$D,0))&amp;"",""))</f>
        <v/>
      </c>
      <c r="T2409" s="6" t="str">
        <f>IF($K2409="","",IF($S2409="",0,IF(ISNUMBER(SEARCH("apport-exterieur",IFERROR(INDEX('Paramètres'!$N:$N,MATCH($D2409,'Paramètres'!$M:$M,0))&amp;"",""))),0,IF(OR(IFERROR(INDEX('Paramètres'!$I:$I,MATCH($C2409,'Paramètres'!$D:$D,0))&amp;"","")="Les deux",IFERROR(INDEX('Paramètres'!$I:$I,MATCH($C2409,'Paramètres'!$D:$D,0))&amp;"","")=IF($P2409=1,"Débit",$L2409)),-IF($P2409=1,-$K2409,$K2409),0))))</f>
        <v/>
      </c>
      <c r="U2409" s="6" t="str">
        <f>IF($K2409="","",IF(ISNUMBER(SEARCH("sortie-epargne",IFERROR(INDEX('Paramètres'!$N:$N,MATCH($D2409,'Paramètres'!$M:$M,0))&amp;"",""))),$K2409,0))</f>
        <v/>
      </c>
      <c r="V2409" s="6" t="str">
        <f>IF(AND($A2409&lt;&gt;"",$O2409=1,$L2409="Débit",N($Q2409)&gt;0,$A2409&gt;=Visualisation!$B$1,$A2409&lt;Visualisation!$D$1),MAX($V$1:V2408)+1,"")</f>
        <v/>
      </c>
    </row>
    <row r="2410" spans="1:22" x14ac:dyDescent="0.25">
      <c r="A2410" s="9"/>
      <c r="E2410" s="10"/>
      <c r="K2410" s="11" t="str">
        <f>IF($E2410="","",ROUND($E2410*IF(ISNA(MATCH($C2410,'Paramètres'!$D:$D,0)),1,IF(INDEX('Paramètres'!$J:$J,MATCH($C2410,'Paramètres'!$D:$D,0))="",1,INDEX('Paramètres'!$J:$J,MATCH($C2410,'Paramètres'!$D:$D,0)))),2))</f>
        <v/>
      </c>
      <c r="L2410" s="6" t="str">
        <f>IF($D2410="","",IF($F2410&lt;&gt;"",$F2410,IF(ISNA(MATCH($D2410,'Paramètres'!$M:$M,0)),"⚠ Type inconnu",IFERROR(INDEX('Paramètres'!$P:$P,MATCH($D2410,'Paramètres'!$M:$M,0))&amp;"",""))))</f>
        <v/>
      </c>
      <c r="M2410" s="6" t="str">
        <f>IF($D2410="","",IF(ISNA(MATCH($D2410,'Paramètres'!$M:$M,0)),"⚠ Type inconnu",IF($L2410="Crédit","",IFERROR(INDEX('Paramètres'!$O:$O,MATCH($D2410,'Paramètres'!$M:$M,0))&amp;"",""))))</f>
        <v/>
      </c>
      <c r="N2410" s="6" t="str">
        <f>IF($D2410="","",IFERROR(INDEX('Paramètres'!$Q:$Q,MATCH($D2410,'Paramètres'!$M:$M,0))&amp;"",""))</f>
        <v/>
      </c>
      <c r="O2410" s="6" t="str">
        <f>IF($A2410="","",IF(OR($J2410&lt;&gt;"x",$A2410&lt;=FinReleve),1,0))</f>
        <v/>
      </c>
      <c r="P2410" s="6" t="str">
        <f>IF($D2410="","",IF(AND($L2410="Crédit",OR(IFERROR(INDEX('Paramètres'!$O:$O,MATCH($D2410,'Paramètres'!$M:$M,0))&amp;"","")&lt;&gt;"",ISNUMBER(SEARCH("remboursement",IFERROR(INDEX('Paramètres'!$N:$N,MATCH($D2410,'Paramètres'!$M:$M,0))&amp;"",""))))),1,0))</f>
        <v/>
      </c>
      <c r="Q2410" s="6" t="str">
        <f>IF($K2410="","",IF(ISNUMBER(SEARCH("transfert-interne",IFERROR(INDEX('Paramètres'!$N:$N,MATCH($D2410,'Paramètres'!$M:$M,0))&amp;"",""))),0,IF($L2410="Débit",$K2410,IF($P2410=1,-$K2410,0))))</f>
        <v/>
      </c>
      <c r="R2410" s="6" t="str">
        <f>IF($K2410="","",IF($L2410="Crédit",$K2410,-$K2410))</f>
        <v/>
      </c>
      <c r="S2410" s="6" t="str">
        <f>IF($C2410="","",IFERROR(INDEX('Paramètres'!$H:$H,MATCH($C2410,'Paramètres'!$D:$D,0))&amp;"",""))</f>
        <v/>
      </c>
      <c r="T2410" s="6" t="str">
        <f>IF($K2410="","",IF($S2410="",0,IF(ISNUMBER(SEARCH("apport-exterieur",IFERROR(INDEX('Paramètres'!$N:$N,MATCH($D2410,'Paramètres'!$M:$M,0))&amp;"",""))),0,IF(OR(IFERROR(INDEX('Paramètres'!$I:$I,MATCH($C2410,'Paramètres'!$D:$D,0))&amp;"","")="Les deux",IFERROR(INDEX('Paramètres'!$I:$I,MATCH($C2410,'Paramètres'!$D:$D,0))&amp;"","")=IF($P2410=1,"Débit",$L2410)),-IF($P2410=1,-$K2410,$K2410),0))))</f>
        <v/>
      </c>
      <c r="U2410" s="6" t="str">
        <f>IF($K2410="","",IF(ISNUMBER(SEARCH("sortie-epargne",IFERROR(INDEX('Paramètres'!$N:$N,MATCH($D2410,'Paramètres'!$M:$M,0))&amp;"",""))),$K2410,0))</f>
        <v/>
      </c>
      <c r="V2410" s="6" t="str">
        <f>IF(AND($A2410&lt;&gt;"",$O2410=1,$L2410="Débit",N($Q2410)&gt;0,$A2410&gt;=Visualisation!$B$1,$A2410&lt;Visualisation!$D$1),MAX($V$1:V2409)+1,"")</f>
        <v/>
      </c>
    </row>
    <row r="2411" spans="1:22" x14ac:dyDescent="0.25">
      <c r="A2411" s="9"/>
      <c r="E2411" s="10"/>
      <c r="K2411" s="11" t="str">
        <f>IF($E2411="","",ROUND($E2411*IF(ISNA(MATCH($C2411,'Paramètres'!$D:$D,0)),1,IF(INDEX('Paramètres'!$J:$J,MATCH($C2411,'Paramètres'!$D:$D,0))="",1,INDEX('Paramètres'!$J:$J,MATCH($C2411,'Paramètres'!$D:$D,0)))),2))</f>
        <v/>
      </c>
      <c r="L2411" s="6" t="str">
        <f>IF($D2411="","",IF($F2411&lt;&gt;"",$F2411,IF(ISNA(MATCH($D2411,'Paramètres'!$M:$M,0)),"⚠ Type inconnu",IFERROR(INDEX('Paramètres'!$P:$P,MATCH($D2411,'Paramètres'!$M:$M,0))&amp;"",""))))</f>
        <v/>
      </c>
      <c r="M2411" s="6" t="str">
        <f>IF($D2411="","",IF(ISNA(MATCH($D2411,'Paramètres'!$M:$M,0)),"⚠ Type inconnu",IF($L2411="Crédit","",IFERROR(INDEX('Paramètres'!$O:$O,MATCH($D2411,'Paramètres'!$M:$M,0))&amp;"",""))))</f>
        <v/>
      </c>
      <c r="N2411" s="6" t="str">
        <f>IF($D2411="","",IFERROR(INDEX('Paramètres'!$Q:$Q,MATCH($D2411,'Paramètres'!$M:$M,0))&amp;"",""))</f>
        <v/>
      </c>
      <c r="O2411" s="6" t="str">
        <f>IF($A2411="","",IF(OR($J2411&lt;&gt;"x",$A2411&lt;=FinReleve),1,0))</f>
        <v/>
      </c>
      <c r="P2411" s="6" t="str">
        <f>IF($D2411="","",IF(AND($L2411="Crédit",OR(IFERROR(INDEX('Paramètres'!$O:$O,MATCH($D2411,'Paramètres'!$M:$M,0))&amp;"","")&lt;&gt;"",ISNUMBER(SEARCH("remboursement",IFERROR(INDEX('Paramètres'!$N:$N,MATCH($D2411,'Paramètres'!$M:$M,0))&amp;"",""))))),1,0))</f>
        <v/>
      </c>
      <c r="Q2411" s="6" t="str">
        <f>IF($K2411="","",IF(ISNUMBER(SEARCH("transfert-interne",IFERROR(INDEX('Paramètres'!$N:$N,MATCH($D2411,'Paramètres'!$M:$M,0))&amp;"",""))),0,IF($L2411="Débit",$K2411,IF($P2411=1,-$K2411,0))))</f>
        <v/>
      </c>
      <c r="R2411" s="6" t="str">
        <f>IF($K2411="","",IF($L2411="Crédit",$K2411,-$K2411))</f>
        <v/>
      </c>
      <c r="S2411" s="6" t="str">
        <f>IF($C2411="","",IFERROR(INDEX('Paramètres'!$H:$H,MATCH($C2411,'Paramètres'!$D:$D,0))&amp;"",""))</f>
        <v/>
      </c>
      <c r="T2411" s="6" t="str">
        <f>IF($K2411="","",IF($S2411="",0,IF(ISNUMBER(SEARCH("apport-exterieur",IFERROR(INDEX('Paramètres'!$N:$N,MATCH($D2411,'Paramètres'!$M:$M,0))&amp;"",""))),0,IF(OR(IFERROR(INDEX('Paramètres'!$I:$I,MATCH($C2411,'Paramètres'!$D:$D,0))&amp;"","")="Les deux",IFERROR(INDEX('Paramètres'!$I:$I,MATCH($C2411,'Paramètres'!$D:$D,0))&amp;"","")=IF($P2411=1,"Débit",$L2411)),-IF($P2411=1,-$K2411,$K2411),0))))</f>
        <v/>
      </c>
      <c r="U2411" s="6" t="str">
        <f>IF($K2411="","",IF(ISNUMBER(SEARCH("sortie-epargne",IFERROR(INDEX('Paramètres'!$N:$N,MATCH($D2411,'Paramètres'!$M:$M,0))&amp;"",""))),$K2411,0))</f>
        <v/>
      </c>
      <c r="V2411" s="6" t="str">
        <f>IF(AND($A2411&lt;&gt;"",$O2411=1,$L2411="Débit",N($Q2411)&gt;0,$A2411&gt;=Visualisation!$B$1,$A2411&lt;Visualisation!$D$1),MAX($V$1:V2410)+1,"")</f>
        <v/>
      </c>
    </row>
    <row r="2412" spans="1:22" x14ac:dyDescent="0.25">
      <c r="A2412" s="9"/>
      <c r="E2412" s="10"/>
      <c r="K2412" s="11" t="str">
        <f>IF($E2412="","",ROUND($E2412*IF(ISNA(MATCH($C2412,'Paramètres'!$D:$D,0)),1,IF(INDEX('Paramètres'!$J:$J,MATCH($C2412,'Paramètres'!$D:$D,0))="",1,INDEX('Paramètres'!$J:$J,MATCH($C2412,'Paramètres'!$D:$D,0)))),2))</f>
        <v/>
      </c>
      <c r="L2412" s="6" t="str">
        <f>IF($D2412="","",IF($F2412&lt;&gt;"",$F2412,IF(ISNA(MATCH($D2412,'Paramètres'!$M:$M,0)),"⚠ Type inconnu",IFERROR(INDEX('Paramètres'!$P:$P,MATCH($D2412,'Paramètres'!$M:$M,0))&amp;"",""))))</f>
        <v/>
      </c>
      <c r="M2412" s="6" t="str">
        <f>IF($D2412="","",IF(ISNA(MATCH($D2412,'Paramètres'!$M:$M,0)),"⚠ Type inconnu",IF($L2412="Crédit","",IFERROR(INDEX('Paramètres'!$O:$O,MATCH($D2412,'Paramètres'!$M:$M,0))&amp;"",""))))</f>
        <v/>
      </c>
      <c r="N2412" s="6" t="str">
        <f>IF($D2412="","",IFERROR(INDEX('Paramètres'!$Q:$Q,MATCH($D2412,'Paramètres'!$M:$M,0))&amp;"",""))</f>
        <v/>
      </c>
      <c r="O2412" s="6" t="str">
        <f>IF($A2412="","",IF(OR($J2412&lt;&gt;"x",$A2412&lt;=FinReleve),1,0))</f>
        <v/>
      </c>
      <c r="P2412" s="6" t="str">
        <f>IF($D2412="","",IF(AND($L2412="Crédit",OR(IFERROR(INDEX('Paramètres'!$O:$O,MATCH($D2412,'Paramètres'!$M:$M,0))&amp;"","")&lt;&gt;"",ISNUMBER(SEARCH("remboursement",IFERROR(INDEX('Paramètres'!$N:$N,MATCH($D2412,'Paramètres'!$M:$M,0))&amp;"",""))))),1,0))</f>
        <v/>
      </c>
      <c r="Q2412" s="6" t="str">
        <f>IF($K2412="","",IF(ISNUMBER(SEARCH("transfert-interne",IFERROR(INDEX('Paramètres'!$N:$N,MATCH($D2412,'Paramètres'!$M:$M,0))&amp;"",""))),0,IF($L2412="Débit",$K2412,IF($P2412=1,-$K2412,0))))</f>
        <v/>
      </c>
      <c r="R2412" s="6" t="str">
        <f>IF($K2412="","",IF($L2412="Crédit",$K2412,-$K2412))</f>
        <v/>
      </c>
      <c r="S2412" s="6" t="str">
        <f>IF($C2412="","",IFERROR(INDEX('Paramètres'!$H:$H,MATCH($C2412,'Paramètres'!$D:$D,0))&amp;"",""))</f>
        <v/>
      </c>
      <c r="T2412" s="6" t="str">
        <f>IF($K2412="","",IF($S2412="",0,IF(ISNUMBER(SEARCH("apport-exterieur",IFERROR(INDEX('Paramètres'!$N:$N,MATCH($D2412,'Paramètres'!$M:$M,0))&amp;"",""))),0,IF(OR(IFERROR(INDEX('Paramètres'!$I:$I,MATCH($C2412,'Paramètres'!$D:$D,0))&amp;"","")="Les deux",IFERROR(INDEX('Paramètres'!$I:$I,MATCH($C2412,'Paramètres'!$D:$D,0))&amp;"","")=IF($P2412=1,"Débit",$L2412)),-IF($P2412=1,-$K2412,$K2412),0))))</f>
        <v/>
      </c>
      <c r="U2412" s="6" t="str">
        <f>IF($K2412="","",IF(ISNUMBER(SEARCH("sortie-epargne",IFERROR(INDEX('Paramètres'!$N:$N,MATCH($D2412,'Paramètres'!$M:$M,0))&amp;"",""))),$K2412,0))</f>
        <v/>
      </c>
      <c r="V2412" s="6" t="str">
        <f>IF(AND($A2412&lt;&gt;"",$O2412=1,$L2412="Débit",N($Q2412)&gt;0,$A2412&gt;=Visualisation!$B$1,$A2412&lt;Visualisation!$D$1),MAX($V$1:V2411)+1,"")</f>
        <v/>
      </c>
    </row>
    <row r="2413" spans="1:22" x14ac:dyDescent="0.25">
      <c r="A2413" s="9"/>
      <c r="E2413" s="10"/>
      <c r="K2413" s="11" t="str">
        <f>IF($E2413="","",ROUND($E2413*IF(ISNA(MATCH($C2413,'Paramètres'!$D:$D,0)),1,IF(INDEX('Paramètres'!$J:$J,MATCH($C2413,'Paramètres'!$D:$D,0))="",1,INDEX('Paramètres'!$J:$J,MATCH($C2413,'Paramètres'!$D:$D,0)))),2))</f>
        <v/>
      </c>
      <c r="L2413" s="6" t="str">
        <f>IF($D2413="","",IF($F2413&lt;&gt;"",$F2413,IF(ISNA(MATCH($D2413,'Paramètres'!$M:$M,0)),"⚠ Type inconnu",IFERROR(INDEX('Paramètres'!$P:$P,MATCH($D2413,'Paramètres'!$M:$M,0))&amp;"",""))))</f>
        <v/>
      </c>
      <c r="M2413" s="6" t="str">
        <f>IF($D2413="","",IF(ISNA(MATCH($D2413,'Paramètres'!$M:$M,0)),"⚠ Type inconnu",IF($L2413="Crédit","",IFERROR(INDEX('Paramètres'!$O:$O,MATCH($D2413,'Paramètres'!$M:$M,0))&amp;"",""))))</f>
        <v/>
      </c>
      <c r="N2413" s="6" t="str">
        <f>IF($D2413="","",IFERROR(INDEX('Paramètres'!$Q:$Q,MATCH($D2413,'Paramètres'!$M:$M,0))&amp;"",""))</f>
        <v/>
      </c>
      <c r="O2413" s="6" t="str">
        <f>IF($A2413="","",IF(OR($J2413&lt;&gt;"x",$A2413&lt;=FinReleve),1,0))</f>
        <v/>
      </c>
      <c r="P2413" s="6" t="str">
        <f>IF($D2413="","",IF(AND($L2413="Crédit",OR(IFERROR(INDEX('Paramètres'!$O:$O,MATCH($D2413,'Paramètres'!$M:$M,0))&amp;"","")&lt;&gt;"",ISNUMBER(SEARCH("remboursement",IFERROR(INDEX('Paramètres'!$N:$N,MATCH($D2413,'Paramètres'!$M:$M,0))&amp;"",""))))),1,0))</f>
        <v/>
      </c>
      <c r="Q2413" s="6" t="str">
        <f>IF($K2413="","",IF(ISNUMBER(SEARCH("transfert-interne",IFERROR(INDEX('Paramètres'!$N:$N,MATCH($D2413,'Paramètres'!$M:$M,0))&amp;"",""))),0,IF($L2413="Débit",$K2413,IF($P2413=1,-$K2413,0))))</f>
        <v/>
      </c>
      <c r="R2413" s="6" t="str">
        <f>IF($K2413="","",IF($L2413="Crédit",$K2413,-$K2413))</f>
        <v/>
      </c>
      <c r="S2413" s="6" t="str">
        <f>IF($C2413="","",IFERROR(INDEX('Paramètres'!$H:$H,MATCH($C2413,'Paramètres'!$D:$D,0))&amp;"",""))</f>
        <v/>
      </c>
      <c r="T2413" s="6" t="str">
        <f>IF($K2413="","",IF($S2413="",0,IF(ISNUMBER(SEARCH("apport-exterieur",IFERROR(INDEX('Paramètres'!$N:$N,MATCH($D2413,'Paramètres'!$M:$M,0))&amp;"",""))),0,IF(OR(IFERROR(INDEX('Paramètres'!$I:$I,MATCH($C2413,'Paramètres'!$D:$D,0))&amp;"","")="Les deux",IFERROR(INDEX('Paramètres'!$I:$I,MATCH($C2413,'Paramètres'!$D:$D,0))&amp;"","")=IF($P2413=1,"Débit",$L2413)),-IF($P2413=1,-$K2413,$K2413),0))))</f>
        <v/>
      </c>
      <c r="U2413" s="6" t="str">
        <f>IF($K2413="","",IF(ISNUMBER(SEARCH("sortie-epargne",IFERROR(INDEX('Paramètres'!$N:$N,MATCH($D2413,'Paramètres'!$M:$M,0))&amp;"",""))),$K2413,0))</f>
        <v/>
      </c>
      <c r="V2413" s="6" t="str">
        <f>IF(AND($A2413&lt;&gt;"",$O2413=1,$L2413="Débit",N($Q2413)&gt;0,$A2413&gt;=Visualisation!$B$1,$A2413&lt;Visualisation!$D$1),MAX($V$1:V2412)+1,"")</f>
        <v/>
      </c>
    </row>
    <row r="2414" spans="1:22" x14ac:dyDescent="0.25">
      <c r="A2414" s="9"/>
      <c r="E2414" s="10"/>
      <c r="K2414" s="11" t="str">
        <f>IF($E2414="","",ROUND($E2414*IF(ISNA(MATCH($C2414,'Paramètres'!$D:$D,0)),1,IF(INDEX('Paramètres'!$J:$J,MATCH($C2414,'Paramètres'!$D:$D,0))="",1,INDEX('Paramètres'!$J:$J,MATCH($C2414,'Paramètres'!$D:$D,0)))),2))</f>
        <v/>
      </c>
      <c r="L2414" s="6" t="str">
        <f>IF($D2414="","",IF($F2414&lt;&gt;"",$F2414,IF(ISNA(MATCH($D2414,'Paramètres'!$M:$M,0)),"⚠ Type inconnu",IFERROR(INDEX('Paramètres'!$P:$P,MATCH($D2414,'Paramètres'!$M:$M,0))&amp;"",""))))</f>
        <v/>
      </c>
      <c r="M2414" s="6" t="str">
        <f>IF($D2414="","",IF(ISNA(MATCH($D2414,'Paramètres'!$M:$M,0)),"⚠ Type inconnu",IF($L2414="Crédit","",IFERROR(INDEX('Paramètres'!$O:$O,MATCH($D2414,'Paramètres'!$M:$M,0))&amp;"",""))))</f>
        <v/>
      </c>
      <c r="N2414" s="6" t="str">
        <f>IF($D2414="","",IFERROR(INDEX('Paramètres'!$Q:$Q,MATCH($D2414,'Paramètres'!$M:$M,0))&amp;"",""))</f>
        <v/>
      </c>
      <c r="O2414" s="6" t="str">
        <f>IF($A2414="","",IF(OR($J2414&lt;&gt;"x",$A2414&lt;=FinReleve),1,0))</f>
        <v/>
      </c>
      <c r="P2414" s="6" t="str">
        <f>IF($D2414="","",IF(AND($L2414="Crédit",OR(IFERROR(INDEX('Paramètres'!$O:$O,MATCH($D2414,'Paramètres'!$M:$M,0))&amp;"","")&lt;&gt;"",ISNUMBER(SEARCH("remboursement",IFERROR(INDEX('Paramètres'!$N:$N,MATCH($D2414,'Paramètres'!$M:$M,0))&amp;"",""))))),1,0))</f>
        <v/>
      </c>
      <c r="Q2414" s="6" t="str">
        <f>IF($K2414="","",IF(ISNUMBER(SEARCH("transfert-interne",IFERROR(INDEX('Paramètres'!$N:$N,MATCH($D2414,'Paramètres'!$M:$M,0))&amp;"",""))),0,IF($L2414="Débit",$K2414,IF($P2414=1,-$K2414,0))))</f>
        <v/>
      </c>
      <c r="R2414" s="6" t="str">
        <f>IF($K2414="","",IF($L2414="Crédit",$K2414,-$K2414))</f>
        <v/>
      </c>
      <c r="S2414" s="6" t="str">
        <f>IF($C2414="","",IFERROR(INDEX('Paramètres'!$H:$H,MATCH($C2414,'Paramètres'!$D:$D,0))&amp;"",""))</f>
        <v/>
      </c>
      <c r="T2414" s="6" t="str">
        <f>IF($K2414="","",IF($S2414="",0,IF(ISNUMBER(SEARCH("apport-exterieur",IFERROR(INDEX('Paramètres'!$N:$N,MATCH($D2414,'Paramètres'!$M:$M,0))&amp;"",""))),0,IF(OR(IFERROR(INDEX('Paramètres'!$I:$I,MATCH($C2414,'Paramètres'!$D:$D,0))&amp;"","")="Les deux",IFERROR(INDEX('Paramètres'!$I:$I,MATCH($C2414,'Paramètres'!$D:$D,0))&amp;"","")=IF($P2414=1,"Débit",$L2414)),-IF($P2414=1,-$K2414,$K2414),0))))</f>
        <v/>
      </c>
      <c r="U2414" s="6" t="str">
        <f>IF($K2414="","",IF(ISNUMBER(SEARCH("sortie-epargne",IFERROR(INDEX('Paramètres'!$N:$N,MATCH($D2414,'Paramètres'!$M:$M,0))&amp;"",""))),$K2414,0))</f>
        <v/>
      </c>
      <c r="V2414" s="6" t="str">
        <f>IF(AND($A2414&lt;&gt;"",$O2414=1,$L2414="Débit",N($Q2414)&gt;0,$A2414&gt;=Visualisation!$B$1,$A2414&lt;Visualisation!$D$1),MAX($V$1:V2413)+1,"")</f>
        <v/>
      </c>
    </row>
    <row r="2415" spans="1:22" x14ac:dyDescent="0.25">
      <c r="A2415" s="9"/>
      <c r="E2415" s="10"/>
      <c r="K2415" s="11" t="str">
        <f>IF($E2415="","",ROUND($E2415*IF(ISNA(MATCH($C2415,'Paramètres'!$D:$D,0)),1,IF(INDEX('Paramètres'!$J:$J,MATCH($C2415,'Paramètres'!$D:$D,0))="",1,INDEX('Paramètres'!$J:$J,MATCH($C2415,'Paramètres'!$D:$D,0)))),2))</f>
        <v/>
      </c>
      <c r="L2415" s="6" t="str">
        <f>IF($D2415="","",IF($F2415&lt;&gt;"",$F2415,IF(ISNA(MATCH($D2415,'Paramètres'!$M:$M,0)),"⚠ Type inconnu",IFERROR(INDEX('Paramètres'!$P:$P,MATCH($D2415,'Paramètres'!$M:$M,0))&amp;"",""))))</f>
        <v/>
      </c>
      <c r="M2415" s="6" t="str">
        <f>IF($D2415="","",IF(ISNA(MATCH($D2415,'Paramètres'!$M:$M,0)),"⚠ Type inconnu",IF($L2415="Crédit","",IFERROR(INDEX('Paramètres'!$O:$O,MATCH($D2415,'Paramètres'!$M:$M,0))&amp;"",""))))</f>
        <v/>
      </c>
      <c r="N2415" s="6" t="str">
        <f>IF($D2415="","",IFERROR(INDEX('Paramètres'!$Q:$Q,MATCH($D2415,'Paramètres'!$M:$M,0))&amp;"",""))</f>
        <v/>
      </c>
      <c r="O2415" s="6" t="str">
        <f>IF($A2415="","",IF(OR($J2415&lt;&gt;"x",$A2415&lt;=FinReleve),1,0))</f>
        <v/>
      </c>
      <c r="P2415" s="6" t="str">
        <f>IF($D2415="","",IF(AND($L2415="Crédit",OR(IFERROR(INDEX('Paramètres'!$O:$O,MATCH($D2415,'Paramètres'!$M:$M,0))&amp;"","")&lt;&gt;"",ISNUMBER(SEARCH("remboursement",IFERROR(INDEX('Paramètres'!$N:$N,MATCH($D2415,'Paramètres'!$M:$M,0))&amp;"",""))))),1,0))</f>
        <v/>
      </c>
      <c r="Q2415" s="6" t="str">
        <f>IF($K2415="","",IF(ISNUMBER(SEARCH("transfert-interne",IFERROR(INDEX('Paramètres'!$N:$N,MATCH($D2415,'Paramètres'!$M:$M,0))&amp;"",""))),0,IF($L2415="Débit",$K2415,IF($P2415=1,-$K2415,0))))</f>
        <v/>
      </c>
      <c r="R2415" s="6" t="str">
        <f>IF($K2415="","",IF($L2415="Crédit",$K2415,-$K2415))</f>
        <v/>
      </c>
      <c r="S2415" s="6" t="str">
        <f>IF($C2415="","",IFERROR(INDEX('Paramètres'!$H:$H,MATCH($C2415,'Paramètres'!$D:$D,0))&amp;"",""))</f>
        <v/>
      </c>
      <c r="T2415" s="6" t="str">
        <f>IF($K2415="","",IF($S2415="",0,IF(ISNUMBER(SEARCH("apport-exterieur",IFERROR(INDEX('Paramètres'!$N:$N,MATCH($D2415,'Paramètres'!$M:$M,0))&amp;"",""))),0,IF(OR(IFERROR(INDEX('Paramètres'!$I:$I,MATCH($C2415,'Paramètres'!$D:$D,0))&amp;"","")="Les deux",IFERROR(INDEX('Paramètres'!$I:$I,MATCH($C2415,'Paramètres'!$D:$D,0))&amp;"","")=IF($P2415=1,"Débit",$L2415)),-IF($P2415=1,-$K2415,$K2415),0))))</f>
        <v/>
      </c>
      <c r="U2415" s="6" t="str">
        <f>IF($K2415="","",IF(ISNUMBER(SEARCH("sortie-epargne",IFERROR(INDEX('Paramètres'!$N:$N,MATCH($D2415,'Paramètres'!$M:$M,0))&amp;"",""))),$K2415,0))</f>
        <v/>
      </c>
      <c r="V2415" s="6" t="str">
        <f>IF(AND($A2415&lt;&gt;"",$O2415=1,$L2415="Débit",N($Q2415)&gt;0,$A2415&gt;=Visualisation!$B$1,$A2415&lt;Visualisation!$D$1),MAX($V$1:V2414)+1,"")</f>
        <v/>
      </c>
    </row>
    <row r="2416" spans="1:22" x14ac:dyDescent="0.25">
      <c r="A2416" s="9"/>
      <c r="E2416" s="10"/>
      <c r="K2416" s="11" t="str">
        <f>IF($E2416="","",ROUND($E2416*IF(ISNA(MATCH($C2416,'Paramètres'!$D:$D,0)),1,IF(INDEX('Paramètres'!$J:$J,MATCH($C2416,'Paramètres'!$D:$D,0))="",1,INDEX('Paramètres'!$J:$J,MATCH($C2416,'Paramètres'!$D:$D,0)))),2))</f>
        <v/>
      </c>
      <c r="L2416" s="6" t="str">
        <f>IF($D2416="","",IF($F2416&lt;&gt;"",$F2416,IF(ISNA(MATCH($D2416,'Paramètres'!$M:$M,0)),"⚠ Type inconnu",IFERROR(INDEX('Paramètres'!$P:$P,MATCH($D2416,'Paramètres'!$M:$M,0))&amp;"",""))))</f>
        <v/>
      </c>
      <c r="M2416" s="6" t="str">
        <f>IF($D2416="","",IF(ISNA(MATCH($D2416,'Paramètres'!$M:$M,0)),"⚠ Type inconnu",IF($L2416="Crédit","",IFERROR(INDEX('Paramètres'!$O:$O,MATCH($D2416,'Paramètres'!$M:$M,0))&amp;"",""))))</f>
        <v/>
      </c>
      <c r="N2416" s="6" t="str">
        <f>IF($D2416="","",IFERROR(INDEX('Paramètres'!$Q:$Q,MATCH($D2416,'Paramètres'!$M:$M,0))&amp;"",""))</f>
        <v/>
      </c>
      <c r="O2416" s="6" t="str">
        <f>IF($A2416="","",IF(OR($J2416&lt;&gt;"x",$A2416&lt;=FinReleve),1,0))</f>
        <v/>
      </c>
      <c r="P2416" s="6" t="str">
        <f>IF($D2416="","",IF(AND($L2416="Crédit",OR(IFERROR(INDEX('Paramètres'!$O:$O,MATCH($D2416,'Paramètres'!$M:$M,0))&amp;"","")&lt;&gt;"",ISNUMBER(SEARCH("remboursement",IFERROR(INDEX('Paramètres'!$N:$N,MATCH($D2416,'Paramètres'!$M:$M,0))&amp;"",""))))),1,0))</f>
        <v/>
      </c>
      <c r="Q2416" s="6" t="str">
        <f>IF($K2416="","",IF(ISNUMBER(SEARCH("transfert-interne",IFERROR(INDEX('Paramètres'!$N:$N,MATCH($D2416,'Paramètres'!$M:$M,0))&amp;"",""))),0,IF($L2416="Débit",$K2416,IF($P2416=1,-$K2416,0))))</f>
        <v/>
      </c>
      <c r="R2416" s="6" t="str">
        <f>IF($K2416="","",IF($L2416="Crédit",$K2416,-$K2416))</f>
        <v/>
      </c>
      <c r="S2416" s="6" t="str">
        <f>IF($C2416="","",IFERROR(INDEX('Paramètres'!$H:$H,MATCH($C2416,'Paramètres'!$D:$D,0))&amp;"",""))</f>
        <v/>
      </c>
      <c r="T2416" s="6" t="str">
        <f>IF($K2416="","",IF($S2416="",0,IF(ISNUMBER(SEARCH("apport-exterieur",IFERROR(INDEX('Paramètres'!$N:$N,MATCH($D2416,'Paramètres'!$M:$M,0))&amp;"",""))),0,IF(OR(IFERROR(INDEX('Paramètres'!$I:$I,MATCH($C2416,'Paramètres'!$D:$D,0))&amp;"","")="Les deux",IFERROR(INDEX('Paramètres'!$I:$I,MATCH($C2416,'Paramètres'!$D:$D,0))&amp;"","")=IF($P2416=1,"Débit",$L2416)),-IF($P2416=1,-$K2416,$K2416),0))))</f>
        <v/>
      </c>
      <c r="U2416" s="6" t="str">
        <f>IF($K2416="","",IF(ISNUMBER(SEARCH("sortie-epargne",IFERROR(INDEX('Paramètres'!$N:$N,MATCH($D2416,'Paramètres'!$M:$M,0))&amp;"",""))),$K2416,0))</f>
        <v/>
      </c>
      <c r="V2416" s="6" t="str">
        <f>IF(AND($A2416&lt;&gt;"",$O2416=1,$L2416="Débit",N($Q2416)&gt;0,$A2416&gt;=Visualisation!$B$1,$A2416&lt;Visualisation!$D$1),MAX($V$1:V2415)+1,"")</f>
        <v/>
      </c>
    </row>
    <row r="2417" spans="1:22" x14ac:dyDescent="0.25">
      <c r="A2417" s="9"/>
      <c r="E2417" s="10"/>
      <c r="K2417" s="11" t="str">
        <f>IF($E2417="","",ROUND($E2417*IF(ISNA(MATCH($C2417,'Paramètres'!$D:$D,0)),1,IF(INDEX('Paramètres'!$J:$J,MATCH($C2417,'Paramètres'!$D:$D,0))="",1,INDEX('Paramètres'!$J:$J,MATCH($C2417,'Paramètres'!$D:$D,0)))),2))</f>
        <v/>
      </c>
      <c r="L2417" s="6" t="str">
        <f>IF($D2417="","",IF($F2417&lt;&gt;"",$F2417,IF(ISNA(MATCH($D2417,'Paramètres'!$M:$M,0)),"⚠ Type inconnu",IFERROR(INDEX('Paramètres'!$P:$P,MATCH($D2417,'Paramètres'!$M:$M,0))&amp;"",""))))</f>
        <v/>
      </c>
      <c r="M2417" s="6" t="str">
        <f>IF($D2417="","",IF(ISNA(MATCH($D2417,'Paramètres'!$M:$M,0)),"⚠ Type inconnu",IF($L2417="Crédit","",IFERROR(INDEX('Paramètres'!$O:$O,MATCH($D2417,'Paramètres'!$M:$M,0))&amp;"",""))))</f>
        <v/>
      </c>
      <c r="N2417" s="6" t="str">
        <f>IF($D2417="","",IFERROR(INDEX('Paramètres'!$Q:$Q,MATCH($D2417,'Paramètres'!$M:$M,0))&amp;"",""))</f>
        <v/>
      </c>
      <c r="O2417" s="6" t="str">
        <f>IF($A2417="","",IF(OR($J2417&lt;&gt;"x",$A2417&lt;=FinReleve),1,0))</f>
        <v/>
      </c>
      <c r="P2417" s="6" t="str">
        <f>IF($D2417="","",IF(AND($L2417="Crédit",OR(IFERROR(INDEX('Paramètres'!$O:$O,MATCH($D2417,'Paramètres'!$M:$M,0))&amp;"","")&lt;&gt;"",ISNUMBER(SEARCH("remboursement",IFERROR(INDEX('Paramètres'!$N:$N,MATCH($D2417,'Paramètres'!$M:$M,0))&amp;"",""))))),1,0))</f>
        <v/>
      </c>
      <c r="Q2417" s="6" t="str">
        <f>IF($K2417="","",IF(ISNUMBER(SEARCH("transfert-interne",IFERROR(INDEX('Paramètres'!$N:$N,MATCH($D2417,'Paramètres'!$M:$M,0))&amp;"",""))),0,IF($L2417="Débit",$K2417,IF($P2417=1,-$K2417,0))))</f>
        <v/>
      </c>
      <c r="R2417" s="6" t="str">
        <f>IF($K2417="","",IF($L2417="Crédit",$K2417,-$K2417))</f>
        <v/>
      </c>
      <c r="S2417" s="6" t="str">
        <f>IF($C2417="","",IFERROR(INDEX('Paramètres'!$H:$H,MATCH($C2417,'Paramètres'!$D:$D,0))&amp;"",""))</f>
        <v/>
      </c>
      <c r="T2417" s="6" t="str">
        <f>IF($K2417="","",IF($S2417="",0,IF(ISNUMBER(SEARCH("apport-exterieur",IFERROR(INDEX('Paramètres'!$N:$N,MATCH($D2417,'Paramètres'!$M:$M,0))&amp;"",""))),0,IF(OR(IFERROR(INDEX('Paramètres'!$I:$I,MATCH($C2417,'Paramètres'!$D:$D,0))&amp;"","")="Les deux",IFERROR(INDEX('Paramètres'!$I:$I,MATCH($C2417,'Paramètres'!$D:$D,0))&amp;"","")=IF($P2417=1,"Débit",$L2417)),-IF($P2417=1,-$K2417,$K2417),0))))</f>
        <v/>
      </c>
      <c r="U2417" s="6" t="str">
        <f>IF($K2417="","",IF(ISNUMBER(SEARCH("sortie-epargne",IFERROR(INDEX('Paramètres'!$N:$N,MATCH($D2417,'Paramètres'!$M:$M,0))&amp;"",""))),$K2417,0))</f>
        <v/>
      </c>
      <c r="V2417" s="6" t="str">
        <f>IF(AND($A2417&lt;&gt;"",$O2417=1,$L2417="Débit",N($Q2417)&gt;0,$A2417&gt;=Visualisation!$B$1,$A2417&lt;Visualisation!$D$1),MAX($V$1:V2416)+1,"")</f>
        <v/>
      </c>
    </row>
    <row r="2418" spans="1:22" x14ac:dyDescent="0.25">
      <c r="A2418" s="9"/>
      <c r="E2418" s="10"/>
      <c r="K2418" s="11" t="str">
        <f>IF($E2418="","",ROUND($E2418*IF(ISNA(MATCH($C2418,'Paramètres'!$D:$D,0)),1,IF(INDEX('Paramètres'!$J:$J,MATCH($C2418,'Paramètres'!$D:$D,0))="",1,INDEX('Paramètres'!$J:$J,MATCH($C2418,'Paramètres'!$D:$D,0)))),2))</f>
        <v/>
      </c>
      <c r="L2418" s="6" t="str">
        <f>IF($D2418="","",IF($F2418&lt;&gt;"",$F2418,IF(ISNA(MATCH($D2418,'Paramètres'!$M:$M,0)),"⚠ Type inconnu",IFERROR(INDEX('Paramètres'!$P:$P,MATCH($D2418,'Paramètres'!$M:$M,0))&amp;"",""))))</f>
        <v/>
      </c>
      <c r="M2418" s="6" t="str">
        <f>IF($D2418="","",IF(ISNA(MATCH($D2418,'Paramètres'!$M:$M,0)),"⚠ Type inconnu",IF($L2418="Crédit","",IFERROR(INDEX('Paramètres'!$O:$O,MATCH($D2418,'Paramètres'!$M:$M,0))&amp;"",""))))</f>
        <v/>
      </c>
      <c r="N2418" s="6" t="str">
        <f>IF($D2418="","",IFERROR(INDEX('Paramètres'!$Q:$Q,MATCH($D2418,'Paramètres'!$M:$M,0))&amp;"",""))</f>
        <v/>
      </c>
      <c r="O2418" s="6" t="str">
        <f>IF($A2418="","",IF(OR($J2418&lt;&gt;"x",$A2418&lt;=FinReleve),1,0))</f>
        <v/>
      </c>
      <c r="P2418" s="6" t="str">
        <f>IF($D2418="","",IF(AND($L2418="Crédit",OR(IFERROR(INDEX('Paramètres'!$O:$O,MATCH($D2418,'Paramètres'!$M:$M,0))&amp;"","")&lt;&gt;"",ISNUMBER(SEARCH("remboursement",IFERROR(INDEX('Paramètres'!$N:$N,MATCH($D2418,'Paramètres'!$M:$M,0))&amp;"",""))))),1,0))</f>
        <v/>
      </c>
      <c r="Q2418" s="6" t="str">
        <f>IF($K2418="","",IF(ISNUMBER(SEARCH("transfert-interne",IFERROR(INDEX('Paramètres'!$N:$N,MATCH($D2418,'Paramètres'!$M:$M,0))&amp;"",""))),0,IF($L2418="Débit",$K2418,IF($P2418=1,-$K2418,0))))</f>
        <v/>
      </c>
      <c r="R2418" s="6" t="str">
        <f>IF($K2418="","",IF($L2418="Crédit",$K2418,-$K2418))</f>
        <v/>
      </c>
      <c r="S2418" s="6" t="str">
        <f>IF($C2418="","",IFERROR(INDEX('Paramètres'!$H:$H,MATCH($C2418,'Paramètres'!$D:$D,0))&amp;"",""))</f>
        <v/>
      </c>
      <c r="T2418" s="6" t="str">
        <f>IF($K2418="","",IF($S2418="",0,IF(ISNUMBER(SEARCH("apport-exterieur",IFERROR(INDEX('Paramètres'!$N:$N,MATCH($D2418,'Paramètres'!$M:$M,0))&amp;"",""))),0,IF(OR(IFERROR(INDEX('Paramètres'!$I:$I,MATCH($C2418,'Paramètres'!$D:$D,0))&amp;"","")="Les deux",IFERROR(INDEX('Paramètres'!$I:$I,MATCH($C2418,'Paramètres'!$D:$D,0))&amp;"","")=IF($P2418=1,"Débit",$L2418)),-IF($P2418=1,-$K2418,$K2418),0))))</f>
        <v/>
      </c>
      <c r="U2418" s="6" t="str">
        <f>IF($K2418="","",IF(ISNUMBER(SEARCH("sortie-epargne",IFERROR(INDEX('Paramètres'!$N:$N,MATCH($D2418,'Paramètres'!$M:$M,0))&amp;"",""))),$K2418,0))</f>
        <v/>
      </c>
      <c r="V2418" s="6" t="str">
        <f>IF(AND($A2418&lt;&gt;"",$O2418=1,$L2418="Débit",N($Q2418)&gt;0,$A2418&gt;=Visualisation!$B$1,$A2418&lt;Visualisation!$D$1),MAX($V$1:V2417)+1,"")</f>
        <v/>
      </c>
    </row>
    <row r="2419" spans="1:22" x14ac:dyDescent="0.25">
      <c r="A2419" s="9"/>
      <c r="E2419" s="10"/>
      <c r="K2419" s="11" t="str">
        <f>IF($E2419="","",ROUND($E2419*IF(ISNA(MATCH($C2419,'Paramètres'!$D:$D,0)),1,IF(INDEX('Paramètres'!$J:$J,MATCH($C2419,'Paramètres'!$D:$D,0))="",1,INDEX('Paramètres'!$J:$J,MATCH($C2419,'Paramètres'!$D:$D,0)))),2))</f>
        <v/>
      </c>
      <c r="L2419" s="6" t="str">
        <f>IF($D2419="","",IF($F2419&lt;&gt;"",$F2419,IF(ISNA(MATCH($D2419,'Paramètres'!$M:$M,0)),"⚠ Type inconnu",IFERROR(INDEX('Paramètres'!$P:$P,MATCH($D2419,'Paramètres'!$M:$M,0))&amp;"",""))))</f>
        <v/>
      </c>
      <c r="M2419" s="6" t="str">
        <f>IF($D2419="","",IF(ISNA(MATCH($D2419,'Paramètres'!$M:$M,0)),"⚠ Type inconnu",IF($L2419="Crédit","",IFERROR(INDEX('Paramètres'!$O:$O,MATCH($D2419,'Paramètres'!$M:$M,0))&amp;"",""))))</f>
        <v/>
      </c>
      <c r="N2419" s="6" t="str">
        <f>IF($D2419="","",IFERROR(INDEX('Paramètres'!$Q:$Q,MATCH($D2419,'Paramètres'!$M:$M,0))&amp;"",""))</f>
        <v/>
      </c>
      <c r="O2419" s="6" t="str">
        <f>IF($A2419="","",IF(OR($J2419&lt;&gt;"x",$A2419&lt;=FinReleve),1,0))</f>
        <v/>
      </c>
      <c r="P2419" s="6" t="str">
        <f>IF($D2419="","",IF(AND($L2419="Crédit",OR(IFERROR(INDEX('Paramètres'!$O:$O,MATCH($D2419,'Paramètres'!$M:$M,0))&amp;"","")&lt;&gt;"",ISNUMBER(SEARCH("remboursement",IFERROR(INDEX('Paramètres'!$N:$N,MATCH($D2419,'Paramètres'!$M:$M,0))&amp;"",""))))),1,0))</f>
        <v/>
      </c>
      <c r="Q2419" s="6" t="str">
        <f>IF($K2419="","",IF(ISNUMBER(SEARCH("transfert-interne",IFERROR(INDEX('Paramètres'!$N:$N,MATCH($D2419,'Paramètres'!$M:$M,0))&amp;"",""))),0,IF($L2419="Débit",$K2419,IF($P2419=1,-$K2419,0))))</f>
        <v/>
      </c>
      <c r="R2419" s="6" t="str">
        <f>IF($K2419="","",IF($L2419="Crédit",$K2419,-$K2419))</f>
        <v/>
      </c>
      <c r="S2419" s="6" t="str">
        <f>IF($C2419="","",IFERROR(INDEX('Paramètres'!$H:$H,MATCH($C2419,'Paramètres'!$D:$D,0))&amp;"",""))</f>
        <v/>
      </c>
      <c r="T2419" s="6" t="str">
        <f>IF($K2419="","",IF($S2419="",0,IF(ISNUMBER(SEARCH("apport-exterieur",IFERROR(INDEX('Paramètres'!$N:$N,MATCH($D2419,'Paramètres'!$M:$M,0))&amp;"",""))),0,IF(OR(IFERROR(INDEX('Paramètres'!$I:$I,MATCH($C2419,'Paramètres'!$D:$D,0))&amp;"","")="Les deux",IFERROR(INDEX('Paramètres'!$I:$I,MATCH($C2419,'Paramètres'!$D:$D,0))&amp;"","")=IF($P2419=1,"Débit",$L2419)),-IF($P2419=1,-$K2419,$K2419),0))))</f>
        <v/>
      </c>
      <c r="U2419" s="6" t="str">
        <f>IF($K2419="","",IF(ISNUMBER(SEARCH("sortie-epargne",IFERROR(INDEX('Paramètres'!$N:$N,MATCH($D2419,'Paramètres'!$M:$M,0))&amp;"",""))),$K2419,0))</f>
        <v/>
      </c>
      <c r="V2419" s="6" t="str">
        <f>IF(AND($A2419&lt;&gt;"",$O2419=1,$L2419="Débit",N($Q2419)&gt;0,$A2419&gt;=Visualisation!$B$1,$A2419&lt;Visualisation!$D$1),MAX($V$1:V2418)+1,"")</f>
        <v/>
      </c>
    </row>
    <row r="2420" spans="1:22" x14ac:dyDescent="0.25">
      <c r="A2420" s="9"/>
      <c r="E2420" s="10"/>
      <c r="K2420" s="11" t="str">
        <f>IF($E2420="","",ROUND($E2420*IF(ISNA(MATCH($C2420,'Paramètres'!$D:$D,0)),1,IF(INDEX('Paramètres'!$J:$J,MATCH($C2420,'Paramètres'!$D:$D,0))="",1,INDEX('Paramètres'!$J:$J,MATCH($C2420,'Paramètres'!$D:$D,0)))),2))</f>
        <v/>
      </c>
      <c r="L2420" s="6" t="str">
        <f>IF($D2420="","",IF($F2420&lt;&gt;"",$F2420,IF(ISNA(MATCH($D2420,'Paramètres'!$M:$M,0)),"⚠ Type inconnu",IFERROR(INDEX('Paramètres'!$P:$P,MATCH($D2420,'Paramètres'!$M:$M,0))&amp;"",""))))</f>
        <v/>
      </c>
      <c r="M2420" s="6" t="str">
        <f>IF($D2420="","",IF(ISNA(MATCH($D2420,'Paramètres'!$M:$M,0)),"⚠ Type inconnu",IF($L2420="Crédit","",IFERROR(INDEX('Paramètres'!$O:$O,MATCH($D2420,'Paramètres'!$M:$M,0))&amp;"",""))))</f>
        <v/>
      </c>
      <c r="N2420" s="6" t="str">
        <f>IF($D2420="","",IFERROR(INDEX('Paramètres'!$Q:$Q,MATCH($D2420,'Paramètres'!$M:$M,0))&amp;"",""))</f>
        <v/>
      </c>
      <c r="O2420" s="6" t="str">
        <f>IF($A2420="","",IF(OR($J2420&lt;&gt;"x",$A2420&lt;=FinReleve),1,0))</f>
        <v/>
      </c>
      <c r="P2420" s="6" t="str">
        <f>IF($D2420="","",IF(AND($L2420="Crédit",OR(IFERROR(INDEX('Paramètres'!$O:$O,MATCH($D2420,'Paramètres'!$M:$M,0))&amp;"","")&lt;&gt;"",ISNUMBER(SEARCH("remboursement",IFERROR(INDEX('Paramètres'!$N:$N,MATCH($D2420,'Paramètres'!$M:$M,0))&amp;"",""))))),1,0))</f>
        <v/>
      </c>
      <c r="Q2420" s="6" t="str">
        <f>IF($K2420="","",IF(ISNUMBER(SEARCH("transfert-interne",IFERROR(INDEX('Paramètres'!$N:$N,MATCH($D2420,'Paramètres'!$M:$M,0))&amp;"",""))),0,IF($L2420="Débit",$K2420,IF($P2420=1,-$K2420,0))))</f>
        <v/>
      </c>
      <c r="R2420" s="6" t="str">
        <f>IF($K2420="","",IF($L2420="Crédit",$K2420,-$K2420))</f>
        <v/>
      </c>
      <c r="S2420" s="6" t="str">
        <f>IF($C2420="","",IFERROR(INDEX('Paramètres'!$H:$H,MATCH($C2420,'Paramètres'!$D:$D,0))&amp;"",""))</f>
        <v/>
      </c>
      <c r="T2420" s="6" t="str">
        <f>IF($K2420="","",IF($S2420="",0,IF(ISNUMBER(SEARCH("apport-exterieur",IFERROR(INDEX('Paramètres'!$N:$N,MATCH($D2420,'Paramètres'!$M:$M,0))&amp;"",""))),0,IF(OR(IFERROR(INDEX('Paramètres'!$I:$I,MATCH($C2420,'Paramètres'!$D:$D,0))&amp;"","")="Les deux",IFERROR(INDEX('Paramètres'!$I:$I,MATCH($C2420,'Paramètres'!$D:$D,0))&amp;"","")=IF($P2420=1,"Débit",$L2420)),-IF($P2420=1,-$K2420,$K2420),0))))</f>
        <v/>
      </c>
      <c r="U2420" s="6" t="str">
        <f>IF($K2420="","",IF(ISNUMBER(SEARCH("sortie-epargne",IFERROR(INDEX('Paramètres'!$N:$N,MATCH($D2420,'Paramètres'!$M:$M,0))&amp;"",""))),$K2420,0))</f>
        <v/>
      </c>
      <c r="V2420" s="6" t="str">
        <f>IF(AND($A2420&lt;&gt;"",$O2420=1,$L2420="Débit",N($Q2420)&gt;0,$A2420&gt;=Visualisation!$B$1,$A2420&lt;Visualisation!$D$1),MAX($V$1:V2419)+1,"")</f>
        <v/>
      </c>
    </row>
    <row r="2421" spans="1:22" x14ac:dyDescent="0.25">
      <c r="A2421" s="9"/>
      <c r="E2421" s="10"/>
      <c r="K2421" s="11" t="str">
        <f>IF($E2421="","",ROUND($E2421*IF(ISNA(MATCH($C2421,'Paramètres'!$D:$D,0)),1,IF(INDEX('Paramètres'!$J:$J,MATCH($C2421,'Paramètres'!$D:$D,0))="",1,INDEX('Paramètres'!$J:$J,MATCH($C2421,'Paramètres'!$D:$D,0)))),2))</f>
        <v/>
      </c>
      <c r="L2421" s="6" t="str">
        <f>IF($D2421="","",IF($F2421&lt;&gt;"",$F2421,IF(ISNA(MATCH($D2421,'Paramètres'!$M:$M,0)),"⚠ Type inconnu",IFERROR(INDEX('Paramètres'!$P:$P,MATCH($D2421,'Paramètres'!$M:$M,0))&amp;"",""))))</f>
        <v/>
      </c>
      <c r="M2421" s="6" t="str">
        <f>IF($D2421="","",IF(ISNA(MATCH($D2421,'Paramètres'!$M:$M,0)),"⚠ Type inconnu",IF($L2421="Crédit","",IFERROR(INDEX('Paramètres'!$O:$O,MATCH($D2421,'Paramètres'!$M:$M,0))&amp;"",""))))</f>
        <v/>
      </c>
      <c r="N2421" s="6" t="str">
        <f>IF($D2421="","",IFERROR(INDEX('Paramètres'!$Q:$Q,MATCH($D2421,'Paramètres'!$M:$M,0))&amp;"",""))</f>
        <v/>
      </c>
      <c r="O2421" s="6" t="str">
        <f>IF($A2421="","",IF(OR($J2421&lt;&gt;"x",$A2421&lt;=FinReleve),1,0))</f>
        <v/>
      </c>
      <c r="P2421" s="6" t="str">
        <f>IF($D2421="","",IF(AND($L2421="Crédit",OR(IFERROR(INDEX('Paramètres'!$O:$O,MATCH($D2421,'Paramètres'!$M:$M,0))&amp;"","")&lt;&gt;"",ISNUMBER(SEARCH("remboursement",IFERROR(INDEX('Paramètres'!$N:$N,MATCH($D2421,'Paramètres'!$M:$M,0))&amp;"",""))))),1,0))</f>
        <v/>
      </c>
      <c r="Q2421" s="6" t="str">
        <f>IF($K2421="","",IF(ISNUMBER(SEARCH("transfert-interne",IFERROR(INDEX('Paramètres'!$N:$N,MATCH($D2421,'Paramètres'!$M:$M,0))&amp;"",""))),0,IF($L2421="Débit",$K2421,IF($P2421=1,-$K2421,0))))</f>
        <v/>
      </c>
      <c r="R2421" s="6" t="str">
        <f>IF($K2421="","",IF($L2421="Crédit",$K2421,-$K2421))</f>
        <v/>
      </c>
      <c r="S2421" s="6" t="str">
        <f>IF($C2421="","",IFERROR(INDEX('Paramètres'!$H:$H,MATCH($C2421,'Paramètres'!$D:$D,0))&amp;"",""))</f>
        <v/>
      </c>
      <c r="T2421" s="6" t="str">
        <f>IF($K2421="","",IF($S2421="",0,IF(ISNUMBER(SEARCH("apport-exterieur",IFERROR(INDEX('Paramètres'!$N:$N,MATCH($D2421,'Paramètres'!$M:$M,0))&amp;"",""))),0,IF(OR(IFERROR(INDEX('Paramètres'!$I:$I,MATCH($C2421,'Paramètres'!$D:$D,0))&amp;"","")="Les deux",IFERROR(INDEX('Paramètres'!$I:$I,MATCH($C2421,'Paramètres'!$D:$D,0))&amp;"","")=IF($P2421=1,"Débit",$L2421)),-IF($P2421=1,-$K2421,$K2421),0))))</f>
        <v/>
      </c>
      <c r="U2421" s="6" t="str">
        <f>IF($K2421="","",IF(ISNUMBER(SEARCH("sortie-epargne",IFERROR(INDEX('Paramètres'!$N:$N,MATCH($D2421,'Paramètres'!$M:$M,0))&amp;"",""))),$K2421,0))</f>
        <v/>
      </c>
      <c r="V2421" s="6" t="str">
        <f>IF(AND($A2421&lt;&gt;"",$O2421=1,$L2421="Débit",N($Q2421)&gt;0,$A2421&gt;=Visualisation!$B$1,$A2421&lt;Visualisation!$D$1),MAX($V$1:V2420)+1,"")</f>
        <v/>
      </c>
    </row>
    <row r="2422" spans="1:22" x14ac:dyDescent="0.25">
      <c r="A2422" s="9"/>
      <c r="E2422" s="10"/>
      <c r="K2422" s="11" t="str">
        <f>IF($E2422="","",ROUND($E2422*IF(ISNA(MATCH($C2422,'Paramètres'!$D:$D,0)),1,IF(INDEX('Paramètres'!$J:$J,MATCH($C2422,'Paramètres'!$D:$D,0))="",1,INDEX('Paramètres'!$J:$J,MATCH($C2422,'Paramètres'!$D:$D,0)))),2))</f>
        <v/>
      </c>
      <c r="L2422" s="6" t="str">
        <f>IF($D2422="","",IF($F2422&lt;&gt;"",$F2422,IF(ISNA(MATCH($D2422,'Paramètres'!$M:$M,0)),"⚠ Type inconnu",IFERROR(INDEX('Paramètres'!$P:$P,MATCH($D2422,'Paramètres'!$M:$M,0))&amp;"",""))))</f>
        <v/>
      </c>
      <c r="M2422" s="6" t="str">
        <f>IF($D2422="","",IF(ISNA(MATCH($D2422,'Paramètres'!$M:$M,0)),"⚠ Type inconnu",IF($L2422="Crédit","",IFERROR(INDEX('Paramètres'!$O:$O,MATCH($D2422,'Paramètres'!$M:$M,0))&amp;"",""))))</f>
        <v/>
      </c>
      <c r="N2422" s="6" t="str">
        <f>IF($D2422="","",IFERROR(INDEX('Paramètres'!$Q:$Q,MATCH($D2422,'Paramètres'!$M:$M,0))&amp;"",""))</f>
        <v/>
      </c>
      <c r="O2422" s="6" t="str">
        <f>IF($A2422="","",IF(OR($J2422&lt;&gt;"x",$A2422&lt;=FinReleve),1,0))</f>
        <v/>
      </c>
      <c r="P2422" s="6" t="str">
        <f>IF($D2422="","",IF(AND($L2422="Crédit",OR(IFERROR(INDEX('Paramètres'!$O:$O,MATCH($D2422,'Paramètres'!$M:$M,0))&amp;"","")&lt;&gt;"",ISNUMBER(SEARCH("remboursement",IFERROR(INDEX('Paramètres'!$N:$N,MATCH($D2422,'Paramètres'!$M:$M,0))&amp;"",""))))),1,0))</f>
        <v/>
      </c>
      <c r="Q2422" s="6" t="str">
        <f>IF($K2422="","",IF(ISNUMBER(SEARCH("transfert-interne",IFERROR(INDEX('Paramètres'!$N:$N,MATCH($D2422,'Paramètres'!$M:$M,0))&amp;"",""))),0,IF($L2422="Débit",$K2422,IF($P2422=1,-$K2422,0))))</f>
        <v/>
      </c>
      <c r="R2422" s="6" t="str">
        <f>IF($K2422="","",IF($L2422="Crédit",$K2422,-$K2422))</f>
        <v/>
      </c>
      <c r="S2422" s="6" t="str">
        <f>IF($C2422="","",IFERROR(INDEX('Paramètres'!$H:$H,MATCH($C2422,'Paramètres'!$D:$D,0))&amp;"",""))</f>
        <v/>
      </c>
      <c r="T2422" s="6" t="str">
        <f>IF($K2422="","",IF($S2422="",0,IF(ISNUMBER(SEARCH("apport-exterieur",IFERROR(INDEX('Paramètres'!$N:$N,MATCH($D2422,'Paramètres'!$M:$M,0))&amp;"",""))),0,IF(OR(IFERROR(INDEX('Paramètres'!$I:$I,MATCH($C2422,'Paramètres'!$D:$D,0))&amp;"","")="Les deux",IFERROR(INDEX('Paramètres'!$I:$I,MATCH($C2422,'Paramètres'!$D:$D,0))&amp;"","")=IF($P2422=1,"Débit",$L2422)),-IF($P2422=1,-$K2422,$K2422),0))))</f>
        <v/>
      </c>
      <c r="U2422" s="6" t="str">
        <f>IF($K2422="","",IF(ISNUMBER(SEARCH("sortie-epargne",IFERROR(INDEX('Paramètres'!$N:$N,MATCH($D2422,'Paramètres'!$M:$M,0))&amp;"",""))),$K2422,0))</f>
        <v/>
      </c>
      <c r="V2422" s="6" t="str">
        <f>IF(AND($A2422&lt;&gt;"",$O2422=1,$L2422="Débit",N($Q2422)&gt;0,$A2422&gt;=Visualisation!$B$1,$A2422&lt;Visualisation!$D$1),MAX($V$1:V2421)+1,"")</f>
        <v/>
      </c>
    </row>
    <row r="2423" spans="1:22" x14ac:dyDescent="0.25">
      <c r="A2423" s="9"/>
      <c r="E2423" s="10"/>
      <c r="K2423" s="11" t="str">
        <f>IF($E2423="","",ROUND($E2423*IF(ISNA(MATCH($C2423,'Paramètres'!$D:$D,0)),1,IF(INDEX('Paramètres'!$J:$J,MATCH($C2423,'Paramètres'!$D:$D,0))="",1,INDEX('Paramètres'!$J:$J,MATCH($C2423,'Paramètres'!$D:$D,0)))),2))</f>
        <v/>
      </c>
      <c r="L2423" s="6" t="str">
        <f>IF($D2423="","",IF($F2423&lt;&gt;"",$F2423,IF(ISNA(MATCH($D2423,'Paramètres'!$M:$M,0)),"⚠ Type inconnu",IFERROR(INDEX('Paramètres'!$P:$P,MATCH($D2423,'Paramètres'!$M:$M,0))&amp;"",""))))</f>
        <v/>
      </c>
      <c r="M2423" s="6" t="str">
        <f>IF($D2423="","",IF(ISNA(MATCH($D2423,'Paramètres'!$M:$M,0)),"⚠ Type inconnu",IF($L2423="Crédit","",IFERROR(INDEX('Paramètres'!$O:$O,MATCH($D2423,'Paramètres'!$M:$M,0))&amp;"",""))))</f>
        <v/>
      </c>
      <c r="N2423" s="6" t="str">
        <f>IF($D2423="","",IFERROR(INDEX('Paramètres'!$Q:$Q,MATCH($D2423,'Paramètres'!$M:$M,0))&amp;"",""))</f>
        <v/>
      </c>
      <c r="O2423" s="6" t="str">
        <f>IF($A2423="","",IF(OR($J2423&lt;&gt;"x",$A2423&lt;=FinReleve),1,0))</f>
        <v/>
      </c>
      <c r="P2423" s="6" t="str">
        <f>IF($D2423="","",IF(AND($L2423="Crédit",OR(IFERROR(INDEX('Paramètres'!$O:$O,MATCH($D2423,'Paramètres'!$M:$M,0))&amp;"","")&lt;&gt;"",ISNUMBER(SEARCH("remboursement",IFERROR(INDEX('Paramètres'!$N:$N,MATCH($D2423,'Paramètres'!$M:$M,0))&amp;"",""))))),1,0))</f>
        <v/>
      </c>
      <c r="Q2423" s="6" t="str">
        <f>IF($K2423="","",IF(ISNUMBER(SEARCH("transfert-interne",IFERROR(INDEX('Paramètres'!$N:$N,MATCH($D2423,'Paramètres'!$M:$M,0))&amp;"",""))),0,IF($L2423="Débit",$K2423,IF($P2423=1,-$K2423,0))))</f>
        <v/>
      </c>
      <c r="R2423" s="6" t="str">
        <f>IF($K2423="","",IF($L2423="Crédit",$K2423,-$K2423))</f>
        <v/>
      </c>
      <c r="S2423" s="6" t="str">
        <f>IF($C2423="","",IFERROR(INDEX('Paramètres'!$H:$H,MATCH($C2423,'Paramètres'!$D:$D,0))&amp;"",""))</f>
        <v/>
      </c>
      <c r="T2423" s="6" t="str">
        <f>IF($K2423="","",IF($S2423="",0,IF(ISNUMBER(SEARCH("apport-exterieur",IFERROR(INDEX('Paramètres'!$N:$N,MATCH($D2423,'Paramètres'!$M:$M,0))&amp;"",""))),0,IF(OR(IFERROR(INDEX('Paramètres'!$I:$I,MATCH($C2423,'Paramètres'!$D:$D,0))&amp;"","")="Les deux",IFERROR(INDEX('Paramètres'!$I:$I,MATCH($C2423,'Paramètres'!$D:$D,0))&amp;"","")=IF($P2423=1,"Débit",$L2423)),-IF($P2423=1,-$K2423,$K2423),0))))</f>
        <v/>
      </c>
      <c r="U2423" s="6" t="str">
        <f>IF($K2423="","",IF(ISNUMBER(SEARCH("sortie-epargne",IFERROR(INDEX('Paramètres'!$N:$N,MATCH($D2423,'Paramètres'!$M:$M,0))&amp;"",""))),$K2423,0))</f>
        <v/>
      </c>
      <c r="V2423" s="6" t="str">
        <f>IF(AND($A2423&lt;&gt;"",$O2423=1,$L2423="Débit",N($Q2423)&gt;0,$A2423&gt;=Visualisation!$B$1,$A2423&lt;Visualisation!$D$1),MAX($V$1:V2422)+1,"")</f>
        <v/>
      </c>
    </row>
    <row r="2424" spans="1:22" x14ac:dyDescent="0.25">
      <c r="A2424" s="9"/>
      <c r="E2424" s="10"/>
      <c r="K2424" s="11" t="str">
        <f>IF($E2424="","",ROUND($E2424*IF(ISNA(MATCH($C2424,'Paramètres'!$D:$D,0)),1,IF(INDEX('Paramètres'!$J:$J,MATCH($C2424,'Paramètres'!$D:$D,0))="",1,INDEX('Paramètres'!$J:$J,MATCH($C2424,'Paramètres'!$D:$D,0)))),2))</f>
        <v/>
      </c>
      <c r="L2424" s="6" t="str">
        <f>IF($D2424="","",IF($F2424&lt;&gt;"",$F2424,IF(ISNA(MATCH($D2424,'Paramètres'!$M:$M,0)),"⚠ Type inconnu",IFERROR(INDEX('Paramètres'!$P:$P,MATCH($D2424,'Paramètres'!$M:$M,0))&amp;"",""))))</f>
        <v/>
      </c>
      <c r="M2424" s="6" t="str">
        <f>IF($D2424="","",IF(ISNA(MATCH($D2424,'Paramètres'!$M:$M,0)),"⚠ Type inconnu",IF($L2424="Crédit","",IFERROR(INDEX('Paramètres'!$O:$O,MATCH($D2424,'Paramètres'!$M:$M,0))&amp;"",""))))</f>
        <v/>
      </c>
      <c r="N2424" s="6" t="str">
        <f>IF($D2424="","",IFERROR(INDEX('Paramètres'!$Q:$Q,MATCH($D2424,'Paramètres'!$M:$M,0))&amp;"",""))</f>
        <v/>
      </c>
      <c r="O2424" s="6" t="str">
        <f>IF($A2424="","",IF(OR($J2424&lt;&gt;"x",$A2424&lt;=FinReleve),1,0))</f>
        <v/>
      </c>
      <c r="P2424" s="6" t="str">
        <f>IF($D2424="","",IF(AND($L2424="Crédit",OR(IFERROR(INDEX('Paramètres'!$O:$O,MATCH($D2424,'Paramètres'!$M:$M,0))&amp;"","")&lt;&gt;"",ISNUMBER(SEARCH("remboursement",IFERROR(INDEX('Paramètres'!$N:$N,MATCH($D2424,'Paramètres'!$M:$M,0))&amp;"",""))))),1,0))</f>
        <v/>
      </c>
      <c r="Q2424" s="6" t="str">
        <f>IF($K2424="","",IF(ISNUMBER(SEARCH("transfert-interne",IFERROR(INDEX('Paramètres'!$N:$N,MATCH($D2424,'Paramètres'!$M:$M,0))&amp;"",""))),0,IF($L2424="Débit",$K2424,IF($P2424=1,-$K2424,0))))</f>
        <v/>
      </c>
      <c r="R2424" s="6" t="str">
        <f>IF($K2424="","",IF($L2424="Crédit",$K2424,-$K2424))</f>
        <v/>
      </c>
      <c r="S2424" s="6" t="str">
        <f>IF($C2424="","",IFERROR(INDEX('Paramètres'!$H:$H,MATCH($C2424,'Paramètres'!$D:$D,0))&amp;"",""))</f>
        <v/>
      </c>
      <c r="T2424" s="6" t="str">
        <f>IF($K2424="","",IF($S2424="",0,IF(ISNUMBER(SEARCH("apport-exterieur",IFERROR(INDEX('Paramètres'!$N:$N,MATCH($D2424,'Paramètres'!$M:$M,0))&amp;"",""))),0,IF(OR(IFERROR(INDEX('Paramètres'!$I:$I,MATCH($C2424,'Paramètres'!$D:$D,0))&amp;"","")="Les deux",IFERROR(INDEX('Paramètres'!$I:$I,MATCH($C2424,'Paramètres'!$D:$D,0))&amp;"","")=IF($P2424=1,"Débit",$L2424)),-IF($P2424=1,-$K2424,$K2424),0))))</f>
        <v/>
      </c>
      <c r="U2424" s="6" t="str">
        <f>IF($K2424="","",IF(ISNUMBER(SEARCH("sortie-epargne",IFERROR(INDEX('Paramètres'!$N:$N,MATCH($D2424,'Paramètres'!$M:$M,0))&amp;"",""))),$K2424,0))</f>
        <v/>
      </c>
      <c r="V2424" s="6" t="str">
        <f>IF(AND($A2424&lt;&gt;"",$O2424=1,$L2424="Débit",N($Q2424)&gt;0,$A2424&gt;=Visualisation!$B$1,$A2424&lt;Visualisation!$D$1),MAX($V$1:V2423)+1,"")</f>
        <v/>
      </c>
    </row>
    <row r="2425" spans="1:22" x14ac:dyDescent="0.25">
      <c r="A2425" s="9"/>
      <c r="E2425" s="10"/>
      <c r="K2425" s="11" t="str">
        <f>IF($E2425="","",ROUND($E2425*IF(ISNA(MATCH($C2425,'Paramètres'!$D:$D,0)),1,IF(INDEX('Paramètres'!$J:$J,MATCH($C2425,'Paramètres'!$D:$D,0))="",1,INDEX('Paramètres'!$J:$J,MATCH($C2425,'Paramètres'!$D:$D,0)))),2))</f>
        <v/>
      </c>
      <c r="L2425" s="6" t="str">
        <f>IF($D2425="","",IF($F2425&lt;&gt;"",$F2425,IF(ISNA(MATCH($D2425,'Paramètres'!$M:$M,0)),"⚠ Type inconnu",IFERROR(INDEX('Paramètres'!$P:$P,MATCH($D2425,'Paramètres'!$M:$M,0))&amp;"",""))))</f>
        <v/>
      </c>
      <c r="M2425" s="6" t="str">
        <f>IF($D2425="","",IF(ISNA(MATCH($D2425,'Paramètres'!$M:$M,0)),"⚠ Type inconnu",IF($L2425="Crédit","",IFERROR(INDEX('Paramètres'!$O:$O,MATCH($D2425,'Paramètres'!$M:$M,0))&amp;"",""))))</f>
        <v/>
      </c>
      <c r="N2425" s="6" t="str">
        <f>IF($D2425="","",IFERROR(INDEX('Paramètres'!$Q:$Q,MATCH($D2425,'Paramètres'!$M:$M,0))&amp;"",""))</f>
        <v/>
      </c>
      <c r="O2425" s="6" t="str">
        <f>IF($A2425="","",IF(OR($J2425&lt;&gt;"x",$A2425&lt;=FinReleve),1,0))</f>
        <v/>
      </c>
      <c r="P2425" s="6" t="str">
        <f>IF($D2425="","",IF(AND($L2425="Crédit",OR(IFERROR(INDEX('Paramètres'!$O:$O,MATCH($D2425,'Paramètres'!$M:$M,0))&amp;"","")&lt;&gt;"",ISNUMBER(SEARCH("remboursement",IFERROR(INDEX('Paramètres'!$N:$N,MATCH($D2425,'Paramètres'!$M:$M,0))&amp;"",""))))),1,0))</f>
        <v/>
      </c>
      <c r="Q2425" s="6" t="str">
        <f>IF($K2425="","",IF(ISNUMBER(SEARCH("transfert-interne",IFERROR(INDEX('Paramètres'!$N:$N,MATCH($D2425,'Paramètres'!$M:$M,0))&amp;"",""))),0,IF($L2425="Débit",$K2425,IF($P2425=1,-$K2425,0))))</f>
        <v/>
      </c>
      <c r="R2425" s="6" t="str">
        <f>IF($K2425="","",IF($L2425="Crédit",$K2425,-$K2425))</f>
        <v/>
      </c>
      <c r="S2425" s="6" t="str">
        <f>IF($C2425="","",IFERROR(INDEX('Paramètres'!$H:$H,MATCH($C2425,'Paramètres'!$D:$D,0))&amp;"",""))</f>
        <v/>
      </c>
      <c r="T2425" s="6" t="str">
        <f>IF($K2425="","",IF($S2425="",0,IF(ISNUMBER(SEARCH("apport-exterieur",IFERROR(INDEX('Paramètres'!$N:$N,MATCH($D2425,'Paramètres'!$M:$M,0))&amp;"",""))),0,IF(OR(IFERROR(INDEX('Paramètres'!$I:$I,MATCH($C2425,'Paramètres'!$D:$D,0))&amp;"","")="Les deux",IFERROR(INDEX('Paramètres'!$I:$I,MATCH($C2425,'Paramètres'!$D:$D,0))&amp;"","")=IF($P2425=1,"Débit",$L2425)),-IF($P2425=1,-$K2425,$K2425),0))))</f>
        <v/>
      </c>
      <c r="U2425" s="6" t="str">
        <f>IF($K2425="","",IF(ISNUMBER(SEARCH("sortie-epargne",IFERROR(INDEX('Paramètres'!$N:$N,MATCH($D2425,'Paramètres'!$M:$M,0))&amp;"",""))),$K2425,0))</f>
        <v/>
      </c>
      <c r="V2425" s="6" t="str">
        <f>IF(AND($A2425&lt;&gt;"",$O2425=1,$L2425="Débit",N($Q2425)&gt;0,$A2425&gt;=Visualisation!$B$1,$A2425&lt;Visualisation!$D$1),MAX($V$1:V2424)+1,"")</f>
        <v/>
      </c>
    </row>
    <row r="2426" spans="1:22" x14ac:dyDescent="0.25">
      <c r="A2426" s="9"/>
      <c r="E2426" s="10"/>
      <c r="K2426" s="11" t="str">
        <f>IF($E2426="","",ROUND($E2426*IF(ISNA(MATCH($C2426,'Paramètres'!$D:$D,0)),1,IF(INDEX('Paramètres'!$J:$J,MATCH($C2426,'Paramètres'!$D:$D,0))="",1,INDEX('Paramètres'!$J:$J,MATCH($C2426,'Paramètres'!$D:$D,0)))),2))</f>
        <v/>
      </c>
      <c r="L2426" s="6" t="str">
        <f>IF($D2426="","",IF($F2426&lt;&gt;"",$F2426,IF(ISNA(MATCH($D2426,'Paramètres'!$M:$M,0)),"⚠ Type inconnu",IFERROR(INDEX('Paramètres'!$P:$P,MATCH($D2426,'Paramètres'!$M:$M,0))&amp;"",""))))</f>
        <v/>
      </c>
      <c r="M2426" s="6" t="str">
        <f>IF($D2426="","",IF(ISNA(MATCH($D2426,'Paramètres'!$M:$M,0)),"⚠ Type inconnu",IF($L2426="Crédit","",IFERROR(INDEX('Paramètres'!$O:$O,MATCH($D2426,'Paramètres'!$M:$M,0))&amp;"",""))))</f>
        <v/>
      </c>
      <c r="N2426" s="6" t="str">
        <f>IF($D2426="","",IFERROR(INDEX('Paramètres'!$Q:$Q,MATCH($D2426,'Paramètres'!$M:$M,0))&amp;"",""))</f>
        <v/>
      </c>
      <c r="O2426" s="6" t="str">
        <f>IF($A2426="","",IF(OR($J2426&lt;&gt;"x",$A2426&lt;=FinReleve),1,0))</f>
        <v/>
      </c>
      <c r="P2426" s="6" t="str">
        <f>IF($D2426="","",IF(AND($L2426="Crédit",OR(IFERROR(INDEX('Paramètres'!$O:$O,MATCH($D2426,'Paramètres'!$M:$M,0))&amp;"","")&lt;&gt;"",ISNUMBER(SEARCH("remboursement",IFERROR(INDEX('Paramètres'!$N:$N,MATCH($D2426,'Paramètres'!$M:$M,0))&amp;"",""))))),1,0))</f>
        <v/>
      </c>
      <c r="Q2426" s="6" t="str">
        <f>IF($K2426="","",IF(ISNUMBER(SEARCH("transfert-interne",IFERROR(INDEX('Paramètres'!$N:$N,MATCH($D2426,'Paramètres'!$M:$M,0))&amp;"",""))),0,IF($L2426="Débit",$K2426,IF($P2426=1,-$K2426,0))))</f>
        <v/>
      </c>
      <c r="R2426" s="6" t="str">
        <f>IF($K2426="","",IF($L2426="Crédit",$K2426,-$K2426))</f>
        <v/>
      </c>
      <c r="S2426" s="6" t="str">
        <f>IF($C2426="","",IFERROR(INDEX('Paramètres'!$H:$H,MATCH($C2426,'Paramètres'!$D:$D,0))&amp;"",""))</f>
        <v/>
      </c>
      <c r="T2426" s="6" t="str">
        <f>IF($K2426="","",IF($S2426="",0,IF(ISNUMBER(SEARCH("apport-exterieur",IFERROR(INDEX('Paramètres'!$N:$N,MATCH($D2426,'Paramètres'!$M:$M,0))&amp;"",""))),0,IF(OR(IFERROR(INDEX('Paramètres'!$I:$I,MATCH($C2426,'Paramètres'!$D:$D,0))&amp;"","")="Les deux",IFERROR(INDEX('Paramètres'!$I:$I,MATCH($C2426,'Paramètres'!$D:$D,0))&amp;"","")=IF($P2426=1,"Débit",$L2426)),-IF($P2426=1,-$K2426,$K2426),0))))</f>
        <v/>
      </c>
      <c r="U2426" s="6" t="str">
        <f>IF($K2426="","",IF(ISNUMBER(SEARCH("sortie-epargne",IFERROR(INDEX('Paramètres'!$N:$N,MATCH($D2426,'Paramètres'!$M:$M,0))&amp;"",""))),$K2426,0))</f>
        <v/>
      </c>
      <c r="V2426" s="6" t="str">
        <f>IF(AND($A2426&lt;&gt;"",$O2426=1,$L2426="Débit",N($Q2426)&gt;0,$A2426&gt;=Visualisation!$B$1,$A2426&lt;Visualisation!$D$1),MAX($V$1:V2425)+1,"")</f>
        <v/>
      </c>
    </row>
    <row r="2427" spans="1:22" x14ac:dyDescent="0.25">
      <c r="A2427" s="9"/>
      <c r="E2427" s="10"/>
      <c r="K2427" s="11" t="str">
        <f>IF($E2427="","",ROUND($E2427*IF(ISNA(MATCH($C2427,'Paramètres'!$D:$D,0)),1,IF(INDEX('Paramètres'!$J:$J,MATCH($C2427,'Paramètres'!$D:$D,0))="",1,INDEX('Paramètres'!$J:$J,MATCH($C2427,'Paramètres'!$D:$D,0)))),2))</f>
        <v/>
      </c>
      <c r="L2427" s="6" t="str">
        <f>IF($D2427="","",IF($F2427&lt;&gt;"",$F2427,IF(ISNA(MATCH($D2427,'Paramètres'!$M:$M,0)),"⚠ Type inconnu",IFERROR(INDEX('Paramètres'!$P:$P,MATCH($D2427,'Paramètres'!$M:$M,0))&amp;"",""))))</f>
        <v/>
      </c>
      <c r="M2427" s="6" t="str">
        <f>IF($D2427="","",IF(ISNA(MATCH($D2427,'Paramètres'!$M:$M,0)),"⚠ Type inconnu",IF($L2427="Crédit","",IFERROR(INDEX('Paramètres'!$O:$O,MATCH($D2427,'Paramètres'!$M:$M,0))&amp;"",""))))</f>
        <v/>
      </c>
      <c r="N2427" s="6" t="str">
        <f>IF($D2427="","",IFERROR(INDEX('Paramètres'!$Q:$Q,MATCH($D2427,'Paramètres'!$M:$M,0))&amp;"",""))</f>
        <v/>
      </c>
      <c r="O2427" s="6" t="str">
        <f>IF($A2427="","",IF(OR($J2427&lt;&gt;"x",$A2427&lt;=FinReleve),1,0))</f>
        <v/>
      </c>
      <c r="P2427" s="6" t="str">
        <f>IF($D2427="","",IF(AND($L2427="Crédit",OR(IFERROR(INDEX('Paramètres'!$O:$O,MATCH($D2427,'Paramètres'!$M:$M,0))&amp;"","")&lt;&gt;"",ISNUMBER(SEARCH("remboursement",IFERROR(INDEX('Paramètres'!$N:$N,MATCH($D2427,'Paramètres'!$M:$M,0))&amp;"",""))))),1,0))</f>
        <v/>
      </c>
      <c r="Q2427" s="6" t="str">
        <f>IF($K2427="","",IF(ISNUMBER(SEARCH("transfert-interne",IFERROR(INDEX('Paramètres'!$N:$N,MATCH($D2427,'Paramètres'!$M:$M,0))&amp;"",""))),0,IF($L2427="Débit",$K2427,IF($P2427=1,-$K2427,0))))</f>
        <v/>
      </c>
      <c r="R2427" s="6" t="str">
        <f>IF($K2427="","",IF($L2427="Crédit",$K2427,-$K2427))</f>
        <v/>
      </c>
      <c r="S2427" s="6" t="str">
        <f>IF($C2427="","",IFERROR(INDEX('Paramètres'!$H:$H,MATCH($C2427,'Paramètres'!$D:$D,0))&amp;"",""))</f>
        <v/>
      </c>
      <c r="T2427" s="6" t="str">
        <f>IF($K2427="","",IF($S2427="",0,IF(ISNUMBER(SEARCH("apport-exterieur",IFERROR(INDEX('Paramètres'!$N:$N,MATCH($D2427,'Paramètres'!$M:$M,0))&amp;"",""))),0,IF(OR(IFERROR(INDEX('Paramètres'!$I:$I,MATCH($C2427,'Paramètres'!$D:$D,0))&amp;"","")="Les deux",IFERROR(INDEX('Paramètres'!$I:$I,MATCH($C2427,'Paramètres'!$D:$D,0))&amp;"","")=IF($P2427=1,"Débit",$L2427)),-IF($P2427=1,-$K2427,$K2427),0))))</f>
        <v/>
      </c>
      <c r="U2427" s="6" t="str">
        <f>IF($K2427="","",IF(ISNUMBER(SEARCH("sortie-epargne",IFERROR(INDEX('Paramètres'!$N:$N,MATCH($D2427,'Paramètres'!$M:$M,0))&amp;"",""))),$K2427,0))</f>
        <v/>
      </c>
      <c r="V2427" s="6" t="str">
        <f>IF(AND($A2427&lt;&gt;"",$O2427=1,$L2427="Débit",N($Q2427)&gt;0,$A2427&gt;=Visualisation!$B$1,$A2427&lt;Visualisation!$D$1),MAX($V$1:V2426)+1,"")</f>
        <v/>
      </c>
    </row>
    <row r="2428" spans="1:22" x14ac:dyDescent="0.25">
      <c r="A2428" s="9"/>
      <c r="E2428" s="10"/>
      <c r="K2428" s="11" t="str">
        <f>IF($E2428="","",ROUND($E2428*IF(ISNA(MATCH($C2428,'Paramètres'!$D:$D,0)),1,IF(INDEX('Paramètres'!$J:$J,MATCH($C2428,'Paramètres'!$D:$D,0))="",1,INDEX('Paramètres'!$J:$J,MATCH($C2428,'Paramètres'!$D:$D,0)))),2))</f>
        <v/>
      </c>
      <c r="L2428" s="6" t="str">
        <f>IF($D2428="","",IF($F2428&lt;&gt;"",$F2428,IF(ISNA(MATCH($D2428,'Paramètres'!$M:$M,0)),"⚠ Type inconnu",IFERROR(INDEX('Paramètres'!$P:$P,MATCH($D2428,'Paramètres'!$M:$M,0))&amp;"",""))))</f>
        <v/>
      </c>
      <c r="M2428" s="6" t="str">
        <f>IF($D2428="","",IF(ISNA(MATCH($D2428,'Paramètres'!$M:$M,0)),"⚠ Type inconnu",IF($L2428="Crédit","",IFERROR(INDEX('Paramètres'!$O:$O,MATCH($D2428,'Paramètres'!$M:$M,0))&amp;"",""))))</f>
        <v/>
      </c>
      <c r="N2428" s="6" t="str">
        <f>IF($D2428="","",IFERROR(INDEX('Paramètres'!$Q:$Q,MATCH($D2428,'Paramètres'!$M:$M,0))&amp;"",""))</f>
        <v/>
      </c>
      <c r="O2428" s="6" t="str">
        <f>IF($A2428="","",IF(OR($J2428&lt;&gt;"x",$A2428&lt;=FinReleve),1,0))</f>
        <v/>
      </c>
      <c r="P2428" s="6" t="str">
        <f>IF($D2428="","",IF(AND($L2428="Crédit",OR(IFERROR(INDEX('Paramètres'!$O:$O,MATCH($D2428,'Paramètres'!$M:$M,0))&amp;"","")&lt;&gt;"",ISNUMBER(SEARCH("remboursement",IFERROR(INDEX('Paramètres'!$N:$N,MATCH($D2428,'Paramètres'!$M:$M,0))&amp;"",""))))),1,0))</f>
        <v/>
      </c>
      <c r="Q2428" s="6" t="str">
        <f>IF($K2428="","",IF(ISNUMBER(SEARCH("transfert-interne",IFERROR(INDEX('Paramètres'!$N:$N,MATCH($D2428,'Paramètres'!$M:$M,0))&amp;"",""))),0,IF($L2428="Débit",$K2428,IF($P2428=1,-$K2428,0))))</f>
        <v/>
      </c>
      <c r="R2428" s="6" t="str">
        <f>IF($K2428="","",IF($L2428="Crédit",$K2428,-$K2428))</f>
        <v/>
      </c>
      <c r="S2428" s="6" t="str">
        <f>IF($C2428="","",IFERROR(INDEX('Paramètres'!$H:$H,MATCH($C2428,'Paramètres'!$D:$D,0))&amp;"",""))</f>
        <v/>
      </c>
      <c r="T2428" s="6" t="str">
        <f>IF($K2428="","",IF($S2428="",0,IF(ISNUMBER(SEARCH("apport-exterieur",IFERROR(INDEX('Paramètres'!$N:$N,MATCH($D2428,'Paramètres'!$M:$M,0))&amp;"",""))),0,IF(OR(IFERROR(INDEX('Paramètres'!$I:$I,MATCH($C2428,'Paramètres'!$D:$D,0))&amp;"","")="Les deux",IFERROR(INDEX('Paramètres'!$I:$I,MATCH($C2428,'Paramètres'!$D:$D,0))&amp;"","")=IF($P2428=1,"Débit",$L2428)),-IF($P2428=1,-$K2428,$K2428),0))))</f>
        <v/>
      </c>
      <c r="U2428" s="6" t="str">
        <f>IF($K2428="","",IF(ISNUMBER(SEARCH("sortie-epargne",IFERROR(INDEX('Paramètres'!$N:$N,MATCH($D2428,'Paramètres'!$M:$M,0))&amp;"",""))),$K2428,0))</f>
        <v/>
      </c>
      <c r="V2428" s="6" t="str">
        <f>IF(AND($A2428&lt;&gt;"",$O2428=1,$L2428="Débit",N($Q2428)&gt;0,$A2428&gt;=Visualisation!$B$1,$A2428&lt;Visualisation!$D$1),MAX($V$1:V2427)+1,"")</f>
        <v/>
      </c>
    </row>
    <row r="2429" spans="1:22" x14ac:dyDescent="0.25">
      <c r="A2429" s="9"/>
      <c r="E2429" s="10"/>
      <c r="K2429" s="11" t="str">
        <f>IF($E2429="","",ROUND($E2429*IF(ISNA(MATCH($C2429,'Paramètres'!$D:$D,0)),1,IF(INDEX('Paramètres'!$J:$J,MATCH($C2429,'Paramètres'!$D:$D,0))="",1,INDEX('Paramètres'!$J:$J,MATCH($C2429,'Paramètres'!$D:$D,0)))),2))</f>
        <v/>
      </c>
      <c r="L2429" s="6" t="str">
        <f>IF($D2429="","",IF($F2429&lt;&gt;"",$F2429,IF(ISNA(MATCH($D2429,'Paramètres'!$M:$M,0)),"⚠ Type inconnu",IFERROR(INDEX('Paramètres'!$P:$P,MATCH($D2429,'Paramètres'!$M:$M,0))&amp;"",""))))</f>
        <v/>
      </c>
      <c r="M2429" s="6" t="str">
        <f>IF($D2429="","",IF(ISNA(MATCH($D2429,'Paramètres'!$M:$M,0)),"⚠ Type inconnu",IF($L2429="Crédit","",IFERROR(INDEX('Paramètres'!$O:$O,MATCH($D2429,'Paramètres'!$M:$M,0))&amp;"",""))))</f>
        <v/>
      </c>
      <c r="N2429" s="6" t="str">
        <f>IF($D2429="","",IFERROR(INDEX('Paramètres'!$Q:$Q,MATCH($D2429,'Paramètres'!$M:$M,0))&amp;"",""))</f>
        <v/>
      </c>
      <c r="O2429" s="6" t="str">
        <f>IF($A2429="","",IF(OR($J2429&lt;&gt;"x",$A2429&lt;=FinReleve),1,0))</f>
        <v/>
      </c>
      <c r="P2429" s="6" t="str">
        <f>IF($D2429="","",IF(AND($L2429="Crédit",OR(IFERROR(INDEX('Paramètres'!$O:$O,MATCH($D2429,'Paramètres'!$M:$M,0))&amp;"","")&lt;&gt;"",ISNUMBER(SEARCH("remboursement",IFERROR(INDEX('Paramètres'!$N:$N,MATCH($D2429,'Paramètres'!$M:$M,0))&amp;"",""))))),1,0))</f>
        <v/>
      </c>
      <c r="Q2429" s="6" t="str">
        <f>IF($K2429="","",IF(ISNUMBER(SEARCH("transfert-interne",IFERROR(INDEX('Paramètres'!$N:$N,MATCH($D2429,'Paramètres'!$M:$M,0))&amp;"",""))),0,IF($L2429="Débit",$K2429,IF($P2429=1,-$K2429,0))))</f>
        <v/>
      </c>
      <c r="R2429" s="6" t="str">
        <f>IF($K2429="","",IF($L2429="Crédit",$K2429,-$K2429))</f>
        <v/>
      </c>
      <c r="S2429" s="6" t="str">
        <f>IF($C2429="","",IFERROR(INDEX('Paramètres'!$H:$H,MATCH($C2429,'Paramètres'!$D:$D,0))&amp;"",""))</f>
        <v/>
      </c>
      <c r="T2429" s="6" t="str">
        <f>IF($K2429="","",IF($S2429="",0,IF(ISNUMBER(SEARCH("apport-exterieur",IFERROR(INDEX('Paramètres'!$N:$N,MATCH($D2429,'Paramètres'!$M:$M,0))&amp;"",""))),0,IF(OR(IFERROR(INDEX('Paramètres'!$I:$I,MATCH($C2429,'Paramètres'!$D:$D,0))&amp;"","")="Les deux",IFERROR(INDEX('Paramètres'!$I:$I,MATCH($C2429,'Paramètres'!$D:$D,0))&amp;"","")=IF($P2429=1,"Débit",$L2429)),-IF($P2429=1,-$K2429,$K2429),0))))</f>
        <v/>
      </c>
      <c r="U2429" s="6" t="str">
        <f>IF($K2429="","",IF(ISNUMBER(SEARCH("sortie-epargne",IFERROR(INDEX('Paramètres'!$N:$N,MATCH($D2429,'Paramètres'!$M:$M,0))&amp;"",""))),$K2429,0))</f>
        <v/>
      </c>
      <c r="V2429" s="6" t="str">
        <f>IF(AND($A2429&lt;&gt;"",$O2429=1,$L2429="Débit",N($Q2429)&gt;0,$A2429&gt;=Visualisation!$B$1,$A2429&lt;Visualisation!$D$1),MAX($V$1:V2428)+1,"")</f>
        <v/>
      </c>
    </row>
    <row r="2430" spans="1:22" x14ac:dyDescent="0.25">
      <c r="A2430" s="9"/>
      <c r="E2430" s="10"/>
      <c r="K2430" s="11" t="str">
        <f>IF($E2430="","",ROUND($E2430*IF(ISNA(MATCH($C2430,'Paramètres'!$D:$D,0)),1,IF(INDEX('Paramètres'!$J:$J,MATCH($C2430,'Paramètres'!$D:$D,0))="",1,INDEX('Paramètres'!$J:$J,MATCH($C2430,'Paramètres'!$D:$D,0)))),2))</f>
        <v/>
      </c>
      <c r="L2430" s="6" t="str">
        <f>IF($D2430="","",IF($F2430&lt;&gt;"",$F2430,IF(ISNA(MATCH($D2430,'Paramètres'!$M:$M,0)),"⚠ Type inconnu",IFERROR(INDEX('Paramètres'!$P:$P,MATCH($D2430,'Paramètres'!$M:$M,0))&amp;"",""))))</f>
        <v/>
      </c>
      <c r="M2430" s="6" t="str">
        <f>IF($D2430="","",IF(ISNA(MATCH($D2430,'Paramètres'!$M:$M,0)),"⚠ Type inconnu",IF($L2430="Crédit","",IFERROR(INDEX('Paramètres'!$O:$O,MATCH($D2430,'Paramètres'!$M:$M,0))&amp;"",""))))</f>
        <v/>
      </c>
      <c r="N2430" s="6" t="str">
        <f>IF($D2430="","",IFERROR(INDEX('Paramètres'!$Q:$Q,MATCH($D2430,'Paramètres'!$M:$M,0))&amp;"",""))</f>
        <v/>
      </c>
      <c r="O2430" s="6" t="str">
        <f>IF($A2430="","",IF(OR($J2430&lt;&gt;"x",$A2430&lt;=FinReleve),1,0))</f>
        <v/>
      </c>
      <c r="P2430" s="6" t="str">
        <f>IF($D2430="","",IF(AND($L2430="Crédit",OR(IFERROR(INDEX('Paramètres'!$O:$O,MATCH($D2430,'Paramètres'!$M:$M,0))&amp;"","")&lt;&gt;"",ISNUMBER(SEARCH("remboursement",IFERROR(INDEX('Paramètres'!$N:$N,MATCH($D2430,'Paramètres'!$M:$M,0))&amp;"",""))))),1,0))</f>
        <v/>
      </c>
      <c r="Q2430" s="6" t="str">
        <f>IF($K2430="","",IF(ISNUMBER(SEARCH("transfert-interne",IFERROR(INDEX('Paramètres'!$N:$N,MATCH($D2430,'Paramètres'!$M:$M,0))&amp;"",""))),0,IF($L2430="Débit",$K2430,IF($P2430=1,-$K2430,0))))</f>
        <v/>
      </c>
      <c r="R2430" s="6" t="str">
        <f>IF($K2430="","",IF($L2430="Crédit",$K2430,-$K2430))</f>
        <v/>
      </c>
      <c r="S2430" s="6" t="str">
        <f>IF($C2430="","",IFERROR(INDEX('Paramètres'!$H:$H,MATCH($C2430,'Paramètres'!$D:$D,0))&amp;"",""))</f>
        <v/>
      </c>
      <c r="T2430" s="6" t="str">
        <f>IF($K2430="","",IF($S2430="",0,IF(ISNUMBER(SEARCH("apport-exterieur",IFERROR(INDEX('Paramètres'!$N:$N,MATCH($D2430,'Paramètres'!$M:$M,0))&amp;"",""))),0,IF(OR(IFERROR(INDEX('Paramètres'!$I:$I,MATCH($C2430,'Paramètres'!$D:$D,0))&amp;"","")="Les deux",IFERROR(INDEX('Paramètres'!$I:$I,MATCH($C2430,'Paramètres'!$D:$D,0))&amp;"","")=IF($P2430=1,"Débit",$L2430)),-IF($P2430=1,-$K2430,$K2430),0))))</f>
        <v/>
      </c>
      <c r="U2430" s="6" t="str">
        <f>IF($K2430="","",IF(ISNUMBER(SEARCH("sortie-epargne",IFERROR(INDEX('Paramètres'!$N:$N,MATCH($D2430,'Paramètres'!$M:$M,0))&amp;"",""))),$K2430,0))</f>
        <v/>
      </c>
      <c r="V2430" s="6" t="str">
        <f>IF(AND($A2430&lt;&gt;"",$O2430=1,$L2430="Débit",N($Q2430)&gt;0,$A2430&gt;=Visualisation!$B$1,$A2430&lt;Visualisation!$D$1),MAX($V$1:V2429)+1,"")</f>
        <v/>
      </c>
    </row>
    <row r="2431" spans="1:22" x14ac:dyDescent="0.25">
      <c r="A2431" s="9"/>
      <c r="E2431" s="10"/>
      <c r="K2431" s="11" t="str">
        <f>IF($E2431="","",ROUND($E2431*IF(ISNA(MATCH($C2431,'Paramètres'!$D:$D,0)),1,IF(INDEX('Paramètres'!$J:$J,MATCH($C2431,'Paramètres'!$D:$D,0))="",1,INDEX('Paramètres'!$J:$J,MATCH($C2431,'Paramètres'!$D:$D,0)))),2))</f>
        <v/>
      </c>
      <c r="L2431" s="6" t="str">
        <f>IF($D2431="","",IF($F2431&lt;&gt;"",$F2431,IF(ISNA(MATCH($D2431,'Paramètres'!$M:$M,0)),"⚠ Type inconnu",IFERROR(INDEX('Paramètres'!$P:$P,MATCH($D2431,'Paramètres'!$M:$M,0))&amp;"",""))))</f>
        <v/>
      </c>
      <c r="M2431" s="6" t="str">
        <f>IF($D2431="","",IF(ISNA(MATCH($D2431,'Paramètres'!$M:$M,0)),"⚠ Type inconnu",IF($L2431="Crédit","",IFERROR(INDEX('Paramètres'!$O:$O,MATCH($D2431,'Paramètres'!$M:$M,0))&amp;"",""))))</f>
        <v/>
      </c>
      <c r="N2431" s="6" t="str">
        <f>IF($D2431="","",IFERROR(INDEX('Paramètres'!$Q:$Q,MATCH($D2431,'Paramètres'!$M:$M,0))&amp;"",""))</f>
        <v/>
      </c>
      <c r="O2431" s="6" t="str">
        <f>IF($A2431="","",IF(OR($J2431&lt;&gt;"x",$A2431&lt;=FinReleve),1,0))</f>
        <v/>
      </c>
      <c r="P2431" s="6" t="str">
        <f>IF($D2431="","",IF(AND($L2431="Crédit",OR(IFERROR(INDEX('Paramètres'!$O:$O,MATCH($D2431,'Paramètres'!$M:$M,0))&amp;"","")&lt;&gt;"",ISNUMBER(SEARCH("remboursement",IFERROR(INDEX('Paramètres'!$N:$N,MATCH($D2431,'Paramètres'!$M:$M,0))&amp;"",""))))),1,0))</f>
        <v/>
      </c>
      <c r="Q2431" s="6" t="str">
        <f>IF($K2431="","",IF(ISNUMBER(SEARCH("transfert-interne",IFERROR(INDEX('Paramètres'!$N:$N,MATCH($D2431,'Paramètres'!$M:$M,0))&amp;"",""))),0,IF($L2431="Débit",$K2431,IF($P2431=1,-$K2431,0))))</f>
        <v/>
      </c>
      <c r="R2431" s="6" t="str">
        <f>IF($K2431="","",IF($L2431="Crédit",$K2431,-$K2431))</f>
        <v/>
      </c>
      <c r="S2431" s="6" t="str">
        <f>IF($C2431="","",IFERROR(INDEX('Paramètres'!$H:$H,MATCH($C2431,'Paramètres'!$D:$D,0))&amp;"",""))</f>
        <v/>
      </c>
      <c r="T2431" s="6" t="str">
        <f>IF($K2431="","",IF($S2431="",0,IF(ISNUMBER(SEARCH("apport-exterieur",IFERROR(INDEX('Paramètres'!$N:$N,MATCH($D2431,'Paramètres'!$M:$M,0))&amp;"",""))),0,IF(OR(IFERROR(INDEX('Paramètres'!$I:$I,MATCH($C2431,'Paramètres'!$D:$D,0))&amp;"","")="Les deux",IFERROR(INDEX('Paramètres'!$I:$I,MATCH($C2431,'Paramètres'!$D:$D,0))&amp;"","")=IF($P2431=1,"Débit",$L2431)),-IF($P2431=1,-$K2431,$K2431),0))))</f>
        <v/>
      </c>
      <c r="U2431" s="6" t="str">
        <f>IF($K2431="","",IF(ISNUMBER(SEARCH("sortie-epargne",IFERROR(INDEX('Paramètres'!$N:$N,MATCH($D2431,'Paramètres'!$M:$M,0))&amp;"",""))),$K2431,0))</f>
        <v/>
      </c>
      <c r="V2431" s="6" t="str">
        <f>IF(AND($A2431&lt;&gt;"",$O2431=1,$L2431="Débit",N($Q2431)&gt;0,$A2431&gt;=Visualisation!$B$1,$A2431&lt;Visualisation!$D$1),MAX($V$1:V2430)+1,"")</f>
        <v/>
      </c>
    </row>
    <row r="2432" spans="1:22" x14ac:dyDescent="0.25">
      <c r="A2432" s="9"/>
      <c r="E2432" s="10"/>
      <c r="K2432" s="11" t="str">
        <f>IF($E2432="","",ROUND($E2432*IF(ISNA(MATCH($C2432,'Paramètres'!$D:$D,0)),1,IF(INDEX('Paramètres'!$J:$J,MATCH($C2432,'Paramètres'!$D:$D,0))="",1,INDEX('Paramètres'!$J:$J,MATCH($C2432,'Paramètres'!$D:$D,0)))),2))</f>
        <v/>
      </c>
      <c r="L2432" s="6" t="str">
        <f>IF($D2432="","",IF($F2432&lt;&gt;"",$F2432,IF(ISNA(MATCH($D2432,'Paramètres'!$M:$M,0)),"⚠ Type inconnu",IFERROR(INDEX('Paramètres'!$P:$P,MATCH($D2432,'Paramètres'!$M:$M,0))&amp;"",""))))</f>
        <v/>
      </c>
      <c r="M2432" s="6" t="str">
        <f>IF($D2432="","",IF(ISNA(MATCH($D2432,'Paramètres'!$M:$M,0)),"⚠ Type inconnu",IF($L2432="Crédit","",IFERROR(INDEX('Paramètres'!$O:$O,MATCH($D2432,'Paramètres'!$M:$M,0))&amp;"",""))))</f>
        <v/>
      </c>
      <c r="N2432" s="6" t="str">
        <f>IF($D2432="","",IFERROR(INDEX('Paramètres'!$Q:$Q,MATCH($D2432,'Paramètres'!$M:$M,0))&amp;"",""))</f>
        <v/>
      </c>
      <c r="O2432" s="6" t="str">
        <f>IF($A2432="","",IF(OR($J2432&lt;&gt;"x",$A2432&lt;=FinReleve),1,0))</f>
        <v/>
      </c>
      <c r="P2432" s="6" t="str">
        <f>IF($D2432="","",IF(AND($L2432="Crédit",OR(IFERROR(INDEX('Paramètres'!$O:$O,MATCH($D2432,'Paramètres'!$M:$M,0))&amp;"","")&lt;&gt;"",ISNUMBER(SEARCH("remboursement",IFERROR(INDEX('Paramètres'!$N:$N,MATCH($D2432,'Paramètres'!$M:$M,0))&amp;"",""))))),1,0))</f>
        <v/>
      </c>
      <c r="Q2432" s="6" t="str">
        <f>IF($K2432="","",IF(ISNUMBER(SEARCH("transfert-interne",IFERROR(INDEX('Paramètres'!$N:$N,MATCH($D2432,'Paramètres'!$M:$M,0))&amp;"",""))),0,IF($L2432="Débit",$K2432,IF($P2432=1,-$K2432,0))))</f>
        <v/>
      </c>
      <c r="R2432" s="6" t="str">
        <f>IF($K2432="","",IF($L2432="Crédit",$K2432,-$K2432))</f>
        <v/>
      </c>
      <c r="S2432" s="6" t="str">
        <f>IF($C2432="","",IFERROR(INDEX('Paramètres'!$H:$H,MATCH($C2432,'Paramètres'!$D:$D,0))&amp;"",""))</f>
        <v/>
      </c>
      <c r="T2432" s="6" t="str">
        <f>IF($K2432="","",IF($S2432="",0,IF(ISNUMBER(SEARCH("apport-exterieur",IFERROR(INDEX('Paramètres'!$N:$N,MATCH($D2432,'Paramètres'!$M:$M,0))&amp;"",""))),0,IF(OR(IFERROR(INDEX('Paramètres'!$I:$I,MATCH($C2432,'Paramètres'!$D:$D,0))&amp;"","")="Les deux",IFERROR(INDEX('Paramètres'!$I:$I,MATCH($C2432,'Paramètres'!$D:$D,0))&amp;"","")=IF($P2432=1,"Débit",$L2432)),-IF($P2432=1,-$K2432,$K2432),0))))</f>
        <v/>
      </c>
      <c r="U2432" s="6" t="str">
        <f>IF($K2432="","",IF(ISNUMBER(SEARCH("sortie-epargne",IFERROR(INDEX('Paramètres'!$N:$N,MATCH($D2432,'Paramètres'!$M:$M,0))&amp;"",""))),$K2432,0))</f>
        <v/>
      </c>
      <c r="V2432" s="6" t="str">
        <f>IF(AND($A2432&lt;&gt;"",$O2432=1,$L2432="Débit",N($Q2432)&gt;0,$A2432&gt;=Visualisation!$B$1,$A2432&lt;Visualisation!$D$1),MAX($V$1:V2431)+1,"")</f>
        <v/>
      </c>
    </row>
    <row r="2433" spans="1:22" x14ac:dyDescent="0.25">
      <c r="A2433" s="9"/>
      <c r="E2433" s="10"/>
      <c r="K2433" s="11" t="str">
        <f>IF($E2433="","",ROUND($E2433*IF(ISNA(MATCH($C2433,'Paramètres'!$D:$D,0)),1,IF(INDEX('Paramètres'!$J:$J,MATCH($C2433,'Paramètres'!$D:$D,0))="",1,INDEX('Paramètres'!$J:$J,MATCH($C2433,'Paramètres'!$D:$D,0)))),2))</f>
        <v/>
      </c>
      <c r="L2433" s="6" t="str">
        <f>IF($D2433="","",IF($F2433&lt;&gt;"",$F2433,IF(ISNA(MATCH($D2433,'Paramètres'!$M:$M,0)),"⚠ Type inconnu",IFERROR(INDEX('Paramètres'!$P:$P,MATCH($D2433,'Paramètres'!$M:$M,0))&amp;"",""))))</f>
        <v/>
      </c>
      <c r="M2433" s="6" t="str">
        <f>IF($D2433="","",IF(ISNA(MATCH($D2433,'Paramètres'!$M:$M,0)),"⚠ Type inconnu",IF($L2433="Crédit","",IFERROR(INDEX('Paramètres'!$O:$O,MATCH($D2433,'Paramètres'!$M:$M,0))&amp;"",""))))</f>
        <v/>
      </c>
      <c r="N2433" s="6" t="str">
        <f>IF($D2433="","",IFERROR(INDEX('Paramètres'!$Q:$Q,MATCH($D2433,'Paramètres'!$M:$M,0))&amp;"",""))</f>
        <v/>
      </c>
      <c r="O2433" s="6" t="str">
        <f>IF($A2433="","",IF(OR($J2433&lt;&gt;"x",$A2433&lt;=FinReleve),1,0))</f>
        <v/>
      </c>
      <c r="P2433" s="6" t="str">
        <f>IF($D2433="","",IF(AND($L2433="Crédit",OR(IFERROR(INDEX('Paramètres'!$O:$O,MATCH($D2433,'Paramètres'!$M:$M,0))&amp;"","")&lt;&gt;"",ISNUMBER(SEARCH("remboursement",IFERROR(INDEX('Paramètres'!$N:$N,MATCH($D2433,'Paramètres'!$M:$M,0))&amp;"",""))))),1,0))</f>
        <v/>
      </c>
      <c r="Q2433" s="6" t="str">
        <f>IF($K2433="","",IF(ISNUMBER(SEARCH("transfert-interne",IFERROR(INDEX('Paramètres'!$N:$N,MATCH($D2433,'Paramètres'!$M:$M,0))&amp;"",""))),0,IF($L2433="Débit",$K2433,IF($P2433=1,-$K2433,0))))</f>
        <v/>
      </c>
      <c r="R2433" s="6" t="str">
        <f>IF($K2433="","",IF($L2433="Crédit",$K2433,-$K2433))</f>
        <v/>
      </c>
      <c r="S2433" s="6" t="str">
        <f>IF($C2433="","",IFERROR(INDEX('Paramètres'!$H:$H,MATCH($C2433,'Paramètres'!$D:$D,0))&amp;"",""))</f>
        <v/>
      </c>
      <c r="T2433" s="6" t="str">
        <f>IF($K2433="","",IF($S2433="",0,IF(ISNUMBER(SEARCH("apport-exterieur",IFERROR(INDEX('Paramètres'!$N:$N,MATCH($D2433,'Paramètres'!$M:$M,0))&amp;"",""))),0,IF(OR(IFERROR(INDEX('Paramètres'!$I:$I,MATCH($C2433,'Paramètres'!$D:$D,0))&amp;"","")="Les deux",IFERROR(INDEX('Paramètres'!$I:$I,MATCH($C2433,'Paramètres'!$D:$D,0))&amp;"","")=IF($P2433=1,"Débit",$L2433)),-IF($P2433=1,-$K2433,$K2433),0))))</f>
        <v/>
      </c>
      <c r="U2433" s="6" t="str">
        <f>IF($K2433="","",IF(ISNUMBER(SEARCH("sortie-epargne",IFERROR(INDEX('Paramètres'!$N:$N,MATCH($D2433,'Paramètres'!$M:$M,0))&amp;"",""))),$K2433,0))</f>
        <v/>
      </c>
      <c r="V2433" s="6" t="str">
        <f>IF(AND($A2433&lt;&gt;"",$O2433=1,$L2433="Débit",N($Q2433)&gt;0,$A2433&gt;=Visualisation!$B$1,$A2433&lt;Visualisation!$D$1),MAX($V$1:V2432)+1,"")</f>
        <v/>
      </c>
    </row>
    <row r="2434" spans="1:22" x14ac:dyDescent="0.25">
      <c r="A2434" s="9"/>
      <c r="E2434" s="10"/>
      <c r="K2434" s="11" t="str">
        <f>IF($E2434="","",ROUND($E2434*IF(ISNA(MATCH($C2434,'Paramètres'!$D:$D,0)),1,IF(INDEX('Paramètres'!$J:$J,MATCH($C2434,'Paramètres'!$D:$D,0))="",1,INDEX('Paramètres'!$J:$J,MATCH($C2434,'Paramètres'!$D:$D,0)))),2))</f>
        <v/>
      </c>
      <c r="L2434" s="6" t="str">
        <f>IF($D2434="","",IF($F2434&lt;&gt;"",$F2434,IF(ISNA(MATCH($D2434,'Paramètres'!$M:$M,0)),"⚠ Type inconnu",IFERROR(INDEX('Paramètres'!$P:$P,MATCH($D2434,'Paramètres'!$M:$M,0))&amp;"",""))))</f>
        <v/>
      </c>
      <c r="M2434" s="6" t="str">
        <f>IF($D2434="","",IF(ISNA(MATCH($D2434,'Paramètres'!$M:$M,0)),"⚠ Type inconnu",IF($L2434="Crédit","",IFERROR(INDEX('Paramètres'!$O:$O,MATCH($D2434,'Paramètres'!$M:$M,0))&amp;"",""))))</f>
        <v/>
      </c>
      <c r="N2434" s="6" t="str">
        <f>IF($D2434="","",IFERROR(INDEX('Paramètres'!$Q:$Q,MATCH($D2434,'Paramètres'!$M:$M,0))&amp;"",""))</f>
        <v/>
      </c>
      <c r="O2434" s="6" t="str">
        <f>IF($A2434="","",IF(OR($J2434&lt;&gt;"x",$A2434&lt;=FinReleve),1,0))</f>
        <v/>
      </c>
      <c r="P2434" s="6" t="str">
        <f>IF($D2434="","",IF(AND($L2434="Crédit",OR(IFERROR(INDEX('Paramètres'!$O:$O,MATCH($D2434,'Paramètres'!$M:$M,0))&amp;"","")&lt;&gt;"",ISNUMBER(SEARCH("remboursement",IFERROR(INDEX('Paramètres'!$N:$N,MATCH($D2434,'Paramètres'!$M:$M,0))&amp;"",""))))),1,0))</f>
        <v/>
      </c>
      <c r="Q2434" s="6" t="str">
        <f>IF($K2434="","",IF(ISNUMBER(SEARCH("transfert-interne",IFERROR(INDEX('Paramètres'!$N:$N,MATCH($D2434,'Paramètres'!$M:$M,0))&amp;"",""))),0,IF($L2434="Débit",$K2434,IF($P2434=1,-$K2434,0))))</f>
        <v/>
      </c>
      <c r="R2434" s="6" t="str">
        <f>IF($K2434="","",IF($L2434="Crédit",$K2434,-$K2434))</f>
        <v/>
      </c>
      <c r="S2434" s="6" t="str">
        <f>IF($C2434="","",IFERROR(INDEX('Paramètres'!$H:$H,MATCH($C2434,'Paramètres'!$D:$D,0))&amp;"",""))</f>
        <v/>
      </c>
      <c r="T2434" s="6" t="str">
        <f>IF($K2434="","",IF($S2434="",0,IF(ISNUMBER(SEARCH("apport-exterieur",IFERROR(INDEX('Paramètres'!$N:$N,MATCH($D2434,'Paramètres'!$M:$M,0))&amp;"",""))),0,IF(OR(IFERROR(INDEX('Paramètres'!$I:$I,MATCH($C2434,'Paramètres'!$D:$D,0))&amp;"","")="Les deux",IFERROR(INDEX('Paramètres'!$I:$I,MATCH($C2434,'Paramètres'!$D:$D,0))&amp;"","")=IF($P2434=1,"Débit",$L2434)),-IF($P2434=1,-$K2434,$K2434),0))))</f>
        <v/>
      </c>
      <c r="U2434" s="6" t="str">
        <f>IF($K2434="","",IF(ISNUMBER(SEARCH("sortie-epargne",IFERROR(INDEX('Paramètres'!$N:$N,MATCH($D2434,'Paramètres'!$M:$M,0))&amp;"",""))),$K2434,0))</f>
        <v/>
      </c>
      <c r="V2434" s="6" t="str">
        <f>IF(AND($A2434&lt;&gt;"",$O2434=1,$L2434="Débit",N($Q2434)&gt;0,$A2434&gt;=Visualisation!$B$1,$A2434&lt;Visualisation!$D$1),MAX($V$1:V2433)+1,"")</f>
        <v/>
      </c>
    </row>
    <row r="2435" spans="1:22" x14ac:dyDescent="0.25">
      <c r="A2435" s="9"/>
      <c r="E2435" s="10"/>
      <c r="K2435" s="11" t="str">
        <f>IF($E2435="","",ROUND($E2435*IF(ISNA(MATCH($C2435,'Paramètres'!$D:$D,0)),1,IF(INDEX('Paramètres'!$J:$J,MATCH($C2435,'Paramètres'!$D:$D,0))="",1,INDEX('Paramètres'!$J:$J,MATCH($C2435,'Paramètres'!$D:$D,0)))),2))</f>
        <v/>
      </c>
      <c r="L2435" s="6" t="str">
        <f>IF($D2435="","",IF($F2435&lt;&gt;"",$F2435,IF(ISNA(MATCH($D2435,'Paramètres'!$M:$M,0)),"⚠ Type inconnu",IFERROR(INDEX('Paramètres'!$P:$P,MATCH($D2435,'Paramètres'!$M:$M,0))&amp;"",""))))</f>
        <v/>
      </c>
      <c r="M2435" s="6" t="str">
        <f>IF($D2435="","",IF(ISNA(MATCH($D2435,'Paramètres'!$M:$M,0)),"⚠ Type inconnu",IF($L2435="Crédit","",IFERROR(INDEX('Paramètres'!$O:$O,MATCH($D2435,'Paramètres'!$M:$M,0))&amp;"",""))))</f>
        <v/>
      </c>
      <c r="N2435" s="6" t="str">
        <f>IF($D2435="","",IFERROR(INDEX('Paramètres'!$Q:$Q,MATCH($D2435,'Paramètres'!$M:$M,0))&amp;"",""))</f>
        <v/>
      </c>
      <c r="O2435" s="6" t="str">
        <f>IF($A2435="","",IF(OR($J2435&lt;&gt;"x",$A2435&lt;=FinReleve),1,0))</f>
        <v/>
      </c>
      <c r="P2435" s="6" t="str">
        <f>IF($D2435="","",IF(AND($L2435="Crédit",OR(IFERROR(INDEX('Paramètres'!$O:$O,MATCH($D2435,'Paramètres'!$M:$M,0))&amp;"","")&lt;&gt;"",ISNUMBER(SEARCH("remboursement",IFERROR(INDEX('Paramètres'!$N:$N,MATCH($D2435,'Paramètres'!$M:$M,0))&amp;"",""))))),1,0))</f>
        <v/>
      </c>
      <c r="Q2435" s="6" t="str">
        <f>IF($K2435="","",IF(ISNUMBER(SEARCH("transfert-interne",IFERROR(INDEX('Paramètres'!$N:$N,MATCH($D2435,'Paramètres'!$M:$M,0))&amp;"",""))),0,IF($L2435="Débit",$K2435,IF($P2435=1,-$K2435,0))))</f>
        <v/>
      </c>
      <c r="R2435" s="6" t="str">
        <f>IF($K2435="","",IF($L2435="Crédit",$K2435,-$K2435))</f>
        <v/>
      </c>
      <c r="S2435" s="6" t="str">
        <f>IF($C2435="","",IFERROR(INDEX('Paramètres'!$H:$H,MATCH($C2435,'Paramètres'!$D:$D,0))&amp;"",""))</f>
        <v/>
      </c>
      <c r="T2435" s="6" t="str">
        <f>IF($K2435="","",IF($S2435="",0,IF(ISNUMBER(SEARCH("apport-exterieur",IFERROR(INDEX('Paramètres'!$N:$N,MATCH($D2435,'Paramètres'!$M:$M,0))&amp;"",""))),0,IF(OR(IFERROR(INDEX('Paramètres'!$I:$I,MATCH($C2435,'Paramètres'!$D:$D,0))&amp;"","")="Les deux",IFERROR(INDEX('Paramètres'!$I:$I,MATCH($C2435,'Paramètres'!$D:$D,0))&amp;"","")=IF($P2435=1,"Débit",$L2435)),-IF($P2435=1,-$K2435,$K2435),0))))</f>
        <v/>
      </c>
      <c r="U2435" s="6" t="str">
        <f>IF($K2435="","",IF(ISNUMBER(SEARCH("sortie-epargne",IFERROR(INDEX('Paramètres'!$N:$N,MATCH($D2435,'Paramètres'!$M:$M,0))&amp;"",""))),$K2435,0))</f>
        <v/>
      </c>
      <c r="V2435" s="6" t="str">
        <f>IF(AND($A2435&lt;&gt;"",$O2435=1,$L2435="Débit",N($Q2435)&gt;0,$A2435&gt;=Visualisation!$B$1,$A2435&lt;Visualisation!$D$1),MAX($V$1:V2434)+1,"")</f>
        <v/>
      </c>
    </row>
    <row r="2436" spans="1:22" x14ac:dyDescent="0.25">
      <c r="A2436" s="9"/>
      <c r="E2436" s="10"/>
      <c r="K2436" s="11" t="str">
        <f>IF($E2436="","",ROUND($E2436*IF(ISNA(MATCH($C2436,'Paramètres'!$D:$D,0)),1,IF(INDEX('Paramètres'!$J:$J,MATCH($C2436,'Paramètres'!$D:$D,0))="",1,INDEX('Paramètres'!$J:$J,MATCH($C2436,'Paramètres'!$D:$D,0)))),2))</f>
        <v/>
      </c>
      <c r="L2436" s="6" t="str">
        <f>IF($D2436="","",IF($F2436&lt;&gt;"",$F2436,IF(ISNA(MATCH($D2436,'Paramètres'!$M:$M,0)),"⚠ Type inconnu",IFERROR(INDEX('Paramètres'!$P:$P,MATCH($D2436,'Paramètres'!$M:$M,0))&amp;"",""))))</f>
        <v/>
      </c>
      <c r="M2436" s="6" t="str">
        <f>IF($D2436="","",IF(ISNA(MATCH($D2436,'Paramètres'!$M:$M,0)),"⚠ Type inconnu",IF($L2436="Crédit","",IFERROR(INDEX('Paramètres'!$O:$O,MATCH($D2436,'Paramètres'!$M:$M,0))&amp;"",""))))</f>
        <v/>
      </c>
      <c r="N2436" s="6" t="str">
        <f>IF($D2436="","",IFERROR(INDEX('Paramètres'!$Q:$Q,MATCH($D2436,'Paramètres'!$M:$M,0))&amp;"",""))</f>
        <v/>
      </c>
      <c r="O2436" s="6" t="str">
        <f>IF($A2436="","",IF(OR($J2436&lt;&gt;"x",$A2436&lt;=FinReleve),1,0))</f>
        <v/>
      </c>
      <c r="P2436" s="6" t="str">
        <f>IF($D2436="","",IF(AND($L2436="Crédit",OR(IFERROR(INDEX('Paramètres'!$O:$O,MATCH($D2436,'Paramètres'!$M:$M,0))&amp;"","")&lt;&gt;"",ISNUMBER(SEARCH("remboursement",IFERROR(INDEX('Paramètres'!$N:$N,MATCH($D2436,'Paramètres'!$M:$M,0))&amp;"",""))))),1,0))</f>
        <v/>
      </c>
      <c r="Q2436" s="6" t="str">
        <f>IF($K2436="","",IF(ISNUMBER(SEARCH("transfert-interne",IFERROR(INDEX('Paramètres'!$N:$N,MATCH($D2436,'Paramètres'!$M:$M,0))&amp;"",""))),0,IF($L2436="Débit",$K2436,IF($P2436=1,-$K2436,0))))</f>
        <v/>
      </c>
      <c r="R2436" s="6" t="str">
        <f>IF($K2436="","",IF($L2436="Crédit",$K2436,-$K2436))</f>
        <v/>
      </c>
      <c r="S2436" s="6" t="str">
        <f>IF($C2436="","",IFERROR(INDEX('Paramètres'!$H:$H,MATCH($C2436,'Paramètres'!$D:$D,0))&amp;"",""))</f>
        <v/>
      </c>
      <c r="T2436" s="6" t="str">
        <f>IF($K2436="","",IF($S2436="",0,IF(ISNUMBER(SEARCH("apport-exterieur",IFERROR(INDEX('Paramètres'!$N:$N,MATCH($D2436,'Paramètres'!$M:$M,0))&amp;"",""))),0,IF(OR(IFERROR(INDEX('Paramètres'!$I:$I,MATCH($C2436,'Paramètres'!$D:$D,0))&amp;"","")="Les deux",IFERROR(INDEX('Paramètres'!$I:$I,MATCH($C2436,'Paramètres'!$D:$D,0))&amp;"","")=IF($P2436=1,"Débit",$L2436)),-IF($P2436=1,-$K2436,$K2436),0))))</f>
        <v/>
      </c>
      <c r="U2436" s="6" t="str">
        <f>IF($K2436="","",IF(ISNUMBER(SEARCH("sortie-epargne",IFERROR(INDEX('Paramètres'!$N:$N,MATCH($D2436,'Paramètres'!$M:$M,0))&amp;"",""))),$K2436,0))</f>
        <v/>
      </c>
      <c r="V2436" s="6" t="str">
        <f>IF(AND($A2436&lt;&gt;"",$O2436=1,$L2436="Débit",N($Q2436)&gt;0,$A2436&gt;=Visualisation!$B$1,$A2436&lt;Visualisation!$D$1),MAX($V$1:V2435)+1,"")</f>
        <v/>
      </c>
    </row>
    <row r="2437" spans="1:22" x14ac:dyDescent="0.25">
      <c r="A2437" s="9"/>
      <c r="E2437" s="10"/>
      <c r="K2437" s="11" t="str">
        <f>IF($E2437="","",ROUND($E2437*IF(ISNA(MATCH($C2437,'Paramètres'!$D:$D,0)),1,IF(INDEX('Paramètres'!$J:$J,MATCH($C2437,'Paramètres'!$D:$D,0))="",1,INDEX('Paramètres'!$J:$J,MATCH($C2437,'Paramètres'!$D:$D,0)))),2))</f>
        <v/>
      </c>
      <c r="L2437" s="6" t="str">
        <f>IF($D2437="","",IF($F2437&lt;&gt;"",$F2437,IF(ISNA(MATCH($D2437,'Paramètres'!$M:$M,0)),"⚠ Type inconnu",IFERROR(INDEX('Paramètres'!$P:$P,MATCH($D2437,'Paramètres'!$M:$M,0))&amp;"",""))))</f>
        <v/>
      </c>
      <c r="M2437" s="6" t="str">
        <f>IF($D2437="","",IF(ISNA(MATCH($D2437,'Paramètres'!$M:$M,0)),"⚠ Type inconnu",IF($L2437="Crédit","",IFERROR(INDEX('Paramètres'!$O:$O,MATCH($D2437,'Paramètres'!$M:$M,0))&amp;"",""))))</f>
        <v/>
      </c>
      <c r="N2437" s="6" t="str">
        <f>IF($D2437="","",IFERROR(INDEX('Paramètres'!$Q:$Q,MATCH($D2437,'Paramètres'!$M:$M,0))&amp;"",""))</f>
        <v/>
      </c>
      <c r="O2437" s="6" t="str">
        <f>IF($A2437="","",IF(OR($J2437&lt;&gt;"x",$A2437&lt;=FinReleve),1,0))</f>
        <v/>
      </c>
      <c r="P2437" s="6" t="str">
        <f>IF($D2437="","",IF(AND($L2437="Crédit",OR(IFERROR(INDEX('Paramètres'!$O:$O,MATCH($D2437,'Paramètres'!$M:$M,0))&amp;"","")&lt;&gt;"",ISNUMBER(SEARCH("remboursement",IFERROR(INDEX('Paramètres'!$N:$N,MATCH($D2437,'Paramètres'!$M:$M,0))&amp;"",""))))),1,0))</f>
        <v/>
      </c>
      <c r="Q2437" s="6" t="str">
        <f>IF($K2437="","",IF(ISNUMBER(SEARCH("transfert-interne",IFERROR(INDEX('Paramètres'!$N:$N,MATCH($D2437,'Paramètres'!$M:$M,0))&amp;"",""))),0,IF($L2437="Débit",$K2437,IF($P2437=1,-$K2437,0))))</f>
        <v/>
      </c>
      <c r="R2437" s="6" t="str">
        <f>IF($K2437="","",IF($L2437="Crédit",$K2437,-$K2437))</f>
        <v/>
      </c>
      <c r="S2437" s="6" t="str">
        <f>IF($C2437="","",IFERROR(INDEX('Paramètres'!$H:$H,MATCH($C2437,'Paramètres'!$D:$D,0))&amp;"",""))</f>
        <v/>
      </c>
      <c r="T2437" s="6" t="str">
        <f>IF($K2437="","",IF($S2437="",0,IF(ISNUMBER(SEARCH("apport-exterieur",IFERROR(INDEX('Paramètres'!$N:$N,MATCH($D2437,'Paramètres'!$M:$M,0))&amp;"",""))),0,IF(OR(IFERROR(INDEX('Paramètres'!$I:$I,MATCH($C2437,'Paramètres'!$D:$D,0))&amp;"","")="Les deux",IFERROR(INDEX('Paramètres'!$I:$I,MATCH($C2437,'Paramètres'!$D:$D,0))&amp;"","")=IF($P2437=1,"Débit",$L2437)),-IF($P2437=1,-$K2437,$K2437),0))))</f>
        <v/>
      </c>
      <c r="U2437" s="6" t="str">
        <f>IF($K2437="","",IF(ISNUMBER(SEARCH("sortie-epargne",IFERROR(INDEX('Paramètres'!$N:$N,MATCH($D2437,'Paramètres'!$M:$M,0))&amp;"",""))),$K2437,0))</f>
        <v/>
      </c>
      <c r="V2437" s="6" t="str">
        <f>IF(AND($A2437&lt;&gt;"",$O2437=1,$L2437="Débit",N($Q2437)&gt;0,$A2437&gt;=Visualisation!$B$1,$A2437&lt;Visualisation!$D$1),MAX($V$1:V2436)+1,"")</f>
        <v/>
      </c>
    </row>
    <row r="2438" spans="1:22" x14ac:dyDescent="0.25">
      <c r="A2438" s="9"/>
      <c r="E2438" s="10"/>
      <c r="K2438" s="11" t="str">
        <f>IF($E2438="","",ROUND($E2438*IF(ISNA(MATCH($C2438,'Paramètres'!$D:$D,0)),1,IF(INDEX('Paramètres'!$J:$J,MATCH($C2438,'Paramètres'!$D:$D,0))="",1,INDEX('Paramètres'!$J:$J,MATCH($C2438,'Paramètres'!$D:$D,0)))),2))</f>
        <v/>
      </c>
      <c r="L2438" s="6" t="str">
        <f>IF($D2438="","",IF($F2438&lt;&gt;"",$F2438,IF(ISNA(MATCH($D2438,'Paramètres'!$M:$M,0)),"⚠ Type inconnu",IFERROR(INDEX('Paramètres'!$P:$P,MATCH($D2438,'Paramètres'!$M:$M,0))&amp;"",""))))</f>
        <v/>
      </c>
      <c r="M2438" s="6" t="str">
        <f>IF($D2438="","",IF(ISNA(MATCH($D2438,'Paramètres'!$M:$M,0)),"⚠ Type inconnu",IF($L2438="Crédit","",IFERROR(INDEX('Paramètres'!$O:$O,MATCH($D2438,'Paramètres'!$M:$M,0))&amp;"",""))))</f>
        <v/>
      </c>
      <c r="N2438" s="6" t="str">
        <f>IF($D2438="","",IFERROR(INDEX('Paramètres'!$Q:$Q,MATCH($D2438,'Paramètres'!$M:$M,0))&amp;"",""))</f>
        <v/>
      </c>
      <c r="O2438" s="6" t="str">
        <f>IF($A2438="","",IF(OR($J2438&lt;&gt;"x",$A2438&lt;=FinReleve),1,0))</f>
        <v/>
      </c>
      <c r="P2438" s="6" t="str">
        <f>IF($D2438="","",IF(AND($L2438="Crédit",OR(IFERROR(INDEX('Paramètres'!$O:$O,MATCH($D2438,'Paramètres'!$M:$M,0))&amp;"","")&lt;&gt;"",ISNUMBER(SEARCH("remboursement",IFERROR(INDEX('Paramètres'!$N:$N,MATCH($D2438,'Paramètres'!$M:$M,0))&amp;"",""))))),1,0))</f>
        <v/>
      </c>
      <c r="Q2438" s="6" t="str">
        <f>IF($K2438="","",IF(ISNUMBER(SEARCH("transfert-interne",IFERROR(INDEX('Paramètres'!$N:$N,MATCH($D2438,'Paramètres'!$M:$M,0))&amp;"",""))),0,IF($L2438="Débit",$K2438,IF($P2438=1,-$K2438,0))))</f>
        <v/>
      </c>
      <c r="R2438" s="6" t="str">
        <f>IF($K2438="","",IF($L2438="Crédit",$K2438,-$K2438))</f>
        <v/>
      </c>
      <c r="S2438" s="6" t="str">
        <f>IF($C2438="","",IFERROR(INDEX('Paramètres'!$H:$H,MATCH($C2438,'Paramètres'!$D:$D,0))&amp;"",""))</f>
        <v/>
      </c>
      <c r="T2438" s="6" t="str">
        <f>IF($K2438="","",IF($S2438="",0,IF(ISNUMBER(SEARCH("apport-exterieur",IFERROR(INDEX('Paramètres'!$N:$N,MATCH($D2438,'Paramètres'!$M:$M,0))&amp;"",""))),0,IF(OR(IFERROR(INDEX('Paramètres'!$I:$I,MATCH($C2438,'Paramètres'!$D:$D,0))&amp;"","")="Les deux",IFERROR(INDEX('Paramètres'!$I:$I,MATCH($C2438,'Paramètres'!$D:$D,0))&amp;"","")=IF($P2438=1,"Débit",$L2438)),-IF($P2438=1,-$K2438,$K2438),0))))</f>
        <v/>
      </c>
      <c r="U2438" s="6" t="str">
        <f>IF($K2438="","",IF(ISNUMBER(SEARCH("sortie-epargne",IFERROR(INDEX('Paramètres'!$N:$N,MATCH($D2438,'Paramètres'!$M:$M,0))&amp;"",""))),$K2438,0))</f>
        <v/>
      </c>
      <c r="V2438" s="6" t="str">
        <f>IF(AND($A2438&lt;&gt;"",$O2438=1,$L2438="Débit",N($Q2438)&gt;0,$A2438&gt;=Visualisation!$B$1,$A2438&lt;Visualisation!$D$1),MAX($V$1:V2437)+1,"")</f>
        <v/>
      </c>
    </row>
    <row r="2439" spans="1:22" x14ac:dyDescent="0.25">
      <c r="A2439" s="9"/>
      <c r="E2439" s="10"/>
      <c r="K2439" s="11" t="str">
        <f>IF($E2439="","",ROUND($E2439*IF(ISNA(MATCH($C2439,'Paramètres'!$D:$D,0)),1,IF(INDEX('Paramètres'!$J:$J,MATCH($C2439,'Paramètres'!$D:$D,0))="",1,INDEX('Paramètres'!$J:$J,MATCH($C2439,'Paramètres'!$D:$D,0)))),2))</f>
        <v/>
      </c>
      <c r="L2439" s="6" t="str">
        <f>IF($D2439="","",IF($F2439&lt;&gt;"",$F2439,IF(ISNA(MATCH($D2439,'Paramètres'!$M:$M,0)),"⚠ Type inconnu",IFERROR(INDEX('Paramètres'!$P:$P,MATCH($D2439,'Paramètres'!$M:$M,0))&amp;"",""))))</f>
        <v/>
      </c>
      <c r="M2439" s="6" t="str">
        <f>IF($D2439="","",IF(ISNA(MATCH($D2439,'Paramètres'!$M:$M,0)),"⚠ Type inconnu",IF($L2439="Crédit","",IFERROR(INDEX('Paramètres'!$O:$O,MATCH($D2439,'Paramètres'!$M:$M,0))&amp;"",""))))</f>
        <v/>
      </c>
      <c r="N2439" s="6" t="str">
        <f>IF($D2439="","",IFERROR(INDEX('Paramètres'!$Q:$Q,MATCH($D2439,'Paramètres'!$M:$M,0))&amp;"",""))</f>
        <v/>
      </c>
      <c r="O2439" s="6" t="str">
        <f>IF($A2439="","",IF(OR($J2439&lt;&gt;"x",$A2439&lt;=FinReleve),1,0))</f>
        <v/>
      </c>
      <c r="P2439" s="6" t="str">
        <f>IF($D2439="","",IF(AND($L2439="Crédit",OR(IFERROR(INDEX('Paramètres'!$O:$O,MATCH($D2439,'Paramètres'!$M:$M,0))&amp;"","")&lt;&gt;"",ISNUMBER(SEARCH("remboursement",IFERROR(INDEX('Paramètres'!$N:$N,MATCH($D2439,'Paramètres'!$M:$M,0))&amp;"",""))))),1,0))</f>
        <v/>
      </c>
      <c r="Q2439" s="6" t="str">
        <f>IF($K2439="","",IF(ISNUMBER(SEARCH("transfert-interne",IFERROR(INDEX('Paramètres'!$N:$N,MATCH($D2439,'Paramètres'!$M:$M,0))&amp;"",""))),0,IF($L2439="Débit",$K2439,IF($P2439=1,-$K2439,0))))</f>
        <v/>
      </c>
      <c r="R2439" s="6" t="str">
        <f>IF($K2439="","",IF($L2439="Crédit",$K2439,-$K2439))</f>
        <v/>
      </c>
      <c r="S2439" s="6" t="str">
        <f>IF($C2439="","",IFERROR(INDEX('Paramètres'!$H:$H,MATCH($C2439,'Paramètres'!$D:$D,0))&amp;"",""))</f>
        <v/>
      </c>
      <c r="T2439" s="6" t="str">
        <f>IF($K2439="","",IF($S2439="",0,IF(ISNUMBER(SEARCH("apport-exterieur",IFERROR(INDEX('Paramètres'!$N:$N,MATCH($D2439,'Paramètres'!$M:$M,0))&amp;"",""))),0,IF(OR(IFERROR(INDEX('Paramètres'!$I:$I,MATCH($C2439,'Paramètres'!$D:$D,0))&amp;"","")="Les deux",IFERROR(INDEX('Paramètres'!$I:$I,MATCH($C2439,'Paramètres'!$D:$D,0))&amp;"","")=IF($P2439=1,"Débit",$L2439)),-IF($P2439=1,-$K2439,$K2439),0))))</f>
        <v/>
      </c>
      <c r="U2439" s="6" t="str">
        <f>IF($K2439="","",IF(ISNUMBER(SEARCH("sortie-epargne",IFERROR(INDEX('Paramètres'!$N:$N,MATCH($D2439,'Paramètres'!$M:$M,0))&amp;"",""))),$K2439,0))</f>
        <v/>
      </c>
      <c r="V2439" s="6" t="str">
        <f>IF(AND($A2439&lt;&gt;"",$O2439=1,$L2439="Débit",N($Q2439)&gt;0,$A2439&gt;=Visualisation!$B$1,$A2439&lt;Visualisation!$D$1),MAX($V$1:V2438)+1,"")</f>
        <v/>
      </c>
    </row>
    <row r="2440" spans="1:22" x14ac:dyDescent="0.25">
      <c r="A2440" s="9"/>
      <c r="E2440" s="10"/>
      <c r="K2440" s="11" t="str">
        <f>IF($E2440="","",ROUND($E2440*IF(ISNA(MATCH($C2440,'Paramètres'!$D:$D,0)),1,IF(INDEX('Paramètres'!$J:$J,MATCH($C2440,'Paramètres'!$D:$D,0))="",1,INDEX('Paramètres'!$J:$J,MATCH($C2440,'Paramètres'!$D:$D,0)))),2))</f>
        <v/>
      </c>
      <c r="L2440" s="6" t="str">
        <f>IF($D2440="","",IF($F2440&lt;&gt;"",$F2440,IF(ISNA(MATCH($D2440,'Paramètres'!$M:$M,0)),"⚠ Type inconnu",IFERROR(INDEX('Paramètres'!$P:$P,MATCH($D2440,'Paramètres'!$M:$M,0))&amp;"",""))))</f>
        <v/>
      </c>
      <c r="M2440" s="6" t="str">
        <f>IF($D2440="","",IF(ISNA(MATCH($D2440,'Paramètres'!$M:$M,0)),"⚠ Type inconnu",IF($L2440="Crédit","",IFERROR(INDEX('Paramètres'!$O:$O,MATCH($D2440,'Paramètres'!$M:$M,0))&amp;"",""))))</f>
        <v/>
      </c>
      <c r="N2440" s="6" t="str">
        <f>IF($D2440="","",IFERROR(INDEX('Paramètres'!$Q:$Q,MATCH($D2440,'Paramètres'!$M:$M,0))&amp;"",""))</f>
        <v/>
      </c>
      <c r="O2440" s="6" t="str">
        <f>IF($A2440="","",IF(OR($J2440&lt;&gt;"x",$A2440&lt;=FinReleve),1,0))</f>
        <v/>
      </c>
      <c r="P2440" s="6" t="str">
        <f>IF($D2440="","",IF(AND($L2440="Crédit",OR(IFERROR(INDEX('Paramètres'!$O:$O,MATCH($D2440,'Paramètres'!$M:$M,0))&amp;"","")&lt;&gt;"",ISNUMBER(SEARCH("remboursement",IFERROR(INDEX('Paramètres'!$N:$N,MATCH($D2440,'Paramètres'!$M:$M,0))&amp;"",""))))),1,0))</f>
        <v/>
      </c>
      <c r="Q2440" s="6" t="str">
        <f>IF($K2440="","",IF(ISNUMBER(SEARCH("transfert-interne",IFERROR(INDEX('Paramètres'!$N:$N,MATCH($D2440,'Paramètres'!$M:$M,0))&amp;"",""))),0,IF($L2440="Débit",$K2440,IF($P2440=1,-$K2440,0))))</f>
        <v/>
      </c>
      <c r="R2440" s="6" t="str">
        <f>IF($K2440="","",IF($L2440="Crédit",$K2440,-$K2440))</f>
        <v/>
      </c>
      <c r="S2440" s="6" t="str">
        <f>IF($C2440="","",IFERROR(INDEX('Paramètres'!$H:$H,MATCH($C2440,'Paramètres'!$D:$D,0))&amp;"",""))</f>
        <v/>
      </c>
      <c r="T2440" s="6" t="str">
        <f>IF($K2440="","",IF($S2440="",0,IF(ISNUMBER(SEARCH("apport-exterieur",IFERROR(INDEX('Paramètres'!$N:$N,MATCH($D2440,'Paramètres'!$M:$M,0))&amp;"",""))),0,IF(OR(IFERROR(INDEX('Paramètres'!$I:$I,MATCH($C2440,'Paramètres'!$D:$D,0))&amp;"","")="Les deux",IFERROR(INDEX('Paramètres'!$I:$I,MATCH($C2440,'Paramètres'!$D:$D,0))&amp;"","")=IF($P2440=1,"Débit",$L2440)),-IF($P2440=1,-$K2440,$K2440),0))))</f>
        <v/>
      </c>
      <c r="U2440" s="6" t="str">
        <f>IF($K2440="","",IF(ISNUMBER(SEARCH("sortie-epargne",IFERROR(INDEX('Paramètres'!$N:$N,MATCH($D2440,'Paramètres'!$M:$M,0))&amp;"",""))),$K2440,0))</f>
        <v/>
      </c>
      <c r="V2440" s="6" t="str">
        <f>IF(AND($A2440&lt;&gt;"",$O2440=1,$L2440="Débit",N($Q2440)&gt;0,$A2440&gt;=Visualisation!$B$1,$A2440&lt;Visualisation!$D$1),MAX($V$1:V2439)+1,"")</f>
        <v/>
      </c>
    </row>
    <row r="2441" spans="1:22" x14ac:dyDescent="0.25">
      <c r="A2441" s="9"/>
      <c r="E2441" s="10"/>
      <c r="K2441" s="11" t="str">
        <f>IF($E2441="","",ROUND($E2441*IF(ISNA(MATCH($C2441,'Paramètres'!$D:$D,0)),1,IF(INDEX('Paramètres'!$J:$J,MATCH($C2441,'Paramètres'!$D:$D,0))="",1,INDEX('Paramètres'!$J:$J,MATCH($C2441,'Paramètres'!$D:$D,0)))),2))</f>
        <v/>
      </c>
      <c r="L2441" s="6" t="str">
        <f>IF($D2441="","",IF($F2441&lt;&gt;"",$F2441,IF(ISNA(MATCH($D2441,'Paramètres'!$M:$M,0)),"⚠ Type inconnu",IFERROR(INDEX('Paramètres'!$P:$P,MATCH($D2441,'Paramètres'!$M:$M,0))&amp;"",""))))</f>
        <v/>
      </c>
      <c r="M2441" s="6" t="str">
        <f>IF($D2441="","",IF(ISNA(MATCH($D2441,'Paramètres'!$M:$M,0)),"⚠ Type inconnu",IF($L2441="Crédit","",IFERROR(INDEX('Paramètres'!$O:$O,MATCH($D2441,'Paramètres'!$M:$M,0))&amp;"",""))))</f>
        <v/>
      </c>
      <c r="N2441" s="6" t="str">
        <f>IF($D2441="","",IFERROR(INDEX('Paramètres'!$Q:$Q,MATCH($D2441,'Paramètres'!$M:$M,0))&amp;"",""))</f>
        <v/>
      </c>
      <c r="O2441" s="6" t="str">
        <f>IF($A2441="","",IF(OR($J2441&lt;&gt;"x",$A2441&lt;=FinReleve),1,0))</f>
        <v/>
      </c>
      <c r="P2441" s="6" t="str">
        <f>IF($D2441="","",IF(AND($L2441="Crédit",OR(IFERROR(INDEX('Paramètres'!$O:$O,MATCH($D2441,'Paramètres'!$M:$M,0))&amp;"","")&lt;&gt;"",ISNUMBER(SEARCH("remboursement",IFERROR(INDEX('Paramètres'!$N:$N,MATCH($D2441,'Paramètres'!$M:$M,0))&amp;"",""))))),1,0))</f>
        <v/>
      </c>
      <c r="Q2441" s="6" t="str">
        <f>IF($K2441="","",IF(ISNUMBER(SEARCH("transfert-interne",IFERROR(INDEX('Paramètres'!$N:$N,MATCH($D2441,'Paramètres'!$M:$M,0))&amp;"",""))),0,IF($L2441="Débit",$K2441,IF($P2441=1,-$K2441,0))))</f>
        <v/>
      </c>
      <c r="R2441" s="6" t="str">
        <f>IF($K2441="","",IF($L2441="Crédit",$K2441,-$K2441))</f>
        <v/>
      </c>
      <c r="S2441" s="6" t="str">
        <f>IF($C2441="","",IFERROR(INDEX('Paramètres'!$H:$H,MATCH($C2441,'Paramètres'!$D:$D,0))&amp;"",""))</f>
        <v/>
      </c>
      <c r="T2441" s="6" t="str">
        <f>IF($K2441="","",IF($S2441="",0,IF(ISNUMBER(SEARCH("apport-exterieur",IFERROR(INDEX('Paramètres'!$N:$N,MATCH($D2441,'Paramètres'!$M:$M,0))&amp;"",""))),0,IF(OR(IFERROR(INDEX('Paramètres'!$I:$I,MATCH($C2441,'Paramètres'!$D:$D,0))&amp;"","")="Les deux",IFERROR(INDEX('Paramètres'!$I:$I,MATCH($C2441,'Paramètres'!$D:$D,0))&amp;"","")=IF($P2441=1,"Débit",$L2441)),-IF($P2441=1,-$K2441,$K2441),0))))</f>
        <v/>
      </c>
      <c r="U2441" s="6" t="str">
        <f>IF($K2441="","",IF(ISNUMBER(SEARCH("sortie-epargne",IFERROR(INDEX('Paramètres'!$N:$N,MATCH($D2441,'Paramètres'!$M:$M,0))&amp;"",""))),$K2441,0))</f>
        <v/>
      </c>
      <c r="V2441" s="6" t="str">
        <f>IF(AND($A2441&lt;&gt;"",$O2441=1,$L2441="Débit",N($Q2441)&gt;0,$A2441&gt;=Visualisation!$B$1,$A2441&lt;Visualisation!$D$1),MAX($V$1:V2440)+1,"")</f>
        <v/>
      </c>
    </row>
    <row r="2442" spans="1:22" x14ac:dyDescent="0.25">
      <c r="A2442" s="9"/>
      <c r="E2442" s="10"/>
      <c r="K2442" s="11" t="str">
        <f>IF($E2442="","",ROUND($E2442*IF(ISNA(MATCH($C2442,'Paramètres'!$D:$D,0)),1,IF(INDEX('Paramètres'!$J:$J,MATCH($C2442,'Paramètres'!$D:$D,0))="",1,INDEX('Paramètres'!$J:$J,MATCH($C2442,'Paramètres'!$D:$D,0)))),2))</f>
        <v/>
      </c>
      <c r="L2442" s="6" t="str">
        <f>IF($D2442="","",IF($F2442&lt;&gt;"",$F2442,IF(ISNA(MATCH($D2442,'Paramètres'!$M:$M,0)),"⚠ Type inconnu",IFERROR(INDEX('Paramètres'!$P:$P,MATCH($D2442,'Paramètres'!$M:$M,0))&amp;"",""))))</f>
        <v/>
      </c>
      <c r="M2442" s="6" t="str">
        <f>IF($D2442="","",IF(ISNA(MATCH($D2442,'Paramètres'!$M:$M,0)),"⚠ Type inconnu",IF($L2442="Crédit","",IFERROR(INDEX('Paramètres'!$O:$O,MATCH($D2442,'Paramètres'!$M:$M,0))&amp;"",""))))</f>
        <v/>
      </c>
      <c r="N2442" s="6" t="str">
        <f>IF($D2442="","",IFERROR(INDEX('Paramètres'!$Q:$Q,MATCH($D2442,'Paramètres'!$M:$M,0))&amp;"",""))</f>
        <v/>
      </c>
      <c r="O2442" s="6" t="str">
        <f>IF($A2442="","",IF(OR($J2442&lt;&gt;"x",$A2442&lt;=FinReleve),1,0))</f>
        <v/>
      </c>
      <c r="P2442" s="6" t="str">
        <f>IF($D2442="","",IF(AND($L2442="Crédit",OR(IFERROR(INDEX('Paramètres'!$O:$O,MATCH($D2442,'Paramètres'!$M:$M,0))&amp;"","")&lt;&gt;"",ISNUMBER(SEARCH("remboursement",IFERROR(INDEX('Paramètres'!$N:$N,MATCH($D2442,'Paramètres'!$M:$M,0))&amp;"",""))))),1,0))</f>
        <v/>
      </c>
      <c r="Q2442" s="6" t="str">
        <f>IF($K2442="","",IF(ISNUMBER(SEARCH("transfert-interne",IFERROR(INDEX('Paramètres'!$N:$N,MATCH($D2442,'Paramètres'!$M:$M,0))&amp;"",""))),0,IF($L2442="Débit",$K2442,IF($P2442=1,-$K2442,0))))</f>
        <v/>
      </c>
      <c r="R2442" s="6" t="str">
        <f>IF($K2442="","",IF($L2442="Crédit",$K2442,-$K2442))</f>
        <v/>
      </c>
      <c r="S2442" s="6" t="str">
        <f>IF($C2442="","",IFERROR(INDEX('Paramètres'!$H:$H,MATCH($C2442,'Paramètres'!$D:$D,0))&amp;"",""))</f>
        <v/>
      </c>
      <c r="T2442" s="6" t="str">
        <f>IF($K2442="","",IF($S2442="",0,IF(ISNUMBER(SEARCH("apport-exterieur",IFERROR(INDEX('Paramètres'!$N:$N,MATCH($D2442,'Paramètres'!$M:$M,0))&amp;"",""))),0,IF(OR(IFERROR(INDEX('Paramètres'!$I:$I,MATCH($C2442,'Paramètres'!$D:$D,0))&amp;"","")="Les deux",IFERROR(INDEX('Paramètres'!$I:$I,MATCH($C2442,'Paramètres'!$D:$D,0))&amp;"","")=IF($P2442=1,"Débit",$L2442)),-IF($P2442=1,-$K2442,$K2442),0))))</f>
        <v/>
      </c>
      <c r="U2442" s="6" t="str">
        <f>IF($K2442="","",IF(ISNUMBER(SEARCH("sortie-epargne",IFERROR(INDEX('Paramètres'!$N:$N,MATCH($D2442,'Paramètres'!$M:$M,0))&amp;"",""))),$K2442,0))</f>
        <v/>
      </c>
      <c r="V2442" s="6" t="str">
        <f>IF(AND($A2442&lt;&gt;"",$O2442=1,$L2442="Débit",N($Q2442)&gt;0,$A2442&gt;=Visualisation!$B$1,$A2442&lt;Visualisation!$D$1),MAX($V$1:V2441)+1,"")</f>
        <v/>
      </c>
    </row>
    <row r="2443" spans="1:22" x14ac:dyDescent="0.25">
      <c r="A2443" s="9"/>
      <c r="E2443" s="10"/>
      <c r="K2443" s="11" t="str">
        <f>IF($E2443="","",ROUND($E2443*IF(ISNA(MATCH($C2443,'Paramètres'!$D:$D,0)),1,IF(INDEX('Paramètres'!$J:$J,MATCH($C2443,'Paramètres'!$D:$D,0))="",1,INDEX('Paramètres'!$J:$J,MATCH($C2443,'Paramètres'!$D:$D,0)))),2))</f>
        <v/>
      </c>
      <c r="L2443" s="6" t="str">
        <f>IF($D2443="","",IF($F2443&lt;&gt;"",$F2443,IF(ISNA(MATCH($D2443,'Paramètres'!$M:$M,0)),"⚠ Type inconnu",IFERROR(INDEX('Paramètres'!$P:$P,MATCH($D2443,'Paramètres'!$M:$M,0))&amp;"",""))))</f>
        <v/>
      </c>
      <c r="M2443" s="6" t="str">
        <f>IF($D2443="","",IF(ISNA(MATCH($D2443,'Paramètres'!$M:$M,0)),"⚠ Type inconnu",IF($L2443="Crédit","",IFERROR(INDEX('Paramètres'!$O:$O,MATCH($D2443,'Paramètres'!$M:$M,0))&amp;"",""))))</f>
        <v/>
      </c>
      <c r="N2443" s="6" t="str">
        <f>IF($D2443="","",IFERROR(INDEX('Paramètres'!$Q:$Q,MATCH($D2443,'Paramètres'!$M:$M,0))&amp;"",""))</f>
        <v/>
      </c>
      <c r="O2443" s="6" t="str">
        <f>IF($A2443="","",IF(OR($J2443&lt;&gt;"x",$A2443&lt;=FinReleve),1,0))</f>
        <v/>
      </c>
      <c r="P2443" s="6" t="str">
        <f>IF($D2443="","",IF(AND($L2443="Crédit",OR(IFERROR(INDEX('Paramètres'!$O:$O,MATCH($D2443,'Paramètres'!$M:$M,0))&amp;"","")&lt;&gt;"",ISNUMBER(SEARCH("remboursement",IFERROR(INDEX('Paramètres'!$N:$N,MATCH($D2443,'Paramètres'!$M:$M,0))&amp;"",""))))),1,0))</f>
        <v/>
      </c>
      <c r="Q2443" s="6" t="str">
        <f>IF($K2443="","",IF(ISNUMBER(SEARCH("transfert-interne",IFERROR(INDEX('Paramètres'!$N:$N,MATCH($D2443,'Paramètres'!$M:$M,0))&amp;"",""))),0,IF($L2443="Débit",$K2443,IF($P2443=1,-$K2443,0))))</f>
        <v/>
      </c>
      <c r="R2443" s="6" t="str">
        <f>IF($K2443="","",IF($L2443="Crédit",$K2443,-$K2443))</f>
        <v/>
      </c>
      <c r="S2443" s="6" t="str">
        <f>IF($C2443="","",IFERROR(INDEX('Paramètres'!$H:$H,MATCH($C2443,'Paramètres'!$D:$D,0))&amp;"",""))</f>
        <v/>
      </c>
      <c r="T2443" s="6" t="str">
        <f>IF($K2443="","",IF($S2443="",0,IF(ISNUMBER(SEARCH("apport-exterieur",IFERROR(INDEX('Paramètres'!$N:$N,MATCH($D2443,'Paramètres'!$M:$M,0))&amp;"",""))),0,IF(OR(IFERROR(INDEX('Paramètres'!$I:$I,MATCH($C2443,'Paramètres'!$D:$D,0))&amp;"","")="Les deux",IFERROR(INDEX('Paramètres'!$I:$I,MATCH($C2443,'Paramètres'!$D:$D,0))&amp;"","")=IF($P2443=1,"Débit",$L2443)),-IF($P2443=1,-$K2443,$K2443),0))))</f>
        <v/>
      </c>
      <c r="U2443" s="6" t="str">
        <f>IF($K2443="","",IF(ISNUMBER(SEARCH("sortie-epargne",IFERROR(INDEX('Paramètres'!$N:$N,MATCH($D2443,'Paramètres'!$M:$M,0))&amp;"",""))),$K2443,0))</f>
        <v/>
      </c>
      <c r="V2443" s="6" t="str">
        <f>IF(AND($A2443&lt;&gt;"",$O2443=1,$L2443="Débit",N($Q2443)&gt;0,$A2443&gt;=Visualisation!$B$1,$A2443&lt;Visualisation!$D$1),MAX($V$1:V2442)+1,"")</f>
        <v/>
      </c>
    </row>
    <row r="2444" spans="1:22" x14ac:dyDescent="0.25">
      <c r="A2444" s="9"/>
      <c r="E2444" s="10"/>
      <c r="K2444" s="11" t="str">
        <f>IF($E2444="","",ROUND($E2444*IF(ISNA(MATCH($C2444,'Paramètres'!$D:$D,0)),1,IF(INDEX('Paramètres'!$J:$J,MATCH($C2444,'Paramètres'!$D:$D,0))="",1,INDEX('Paramètres'!$J:$J,MATCH($C2444,'Paramètres'!$D:$D,0)))),2))</f>
        <v/>
      </c>
      <c r="L2444" s="6" t="str">
        <f>IF($D2444="","",IF($F2444&lt;&gt;"",$F2444,IF(ISNA(MATCH($D2444,'Paramètres'!$M:$M,0)),"⚠ Type inconnu",IFERROR(INDEX('Paramètres'!$P:$P,MATCH($D2444,'Paramètres'!$M:$M,0))&amp;"",""))))</f>
        <v/>
      </c>
      <c r="M2444" s="6" t="str">
        <f>IF($D2444="","",IF(ISNA(MATCH($D2444,'Paramètres'!$M:$M,0)),"⚠ Type inconnu",IF($L2444="Crédit","",IFERROR(INDEX('Paramètres'!$O:$O,MATCH($D2444,'Paramètres'!$M:$M,0))&amp;"",""))))</f>
        <v/>
      </c>
      <c r="N2444" s="6" t="str">
        <f>IF($D2444="","",IFERROR(INDEX('Paramètres'!$Q:$Q,MATCH($D2444,'Paramètres'!$M:$M,0))&amp;"",""))</f>
        <v/>
      </c>
      <c r="O2444" s="6" t="str">
        <f>IF($A2444="","",IF(OR($J2444&lt;&gt;"x",$A2444&lt;=FinReleve),1,0))</f>
        <v/>
      </c>
      <c r="P2444" s="6" t="str">
        <f>IF($D2444="","",IF(AND($L2444="Crédit",OR(IFERROR(INDEX('Paramètres'!$O:$O,MATCH($D2444,'Paramètres'!$M:$M,0))&amp;"","")&lt;&gt;"",ISNUMBER(SEARCH("remboursement",IFERROR(INDEX('Paramètres'!$N:$N,MATCH($D2444,'Paramètres'!$M:$M,0))&amp;"",""))))),1,0))</f>
        <v/>
      </c>
      <c r="Q2444" s="6" t="str">
        <f>IF($K2444="","",IF(ISNUMBER(SEARCH("transfert-interne",IFERROR(INDEX('Paramètres'!$N:$N,MATCH($D2444,'Paramètres'!$M:$M,0))&amp;"",""))),0,IF($L2444="Débit",$K2444,IF($P2444=1,-$K2444,0))))</f>
        <v/>
      </c>
      <c r="R2444" s="6" t="str">
        <f>IF($K2444="","",IF($L2444="Crédit",$K2444,-$K2444))</f>
        <v/>
      </c>
      <c r="S2444" s="6" t="str">
        <f>IF($C2444="","",IFERROR(INDEX('Paramètres'!$H:$H,MATCH($C2444,'Paramètres'!$D:$D,0))&amp;"",""))</f>
        <v/>
      </c>
      <c r="T2444" s="6" t="str">
        <f>IF($K2444="","",IF($S2444="",0,IF(ISNUMBER(SEARCH("apport-exterieur",IFERROR(INDEX('Paramètres'!$N:$N,MATCH($D2444,'Paramètres'!$M:$M,0))&amp;"",""))),0,IF(OR(IFERROR(INDEX('Paramètres'!$I:$I,MATCH($C2444,'Paramètres'!$D:$D,0))&amp;"","")="Les deux",IFERROR(INDEX('Paramètres'!$I:$I,MATCH($C2444,'Paramètres'!$D:$D,0))&amp;"","")=IF($P2444=1,"Débit",$L2444)),-IF($P2444=1,-$K2444,$K2444),0))))</f>
        <v/>
      </c>
      <c r="U2444" s="6" t="str">
        <f>IF($K2444="","",IF(ISNUMBER(SEARCH("sortie-epargne",IFERROR(INDEX('Paramètres'!$N:$N,MATCH($D2444,'Paramètres'!$M:$M,0))&amp;"",""))),$K2444,0))</f>
        <v/>
      </c>
      <c r="V2444" s="6" t="str">
        <f>IF(AND($A2444&lt;&gt;"",$O2444=1,$L2444="Débit",N($Q2444)&gt;0,$A2444&gt;=Visualisation!$B$1,$A2444&lt;Visualisation!$D$1),MAX($V$1:V2443)+1,"")</f>
        <v/>
      </c>
    </row>
    <row r="2445" spans="1:22" x14ac:dyDescent="0.25">
      <c r="A2445" s="9"/>
      <c r="E2445" s="10"/>
      <c r="K2445" s="11" t="str">
        <f>IF($E2445="","",ROUND($E2445*IF(ISNA(MATCH($C2445,'Paramètres'!$D:$D,0)),1,IF(INDEX('Paramètres'!$J:$J,MATCH($C2445,'Paramètres'!$D:$D,0))="",1,INDEX('Paramètres'!$J:$J,MATCH($C2445,'Paramètres'!$D:$D,0)))),2))</f>
        <v/>
      </c>
      <c r="L2445" s="6" t="str">
        <f>IF($D2445="","",IF($F2445&lt;&gt;"",$F2445,IF(ISNA(MATCH($D2445,'Paramètres'!$M:$M,0)),"⚠ Type inconnu",IFERROR(INDEX('Paramètres'!$P:$P,MATCH($D2445,'Paramètres'!$M:$M,0))&amp;"",""))))</f>
        <v/>
      </c>
      <c r="M2445" s="6" t="str">
        <f>IF($D2445="","",IF(ISNA(MATCH($D2445,'Paramètres'!$M:$M,0)),"⚠ Type inconnu",IF($L2445="Crédit","",IFERROR(INDEX('Paramètres'!$O:$O,MATCH($D2445,'Paramètres'!$M:$M,0))&amp;"",""))))</f>
        <v/>
      </c>
      <c r="N2445" s="6" t="str">
        <f>IF($D2445="","",IFERROR(INDEX('Paramètres'!$Q:$Q,MATCH($D2445,'Paramètres'!$M:$M,0))&amp;"",""))</f>
        <v/>
      </c>
      <c r="O2445" s="6" t="str">
        <f>IF($A2445="","",IF(OR($J2445&lt;&gt;"x",$A2445&lt;=FinReleve),1,0))</f>
        <v/>
      </c>
      <c r="P2445" s="6" t="str">
        <f>IF($D2445="","",IF(AND($L2445="Crédit",OR(IFERROR(INDEX('Paramètres'!$O:$O,MATCH($D2445,'Paramètres'!$M:$M,0))&amp;"","")&lt;&gt;"",ISNUMBER(SEARCH("remboursement",IFERROR(INDEX('Paramètres'!$N:$N,MATCH($D2445,'Paramètres'!$M:$M,0))&amp;"",""))))),1,0))</f>
        <v/>
      </c>
      <c r="Q2445" s="6" t="str">
        <f>IF($K2445="","",IF(ISNUMBER(SEARCH("transfert-interne",IFERROR(INDEX('Paramètres'!$N:$N,MATCH($D2445,'Paramètres'!$M:$M,0))&amp;"",""))),0,IF($L2445="Débit",$K2445,IF($P2445=1,-$K2445,0))))</f>
        <v/>
      </c>
      <c r="R2445" s="6" t="str">
        <f>IF($K2445="","",IF($L2445="Crédit",$K2445,-$K2445))</f>
        <v/>
      </c>
      <c r="S2445" s="6" t="str">
        <f>IF($C2445="","",IFERROR(INDEX('Paramètres'!$H:$H,MATCH($C2445,'Paramètres'!$D:$D,0))&amp;"",""))</f>
        <v/>
      </c>
      <c r="T2445" s="6" t="str">
        <f>IF($K2445="","",IF($S2445="",0,IF(ISNUMBER(SEARCH("apport-exterieur",IFERROR(INDEX('Paramètres'!$N:$N,MATCH($D2445,'Paramètres'!$M:$M,0))&amp;"",""))),0,IF(OR(IFERROR(INDEX('Paramètres'!$I:$I,MATCH($C2445,'Paramètres'!$D:$D,0))&amp;"","")="Les deux",IFERROR(INDEX('Paramètres'!$I:$I,MATCH($C2445,'Paramètres'!$D:$D,0))&amp;"","")=IF($P2445=1,"Débit",$L2445)),-IF($P2445=1,-$K2445,$K2445),0))))</f>
        <v/>
      </c>
      <c r="U2445" s="6" t="str">
        <f>IF($K2445="","",IF(ISNUMBER(SEARCH("sortie-epargne",IFERROR(INDEX('Paramètres'!$N:$N,MATCH($D2445,'Paramètres'!$M:$M,0))&amp;"",""))),$K2445,0))</f>
        <v/>
      </c>
      <c r="V2445" s="6" t="str">
        <f>IF(AND($A2445&lt;&gt;"",$O2445=1,$L2445="Débit",N($Q2445)&gt;0,$A2445&gt;=Visualisation!$B$1,$A2445&lt;Visualisation!$D$1),MAX($V$1:V2444)+1,"")</f>
        <v/>
      </c>
    </row>
    <row r="2446" spans="1:22" x14ac:dyDescent="0.25">
      <c r="A2446" s="9"/>
      <c r="E2446" s="10"/>
      <c r="K2446" s="11" t="str">
        <f>IF($E2446="","",ROUND($E2446*IF(ISNA(MATCH($C2446,'Paramètres'!$D:$D,0)),1,IF(INDEX('Paramètres'!$J:$J,MATCH($C2446,'Paramètres'!$D:$D,0))="",1,INDEX('Paramètres'!$J:$J,MATCH($C2446,'Paramètres'!$D:$D,0)))),2))</f>
        <v/>
      </c>
      <c r="L2446" s="6" t="str">
        <f>IF($D2446="","",IF($F2446&lt;&gt;"",$F2446,IF(ISNA(MATCH($D2446,'Paramètres'!$M:$M,0)),"⚠ Type inconnu",IFERROR(INDEX('Paramètres'!$P:$P,MATCH($D2446,'Paramètres'!$M:$M,0))&amp;"",""))))</f>
        <v/>
      </c>
      <c r="M2446" s="6" t="str">
        <f>IF($D2446="","",IF(ISNA(MATCH($D2446,'Paramètres'!$M:$M,0)),"⚠ Type inconnu",IF($L2446="Crédit","",IFERROR(INDEX('Paramètres'!$O:$O,MATCH($D2446,'Paramètres'!$M:$M,0))&amp;"",""))))</f>
        <v/>
      </c>
      <c r="N2446" s="6" t="str">
        <f>IF($D2446="","",IFERROR(INDEX('Paramètres'!$Q:$Q,MATCH($D2446,'Paramètres'!$M:$M,0))&amp;"",""))</f>
        <v/>
      </c>
      <c r="O2446" s="6" t="str">
        <f>IF($A2446="","",IF(OR($J2446&lt;&gt;"x",$A2446&lt;=FinReleve),1,0))</f>
        <v/>
      </c>
      <c r="P2446" s="6" t="str">
        <f>IF($D2446="","",IF(AND($L2446="Crédit",OR(IFERROR(INDEX('Paramètres'!$O:$O,MATCH($D2446,'Paramètres'!$M:$M,0))&amp;"","")&lt;&gt;"",ISNUMBER(SEARCH("remboursement",IFERROR(INDEX('Paramètres'!$N:$N,MATCH($D2446,'Paramètres'!$M:$M,0))&amp;"",""))))),1,0))</f>
        <v/>
      </c>
      <c r="Q2446" s="6" t="str">
        <f>IF($K2446="","",IF(ISNUMBER(SEARCH("transfert-interne",IFERROR(INDEX('Paramètres'!$N:$N,MATCH($D2446,'Paramètres'!$M:$M,0))&amp;"",""))),0,IF($L2446="Débit",$K2446,IF($P2446=1,-$K2446,0))))</f>
        <v/>
      </c>
      <c r="R2446" s="6" t="str">
        <f>IF($K2446="","",IF($L2446="Crédit",$K2446,-$K2446))</f>
        <v/>
      </c>
      <c r="S2446" s="6" t="str">
        <f>IF($C2446="","",IFERROR(INDEX('Paramètres'!$H:$H,MATCH($C2446,'Paramètres'!$D:$D,0))&amp;"",""))</f>
        <v/>
      </c>
      <c r="T2446" s="6" t="str">
        <f>IF($K2446="","",IF($S2446="",0,IF(ISNUMBER(SEARCH("apport-exterieur",IFERROR(INDEX('Paramètres'!$N:$N,MATCH($D2446,'Paramètres'!$M:$M,0))&amp;"",""))),0,IF(OR(IFERROR(INDEX('Paramètres'!$I:$I,MATCH($C2446,'Paramètres'!$D:$D,0))&amp;"","")="Les deux",IFERROR(INDEX('Paramètres'!$I:$I,MATCH($C2446,'Paramètres'!$D:$D,0))&amp;"","")=IF($P2446=1,"Débit",$L2446)),-IF($P2446=1,-$K2446,$K2446),0))))</f>
        <v/>
      </c>
      <c r="U2446" s="6" t="str">
        <f>IF($K2446="","",IF(ISNUMBER(SEARCH("sortie-epargne",IFERROR(INDEX('Paramètres'!$N:$N,MATCH($D2446,'Paramètres'!$M:$M,0))&amp;"",""))),$K2446,0))</f>
        <v/>
      </c>
      <c r="V2446" s="6" t="str">
        <f>IF(AND($A2446&lt;&gt;"",$O2446=1,$L2446="Débit",N($Q2446)&gt;0,$A2446&gt;=Visualisation!$B$1,$A2446&lt;Visualisation!$D$1),MAX($V$1:V2445)+1,"")</f>
        <v/>
      </c>
    </row>
    <row r="2447" spans="1:22" x14ac:dyDescent="0.25">
      <c r="A2447" s="9"/>
      <c r="E2447" s="10"/>
      <c r="K2447" s="11" t="str">
        <f>IF($E2447="","",ROUND($E2447*IF(ISNA(MATCH($C2447,'Paramètres'!$D:$D,0)),1,IF(INDEX('Paramètres'!$J:$J,MATCH($C2447,'Paramètres'!$D:$D,0))="",1,INDEX('Paramètres'!$J:$J,MATCH($C2447,'Paramètres'!$D:$D,0)))),2))</f>
        <v/>
      </c>
      <c r="L2447" s="6" t="str">
        <f>IF($D2447="","",IF($F2447&lt;&gt;"",$F2447,IF(ISNA(MATCH($D2447,'Paramètres'!$M:$M,0)),"⚠ Type inconnu",IFERROR(INDEX('Paramètres'!$P:$P,MATCH($D2447,'Paramètres'!$M:$M,0))&amp;"",""))))</f>
        <v/>
      </c>
      <c r="M2447" s="6" t="str">
        <f>IF($D2447="","",IF(ISNA(MATCH($D2447,'Paramètres'!$M:$M,0)),"⚠ Type inconnu",IF($L2447="Crédit","",IFERROR(INDEX('Paramètres'!$O:$O,MATCH($D2447,'Paramètres'!$M:$M,0))&amp;"",""))))</f>
        <v/>
      </c>
      <c r="N2447" s="6" t="str">
        <f>IF($D2447="","",IFERROR(INDEX('Paramètres'!$Q:$Q,MATCH($D2447,'Paramètres'!$M:$M,0))&amp;"",""))</f>
        <v/>
      </c>
      <c r="O2447" s="6" t="str">
        <f>IF($A2447="","",IF(OR($J2447&lt;&gt;"x",$A2447&lt;=FinReleve),1,0))</f>
        <v/>
      </c>
      <c r="P2447" s="6" t="str">
        <f>IF($D2447="","",IF(AND($L2447="Crédit",OR(IFERROR(INDEX('Paramètres'!$O:$O,MATCH($D2447,'Paramètres'!$M:$M,0))&amp;"","")&lt;&gt;"",ISNUMBER(SEARCH("remboursement",IFERROR(INDEX('Paramètres'!$N:$N,MATCH($D2447,'Paramètres'!$M:$M,0))&amp;"",""))))),1,0))</f>
        <v/>
      </c>
      <c r="Q2447" s="6" t="str">
        <f>IF($K2447="","",IF(ISNUMBER(SEARCH("transfert-interne",IFERROR(INDEX('Paramètres'!$N:$N,MATCH($D2447,'Paramètres'!$M:$M,0))&amp;"",""))),0,IF($L2447="Débit",$K2447,IF($P2447=1,-$K2447,0))))</f>
        <v/>
      </c>
      <c r="R2447" s="6" t="str">
        <f>IF($K2447="","",IF($L2447="Crédit",$K2447,-$K2447))</f>
        <v/>
      </c>
      <c r="S2447" s="6" t="str">
        <f>IF($C2447="","",IFERROR(INDEX('Paramètres'!$H:$H,MATCH($C2447,'Paramètres'!$D:$D,0))&amp;"",""))</f>
        <v/>
      </c>
      <c r="T2447" s="6" t="str">
        <f>IF($K2447="","",IF($S2447="",0,IF(ISNUMBER(SEARCH("apport-exterieur",IFERROR(INDEX('Paramètres'!$N:$N,MATCH($D2447,'Paramètres'!$M:$M,0))&amp;"",""))),0,IF(OR(IFERROR(INDEX('Paramètres'!$I:$I,MATCH($C2447,'Paramètres'!$D:$D,0))&amp;"","")="Les deux",IFERROR(INDEX('Paramètres'!$I:$I,MATCH($C2447,'Paramètres'!$D:$D,0))&amp;"","")=IF($P2447=1,"Débit",$L2447)),-IF($P2447=1,-$K2447,$K2447),0))))</f>
        <v/>
      </c>
      <c r="U2447" s="6" t="str">
        <f>IF($K2447="","",IF(ISNUMBER(SEARCH("sortie-epargne",IFERROR(INDEX('Paramètres'!$N:$N,MATCH($D2447,'Paramètres'!$M:$M,0))&amp;"",""))),$K2447,0))</f>
        <v/>
      </c>
      <c r="V2447" s="6" t="str">
        <f>IF(AND($A2447&lt;&gt;"",$O2447=1,$L2447="Débit",N($Q2447)&gt;0,$A2447&gt;=Visualisation!$B$1,$A2447&lt;Visualisation!$D$1),MAX($V$1:V2446)+1,"")</f>
        <v/>
      </c>
    </row>
    <row r="2448" spans="1:22" x14ac:dyDescent="0.25">
      <c r="A2448" s="9"/>
      <c r="E2448" s="10"/>
      <c r="K2448" s="11" t="str">
        <f>IF($E2448="","",ROUND($E2448*IF(ISNA(MATCH($C2448,'Paramètres'!$D:$D,0)),1,IF(INDEX('Paramètres'!$J:$J,MATCH($C2448,'Paramètres'!$D:$D,0))="",1,INDEX('Paramètres'!$J:$J,MATCH($C2448,'Paramètres'!$D:$D,0)))),2))</f>
        <v/>
      </c>
      <c r="L2448" s="6" t="str">
        <f>IF($D2448="","",IF($F2448&lt;&gt;"",$F2448,IF(ISNA(MATCH($D2448,'Paramètres'!$M:$M,0)),"⚠ Type inconnu",IFERROR(INDEX('Paramètres'!$P:$P,MATCH($D2448,'Paramètres'!$M:$M,0))&amp;"",""))))</f>
        <v/>
      </c>
      <c r="M2448" s="6" t="str">
        <f>IF($D2448="","",IF(ISNA(MATCH($D2448,'Paramètres'!$M:$M,0)),"⚠ Type inconnu",IF($L2448="Crédit","",IFERROR(INDEX('Paramètres'!$O:$O,MATCH($D2448,'Paramètres'!$M:$M,0))&amp;"",""))))</f>
        <v/>
      </c>
      <c r="N2448" s="6" t="str">
        <f>IF($D2448="","",IFERROR(INDEX('Paramètres'!$Q:$Q,MATCH($D2448,'Paramètres'!$M:$M,0))&amp;"",""))</f>
        <v/>
      </c>
      <c r="O2448" s="6" t="str">
        <f>IF($A2448="","",IF(OR($J2448&lt;&gt;"x",$A2448&lt;=FinReleve),1,0))</f>
        <v/>
      </c>
      <c r="P2448" s="6" t="str">
        <f>IF($D2448="","",IF(AND($L2448="Crédit",OR(IFERROR(INDEX('Paramètres'!$O:$O,MATCH($D2448,'Paramètres'!$M:$M,0))&amp;"","")&lt;&gt;"",ISNUMBER(SEARCH("remboursement",IFERROR(INDEX('Paramètres'!$N:$N,MATCH($D2448,'Paramètres'!$M:$M,0))&amp;"",""))))),1,0))</f>
        <v/>
      </c>
      <c r="Q2448" s="6" t="str">
        <f>IF($K2448="","",IF(ISNUMBER(SEARCH("transfert-interne",IFERROR(INDEX('Paramètres'!$N:$N,MATCH($D2448,'Paramètres'!$M:$M,0))&amp;"",""))),0,IF($L2448="Débit",$K2448,IF($P2448=1,-$K2448,0))))</f>
        <v/>
      </c>
      <c r="R2448" s="6" t="str">
        <f>IF($K2448="","",IF($L2448="Crédit",$K2448,-$K2448))</f>
        <v/>
      </c>
      <c r="S2448" s="6" t="str">
        <f>IF($C2448="","",IFERROR(INDEX('Paramètres'!$H:$H,MATCH($C2448,'Paramètres'!$D:$D,0))&amp;"",""))</f>
        <v/>
      </c>
      <c r="T2448" s="6" t="str">
        <f>IF($K2448="","",IF($S2448="",0,IF(ISNUMBER(SEARCH("apport-exterieur",IFERROR(INDEX('Paramètres'!$N:$N,MATCH($D2448,'Paramètres'!$M:$M,0))&amp;"",""))),0,IF(OR(IFERROR(INDEX('Paramètres'!$I:$I,MATCH($C2448,'Paramètres'!$D:$D,0))&amp;"","")="Les deux",IFERROR(INDEX('Paramètres'!$I:$I,MATCH($C2448,'Paramètres'!$D:$D,0))&amp;"","")=IF($P2448=1,"Débit",$L2448)),-IF($P2448=1,-$K2448,$K2448),0))))</f>
        <v/>
      </c>
      <c r="U2448" s="6" t="str">
        <f>IF($K2448="","",IF(ISNUMBER(SEARCH("sortie-epargne",IFERROR(INDEX('Paramètres'!$N:$N,MATCH($D2448,'Paramètres'!$M:$M,0))&amp;"",""))),$K2448,0))</f>
        <v/>
      </c>
      <c r="V2448" s="6" t="str">
        <f>IF(AND($A2448&lt;&gt;"",$O2448=1,$L2448="Débit",N($Q2448)&gt;0,$A2448&gt;=Visualisation!$B$1,$A2448&lt;Visualisation!$D$1),MAX($V$1:V2447)+1,"")</f>
        <v/>
      </c>
    </row>
    <row r="2449" spans="1:22" x14ac:dyDescent="0.25">
      <c r="A2449" s="9"/>
      <c r="E2449" s="10"/>
      <c r="K2449" s="11" t="str">
        <f>IF($E2449="","",ROUND($E2449*IF(ISNA(MATCH($C2449,'Paramètres'!$D:$D,0)),1,IF(INDEX('Paramètres'!$J:$J,MATCH($C2449,'Paramètres'!$D:$D,0))="",1,INDEX('Paramètres'!$J:$J,MATCH($C2449,'Paramètres'!$D:$D,0)))),2))</f>
        <v/>
      </c>
      <c r="L2449" s="6" t="str">
        <f>IF($D2449="","",IF($F2449&lt;&gt;"",$F2449,IF(ISNA(MATCH($D2449,'Paramètres'!$M:$M,0)),"⚠ Type inconnu",IFERROR(INDEX('Paramètres'!$P:$P,MATCH($D2449,'Paramètres'!$M:$M,0))&amp;"",""))))</f>
        <v/>
      </c>
      <c r="M2449" s="6" t="str">
        <f>IF($D2449="","",IF(ISNA(MATCH($D2449,'Paramètres'!$M:$M,0)),"⚠ Type inconnu",IF($L2449="Crédit","",IFERROR(INDEX('Paramètres'!$O:$O,MATCH($D2449,'Paramètres'!$M:$M,0))&amp;"",""))))</f>
        <v/>
      </c>
      <c r="N2449" s="6" t="str">
        <f>IF($D2449="","",IFERROR(INDEX('Paramètres'!$Q:$Q,MATCH($D2449,'Paramètres'!$M:$M,0))&amp;"",""))</f>
        <v/>
      </c>
      <c r="O2449" s="6" t="str">
        <f>IF($A2449="","",IF(OR($J2449&lt;&gt;"x",$A2449&lt;=FinReleve),1,0))</f>
        <v/>
      </c>
      <c r="P2449" s="6" t="str">
        <f>IF($D2449="","",IF(AND($L2449="Crédit",OR(IFERROR(INDEX('Paramètres'!$O:$O,MATCH($D2449,'Paramètres'!$M:$M,0))&amp;"","")&lt;&gt;"",ISNUMBER(SEARCH("remboursement",IFERROR(INDEX('Paramètres'!$N:$N,MATCH($D2449,'Paramètres'!$M:$M,0))&amp;"",""))))),1,0))</f>
        <v/>
      </c>
      <c r="Q2449" s="6" t="str">
        <f>IF($K2449="","",IF(ISNUMBER(SEARCH("transfert-interne",IFERROR(INDEX('Paramètres'!$N:$N,MATCH($D2449,'Paramètres'!$M:$M,0))&amp;"",""))),0,IF($L2449="Débit",$K2449,IF($P2449=1,-$K2449,0))))</f>
        <v/>
      </c>
      <c r="R2449" s="6" t="str">
        <f>IF($K2449="","",IF($L2449="Crédit",$K2449,-$K2449))</f>
        <v/>
      </c>
      <c r="S2449" s="6" t="str">
        <f>IF($C2449="","",IFERROR(INDEX('Paramètres'!$H:$H,MATCH($C2449,'Paramètres'!$D:$D,0))&amp;"",""))</f>
        <v/>
      </c>
      <c r="T2449" s="6" t="str">
        <f>IF($K2449="","",IF($S2449="",0,IF(ISNUMBER(SEARCH("apport-exterieur",IFERROR(INDEX('Paramètres'!$N:$N,MATCH($D2449,'Paramètres'!$M:$M,0))&amp;"",""))),0,IF(OR(IFERROR(INDEX('Paramètres'!$I:$I,MATCH($C2449,'Paramètres'!$D:$D,0))&amp;"","")="Les deux",IFERROR(INDEX('Paramètres'!$I:$I,MATCH($C2449,'Paramètres'!$D:$D,0))&amp;"","")=IF($P2449=1,"Débit",$L2449)),-IF($P2449=1,-$K2449,$K2449),0))))</f>
        <v/>
      </c>
      <c r="U2449" s="6" t="str">
        <f>IF($K2449="","",IF(ISNUMBER(SEARCH("sortie-epargne",IFERROR(INDEX('Paramètres'!$N:$N,MATCH($D2449,'Paramètres'!$M:$M,0))&amp;"",""))),$K2449,0))</f>
        <v/>
      </c>
      <c r="V2449" s="6" t="str">
        <f>IF(AND($A2449&lt;&gt;"",$O2449=1,$L2449="Débit",N($Q2449)&gt;0,$A2449&gt;=Visualisation!$B$1,$A2449&lt;Visualisation!$D$1),MAX($V$1:V2448)+1,"")</f>
        <v/>
      </c>
    </row>
    <row r="2450" spans="1:22" x14ac:dyDescent="0.25">
      <c r="A2450" s="9"/>
      <c r="E2450" s="10"/>
      <c r="K2450" s="11" t="str">
        <f>IF($E2450="","",ROUND($E2450*IF(ISNA(MATCH($C2450,'Paramètres'!$D:$D,0)),1,IF(INDEX('Paramètres'!$J:$J,MATCH($C2450,'Paramètres'!$D:$D,0))="",1,INDEX('Paramètres'!$J:$J,MATCH($C2450,'Paramètres'!$D:$D,0)))),2))</f>
        <v/>
      </c>
      <c r="L2450" s="6" t="str">
        <f>IF($D2450="","",IF($F2450&lt;&gt;"",$F2450,IF(ISNA(MATCH($D2450,'Paramètres'!$M:$M,0)),"⚠ Type inconnu",IFERROR(INDEX('Paramètres'!$P:$P,MATCH($D2450,'Paramètres'!$M:$M,0))&amp;"",""))))</f>
        <v/>
      </c>
      <c r="M2450" s="6" t="str">
        <f>IF($D2450="","",IF(ISNA(MATCH($D2450,'Paramètres'!$M:$M,0)),"⚠ Type inconnu",IF($L2450="Crédit","",IFERROR(INDEX('Paramètres'!$O:$O,MATCH($D2450,'Paramètres'!$M:$M,0))&amp;"",""))))</f>
        <v/>
      </c>
      <c r="N2450" s="6" t="str">
        <f>IF($D2450="","",IFERROR(INDEX('Paramètres'!$Q:$Q,MATCH($D2450,'Paramètres'!$M:$M,0))&amp;"",""))</f>
        <v/>
      </c>
      <c r="O2450" s="6" t="str">
        <f>IF($A2450="","",IF(OR($J2450&lt;&gt;"x",$A2450&lt;=FinReleve),1,0))</f>
        <v/>
      </c>
      <c r="P2450" s="6" t="str">
        <f>IF($D2450="","",IF(AND($L2450="Crédit",OR(IFERROR(INDEX('Paramètres'!$O:$O,MATCH($D2450,'Paramètres'!$M:$M,0))&amp;"","")&lt;&gt;"",ISNUMBER(SEARCH("remboursement",IFERROR(INDEX('Paramètres'!$N:$N,MATCH($D2450,'Paramètres'!$M:$M,0))&amp;"",""))))),1,0))</f>
        <v/>
      </c>
      <c r="Q2450" s="6" t="str">
        <f>IF($K2450="","",IF(ISNUMBER(SEARCH("transfert-interne",IFERROR(INDEX('Paramètres'!$N:$N,MATCH($D2450,'Paramètres'!$M:$M,0))&amp;"",""))),0,IF($L2450="Débit",$K2450,IF($P2450=1,-$K2450,0))))</f>
        <v/>
      </c>
      <c r="R2450" s="6" t="str">
        <f>IF($K2450="","",IF($L2450="Crédit",$K2450,-$K2450))</f>
        <v/>
      </c>
      <c r="S2450" s="6" t="str">
        <f>IF($C2450="","",IFERROR(INDEX('Paramètres'!$H:$H,MATCH($C2450,'Paramètres'!$D:$D,0))&amp;"",""))</f>
        <v/>
      </c>
      <c r="T2450" s="6" t="str">
        <f>IF($K2450="","",IF($S2450="",0,IF(ISNUMBER(SEARCH("apport-exterieur",IFERROR(INDEX('Paramètres'!$N:$N,MATCH($D2450,'Paramètres'!$M:$M,0))&amp;"",""))),0,IF(OR(IFERROR(INDEX('Paramètres'!$I:$I,MATCH($C2450,'Paramètres'!$D:$D,0))&amp;"","")="Les deux",IFERROR(INDEX('Paramètres'!$I:$I,MATCH($C2450,'Paramètres'!$D:$D,0))&amp;"","")=IF($P2450=1,"Débit",$L2450)),-IF($P2450=1,-$K2450,$K2450),0))))</f>
        <v/>
      </c>
      <c r="U2450" s="6" t="str">
        <f>IF($K2450="","",IF(ISNUMBER(SEARCH("sortie-epargne",IFERROR(INDEX('Paramètres'!$N:$N,MATCH($D2450,'Paramètres'!$M:$M,0))&amp;"",""))),$K2450,0))</f>
        <v/>
      </c>
      <c r="V2450" s="6" t="str">
        <f>IF(AND($A2450&lt;&gt;"",$O2450=1,$L2450="Débit",N($Q2450)&gt;0,$A2450&gt;=Visualisation!$B$1,$A2450&lt;Visualisation!$D$1),MAX($V$1:V2449)+1,"")</f>
        <v/>
      </c>
    </row>
    <row r="2451" spans="1:22" x14ac:dyDescent="0.25">
      <c r="A2451" s="9"/>
      <c r="E2451" s="10"/>
      <c r="K2451" s="11" t="str">
        <f>IF($E2451="","",ROUND($E2451*IF(ISNA(MATCH($C2451,'Paramètres'!$D:$D,0)),1,IF(INDEX('Paramètres'!$J:$J,MATCH($C2451,'Paramètres'!$D:$D,0))="",1,INDEX('Paramètres'!$J:$J,MATCH($C2451,'Paramètres'!$D:$D,0)))),2))</f>
        <v/>
      </c>
      <c r="L2451" s="6" t="str">
        <f>IF($D2451="","",IF($F2451&lt;&gt;"",$F2451,IF(ISNA(MATCH($D2451,'Paramètres'!$M:$M,0)),"⚠ Type inconnu",IFERROR(INDEX('Paramètres'!$P:$P,MATCH($D2451,'Paramètres'!$M:$M,0))&amp;"",""))))</f>
        <v/>
      </c>
      <c r="M2451" s="6" t="str">
        <f>IF($D2451="","",IF(ISNA(MATCH($D2451,'Paramètres'!$M:$M,0)),"⚠ Type inconnu",IF($L2451="Crédit","",IFERROR(INDEX('Paramètres'!$O:$O,MATCH($D2451,'Paramètres'!$M:$M,0))&amp;"",""))))</f>
        <v/>
      </c>
      <c r="N2451" s="6" t="str">
        <f>IF($D2451="","",IFERROR(INDEX('Paramètres'!$Q:$Q,MATCH($D2451,'Paramètres'!$M:$M,0))&amp;"",""))</f>
        <v/>
      </c>
      <c r="O2451" s="6" t="str">
        <f>IF($A2451="","",IF(OR($J2451&lt;&gt;"x",$A2451&lt;=FinReleve),1,0))</f>
        <v/>
      </c>
      <c r="P2451" s="6" t="str">
        <f>IF($D2451="","",IF(AND($L2451="Crédit",OR(IFERROR(INDEX('Paramètres'!$O:$O,MATCH($D2451,'Paramètres'!$M:$M,0))&amp;"","")&lt;&gt;"",ISNUMBER(SEARCH("remboursement",IFERROR(INDEX('Paramètres'!$N:$N,MATCH($D2451,'Paramètres'!$M:$M,0))&amp;"",""))))),1,0))</f>
        <v/>
      </c>
      <c r="Q2451" s="6" t="str">
        <f>IF($K2451="","",IF(ISNUMBER(SEARCH("transfert-interne",IFERROR(INDEX('Paramètres'!$N:$N,MATCH($D2451,'Paramètres'!$M:$M,0))&amp;"",""))),0,IF($L2451="Débit",$K2451,IF($P2451=1,-$K2451,0))))</f>
        <v/>
      </c>
      <c r="R2451" s="6" t="str">
        <f>IF($K2451="","",IF($L2451="Crédit",$K2451,-$K2451))</f>
        <v/>
      </c>
      <c r="S2451" s="6" t="str">
        <f>IF($C2451="","",IFERROR(INDEX('Paramètres'!$H:$H,MATCH($C2451,'Paramètres'!$D:$D,0))&amp;"",""))</f>
        <v/>
      </c>
      <c r="T2451" s="6" t="str">
        <f>IF($K2451="","",IF($S2451="",0,IF(ISNUMBER(SEARCH("apport-exterieur",IFERROR(INDEX('Paramètres'!$N:$N,MATCH($D2451,'Paramètres'!$M:$M,0))&amp;"",""))),0,IF(OR(IFERROR(INDEX('Paramètres'!$I:$I,MATCH($C2451,'Paramètres'!$D:$D,0))&amp;"","")="Les deux",IFERROR(INDEX('Paramètres'!$I:$I,MATCH($C2451,'Paramètres'!$D:$D,0))&amp;"","")=IF($P2451=1,"Débit",$L2451)),-IF($P2451=1,-$K2451,$K2451),0))))</f>
        <v/>
      </c>
      <c r="U2451" s="6" t="str">
        <f>IF($K2451="","",IF(ISNUMBER(SEARCH("sortie-epargne",IFERROR(INDEX('Paramètres'!$N:$N,MATCH($D2451,'Paramètres'!$M:$M,0))&amp;"",""))),$K2451,0))</f>
        <v/>
      </c>
      <c r="V2451" s="6" t="str">
        <f>IF(AND($A2451&lt;&gt;"",$O2451=1,$L2451="Débit",N($Q2451)&gt;0,$A2451&gt;=Visualisation!$B$1,$A2451&lt;Visualisation!$D$1),MAX($V$1:V2450)+1,"")</f>
        <v/>
      </c>
    </row>
    <row r="2452" spans="1:22" x14ac:dyDescent="0.25">
      <c r="A2452" s="9"/>
      <c r="E2452" s="10"/>
      <c r="K2452" s="11" t="str">
        <f>IF($E2452="","",ROUND($E2452*IF(ISNA(MATCH($C2452,'Paramètres'!$D:$D,0)),1,IF(INDEX('Paramètres'!$J:$J,MATCH($C2452,'Paramètres'!$D:$D,0))="",1,INDEX('Paramètres'!$J:$J,MATCH($C2452,'Paramètres'!$D:$D,0)))),2))</f>
        <v/>
      </c>
      <c r="L2452" s="6" t="str">
        <f>IF($D2452="","",IF($F2452&lt;&gt;"",$F2452,IF(ISNA(MATCH($D2452,'Paramètres'!$M:$M,0)),"⚠ Type inconnu",IFERROR(INDEX('Paramètres'!$P:$P,MATCH($D2452,'Paramètres'!$M:$M,0))&amp;"",""))))</f>
        <v/>
      </c>
      <c r="M2452" s="6" t="str">
        <f>IF($D2452="","",IF(ISNA(MATCH($D2452,'Paramètres'!$M:$M,0)),"⚠ Type inconnu",IF($L2452="Crédit","",IFERROR(INDEX('Paramètres'!$O:$O,MATCH($D2452,'Paramètres'!$M:$M,0))&amp;"",""))))</f>
        <v/>
      </c>
      <c r="N2452" s="6" t="str">
        <f>IF($D2452="","",IFERROR(INDEX('Paramètres'!$Q:$Q,MATCH($D2452,'Paramètres'!$M:$M,0))&amp;"",""))</f>
        <v/>
      </c>
      <c r="O2452" s="6" t="str">
        <f>IF($A2452="","",IF(OR($J2452&lt;&gt;"x",$A2452&lt;=FinReleve),1,0))</f>
        <v/>
      </c>
      <c r="P2452" s="6" t="str">
        <f>IF($D2452="","",IF(AND($L2452="Crédit",OR(IFERROR(INDEX('Paramètres'!$O:$O,MATCH($D2452,'Paramètres'!$M:$M,0))&amp;"","")&lt;&gt;"",ISNUMBER(SEARCH("remboursement",IFERROR(INDEX('Paramètres'!$N:$N,MATCH($D2452,'Paramètres'!$M:$M,0))&amp;"",""))))),1,0))</f>
        <v/>
      </c>
      <c r="Q2452" s="6" t="str">
        <f>IF($K2452="","",IF(ISNUMBER(SEARCH("transfert-interne",IFERROR(INDEX('Paramètres'!$N:$N,MATCH($D2452,'Paramètres'!$M:$M,0))&amp;"",""))),0,IF($L2452="Débit",$K2452,IF($P2452=1,-$K2452,0))))</f>
        <v/>
      </c>
      <c r="R2452" s="6" t="str">
        <f>IF($K2452="","",IF($L2452="Crédit",$K2452,-$K2452))</f>
        <v/>
      </c>
      <c r="S2452" s="6" t="str">
        <f>IF($C2452="","",IFERROR(INDEX('Paramètres'!$H:$H,MATCH($C2452,'Paramètres'!$D:$D,0))&amp;"",""))</f>
        <v/>
      </c>
      <c r="T2452" s="6" t="str">
        <f>IF($K2452="","",IF($S2452="",0,IF(ISNUMBER(SEARCH("apport-exterieur",IFERROR(INDEX('Paramètres'!$N:$N,MATCH($D2452,'Paramètres'!$M:$M,0))&amp;"",""))),0,IF(OR(IFERROR(INDEX('Paramètres'!$I:$I,MATCH($C2452,'Paramètres'!$D:$D,0))&amp;"","")="Les deux",IFERROR(INDEX('Paramètres'!$I:$I,MATCH($C2452,'Paramètres'!$D:$D,0))&amp;"","")=IF($P2452=1,"Débit",$L2452)),-IF($P2452=1,-$K2452,$K2452),0))))</f>
        <v/>
      </c>
      <c r="U2452" s="6" t="str">
        <f>IF($K2452="","",IF(ISNUMBER(SEARCH("sortie-epargne",IFERROR(INDEX('Paramètres'!$N:$N,MATCH($D2452,'Paramètres'!$M:$M,0))&amp;"",""))),$K2452,0))</f>
        <v/>
      </c>
      <c r="V2452" s="6" t="str">
        <f>IF(AND($A2452&lt;&gt;"",$O2452=1,$L2452="Débit",N($Q2452)&gt;0,$A2452&gt;=Visualisation!$B$1,$A2452&lt;Visualisation!$D$1),MAX($V$1:V2451)+1,"")</f>
        <v/>
      </c>
    </row>
    <row r="2453" spans="1:22" x14ac:dyDescent="0.25">
      <c r="A2453" s="9"/>
      <c r="E2453" s="10"/>
      <c r="K2453" s="11" t="str">
        <f>IF($E2453="","",ROUND($E2453*IF(ISNA(MATCH($C2453,'Paramètres'!$D:$D,0)),1,IF(INDEX('Paramètres'!$J:$J,MATCH($C2453,'Paramètres'!$D:$D,0))="",1,INDEX('Paramètres'!$J:$J,MATCH($C2453,'Paramètres'!$D:$D,0)))),2))</f>
        <v/>
      </c>
      <c r="L2453" s="6" t="str">
        <f>IF($D2453="","",IF($F2453&lt;&gt;"",$F2453,IF(ISNA(MATCH($D2453,'Paramètres'!$M:$M,0)),"⚠ Type inconnu",IFERROR(INDEX('Paramètres'!$P:$P,MATCH($D2453,'Paramètres'!$M:$M,0))&amp;"",""))))</f>
        <v/>
      </c>
      <c r="M2453" s="6" t="str">
        <f>IF($D2453="","",IF(ISNA(MATCH($D2453,'Paramètres'!$M:$M,0)),"⚠ Type inconnu",IF($L2453="Crédit","",IFERROR(INDEX('Paramètres'!$O:$O,MATCH($D2453,'Paramètres'!$M:$M,0))&amp;"",""))))</f>
        <v/>
      </c>
      <c r="N2453" s="6" t="str">
        <f>IF($D2453="","",IFERROR(INDEX('Paramètres'!$Q:$Q,MATCH($D2453,'Paramètres'!$M:$M,0))&amp;"",""))</f>
        <v/>
      </c>
      <c r="O2453" s="6" t="str">
        <f>IF($A2453="","",IF(OR($J2453&lt;&gt;"x",$A2453&lt;=FinReleve),1,0))</f>
        <v/>
      </c>
      <c r="P2453" s="6" t="str">
        <f>IF($D2453="","",IF(AND($L2453="Crédit",OR(IFERROR(INDEX('Paramètres'!$O:$O,MATCH($D2453,'Paramètres'!$M:$M,0))&amp;"","")&lt;&gt;"",ISNUMBER(SEARCH("remboursement",IFERROR(INDEX('Paramètres'!$N:$N,MATCH($D2453,'Paramètres'!$M:$M,0))&amp;"",""))))),1,0))</f>
        <v/>
      </c>
      <c r="Q2453" s="6" t="str">
        <f>IF($K2453="","",IF(ISNUMBER(SEARCH("transfert-interne",IFERROR(INDEX('Paramètres'!$N:$N,MATCH($D2453,'Paramètres'!$M:$M,0))&amp;"",""))),0,IF($L2453="Débit",$K2453,IF($P2453=1,-$K2453,0))))</f>
        <v/>
      </c>
      <c r="R2453" s="6" t="str">
        <f>IF($K2453="","",IF($L2453="Crédit",$K2453,-$K2453))</f>
        <v/>
      </c>
      <c r="S2453" s="6" t="str">
        <f>IF($C2453="","",IFERROR(INDEX('Paramètres'!$H:$H,MATCH($C2453,'Paramètres'!$D:$D,0))&amp;"",""))</f>
        <v/>
      </c>
      <c r="T2453" s="6" t="str">
        <f>IF($K2453="","",IF($S2453="",0,IF(ISNUMBER(SEARCH("apport-exterieur",IFERROR(INDEX('Paramètres'!$N:$N,MATCH($D2453,'Paramètres'!$M:$M,0))&amp;"",""))),0,IF(OR(IFERROR(INDEX('Paramètres'!$I:$I,MATCH($C2453,'Paramètres'!$D:$D,0))&amp;"","")="Les deux",IFERROR(INDEX('Paramètres'!$I:$I,MATCH($C2453,'Paramètres'!$D:$D,0))&amp;"","")=IF($P2453=1,"Débit",$L2453)),-IF($P2453=1,-$K2453,$K2453),0))))</f>
        <v/>
      </c>
      <c r="U2453" s="6" t="str">
        <f>IF($K2453="","",IF(ISNUMBER(SEARCH("sortie-epargne",IFERROR(INDEX('Paramètres'!$N:$N,MATCH($D2453,'Paramètres'!$M:$M,0))&amp;"",""))),$K2453,0))</f>
        <v/>
      </c>
      <c r="V2453" s="6" t="str">
        <f>IF(AND($A2453&lt;&gt;"",$O2453=1,$L2453="Débit",N($Q2453)&gt;0,$A2453&gt;=Visualisation!$B$1,$A2453&lt;Visualisation!$D$1),MAX($V$1:V2452)+1,"")</f>
        <v/>
      </c>
    </row>
    <row r="2454" spans="1:22" x14ac:dyDescent="0.25">
      <c r="A2454" s="9"/>
      <c r="E2454" s="10"/>
      <c r="K2454" s="11" t="str">
        <f>IF($E2454="","",ROUND($E2454*IF(ISNA(MATCH($C2454,'Paramètres'!$D:$D,0)),1,IF(INDEX('Paramètres'!$J:$J,MATCH($C2454,'Paramètres'!$D:$D,0))="",1,INDEX('Paramètres'!$J:$J,MATCH($C2454,'Paramètres'!$D:$D,0)))),2))</f>
        <v/>
      </c>
      <c r="L2454" s="6" t="str">
        <f>IF($D2454="","",IF($F2454&lt;&gt;"",$F2454,IF(ISNA(MATCH($D2454,'Paramètres'!$M:$M,0)),"⚠ Type inconnu",IFERROR(INDEX('Paramètres'!$P:$P,MATCH($D2454,'Paramètres'!$M:$M,0))&amp;"",""))))</f>
        <v/>
      </c>
      <c r="M2454" s="6" t="str">
        <f>IF($D2454="","",IF(ISNA(MATCH($D2454,'Paramètres'!$M:$M,0)),"⚠ Type inconnu",IF($L2454="Crédit","",IFERROR(INDEX('Paramètres'!$O:$O,MATCH($D2454,'Paramètres'!$M:$M,0))&amp;"",""))))</f>
        <v/>
      </c>
      <c r="N2454" s="6" t="str">
        <f>IF($D2454="","",IFERROR(INDEX('Paramètres'!$Q:$Q,MATCH($D2454,'Paramètres'!$M:$M,0))&amp;"",""))</f>
        <v/>
      </c>
      <c r="O2454" s="6" t="str">
        <f>IF($A2454="","",IF(OR($J2454&lt;&gt;"x",$A2454&lt;=FinReleve),1,0))</f>
        <v/>
      </c>
      <c r="P2454" s="6" t="str">
        <f>IF($D2454="","",IF(AND($L2454="Crédit",OR(IFERROR(INDEX('Paramètres'!$O:$O,MATCH($D2454,'Paramètres'!$M:$M,0))&amp;"","")&lt;&gt;"",ISNUMBER(SEARCH("remboursement",IFERROR(INDEX('Paramètres'!$N:$N,MATCH($D2454,'Paramètres'!$M:$M,0))&amp;"",""))))),1,0))</f>
        <v/>
      </c>
      <c r="Q2454" s="6" t="str">
        <f>IF($K2454="","",IF(ISNUMBER(SEARCH("transfert-interne",IFERROR(INDEX('Paramètres'!$N:$N,MATCH($D2454,'Paramètres'!$M:$M,0))&amp;"",""))),0,IF($L2454="Débit",$K2454,IF($P2454=1,-$K2454,0))))</f>
        <v/>
      </c>
      <c r="R2454" s="6" t="str">
        <f>IF($K2454="","",IF($L2454="Crédit",$K2454,-$K2454))</f>
        <v/>
      </c>
      <c r="S2454" s="6" t="str">
        <f>IF($C2454="","",IFERROR(INDEX('Paramètres'!$H:$H,MATCH($C2454,'Paramètres'!$D:$D,0))&amp;"",""))</f>
        <v/>
      </c>
      <c r="T2454" s="6" t="str">
        <f>IF($K2454="","",IF($S2454="",0,IF(ISNUMBER(SEARCH("apport-exterieur",IFERROR(INDEX('Paramètres'!$N:$N,MATCH($D2454,'Paramètres'!$M:$M,0))&amp;"",""))),0,IF(OR(IFERROR(INDEX('Paramètres'!$I:$I,MATCH($C2454,'Paramètres'!$D:$D,0))&amp;"","")="Les deux",IFERROR(INDEX('Paramètres'!$I:$I,MATCH($C2454,'Paramètres'!$D:$D,0))&amp;"","")=IF($P2454=1,"Débit",$L2454)),-IF($P2454=1,-$K2454,$K2454),0))))</f>
        <v/>
      </c>
      <c r="U2454" s="6" t="str">
        <f>IF($K2454="","",IF(ISNUMBER(SEARCH("sortie-epargne",IFERROR(INDEX('Paramètres'!$N:$N,MATCH($D2454,'Paramètres'!$M:$M,0))&amp;"",""))),$K2454,0))</f>
        <v/>
      </c>
      <c r="V2454" s="6" t="str">
        <f>IF(AND($A2454&lt;&gt;"",$O2454=1,$L2454="Débit",N($Q2454)&gt;0,$A2454&gt;=Visualisation!$B$1,$A2454&lt;Visualisation!$D$1),MAX($V$1:V2453)+1,"")</f>
        <v/>
      </c>
    </row>
    <row r="2455" spans="1:22" x14ac:dyDescent="0.25">
      <c r="A2455" s="9"/>
      <c r="E2455" s="10"/>
      <c r="K2455" s="11" t="str">
        <f>IF($E2455="","",ROUND($E2455*IF(ISNA(MATCH($C2455,'Paramètres'!$D:$D,0)),1,IF(INDEX('Paramètres'!$J:$J,MATCH($C2455,'Paramètres'!$D:$D,0))="",1,INDEX('Paramètres'!$J:$J,MATCH($C2455,'Paramètres'!$D:$D,0)))),2))</f>
        <v/>
      </c>
      <c r="L2455" s="6" t="str">
        <f>IF($D2455="","",IF($F2455&lt;&gt;"",$F2455,IF(ISNA(MATCH($D2455,'Paramètres'!$M:$M,0)),"⚠ Type inconnu",IFERROR(INDEX('Paramètres'!$P:$P,MATCH($D2455,'Paramètres'!$M:$M,0))&amp;"",""))))</f>
        <v/>
      </c>
      <c r="M2455" s="6" t="str">
        <f>IF($D2455="","",IF(ISNA(MATCH($D2455,'Paramètres'!$M:$M,0)),"⚠ Type inconnu",IF($L2455="Crédit","",IFERROR(INDEX('Paramètres'!$O:$O,MATCH($D2455,'Paramètres'!$M:$M,0))&amp;"",""))))</f>
        <v/>
      </c>
      <c r="N2455" s="6" t="str">
        <f>IF($D2455="","",IFERROR(INDEX('Paramètres'!$Q:$Q,MATCH($D2455,'Paramètres'!$M:$M,0))&amp;"",""))</f>
        <v/>
      </c>
      <c r="O2455" s="6" t="str">
        <f>IF($A2455="","",IF(OR($J2455&lt;&gt;"x",$A2455&lt;=FinReleve),1,0))</f>
        <v/>
      </c>
      <c r="P2455" s="6" t="str">
        <f>IF($D2455="","",IF(AND($L2455="Crédit",OR(IFERROR(INDEX('Paramètres'!$O:$O,MATCH($D2455,'Paramètres'!$M:$M,0))&amp;"","")&lt;&gt;"",ISNUMBER(SEARCH("remboursement",IFERROR(INDEX('Paramètres'!$N:$N,MATCH($D2455,'Paramètres'!$M:$M,0))&amp;"",""))))),1,0))</f>
        <v/>
      </c>
      <c r="Q2455" s="6" t="str">
        <f>IF($K2455="","",IF(ISNUMBER(SEARCH("transfert-interne",IFERROR(INDEX('Paramètres'!$N:$N,MATCH($D2455,'Paramètres'!$M:$M,0))&amp;"",""))),0,IF($L2455="Débit",$K2455,IF($P2455=1,-$K2455,0))))</f>
        <v/>
      </c>
      <c r="R2455" s="6" t="str">
        <f>IF($K2455="","",IF($L2455="Crédit",$K2455,-$K2455))</f>
        <v/>
      </c>
      <c r="S2455" s="6" t="str">
        <f>IF($C2455="","",IFERROR(INDEX('Paramètres'!$H:$H,MATCH($C2455,'Paramètres'!$D:$D,0))&amp;"",""))</f>
        <v/>
      </c>
      <c r="T2455" s="6" t="str">
        <f>IF($K2455="","",IF($S2455="",0,IF(ISNUMBER(SEARCH("apport-exterieur",IFERROR(INDEX('Paramètres'!$N:$N,MATCH($D2455,'Paramètres'!$M:$M,0))&amp;"",""))),0,IF(OR(IFERROR(INDEX('Paramètres'!$I:$I,MATCH($C2455,'Paramètres'!$D:$D,0))&amp;"","")="Les deux",IFERROR(INDEX('Paramètres'!$I:$I,MATCH($C2455,'Paramètres'!$D:$D,0))&amp;"","")=IF($P2455=1,"Débit",$L2455)),-IF($P2455=1,-$K2455,$K2455),0))))</f>
        <v/>
      </c>
      <c r="U2455" s="6" t="str">
        <f>IF($K2455="","",IF(ISNUMBER(SEARCH("sortie-epargne",IFERROR(INDEX('Paramètres'!$N:$N,MATCH($D2455,'Paramètres'!$M:$M,0))&amp;"",""))),$K2455,0))</f>
        <v/>
      </c>
      <c r="V2455" s="6" t="str">
        <f>IF(AND($A2455&lt;&gt;"",$O2455=1,$L2455="Débit",N($Q2455)&gt;0,$A2455&gt;=Visualisation!$B$1,$A2455&lt;Visualisation!$D$1),MAX($V$1:V2454)+1,"")</f>
        <v/>
      </c>
    </row>
    <row r="2456" spans="1:22" x14ac:dyDescent="0.25">
      <c r="A2456" s="9"/>
      <c r="E2456" s="10"/>
      <c r="K2456" s="11" t="str">
        <f>IF($E2456="","",ROUND($E2456*IF(ISNA(MATCH($C2456,'Paramètres'!$D:$D,0)),1,IF(INDEX('Paramètres'!$J:$J,MATCH($C2456,'Paramètres'!$D:$D,0))="",1,INDEX('Paramètres'!$J:$J,MATCH($C2456,'Paramètres'!$D:$D,0)))),2))</f>
        <v/>
      </c>
      <c r="L2456" s="6" t="str">
        <f>IF($D2456="","",IF($F2456&lt;&gt;"",$F2456,IF(ISNA(MATCH($D2456,'Paramètres'!$M:$M,0)),"⚠ Type inconnu",IFERROR(INDEX('Paramètres'!$P:$P,MATCH($D2456,'Paramètres'!$M:$M,0))&amp;"",""))))</f>
        <v/>
      </c>
      <c r="M2456" s="6" t="str">
        <f>IF($D2456="","",IF(ISNA(MATCH($D2456,'Paramètres'!$M:$M,0)),"⚠ Type inconnu",IF($L2456="Crédit","",IFERROR(INDEX('Paramètres'!$O:$O,MATCH($D2456,'Paramètres'!$M:$M,0))&amp;"",""))))</f>
        <v/>
      </c>
      <c r="N2456" s="6" t="str">
        <f>IF($D2456="","",IFERROR(INDEX('Paramètres'!$Q:$Q,MATCH($D2456,'Paramètres'!$M:$M,0))&amp;"",""))</f>
        <v/>
      </c>
      <c r="O2456" s="6" t="str">
        <f>IF($A2456="","",IF(OR($J2456&lt;&gt;"x",$A2456&lt;=FinReleve),1,0))</f>
        <v/>
      </c>
      <c r="P2456" s="6" t="str">
        <f>IF($D2456="","",IF(AND($L2456="Crédit",OR(IFERROR(INDEX('Paramètres'!$O:$O,MATCH($D2456,'Paramètres'!$M:$M,0))&amp;"","")&lt;&gt;"",ISNUMBER(SEARCH("remboursement",IFERROR(INDEX('Paramètres'!$N:$N,MATCH($D2456,'Paramètres'!$M:$M,0))&amp;"",""))))),1,0))</f>
        <v/>
      </c>
      <c r="Q2456" s="6" t="str">
        <f>IF($K2456="","",IF(ISNUMBER(SEARCH("transfert-interne",IFERROR(INDEX('Paramètres'!$N:$N,MATCH($D2456,'Paramètres'!$M:$M,0))&amp;"",""))),0,IF($L2456="Débit",$K2456,IF($P2456=1,-$K2456,0))))</f>
        <v/>
      </c>
      <c r="R2456" s="6" t="str">
        <f>IF($K2456="","",IF($L2456="Crédit",$K2456,-$K2456))</f>
        <v/>
      </c>
      <c r="S2456" s="6" t="str">
        <f>IF($C2456="","",IFERROR(INDEX('Paramètres'!$H:$H,MATCH($C2456,'Paramètres'!$D:$D,0))&amp;"",""))</f>
        <v/>
      </c>
      <c r="T2456" s="6" t="str">
        <f>IF($K2456="","",IF($S2456="",0,IF(ISNUMBER(SEARCH("apport-exterieur",IFERROR(INDEX('Paramètres'!$N:$N,MATCH($D2456,'Paramètres'!$M:$M,0))&amp;"",""))),0,IF(OR(IFERROR(INDEX('Paramètres'!$I:$I,MATCH($C2456,'Paramètres'!$D:$D,0))&amp;"","")="Les deux",IFERROR(INDEX('Paramètres'!$I:$I,MATCH($C2456,'Paramètres'!$D:$D,0))&amp;"","")=IF($P2456=1,"Débit",$L2456)),-IF($P2456=1,-$K2456,$K2456),0))))</f>
        <v/>
      </c>
      <c r="U2456" s="6" t="str">
        <f>IF($K2456="","",IF(ISNUMBER(SEARCH("sortie-epargne",IFERROR(INDEX('Paramètres'!$N:$N,MATCH($D2456,'Paramètres'!$M:$M,0))&amp;"",""))),$K2456,0))</f>
        <v/>
      </c>
      <c r="V2456" s="6" t="str">
        <f>IF(AND($A2456&lt;&gt;"",$O2456=1,$L2456="Débit",N($Q2456)&gt;0,$A2456&gt;=Visualisation!$B$1,$A2456&lt;Visualisation!$D$1),MAX($V$1:V2455)+1,"")</f>
        <v/>
      </c>
    </row>
    <row r="2457" spans="1:22" x14ac:dyDescent="0.25">
      <c r="A2457" s="9"/>
      <c r="E2457" s="10"/>
      <c r="K2457" s="11" t="str">
        <f>IF($E2457="","",ROUND($E2457*IF(ISNA(MATCH($C2457,'Paramètres'!$D:$D,0)),1,IF(INDEX('Paramètres'!$J:$J,MATCH($C2457,'Paramètres'!$D:$D,0))="",1,INDEX('Paramètres'!$J:$J,MATCH($C2457,'Paramètres'!$D:$D,0)))),2))</f>
        <v/>
      </c>
      <c r="L2457" s="6" t="str">
        <f>IF($D2457="","",IF($F2457&lt;&gt;"",$F2457,IF(ISNA(MATCH($D2457,'Paramètres'!$M:$M,0)),"⚠ Type inconnu",IFERROR(INDEX('Paramètres'!$P:$P,MATCH($D2457,'Paramètres'!$M:$M,0))&amp;"",""))))</f>
        <v/>
      </c>
      <c r="M2457" s="6" t="str">
        <f>IF($D2457="","",IF(ISNA(MATCH($D2457,'Paramètres'!$M:$M,0)),"⚠ Type inconnu",IF($L2457="Crédit","",IFERROR(INDEX('Paramètres'!$O:$O,MATCH($D2457,'Paramètres'!$M:$M,0))&amp;"",""))))</f>
        <v/>
      </c>
      <c r="N2457" s="6" t="str">
        <f>IF($D2457="","",IFERROR(INDEX('Paramètres'!$Q:$Q,MATCH($D2457,'Paramètres'!$M:$M,0))&amp;"",""))</f>
        <v/>
      </c>
      <c r="O2457" s="6" t="str">
        <f>IF($A2457="","",IF(OR($J2457&lt;&gt;"x",$A2457&lt;=FinReleve),1,0))</f>
        <v/>
      </c>
      <c r="P2457" s="6" t="str">
        <f>IF($D2457="","",IF(AND($L2457="Crédit",OR(IFERROR(INDEX('Paramètres'!$O:$O,MATCH($D2457,'Paramètres'!$M:$M,0))&amp;"","")&lt;&gt;"",ISNUMBER(SEARCH("remboursement",IFERROR(INDEX('Paramètres'!$N:$N,MATCH($D2457,'Paramètres'!$M:$M,0))&amp;"",""))))),1,0))</f>
        <v/>
      </c>
      <c r="Q2457" s="6" t="str">
        <f>IF($K2457="","",IF(ISNUMBER(SEARCH("transfert-interne",IFERROR(INDEX('Paramètres'!$N:$N,MATCH($D2457,'Paramètres'!$M:$M,0))&amp;"",""))),0,IF($L2457="Débit",$K2457,IF($P2457=1,-$K2457,0))))</f>
        <v/>
      </c>
      <c r="R2457" s="6" t="str">
        <f>IF($K2457="","",IF($L2457="Crédit",$K2457,-$K2457))</f>
        <v/>
      </c>
      <c r="S2457" s="6" t="str">
        <f>IF($C2457="","",IFERROR(INDEX('Paramètres'!$H:$H,MATCH($C2457,'Paramètres'!$D:$D,0))&amp;"",""))</f>
        <v/>
      </c>
      <c r="T2457" s="6" t="str">
        <f>IF($K2457="","",IF($S2457="",0,IF(ISNUMBER(SEARCH("apport-exterieur",IFERROR(INDEX('Paramètres'!$N:$N,MATCH($D2457,'Paramètres'!$M:$M,0))&amp;"",""))),0,IF(OR(IFERROR(INDEX('Paramètres'!$I:$I,MATCH($C2457,'Paramètres'!$D:$D,0))&amp;"","")="Les deux",IFERROR(INDEX('Paramètres'!$I:$I,MATCH($C2457,'Paramètres'!$D:$D,0))&amp;"","")=IF($P2457=1,"Débit",$L2457)),-IF($P2457=1,-$K2457,$K2457),0))))</f>
        <v/>
      </c>
      <c r="U2457" s="6" t="str">
        <f>IF($K2457="","",IF(ISNUMBER(SEARCH("sortie-epargne",IFERROR(INDEX('Paramètres'!$N:$N,MATCH($D2457,'Paramètres'!$M:$M,0))&amp;"",""))),$K2457,0))</f>
        <v/>
      </c>
      <c r="V2457" s="6" t="str">
        <f>IF(AND($A2457&lt;&gt;"",$O2457=1,$L2457="Débit",N($Q2457)&gt;0,$A2457&gt;=Visualisation!$B$1,$A2457&lt;Visualisation!$D$1),MAX($V$1:V2456)+1,"")</f>
        <v/>
      </c>
    </row>
    <row r="2458" spans="1:22" x14ac:dyDescent="0.25">
      <c r="A2458" s="9"/>
      <c r="E2458" s="10"/>
      <c r="K2458" s="11" t="str">
        <f>IF($E2458="","",ROUND($E2458*IF(ISNA(MATCH($C2458,'Paramètres'!$D:$D,0)),1,IF(INDEX('Paramètres'!$J:$J,MATCH($C2458,'Paramètres'!$D:$D,0))="",1,INDEX('Paramètres'!$J:$J,MATCH($C2458,'Paramètres'!$D:$D,0)))),2))</f>
        <v/>
      </c>
      <c r="L2458" s="6" t="str">
        <f>IF($D2458="","",IF($F2458&lt;&gt;"",$F2458,IF(ISNA(MATCH($D2458,'Paramètres'!$M:$M,0)),"⚠ Type inconnu",IFERROR(INDEX('Paramètres'!$P:$P,MATCH($D2458,'Paramètres'!$M:$M,0))&amp;"",""))))</f>
        <v/>
      </c>
      <c r="M2458" s="6" t="str">
        <f>IF($D2458="","",IF(ISNA(MATCH($D2458,'Paramètres'!$M:$M,0)),"⚠ Type inconnu",IF($L2458="Crédit","",IFERROR(INDEX('Paramètres'!$O:$O,MATCH($D2458,'Paramètres'!$M:$M,0))&amp;"",""))))</f>
        <v/>
      </c>
      <c r="N2458" s="6" t="str">
        <f>IF($D2458="","",IFERROR(INDEX('Paramètres'!$Q:$Q,MATCH($D2458,'Paramètres'!$M:$M,0))&amp;"",""))</f>
        <v/>
      </c>
      <c r="O2458" s="6" t="str">
        <f>IF($A2458="","",IF(OR($J2458&lt;&gt;"x",$A2458&lt;=FinReleve),1,0))</f>
        <v/>
      </c>
      <c r="P2458" s="6" t="str">
        <f>IF($D2458="","",IF(AND($L2458="Crédit",OR(IFERROR(INDEX('Paramètres'!$O:$O,MATCH($D2458,'Paramètres'!$M:$M,0))&amp;"","")&lt;&gt;"",ISNUMBER(SEARCH("remboursement",IFERROR(INDEX('Paramètres'!$N:$N,MATCH($D2458,'Paramètres'!$M:$M,0))&amp;"",""))))),1,0))</f>
        <v/>
      </c>
      <c r="Q2458" s="6" t="str">
        <f>IF($K2458="","",IF(ISNUMBER(SEARCH("transfert-interne",IFERROR(INDEX('Paramètres'!$N:$N,MATCH($D2458,'Paramètres'!$M:$M,0))&amp;"",""))),0,IF($L2458="Débit",$K2458,IF($P2458=1,-$K2458,0))))</f>
        <v/>
      </c>
      <c r="R2458" s="6" t="str">
        <f>IF($K2458="","",IF($L2458="Crédit",$K2458,-$K2458))</f>
        <v/>
      </c>
      <c r="S2458" s="6" t="str">
        <f>IF($C2458="","",IFERROR(INDEX('Paramètres'!$H:$H,MATCH($C2458,'Paramètres'!$D:$D,0))&amp;"",""))</f>
        <v/>
      </c>
      <c r="T2458" s="6" t="str">
        <f>IF($K2458="","",IF($S2458="",0,IF(ISNUMBER(SEARCH("apport-exterieur",IFERROR(INDEX('Paramètres'!$N:$N,MATCH($D2458,'Paramètres'!$M:$M,0))&amp;"",""))),0,IF(OR(IFERROR(INDEX('Paramètres'!$I:$I,MATCH($C2458,'Paramètres'!$D:$D,0))&amp;"","")="Les deux",IFERROR(INDEX('Paramètres'!$I:$I,MATCH($C2458,'Paramètres'!$D:$D,0))&amp;"","")=IF($P2458=1,"Débit",$L2458)),-IF($P2458=1,-$K2458,$K2458),0))))</f>
        <v/>
      </c>
      <c r="U2458" s="6" t="str">
        <f>IF($K2458="","",IF(ISNUMBER(SEARCH("sortie-epargne",IFERROR(INDEX('Paramètres'!$N:$N,MATCH($D2458,'Paramètres'!$M:$M,0))&amp;"",""))),$K2458,0))</f>
        <v/>
      </c>
      <c r="V2458" s="6" t="str">
        <f>IF(AND($A2458&lt;&gt;"",$O2458=1,$L2458="Débit",N($Q2458)&gt;0,$A2458&gt;=Visualisation!$B$1,$A2458&lt;Visualisation!$D$1),MAX($V$1:V2457)+1,"")</f>
        <v/>
      </c>
    </row>
    <row r="2459" spans="1:22" x14ac:dyDescent="0.25">
      <c r="A2459" s="9"/>
      <c r="E2459" s="10"/>
      <c r="K2459" s="11" t="str">
        <f>IF($E2459="","",ROUND($E2459*IF(ISNA(MATCH($C2459,'Paramètres'!$D:$D,0)),1,IF(INDEX('Paramètres'!$J:$J,MATCH($C2459,'Paramètres'!$D:$D,0))="",1,INDEX('Paramètres'!$J:$J,MATCH($C2459,'Paramètres'!$D:$D,0)))),2))</f>
        <v/>
      </c>
      <c r="L2459" s="6" t="str">
        <f>IF($D2459="","",IF($F2459&lt;&gt;"",$F2459,IF(ISNA(MATCH($D2459,'Paramètres'!$M:$M,0)),"⚠ Type inconnu",IFERROR(INDEX('Paramètres'!$P:$P,MATCH($D2459,'Paramètres'!$M:$M,0))&amp;"",""))))</f>
        <v/>
      </c>
      <c r="M2459" s="6" t="str">
        <f>IF($D2459="","",IF(ISNA(MATCH($D2459,'Paramètres'!$M:$M,0)),"⚠ Type inconnu",IF($L2459="Crédit","",IFERROR(INDEX('Paramètres'!$O:$O,MATCH($D2459,'Paramètres'!$M:$M,0))&amp;"",""))))</f>
        <v/>
      </c>
      <c r="N2459" s="6" t="str">
        <f>IF($D2459="","",IFERROR(INDEX('Paramètres'!$Q:$Q,MATCH($D2459,'Paramètres'!$M:$M,0))&amp;"",""))</f>
        <v/>
      </c>
      <c r="O2459" s="6" t="str">
        <f>IF($A2459="","",IF(OR($J2459&lt;&gt;"x",$A2459&lt;=FinReleve),1,0))</f>
        <v/>
      </c>
      <c r="P2459" s="6" t="str">
        <f>IF($D2459="","",IF(AND($L2459="Crédit",OR(IFERROR(INDEX('Paramètres'!$O:$O,MATCH($D2459,'Paramètres'!$M:$M,0))&amp;"","")&lt;&gt;"",ISNUMBER(SEARCH("remboursement",IFERROR(INDEX('Paramètres'!$N:$N,MATCH($D2459,'Paramètres'!$M:$M,0))&amp;"",""))))),1,0))</f>
        <v/>
      </c>
      <c r="Q2459" s="6" t="str">
        <f>IF($K2459="","",IF(ISNUMBER(SEARCH("transfert-interne",IFERROR(INDEX('Paramètres'!$N:$N,MATCH($D2459,'Paramètres'!$M:$M,0))&amp;"",""))),0,IF($L2459="Débit",$K2459,IF($P2459=1,-$K2459,0))))</f>
        <v/>
      </c>
      <c r="R2459" s="6" t="str">
        <f>IF($K2459="","",IF($L2459="Crédit",$K2459,-$K2459))</f>
        <v/>
      </c>
      <c r="S2459" s="6" t="str">
        <f>IF($C2459="","",IFERROR(INDEX('Paramètres'!$H:$H,MATCH($C2459,'Paramètres'!$D:$D,0))&amp;"",""))</f>
        <v/>
      </c>
      <c r="T2459" s="6" t="str">
        <f>IF($K2459="","",IF($S2459="",0,IF(ISNUMBER(SEARCH("apport-exterieur",IFERROR(INDEX('Paramètres'!$N:$N,MATCH($D2459,'Paramètres'!$M:$M,0))&amp;"",""))),0,IF(OR(IFERROR(INDEX('Paramètres'!$I:$I,MATCH($C2459,'Paramètres'!$D:$D,0))&amp;"","")="Les deux",IFERROR(INDEX('Paramètres'!$I:$I,MATCH($C2459,'Paramètres'!$D:$D,0))&amp;"","")=IF($P2459=1,"Débit",$L2459)),-IF($P2459=1,-$K2459,$K2459),0))))</f>
        <v/>
      </c>
      <c r="U2459" s="6" t="str">
        <f>IF($K2459="","",IF(ISNUMBER(SEARCH("sortie-epargne",IFERROR(INDEX('Paramètres'!$N:$N,MATCH($D2459,'Paramètres'!$M:$M,0))&amp;"",""))),$K2459,0))</f>
        <v/>
      </c>
      <c r="V2459" s="6" t="str">
        <f>IF(AND($A2459&lt;&gt;"",$O2459=1,$L2459="Débit",N($Q2459)&gt;0,$A2459&gt;=Visualisation!$B$1,$A2459&lt;Visualisation!$D$1),MAX($V$1:V2458)+1,"")</f>
        <v/>
      </c>
    </row>
    <row r="2460" spans="1:22" x14ac:dyDescent="0.25">
      <c r="A2460" s="9"/>
      <c r="E2460" s="10"/>
      <c r="K2460" s="11" t="str">
        <f>IF($E2460="","",ROUND($E2460*IF(ISNA(MATCH($C2460,'Paramètres'!$D:$D,0)),1,IF(INDEX('Paramètres'!$J:$J,MATCH($C2460,'Paramètres'!$D:$D,0))="",1,INDEX('Paramètres'!$J:$J,MATCH($C2460,'Paramètres'!$D:$D,0)))),2))</f>
        <v/>
      </c>
      <c r="L2460" s="6" t="str">
        <f>IF($D2460="","",IF($F2460&lt;&gt;"",$F2460,IF(ISNA(MATCH($D2460,'Paramètres'!$M:$M,0)),"⚠ Type inconnu",IFERROR(INDEX('Paramètres'!$P:$P,MATCH($D2460,'Paramètres'!$M:$M,0))&amp;"",""))))</f>
        <v/>
      </c>
      <c r="M2460" s="6" t="str">
        <f>IF($D2460="","",IF(ISNA(MATCH($D2460,'Paramètres'!$M:$M,0)),"⚠ Type inconnu",IF($L2460="Crédit","",IFERROR(INDEX('Paramètres'!$O:$O,MATCH($D2460,'Paramètres'!$M:$M,0))&amp;"",""))))</f>
        <v/>
      </c>
      <c r="N2460" s="6" t="str">
        <f>IF($D2460="","",IFERROR(INDEX('Paramètres'!$Q:$Q,MATCH($D2460,'Paramètres'!$M:$M,0))&amp;"",""))</f>
        <v/>
      </c>
      <c r="O2460" s="6" t="str">
        <f>IF($A2460="","",IF(OR($J2460&lt;&gt;"x",$A2460&lt;=FinReleve),1,0))</f>
        <v/>
      </c>
      <c r="P2460" s="6" t="str">
        <f>IF($D2460="","",IF(AND($L2460="Crédit",OR(IFERROR(INDEX('Paramètres'!$O:$O,MATCH($D2460,'Paramètres'!$M:$M,0))&amp;"","")&lt;&gt;"",ISNUMBER(SEARCH("remboursement",IFERROR(INDEX('Paramètres'!$N:$N,MATCH($D2460,'Paramètres'!$M:$M,0))&amp;"",""))))),1,0))</f>
        <v/>
      </c>
      <c r="Q2460" s="6" t="str">
        <f>IF($K2460="","",IF(ISNUMBER(SEARCH("transfert-interne",IFERROR(INDEX('Paramètres'!$N:$N,MATCH($D2460,'Paramètres'!$M:$M,0))&amp;"",""))),0,IF($L2460="Débit",$K2460,IF($P2460=1,-$K2460,0))))</f>
        <v/>
      </c>
      <c r="R2460" s="6" t="str">
        <f>IF($K2460="","",IF($L2460="Crédit",$K2460,-$K2460))</f>
        <v/>
      </c>
      <c r="S2460" s="6" t="str">
        <f>IF($C2460="","",IFERROR(INDEX('Paramètres'!$H:$H,MATCH($C2460,'Paramètres'!$D:$D,0))&amp;"",""))</f>
        <v/>
      </c>
      <c r="T2460" s="6" t="str">
        <f>IF($K2460="","",IF($S2460="",0,IF(ISNUMBER(SEARCH("apport-exterieur",IFERROR(INDEX('Paramètres'!$N:$N,MATCH($D2460,'Paramètres'!$M:$M,0))&amp;"",""))),0,IF(OR(IFERROR(INDEX('Paramètres'!$I:$I,MATCH($C2460,'Paramètres'!$D:$D,0))&amp;"","")="Les deux",IFERROR(INDEX('Paramètres'!$I:$I,MATCH($C2460,'Paramètres'!$D:$D,0))&amp;"","")=IF($P2460=1,"Débit",$L2460)),-IF($P2460=1,-$K2460,$K2460),0))))</f>
        <v/>
      </c>
      <c r="U2460" s="6" t="str">
        <f>IF($K2460="","",IF(ISNUMBER(SEARCH("sortie-epargne",IFERROR(INDEX('Paramètres'!$N:$N,MATCH($D2460,'Paramètres'!$M:$M,0))&amp;"",""))),$K2460,0))</f>
        <v/>
      </c>
      <c r="V2460" s="6" t="str">
        <f>IF(AND($A2460&lt;&gt;"",$O2460=1,$L2460="Débit",N($Q2460)&gt;0,$A2460&gt;=Visualisation!$B$1,$A2460&lt;Visualisation!$D$1),MAX($V$1:V2459)+1,"")</f>
        <v/>
      </c>
    </row>
    <row r="2461" spans="1:22" x14ac:dyDescent="0.25">
      <c r="A2461" s="9"/>
      <c r="E2461" s="10"/>
      <c r="K2461" s="11" t="str">
        <f>IF($E2461="","",ROUND($E2461*IF(ISNA(MATCH($C2461,'Paramètres'!$D:$D,0)),1,IF(INDEX('Paramètres'!$J:$J,MATCH($C2461,'Paramètres'!$D:$D,0))="",1,INDEX('Paramètres'!$J:$J,MATCH($C2461,'Paramètres'!$D:$D,0)))),2))</f>
        <v/>
      </c>
      <c r="L2461" s="6" t="str">
        <f>IF($D2461="","",IF($F2461&lt;&gt;"",$F2461,IF(ISNA(MATCH($D2461,'Paramètres'!$M:$M,0)),"⚠ Type inconnu",IFERROR(INDEX('Paramètres'!$P:$P,MATCH($D2461,'Paramètres'!$M:$M,0))&amp;"",""))))</f>
        <v/>
      </c>
      <c r="M2461" s="6" t="str">
        <f>IF($D2461="","",IF(ISNA(MATCH($D2461,'Paramètres'!$M:$M,0)),"⚠ Type inconnu",IF($L2461="Crédit","",IFERROR(INDEX('Paramètres'!$O:$O,MATCH($D2461,'Paramètres'!$M:$M,0))&amp;"",""))))</f>
        <v/>
      </c>
      <c r="N2461" s="6" t="str">
        <f>IF($D2461="","",IFERROR(INDEX('Paramètres'!$Q:$Q,MATCH($D2461,'Paramètres'!$M:$M,0))&amp;"",""))</f>
        <v/>
      </c>
      <c r="O2461" s="6" t="str">
        <f>IF($A2461="","",IF(OR($J2461&lt;&gt;"x",$A2461&lt;=FinReleve),1,0))</f>
        <v/>
      </c>
      <c r="P2461" s="6" t="str">
        <f>IF($D2461="","",IF(AND($L2461="Crédit",OR(IFERROR(INDEX('Paramètres'!$O:$O,MATCH($D2461,'Paramètres'!$M:$M,0))&amp;"","")&lt;&gt;"",ISNUMBER(SEARCH("remboursement",IFERROR(INDEX('Paramètres'!$N:$N,MATCH($D2461,'Paramètres'!$M:$M,0))&amp;"",""))))),1,0))</f>
        <v/>
      </c>
      <c r="Q2461" s="6" t="str">
        <f>IF($K2461="","",IF(ISNUMBER(SEARCH("transfert-interne",IFERROR(INDEX('Paramètres'!$N:$N,MATCH($D2461,'Paramètres'!$M:$M,0))&amp;"",""))),0,IF($L2461="Débit",$K2461,IF($P2461=1,-$K2461,0))))</f>
        <v/>
      </c>
      <c r="R2461" s="6" t="str">
        <f>IF($K2461="","",IF($L2461="Crédit",$K2461,-$K2461))</f>
        <v/>
      </c>
      <c r="S2461" s="6" t="str">
        <f>IF($C2461="","",IFERROR(INDEX('Paramètres'!$H:$H,MATCH($C2461,'Paramètres'!$D:$D,0))&amp;"",""))</f>
        <v/>
      </c>
      <c r="T2461" s="6" t="str">
        <f>IF($K2461="","",IF($S2461="",0,IF(ISNUMBER(SEARCH("apport-exterieur",IFERROR(INDEX('Paramètres'!$N:$N,MATCH($D2461,'Paramètres'!$M:$M,0))&amp;"",""))),0,IF(OR(IFERROR(INDEX('Paramètres'!$I:$I,MATCH($C2461,'Paramètres'!$D:$D,0))&amp;"","")="Les deux",IFERROR(INDEX('Paramètres'!$I:$I,MATCH($C2461,'Paramètres'!$D:$D,0))&amp;"","")=IF($P2461=1,"Débit",$L2461)),-IF($P2461=1,-$K2461,$K2461),0))))</f>
        <v/>
      </c>
      <c r="U2461" s="6" t="str">
        <f>IF($K2461="","",IF(ISNUMBER(SEARCH("sortie-epargne",IFERROR(INDEX('Paramètres'!$N:$N,MATCH($D2461,'Paramètres'!$M:$M,0))&amp;"",""))),$K2461,0))</f>
        <v/>
      </c>
      <c r="V2461" s="6" t="str">
        <f>IF(AND($A2461&lt;&gt;"",$O2461=1,$L2461="Débit",N($Q2461)&gt;0,$A2461&gt;=Visualisation!$B$1,$A2461&lt;Visualisation!$D$1),MAX($V$1:V2460)+1,"")</f>
        <v/>
      </c>
    </row>
    <row r="2462" spans="1:22" x14ac:dyDescent="0.25">
      <c r="A2462" s="9"/>
      <c r="E2462" s="10"/>
      <c r="K2462" s="11" t="str">
        <f>IF($E2462="","",ROUND($E2462*IF(ISNA(MATCH($C2462,'Paramètres'!$D:$D,0)),1,IF(INDEX('Paramètres'!$J:$J,MATCH($C2462,'Paramètres'!$D:$D,0))="",1,INDEX('Paramètres'!$J:$J,MATCH($C2462,'Paramètres'!$D:$D,0)))),2))</f>
        <v/>
      </c>
      <c r="L2462" s="6" t="str">
        <f>IF($D2462="","",IF($F2462&lt;&gt;"",$F2462,IF(ISNA(MATCH($D2462,'Paramètres'!$M:$M,0)),"⚠ Type inconnu",IFERROR(INDEX('Paramètres'!$P:$P,MATCH($D2462,'Paramètres'!$M:$M,0))&amp;"",""))))</f>
        <v/>
      </c>
      <c r="M2462" s="6" t="str">
        <f>IF($D2462="","",IF(ISNA(MATCH($D2462,'Paramètres'!$M:$M,0)),"⚠ Type inconnu",IF($L2462="Crédit","",IFERROR(INDEX('Paramètres'!$O:$O,MATCH($D2462,'Paramètres'!$M:$M,0))&amp;"",""))))</f>
        <v/>
      </c>
      <c r="N2462" s="6" t="str">
        <f>IF($D2462="","",IFERROR(INDEX('Paramètres'!$Q:$Q,MATCH($D2462,'Paramètres'!$M:$M,0))&amp;"",""))</f>
        <v/>
      </c>
      <c r="O2462" s="6" t="str">
        <f>IF($A2462="","",IF(OR($J2462&lt;&gt;"x",$A2462&lt;=FinReleve),1,0))</f>
        <v/>
      </c>
      <c r="P2462" s="6" t="str">
        <f>IF($D2462="","",IF(AND($L2462="Crédit",OR(IFERROR(INDEX('Paramètres'!$O:$O,MATCH($D2462,'Paramètres'!$M:$M,0))&amp;"","")&lt;&gt;"",ISNUMBER(SEARCH("remboursement",IFERROR(INDEX('Paramètres'!$N:$N,MATCH($D2462,'Paramètres'!$M:$M,0))&amp;"",""))))),1,0))</f>
        <v/>
      </c>
      <c r="Q2462" s="6" t="str">
        <f>IF($K2462="","",IF(ISNUMBER(SEARCH("transfert-interne",IFERROR(INDEX('Paramètres'!$N:$N,MATCH($D2462,'Paramètres'!$M:$M,0))&amp;"",""))),0,IF($L2462="Débit",$K2462,IF($P2462=1,-$K2462,0))))</f>
        <v/>
      </c>
      <c r="R2462" s="6" t="str">
        <f>IF($K2462="","",IF($L2462="Crédit",$K2462,-$K2462))</f>
        <v/>
      </c>
      <c r="S2462" s="6" t="str">
        <f>IF($C2462="","",IFERROR(INDEX('Paramètres'!$H:$H,MATCH($C2462,'Paramètres'!$D:$D,0))&amp;"",""))</f>
        <v/>
      </c>
      <c r="T2462" s="6" t="str">
        <f>IF($K2462="","",IF($S2462="",0,IF(ISNUMBER(SEARCH("apport-exterieur",IFERROR(INDEX('Paramètres'!$N:$N,MATCH($D2462,'Paramètres'!$M:$M,0))&amp;"",""))),0,IF(OR(IFERROR(INDEX('Paramètres'!$I:$I,MATCH($C2462,'Paramètres'!$D:$D,0))&amp;"","")="Les deux",IFERROR(INDEX('Paramètres'!$I:$I,MATCH($C2462,'Paramètres'!$D:$D,0))&amp;"","")=IF($P2462=1,"Débit",$L2462)),-IF($P2462=1,-$K2462,$K2462),0))))</f>
        <v/>
      </c>
      <c r="U2462" s="6" t="str">
        <f>IF($K2462="","",IF(ISNUMBER(SEARCH("sortie-epargne",IFERROR(INDEX('Paramètres'!$N:$N,MATCH($D2462,'Paramètres'!$M:$M,0))&amp;"",""))),$K2462,0))</f>
        <v/>
      </c>
      <c r="V2462" s="6" t="str">
        <f>IF(AND($A2462&lt;&gt;"",$O2462=1,$L2462="Débit",N($Q2462)&gt;0,$A2462&gt;=Visualisation!$B$1,$A2462&lt;Visualisation!$D$1),MAX($V$1:V2461)+1,"")</f>
        <v/>
      </c>
    </row>
    <row r="2463" spans="1:22" x14ac:dyDescent="0.25">
      <c r="A2463" s="9"/>
      <c r="E2463" s="10"/>
      <c r="K2463" s="11" t="str">
        <f>IF($E2463="","",ROUND($E2463*IF(ISNA(MATCH($C2463,'Paramètres'!$D:$D,0)),1,IF(INDEX('Paramètres'!$J:$J,MATCH($C2463,'Paramètres'!$D:$D,0))="",1,INDEX('Paramètres'!$J:$J,MATCH($C2463,'Paramètres'!$D:$D,0)))),2))</f>
        <v/>
      </c>
      <c r="L2463" s="6" t="str">
        <f>IF($D2463="","",IF($F2463&lt;&gt;"",$F2463,IF(ISNA(MATCH($D2463,'Paramètres'!$M:$M,0)),"⚠ Type inconnu",IFERROR(INDEX('Paramètres'!$P:$P,MATCH($D2463,'Paramètres'!$M:$M,0))&amp;"",""))))</f>
        <v/>
      </c>
      <c r="M2463" s="6" t="str">
        <f>IF($D2463="","",IF(ISNA(MATCH($D2463,'Paramètres'!$M:$M,0)),"⚠ Type inconnu",IF($L2463="Crédit","",IFERROR(INDEX('Paramètres'!$O:$O,MATCH($D2463,'Paramètres'!$M:$M,0))&amp;"",""))))</f>
        <v/>
      </c>
      <c r="N2463" s="6" t="str">
        <f>IF($D2463="","",IFERROR(INDEX('Paramètres'!$Q:$Q,MATCH($D2463,'Paramètres'!$M:$M,0))&amp;"",""))</f>
        <v/>
      </c>
      <c r="O2463" s="6" t="str">
        <f>IF($A2463="","",IF(OR($J2463&lt;&gt;"x",$A2463&lt;=FinReleve),1,0))</f>
        <v/>
      </c>
      <c r="P2463" s="6" t="str">
        <f>IF($D2463="","",IF(AND($L2463="Crédit",OR(IFERROR(INDEX('Paramètres'!$O:$O,MATCH($D2463,'Paramètres'!$M:$M,0))&amp;"","")&lt;&gt;"",ISNUMBER(SEARCH("remboursement",IFERROR(INDEX('Paramètres'!$N:$N,MATCH($D2463,'Paramètres'!$M:$M,0))&amp;"",""))))),1,0))</f>
        <v/>
      </c>
      <c r="Q2463" s="6" t="str">
        <f>IF($K2463="","",IF(ISNUMBER(SEARCH("transfert-interne",IFERROR(INDEX('Paramètres'!$N:$N,MATCH($D2463,'Paramètres'!$M:$M,0))&amp;"",""))),0,IF($L2463="Débit",$K2463,IF($P2463=1,-$K2463,0))))</f>
        <v/>
      </c>
      <c r="R2463" s="6" t="str">
        <f>IF($K2463="","",IF($L2463="Crédit",$K2463,-$K2463))</f>
        <v/>
      </c>
      <c r="S2463" s="6" t="str">
        <f>IF($C2463="","",IFERROR(INDEX('Paramètres'!$H:$H,MATCH($C2463,'Paramètres'!$D:$D,0))&amp;"",""))</f>
        <v/>
      </c>
      <c r="T2463" s="6" t="str">
        <f>IF($K2463="","",IF($S2463="",0,IF(ISNUMBER(SEARCH("apport-exterieur",IFERROR(INDEX('Paramètres'!$N:$N,MATCH($D2463,'Paramètres'!$M:$M,0))&amp;"",""))),0,IF(OR(IFERROR(INDEX('Paramètres'!$I:$I,MATCH($C2463,'Paramètres'!$D:$D,0))&amp;"","")="Les deux",IFERROR(INDEX('Paramètres'!$I:$I,MATCH($C2463,'Paramètres'!$D:$D,0))&amp;"","")=IF($P2463=1,"Débit",$L2463)),-IF($P2463=1,-$K2463,$K2463),0))))</f>
        <v/>
      </c>
      <c r="U2463" s="6" t="str">
        <f>IF($K2463="","",IF(ISNUMBER(SEARCH("sortie-epargne",IFERROR(INDEX('Paramètres'!$N:$N,MATCH($D2463,'Paramètres'!$M:$M,0))&amp;"",""))),$K2463,0))</f>
        <v/>
      </c>
      <c r="V2463" s="6" t="str">
        <f>IF(AND($A2463&lt;&gt;"",$O2463=1,$L2463="Débit",N($Q2463)&gt;0,$A2463&gt;=Visualisation!$B$1,$A2463&lt;Visualisation!$D$1),MAX($V$1:V2462)+1,"")</f>
        <v/>
      </c>
    </row>
    <row r="2464" spans="1:22" x14ac:dyDescent="0.25">
      <c r="A2464" s="9"/>
      <c r="E2464" s="10"/>
      <c r="K2464" s="11" t="str">
        <f>IF($E2464="","",ROUND($E2464*IF(ISNA(MATCH($C2464,'Paramètres'!$D:$D,0)),1,IF(INDEX('Paramètres'!$J:$J,MATCH($C2464,'Paramètres'!$D:$D,0))="",1,INDEX('Paramètres'!$J:$J,MATCH($C2464,'Paramètres'!$D:$D,0)))),2))</f>
        <v/>
      </c>
      <c r="L2464" s="6" t="str">
        <f>IF($D2464="","",IF($F2464&lt;&gt;"",$F2464,IF(ISNA(MATCH($D2464,'Paramètres'!$M:$M,0)),"⚠ Type inconnu",IFERROR(INDEX('Paramètres'!$P:$P,MATCH($D2464,'Paramètres'!$M:$M,0))&amp;"",""))))</f>
        <v/>
      </c>
      <c r="M2464" s="6" t="str">
        <f>IF($D2464="","",IF(ISNA(MATCH($D2464,'Paramètres'!$M:$M,0)),"⚠ Type inconnu",IF($L2464="Crédit","",IFERROR(INDEX('Paramètres'!$O:$O,MATCH($D2464,'Paramètres'!$M:$M,0))&amp;"",""))))</f>
        <v/>
      </c>
      <c r="N2464" s="6" t="str">
        <f>IF($D2464="","",IFERROR(INDEX('Paramètres'!$Q:$Q,MATCH($D2464,'Paramètres'!$M:$M,0))&amp;"",""))</f>
        <v/>
      </c>
      <c r="O2464" s="6" t="str">
        <f>IF($A2464="","",IF(OR($J2464&lt;&gt;"x",$A2464&lt;=FinReleve),1,0))</f>
        <v/>
      </c>
      <c r="P2464" s="6" t="str">
        <f>IF($D2464="","",IF(AND($L2464="Crédit",OR(IFERROR(INDEX('Paramètres'!$O:$O,MATCH($D2464,'Paramètres'!$M:$M,0))&amp;"","")&lt;&gt;"",ISNUMBER(SEARCH("remboursement",IFERROR(INDEX('Paramètres'!$N:$N,MATCH($D2464,'Paramètres'!$M:$M,0))&amp;"",""))))),1,0))</f>
        <v/>
      </c>
      <c r="Q2464" s="6" t="str">
        <f>IF($K2464="","",IF(ISNUMBER(SEARCH("transfert-interne",IFERROR(INDEX('Paramètres'!$N:$N,MATCH($D2464,'Paramètres'!$M:$M,0))&amp;"",""))),0,IF($L2464="Débit",$K2464,IF($P2464=1,-$K2464,0))))</f>
        <v/>
      </c>
      <c r="R2464" s="6" t="str">
        <f>IF($K2464="","",IF($L2464="Crédit",$K2464,-$K2464))</f>
        <v/>
      </c>
      <c r="S2464" s="6" t="str">
        <f>IF($C2464="","",IFERROR(INDEX('Paramètres'!$H:$H,MATCH($C2464,'Paramètres'!$D:$D,0))&amp;"",""))</f>
        <v/>
      </c>
      <c r="T2464" s="6" t="str">
        <f>IF($K2464="","",IF($S2464="",0,IF(ISNUMBER(SEARCH("apport-exterieur",IFERROR(INDEX('Paramètres'!$N:$N,MATCH($D2464,'Paramètres'!$M:$M,0))&amp;"",""))),0,IF(OR(IFERROR(INDEX('Paramètres'!$I:$I,MATCH($C2464,'Paramètres'!$D:$D,0))&amp;"","")="Les deux",IFERROR(INDEX('Paramètres'!$I:$I,MATCH($C2464,'Paramètres'!$D:$D,0))&amp;"","")=IF($P2464=1,"Débit",$L2464)),-IF($P2464=1,-$K2464,$K2464),0))))</f>
        <v/>
      </c>
      <c r="U2464" s="6" t="str">
        <f>IF($K2464="","",IF(ISNUMBER(SEARCH("sortie-epargne",IFERROR(INDEX('Paramètres'!$N:$N,MATCH($D2464,'Paramètres'!$M:$M,0))&amp;"",""))),$K2464,0))</f>
        <v/>
      </c>
      <c r="V2464" s="6" t="str">
        <f>IF(AND($A2464&lt;&gt;"",$O2464=1,$L2464="Débit",N($Q2464)&gt;0,$A2464&gt;=Visualisation!$B$1,$A2464&lt;Visualisation!$D$1),MAX($V$1:V2463)+1,"")</f>
        <v/>
      </c>
    </row>
    <row r="2465" spans="1:22" x14ac:dyDescent="0.25">
      <c r="A2465" s="9"/>
      <c r="E2465" s="10"/>
      <c r="K2465" s="11" t="str">
        <f>IF($E2465="","",ROUND($E2465*IF(ISNA(MATCH($C2465,'Paramètres'!$D:$D,0)),1,IF(INDEX('Paramètres'!$J:$J,MATCH($C2465,'Paramètres'!$D:$D,0))="",1,INDEX('Paramètres'!$J:$J,MATCH($C2465,'Paramètres'!$D:$D,0)))),2))</f>
        <v/>
      </c>
      <c r="L2465" s="6" t="str">
        <f>IF($D2465="","",IF($F2465&lt;&gt;"",$F2465,IF(ISNA(MATCH($D2465,'Paramètres'!$M:$M,0)),"⚠ Type inconnu",IFERROR(INDEX('Paramètres'!$P:$P,MATCH($D2465,'Paramètres'!$M:$M,0))&amp;"",""))))</f>
        <v/>
      </c>
      <c r="M2465" s="6" t="str">
        <f>IF($D2465="","",IF(ISNA(MATCH($D2465,'Paramètres'!$M:$M,0)),"⚠ Type inconnu",IF($L2465="Crédit","",IFERROR(INDEX('Paramètres'!$O:$O,MATCH($D2465,'Paramètres'!$M:$M,0))&amp;"",""))))</f>
        <v/>
      </c>
      <c r="N2465" s="6" t="str">
        <f>IF($D2465="","",IFERROR(INDEX('Paramètres'!$Q:$Q,MATCH($D2465,'Paramètres'!$M:$M,0))&amp;"",""))</f>
        <v/>
      </c>
      <c r="O2465" s="6" t="str">
        <f>IF($A2465="","",IF(OR($J2465&lt;&gt;"x",$A2465&lt;=FinReleve),1,0))</f>
        <v/>
      </c>
      <c r="P2465" s="6" t="str">
        <f>IF($D2465="","",IF(AND($L2465="Crédit",OR(IFERROR(INDEX('Paramètres'!$O:$O,MATCH($D2465,'Paramètres'!$M:$M,0))&amp;"","")&lt;&gt;"",ISNUMBER(SEARCH("remboursement",IFERROR(INDEX('Paramètres'!$N:$N,MATCH($D2465,'Paramètres'!$M:$M,0))&amp;"",""))))),1,0))</f>
        <v/>
      </c>
      <c r="Q2465" s="6" t="str">
        <f>IF($K2465="","",IF(ISNUMBER(SEARCH("transfert-interne",IFERROR(INDEX('Paramètres'!$N:$N,MATCH($D2465,'Paramètres'!$M:$M,0))&amp;"",""))),0,IF($L2465="Débit",$K2465,IF($P2465=1,-$K2465,0))))</f>
        <v/>
      </c>
      <c r="R2465" s="6" t="str">
        <f>IF($K2465="","",IF($L2465="Crédit",$K2465,-$K2465))</f>
        <v/>
      </c>
      <c r="S2465" s="6" t="str">
        <f>IF($C2465="","",IFERROR(INDEX('Paramètres'!$H:$H,MATCH($C2465,'Paramètres'!$D:$D,0))&amp;"",""))</f>
        <v/>
      </c>
      <c r="T2465" s="6" t="str">
        <f>IF($K2465="","",IF($S2465="",0,IF(ISNUMBER(SEARCH("apport-exterieur",IFERROR(INDEX('Paramètres'!$N:$N,MATCH($D2465,'Paramètres'!$M:$M,0))&amp;"",""))),0,IF(OR(IFERROR(INDEX('Paramètres'!$I:$I,MATCH($C2465,'Paramètres'!$D:$D,0))&amp;"","")="Les deux",IFERROR(INDEX('Paramètres'!$I:$I,MATCH($C2465,'Paramètres'!$D:$D,0))&amp;"","")=IF($P2465=1,"Débit",$L2465)),-IF($P2465=1,-$K2465,$K2465),0))))</f>
        <v/>
      </c>
      <c r="U2465" s="6" t="str">
        <f>IF($K2465="","",IF(ISNUMBER(SEARCH("sortie-epargne",IFERROR(INDEX('Paramètres'!$N:$N,MATCH($D2465,'Paramètres'!$M:$M,0))&amp;"",""))),$K2465,0))</f>
        <v/>
      </c>
      <c r="V2465" s="6" t="str">
        <f>IF(AND($A2465&lt;&gt;"",$O2465=1,$L2465="Débit",N($Q2465)&gt;0,$A2465&gt;=Visualisation!$B$1,$A2465&lt;Visualisation!$D$1),MAX($V$1:V2464)+1,"")</f>
        <v/>
      </c>
    </row>
    <row r="2466" spans="1:22" x14ac:dyDescent="0.25">
      <c r="A2466" s="9"/>
      <c r="E2466" s="10"/>
      <c r="K2466" s="11" t="str">
        <f>IF($E2466="","",ROUND($E2466*IF(ISNA(MATCH($C2466,'Paramètres'!$D:$D,0)),1,IF(INDEX('Paramètres'!$J:$J,MATCH($C2466,'Paramètres'!$D:$D,0))="",1,INDEX('Paramètres'!$J:$J,MATCH($C2466,'Paramètres'!$D:$D,0)))),2))</f>
        <v/>
      </c>
      <c r="L2466" s="6" t="str">
        <f>IF($D2466="","",IF($F2466&lt;&gt;"",$F2466,IF(ISNA(MATCH($D2466,'Paramètres'!$M:$M,0)),"⚠ Type inconnu",IFERROR(INDEX('Paramètres'!$P:$P,MATCH($D2466,'Paramètres'!$M:$M,0))&amp;"",""))))</f>
        <v/>
      </c>
      <c r="M2466" s="6" t="str">
        <f>IF($D2466="","",IF(ISNA(MATCH($D2466,'Paramètres'!$M:$M,0)),"⚠ Type inconnu",IF($L2466="Crédit","",IFERROR(INDEX('Paramètres'!$O:$O,MATCH($D2466,'Paramètres'!$M:$M,0))&amp;"",""))))</f>
        <v/>
      </c>
      <c r="N2466" s="6" t="str">
        <f>IF($D2466="","",IFERROR(INDEX('Paramètres'!$Q:$Q,MATCH($D2466,'Paramètres'!$M:$M,0))&amp;"",""))</f>
        <v/>
      </c>
      <c r="O2466" s="6" t="str">
        <f>IF($A2466="","",IF(OR($J2466&lt;&gt;"x",$A2466&lt;=FinReleve),1,0))</f>
        <v/>
      </c>
      <c r="P2466" s="6" t="str">
        <f>IF($D2466="","",IF(AND($L2466="Crédit",OR(IFERROR(INDEX('Paramètres'!$O:$O,MATCH($D2466,'Paramètres'!$M:$M,0))&amp;"","")&lt;&gt;"",ISNUMBER(SEARCH("remboursement",IFERROR(INDEX('Paramètres'!$N:$N,MATCH($D2466,'Paramètres'!$M:$M,0))&amp;"",""))))),1,0))</f>
        <v/>
      </c>
      <c r="Q2466" s="6" t="str">
        <f>IF($K2466="","",IF(ISNUMBER(SEARCH("transfert-interne",IFERROR(INDEX('Paramètres'!$N:$N,MATCH($D2466,'Paramètres'!$M:$M,0))&amp;"",""))),0,IF($L2466="Débit",$K2466,IF($P2466=1,-$K2466,0))))</f>
        <v/>
      </c>
      <c r="R2466" s="6" t="str">
        <f>IF($K2466="","",IF($L2466="Crédit",$K2466,-$K2466))</f>
        <v/>
      </c>
      <c r="S2466" s="6" t="str">
        <f>IF($C2466="","",IFERROR(INDEX('Paramètres'!$H:$H,MATCH($C2466,'Paramètres'!$D:$D,0))&amp;"",""))</f>
        <v/>
      </c>
      <c r="T2466" s="6" t="str">
        <f>IF($K2466="","",IF($S2466="",0,IF(ISNUMBER(SEARCH("apport-exterieur",IFERROR(INDEX('Paramètres'!$N:$N,MATCH($D2466,'Paramètres'!$M:$M,0))&amp;"",""))),0,IF(OR(IFERROR(INDEX('Paramètres'!$I:$I,MATCH($C2466,'Paramètres'!$D:$D,0))&amp;"","")="Les deux",IFERROR(INDEX('Paramètres'!$I:$I,MATCH($C2466,'Paramètres'!$D:$D,0))&amp;"","")=IF($P2466=1,"Débit",$L2466)),-IF($P2466=1,-$K2466,$K2466),0))))</f>
        <v/>
      </c>
      <c r="U2466" s="6" t="str">
        <f>IF($K2466="","",IF(ISNUMBER(SEARCH("sortie-epargne",IFERROR(INDEX('Paramètres'!$N:$N,MATCH($D2466,'Paramètres'!$M:$M,0))&amp;"",""))),$K2466,0))</f>
        <v/>
      </c>
      <c r="V2466" s="6" t="str">
        <f>IF(AND($A2466&lt;&gt;"",$O2466=1,$L2466="Débit",N($Q2466)&gt;0,$A2466&gt;=Visualisation!$B$1,$A2466&lt;Visualisation!$D$1),MAX($V$1:V2465)+1,"")</f>
        <v/>
      </c>
    </row>
    <row r="2467" spans="1:22" x14ac:dyDescent="0.25">
      <c r="A2467" s="9"/>
      <c r="E2467" s="10"/>
      <c r="K2467" s="11" t="str">
        <f>IF($E2467="","",ROUND($E2467*IF(ISNA(MATCH($C2467,'Paramètres'!$D:$D,0)),1,IF(INDEX('Paramètres'!$J:$J,MATCH($C2467,'Paramètres'!$D:$D,0))="",1,INDEX('Paramètres'!$J:$J,MATCH($C2467,'Paramètres'!$D:$D,0)))),2))</f>
        <v/>
      </c>
      <c r="L2467" s="6" t="str">
        <f>IF($D2467="","",IF($F2467&lt;&gt;"",$F2467,IF(ISNA(MATCH($D2467,'Paramètres'!$M:$M,0)),"⚠ Type inconnu",IFERROR(INDEX('Paramètres'!$P:$P,MATCH($D2467,'Paramètres'!$M:$M,0))&amp;"",""))))</f>
        <v/>
      </c>
      <c r="M2467" s="6" t="str">
        <f>IF($D2467="","",IF(ISNA(MATCH($D2467,'Paramètres'!$M:$M,0)),"⚠ Type inconnu",IF($L2467="Crédit","",IFERROR(INDEX('Paramètres'!$O:$O,MATCH($D2467,'Paramètres'!$M:$M,0))&amp;"",""))))</f>
        <v/>
      </c>
      <c r="N2467" s="6" t="str">
        <f>IF($D2467="","",IFERROR(INDEX('Paramètres'!$Q:$Q,MATCH($D2467,'Paramètres'!$M:$M,0))&amp;"",""))</f>
        <v/>
      </c>
      <c r="O2467" s="6" t="str">
        <f>IF($A2467="","",IF(OR($J2467&lt;&gt;"x",$A2467&lt;=FinReleve),1,0))</f>
        <v/>
      </c>
      <c r="P2467" s="6" t="str">
        <f>IF($D2467="","",IF(AND($L2467="Crédit",OR(IFERROR(INDEX('Paramètres'!$O:$O,MATCH($D2467,'Paramètres'!$M:$M,0))&amp;"","")&lt;&gt;"",ISNUMBER(SEARCH("remboursement",IFERROR(INDEX('Paramètres'!$N:$N,MATCH($D2467,'Paramètres'!$M:$M,0))&amp;"",""))))),1,0))</f>
        <v/>
      </c>
      <c r="Q2467" s="6" t="str">
        <f>IF($K2467="","",IF(ISNUMBER(SEARCH("transfert-interne",IFERROR(INDEX('Paramètres'!$N:$N,MATCH($D2467,'Paramètres'!$M:$M,0))&amp;"",""))),0,IF($L2467="Débit",$K2467,IF($P2467=1,-$K2467,0))))</f>
        <v/>
      </c>
      <c r="R2467" s="6" t="str">
        <f>IF($K2467="","",IF($L2467="Crédit",$K2467,-$K2467))</f>
        <v/>
      </c>
      <c r="S2467" s="6" t="str">
        <f>IF($C2467="","",IFERROR(INDEX('Paramètres'!$H:$H,MATCH($C2467,'Paramètres'!$D:$D,0))&amp;"",""))</f>
        <v/>
      </c>
      <c r="T2467" s="6" t="str">
        <f>IF($K2467="","",IF($S2467="",0,IF(ISNUMBER(SEARCH("apport-exterieur",IFERROR(INDEX('Paramètres'!$N:$N,MATCH($D2467,'Paramètres'!$M:$M,0))&amp;"",""))),0,IF(OR(IFERROR(INDEX('Paramètres'!$I:$I,MATCH($C2467,'Paramètres'!$D:$D,0))&amp;"","")="Les deux",IFERROR(INDEX('Paramètres'!$I:$I,MATCH($C2467,'Paramètres'!$D:$D,0))&amp;"","")=IF($P2467=1,"Débit",$L2467)),-IF($P2467=1,-$K2467,$K2467),0))))</f>
        <v/>
      </c>
      <c r="U2467" s="6" t="str">
        <f>IF($K2467="","",IF(ISNUMBER(SEARCH("sortie-epargne",IFERROR(INDEX('Paramètres'!$N:$N,MATCH($D2467,'Paramètres'!$M:$M,0))&amp;"",""))),$K2467,0))</f>
        <v/>
      </c>
      <c r="V2467" s="6" t="str">
        <f>IF(AND($A2467&lt;&gt;"",$O2467=1,$L2467="Débit",N($Q2467)&gt;0,$A2467&gt;=Visualisation!$B$1,$A2467&lt;Visualisation!$D$1),MAX($V$1:V2466)+1,"")</f>
        <v/>
      </c>
    </row>
    <row r="2468" spans="1:22" x14ac:dyDescent="0.25">
      <c r="A2468" s="9"/>
      <c r="E2468" s="10"/>
      <c r="K2468" s="11" t="str">
        <f>IF($E2468="","",ROUND($E2468*IF(ISNA(MATCH($C2468,'Paramètres'!$D:$D,0)),1,IF(INDEX('Paramètres'!$J:$J,MATCH($C2468,'Paramètres'!$D:$D,0))="",1,INDEX('Paramètres'!$J:$J,MATCH($C2468,'Paramètres'!$D:$D,0)))),2))</f>
        <v/>
      </c>
      <c r="L2468" s="6" t="str">
        <f>IF($D2468="","",IF($F2468&lt;&gt;"",$F2468,IF(ISNA(MATCH($D2468,'Paramètres'!$M:$M,0)),"⚠ Type inconnu",IFERROR(INDEX('Paramètres'!$P:$P,MATCH($D2468,'Paramètres'!$M:$M,0))&amp;"",""))))</f>
        <v/>
      </c>
      <c r="M2468" s="6" t="str">
        <f>IF($D2468="","",IF(ISNA(MATCH($D2468,'Paramètres'!$M:$M,0)),"⚠ Type inconnu",IF($L2468="Crédit","",IFERROR(INDEX('Paramètres'!$O:$O,MATCH($D2468,'Paramètres'!$M:$M,0))&amp;"",""))))</f>
        <v/>
      </c>
      <c r="N2468" s="6" t="str">
        <f>IF($D2468="","",IFERROR(INDEX('Paramètres'!$Q:$Q,MATCH($D2468,'Paramètres'!$M:$M,0))&amp;"",""))</f>
        <v/>
      </c>
      <c r="O2468" s="6" t="str">
        <f>IF($A2468="","",IF(OR($J2468&lt;&gt;"x",$A2468&lt;=FinReleve),1,0))</f>
        <v/>
      </c>
      <c r="P2468" s="6" t="str">
        <f>IF($D2468="","",IF(AND($L2468="Crédit",OR(IFERROR(INDEX('Paramètres'!$O:$O,MATCH($D2468,'Paramètres'!$M:$M,0))&amp;"","")&lt;&gt;"",ISNUMBER(SEARCH("remboursement",IFERROR(INDEX('Paramètres'!$N:$N,MATCH($D2468,'Paramètres'!$M:$M,0))&amp;"",""))))),1,0))</f>
        <v/>
      </c>
      <c r="Q2468" s="6" t="str">
        <f>IF($K2468="","",IF(ISNUMBER(SEARCH("transfert-interne",IFERROR(INDEX('Paramètres'!$N:$N,MATCH($D2468,'Paramètres'!$M:$M,0))&amp;"",""))),0,IF($L2468="Débit",$K2468,IF($P2468=1,-$K2468,0))))</f>
        <v/>
      </c>
      <c r="R2468" s="6" t="str">
        <f>IF($K2468="","",IF($L2468="Crédit",$K2468,-$K2468))</f>
        <v/>
      </c>
      <c r="S2468" s="6" t="str">
        <f>IF($C2468="","",IFERROR(INDEX('Paramètres'!$H:$H,MATCH($C2468,'Paramètres'!$D:$D,0))&amp;"",""))</f>
        <v/>
      </c>
      <c r="T2468" s="6" t="str">
        <f>IF($K2468="","",IF($S2468="",0,IF(ISNUMBER(SEARCH("apport-exterieur",IFERROR(INDEX('Paramètres'!$N:$N,MATCH($D2468,'Paramètres'!$M:$M,0))&amp;"",""))),0,IF(OR(IFERROR(INDEX('Paramètres'!$I:$I,MATCH($C2468,'Paramètres'!$D:$D,0))&amp;"","")="Les deux",IFERROR(INDEX('Paramètres'!$I:$I,MATCH($C2468,'Paramètres'!$D:$D,0))&amp;"","")=IF($P2468=1,"Débit",$L2468)),-IF($P2468=1,-$K2468,$K2468),0))))</f>
        <v/>
      </c>
      <c r="U2468" s="6" t="str">
        <f>IF($K2468="","",IF(ISNUMBER(SEARCH("sortie-epargne",IFERROR(INDEX('Paramètres'!$N:$N,MATCH($D2468,'Paramètres'!$M:$M,0))&amp;"",""))),$K2468,0))</f>
        <v/>
      </c>
      <c r="V2468" s="6" t="str">
        <f>IF(AND($A2468&lt;&gt;"",$O2468=1,$L2468="Débit",N($Q2468)&gt;0,$A2468&gt;=Visualisation!$B$1,$A2468&lt;Visualisation!$D$1),MAX($V$1:V2467)+1,"")</f>
        <v/>
      </c>
    </row>
    <row r="2469" spans="1:22" x14ac:dyDescent="0.25">
      <c r="A2469" s="9"/>
      <c r="E2469" s="10"/>
      <c r="K2469" s="11" t="str">
        <f>IF($E2469="","",ROUND($E2469*IF(ISNA(MATCH($C2469,'Paramètres'!$D:$D,0)),1,IF(INDEX('Paramètres'!$J:$J,MATCH($C2469,'Paramètres'!$D:$D,0))="",1,INDEX('Paramètres'!$J:$J,MATCH($C2469,'Paramètres'!$D:$D,0)))),2))</f>
        <v/>
      </c>
      <c r="L2469" s="6" t="str">
        <f>IF($D2469="","",IF($F2469&lt;&gt;"",$F2469,IF(ISNA(MATCH($D2469,'Paramètres'!$M:$M,0)),"⚠ Type inconnu",IFERROR(INDEX('Paramètres'!$P:$P,MATCH($D2469,'Paramètres'!$M:$M,0))&amp;"",""))))</f>
        <v/>
      </c>
      <c r="M2469" s="6" t="str">
        <f>IF($D2469="","",IF(ISNA(MATCH($D2469,'Paramètres'!$M:$M,0)),"⚠ Type inconnu",IF($L2469="Crédit","",IFERROR(INDEX('Paramètres'!$O:$O,MATCH($D2469,'Paramètres'!$M:$M,0))&amp;"",""))))</f>
        <v/>
      </c>
      <c r="N2469" s="6" t="str">
        <f>IF($D2469="","",IFERROR(INDEX('Paramètres'!$Q:$Q,MATCH($D2469,'Paramètres'!$M:$M,0))&amp;"",""))</f>
        <v/>
      </c>
      <c r="O2469" s="6" t="str">
        <f>IF($A2469="","",IF(OR($J2469&lt;&gt;"x",$A2469&lt;=FinReleve),1,0))</f>
        <v/>
      </c>
      <c r="P2469" s="6" t="str">
        <f>IF($D2469="","",IF(AND($L2469="Crédit",OR(IFERROR(INDEX('Paramètres'!$O:$O,MATCH($D2469,'Paramètres'!$M:$M,0))&amp;"","")&lt;&gt;"",ISNUMBER(SEARCH("remboursement",IFERROR(INDEX('Paramètres'!$N:$N,MATCH($D2469,'Paramètres'!$M:$M,0))&amp;"",""))))),1,0))</f>
        <v/>
      </c>
      <c r="Q2469" s="6" t="str">
        <f>IF($K2469="","",IF(ISNUMBER(SEARCH("transfert-interne",IFERROR(INDEX('Paramètres'!$N:$N,MATCH($D2469,'Paramètres'!$M:$M,0))&amp;"",""))),0,IF($L2469="Débit",$K2469,IF($P2469=1,-$K2469,0))))</f>
        <v/>
      </c>
      <c r="R2469" s="6" t="str">
        <f>IF($K2469="","",IF($L2469="Crédit",$K2469,-$K2469))</f>
        <v/>
      </c>
      <c r="S2469" s="6" t="str">
        <f>IF($C2469="","",IFERROR(INDEX('Paramètres'!$H:$H,MATCH($C2469,'Paramètres'!$D:$D,0))&amp;"",""))</f>
        <v/>
      </c>
      <c r="T2469" s="6" t="str">
        <f>IF($K2469="","",IF($S2469="",0,IF(ISNUMBER(SEARCH("apport-exterieur",IFERROR(INDEX('Paramètres'!$N:$N,MATCH($D2469,'Paramètres'!$M:$M,0))&amp;"",""))),0,IF(OR(IFERROR(INDEX('Paramètres'!$I:$I,MATCH($C2469,'Paramètres'!$D:$D,0))&amp;"","")="Les deux",IFERROR(INDEX('Paramètres'!$I:$I,MATCH($C2469,'Paramètres'!$D:$D,0))&amp;"","")=IF($P2469=1,"Débit",$L2469)),-IF($P2469=1,-$K2469,$K2469),0))))</f>
        <v/>
      </c>
      <c r="U2469" s="6" t="str">
        <f>IF($K2469="","",IF(ISNUMBER(SEARCH("sortie-epargne",IFERROR(INDEX('Paramètres'!$N:$N,MATCH($D2469,'Paramètres'!$M:$M,0))&amp;"",""))),$K2469,0))</f>
        <v/>
      </c>
      <c r="V2469" s="6" t="str">
        <f>IF(AND($A2469&lt;&gt;"",$O2469=1,$L2469="Débit",N($Q2469)&gt;0,$A2469&gt;=Visualisation!$B$1,$A2469&lt;Visualisation!$D$1),MAX($V$1:V2468)+1,"")</f>
        <v/>
      </c>
    </row>
    <row r="2470" spans="1:22" x14ac:dyDescent="0.25">
      <c r="A2470" s="9"/>
      <c r="E2470" s="10"/>
      <c r="K2470" s="11" t="str">
        <f>IF($E2470="","",ROUND($E2470*IF(ISNA(MATCH($C2470,'Paramètres'!$D:$D,0)),1,IF(INDEX('Paramètres'!$J:$J,MATCH($C2470,'Paramètres'!$D:$D,0))="",1,INDEX('Paramètres'!$J:$J,MATCH($C2470,'Paramètres'!$D:$D,0)))),2))</f>
        <v/>
      </c>
      <c r="L2470" s="6" t="str">
        <f>IF($D2470="","",IF($F2470&lt;&gt;"",$F2470,IF(ISNA(MATCH($D2470,'Paramètres'!$M:$M,0)),"⚠ Type inconnu",IFERROR(INDEX('Paramètres'!$P:$P,MATCH($D2470,'Paramètres'!$M:$M,0))&amp;"",""))))</f>
        <v/>
      </c>
      <c r="M2470" s="6" t="str">
        <f>IF($D2470="","",IF(ISNA(MATCH($D2470,'Paramètres'!$M:$M,0)),"⚠ Type inconnu",IF($L2470="Crédit","",IFERROR(INDEX('Paramètres'!$O:$O,MATCH($D2470,'Paramètres'!$M:$M,0))&amp;"",""))))</f>
        <v/>
      </c>
      <c r="N2470" s="6" t="str">
        <f>IF($D2470="","",IFERROR(INDEX('Paramètres'!$Q:$Q,MATCH($D2470,'Paramètres'!$M:$M,0))&amp;"",""))</f>
        <v/>
      </c>
      <c r="O2470" s="6" t="str">
        <f>IF($A2470="","",IF(OR($J2470&lt;&gt;"x",$A2470&lt;=FinReleve),1,0))</f>
        <v/>
      </c>
      <c r="P2470" s="6" t="str">
        <f>IF($D2470="","",IF(AND($L2470="Crédit",OR(IFERROR(INDEX('Paramètres'!$O:$O,MATCH($D2470,'Paramètres'!$M:$M,0))&amp;"","")&lt;&gt;"",ISNUMBER(SEARCH("remboursement",IFERROR(INDEX('Paramètres'!$N:$N,MATCH($D2470,'Paramètres'!$M:$M,0))&amp;"",""))))),1,0))</f>
        <v/>
      </c>
      <c r="Q2470" s="6" t="str">
        <f>IF($K2470="","",IF(ISNUMBER(SEARCH("transfert-interne",IFERROR(INDEX('Paramètres'!$N:$N,MATCH($D2470,'Paramètres'!$M:$M,0))&amp;"",""))),0,IF($L2470="Débit",$K2470,IF($P2470=1,-$K2470,0))))</f>
        <v/>
      </c>
      <c r="R2470" s="6" t="str">
        <f>IF($K2470="","",IF($L2470="Crédit",$K2470,-$K2470))</f>
        <v/>
      </c>
      <c r="S2470" s="6" t="str">
        <f>IF($C2470="","",IFERROR(INDEX('Paramètres'!$H:$H,MATCH($C2470,'Paramètres'!$D:$D,0))&amp;"",""))</f>
        <v/>
      </c>
      <c r="T2470" s="6" t="str">
        <f>IF($K2470="","",IF($S2470="",0,IF(ISNUMBER(SEARCH("apport-exterieur",IFERROR(INDEX('Paramètres'!$N:$N,MATCH($D2470,'Paramètres'!$M:$M,0))&amp;"",""))),0,IF(OR(IFERROR(INDEX('Paramètres'!$I:$I,MATCH($C2470,'Paramètres'!$D:$D,0))&amp;"","")="Les deux",IFERROR(INDEX('Paramètres'!$I:$I,MATCH($C2470,'Paramètres'!$D:$D,0))&amp;"","")=IF($P2470=1,"Débit",$L2470)),-IF($P2470=1,-$K2470,$K2470),0))))</f>
        <v/>
      </c>
      <c r="U2470" s="6" t="str">
        <f>IF($K2470="","",IF(ISNUMBER(SEARCH("sortie-epargne",IFERROR(INDEX('Paramètres'!$N:$N,MATCH($D2470,'Paramètres'!$M:$M,0))&amp;"",""))),$K2470,0))</f>
        <v/>
      </c>
      <c r="V2470" s="6" t="str">
        <f>IF(AND($A2470&lt;&gt;"",$O2470=1,$L2470="Débit",N($Q2470)&gt;0,$A2470&gt;=Visualisation!$B$1,$A2470&lt;Visualisation!$D$1),MAX($V$1:V2469)+1,"")</f>
        <v/>
      </c>
    </row>
    <row r="2471" spans="1:22" x14ac:dyDescent="0.25">
      <c r="A2471" s="9"/>
      <c r="E2471" s="10"/>
      <c r="K2471" s="11" t="str">
        <f>IF($E2471="","",ROUND($E2471*IF(ISNA(MATCH($C2471,'Paramètres'!$D:$D,0)),1,IF(INDEX('Paramètres'!$J:$J,MATCH($C2471,'Paramètres'!$D:$D,0))="",1,INDEX('Paramètres'!$J:$J,MATCH($C2471,'Paramètres'!$D:$D,0)))),2))</f>
        <v/>
      </c>
      <c r="L2471" s="6" t="str">
        <f>IF($D2471="","",IF($F2471&lt;&gt;"",$F2471,IF(ISNA(MATCH($D2471,'Paramètres'!$M:$M,0)),"⚠ Type inconnu",IFERROR(INDEX('Paramètres'!$P:$P,MATCH($D2471,'Paramètres'!$M:$M,0))&amp;"",""))))</f>
        <v/>
      </c>
      <c r="M2471" s="6" t="str">
        <f>IF($D2471="","",IF(ISNA(MATCH($D2471,'Paramètres'!$M:$M,0)),"⚠ Type inconnu",IF($L2471="Crédit","",IFERROR(INDEX('Paramètres'!$O:$O,MATCH($D2471,'Paramètres'!$M:$M,0))&amp;"",""))))</f>
        <v/>
      </c>
      <c r="N2471" s="6" t="str">
        <f>IF($D2471="","",IFERROR(INDEX('Paramètres'!$Q:$Q,MATCH($D2471,'Paramètres'!$M:$M,0))&amp;"",""))</f>
        <v/>
      </c>
      <c r="O2471" s="6" t="str">
        <f>IF($A2471="","",IF(OR($J2471&lt;&gt;"x",$A2471&lt;=FinReleve),1,0))</f>
        <v/>
      </c>
      <c r="P2471" s="6" t="str">
        <f>IF($D2471="","",IF(AND($L2471="Crédit",OR(IFERROR(INDEX('Paramètres'!$O:$O,MATCH($D2471,'Paramètres'!$M:$M,0))&amp;"","")&lt;&gt;"",ISNUMBER(SEARCH("remboursement",IFERROR(INDEX('Paramètres'!$N:$N,MATCH($D2471,'Paramètres'!$M:$M,0))&amp;"",""))))),1,0))</f>
        <v/>
      </c>
      <c r="Q2471" s="6" t="str">
        <f>IF($K2471="","",IF(ISNUMBER(SEARCH("transfert-interne",IFERROR(INDEX('Paramètres'!$N:$N,MATCH($D2471,'Paramètres'!$M:$M,0))&amp;"",""))),0,IF($L2471="Débit",$K2471,IF($P2471=1,-$K2471,0))))</f>
        <v/>
      </c>
      <c r="R2471" s="6" t="str">
        <f>IF($K2471="","",IF($L2471="Crédit",$K2471,-$K2471))</f>
        <v/>
      </c>
      <c r="S2471" s="6" t="str">
        <f>IF($C2471="","",IFERROR(INDEX('Paramètres'!$H:$H,MATCH($C2471,'Paramètres'!$D:$D,0))&amp;"",""))</f>
        <v/>
      </c>
      <c r="T2471" s="6" t="str">
        <f>IF($K2471="","",IF($S2471="",0,IF(ISNUMBER(SEARCH("apport-exterieur",IFERROR(INDEX('Paramètres'!$N:$N,MATCH($D2471,'Paramètres'!$M:$M,0))&amp;"",""))),0,IF(OR(IFERROR(INDEX('Paramètres'!$I:$I,MATCH($C2471,'Paramètres'!$D:$D,0))&amp;"","")="Les deux",IFERROR(INDEX('Paramètres'!$I:$I,MATCH($C2471,'Paramètres'!$D:$D,0))&amp;"","")=IF($P2471=1,"Débit",$L2471)),-IF($P2471=1,-$K2471,$K2471),0))))</f>
        <v/>
      </c>
      <c r="U2471" s="6" t="str">
        <f>IF($K2471="","",IF(ISNUMBER(SEARCH("sortie-epargne",IFERROR(INDEX('Paramètres'!$N:$N,MATCH($D2471,'Paramètres'!$M:$M,0))&amp;"",""))),$K2471,0))</f>
        <v/>
      </c>
      <c r="V2471" s="6" t="str">
        <f>IF(AND($A2471&lt;&gt;"",$O2471=1,$L2471="Débit",N($Q2471)&gt;0,$A2471&gt;=Visualisation!$B$1,$A2471&lt;Visualisation!$D$1),MAX($V$1:V2470)+1,"")</f>
        <v/>
      </c>
    </row>
    <row r="2472" spans="1:22" x14ac:dyDescent="0.25">
      <c r="A2472" s="9"/>
      <c r="E2472" s="10"/>
      <c r="K2472" s="11" t="str">
        <f>IF($E2472="","",ROUND($E2472*IF(ISNA(MATCH($C2472,'Paramètres'!$D:$D,0)),1,IF(INDEX('Paramètres'!$J:$J,MATCH($C2472,'Paramètres'!$D:$D,0))="",1,INDEX('Paramètres'!$J:$J,MATCH($C2472,'Paramètres'!$D:$D,0)))),2))</f>
        <v/>
      </c>
      <c r="L2472" s="6" t="str">
        <f>IF($D2472="","",IF($F2472&lt;&gt;"",$F2472,IF(ISNA(MATCH($D2472,'Paramètres'!$M:$M,0)),"⚠ Type inconnu",IFERROR(INDEX('Paramètres'!$P:$P,MATCH($D2472,'Paramètres'!$M:$M,0))&amp;"",""))))</f>
        <v/>
      </c>
      <c r="M2472" s="6" t="str">
        <f>IF($D2472="","",IF(ISNA(MATCH($D2472,'Paramètres'!$M:$M,0)),"⚠ Type inconnu",IF($L2472="Crédit","",IFERROR(INDEX('Paramètres'!$O:$O,MATCH($D2472,'Paramètres'!$M:$M,0))&amp;"",""))))</f>
        <v/>
      </c>
      <c r="N2472" s="6" t="str">
        <f>IF($D2472="","",IFERROR(INDEX('Paramètres'!$Q:$Q,MATCH($D2472,'Paramètres'!$M:$M,0))&amp;"",""))</f>
        <v/>
      </c>
      <c r="O2472" s="6" t="str">
        <f>IF($A2472="","",IF(OR($J2472&lt;&gt;"x",$A2472&lt;=FinReleve),1,0))</f>
        <v/>
      </c>
      <c r="P2472" s="6" t="str">
        <f>IF($D2472="","",IF(AND($L2472="Crédit",OR(IFERROR(INDEX('Paramètres'!$O:$O,MATCH($D2472,'Paramètres'!$M:$M,0))&amp;"","")&lt;&gt;"",ISNUMBER(SEARCH("remboursement",IFERROR(INDEX('Paramètres'!$N:$N,MATCH($D2472,'Paramètres'!$M:$M,0))&amp;"",""))))),1,0))</f>
        <v/>
      </c>
      <c r="Q2472" s="6" t="str">
        <f>IF($K2472="","",IF(ISNUMBER(SEARCH("transfert-interne",IFERROR(INDEX('Paramètres'!$N:$N,MATCH($D2472,'Paramètres'!$M:$M,0))&amp;"",""))),0,IF($L2472="Débit",$K2472,IF($P2472=1,-$K2472,0))))</f>
        <v/>
      </c>
      <c r="R2472" s="6" t="str">
        <f>IF($K2472="","",IF($L2472="Crédit",$K2472,-$K2472))</f>
        <v/>
      </c>
      <c r="S2472" s="6" t="str">
        <f>IF($C2472="","",IFERROR(INDEX('Paramètres'!$H:$H,MATCH($C2472,'Paramètres'!$D:$D,0))&amp;"",""))</f>
        <v/>
      </c>
      <c r="T2472" s="6" t="str">
        <f>IF($K2472="","",IF($S2472="",0,IF(ISNUMBER(SEARCH("apport-exterieur",IFERROR(INDEX('Paramètres'!$N:$N,MATCH($D2472,'Paramètres'!$M:$M,0))&amp;"",""))),0,IF(OR(IFERROR(INDEX('Paramètres'!$I:$I,MATCH($C2472,'Paramètres'!$D:$D,0))&amp;"","")="Les deux",IFERROR(INDEX('Paramètres'!$I:$I,MATCH($C2472,'Paramètres'!$D:$D,0))&amp;"","")=IF($P2472=1,"Débit",$L2472)),-IF($P2472=1,-$K2472,$K2472),0))))</f>
        <v/>
      </c>
      <c r="U2472" s="6" t="str">
        <f>IF($K2472="","",IF(ISNUMBER(SEARCH("sortie-epargne",IFERROR(INDEX('Paramètres'!$N:$N,MATCH($D2472,'Paramètres'!$M:$M,0))&amp;"",""))),$K2472,0))</f>
        <v/>
      </c>
      <c r="V2472" s="6" t="str">
        <f>IF(AND($A2472&lt;&gt;"",$O2472=1,$L2472="Débit",N($Q2472)&gt;0,$A2472&gt;=Visualisation!$B$1,$A2472&lt;Visualisation!$D$1),MAX($V$1:V2471)+1,"")</f>
        <v/>
      </c>
    </row>
    <row r="2473" spans="1:22" x14ac:dyDescent="0.25">
      <c r="A2473" s="9"/>
      <c r="E2473" s="10"/>
      <c r="K2473" s="11" t="str">
        <f>IF($E2473="","",ROUND($E2473*IF(ISNA(MATCH($C2473,'Paramètres'!$D:$D,0)),1,IF(INDEX('Paramètres'!$J:$J,MATCH($C2473,'Paramètres'!$D:$D,0))="",1,INDEX('Paramètres'!$J:$J,MATCH($C2473,'Paramètres'!$D:$D,0)))),2))</f>
        <v/>
      </c>
      <c r="L2473" s="6" t="str">
        <f>IF($D2473="","",IF($F2473&lt;&gt;"",$F2473,IF(ISNA(MATCH($D2473,'Paramètres'!$M:$M,0)),"⚠ Type inconnu",IFERROR(INDEX('Paramètres'!$P:$P,MATCH($D2473,'Paramètres'!$M:$M,0))&amp;"",""))))</f>
        <v/>
      </c>
      <c r="M2473" s="6" t="str">
        <f>IF($D2473="","",IF(ISNA(MATCH($D2473,'Paramètres'!$M:$M,0)),"⚠ Type inconnu",IF($L2473="Crédit","",IFERROR(INDEX('Paramètres'!$O:$O,MATCH($D2473,'Paramètres'!$M:$M,0))&amp;"",""))))</f>
        <v/>
      </c>
      <c r="N2473" s="6" t="str">
        <f>IF($D2473="","",IFERROR(INDEX('Paramètres'!$Q:$Q,MATCH($D2473,'Paramètres'!$M:$M,0))&amp;"",""))</f>
        <v/>
      </c>
      <c r="O2473" s="6" t="str">
        <f>IF($A2473="","",IF(OR($J2473&lt;&gt;"x",$A2473&lt;=FinReleve),1,0))</f>
        <v/>
      </c>
      <c r="P2473" s="6" t="str">
        <f>IF($D2473="","",IF(AND($L2473="Crédit",OR(IFERROR(INDEX('Paramètres'!$O:$O,MATCH($D2473,'Paramètres'!$M:$M,0))&amp;"","")&lt;&gt;"",ISNUMBER(SEARCH("remboursement",IFERROR(INDEX('Paramètres'!$N:$N,MATCH($D2473,'Paramètres'!$M:$M,0))&amp;"",""))))),1,0))</f>
        <v/>
      </c>
      <c r="Q2473" s="6" t="str">
        <f>IF($K2473="","",IF(ISNUMBER(SEARCH("transfert-interne",IFERROR(INDEX('Paramètres'!$N:$N,MATCH($D2473,'Paramètres'!$M:$M,0))&amp;"",""))),0,IF($L2473="Débit",$K2473,IF($P2473=1,-$K2473,0))))</f>
        <v/>
      </c>
      <c r="R2473" s="6" t="str">
        <f>IF($K2473="","",IF($L2473="Crédit",$K2473,-$K2473))</f>
        <v/>
      </c>
      <c r="S2473" s="6" t="str">
        <f>IF($C2473="","",IFERROR(INDEX('Paramètres'!$H:$H,MATCH($C2473,'Paramètres'!$D:$D,0))&amp;"",""))</f>
        <v/>
      </c>
      <c r="T2473" s="6" t="str">
        <f>IF($K2473="","",IF($S2473="",0,IF(ISNUMBER(SEARCH("apport-exterieur",IFERROR(INDEX('Paramètres'!$N:$N,MATCH($D2473,'Paramètres'!$M:$M,0))&amp;"",""))),0,IF(OR(IFERROR(INDEX('Paramètres'!$I:$I,MATCH($C2473,'Paramètres'!$D:$D,0))&amp;"","")="Les deux",IFERROR(INDEX('Paramètres'!$I:$I,MATCH($C2473,'Paramètres'!$D:$D,0))&amp;"","")=IF($P2473=1,"Débit",$L2473)),-IF($P2473=1,-$K2473,$K2473),0))))</f>
        <v/>
      </c>
      <c r="U2473" s="6" t="str">
        <f>IF($K2473="","",IF(ISNUMBER(SEARCH("sortie-epargne",IFERROR(INDEX('Paramètres'!$N:$N,MATCH($D2473,'Paramètres'!$M:$M,0))&amp;"",""))),$K2473,0))</f>
        <v/>
      </c>
      <c r="V2473" s="6" t="str">
        <f>IF(AND($A2473&lt;&gt;"",$O2473=1,$L2473="Débit",N($Q2473)&gt;0,$A2473&gt;=Visualisation!$B$1,$A2473&lt;Visualisation!$D$1),MAX($V$1:V2472)+1,"")</f>
        <v/>
      </c>
    </row>
    <row r="2474" spans="1:22" x14ac:dyDescent="0.25">
      <c r="A2474" s="9"/>
      <c r="E2474" s="10"/>
      <c r="K2474" s="11" t="str">
        <f>IF($E2474="","",ROUND($E2474*IF(ISNA(MATCH($C2474,'Paramètres'!$D:$D,0)),1,IF(INDEX('Paramètres'!$J:$J,MATCH($C2474,'Paramètres'!$D:$D,0))="",1,INDEX('Paramètres'!$J:$J,MATCH($C2474,'Paramètres'!$D:$D,0)))),2))</f>
        <v/>
      </c>
      <c r="L2474" s="6" t="str">
        <f>IF($D2474="","",IF($F2474&lt;&gt;"",$F2474,IF(ISNA(MATCH($D2474,'Paramètres'!$M:$M,0)),"⚠ Type inconnu",IFERROR(INDEX('Paramètres'!$P:$P,MATCH($D2474,'Paramètres'!$M:$M,0))&amp;"",""))))</f>
        <v/>
      </c>
      <c r="M2474" s="6" t="str">
        <f>IF($D2474="","",IF(ISNA(MATCH($D2474,'Paramètres'!$M:$M,0)),"⚠ Type inconnu",IF($L2474="Crédit","",IFERROR(INDEX('Paramètres'!$O:$O,MATCH($D2474,'Paramètres'!$M:$M,0))&amp;"",""))))</f>
        <v/>
      </c>
      <c r="N2474" s="6" t="str">
        <f>IF($D2474="","",IFERROR(INDEX('Paramètres'!$Q:$Q,MATCH($D2474,'Paramètres'!$M:$M,0))&amp;"",""))</f>
        <v/>
      </c>
      <c r="O2474" s="6" t="str">
        <f>IF($A2474="","",IF(OR($J2474&lt;&gt;"x",$A2474&lt;=FinReleve),1,0))</f>
        <v/>
      </c>
      <c r="P2474" s="6" t="str">
        <f>IF($D2474="","",IF(AND($L2474="Crédit",OR(IFERROR(INDEX('Paramètres'!$O:$O,MATCH($D2474,'Paramètres'!$M:$M,0))&amp;"","")&lt;&gt;"",ISNUMBER(SEARCH("remboursement",IFERROR(INDEX('Paramètres'!$N:$N,MATCH($D2474,'Paramètres'!$M:$M,0))&amp;"",""))))),1,0))</f>
        <v/>
      </c>
      <c r="Q2474" s="6" t="str">
        <f>IF($K2474="","",IF(ISNUMBER(SEARCH("transfert-interne",IFERROR(INDEX('Paramètres'!$N:$N,MATCH($D2474,'Paramètres'!$M:$M,0))&amp;"",""))),0,IF($L2474="Débit",$K2474,IF($P2474=1,-$K2474,0))))</f>
        <v/>
      </c>
      <c r="R2474" s="6" t="str">
        <f>IF($K2474="","",IF($L2474="Crédit",$K2474,-$K2474))</f>
        <v/>
      </c>
      <c r="S2474" s="6" t="str">
        <f>IF($C2474="","",IFERROR(INDEX('Paramètres'!$H:$H,MATCH($C2474,'Paramètres'!$D:$D,0))&amp;"",""))</f>
        <v/>
      </c>
      <c r="T2474" s="6" t="str">
        <f>IF($K2474="","",IF($S2474="",0,IF(ISNUMBER(SEARCH("apport-exterieur",IFERROR(INDEX('Paramètres'!$N:$N,MATCH($D2474,'Paramètres'!$M:$M,0))&amp;"",""))),0,IF(OR(IFERROR(INDEX('Paramètres'!$I:$I,MATCH($C2474,'Paramètres'!$D:$D,0))&amp;"","")="Les deux",IFERROR(INDEX('Paramètres'!$I:$I,MATCH($C2474,'Paramètres'!$D:$D,0))&amp;"","")=IF($P2474=1,"Débit",$L2474)),-IF($P2474=1,-$K2474,$K2474),0))))</f>
        <v/>
      </c>
      <c r="U2474" s="6" t="str">
        <f>IF($K2474="","",IF(ISNUMBER(SEARCH("sortie-epargne",IFERROR(INDEX('Paramètres'!$N:$N,MATCH($D2474,'Paramètres'!$M:$M,0))&amp;"",""))),$K2474,0))</f>
        <v/>
      </c>
      <c r="V2474" s="6" t="str">
        <f>IF(AND($A2474&lt;&gt;"",$O2474=1,$L2474="Débit",N($Q2474)&gt;0,$A2474&gt;=Visualisation!$B$1,$A2474&lt;Visualisation!$D$1),MAX($V$1:V2473)+1,"")</f>
        <v/>
      </c>
    </row>
    <row r="2475" spans="1:22" x14ac:dyDescent="0.25">
      <c r="A2475" s="9"/>
      <c r="E2475" s="10"/>
      <c r="K2475" s="11" t="str">
        <f>IF($E2475="","",ROUND($E2475*IF(ISNA(MATCH($C2475,'Paramètres'!$D:$D,0)),1,IF(INDEX('Paramètres'!$J:$J,MATCH($C2475,'Paramètres'!$D:$D,0))="",1,INDEX('Paramètres'!$J:$J,MATCH($C2475,'Paramètres'!$D:$D,0)))),2))</f>
        <v/>
      </c>
      <c r="L2475" s="6" t="str">
        <f>IF($D2475="","",IF($F2475&lt;&gt;"",$F2475,IF(ISNA(MATCH($D2475,'Paramètres'!$M:$M,0)),"⚠ Type inconnu",IFERROR(INDEX('Paramètres'!$P:$P,MATCH($D2475,'Paramètres'!$M:$M,0))&amp;"",""))))</f>
        <v/>
      </c>
      <c r="M2475" s="6" t="str">
        <f>IF($D2475="","",IF(ISNA(MATCH($D2475,'Paramètres'!$M:$M,0)),"⚠ Type inconnu",IF($L2475="Crédit","",IFERROR(INDEX('Paramètres'!$O:$O,MATCH($D2475,'Paramètres'!$M:$M,0))&amp;"",""))))</f>
        <v/>
      </c>
      <c r="N2475" s="6" t="str">
        <f>IF($D2475="","",IFERROR(INDEX('Paramètres'!$Q:$Q,MATCH($D2475,'Paramètres'!$M:$M,0))&amp;"",""))</f>
        <v/>
      </c>
      <c r="O2475" s="6" t="str">
        <f>IF($A2475="","",IF(OR($J2475&lt;&gt;"x",$A2475&lt;=FinReleve),1,0))</f>
        <v/>
      </c>
      <c r="P2475" s="6" t="str">
        <f>IF($D2475="","",IF(AND($L2475="Crédit",OR(IFERROR(INDEX('Paramètres'!$O:$O,MATCH($D2475,'Paramètres'!$M:$M,0))&amp;"","")&lt;&gt;"",ISNUMBER(SEARCH("remboursement",IFERROR(INDEX('Paramètres'!$N:$N,MATCH($D2475,'Paramètres'!$M:$M,0))&amp;"",""))))),1,0))</f>
        <v/>
      </c>
      <c r="Q2475" s="6" t="str">
        <f>IF($K2475="","",IF(ISNUMBER(SEARCH("transfert-interne",IFERROR(INDEX('Paramètres'!$N:$N,MATCH($D2475,'Paramètres'!$M:$M,0))&amp;"",""))),0,IF($L2475="Débit",$K2475,IF($P2475=1,-$K2475,0))))</f>
        <v/>
      </c>
      <c r="R2475" s="6" t="str">
        <f>IF($K2475="","",IF($L2475="Crédit",$K2475,-$K2475))</f>
        <v/>
      </c>
      <c r="S2475" s="6" t="str">
        <f>IF($C2475="","",IFERROR(INDEX('Paramètres'!$H:$H,MATCH($C2475,'Paramètres'!$D:$D,0))&amp;"",""))</f>
        <v/>
      </c>
      <c r="T2475" s="6" t="str">
        <f>IF($K2475="","",IF($S2475="",0,IF(ISNUMBER(SEARCH("apport-exterieur",IFERROR(INDEX('Paramètres'!$N:$N,MATCH($D2475,'Paramètres'!$M:$M,0))&amp;"",""))),0,IF(OR(IFERROR(INDEX('Paramètres'!$I:$I,MATCH($C2475,'Paramètres'!$D:$D,0))&amp;"","")="Les deux",IFERROR(INDEX('Paramètres'!$I:$I,MATCH($C2475,'Paramètres'!$D:$D,0))&amp;"","")=IF($P2475=1,"Débit",$L2475)),-IF($P2475=1,-$K2475,$K2475),0))))</f>
        <v/>
      </c>
      <c r="U2475" s="6" t="str">
        <f>IF($K2475="","",IF(ISNUMBER(SEARCH("sortie-epargne",IFERROR(INDEX('Paramètres'!$N:$N,MATCH($D2475,'Paramètres'!$M:$M,0))&amp;"",""))),$K2475,0))</f>
        <v/>
      </c>
      <c r="V2475" s="6" t="str">
        <f>IF(AND($A2475&lt;&gt;"",$O2475=1,$L2475="Débit",N($Q2475)&gt;0,$A2475&gt;=Visualisation!$B$1,$A2475&lt;Visualisation!$D$1),MAX($V$1:V2474)+1,"")</f>
        <v/>
      </c>
    </row>
    <row r="2476" spans="1:22" x14ac:dyDescent="0.25">
      <c r="A2476" s="9"/>
      <c r="E2476" s="10"/>
      <c r="K2476" s="11" t="str">
        <f>IF($E2476="","",ROUND($E2476*IF(ISNA(MATCH($C2476,'Paramètres'!$D:$D,0)),1,IF(INDEX('Paramètres'!$J:$J,MATCH($C2476,'Paramètres'!$D:$D,0))="",1,INDEX('Paramètres'!$J:$J,MATCH($C2476,'Paramètres'!$D:$D,0)))),2))</f>
        <v/>
      </c>
      <c r="L2476" s="6" t="str">
        <f>IF($D2476="","",IF($F2476&lt;&gt;"",$F2476,IF(ISNA(MATCH($D2476,'Paramètres'!$M:$M,0)),"⚠ Type inconnu",IFERROR(INDEX('Paramètres'!$P:$P,MATCH($D2476,'Paramètres'!$M:$M,0))&amp;"",""))))</f>
        <v/>
      </c>
      <c r="M2476" s="6" t="str">
        <f>IF($D2476="","",IF(ISNA(MATCH($D2476,'Paramètres'!$M:$M,0)),"⚠ Type inconnu",IF($L2476="Crédit","",IFERROR(INDEX('Paramètres'!$O:$O,MATCH($D2476,'Paramètres'!$M:$M,0))&amp;"",""))))</f>
        <v/>
      </c>
      <c r="N2476" s="6" t="str">
        <f>IF($D2476="","",IFERROR(INDEX('Paramètres'!$Q:$Q,MATCH($D2476,'Paramètres'!$M:$M,0))&amp;"",""))</f>
        <v/>
      </c>
      <c r="O2476" s="6" t="str">
        <f>IF($A2476="","",IF(OR($J2476&lt;&gt;"x",$A2476&lt;=FinReleve),1,0))</f>
        <v/>
      </c>
      <c r="P2476" s="6" t="str">
        <f>IF($D2476="","",IF(AND($L2476="Crédit",OR(IFERROR(INDEX('Paramètres'!$O:$O,MATCH($D2476,'Paramètres'!$M:$M,0))&amp;"","")&lt;&gt;"",ISNUMBER(SEARCH("remboursement",IFERROR(INDEX('Paramètres'!$N:$N,MATCH($D2476,'Paramètres'!$M:$M,0))&amp;"",""))))),1,0))</f>
        <v/>
      </c>
      <c r="Q2476" s="6" t="str">
        <f>IF($K2476="","",IF(ISNUMBER(SEARCH("transfert-interne",IFERROR(INDEX('Paramètres'!$N:$N,MATCH($D2476,'Paramètres'!$M:$M,0))&amp;"",""))),0,IF($L2476="Débit",$K2476,IF($P2476=1,-$K2476,0))))</f>
        <v/>
      </c>
      <c r="R2476" s="6" t="str">
        <f>IF($K2476="","",IF($L2476="Crédit",$K2476,-$K2476))</f>
        <v/>
      </c>
      <c r="S2476" s="6" t="str">
        <f>IF($C2476="","",IFERROR(INDEX('Paramètres'!$H:$H,MATCH($C2476,'Paramètres'!$D:$D,0))&amp;"",""))</f>
        <v/>
      </c>
      <c r="T2476" s="6" t="str">
        <f>IF($K2476="","",IF($S2476="",0,IF(ISNUMBER(SEARCH("apport-exterieur",IFERROR(INDEX('Paramètres'!$N:$N,MATCH($D2476,'Paramètres'!$M:$M,0))&amp;"",""))),0,IF(OR(IFERROR(INDEX('Paramètres'!$I:$I,MATCH($C2476,'Paramètres'!$D:$D,0))&amp;"","")="Les deux",IFERROR(INDEX('Paramètres'!$I:$I,MATCH($C2476,'Paramètres'!$D:$D,0))&amp;"","")=IF($P2476=1,"Débit",$L2476)),-IF($P2476=1,-$K2476,$K2476),0))))</f>
        <v/>
      </c>
      <c r="U2476" s="6" t="str">
        <f>IF($K2476="","",IF(ISNUMBER(SEARCH("sortie-epargne",IFERROR(INDEX('Paramètres'!$N:$N,MATCH($D2476,'Paramètres'!$M:$M,0))&amp;"",""))),$K2476,0))</f>
        <v/>
      </c>
      <c r="V2476" s="6" t="str">
        <f>IF(AND($A2476&lt;&gt;"",$O2476=1,$L2476="Débit",N($Q2476)&gt;0,$A2476&gt;=Visualisation!$B$1,$A2476&lt;Visualisation!$D$1),MAX($V$1:V2475)+1,"")</f>
        <v/>
      </c>
    </row>
    <row r="2477" spans="1:22" x14ac:dyDescent="0.25">
      <c r="A2477" s="9"/>
      <c r="E2477" s="10"/>
      <c r="K2477" s="11" t="str">
        <f>IF($E2477="","",ROUND($E2477*IF(ISNA(MATCH($C2477,'Paramètres'!$D:$D,0)),1,IF(INDEX('Paramètres'!$J:$J,MATCH($C2477,'Paramètres'!$D:$D,0))="",1,INDEX('Paramètres'!$J:$J,MATCH($C2477,'Paramètres'!$D:$D,0)))),2))</f>
        <v/>
      </c>
      <c r="L2477" s="6" t="str">
        <f>IF($D2477="","",IF($F2477&lt;&gt;"",$F2477,IF(ISNA(MATCH($D2477,'Paramètres'!$M:$M,0)),"⚠ Type inconnu",IFERROR(INDEX('Paramètres'!$P:$P,MATCH($D2477,'Paramètres'!$M:$M,0))&amp;"",""))))</f>
        <v/>
      </c>
      <c r="M2477" s="6" t="str">
        <f>IF($D2477="","",IF(ISNA(MATCH($D2477,'Paramètres'!$M:$M,0)),"⚠ Type inconnu",IF($L2477="Crédit","",IFERROR(INDEX('Paramètres'!$O:$O,MATCH($D2477,'Paramètres'!$M:$M,0))&amp;"",""))))</f>
        <v/>
      </c>
      <c r="N2477" s="6" t="str">
        <f>IF($D2477="","",IFERROR(INDEX('Paramètres'!$Q:$Q,MATCH($D2477,'Paramètres'!$M:$M,0))&amp;"",""))</f>
        <v/>
      </c>
      <c r="O2477" s="6" t="str">
        <f>IF($A2477="","",IF(OR($J2477&lt;&gt;"x",$A2477&lt;=FinReleve),1,0))</f>
        <v/>
      </c>
      <c r="P2477" s="6" t="str">
        <f>IF($D2477="","",IF(AND($L2477="Crédit",OR(IFERROR(INDEX('Paramètres'!$O:$O,MATCH($D2477,'Paramètres'!$M:$M,0))&amp;"","")&lt;&gt;"",ISNUMBER(SEARCH("remboursement",IFERROR(INDEX('Paramètres'!$N:$N,MATCH($D2477,'Paramètres'!$M:$M,0))&amp;"",""))))),1,0))</f>
        <v/>
      </c>
      <c r="Q2477" s="6" t="str">
        <f>IF($K2477="","",IF(ISNUMBER(SEARCH("transfert-interne",IFERROR(INDEX('Paramètres'!$N:$N,MATCH($D2477,'Paramètres'!$M:$M,0))&amp;"",""))),0,IF($L2477="Débit",$K2477,IF($P2477=1,-$K2477,0))))</f>
        <v/>
      </c>
      <c r="R2477" s="6" t="str">
        <f>IF($K2477="","",IF($L2477="Crédit",$K2477,-$K2477))</f>
        <v/>
      </c>
      <c r="S2477" s="6" t="str">
        <f>IF($C2477="","",IFERROR(INDEX('Paramètres'!$H:$H,MATCH($C2477,'Paramètres'!$D:$D,0))&amp;"",""))</f>
        <v/>
      </c>
      <c r="T2477" s="6" t="str">
        <f>IF($K2477="","",IF($S2477="",0,IF(ISNUMBER(SEARCH("apport-exterieur",IFERROR(INDEX('Paramètres'!$N:$N,MATCH($D2477,'Paramètres'!$M:$M,0))&amp;"",""))),0,IF(OR(IFERROR(INDEX('Paramètres'!$I:$I,MATCH($C2477,'Paramètres'!$D:$D,0))&amp;"","")="Les deux",IFERROR(INDEX('Paramètres'!$I:$I,MATCH($C2477,'Paramètres'!$D:$D,0))&amp;"","")=IF($P2477=1,"Débit",$L2477)),-IF($P2477=1,-$K2477,$K2477),0))))</f>
        <v/>
      </c>
      <c r="U2477" s="6" t="str">
        <f>IF($K2477="","",IF(ISNUMBER(SEARCH("sortie-epargne",IFERROR(INDEX('Paramètres'!$N:$N,MATCH($D2477,'Paramètres'!$M:$M,0))&amp;"",""))),$K2477,0))</f>
        <v/>
      </c>
      <c r="V2477" s="6" t="str">
        <f>IF(AND($A2477&lt;&gt;"",$O2477=1,$L2477="Débit",N($Q2477)&gt;0,$A2477&gt;=Visualisation!$B$1,$A2477&lt;Visualisation!$D$1),MAX($V$1:V2476)+1,"")</f>
        <v/>
      </c>
    </row>
    <row r="2478" spans="1:22" x14ac:dyDescent="0.25">
      <c r="A2478" s="9"/>
      <c r="E2478" s="10"/>
      <c r="K2478" s="11" t="str">
        <f>IF($E2478="","",ROUND($E2478*IF(ISNA(MATCH($C2478,'Paramètres'!$D:$D,0)),1,IF(INDEX('Paramètres'!$J:$J,MATCH($C2478,'Paramètres'!$D:$D,0))="",1,INDEX('Paramètres'!$J:$J,MATCH($C2478,'Paramètres'!$D:$D,0)))),2))</f>
        <v/>
      </c>
      <c r="L2478" s="6" t="str">
        <f>IF($D2478="","",IF($F2478&lt;&gt;"",$F2478,IF(ISNA(MATCH($D2478,'Paramètres'!$M:$M,0)),"⚠ Type inconnu",IFERROR(INDEX('Paramètres'!$P:$P,MATCH($D2478,'Paramètres'!$M:$M,0))&amp;"",""))))</f>
        <v/>
      </c>
      <c r="M2478" s="6" t="str">
        <f>IF($D2478="","",IF(ISNA(MATCH($D2478,'Paramètres'!$M:$M,0)),"⚠ Type inconnu",IF($L2478="Crédit","",IFERROR(INDEX('Paramètres'!$O:$O,MATCH($D2478,'Paramètres'!$M:$M,0))&amp;"",""))))</f>
        <v/>
      </c>
      <c r="N2478" s="6" t="str">
        <f>IF($D2478="","",IFERROR(INDEX('Paramètres'!$Q:$Q,MATCH($D2478,'Paramètres'!$M:$M,0))&amp;"",""))</f>
        <v/>
      </c>
      <c r="O2478" s="6" t="str">
        <f>IF($A2478="","",IF(OR($J2478&lt;&gt;"x",$A2478&lt;=FinReleve),1,0))</f>
        <v/>
      </c>
      <c r="P2478" s="6" t="str">
        <f>IF($D2478="","",IF(AND($L2478="Crédit",OR(IFERROR(INDEX('Paramètres'!$O:$O,MATCH($D2478,'Paramètres'!$M:$M,0))&amp;"","")&lt;&gt;"",ISNUMBER(SEARCH("remboursement",IFERROR(INDEX('Paramètres'!$N:$N,MATCH($D2478,'Paramètres'!$M:$M,0))&amp;"",""))))),1,0))</f>
        <v/>
      </c>
      <c r="Q2478" s="6" t="str">
        <f>IF($K2478="","",IF(ISNUMBER(SEARCH("transfert-interne",IFERROR(INDEX('Paramètres'!$N:$N,MATCH($D2478,'Paramètres'!$M:$M,0))&amp;"",""))),0,IF($L2478="Débit",$K2478,IF($P2478=1,-$K2478,0))))</f>
        <v/>
      </c>
      <c r="R2478" s="6" t="str">
        <f>IF($K2478="","",IF($L2478="Crédit",$K2478,-$K2478))</f>
        <v/>
      </c>
      <c r="S2478" s="6" t="str">
        <f>IF($C2478="","",IFERROR(INDEX('Paramètres'!$H:$H,MATCH($C2478,'Paramètres'!$D:$D,0))&amp;"",""))</f>
        <v/>
      </c>
      <c r="T2478" s="6" t="str">
        <f>IF($K2478="","",IF($S2478="",0,IF(ISNUMBER(SEARCH("apport-exterieur",IFERROR(INDEX('Paramètres'!$N:$N,MATCH($D2478,'Paramètres'!$M:$M,0))&amp;"",""))),0,IF(OR(IFERROR(INDEX('Paramètres'!$I:$I,MATCH($C2478,'Paramètres'!$D:$D,0))&amp;"","")="Les deux",IFERROR(INDEX('Paramètres'!$I:$I,MATCH($C2478,'Paramètres'!$D:$D,0))&amp;"","")=IF($P2478=1,"Débit",$L2478)),-IF($P2478=1,-$K2478,$K2478),0))))</f>
        <v/>
      </c>
      <c r="U2478" s="6" t="str">
        <f>IF($K2478="","",IF(ISNUMBER(SEARCH("sortie-epargne",IFERROR(INDEX('Paramètres'!$N:$N,MATCH($D2478,'Paramètres'!$M:$M,0))&amp;"",""))),$K2478,0))</f>
        <v/>
      </c>
      <c r="V2478" s="6" t="str">
        <f>IF(AND($A2478&lt;&gt;"",$O2478=1,$L2478="Débit",N($Q2478)&gt;0,$A2478&gt;=Visualisation!$B$1,$A2478&lt;Visualisation!$D$1),MAX($V$1:V2477)+1,"")</f>
        <v/>
      </c>
    </row>
    <row r="2479" spans="1:22" x14ac:dyDescent="0.25">
      <c r="A2479" s="9"/>
      <c r="E2479" s="10"/>
      <c r="K2479" s="11" t="str">
        <f>IF($E2479="","",ROUND($E2479*IF(ISNA(MATCH($C2479,'Paramètres'!$D:$D,0)),1,IF(INDEX('Paramètres'!$J:$J,MATCH($C2479,'Paramètres'!$D:$D,0))="",1,INDEX('Paramètres'!$J:$J,MATCH($C2479,'Paramètres'!$D:$D,0)))),2))</f>
        <v/>
      </c>
      <c r="L2479" s="6" t="str">
        <f>IF($D2479="","",IF($F2479&lt;&gt;"",$F2479,IF(ISNA(MATCH($D2479,'Paramètres'!$M:$M,0)),"⚠ Type inconnu",IFERROR(INDEX('Paramètres'!$P:$P,MATCH($D2479,'Paramètres'!$M:$M,0))&amp;"",""))))</f>
        <v/>
      </c>
      <c r="M2479" s="6" t="str">
        <f>IF($D2479="","",IF(ISNA(MATCH($D2479,'Paramètres'!$M:$M,0)),"⚠ Type inconnu",IF($L2479="Crédit","",IFERROR(INDEX('Paramètres'!$O:$O,MATCH($D2479,'Paramètres'!$M:$M,0))&amp;"",""))))</f>
        <v/>
      </c>
      <c r="N2479" s="6" t="str">
        <f>IF($D2479="","",IFERROR(INDEX('Paramètres'!$Q:$Q,MATCH($D2479,'Paramètres'!$M:$M,0))&amp;"",""))</f>
        <v/>
      </c>
      <c r="O2479" s="6" t="str">
        <f>IF($A2479="","",IF(OR($J2479&lt;&gt;"x",$A2479&lt;=FinReleve),1,0))</f>
        <v/>
      </c>
      <c r="P2479" s="6" t="str">
        <f>IF($D2479="","",IF(AND($L2479="Crédit",OR(IFERROR(INDEX('Paramètres'!$O:$O,MATCH($D2479,'Paramètres'!$M:$M,0))&amp;"","")&lt;&gt;"",ISNUMBER(SEARCH("remboursement",IFERROR(INDEX('Paramètres'!$N:$N,MATCH($D2479,'Paramètres'!$M:$M,0))&amp;"",""))))),1,0))</f>
        <v/>
      </c>
      <c r="Q2479" s="6" t="str">
        <f>IF($K2479="","",IF(ISNUMBER(SEARCH("transfert-interne",IFERROR(INDEX('Paramètres'!$N:$N,MATCH($D2479,'Paramètres'!$M:$M,0))&amp;"",""))),0,IF($L2479="Débit",$K2479,IF($P2479=1,-$K2479,0))))</f>
        <v/>
      </c>
      <c r="R2479" s="6" t="str">
        <f>IF($K2479="","",IF($L2479="Crédit",$K2479,-$K2479))</f>
        <v/>
      </c>
      <c r="S2479" s="6" t="str">
        <f>IF($C2479="","",IFERROR(INDEX('Paramètres'!$H:$H,MATCH($C2479,'Paramètres'!$D:$D,0))&amp;"",""))</f>
        <v/>
      </c>
      <c r="T2479" s="6" t="str">
        <f>IF($K2479="","",IF($S2479="",0,IF(ISNUMBER(SEARCH("apport-exterieur",IFERROR(INDEX('Paramètres'!$N:$N,MATCH($D2479,'Paramètres'!$M:$M,0))&amp;"",""))),0,IF(OR(IFERROR(INDEX('Paramètres'!$I:$I,MATCH($C2479,'Paramètres'!$D:$D,0))&amp;"","")="Les deux",IFERROR(INDEX('Paramètres'!$I:$I,MATCH($C2479,'Paramètres'!$D:$D,0))&amp;"","")=IF($P2479=1,"Débit",$L2479)),-IF($P2479=1,-$K2479,$K2479),0))))</f>
        <v/>
      </c>
      <c r="U2479" s="6" t="str">
        <f>IF($K2479="","",IF(ISNUMBER(SEARCH("sortie-epargne",IFERROR(INDEX('Paramètres'!$N:$N,MATCH($D2479,'Paramètres'!$M:$M,0))&amp;"",""))),$K2479,0))</f>
        <v/>
      </c>
      <c r="V2479" s="6" t="str">
        <f>IF(AND($A2479&lt;&gt;"",$O2479=1,$L2479="Débit",N($Q2479)&gt;0,$A2479&gt;=Visualisation!$B$1,$A2479&lt;Visualisation!$D$1),MAX($V$1:V2478)+1,"")</f>
        <v/>
      </c>
    </row>
    <row r="2480" spans="1:22" x14ac:dyDescent="0.25">
      <c r="A2480" s="9"/>
      <c r="E2480" s="10"/>
      <c r="K2480" s="11" t="str">
        <f>IF($E2480="","",ROUND($E2480*IF(ISNA(MATCH($C2480,'Paramètres'!$D:$D,0)),1,IF(INDEX('Paramètres'!$J:$J,MATCH($C2480,'Paramètres'!$D:$D,0))="",1,INDEX('Paramètres'!$J:$J,MATCH($C2480,'Paramètres'!$D:$D,0)))),2))</f>
        <v/>
      </c>
      <c r="L2480" s="6" t="str">
        <f>IF($D2480="","",IF($F2480&lt;&gt;"",$F2480,IF(ISNA(MATCH($D2480,'Paramètres'!$M:$M,0)),"⚠ Type inconnu",IFERROR(INDEX('Paramètres'!$P:$P,MATCH($D2480,'Paramètres'!$M:$M,0))&amp;"",""))))</f>
        <v/>
      </c>
      <c r="M2480" s="6" t="str">
        <f>IF($D2480="","",IF(ISNA(MATCH($D2480,'Paramètres'!$M:$M,0)),"⚠ Type inconnu",IF($L2480="Crédit","",IFERROR(INDEX('Paramètres'!$O:$O,MATCH($D2480,'Paramètres'!$M:$M,0))&amp;"",""))))</f>
        <v/>
      </c>
      <c r="N2480" s="6" t="str">
        <f>IF($D2480="","",IFERROR(INDEX('Paramètres'!$Q:$Q,MATCH($D2480,'Paramètres'!$M:$M,0))&amp;"",""))</f>
        <v/>
      </c>
      <c r="O2480" s="6" t="str">
        <f>IF($A2480="","",IF(OR($J2480&lt;&gt;"x",$A2480&lt;=FinReleve),1,0))</f>
        <v/>
      </c>
      <c r="P2480" s="6" t="str">
        <f>IF($D2480="","",IF(AND($L2480="Crédit",OR(IFERROR(INDEX('Paramètres'!$O:$O,MATCH($D2480,'Paramètres'!$M:$M,0))&amp;"","")&lt;&gt;"",ISNUMBER(SEARCH("remboursement",IFERROR(INDEX('Paramètres'!$N:$N,MATCH($D2480,'Paramètres'!$M:$M,0))&amp;"",""))))),1,0))</f>
        <v/>
      </c>
      <c r="Q2480" s="6" t="str">
        <f>IF($K2480="","",IF(ISNUMBER(SEARCH("transfert-interne",IFERROR(INDEX('Paramètres'!$N:$N,MATCH($D2480,'Paramètres'!$M:$M,0))&amp;"",""))),0,IF($L2480="Débit",$K2480,IF($P2480=1,-$K2480,0))))</f>
        <v/>
      </c>
      <c r="R2480" s="6" t="str">
        <f>IF($K2480="","",IF($L2480="Crédit",$K2480,-$K2480))</f>
        <v/>
      </c>
      <c r="S2480" s="6" t="str">
        <f>IF($C2480="","",IFERROR(INDEX('Paramètres'!$H:$H,MATCH($C2480,'Paramètres'!$D:$D,0))&amp;"",""))</f>
        <v/>
      </c>
      <c r="T2480" s="6" t="str">
        <f>IF($K2480="","",IF($S2480="",0,IF(ISNUMBER(SEARCH("apport-exterieur",IFERROR(INDEX('Paramètres'!$N:$N,MATCH($D2480,'Paramètres'!$M:$M,0))&amp;"",""))),0,IF(OR(IFERROR(INDEX('Paramètres'!$I:$I,MATCH($C2480,'Paramètres'!$D:$D,0))&amp;"","")="Les deux",IFERROR(INDEX('Paramètres'!$I:$I,MATCH($C2480,'Paramètres'!$D:$D,0))&amp;"","")=IF($P2480=1,"Débit",$L2480)),-IF($P2480=1,-$K2480,$K2480),0))))</f>
        <v/>
      </c>
      <c r="U2480" s="6" t="str">
        <f>IF($K2480="","",IF(ISNUMBER(SEARCH("sortie-epargne",IFERROR(INDEX('Paramètres'!$N:$N,MATCH($D2480,'Paramètres'!$M:$M,0))&amp;"",""))),$K2480,0))</f>
        <v/>
      </c>
      <c r="V2480" s="6" t="str">
        <f>IF(AND($A2480&lt;&gt;"",$O2480=1,$L2480="Débit",N($Q2480)&gt;0,$A2480&gt;=Visualisation!$B$1,$A2480&lt;Visualisation!$D$1),MAX($V$1:V2479)+1,"")</f>
        <v/>
      </c>
    </row>
    <row r="2481" spans="1:22" x14ac:dyDescent="0.25">
      <c r="A2481" s="9"/>
      <c r="E2481" s="10"/>
      <c r="K2481" s="11" t="str">
        <f>IF($E2481="","",ROUND($E2481*IF(ISNA(MATCH($C2481,'Paramètres'!$D:$D,0)),1,IF(INDEX('Paramètres'!$J:$J,MATCH($C2481,'Paramètres'!$D:$D,0))="",1,INDEX('Paramètres'!$J:$J,MATCH($C2481,'Paramètres'!$D:$D,0)))),2))</f>
        <v/>
      </c>
      <c r="L2481" s="6" t="str">
        <f>IF($D2481="","",IF($F2481&lt;&gt;"",$F2481,IF(ISNA(MATCH($D2481,'Paramètres'!$M:$M,0)),"⚠ Type inconnu",IFERROR(INDEX('Paramètres'!$P:$P,MATCH($D2481,'Paramètres'!$M:$M,0))&amp;"",""))))</f>
        <v/>
      </c>
      <c r="M2481" s="6" t="str">
        <f>IF($D2481="","",IF(ISNA(MATCH($D2481,'Paramètres'!$M:$M,0)),"⚠ Type inconnu",IF($L2481="Crédit","",IFERROR(INDEX('Paramètres'!$O:$O,MATCH($D2481,'Paramètres'!$M:$M,0))&amp;"",""))))</f>
        <v/>
      </c>
      <c r="N2481" s="6" t="str">
        <f>IF($D2481="","",IFERROR(INDEX('Paramètres'!$Q:$Q,MATCH($D2481,'Paramètres'!$M:$M,0))&amp;"",""))</f>
        <v/>
      </c>
      <c r="O2481" s="6" t="str">
        <f>IF($A2481="","",IF(OR($J2481&lt;&gt;"x",$A2481&lt;=FinReleve),1,0))</f>
        <v/>
      </c>
      <c r="P2481" s="6" t="str">
        <f>IF($D2481="","",IF(AND($L2481="Crédit",OR(IFERROR(INDEX('Paramètres'!$O:$O,MATCH($D2481,'Paramètres'!$M:$M,0))&amp;"","")&lt;&gt;"",ISNUMBER(SEARCH("remboursement",IFERROR(INDEX('Paramètres'!$N:$N,MATCH($D2481,'Paramètres'!$M:$M,0))&amp;"",""))))),1,0))</f>
        <v/>
      </c>
      <c r="Q2481" s="6" t="str">
        <f>IF($K2481="","",IF(ISNUMBER(SEARCH("transfert-interne",IFERROR(INDEX('Paramètres'!$N:$N,MATCH($D2481,'Paramètres'!$M:$M,0))&amp;"",""))),0,IF($L2481="Débit",$K2481,IF($P2481=1,-$K2481,0))))</f>
        <v/>
      </c>
      <c r="R2481" s="6" t="str">
        <f>IF($K2481="","",IF($L2481="Crédit",$K2481,-$K2481))</f>
        <v/>
      </c>
      <c r="S2481" s="6" t="str">
        <f>IF($C2481="","",IFERROR(INDEX('Paramètres'!$H:$H,MATCH($C2481,'Paramètres'!$D:$D,0))&amp;"",""))</f>
        <v/>
      </c>
      <c r="T2481" s="6" t="str">
        <f>IF($K2481="","",IF($S2481="",0,IF(ISNUMBER(SEARCH("apport-exterieur",IFERROR(INDEX('Paramètres'!$N:$N,MATCH($D2481,'Paramètres'!$M:$M,0))&amp;"",""))),0,IF(OR(IFERROR(INDEX('Paramètres'!$I:$I,MATCH($C2481,'Paramètres'!$D:$D,0))&amp;"","")="Les deux",IFERROR(INDEX('Paramètres'!$I:$I,MATCH($C2481,'Paramètres'!$D:$D,0))&amp;"","")=IF($P2481=1,"Débit",$L2481)),-IF($P2481=1,-$K2481,$K2481),0))))</f>
        <v/>
      </c>
      <c r="U2481" s="6" t="str">
        <f>IF($K2481="","",IF(ISNUMBER(SEARCH("sortie-epargne",IFERROR(INDEX('Paramètres'!$N:$N,MATCH($D2481,'Paramètres'!$M:$M,0))&amp;"",""))),$K2481,0))</f>
        <v/>
      </c>
      <c r="V2481" s="6" t="str">
        <f>IF(AND($A2481&lt;&gt;"",$O2481=1,$L2481="Débit",N($Q2481)&gt;0,$A2481&gt;=Visualisation!$B$1,$A2481&lt;Visualisation!$D$1),MAX($V$1:V2480)+1,"")</f>
        <v/>
      </c>
    </row>
    <row r="2482" spans="1:22" x14ac:dyDescent="0.25">
      <c r="A2482" s="9"/>
      <c r="E2482" s="10"/>
      <c r="K2482" s="11" t="str">
        <f>IF($E2482="","",ROUND($E2482*IF(ISNA(MATCH($C2482,'Paramètres'!$D:$D,0)),1,IF(INDEX('Paramètres'!$J:$J,MATCH($C2482,'Paramètres'!$D:$D,0))="",1,INDEX('Paramètres'!$J:$J,MATCH($C2482,'Paramètres'!$D:$D,0)))),2))</f>
        <v/>
      </c>
      <c r="L2482" s="6" t="str">
        <f>IF($D2482="","",IF($F2482&lt;&gt;"",$F2482,IF(ISNA(MATCH($D2482,'Paramètres'!$M:$M,0)),"⚠ Type inconnu",IFERROR(INDEX('Paramètres'!$P:$P,MATCH($D2482,'Paramètres'!$M:$M,0))&amp;"",""))))</f>
        <v/>
      </c>
      <c r="M2482" s="6" t="str">
        <f>IF($D2482="","",IF(ISNA(MATCH($D2482,'Paramètres'!$M:$M,0)),"⚠ Type inconnu",IF($L2482="Crédit","",IFERROR(INDEX('Paramètres'!$O:$O,MATCH($D2482,'Paramètres'!$M:$M,0))&amp;"",""))))</f>
        <v/>
      </c>
      <c r="N2482" s="6" t="str">
        <f>IF($D2482="","",IFERROR(INDEX('Paramètres'!$Q:$Q,MATCH($D2482,'Paramètres'!$M:$M,0))&amp;"",""))</f>
        <v/>
      </c>
      <c r="O2482" s="6" t="str">
        <f>IF($A2482="","",IF(OR($J2482&lt;&gt;"x",$A2482&lt;=FinReleve),1,0))</f>
        <v/>
      </c>
      <c r="P2482" s="6" t="str">
        <f>IF($D2482="","",IF(AND($L2482="Crédit",OR(IFERROR(INDEX('Paramètres'!$O:$O,MATCH($D2482,'Paramètres'!$M:$M,0))&amp;"","")&lt;&gt;"",ISNUMBER(SEARCH("remboursement",IFERROR(INDEX('Paramètres'!$N:$N,MATCH($D2482,'Paramètres'!$M:$M,0))&amp;"",""))))),1,0))</f>
        <v/>
      </c>
      <c r="Q2482" s="6" t="str">
        <f>IF($K2482="","",IF(ISNUMBER(SEARCH("transfert-interne",IFERROR(INDEX('Paramètres'!$N:$N,MATCH($D2482,'Paramètres'!$M:$M,0))&amp;"",""))),0,IF($L2482="Débit",$K2482,IF($P2482=1,-$K2482,0))))</f>
        <v/>
      </c>
      <c r="R2482" s="6" t="str">
        <f>IF($K2482="","",IF($L2482="Crédit",$K2482,-$K2482))</f>
        <v/>
      </c>
      <c r="S2482" s="6" t="str">
        <f>IF($C2482="","",IFERROR(INDEX('Paramètres'!$H:$H,MATCH($C2482,'Paramètres'!$D:$D,0))&amp;"",""))</f>
        <v/>
      </c>
      <c r="T2482" s="6" t="str">
        <f>IF($K2482="","",IF($S2482="",0,IF(ISNUMBER(SEARCH("apport-exterieur",IFERROR(INDEX('Paramètres'!$N:$N,MATCH($D2482,'Paramètres'!$M:$M,0))&amp;"",""))),0,IF(OR(IFERROR(INDEX('Paramètres'!$I:$I,MATCH($C2482,'Paramètres'!$D:$D,0))&amp;"","")="Les deux",IFERROR(INDEX('Paramètres'!$I:$I,MATCH($C2482,'Paramètres'!$D:$D,0))&amp;"","")=IF($P2482=1,"Débit",$L2482)),-IF($P2482=1,-$K2482,$K2482),0))))</f>
        <v/>
      </c>
      <c r="U2482" s="6" t="str">
        <f>IF($K2482="","",IF(ISNUMBER(SEARCH("sortie-epargne",IFERROR(INDEX('Paramètres'!$N:$N,MATCH($D2482,'Paramètres'!$M:$M,0))&amp;"",""))),$K2482,0))</f>
        <v/>
      </c>
      <c r="V2482" s="6" t="str">
        <f>IF(AND($A2482&lt;&gt;"",$O2482=1,$L2482="Débit",N($Q2482)&gt;0,$A2482&gt;=Visualisation!$B$1,$A2482&lt;Visualisation!$D$1),MAX($V$1:V2481)+1,"")</f>
        <v/>
      </c>
    </row>
    <row r="2483" spans="1:22" x14ac:dyDescent="0.25">
      <c r="A2483" s="9"/>
      <c r="E2483" s="10"/>
      <c r="K2483" s="11" t="str">
        <f>IF($E2483="","",ROUND($E2483*IF(ISNA(MATCH($C2483,'Paramètres'!$D:$D,0)),1,IF(INDEX('Paramètres'!$J:$J,MATCH($C2483,'Paramètres'!$D:$D,0))="",1,INDEX('Paramètres'!$J:$J,MATCH($C2483,'Paramètres'!$D:$D,0)))),2))</f>
        <v/>
      </c>
      <c r="L2483" s="6" t="str">
        <f>IF($D2483="","",IF($F2483&lt;&gt;"",$F2483,IF(ISNA(MATCH($D2483,'Paramètres'!$M:$M,0)),"⚠ Type inconnu",IFERROR(INDEX('Paramètres'!$P:$P,MATCH($D2483,'Paramètres'!$M:$M,0))&amp;"",""))))</f>
        <v/>
      </c>
      <c r="M2483" s="6" t="str">
        <f>IF($D2483="","",IF(ISNA(MATCH($D2483,'Paramètres'!$M:$M,0)),"⚠ Type inconnu",IF($L2483="Crédit","",IFERROR(INDEX('Paramètres'!$O:$O,MATCH($D2483,'Paramètres'!$M:$M,0))&amp;"",""))))</f>
        <v/>
      </c>
      <c r="N2483" s="6" t="str">
        <f>IF($D2483="","",IFERROR(INDEX('Paramètres'!$Q:$Q,MATCH($D2483,'Paramètres'!$M:$M,0))&amp;"",""))</f>
        <v/>
      </c>
      <c r="O2483" s="6" t="str">
        <f>IF($A2483="","",IF(OR($J2483&lt;&gt;"x",$A2483&lt;=FinReleve),1,0))</f>
        <v/>
      </c>
      <c r="P2483" s="6" t="str">
        <f>IF($D2483="","",IF(AND($L2483="Crédit",OR(IFERROR(INDEX('Paramètres'!$O:$O,MATCH($D2483,'Paramètres'!$M:$M,0))&amp;"","")&lt;&gt;"",ISNUMBER(SEARCH("remboursement",IFERROR(INDEX('Paramètres'!$N:$N,MATCH($D2483,'Paramètres'!$M:$M,0))&amp;"",""))))),1,0))</f>
        <v/>
      </c>
      <c r="Q2483" s="6" t="str">
        <f>IF($K2483="","",IF(ISNUMBER(SEARCH("transfert-interne",IFERROR(INDEX('Paramètres'!$N:$N,MATCH($D2483,'Paramètres'!$M:$M,0))&amp;"",""))),0,IF($L2483="Débit",$K2483,IF($P2483=1,-$K2483,0))))</f>
        <v/>
      </c>
      <c r="R2483" s="6" t="str">
        <f>IF($K2483="","",IF($L2483="Crédit",$K2483,-$K2483))</f>
        <v/>
      </c>
      <c r="S2483" s="6" t="str">
        <f>IF($C2483="","",IFERROR(INDEX('Paramètres'!$H:$H,MATCH($C2483,'Paramètres'!$D:$D,0))&amp;"",""))</f>
        <v/>
      </c>
      <c r="T2483" s="6" t="str">
        <f>IF($K2483="","",IF($S2483="",0,IF(ISNUMBER(SEARCH("apport-exterieur",IFERROR(INDEX('Paramètres'!$N:$N,MATCH($D2483,'Paramètres'!$M:$M,0))&amp;"",""))),0,IF(OR(IFERROR(INDEX('Paramètres'!$I:$I,MATCH($C2483,'Paramètres'!$D:$D,0))&amp;"","")="Les deux",IFERROR(INDEX('Paramètres'!$I:$I,MATCH($C2483,'Paramètres'!$D:$D,0))&amp;"","")=IF($P2483=1,"Débit",$L2483)),-IF($P2483=1,-$K2483,$K2483),0))))</f>
        <v/>
      </c>
      <c r="U2483" s="6" t="str">
        <f>IF($K2483="","",IF(ISNUMBER(SEARCH("sortie-epargne",IFERROR(INDEX('Paramètres'!$N:$N,MATCH($D2483,'Paramètres'!$M:$M,0))&amp;"",""))),$K2483,0))</f>
        <v/>
      </c>
      <c r="V2483" s="6" t="str">
        <f>IF(AND($A2483&lt;&gt;"",$O2483=1,$L2483="Débit",N($Q2483)&gt;0,$A2483&gt;=Visualisation!$B$1,$A2483&lt;Visualisation!$D$1),MAX($V$1:V2482)+1,"")</f>
        <v/>
      </c>
    </row>
    <row r="2484" spans="1:22" x14ac:dyDescent="0.25">
      <c r="A2484" s="9"/>
      <c r="E2484" s="10"/>
      <c r="K2484" s="11" t="str">
        <f>IF($E2484="","",ROUND($E2484*IF(ISNA(MATCH($C2484,'Paramètres'!$D:$D,0)),1,IF(INDEX('Paramètres'!$J:$J,MATCH($C2484,'Paramètres'!$D:$D,0))="",1,INDEX('Paramètres'!$J:$J,MATCH($C2484,'Paramètres'!$D:$D,0)))),2))</f>
        <v/>
      </c>
      <c r="L2484" s="6" t="str">
        <f>IF($D2484="","",IF($F2484&lt;&gt;"",$F2484,IF(ISNA(MATCH($D2484,'Paramètres'!$M:$M,0)),"⚠ Type inconnu",IFERROR(INDEX('Paramètres'!$P:$P,MATCH($D2484,'Paramètres'!$M:$M,0))&amp;"",""))))</f>
        <v/>
      </c>
      <c r="M2484" s="6" t="str">
        <f>IF($D2484="","",IF(ISNA(MATCH($D2484,'Paramètres'!$M:$M,0)),"⚠ Type inconnu",IF($L2484="Crédit","",IFERROR(INDEX('Paramètres'!$O:$O,MATCH($D2484,'Paramètres'!$M:$M,0))&amp;"",""))))</f>
        <v/>
      </c>
      <c r="N2484" s="6" t="str">
        <f>IF($D2484="","",IFERROR(INDEX('Paramètres'!$Q:$Q,MATCH($D2484,'Paramètres'!$M:$M,0))&amp;"",""))</f>
        <v/>
      </c>
      <c r="O2484" s="6" t="str">
        <f>IF($A2484="","",IF(OR($J2484&lt;&gt;"x",$A2484&lt;=FinReleve),1,0))</f>
        <v/>
      </c>
      <c r="P2484" s="6" t="str">
        <f>IF($D2484="","",IF(AND($L2484="Crédit",OR(IFERROR(INDEX('Paramètres'!$O:$O,MATCH($D2484,'Paramètres'!$M:$M,0))&amp;"","")&lt;&gt;"",ISNUMBER(SEARCH("remboursement",IFERROR(INDEX('Paramètres'!$N:$N,MATCH($D2484,'Paramètres'!$M:$M,0))&amp;"",""))))),1,0))</f>
        <v/>
      </c>
      <c r="Q2484" s="6" t="str">
        <f>IF($K2484="","",IF(ISNUMBER(SEARCH("transfert-interne",IFERROR(INDEX('Paramètres'!$N:$N,MATCH($D2484,'Paramètres'!$M:$M,0))&amp;"",""))),0,IF($L2484="Débit",$K2484,IF($P2484=1,-$K2484,0))))</f>
        <v/>
      </c>
      <c r="R2484" s="6" t="str">
        <f>IF($K2484="","",IF($L2484="Crédit",$K2484,-$K2484))</f>
        <v/>
      </c>
      <c r="S2484" s="6" t="str">
        <f>IF($C2484="","",IFERROR(INDEX('Paramètres'!$H:$H,MATCH($C2484,'Paramètres'!$D:$D,0))&amp;"",""))</f>
        <v/>
      </c>
      <c r="T2484" s="6" t="str">
        <f>IF($K2484="","",IF($S2484="",0,IF(ISNUMBER(SEARCH("apport-exterieur",IFERROR(INDEX('Paramètres'!$N:$N,MATCH($D2484,'Paramètres'!$M:$M,0))&amp;"",""))),0,IF(OR(IFERROR(INDEX('Paramètres'!$I:$I,MATCH($C2484,'Paramètres'!$D:$D,0))&amp;"","")="Les deux",IFERROR(INDEX('Paramètres'!$I:$I,MATCH($C2484,'Paramètres'!$D:$D,0))&amp;"","")=IF($P2484=1,"Débit",$L2484)),-IF($P2484=1,-$K2484,$K2484),0))))</f>
        <v/>
      </c>
      <c r="U2484" s="6" t="str">
        <f>IF($K2484="","",IF(ISNUMBER(SEARCH("sortie-epargne",IFERROR(INDEX('Paramètres'!$N:$N,MATCH($D2484,'Paramètres'!$M:$M,0))&amp;"",""))),$K2484,0))</f>
        <v/>
      </c>
      <c r="V2484" s="6" t="str">
        <f>IF(AND($A2484&lt;&gt;"",$O2484=1,$L2484="Débit",N($Q2484)&gt;0,$A2484&gt;=Visualisation!$B$1,$A2484&lt;Visualisation!$D$1),MAX($V$1:V2483)+1,"")</f>
        <v/>
      </c>
    </row>
    <row r="2485" spans="1:22" x14ac:dyDescent="0.25">
      <c r="A2485" s="9"/>
      <c r="E2485" s="10"/>
      <c r="K2485" s="11" t="str">
        <f>IF($E2485="","",ROUND($E2485*IF(ISNA(MATCH($C2485,'Paramètres'!$D:$D,0)),1,IF(INDEX('Paramètres'!$J:$J,MATCH($C2485,'Paramètres'!$D:$D,0))="",1,INDEX('Paramètres'!$J:$J,MATCH($C2485,'Paramètres'!$D:$D,0)))),2))</f>
        <v/>
      </c>
      <c r="L2485" s="6" t="str">
        <f>IF($D2485="","",IF($F2485&lt;&gt;"",$F2485,IF(ISNA(MATCH($D2485,'Paramètres'!$M:$M,0)),"⚠ Type inconnu",IFERROR(INDEX('Paramètres'!$P:$P,MATCH($D2485,'Paramètres'!$M:$M,0))&amp;"",""))))</f>
        <v/>
      </c>
      <c r="M2485" s="6" t="str">
        <f>IF($D2485="","",IF(ISNA(MATCH($D2485,'Paramètres'!$M:$M,0)),"⚠ Type inconnu",IF($L2485="Crédit","",IFERROR(INDEX('Paramètres'!$O:$O,MATCH($D2485,'Paramètres'!$M:$M,0))&amp;"",""))))</f>
        <v/>
      </c>
      <c r="N2485" s="6" t="str">
        <f>IF($D2485="","",IFERROR(INDEX('Paramètres'!$Q:$Q,MATCH($D2485,'Paramètres'!$M:$M,0))&amp;"",""))</f>
        <v/>
      </c>
      <c r="O2485" s="6" t="str">
        <f>IF($A2485="","",IF(OR($J2485&lt;&gt;"x",$A2485&lt;=FinReleve),1,0))</f>
        <v/>
      </c>
      <c r="P2485" s="6" t="str">
        <f>IF($D2485="","",IF(AND($L2485="Crédit",OR(IFERROR(INDEX('Paramètres'!$O:$O,MATCH($D2485,'Paramètres'!$M:$M,0))&amp;"","")&lt;&gt;"",ISNUMBER(SEARCH("remboursement",IFERROR(INDEX('Paramètres'!$N:$N,MATCH($D2485,'Paramètres'!$M:$M,0))&amp;"",""))))),1,0))</f>
        <v/>
      </c>
      <c r="Q2485" s="6" t="str">
        <f>IF($K2485="","",IF(ISNUMBER(SEARCH("transfert-interne",IFERROR(INDEX('Paramètres'!$N:$N,MATCH($D2485,'Paramètres'!$M:$M,0))&amp;"",""))),0,IF($L2485="Débit",$K2485,IF($P2485=1,-$K2485,0))))</f>
        <v/>
      </c>
      <c r="R2485" s="6" t="str">
        <f>IF($K2485="","",IF($L2485="Crédit",$K2485,-$K2485))</f>
        <v/>
      </c>
      <c r="S2485" s="6" t="str">
        <f>IF($C2485="","",IFERROR(INDEX('Paramètres'!$H:$H,MATCH($C2485,'Paramètres'!$D:$D,0))&amp;"",""))</f>
        <v/>
      </c>
      <c r="T2485" s="6" t="str">
        <f>IF($K2485="","",IF($S2485="",0,IF(ISNUMBER(SEARCH("apport-exterieur",IFERROR(INDEX('Paramètres'!$N:$N,MATCH($D2485,'Paramètres'!$M:$M,0))&amp;"",""))),0,IF(OR(IFERROR(INDEX('Paramètres'!$I:$I,MATCH($C2485,'Paramètres'!$D:$D,0))&amp;"","")="Les deux",IFERROR(INDEX('Paramètres'!$I:$I,MATCH($C2485,'Paramètres'!$D:$D,0))&amp;"","")=IF($P2485=1,"Débit",$L2485)),-IF($P2485=1,-$K2485,$K2485),0))))</f>
        <v/>
      </c>
      <c r="U2485" s="6" t="str">
        <f>IF($K2485="","",IF(ISNUMBER(SEARCH("sortie-epargne",IFERROR(INDEX('Paramètres'!$N:$N,MATCH($D2485,'Paramètres'!$M:$M,0))&amp;"",""))),$K2485,0))</f>
        <v/>
      </c>
      <c r="V2485" s="6" t="str">
        <f>IF(AND($A2485&lt;&gt;"",$O2485=1,$L2485="Débit",N($Q2485)&gt;0,$A2485&gt;=Visualisation!$B$1,$A2485&lt;Visualisation!$D$1),MAX($V$1:V2484)+1,"")</f>
        <v/>
      </c>
    </row>
    <row r="2486" spans="1:22" x14ac:dyDescent="0.25">
      <c r="A2486" s="9"/>
      <c r="E2486" s="10"/>
      <c r="K2486" s="11" t="str">
        <f>IF($E2486="","",ROUND($E2486*IF(ISNA(MATCH($C2486,'Paramètres'!$D:$D,0)),1,IF(INDEX('Paramètres'!$J:$J,MATCH($C2486,'Paramètres'!$D:$D,0))="",1,INDEX('Paramètres'!$J:$J,MATCH($C2486,'Paramètres'!$D:$D,0)))),2))</f>
        <v/>
      </c>
      <c r="L2486" s="6" t="str">
        <f>IF($D2486="","",IF($F2486&lt;&gt;"",$F2486,IF(ISNA(MATCH($D2486,'Paramètres'!$M:$M,0)),"⚠ Type inconnu",IFERROR(INDEX('Paramètres'!$P:$P,MATCH($D2486,'Paramètres'!$M:$M,0))&amp;"",""))))</f>
        <v/>
      </c>
      <c r="M2486" s="6" t="str">
        <f>IF($D2486="","",IF(ISNA(MATCH($D2486,'Paramètres'!$M:$M,0)),"⚠ Type inconnu",IF($L2486="Crédit","",IFERROR(INDEX('Paramètres'!$O:$O,MATCH($D2486,'Paramètres'!$M:$M,0))&amp;"",""))))</f>
        <v/>
      </c>
      <c r="N2486" s="6" t="str">
        <f>IF($D2486="","",IFERROR(INDEX('Paramètres'!$Q:$Q,MATCH($D2486,'Paramètres'!$M:$M,0))&amp;"",""))</f>
        <v/>
      </c>
      <c r="O2486" s="6" t="str">
        <f>IF($A2486="","",IF(OR($J2486&lt;&gt;"x",$A2486&lt;=FinReleve),1,0))</f>
        <v/>
      </c>
      <c r="P2486" s="6" t="str">
        <f>IF($D2486="","",IF(AND($L2486="Crédit",OR(IFERROR(INDEX('Paramètres'!$O:$O,MATCH($D2486,'Paramètres'!$M:$M,0))&amp;"","")&lt;&gt;"",ISNUMBER(SEARCH("remboursement",IFERROR(INDEX('Paramètres'!$N:$N,MATCH($D2486,'Paramètres'!$M:$M,0))&amp;"",""))))),1,0))</f>
        <v/>
      </c>
      <c r="Q2486" s="6" t="str">
        <f>IF($K2486="","",IF(ISNUMBER(SEARCH("transfert-interne",IFERROR(INDEX('Paramètres'!$N:$N,MATCH($D2486,'Paramètres'!$M:$M,0))&amp;"",""))),0,IF($L2486="Débit",$K2486,IF($P2486=1,-$K2486,0))))</f>
        <v/>
      </c>
      <c r="R2486" s="6" t="str">
        <f>IF($K2486="","",IF($L2486="Crédit",$K2486,-$K2486))</f>
        <v/>
      </c>
      <c r="S2486" s="6" t="str">
        <f>IF($C2486="","",IFERROR(INDEX('Paramètres'!$H:$H,MATCH($C2486,'Paramètres'!$D:$D,0))&amp;"",""))</f>
        <v/>
      </c>
      <c r="T2486" s="6" t="str">
        <f>IF($K2486="","",IF($S2486="",0,IF(ISNUMBER(SEARCH("apport-exterieur",IFERROR(INDEX('Paramètres'!$N:$N,MATCH($D2486,'Paramètres'!$M:$M,0))&amp;"",""))),0,IF(OR(IFERROR(INDEX('Paramètres'!$I:$I,MATCH($C2486,'Paramètres'!$D:$D,0))&amp;"","")="Les deux",IFERROR(INDEX('Paramètres'!$I:$I,MATCH($C2486,'Paramètres'!$D:$D,0))&amp;"","")=IF($P2486=1,"Débit",$L2486)),-IF($P2486=1,-$K2486,$K2486),0))))</f>
        <v/>
      </c>
      <c r="U2486" s="6" t="str">
        <f>IF($K2486="","",IF(ISNUMBER(SEARCH("sortie-epargne",IFERROR(INDEX('Paramètres'!$N:$N,MATCH($D2486,'Paramètres'!$M:$M,0))&amp;"",""))),$K2486,0))</f>
        <v/>
      </c>
      <c r="V2486" s="6" t="str">
        <f>IF(AND($A2486&lt;&gt;"",$O2486=1,$L2486="Débit",N($Q2486)&gt;0,$A2486&gt;=Visualisation!$B$1,$A2486&lt;Visualisation!$D$1),MAX($V$1:V2485)+1,"")</f>
        <v/>
      </c>
    </row>
    <row r="2487" spans="1:22" x14ac:dyDescent="0.25">
      <c r="A2487" s="9"/>
      <c r="E2487" s="10"/>
      <c r="K2487" s="11" t="str">
        <f>IF($E2487="","",ROUND($E2487*IF(ISNA(MATCH($C2487,'Paramètres'!$D:$D,0)),1,IF(INDEX('Paramètres'!$J:$J,MATCH($C2487,'Paramètres'!$D:$D,0))="",1,INDEX('Paramètres'!$J:$J,MATCH($C2487,'Paramètres'!$D:$D,0)))),2))</f>
        <v/>
      </c>
      <c r="L2487" s="6" t="str">
        <f>IF($D2487="","",IF($F2487&lt;&gt;"",$F2487,IF(ISNA(MATCH($D2487,'Paramètres'!$M:$M,0)),"⚠ Type inconnu",IFERROR(INDEX('Paramètres'!$P:$P,MATCH($D2487,'Paramètres'!$M:$M,0))&amp;"",""))))</f>
        <v/>
      </c>
      <c r="M2487" s="6" t="str">
        <f>IF($D2487="","",IF(ISNA(MATCH($D2487,'Paramètres'!$M:$M,0)),"⚠ Type inconnu",IF($L2487="Crédit","",IFERROR(INDEX('Paramètres'!$O:$O,MATCH($D2487,'Paramètres'!$M:$M,0))&amp;"",""))))</f>
        <v/>
      </c>
      <c r="N2487" s="6" t="str">
        <f>IF($D2487="","",IFERROR(INDEX('Paramètres'!$Q:$Q,MATCH($D2487,'Paramètres'!$M:$M,0))&amp;"",""))</f>
        <v/>
      </c>
      <c r="O2487" s="6" t="str">
        <f>IF($A2487="","",IF(OR($J2487&lt;&gt;"x",$A2487&lt;=FinReleve),1,0))</f>
        <v/>
      </c>
      <c r="P2487" s="6" t="str">
        <f>IF($D2487="","",IF(AND($L2487="Crédit",OR(IFERROR(INDEX('Paramètres'!$O:$O,MATCH($D2487,'Paramètres'!$M:$M,0))&amp;"","")&lt;&gt;"",ISNUMBER(SEARCH("remboursement",IFERROR(INDEX('Paramètres'!$N:$N,MATCH($D2487,'Paramètres'!$M:$M,0))&amp;"",""))))),1,0))</f>
        <v/>
      </c>
      <c r="Q2487" s="6" t="str">
        <f>IF($K2487="","",IF(ISNUMBER(SEARCH("transfert-interne",IFERROR(INDEX('Paramètres'!$N:$N,MATCH($D2487,'Paramètres'!$M:$M,0))&amp;"",""))),0,IF($L2487="Débit",$K2487,IF($P2487=1,-$K2487,0))))</f>
        <v/>
      </c>
      <c r="R2487" s="6" t="str">
        <f>IF($K2487="","",IF($L2487="Crédit",$K2487,-$K2487))</f>
        <v/>
      </c>
      <c r="S2487" s="6" t="str">
        <f>IF($C2487="","",IFERROR(INDEX('Paramètres'!$H:$H,MATCH($C2487,'Paramètres'!$D:$D,0))&amp;"",""))</f>
        <v/>
      </c>
      <c r="T2487" s="6" t="str">
        <f>IF($K2487="","",IF($S2487="",0,IF(ISNUMBER(SEARCH("apport-exterieur",IFERROR(INDEX('Paramètres'!$N:$N,MATCH($D2487,'Paramètres'!$M:$M,0))&amp;"",""))),0,IF(OR(IFERROR(INDEX('Paramètres'!$I:$I,MATCH($C2487,'Paramètres'!$D:$D,0))&amp;"","")="Les deux",IFERROR(INDEX('Paramètres'!$I:$I,MATCH($C2487,'Paramètres'!$D:$D,0))&amp;"","")=IF($P2487=1,"Débit",$L2487)),-IF($P2487=1,-$K2487,$K2487),0))))</f>
        <v/>
      </c>
      <c r="U2487" s="6" t="str">
        <f>IF($K2487="","",IF(ISNUMBER(SEARCH("sortie-epargne",IFERROR(INDEX('Paramètres'!$N:$N,MATCH($D2487,'Paramètres'!$M:$M,0))&amp;"",""))),$K2487,0))</f>
        <v/>
      </c>
      <c r="V2487" s="6" t="str">
        <f>IF(AND($A2487&lt;&gt;"",$O2487=1,$L2487="Débit",N($Q2487)&gt;0,$A2487&gt;=Visualisation!$B$1,$A2487&lt;Visualisation!$D$1),MAX($V$1:V2486)+1,"")</f>
        <v/>
      </c>
    </row>
    <row r="2488" spans="1:22" x14ac:dyDescent="0.25">
      <c r="A2488" s="9"/>
      <c r="E2488" s="10"/>
      <c r="K2488" s="11" t="str">
        <f>IF($E2488="","",ROUND($E2488*IF(ISNA(MATCH($C2488,'Paramètres'!$D:$D,0)),1,IF(INDEX('Paramètres'!$J:$J,MATCH($C2488,'Paramètres'!$D:$D,0))="",1,INDEX('Paramètres'!$J:$J,MATCH($C2488,'Paramètres'!$D:$D,0)))),2))</f>
        <v/>
      </c>
      <c r="L2488" s="6" t="str">
        <f>IF($D2488="","",IF($F2488&lt;&gt;"",$F2488,IF(ISNA(MATCH($D2488,'Paramètres'!$M:$M,0)),"⚠ Type inconnu",IFERROR(INDEX('Paramètres'!$P:$P,MATCH($D2488,'Paramètres'!$M:$M,0))&amp;"",""))))</f>
        <v/>
      </c>
      <c r="M2488" s="6" t="str">
        <f>IF($D2488="","",IF(ISNA(MATCH($D2488,'Paramètres'!$M:$M,0)),"⚠ Type inconnu",IF($L2488="Crédit","",IFERROR(INDEX('Paramètres'!$O:$O,MATCH($D2488,'Paramètres'!$M:$M,0))&amp;"",""))))</f>
        <v/>
      </c>
      <c r="N2488" s="6" t="str">
        <f>IF($D2488="","",IFERROR(INDEX('Paramètres'!$Q:$Q,MATCH($D2488,'Paramètres'!$M:$M,0))&amp;"",""))</f>
        <v/>
      </c>
      <c r="O2488" s="6" t="str">
        <f>IF($A2488="","",IF(OR($J2488&lt;&gt;"x",$A2488&lt;=FinReleve),1,0))</f>
        <v/>
      </c>
      <c r="P2488" s="6" t="str">
        <f>IF($D2488="","",IF(AND($L2488="Crédit",OR(IFERROR(INDEX('Paramètres'!$O:$O,MATCH($D2488,'Paramètres'!$M:$M,0))&amp;"","")&lt;&gt;"",ISNUMBER(SEARCH("remboursement",IFERROR(INDEX('Paramètres'!$N:$N,MATCH($D2488,'Paramètres'!$M:$M,0))&amp;"",""))))),1,0))</f>
        <v/>
      </c>
      <c r="Q2488" s="6" t="str">
        <f>IF($K2488="","",IF(ISNUMBER(SEARCH("transfert-interne",IFERROR(INDEX('Paramètres'!$N:$N,MATCH($D2488,'Paramètres'!$M:$M,0))&amp;"",""))),0,IF($L2488="Débit",$K2488,IF($P2488=1,-$K2488,0))))</f>
        <v/>
      </c>
      <c r="R2488" s="6" t="str">
        <f>IF($K2488="","",IF($L2488="Crédit",$K2488,-$K2488))</f>
        <v/>
      </c>
      <c r="S2488" s="6" t="str">
        <f>IF($C2488="","",IFERROR(INDEX('Paramètres'!$H:$H,MATCH($C2488,'Paramètres'!$D:$D,0))&amp;"",""))</f>
        <v/>
      </c>
      <c r="T2488" s="6" t="str">
        <f>IF($K2488="","",IF($S2488="",0,IF(ISNUMBER(SEARCH("apport-exterieur",IFERROR(INDEX('Paramètres'!$N:$N,MATCH($D2488,'Paramètres'!$M:$M,0))&amp;"",""))),0,IF(OR(IFERROR(INDEX('Paramètres'!$I:$I,MATCH($C2488,'Paramètres'!$D:$D,0))&amp;"","")="Les deux",IFERROR(INDEX('Paramètres'!$I:$I,MATCH($C2488,'Paramètres'!$D:$D,0))&amp;"","")=IF($P2488=1,"Débit",$L2488)),-IF($P2488=1,-$K2488,$K2488),0))))</f>
        <v/>
      </c>
      <c r="U2488" s="6" t="str">
        <f>IF($K2488="","",IF(ISNUMBER(SEARCH("sortie-epargne",IFERROR(INDEX('Paramètres'!$N:$N,MATCH($D2488,'Paramètres'!$M:$M,0))&amp;"",""))),$K2488,0))</f>
        <v/>
      </c>
      <c r="V2488" s="6" t="str">
        <f>IF(AND($A2488&lt;&gt;"",$O2488=1,$L2488="Débit",N($Q2488)&gt;0,$A2488&gt;=Visualisation!$B$1,$A2488&lt;Visualisation!$D$1),MAX($V$1:V2487)+1,"")</f>
        <v/>
      </c>
    </row>
    <row r="2489" spans="1:22" x14ac:dyDescent="0.25">
      <c r="A2489" s="9"/>
      <c r="E2489" s="10"/>
      <c r="K2489" s="11" t="str">
        <f>IF($E2489="","",ROUND($E2489*IF(ISNA(MATCH($C2489,'Paramètres'!$D:$D,0)),1,IF(INDEX('Paramètres'!$J:$J,MATCH($C2489,'Paramètres'!$D:$D,0))="",1,INDEX('Paramètres'!$J:$J,MATCH($C2489,'Paramètres'!$D:$D,0)))),2))</f>
        <v/>
      </c>
      <c r="L2489" s="6" t="str">
        <f>IF($D2489="","",IF($F2489&lt;&gt;"",$F2489,IF(ISNA(MATCH($D2489,'Paramètres'!$M:$M,0)),"⚠ Type inconnu",IFERROR(INDEX('Paramètres'!$P:$P,MATCH($D2489,'Paramètres'!$M:$M,0))&amp;"",""))))</f>
        <v/>
      </c>
      <c r="M2489" s="6" t="str">
        <f>IF($D2489="","",IF(ISNA(MATCH($D2489,'Paramètres'!$M:$M,0)),"⚠ Type inconnu",IF($L2489="Crédit","",IFERROR(INDEX('Paramètres'!$O:$O,MATCH($D2489,'Paramètres'!$M:$M,0))&amp;"",""))))</f>
        <v/>
      </c>
      <c r="N2489" s="6" t="str">
        <f>IF($D2489="","",IFERROR(INDEX('Paramètres'!$Q:$Q,MATCH($D2489,'Paramètres'!$M:$M,0))&amp;"",""))</f>
        <v/>
      </c>
      <c r="O2489" s="6" t="str">
        <f>IF($A2489="","",IF(OR($J2489&lt;&gt;"x",$A2489&lt;=FinReleve),1,0))</f>
        <v/>
      </c>
      <c r="P2489" s="6" t="str">
        <f>IF($D2489="","",IF(AND($L2489="Crédit",OR(IFERROR(INDEX('Paramètres'!$O:$O,MATCH($D2489,'Paramètres'!$M:$M,0))&amp;"","")&lt;&gt;"",ISNUMBER(SEARCH("remboursement",IFERROR(INDEX('Paramètres'!$N:$N,MATCH($D2489,'Paramètres'!$M:$M,0))&amp;"",""))))),1,0))</f>
        <v/>
      </c>
      <c r="Q2489" s="6" t="str">
        <f>IF($K2489="","",IF(ISNUMBER(SEARCH("transfert-interne",IFERROR(INDEX('Paramètres'!$N:$N,MATCH($D2489,'Paramètres'!$M:$M,0))&amp;"",""))),0,IF($L2489="Débit",$K2489,IF($P2489=1,-$K2489,0))))</f>
        <v/>
      </c>
      <c r="R2489" s="6" t="str">
        <f>IF($K2489="","",IF($L2489="Crédit",$K2489,-$K2489))</f>
        <v/>
      </c>
      <c r="S2489" s="6" t="str">
        <f>IF($C2489="","",IFERROR(INDEX('Paramètres'!$H:$H,MATCH($C2489,'Paramètres'!$D:$D,0))&amp;"",""))</f>
        <v/>
      </c>
      <c r="T2489" s="6" t="str">
        <f>IF($K2489="","",IF($S2489="",0,IF(ISNUMBER(SEARCH("apport-exterieur",IFERROR(INDEX('Paramètres'!$N:$N,MATCH($D2489,'Paramètres'!$M:$M,0))&amp;"",""))),0,IF(OR(IFERROR(INDEX('Paramètres'!$I:$I,MATCH($C2489,'Paramètres'!$D:$D,0))&amp;"","")="Les deux",IFERROR(INDEX('Paramètres'!$I:$I,MATCH($C2489,'Paramètres'!$D:$D,0))&amp;"","")=IF($P2489=1,"Débit",$L2489)),-IF($P2489=1,-$K2489,$K2489),0))))</f>
        <v/>
      </c>
      <c r="U2489" s="6" t="str">
        <f>IF($K2489="","",IF(ISNUMBER(SEARCH("sortie-epargne",IFERROR(INDEX('Paramètres'!$N:$N,MATCH($D2489,'Paramètres'!$M:$M,0))&amp;"",""))),$K2489,0))</f>
        <v/>
      </c>
      <c r="V2489" s="6" t="str">
        <f>IF(AND($A2489&lt;&gt;"",$O2489=1,$L2489="Débit",N($Q2489)&gt;0,$A2489&gt;=Visualisation!$B$1,$A2489&lt;Visualisation!$D$1),MAX($V$1:V2488)+1,"")</f>
        <v/>
      </c>
    </row>
    <row r="2490" spans="1:22" x14ac:dyDescent="0.25">
      <c r="A2490" s="9"/>
      <c r="E2490" s="10"/>
      <c r="K2490" s="11" t="str">
        <f>IF($E2490="","",ROUND($E2490*IF(ISNA(MATCH($C2490,'Paramètres'!$D:$D,0)),1,IF(INDEX('Paramètres'!$J:$J,MATCH($C2490,'Paramètres'!$D:$D,0))="",1,INDEX('Paramètres'!$J:$J,MATCH($C2490,'Paramètres'!$D:$D,0)))),2))</f>
        <v/>
      </c>
      <c r="L2490" s="6" t="str">
        <f>IF($D2490="","",IF($F2490&lt;&gt;"",$F2490,IF(ISNA(MATCH($D2490,'Paramètres'!$M:$M,0)),"⚠ Type inconnu",IFERROR(INDEX('Paramètres'!$P:$P,MATCH($D2490,'Paramètres'!$M:$M,0))&amp;"",""))))</f>
        <v/>
      </c>
      <c r="M2490" s="6" t="str">
        <f>IF($D2490="","",IF(ISNA(MATCH($D2490,'Paramètres'!$M:$M,0)),"⚠ Type inconnu",IF($L2490="Crédit","",IFERROR(INDEX('Paramètres'!$O:$O,MATCH($D2490,'Paramètres'!$M:$M,0))&amp;"",""))))</f>
        <v/>
      </c>
      <c r="N2490" s="6" t="str">
        <f>IF($D2490="","",IFERROR(INDEX('Paramètres'!$Q:$Q,MATCH($D2490,'Paramètres'!$M:$M,0))&amp;"",""))</f>
        <v/>
      </c>
      <c r="O2490" s="6" t="str">
        <f>IF($A2490="","",IF(OR($J2490&lt;&gt;"x",$A2490&lt;=FinReleve),1,0))</f>
        <v/>
      </c>
      <c r="P2490" s="6" t="str">
        <f>IF($D2490="","",IF(AND($L2490="Crédit",OR(IFERROR(INDEX('Paramètres'!$O:$O,MATCH($D2490,'Paramètres'!$M:$M,0))&amp;"","")&lt;&gt;"",ISNUMBER(SEARCH("remboursement",IFERROR(INDEX('Paramètres'!$N:$N,MATCH($D2490,'Paramètres'!$M:$M,0))&amp;"",""))))),1,0))</f>
        <v/>
      </c>
      <c r="Q2490" s="6" t="str">
        <f>IF($K2490="","",IF(ISNUMBER(SEARCH("transfert-interne",IFERROR(INDEX('Paramètres'!$N:$N,MATCH($D2490,'Paramètres'!$M:$M,0))&amp;"",""))),0,IF($L2490="Débit",$K2490,IF($P2490=1,-$K2490,0))))</f>
        <v/>
      </c>
      <c r="R2490" s="6" t="str">
        <f>IF($K2490="","",IF($L2490="Crédit",$K2490,-$K2490))</f>
        <v/>
      </c>
      <c r="S2490" s="6" t="str">
        <f>IF($C2490="","",IFERROR(INDEX('Paramètres'!$H:$H,MATCH($C2490,'Paramètres'!$D:$D,0))&amp;"",""))</f>
        <v/>
      </c>
      <c r="T2490" s="6" t="str">
        <f>IF($K2490="","",IF($S2490="",0,IF(ISNUMBER(SEARCH("apport-exterieur",IFERROR(INDEX('Paramètres'!$N:$N,MATCH($D2490,'Paramètres'!$M:$M,0))&amp;"",""))),0,IF(OR(IFERROR(INDEX('Paramètres'!$I:$I,MATCH($C2490,'Paramètres'!$D:$D,0))&amp;"","")="Les deux",IFERROR(INDEX('Paramètres'!$I:$I,MATCH($C2490,'Paramètres'!$D:$D,0))&amp;"","")=IF($P2490=1,"Débit",$L2490)),-IF($P2490=1,-$K2490,$K2490),0))))</f>
        <v/>
      </c>
      <c r="U2490" s="6" t="str">
        <f>IF($K2490="","",IF(ISNUMBER(SEARCH("sortie-epargne",IFERROR(INDEX('Paramètres'!$N:$N,MATCH($D2490,'Paramètres'!$M:$M,0))&amp;"",""))),$K2490,0))</f>
        <v/>
      </c>
      <c r="V2490" s="6" t="str">
        <f>IF(AND($A2490&lt;&gt;"",$O2490=1,$L2490="Débit",N($Q2490)&gt;0,$A2490&gt;=Visualisation!$B$1,$A2490&lt;Visualisation!$D$1),MAX($V$1:V2489)+1,"")</f>
        <v/>
      </c>
    </row>
    <row r="2491" spans="1:22" x14ac:dyDescent="0.25">
      <c r="A2491" s="9"/>
      <c r="E2491" s="10"/>
      <c r="K2491" s="11" t="str">
        <f>IF($E2491="","",ROUND($E2491*IF(ISNA(MATCH($C2491,'Paramètres'!$D:$D,0)),1,IF(INDEX('Paramètres'!$J:$J,MATCH($C2491,'Paramètres'!$D:$D,0))="",1,INDEX('Paramètres'!$J:$J,MATCH($C2491,'Paramètres'!$D:$D,0)))),2))</f>
        <v/>
      </c>
      <c r="L2491" s="6" t="str">
        <f>IF($D2491="","",IF($F2491&lt;&gt;"",$F2491,IF(ISNA(MATCH($D2491,'Paramètres'!$M:$M,0)),"⚠ Type inconnu",IFERROR(INDEX('Paramètres'!$P:$P,MATCH($D2491,'Paramètres'!$M:$M,0))&amp;"",""))))</f>
        <v/>
      </c>
      <c r="M2491" s="6" t="str">
        <f>IF($D2491="","",IF(ISNA(MATCH($D2491,'Paramètres'!$M:$M,0)),"⚠ Type inconnu",IF($L2491="Crédit","",IFERROR(INDEX('Paramètres'!$O:$O,MATCH($D2491,'Paramètres'!$M:$M,0))&amp;"",""))))</f>
        <v/>
      </c>
      <c r="N2491" s="6" t="str">
        <f>IF($D2491="","",IFERROR(INDEX('Paramètres'!$Q:$Q,MATCH($D2491,'Paramètres'!$M:$M,0))&amp;"",""))</f>
        <v/>
      </c>
      <c r="O2491" s="6" t="str">
        <f>IF($A2491="","",IF(OR($J2491&lt;&gt;"x",$A2491&lt;=FinReleve),1,0))</f>
        <v/>
      </c>
      <c r="P2491" s="6" t="str">
        <f>IF($D2491="","",IF(AND($L2491="Crédit",OR(IFERROR(INDEX('Paramètres'!$O:$O,MATCH($D2491,'Paramètres'!$M:$M,0))&amp;"","")&lt;&gt;"",ISNUMBER(SEARCH("remboursement",IFERROR(INDEX('Paramètres'!$N:$N,MATCH($D2491,'Paramètres'!$M:$M,0))&amp;"",""))))),1,0))</f>
        <v/>
      </c>
      <c r="Q2491" s="6" t="str">
        <f>IF($K2491="","",IF(ISNUMBER(SEARCH("transfert-interne",IFERROR(INDEX('Paramètres'!$N:$N,MATCH($D2491,'Paramètres'!$M:$M,0))&amp;"",""))),0,IF($L2491="Débit",$K2491,IF($P2491=1,-$K2491,0))))</f>
        <v/>
      </c>
      <c r="R2491" s="6" t="str">
        <f>IF($K2491="","",IF($L2491="Crédit",$K2491,-$K2491))</f>
        <v/>
      </c>
      <c r="S2491" s="6" t="str">
        <f>IF($C2491="","",IFERROR(INDEX('Paramètres'!$H:$H,MATCH($C2491,'Paramètres'!$D:$D,0))&amp;"",""))</f>
        <v/>
      </c>
      <c r="T2491" s="6" t="str">
        <f>IF($K2491="","",IF($S2491="",0,IF(ISNUMBER(SEARCH("apport-exterieur",IFERROR(INDEX('Paramètres'!$N:$N,MATCH($D2491,'Paramètres'!$M:$M,0))&amp;"",""))),0,IF(OR(IFERROR(INDEX('Paramètres'!$I:$I,MATCH($C2491,'Paramètres'!$D:$D,0))&amp;"","")="Les deux",IFERROR(INDEX('Paramètres'!$I:$I,MATCH($C2491,'Paramètres'!$D:$D,0))&amp;"","")=IF($P2491=1,"Débit",$L2491)),-IF($P2491=1,-$K2491,$K2491),0))))</f>
        <v/>
      </c>
      <c r="U2491" s="6" t="str">
        <f>IF($K2491="","",IF(ISNUMBER(SEARCH("sortie-epargne",IFERROR(INDEX('Paramètres'!$N:$N,MATCH($D2491,'Paramètres'!$M:$M,0))&amp;"",""))),$K2491,0))</f>
        <v/>
      </c>
      <c r="V2491" s="6" t="str">
        <f>IF(AND($A2491&lt;&gt;"",$O2491=1,$L2491="Débit",N($Q2491)&gt;0,$A2491&gt;=Visualisation!$B$1,$A2491&lt;Visualisation!$D$1),MAX($V$1:V2490)+1,"")</f>
        <v/>
      </c>
    </row>
    <row r="2492" spans="1:22" x14ac:dyDescent="0.25">
      <c r="A2492" s="9"/>
      <c r="E2492" s="10"/>
      <c r="K2492" s="11" t="str">
        <f>IF($E2492="","",ROUND($E2492*IF(ISNA(MATCH($C2492,'Paramètres'!$D:$D,0)),1,IF(INDEX('Paramètres'!$J:$J,MATCH($C2492,'Paramètres'!$D:$D,0))="",1,INDEX('Paramètres'!$J:$J,MATCH($C2492,'Paramètres'!$D:$D,0)))),2))</f>
        <v/>
      </c>
      <c r="L2492" s="6" t="str">
        <f>IF($D2492="","",IF($F2492&lt;&gt;"",$F2492,IF(ISNA(MATCH($D2492,'Paramètres'!$M:$M,0)),"⚠ Type inconnu",IFERROR(INDEX('Paramètres'!$P:$P,MATCH($D2492,'Paramètres'!$M:$M,0))&amp;"",""))))</f>
        <v/>
      </c>
      <c r="M2492" s="6" t="str">
        <f>IF($D2492="","",IF(ISNA(MATCH($D2492,'Paramètres'!$M:$M,0)),"⚠ Type inconnu",IF($L2492="Crédit","",IFERROR(INDEX('Paramètres'!$O:$O,MATCH($D2492,'Paramètres'!$M:$M,0))&amp;"",""))))</f>
        <v/>
      </c>
      <c r="N2492" s="6" t="str">
        <f>IF($D2492="","",IFERROR(INDEX('Paramètres'!$Q:$Q,MATCH($D2492,'Paramètres'!$M:$M,0))&amp;"",""))</f>
        <v/>
      </c>
      <c r="O2492" s="6" t="str">
        <f>IF($A2492="","",IF(OR($J2492&lt;&gt;"x",$A2492&lt;=FinReleve),1,0))</f>
        <v/>
      </c>
      <c r="P2492" s="6" t="str">
        <f>IF($D2492="","",IF(AND($L2492="Crédit",OR(IFERROR(INDEX('Paramètres'!$O:$O,MATCH($D2492,'Paramètres'!$M:$M,0))&amp;"","")&lt;&gt;"",ISNUMBER(SEARCH("remboursement",IFERROR(INDEX('Paramètres'!$N:$N,MATCH($D2492,'Paramètres'!$M:$M,0))&amp;"",""))))),1,0))</f>
        <v/>
      </c>
      <c r="Q2492" s="6" t="str">
        <f>IF($K2492="","",IF(ISNUMBER(SEARCH("transfert-interne",IFERROR(INDEX('Paramètres'!$N:$N,MATCH($D2492,'Paramètres'!$M:$M,0))&amp;"",""))),0,IF($L2492="Débit",$K2492,IF($P2492=1,-$K2492,0))))</f>
        <v/>
      </c>
      <c r="R2492" s="6" t="str">
        <f>IF($K2492="","",IF($L2492="Crédit",$K2492,-$K2492))</f>
        <v/>
      </c>
      <c r="S2492" s="6" t="str">
        <f>IF($C2492="","",IFERROR(INDEX('Paramètres'!$H:$H,MATCH($C2492,'Paramètres'!$D:$D,0))&amp;"",""))</f>
        <v/>
      </c>
      <c r="T2492" s="6" t="str">
        <f>IF($K2492="","",IF($S2492="",0,IF(ISNUMBER(SEARCH("apport-exterieur",IFERROR(INDEX('Paramètres'!$N:$N,MATCH($D2492,'Paramètres'!$M:$M,0))&amp;"",""))),0,IF(OR(IFERROR(INDEX('Paramètres'!$I:$I,MATCH($C2492,'Paramètres'!$D:$D,0))&amp;"","")="Les deux",IFERROR(INDEX('Paramètres'!$I:$I,MATCH($C2492,'Paramètres'!$D:$D,0))&amp;"","")=IF($P2492=1,"Débit",$L2492)),-IF($P2492=1,-$K2492,$K2492),0))))</f>
        <v/>
      </c>
      <c r="U2492" s="6" t="str">
        <f>IF($K2492="","",IF(ISNUMBER(SEARCH("sortie-epargne",IFERROR(INDEX('Paramètres'!$N:$N,MATCH($D2492,'Paramètres'!$M:$M,0))&amp;"",""))),$K2492,0))</f>
        <v/>
      </c>
      <c r="V2492" s="6" t="str">
        <f>IF(AND($A2492&lt;&gt;"",$O2492=1,$L2492="Débit",N($Q2492)&gt;0,$A2492&gt;=Visualisation!$B$1,$A2492&lt;Visualisation!$D$1),MAX($V$1:V2491)+1,"")</f>
        <v/>
      </c>
    </row>
    <row r="2493" spans="1:22" x14ac:dyDescent="0.25">
      <c r="A2493" s="9"/>
      <c r="E2493" s="10"/>
      <c r="K2493" s="11" t="str">
        <f>IF($E2493="","",ROUND($E2493*IF(ISNA(MATCH($C2493,'Paramètres'!$D:$D,0)),1,IF(INDEX('Paramètres'!$J:$J,MATCH($C2493,'Paramètres'!$D:$D,0))="",1,INDEX('Paramètres'!$J:$J,MATCH($C2493,'Paramètres'!$D:$D,0)))),2))</f>
        <v/>
      </c>
      <c r="L2493" s="6" t="str">
        <f>IF($D2493="","",IF($F2493&lt;&gt;"",$F2493,IF(ISNA(MATCH($D2493,'Paramètres'!$M:$M,0)),"⚠ Type inconnu",IFERROR(INDEX('Paramètres'!$P:$P,MATCH($D2493,'Paramètres'!$M:$M,0))&amp;"",""))))</f>
        <v/>
      </c>
      <c r="M2493" s="6" t="str">
        <f>IF($D2493="","",IF(ISNA(MATCH($D2493,'Paramètres'!$M:$M,0)),"⚠ Type inconnu",IF($L2493="Crédit","",IFERROR(INDEX('Paramètres'!$O:$O,MATCH($D2493,'Paramètres'!$M:$M,0))&amp;"",""))))</f>
        <v/>
      </c>
      <c r="N2493" s="6" t="str">
        <f>IF($D2493="","",IFERROR(INDEX('Paramètres'!$Q:$Q,MATCH($D2493,'Paramètres'!$M:$M,0))&amp;"",""))</f>
        <v/>
      </c>
      <c r="O2493" s="6" t="str">
        <f>IF($A2493="","",IF(OR($J2493&lt;&gt;"x",$A2493&lt;=FinReleve),1,0))</f>
        <v/>
      </c>
      <c r="P2493" s="6" t="str">
        <f>IF($D2493="","",IF(AND($L2493="Crédit",OR(IFERROR(INDEX('Paramètres'!$O:$O,MATCH($D2493,'Paramètres'!$M:$M,0))&amp;"","")&lt;&gt;"",ISNUMBER(SEARCH("remboursement",IFERROR(INDEX('Paramètres'!$N:$N,MATCH($D2493,'Paramètres'!$M:$M,0))&amp;"",""))))),1,0))</f>
        <v/>
      </c>
      <c r="Q2493" s="6" t="str">
        <f>IF($K2493="","",IF(ISNUMBER(SEARCH("transfert-interne",IFERROR(INDEX('Paramètres'!$N:$N,MATCH($D2493,'Paramètres'!$M:$M,0))&amp;"",""))),0,IF($L2493="Débit",$K2493,IF($P2493=1,-$K2493,0))))</f>
        <v/>
      </c>
      <c r="R2493" s="6" t="str">
        <f>IF($K2493="","",IF($L2493="Crédit",$K2493,-$K2493))</f>
        <v/>
      </c>
      <c r="S2493" s="6" t="str">
        <f>IF($C2493="","",IFERROR(INDEX('Paramètres'!$H:$H,MATCH($C2493,'Paramètres'!$D:$D,0))&amp;"",""))</f>
        <v/>
      </c>
      <c r="T2493" s="6" t="str">
        <f>IF($K2493="","",IF($S2493="",0,IF(ISNUMBER(SEARCH("apport-exterieur",IFERROR(INDEX('Paramètres'!$N:$N,MATCH($D2493,'Paramètres'!$M:$M,0))&amp;"",""))),0,IF(OR(IFERROR(INDEX('Paramètres'!$I:$I,MATCH($C2493,'Paramètres'!$D:$D,0))&amp;"","")="Les deux",IFERROR(INDEX('Paramètres'!$I:$I,MATCH($C2493,'Paramètres'!$D:$D,0))&amp;"","")=IF($P2493=1,"Débit",$L2493)),-IF($P2493=1,-$K2493,$K2493),0))))</f>
        <v/>
      </c>
      <c r="U2493" s="6" t="str">
        <f>IF($K2493="","",IF(ISNUMBER(SEARCH("sortie-epargne",IFERROR(INDEX('Paramètres'!$N:$N,MATCH($D2493,'Paramètres'!$M:$M,0))&amp;"",""))),$K2493,0))</f>
        <v/>
      </c>
      <c r="V2493" s="6" t="str">
        <f>IF(AND($A2493&lt;&gt;"",$O2493=1,$L2493="Débit",N($Q2493)&gt;0,$A2493&gt;=Visualisation!$B$1,$A2493&lt;Visualisation!$D$1),MAX($V$1:V2492)+1,"")</f>
        <v/>
      </c>
    </row>
    <row r="2494" spans="1:22" x14ac:dyDescent="0.25">
      <c r="A2494" s="9"/>
      <c r="E2494" s="10"/>
      <c r="K2494" s="11" t="str">
        <f>IF($E2494="","",ROUND($E2494*IF(ISNA(MATCH($C2494,'Paramètres'!$D:$D,0)),1,IF(INDEX('Paramètres'!$J:$J,MATCH($C2494,'Paramètres'!$D:$D,0))="",1,INDEX('Paramètres'!$J:$J,MATCH($C2494,'Paramètres'!$D:$D,0)))),2))</f>
        <v/>
      </c>
      <c r="L2494" s="6" t="str">
        <f>IF($D2494="","",IF($F2494&lt;&gt;"",$F2494,IF(ISNA(MATCH($D2494,'Paramètres'!$M:$M,0)),"⚠ Type inconnu",IFERROR(INDEX('Paramètres'!$P:$P,MATCH($D2494,'Paramètres'!$M:$M,0))&amp;"",""))))</f>
        <v/>
      </c>
      <c r="M2494" s="6" t="str">
        <f>IF($D2494="","",IF(ISNA(MATCH($D2494,'Paramètres'!$M:$M,0)),"⚠ Type inconnu",IF($L2494="Crédit","",IFERROR(INDEX('Paramètres'!$O:$O,MATCH($D2494,'Paramètres'!$M:$M,0))&amp;"",""))))</f>
        <v/>
      </c>
      <c r="N2494" s="6" t="str">
        <f>IF($D2494="","",IFERROR(INDEX('Paramètres'!$Q:$Q,MATCH($D2494,'Paramètres'!$M:$M,0))&amp;"",""))</f>
        <v/>
      </c>
      <c r="O2494" s="6" t="str">
        <f>IF($A2494="","",IF(OR($J2494&lt;&gt;"x",$A2494&lt;=FinReleve),1,0))</f>
        <v/>
      </c>
      <c r="P2494" s="6" t="str">
        <f>IF($D2494="","",IF(AND($L2494="Crédit",OR(IFERROR(INDEX('Paramètres'!$O:$O,MATCH($D2494,'Paramètres'!$M:$M,0))&amp;"","")&lt;&gt;"",ISNUMBER(SEARCH("remboursement",IFERROR(INDEX('Paramètres'!$N:$N,MATCH($D2494,'Paramètres'!$M:$M,0))&amp;"",""))))),1,0))</f>
        <v/>
      </c>
      <c r="Q2494" s="6" t="str">
        <f>IF($K2494="","",IF(ISNUMBER(SEARCH("transfert-interne",IFERROR(INDEX('Paramètres'!$N:$N,MATCH($D2494,'Paramètres'!$M:$M,0))&amp;"",""))),0,IF($L2494="Débit",$K2494,IF($P2494=1,-$K2494,0))))</f>
        <v/>
      </c>
      <c r="R2494" s="6" t="str">
        <f>IF($K2494="","",IF($L2494="Crédit",$K2494,-$K2494))</f>
        <v/>
      </c>
      <c r="S2494" s="6" t="str">
        <f>IF($C2494="","",IFERROR(INDEX('Paramètres'!$H:$H,MATCH($C2494,'Paramètres'!$D:$D,0))&amp;"",""))</f>
        <v/>
      </c>
      <c r="T2494" s="6" t="str">
        <f>IF($K2494="","",IF($S2494="",0,IF(ISNUMBER(SEARCH("apport-exterieur",IFERROR(INDEX('Paramètres'!$N:$N,MATCH($D2494,'Paramètres'!$M:$M,0))&amp;"",""))),0,IF(OR(IFERROR(INDEX('Paramètres'!$I:$I,MATCH($C2494,'Paramètres'!$D:$D,0))&amp;"","")="Les deux",IFERROR(INDEX('Paramètres'!$I:$I,MATCH($C2494,'Paramètres'!$D:$D,0))&amp;"","")=IF($P2494=1,"Débit",$L2494)),-IF($P2494=1,-$K2494,$K2494),0))))</f>
        <v/>
      </c>
      <c r="U2494" s="6" t="str">
        <f>IF($K2494="","",IF(ISNUMBER(SEARCH("sortie-epargne",IFERROR(INDEX('Paramètres'!$N:$N,MATCH($D2494,'Paramètres'!$M:$M,0))&amp;"",""))),$K2494,0))</f>
        <v/>
      </c>
      <c r="V2494" s="6" t="str">
        <f>IF(AND($A2494&lt;&gt;"",$O2494=1,$L2494="Débit",N($Q2494)&gt;0,$A2494&gt;=Visualisation!$B$1,$A2494&lt;Visualisation!$D$1),MAX($V$1:V2493)+1,"")</f>
        <v/>
      </c>
    </row>
    <row r="2495" spans="1:22" x14ac:dyDescent="0.25">
      <c r="A2495" s="9"/>
      <c r="E2495" s="10"/>
      <c r="K2495" s="11" t="str">
        <f>IF($E2495="","",ROUND($E2495*IF(ISNA(MATCH($C2495,'Paramètres'!$D:$D,0)),1,IF(INDEX('Paramètres'!$J:$J,MATCH($C2495,'Paramètres'!$D:$D,0))="",1,INDEX('Paramètres'!$J:$J,MATCH($C2495,'Paramètres'!$D:$D,0)))),2))</f>
        <v/>
      </c>
      <c r="L2495" s="6" t="str">
        <f>IF($D2495="","",IF($F2495&lt;&gt;"",$F2495,IF(ISNA(MATCH($D2495,'Paramètres'!$M:$M,0)),"⚠ Type inconnu",IFERROR(INDEX('Paramètres'!$P:$P,MATCH($D2495,'Paramètres'!$M:$M,0))&amp;"",""))))</f>
        <v/>
      </c>
      <c r="M2495" s="6" t="str">
        <f>IF($D2495="","",IF(ISNA(MATCH($D2495,'Paramètres'!$M:$M,0)),"⚠ Type inconnu",IF($L2495="Crédit","",IFERROR(INDEX('Paramètres'!$O:$O,MATCH($D2495,'Paramètres'!$M:$M,0))&amp;"",""))))</f>
        <v/>
      </c>
      <c r="N2495" s="6" t="str">
        <f>IF($D2495="","",IFERROR(INDEX('Paramètres'!$Q:$Q,MATCH($D2495,'Paramètres'!$M:$M,0))&amp;"",""))</f>
        <v/>
      </c>
      <c r="O2495" s="6" t="str">
        <f>IF($A2495="","",IF(OR($J2495&lt;&gt;"x",$A2495&lt;=FinReleve),1,0))</f>
        <v/>
      </c>
      <c r="P2495" s="6" t="str">
        <f>IF($D2495="","",IF(AND($L2495="Crédit",OR(IFERROR(INDEX('Paramètres'!$O:$O,MATCH($D2495,'Paramètres'!$M:$M,0))&amp;"","")&lt;&gt;"",ISNUMBER(SEARCH("remboursement",IFERROR(INDEX('Paramètres'!$N:$N,MATCH($D2495,'Paramètres'!$M:$M,0))&amp;"",""))))),1,0))</f>
        <v/>
      </c>
      <c r="Q2495" s="6" t="str">
        <f>IF($K2495="","",IF(ISNUMBER(SEARCH("transfert-interne",IFERROR(INDEX('Paramètres'!$N:$N,MATCH($D2495,'Paramètres'!$M:$M,0))&amp;"",""))),0,IF($L2495="Débit",$K2495,IF($P2495=1,-$K2495,0))))</f>
        <v/>
      </c>
      <c r="R2495" s="6" t="str">
        <f>IF($K2495="","",IF($L2495="Crédit",$K2495,-$K2495))</f>
        <v/>
      </c>
      <c r="S2495" s="6" t="str">
        <f>IF($C2495="","",IFERROR(INDEX('Paramètres'!$H:$H,MATCH($C2495,'Paramètres'!$D:$D,0))&amp;"",""))</f>
        <v/>
      </c>
      <c r="T2495" s="6" t="str">
        <f>IF($K2495="","",IF($S2495="",0,IF(ISNUMBER(SEARCH("apport-exterieur",IFERROR(INDEX('Paramètres'!$N:$N,MATCH($D2495,'Paramètres'!$M:$M,0))&amp;"",""))),0,IF(OR(IFERROR(INDEX('Paramètres'!$I:$I,MATCH($C2495,'Paramètres'!$D:$D,0))&amp;"","")="Les deux",IFERROR(INDEX('Paramètres'!$I:$I,MATCH($C2495,'Paramètres'!$D:$D,0))&amp;"","")=IF($P2495=1,"Débit",$L2495)),-IF($P2495=1,-$K2495,$K2495),0))))</f>
        <v/>
      </c>
      <c r="U2495" s="6" t="str">
        <f>IF($K2495="","",IF(ISNUMBER(SEARCH("sortie-epargne",IFERROR(INDEX('Paramètres'!$N:$N,MATCH($D2495,'Paramètres'!$M:$M,0))&amp;"",""))),$K2495,0))</f>
        <v/>
      </c>
      <c r="V2495" s="6" t="str">
        <f>IF(AND($A2495&lt;&gt;"",$O2495=1,$L2495="Débit",N($Q2495)&gt;0,$A2495&gt;=Visualisation!$B$1,$A2495&lt;Visualisation!$D$1),MAX($V$1:V2494)+1,"")</f>
        <v/>
      </c>
    </row>
    <row r="2496" spans="1:22" x14ac:dyDescent="0.25">
      <c r="A2496" s="9"/>
      <c r="E2496" s="10"/>
      <c r="K2496" s="11" t="str">
        <f>IF($E2496="","",ROUND($E2496*IF(ISNA(MATCH($C2496,'Paramètres'!$D:$D,0)),1,IF(INDEX('Paramètres'!$J:$J,MATCH($C2496,'Paramètres'!$D:$D,0))="",1,INDEX('Paramètres'!$J:$J,MATCH($C2496,'Paramètres'!$D:$D,0)))),2))</f>
        <v/>
      </c>
      <c r="L2496" s="6" t="str">
        <f>IF($D2496="","",IF($F2496&lt;&gt;"",$F2496,IF(ISNA(MATCH($D2496,'Paramètres'!$M:$M,0)),"⚠ Type inconnu",IFERROR(INDEX('Paramètres'!$P:$P,MATCH($D2496,'Paramètres'!$M:$M,0))&amp;"",""))))</f>
        <v/>
      </c>
      <c r="M2496" s="6" t="str">
        <f>IF($D2496="","",IF(ISNA(MATCH($D2496,'Paramètres'!$M:$M,0)),"⚠ Type inconnu",IF($L2496="Crédit","",IFERROR(INDEX('Paramètres'!$O:$O,MATCH($D2496,'Paramètres'!$M:$M,0))&amp;"",""))))</f>
        <v/>
      </c>
      <c r="N2496" s="6" t="str">
        <f>IF($D2496="","",IFERROR(INDEX('Paramètres'!$Q:$Q,MATCH($D2496,'Paramètres'!$M:$M,0))&amp;"",""))</f>
        <v/>
      </c>
      <c r="O2496" s="6" t="str">
        <f>IF($A2496="","",IF(OR($J2496&lt;&gt;"x",$A2496&lt;=FinReleve),1,0))</f>
        <v/>
      </c>
      <c r="P2496" s="6" t="str">
        <f>IF($D2496="","",IF(AND($L2496="Crédit",OR(IFERROR(INDEX('Paramètres'!$O:$O,MATCH($D2496,'Paramètres'!$M:$M,0))&amp;"","")&lt;&gt;"",ISNUMBER(SEARCH("remboursement",IFERROR(INDEX('Paramètres'!$N:$N,MATCH($D2496,'Paramètres'!$M:$M,0))&amp;"",""))))),1,0))</f>
        <v/>
      </c>
      <c r="Q2496" s="6" t="str">
        <f>IF($K2496="","",IF(ISNUMBER(SEARCH("transfert-interne",IFERROR(INDEX('Paramètres'!$N:$N,MATCH($D2496,'Paramètres'!$M:$M,0))&amp;"",""))),0,IF($L2496="Débit",$K2496,IF($P2496=1,-$K2496,0))))</f>
        <v/>
      </c>
      <c r="R2496" s="6" t="str">
        <f>IF($K2496="","",IF($L2496="Crédit",$K2496,-$K2496))</f>
        <v/>
      </c>
      <c r="S2496" s="6" t="str">
        <f>IF($C2496="","",IFERROR(INDEX('Paramètres'!$H:$H,MATCH($C2496,'Paramètres'!$D:$D,0))&amp;"",""))</f>
        <v/>
      </c>
      <c r="T2496" s="6" t="str">
        <f>IF($K2496="","",IF($S2496="",0,IF(ISNUMBER(SEARCH("apport-exterieur",IFERROR(INDEX('Paramètres'!$N:$N,MATCH($D2496,'Paramètres'!$M:$M,0))&amp;"",""))),0,IF(OR(IFERROR(INDEX('Paramètres'!$I:$I,MATCH($C2496,'Paramètres'!$D:$D,0))&amp;"","")="Les deux",IFERROR(INDEX('Paramètres'!$I:$I,MATCH($C2496,'Paramètres'!$D:$D,0))&amp;"","")=IF($P2496=1,"Débit",$L2496)),-IF($P2496=1,-$K2496,$K2496),0))))</f>
        <v/>
      </c>
      <c r="U2496" s="6" t="str">
        <f>IF($K2496="","",IF(ISNUMBER(SEARCH("sortie-epargne",IFERROR(INDEX('Paramètres'!$N:$N,MATCH($D2496,'Paramètres'!$M:$M,0))&amp;"",""))),$K2496,0))</f>
        <v/>
      </c>
      <c r="V2496" s="6" t="str">
        <f>IF(AND($A2496&lt;&gt;"",$O2496=1,$L2496="Débit",N($Q2496)&gt;0,$A2496&gt;=Visualisation!$B$1,$A2496&lt;Visualisation!$D$1),MAX($V$1:V2495)+1,"")</f>
        <v/>
      </c>
    </row>
    <row r="2497" spans="1:22" x14ac:dyDescent="0.25">
      <c r="A2497" s="9"/>
      <c r="E2497" s="10"/>
      <c r="K2497" s="11" t="str">
        <f>IF($E2497="","",ROUND($E2497*IF(ISNA(MATCH($C2497,'Paramètres'!$D:$D,0)),1,IF(INDEX('Paramètres'!$J:$J,MATCH($C2497,'Paramètres'!$D:$D,0))="",1,INDEX('Paramètres'!$J:$J,MATCH($C2497,'Paramètres'!$D:$D,0)))),2))</f>
        <v/>
      </c>
      <c r="L2497" s="6" t="str">
        <f>IF($D2497="","",IF($F2497&lt;&gt;"",$F2497,IF(ISNA(MATCH($D2497,'Paramètres'!$M:$M,0)),"⚠ Type inconnu",IFERROR(INDEX('Paramètres'!$P:$P,MATCH($D2497,'Paramètres'!$M:$M,0))&amp;"",""))))</f>
        <v/>
      </c>
      <c r="M2497" s="6" t="str">
        <f>IF($D2497="","",IF(ISNA(MATCH($D2497,'Paramètres'!$M:$M,0)),"⚠ Type inconnu",IF($L2497="Crédit","",IFERROR(INDEX('Paramètres'!$O:$O,MATCH($D2497,'Paramètres'!$M:$M,0))&amp;"",""))))</f>
        <v/>
      </c>
      <c r="N2497" s="6" t="str">
        <f>IF($D2497="","",IFERROR(INDEX('Paramètres'!$Q:$Q,MATCH($D2497,'Paramètres'!$M:$M,0))&amp;"",""))</f>
        <v/>
      </c>
      <c r="O2497" s="6" t="str">
        <f>IF($A2497="","",IF(OR($J2497&lt;&gt;"x",$A2497&lt;=FinReleve),1,0))</f>
        <v/>
      </c>
      <c r="P2497" s="6" t="str">
        <f>IF($D2497="","",IF(AND($L2497="Crédit",OR(IFERROR(INDEX('Paramètres'!$O:$O,MATCH($D2497,'Paramètres'!$M:$M,0))&amp;"","")&lt;&gt;"",ISNUMBER(SEARCH("remboursement",IFERROR(INDEX('Paramètres'!$N:$N,MATCH($D2497,'Paramètres'!$M:$M,0))&amp;"",""))))),1,0))</f>
        <v/>
      </c>
      <c r="Q2497" s="6" t="str">
        <f>IF($K2497="","",IF(ISNUMBER(SEARCH("transfert-interne",IFERROR(INDEX('Paramètres'!$N:$N,MATCH($D2497,'Paramètres'!$M:$M,0))&amp;"",""))),0,IF($L2497="Débit",$K2497,IF($P2497=1,-$K2497,0))))</f>
        <v/>
      </c>
      <c r="R2497" s="6" t="str">
        <f>IF($K2497="","",IF($L2497="Crédit",$K2497,-$K2497))</f>
        <v/>
      </c>
      <c r="S2497" s="6" t="str">
        <f>IF($C2497="","",IFERROR(INDEX('Paramètres'!$H:$H,MATCH($C2497,'Paramètres'!$D:$D,0))&amp;"",""))</f>
        <v/>
      </c>
      <c r="T2497" s="6" t="str">
        <f>IF($K2497="","",IF($S2497="",0,IF(ISNUMBER(SEARCH("apport-exterieur",IFERROR(INDEX('Paramètres'!$N:$N,MATCH($D2497,'Paramètres'!$M:$M,0))&amp;"",""))),0,IF(OR(IFERROR(INDEX('Paramètres'!$I:$I,MATCH($C2497,'Paramètres'!$D:$D,0))&amp;"","")="Les deux",IFERROR(INDEX('Paramètres'!$I:$I,MATCH($C2497,'Paramètres'!$D:$D,0))&amp;"","")=IF($P2497=1,"Débit",$L2497)),-IF($P2497=1,-$K2497,$K2497),0))))</f>
        <v/>
      </c>
      <c r="U2497" s="6" t="str">
        <f>IF($K2497="","",IF(ISNUMBER(SEARCH("sortie-epargne",IFERROR(INDEX('Paramètres'!$N:$N,MATCH($D2497,'Paramètres'!$M:$M,0))&amp;"",""))),$K2497,0))</f>
        <v/>
      </c>
      <c r="V2497" s="6" t="str">
        <f>IF(AND($A2497&lt;&gt;"",$O2497=1,$L2497="Débit",N($Q2497)&gt;0,$A2497&gt;=Visualisation!$B$1,$A2497&lt;Visualisation!$D$1),MAX($V$1:V2496)+1,"")</f>
        <v/>
      </c>
    </row>
    <row r="2498" spans="1:22" x14ac:dyDescent="0.25">
      <c r="A2498" s="9"/>
      <c r="E2498" s="10"/>
      <c r="K2498" s="11" t="str">
        <f>IF($E2498="","",ROUND($E2498*IF(ISNA(MATCH($C2498,'Paramètres'!$D:$D,0)),1,IF(INDEX('Paramètres'!$J:$J,MATCH($C2498,'Paramètres'!$D:$D,0))="",1,INDEX('Paramètres'!$J:$J,MATCH($C2498,'Paramètres'!$D:$D,0)))),2))</f>
        <v/>
      </c>
      <c r="L2498" s="6" t="str">
        <f>IF($D2498="","",IF($F2498&lt;&gt;"",$F2498,IF(ISNA(MATCH($D2498,'Paramètres'!$M:$M,0)),"⚠ Type inconnu",IFERROR(INDEX('Paramètres'!$P:$P,MATCH($D2498,'Paramètres'!$M:$M,0))&amp;"",""))))</f>
        <v/>
      </c>
      <c r="M2498" s="6" t="str">
        <f>IF($D2498="","",IF(ISNA(MATCH($D2498,'Paramètres'!$M:$M,0)),"⚠ Type inconnu",IF($L2498="Crédit","",IFERROR(INDEX('Paramètres'!$O:$O,MATCH($D2498,'Paramètres'!$M:$M,0))&amp;"",""))))</f>
        <v/>
      </c>
      <c r="N2498" s="6" t="str">
        <f>IF($D2498="","",IFERROR(INDEX('Paramètres'!$Q:$Q,MATCH($D2498,'Paramètres'!$M:$M,0))&amp;"",""))</f>
        <v/>
      </c>
      <c r="O2498" s="6" t="str">
        <f>IF($A2498="","",IF(OR($J2498&lt;&gt;"x",$A2498&lt;=FinReleve),1,0))</f>
        <v/>
      </c>
      <c r="P2498" s="6" t="str">
        <f>IF($D2498="","",IF(AND($L2498="Crédit",OR(IFERROR(INDEX('Paramètres'!$O:$O,MATCH($D2498,'Paramètres'!$M:$M,0))&amp;"","")&lt;&gt;"",ISNUMBER(SEARCH("remboursement",IFERROR(INDEX('Paramètres'!$N:$N,MATCH($D2498,'Paramètres'!$M:$M,0))&amp;"",""))))),1,0))</f>
        <v/>
      </c>
      <c r="Q2498" s="6" t="str">
        <f>IF($K2498="","",IF(ISNUMBER(SEARCH("transfert-interne",IFERROR(INDEX('Paramètres'!$N:$N,MATCH($D2498,'Paramètres'!$M:$M,0))&amp;"",""))),0,IF($L2498="Débit",$K2498,IF($P2498=1,-$K2498,0))))</f>
        <v/>
      </c>
      <c r="R2498" s="6" t="str">
        <f>IF($K2498="","",IF($L2498="Crédit",$K2498,-$K2498))</f>
        <v/>
      </c>
      <c r="S2498" s="6" t="str">
        <f>IF($C2498="","",IFERROR(INDEX('Paramètres'!$H:$H,MATCH($C2498,'Paramètres'!$D:$D,0))&amp;"",""))</f>
        <v/>
      </c>
      <c r="T2498" s="6" t="str">
        <f>IF($K2498="","",IF($S2498="",0,IF(ISNUMBER(SEARCH("apport-exterieur",IFERROR(INDEX('Paramètres'!$N:$N,MATCH($D2498,'Paramètres'!$M:$M,0))&amp;"",""))),0,IF(OR(IFERROR(INDEX('Paramètres'!$I:$I,MATCH($C2498,'Paramètres'!$D:$D,0))&amp;"","")="Les deux",IFERROR(INDEX('Paramètres'!$I:$I,MATCH($C2498,'Paramètres'!$D:$D,0))&amp;"","")=IF($P2498=1,"Débit",$L2498)),-IF($P2498=1,-$K2498,$K2498),0))))</f>
        <v/>
      </c>
      <c r="U2498" s="6" t="str">
        <f>IF($K2498="","",IF(ISNUMBER(SEARCH("sortie-epargne",IFERROR(INDEX('Paramètres'!$N:$N,MATCH($D2498,'Paramètres'!$M:$M,0))&amp;"",""))),$K2498,0))</f>
        <v/>
      </c>
      <c r="V2498" s="6" t="str">
        <f>IF(AND($A2498&lt;&gt;"",$O2498=1,$L2498="Débit",N($Q2498)&gt;0,$A2498&gt;=Visualisation!$B$1,$A2498&lt;Visualisation!$D$1),MAX($V$1:V2497)+1,"")</f>
        <v/>
      </c>
    </row>
    <row r="2499" spans="1:22" x14ac:dyDescent="0.25">
      <c r="A2499" s="9"/>
      <c r="E2499" s="10"/>
      <c r="K2499" s="11" t="str">
        <f>IF($E2499="","",ROUND($E2499*IF(ISNA(MATCH($C2499,'Paramètres'!$D:$D,0)),1,IF(INDEX('Paramètres'!$J:$J,MATCH($C2499,'Paramètres'!$D:$D,0))="",1,INDEX('Paramètres'!$J:$J,MATCH($C2499,'Paramètres'!$D:$D,0)))),2))</f>
        <v/>
      </c>
      <c r="L2499" s="6" t="str">
        <f>IF($D2499="","",IF($F2499&lt;&gt;"",$F2499,IF(ISNA(MATCH($D2499,'Paramètres'!$M:$M,0)),"⚠ Type inconnu",IFERROR(INDEX('Paramètres'!$P:$P,MATCH($D2499,'Paramètres'!$M:$M,0))&amp;"",""))))</f>
        <v/>
      </c>
      <c r="M2499" s="6" t="str">
        <f>IF($D2499="","",IF(ISNA(MATCH($D2499,'Paramètres'!$M:$M,0)),"⚠ Type inconnu",IF($L2499="Crédit","",IFERROR(INDEX('Paramètres'!$O:$O,MATCH($D2499,'Paramètres'!$M:$M,0))&amp;"",""))))</f>
        <v/>
      </c>
      <c r="N2499" s="6" t="str">
        <f>IF($D2499="","",IFERROR(INDEX('Paramètres'!$Q:$Q,MATCH($D2499,'Paramètres'!$M:$M,0))&amp;"",""))</f>
        <v/>
      </c>
      <c r="O2499" s="6" t="str">
        <f>IF($A2499="","",IF(OR($J2499&lt;&gt;"x",$A2499&lt;=FinReleve),1,0))</f>
        <v/>
      </c>
      <c r="P2499" s="6" t="str">
        <f>IF($D2499="","",IF(AND($L2499="Crédit",OR(IFERROR(INDEX('Paramètres'!$O:$O,MATCH($D2499,'Paramètres'!$M:$M,0))&amp;"","")&lt;&gt;"",ISNUMBER(SEARCH("remboursement",IFERROR(INDEX('Paramètres'!$N:$N,MATCH($D2499,'Paramètres'!$M:$M,0))&amp;"",""))))),1,0))</f>
        <v/>
      </c>
      <c r="Q2499" s="6" t="str">
        <f>IF($K2499="","",IF(ISNUMBER(SEARCH("transfert-interne",IFERROR(INDEX('Paramètres'!$N:$N,MATCH($D2499,'Paramètres'!$M:$M,0))&amp;"",""))),0,IF($L2499="Débit",$K2499,IF($P2499=1,-$K2499,0))))</f>
        <v/>
      </c>
      <c r="R2499" s="6" t="str">
        <f>IF($K2499="","",IF($L2499="Crédit",$K2499,-$K2499))</f>
        <v/>
      </c>
      <c r="S2499" s="6" t="str">
        <f>IF($C2499="","",IFERROR(INDEX('Paramètres'!$H:$H,MATCH($C2499,'Paramètres'!$D:$D,0))&amp;"",""))</f>
        <v/>
      </c>
      <c r="T2499" s="6" t="str">
        <f>IF($K2499="","",IF($S2499="",0,IF(ISNUMBER(SEARCH("apport-exterieur",IFERROR(INDEX('Paramètres'!$N:$N,MATCH($D2499,'Paramètres'!$M:$M,0))&amp;"",""))),0,IF(OR(IFERROR(INDEX('Paramètres'!$I:$I,MATCH($C2499,'Paramètres'!$D:$D,0))&amp;"","")="Les deux",IFERROR(INDEX('Paramètres'!$I:$I,MATCH($C2499,'Paramètres'!$D:$D,0))&amp;"","")=IF($P2499=1,"Débit",$L2499)),-IF($P2499=1,-$K2499,$K2499),0))))</f>
        <v/>
      </c>
      <c r="U2499" s="6" t="str">
        <f>IF($K2499="","",IF(ISNUMBER(SEARCH("sortie-epargne",IFERROR(INDEX('Paramètres'!$N:$N,MATCH($D2499,'Paramètres'!$M:$M,0))&amp;"",""))),$K2499,0))</f>
        <v/>
      </c>
      <c r="V2499" s="6" t="str">
        <f>IF(AND($A2499&lt;&gt;"",$O2499=1,$L2499="Débit",N($Q2499)&gt;0,$A2499&gt;=Visualisation!$B$1,$A2499&lt;Visualisation!$D$1),MAX($V$1:V2498)+1,"")</f>
        <v/>
      </c>
    </row>
    <row r="2500" spans="1:22" x14ac:dyDescent="0.25">
      <c r="A2500" s="9"/>
      <c r="E2500" s="10"/>
      <c r="K2500" s="11" t="str">
        <f>IF($E2500="","",ROUND($E2500*IF(ISNA(MATCH($C2500,'Paramètres'!$D:$D,0)),1,IF(INDEX('Paramètres'!$J:$J,MATCH($C2500,'Paramètres'!$D:$D,0))="",1,INDEX('Paramètres'!$J:$J,MATCH($C2500,'Paramètres'!$D:$D,0)))),2))</f>
        <v/>
      </c>
      <c r="L2500" s="6" t="str">
        <f>IF($D2500="","",IF($F2500&lt;&gt;"",$F2500,IF(ISNA(MATCH($D2500,'Paramètres'!$M:$M,0)),"⚠ Type inconnu",IFERROR(INDEX('Paramètres'!$P:$P,MATCH($D2500,'Paramètres'!$M:$M,0))&amp;"",""))))</f>
        <v/>
      </c>
      <c r="M2500" s="6" t="str">
        <f>IF($D2500="","",IF(ISNA(MATCH($D2500,'Paramètres'!$M:$M,0)),"⚠ Type inconnu",IF($L2500="Crédit","",IFERROR(INDEX('Paramètres'!$O:$O,MATCH($D2500,'Paramètres'!$M:$M,0))&amp;"",""))))</f>
        <v/>
      </c>
      <c r="N2500" s="6" t="str">
        <f>IF($D2500="","",IFERROR(INDEX('Paramètres'!$Q:$Q,MATCH($D2500,'Paramètres'!$M:$M,0))&amp;"",""))</f>
        <v/>
      </c>
      <c r="O2500" s="6" t="str">
        <f>IF($A2500="","",IF(OR($J2500&lt;&gt;"x",$A2500&lt;=FinReleve),1,0))</f>
        <v/>
      </c>
      <c r="P2500" s="6" t="str">
        <f>IF($D2500="","",IF(AND($L2500="Crédit",OR(IFERROR(INDEX('Paramètres'!$O:$O,MATCH($D2500,'Paramètres'!$M:$M,0))&amp;"","")&lt;&gt;"",ISNUMBER(SEARCH("remboursement",IFERROR(INDEX('Paramètres'!$N:$N,MATCH($D2500,'Paramètres'!$M:$M,0))&amp;"",""))))),1,0))</f>
        <v/>
      </c>
      <c r="Q2500" s="6" t="str">
        <f>IF($K2500="","",IF(ISNUMBER(SEARCH("transfert-interne",IFERROR(INDEX('Paramètres'!$N:$N,MATCH($D2500,'Paramètres'!$M:$M,0))&amp;"",""))),0,IF($L2500="Débit",$K2500,IF($P2500=1,-$K2500,0))))</f>
        <v/>
      </c>
      <c r="R2500" s="6" t="str">
        <f>IF($K2500="","",IF($L2500="Crédit",$K2500,-$K2500))</f>
        <v/>
      </c>
      <c r="S2500" s="6" t="str">
        <f>IF($C2500="","",IFERROR(INDEX('Paramètres'!$H:$H,MATCH($C2500,'Paramètres'!$D:$D,0))&amp;"",""))</f>
        <v/>
      </c>
      <c r="T2500" s="6" t="str">
        <f>IF($K2500="","",IF($S2500="",0,IF(ISNUMBER(SEARCH("apport-exterieur",IFERROR(INDEX('Paramètres'!$N:$N,MATCH($D2500,'Paramètres'!$M:$M,0))&amp;"",""))),0,IF(OR(IFERROR(INDEX('Paramètres'!$I:$I,MATCH($C2500,'Paramètres'!$D:$D,0))&amp;"","")="Les deux",IFERROR(INDEX('Paramètres'!$I:$I,MATCH($C2500,'Paramètres'!$D:$D,0))&amp;"","")=IF($P2500=1,"Débit",$L2500)),-IF($P2500=1,-$K2500,$K2500),0))))</f>
        <v/>
      </c>
      <c r="U2500" s="6" t="str">
        <f>IF($K2500="","",IF(ISNUMBER(SEARCH("sortie-epargne",IFERROR(INDEX('Paramètres'!$N:$N,MATCH($D2500,'Paramètres'!$M:$M,0))&amp;"",""))),$K2500,0))</f>
        <v/>
      </c>
      <c r="V2500" s="6" t="str">
        <f>IF(AND($A2500&lt;&gt;"",$O2500=1,$L2500="Débit",N($Q2500)&gt;0,$A2500&gt;=Visualisation!$B$1,$A2500&lt;Visualisation!$D$1),MAX($V$1:V2499)+1,"")</f>
        <v/>
      </c>
    </row>
    <row r="2501" spans="1:22" x14ac:dyDescent="0.25">
      <c r="A2501" s="9"/>
      <c r="E2501" s="10"/>
      <c r="K2501" s="11" t="str">
        <f>IF($E2501="","",ROUND($E2501*IF(ISNA(MATCH($C2501,'Paramètres'!$D:$D,0)),1,IF(INDEX('Paramètres'!$J:$J,MATCH($C2501,'Paramètres'!$D:$D,0))="",1,INDEX('Paramètres'!$J:$J,MATCH($C2501,'Paramètres'!$D:$D,0)))),2))</f>
        <v/>
      </c>
      <c r="L2501" s="6" t="str">
        <f>IF($D2501="","",IF($F2501&lt;&gt;"",$F2501,IF(ISNA(MATCH($D2501,'Paramètres'!$M:$M,0)),"⚠ Type inconnu",IFERROR(INDEX('Paramètres'!$P:$P,MATCH($D2501,'Paramètres'!$M:$M,0))&amp;"",""))))</f>
        <v/>
      </c>
      <c r="M2501" s="6" t="str">
        <f>IF($D2501="","",IF(ISNA(MATCH($D2501,'Paramètres'!$M:$M,0)),"⚠ Type inconnu",IF($L2501="Crédit","",IFERROR(INDEX('Paramètres'!$O:$O,MATCH($D2501,'Paramètres'!$M:$M,0))&amp;"",""))))</f>
        <v/>
      </c>
      <c r="N2501" s="6" t="str">
        <f>IF($D2501="","",IFERROR(INDEX('Paramètres'!$Q:$Q,MATCH($D2501,'Paramètres'!$M:$M,0))&amp;"",""))</f>
        <v/>
      </c>
      <c r="O2501" s="6" t="str">
        <f>IF($A2501="","",IF(OR($J2501&lt;&gt;"x",$A2501&lt;=FinReleve),1,0))</f>
        <v/>
      </c>
      <c r="P2501" s="6" t="str">
        <f>IF($D2501="","",IF(AND($L2501="Crédit",OR(IFERROR(INDEX('Paramètres'!$O:$O,MATCH($D2501,'Paramètres'!$M:$M,0))&amp;"","")&lt;&gt;"",ISNUMBER(SEARCH("remboursement",IFERROR(INDEX('Paramètres'!$N:$N,MATCH($D2501,'Paramètres'!$M:$M,0))&amp;"",""))))),1,0))</f>
        <v/>
      </c>
      <c r="Q2501" s="6" t="str">
        <f>IF($K2501="","",IF(ISNUMBER(SEARCH("transfert-interne",IFERROR(INDEX('Paramètres'!$N:$N,MATCH($D2501,'Paramètres'!$M:$M,0))&amp;"",""))),0,IF($L2501="Débit",$K2501,IF($P2501=1,-$K2501,0))))</f>
        <v/>
      </c>
      <c r="R2501" s="6" t="str">
        <f>IF($K2501="","",IF($L2501="Crédit",$K2501,-$K2501))</f>
        <v/>
      </c>
      <c r="S2501" s="6" t="str">
        <f>IF($C2501="","",IFERROR(INDEX('Paramètres'!$H:$H,MATCH($C2501,'Paramètres'!$D:$D,0))&amp;"",""))</f>
        <v/>
      </c>
      <c r="T2501" s="6" t="str">
        <f>IF($K2501="","",IF($S2501="",0,IF(ISNUMBER(SEARCH("apport-exterieur",IFERROR(INDEX('Paramètres'!$N:$N,MATCH($D2501,'Paramètres'!$M:$M,0))&amp;"",""))),0,IF(OR(IFERROR(INDEX('Paramètres'!$I:$I,MATCH($C2501,'Paramètres'!$D:$D,0))&amp;"","")="Les deux",IFERROR(INDEX('Paramètres'!$I:$I,MATCH($C2501,'Paramètres'!$D:$D,0))&amp;"","")=IF($P2501=1,"Débit",$L2501)),-IF($P2501=1,-$K2501,$K2501),0))))</f>
        <v/>
      </c>
      <c r="U2501" s="6" t="str">
        <f>IF($K2501="","",IF(ISNUMBER(SEARCH("sortie-epargne",IFERROR(INDEX('Paramètres'!$N:$N,MATCH($D2501,'Paramètres'!$M:$M,0))&amp;"",""))),$K2501,0))</f>
        <v/>
      </c>
      <c r="V2501" s="6" t="str">
        <f>IF(AND($A2501&lt;&gt;"",$O2501=1,$L2501="Débit",N($Q2501)&gt;0,$A2501&gt;=Visualisation!$B$1,$A2501&lt;Visualisation!$D$1),MAX($V$1:V2500)+1,"")</f>
        <v/>
      </c>
    </row>
    <row r="2502" spans="1:22" x14ac:dyDescent="0.25">
      <c r="A2502" s="9"/>
      <c r="E2502" s="10"/>
      <c r="K2502" s="11" t="str">
        <f>IF($E2502="","",ROUND($E2502*IF(ISNA(MATCH($C2502,'Paramètres'!$D:$D,0)),1,IF(INDEX('Paramètres'!$J:$J,MATCH($C2502,'Paramètres'!$D:$D,0))="",1,INDEX('Paramètres'!$J:$J,MATCH($C2502,'Paramètres'!$D:$D,0)))),2))</f>
        <v/>
      </c>
      <c r="L2502" s="6" t="str">
        <f>IF($D2502="","",IF($F2502&lt;&gt;"",$F2502,IF(ISNA(MATCH($D2502,'Paramètres'!$M:$M,0)),"⚠ Type inconnu",IFERROR(INDEX('Paramètres'!$P:$P,MATCH($D2502,'Paramètres'!$M:$M,0))&amp;"",""))))</f>
        <v/>
      </c>
      <c r="M2502" s="6" t="str">
        <f>IF($D2502="","",IF(ISNA(MATCH($D2502,'Paramètres'!$M:$M,0)),"⚠ Type inconnu",IF($L2502="Crédit","",IFERROR(INDEX('Paramètres'!$O:$O,MATCH($D2502,'Paramètres'!$M:$M,0))&amp;"",""))))</f>
        <v/>
      </c>
      <c r="N2502" s="6" t="str">
        <f>IF($D2502="","",IFERROR(INDEX('Paramètres'!$Q:$Q,MATCH($D2502,'Paramètres'!$M:$M,0))&amp;"",""))</f>
        <v/>
      </c>
      <c r="O2502" s="6" t="str">
        <f>IF($A2502="","",IF(OR($J2502&lt;&gt;"x",$A2502&lt;=FinReleve),1,0))</f>
        <v/>
      </c>
      <c r="P2502" s="6" t="str">
        <f>IF($D2502="","",IF(AND($L2502="Crédit",OR(IFERROR(INDEX('Paramètres'!$O:$O,MATCH($D2502,'Paramètres'!$M:$M,0))&amp;"","")&lt;&gt;"",ISNUMBER(SEARCH("remboursement",IFERROR(INDEX('Paramètres'!$N:$N,MATCH($D2502,'Paramètres'!$M:$M,0))&amp;"",""))))),1,0))</f>
        <v/>
      </c>
      <c r="Q2502" s="6" t="str">
        <f>IF($K2502="","",IF(ISNUMBER(SEARCH("transfert-interne",IFERROR(INDEX('Paramètres'!$N:$N,MATCH($D2502,'Paramètres'!$M:$M,0))&amp;"",""))),0,IF($L2502="Débit",$K2502,IF($P2502=1,-$K2502,0))))</f>
        <v/>
      </c>
      <c r="R2502" s="6" t="str">
        <f>IF($K2502="","",IF($L2502="Crédit",$K2502,-$K2502))</f>
        <v/>
      </c>
      <c r="S2502" s="6" t="str">
        <f>IF($C2502="","",IFERROR(INDEX('Paramètres'!$H:$H,MATCH($C2502,'Paramètres'!$D:$D,0))&amp;"",""))</f>
        <v/>
      </c>
      <c r="T2502" s="6" t="str">
        <f>IF($K2502="","",IF($S2502="",0,IF(ISNUMBER(SEARCH("apport-exterieur",IFERROR(INDEX('Paramètres'!$N:$N,MATCH($D2502,'Paramètres'!$M:$M,0))&amp;"",""))),0,IF(OR(IFERROR(INDEX('Paramètres'!$I:$I,MATCH($C2502,'Paramètres'!$D:$D,0))&amp;"","")="Les deux",IFERROR(INDEX('Paramètres'!$I:$I,MATCH($C2502,'Paramètres'!$D:$D,0))&amp;"","")=IF($P2502=1,"Débit",$L2502)),-IF($P2502=1,-$K2502,$K2502),0))))</f>
        <v/>
      </c>
      <c r="U2502" s="6" t="str">
        <f>IF($K2502="","",IF(ISNUMBER(SEARCH("sortie-epargne",IFERROR(INDEX('Paramètres'!$N:$N,MATCH($D2502,'Paramètres'!$M:$M,0))&amp;"",""))),$K2502,0))</f>
        <v/>
      </c>
      <c r="V2502" s="6" t="str">
        <f>IF(AND($A2502&lt;&gt;"",$O2502=1,$L2502="Débit",N($Q2502)&gt;0,$A2502&gt;=Visualisation!$B$1,$A2502&lt;Visualisation!$D$1),MAX($V$1:V2501)+1,"")</f>
        <v/>
      </c>
    </row>
    <row r="2503" spans="1:22" x14ac:dyDescent="0.25">
      <c r="A2503" s="9"/>
      <c r="E2503" s="10"/>
      <c r="K2503" s="11" t="str">
        <f>IF($E2503="","",ROUND($E2503*IF(ISNA(MATCH($C2503,'Paramètres'!$D:$D,0)),1,IF(INDEX('Paramètres'!$J:$J,MATCH($C2503,'Paramètres'!$D:$D,0))="",1,INDEX('Paramètres'!$J:$J,MATCH($C2503,'Paramètres'!$D:$D,0)))),2))</f>
        <v/>
      </c>
      <c r="L2503" s="6" t="str">
        <f>IF($D2503="","",IF($F2503&lt;&gt;"",$F2503,IF(ISNA(MATCH($D2503,'Paramètres'!$M:$M,0)),"⚠ Type inconnu",IFERROR(INDEX('Paramètres'!$P:$P,MATCH($D2503,'Paramètres'!$M:$M,0))&amp;"",""))))</f>
        <v/>
      </c>
      <c r="M2503" s="6" t="str">
        <f>IF($D2503="","",IF(ISNA(MATCH($D2503,'Paramètres'!$M:$M,0)),"⚠ Type inconnu",IF($L2503="Crédit","",IFERROR(INDEX('Paramètres'!$O:$O,MATCH($D2503,'Paramètres'!$M:$M,0))&amp;"",""))))</f>
        <v/>
      </c>
      <c r="N2503" s="6" t="str">
        <f>IF($D2503="","",IFERROR(INDEX('Paramètres'!$Q:$Q,MATCH($D2503,'Paramètres'!$M:$M,0))&amp;"",""))</f>
        <v/>
      </c>
      <c r="O2503" s="6" t="str">
        <f>IF($A2503="","",IF(OR($J2503&lt;&gt;"x",$A2503&lt;=FinReleve),1,0))</f>
        <v/>
      </c>
      <c r="P2503" s="6" t="str">
        <f>IF($D2503="","",IF(AND($L2503="Crédit",OR(IFERROR(INDEX('Paramètres'!$O:$O,MATCH($D2503,'Paramètres'!$M:$M,0))&amp;"","")&lt;&gt;"",ISNUMBER(SEARCH("remboursement",IFERROR(INDEX('Paramètres'!$N:$N,MATCH($D2503,'Paramètres'!$M:$M,0))&amp;"",""))))),1,0))</f>
        <v/>
      </c>
      <c r="Q2503" s="6" t="str">
        <f>IF($K2503="","",IF(ISNUMBER(SEARCH("transfert-interne",IFERROR(INDEX('Paramètres'!$N:$N,MATCH($D2503,'Paramètres'!$M:$M,0))&amp;"",""))),0,IF($L2503="Débit",$K2503,IF($P2503=1,-$K2503,0))))</f>
        <v/>
      </c>
      <c r="R2503" s="6" t="str">
        <f>IF($K2503="","",IF($L2503="Crédit",$K2503,-$K2503))</f>
        <v/>
      </c>
      <c r="S2503" s="6" t="str">
        <f>IF($C2503="","",IFERROR(INDEX('Paramètres'!$H:$H,MATCH($C2503,'Paramètres'!$D:$D,0))&amp;"",""))</f>
        <v/>
      </c>
      <c r="T2503" s="6" t="str">
        <f>IF($K2503="","",IF($S2503="",0,IF(ISNUMBER(SEARCH("apport-exterieur",IFERROR(INDEX('Paramètres'!$N:$N,MATCH($D2503,'Paramètres'!$M:$M,0))&amp;"",""))),0,IF(OR(IFERROR(INDEX('Paramètres'!$I:$I,MATCH($C2503,'Paramètres'!$D:$D,0))&amp;"","")="Les deux",IFERROR(INDEX('Paramètres'!$I:$I,MATCH($C2503,'Paramètres'!$D:$D,0))&amp;"","")=IF($P2503=1,"Débit",$L2503)),-IF($P2503=1,-$K2503,$K2503),0))))</f>
        <v/>
      </c>
      <c r="U2503" s="6" t="str">
        <f>IF($K2503="","",IF(ISNUMBER(SEARCH("sortie-epargne",IFERROR(INDEX('Paramètres'!$N:$N,MATCH($D2503,'Paramètres'!$M:$M,0))&amp;"",""))),$K2503,0))</f>
        <v/>
      </c>
      <c r="V2503" s="6" t="str">
        <f>IF(AND($A2503&lt;&gt;"",$O2503=1,$L2503="Débit",N($Q2503)&gt;0,$A2503&gt;=Visualisation!$B$1,$A2503&lt;Visualisation!$D$1),MAX($V$1:V2502)+1,"")</f>
        <v/>
      </c>
    </row>
    <row r="2504" spans="1:22" x14ac:dyDescent="0.25">
      <c r="A2504" s="9"/>
      <c r="E2504" s="10"/>
      <c r="K2504" s="11" t="str">
        <f>IF($E2504="","",ROUND($E2504*IF(ISNA(MATCH($C2504,'Paramètres'!$D:$D,0)),1,IF(INDEX('Paramètres'!$J:$J,MATCH($C2504,'Paramètres'!$D:$D,0))="",1,INDEX('Paramètres'!$J:$J,MATCH($C2504,'Paramètres'!$D:$D,0)))),2))</f>
        <v/>
      </c>
      <c r="L2504" s="6" t="str">
        <f>IF($D2504="","",IF($F2504&lt;&gt;"",$F2504,IF(ISNA(MATCH($D2504,'Paramètres'!$M:$M,0)),"⚠ Type inconnu",IFERROR(INDEX('Paramètres'!$P:$P,MATCH($D2504,'Paramètres'!$M:$M,0))&amp;"",""))))</f>
        <v/>
      </c>
      <c r="M2504" s="6" t="str">
        <f>IF($D2504="","",IF(ISNA(MATCH($D2504,'Paramètres'!$M:$M,0)),"⚠ Type inconnu",IF($L2504="Crédit","",IFERROR(INDEX('Paramètres'!$O:$O,MATCH($D2504,'Paramètres'!$M:$M,0))&amp;"",""))))</f>
        <v/>
      </c>
      <c r="N2504" s="6" t="str">
        <f>IF($D2504="","",IFERROR(INDEX('Paramètres'!$Q:$Q,MATCH($D2504,'Paramètres'!$M:$M,0))&amp;"",""))</f>
        <v/>
      </c>
      <c r="O2504" s="6" t="str">
        <f>IF($A2504="","",IF(OR($J2504&lt;&gt;"x",$A2504&lt;=FinReleve),1,0))</f>
        <v/>
      </c>
      <c r="P2504" s="6" t="str">
        <f>IF($D2504="","",IF(AND($L2504="Crédit",OR(IFERROR(INDEX('Paramètres'!$O:$O,MATCH($D2504,'Paramètres'!$M:$M,0))&amp;"","")&lt;&gt;"",ISNUMBER(SEARCH("remboursement",IFERROR(INDEX('Paramètres'!$N:$N,MATCH($D2504,'Paramètres'!$M:$M,0))&amp;"",""))))),1,0))</f>
        <v/>
      </c>
      <c r="Q2504" s="6" t="str">
        <f>IF($K2504="","",IF(ISNUMBER(SEARCH("transfert-interne",IFERROR(INDEX('Paramètres'!$N:$N,MATCH($D2504,'Paramètres'!$M:$M,0))&amp;"",""))),0,IF($L2504="Débit",$K2504,IF($P2504=1,-$K2504,0))))</f>
        <v/>
      </c>
      <c r="R2504" s="6" t="str">
        <f>IF($K2504="","",IF($L2504="Crédit",$K2504,-$K2504))</f>
        <v/>
      </c>
      <c r="S2504" s="6" t="str">
        <f>IF($C2504="","",IFERROR(INDEX('Paramètres'!$H:$H,MATCH($C2504,'Paramètres'!$D:$D,0))&amp;"",""))</f>
        <v/>
      </c>
      <c r="T2504" s="6" t="str">
        <f>IF($K2504="","",IF($S2504="",0,IF(ISNUMBER(SEARCH("apport-exterieur",IFERROR(INDEX('Paramètres'!$N:$N,MATCH($D2504,'Paramètres'!$M:$M,0))&amp;"",""))),0,IF(OR(IFERROR(INDEX('Paramètres'!$I:$I,MATCH($C2504,'Paramètres'!$D:$D,0))&amp;"","")="Les deux",IFERROR(INDEX('Paramètres'!$I:$I,MATCH($C2504,'Paramètres'!$D:$D,0))&amp;"","")=IF($P2504=1,"Débit",$L2504)),-IF($P2504=1,-$K2504,$K2504),0))))</f>
        <v/>
      </c>
      <c r="U2504" s="6" t="str">
        <f>IF($K2504="","",IF(ISNUMBER(SEARCH("sortie-epargne",IFERROR(INDEX('Paramètres'!$N:$N,MATCH($D2504,'Paramètres'!$M:$M,0))&amp;"",""))),$K2504,0))</f>
        <v/>
      </c>
      <c r="V2504" s="6" t="str">
        <f>IF(AND($A2504&lt;&gt;"",$O2504=1,$L2504="Débit",N($Q2504)&gt;0,$A2504&gt;=Visualisation!$B$1,$A2504&lt;Visualisation!$D$1),MAX($V$1:V2503)+1,"")</f>
        <v/>
      </c>
    </row>
    <row r="2505" spans="1:22" x14ac:dyDescent="0.25">
      <c r="A2505" s="9"/>
      <c r="E2505" s="10"/>
      <c r="K2505" s="11" t="str">
        <f>IF($E2505="","",ROUND($E2505*IF(ISNA(MATCH($C2505,'Paramètres'!$D:$D,0)),1,IF(INDEX('Paramètres'!$J:$J,MATCH($C2505,'Paramètres'!$D:$D,0))="",1,INDEX('Paramètres'!$J:$J,MATCH($C2505,'Paramètres'!$D:$D,0)))),2))</f>
        <v/>
      </c>
      <c r="L2505" s="6" t="str">
        <f>IF($D2505="","",IF($F2505&lt;&gt;"",$F2505,IF(ISNA(MATCH($D2505,'Paramètres'!$M:$M,0)),"⚠ Type inconnu",IFERROR(INDEX('Paramètres'!$P:$P,MATCH($D2505,'Paramètres'!$M:$M,0))&amp;"",""))))</f>
        <v/>
      </c>
      <c r="M2505" s="6" t="str">
        <f>IF($D2505="","",IF(ISNA(MATCH($D2505,'Paramètres'!$M:$M,0)),"⚠ Type inconnu",IF($L2505="Crédit","",IFERROR(INDEX('Paramètres'!$O:$O,MATCH($D2505,'Paramètres'!$M:$M,0))&amp;"",""))))</f>
        <v/>
      </c>
      <c r="N2505" s="6" t="str">
        <f>IF($D2505="","",IFERROR(INDEX('Paramètres'!$Q:$Q,MATCH($D2505,'Paramètres'!$M:$M,0))&amp;"",""))</f>
        <v/>
      </c>
      <c r="O2505" s="6" t="str">
        <f>IF($A2505="","",IF(OR($J2505&lt;&gt;"x",$A2505&lt;=FinReleve),1,0))</f>
        <v/>
      </c>
      <c r="P2505" s="6" t="str">
        <f>IF($D2505="","",IF(AND($L2505="Crédit",OR(IFERROR(INDEX('Paramètres'!$O:$O,MATCH($D2505,'Paramètres'!$M:$M,0))&amp;"","")&lt;&gt;"",ISNUMBER(SEARCH("remboursement",IFERROR(INDEX('Paramètres'!$N:$N,MATCH($D2505,'Paramètres'!$M:$M,0))&amp;"",""))))),1,0))</f>
        <v/>
      </c>
      <c r="Q2505" s="6" t="str">
        <f>IF($K2505="","",IF(ISNUMBER(SEARCH("transfert-interne",IFERROR(INDEX('Paramètres'!$N:$N,MATCH($D2505,'Paramètres'!$M:$M,0))&amp;"",""))),0,IF($L2505="Débit",$K2505,IF($P2505=1,-$K2505,0))))</f>
        <v/>
      </c>
      <c r="R2505" s="6" t="str">
        <f>IF($K2505="","",IF($L2505="Crédit",$K2505,-$K2505))</f>
        <v/>
      </c>
      <c r="S2505" s="6" t="str">
        <f>IF($C2505="","",IFERROR(INDEX('Paramètres'!$H:$H,MATCH($C2505,'Paramètres'!$D:$D,0))&amp;"",""))</f>
        <v/>
      </c>
      <c r="T2505" s="6" t="str">
        <f>IF($K2505="","",IF($S2505="",0,IF(ISNUMBER(SEARCH("apport-exterieur",IFERROR(INDEX('Paramètres'!$N:$N,MATCH($D2505,'Paramètres'!$M:$M,0))&amp;"",""))),0,IF(OR(IFERROR(INDEX('Paramètres'!$I:$I,MATCH($C2505,'Paramètres'!$D:$D,0))&amp;"","")="Les deux",IFERROR(INDEX('Paramètres'!$I:$I,MATCH($C2505,'Paramètres'!$D:$D,0))&amp;"","")=IF($P2505=1,"Débit",$L2505)),-IF($P2505=1,-$K2505,$K2505),0))))</f>
        <v/>
      </c>
      <c r="U2505" s="6" t="str">
        <f>IF($K2505="","",IF(ISNUMBER(SEARCH("sortie-epargne",IFERROR(INDEX('Paramètres'!$N:$N,MATCH($D2505,'Paramètres'!$M:$M,0))&amp;"",""))),$K2505,0))</f>
        <v/>
      </c>
      <c r="V2505" s="6" t="str">
        <f>IF(AND($A2505&lt;&gt;"",$O2505=1,$L2505="Débit",N($Q2505)&gt;0,$A2505&gt;=Visualisation!$B$1,$A2505&lt;Visualisation!$D$1),MAX($V$1:V2504)+1,"")</f>
        <v/>
      </c>
    </row>
    <row r="2506" spans="1:22" x14ac:dyDescent="0.25">
      <c r="A2506" s="9"/>
      <c r="E2506" s="10"/>
      <c r="K2506" s="11" t="str">
        <f>IF($E2506="","",ROUND($E2506*IF(ISNA(MATCH($C2506,'Paramètres'!$D:$D,0)),1,IF(INDEX('Paramètres'!$J:$J,MATCH($C2506,'Paramètres'!$D:$D,0))="",1,INDEX('Paramètres'!$J:$J,MATCH($C2506,'Paramètres'!$D:$D,0)))),2))</f>
        <v/>
      </c>
      <c r="L2506" s="6" t="str">
        <f>IF($D2506="","",IF($F2506&lt;&gt;"",$F2506,IF(ISNA(MATCH($D2506,'Paramètres'!$M:$M,0)),"⚠ Type inconnu",IFERROR(INDEX('Paramètres'!$P:$P,MATCH($D2506,'Paramètres'!$M:$M,0))&amp;"",""))))</f>
        <v/>
      </c>
      <c r="M2506" s="6" t="str">
        <f>IF($D2506="","",IF(ISNA(MATCH($D2506,'Paramètres'!$M:$M,0)),"⚠ Type inconnu",IF($L2506="Crédit","",IFERROR(INDEX('Paramètres'!$O:$O,MATCH($D2506,'Paramètres'!$M:$M,0))&amp;"",""))))</f>
        <v/>
      </c>
      <c r="N2506" s="6" t="str">
        <f>IF($D2506="","",IFERROR(INDEX('Paramètres'!$Q:$Q,MATCH($D2506,'Paramètres'!$M:$M,0))&amp;"",""))</f>
        <v/>
      </c>
      <c r="O2506" s="6" t="str">
        <f>IF($A2506="","",IF(OR($J2506&lt;&gt;"x",$A2506&lt;=FinReleve),1,0))</f>
        <v/>
      </c>
      <c r="P2506" s="6" t="str">
        <f>IF($D2506="","",IF(AND($L2506="Crédit",OR(IFERROR(INDEX('Paramètres'!$O:$O,MATCH($D2506,'Paramètres'!$M:$M,0))&amp;"","")&lt;&gt;"",ISNUMBER(SEARCH("remboursement",IFERROR(INDEX('Paramètres'!$N:$N,MATCH($D2506,'Paramètres'!$M:$M,0))&amp;"",""))))),1,0))</f>
        <v/>
      </c>
      <c r="Q2506" s="6" t="str">
        <f>IF($K2506="","",IF(ISNUMBER(SEARCH("transfert-interne",IFERROR(INDEX('Paramètres'!$N:$N,MATCH($D2506,'Paramètres'!$M:$M,0))&amp;"",""))),0,IF($L2506="Débit",$K2506,IF($P2506=1,-$K2506,0))))</f>
        <v/>
      </c>
      <c r="R2506" s="6" t="str">
        <f>IF($K2506="","",IF($L2506="Crédit",$K2506,-$K2506))</f>
        <v/>
      </c>
      <c r="S2506" s="6" t="str">
        <f>IF($C2506="","",IFERROR(INDEX('Paramètres'!$H:$H,MATCH($C2506,'Paramètres'!$D:$D,0))&amp;"",""))</f>
        <v/>
      </c>
      <c r="T2506" s="6" t="str">
        <f>IF($K2506="","",IF($S2506="",0,IF(ISNUMBER(SEARCH("apport-exterieur",IFERROR(INDEX('Paramètres'!$N:$N,MATCH($D2506,'Paramètres'!$M:$M,0))&amp;"",""))),0,IF(OR(IFERROR(INDEX('Paramètres'!$I:$I,MATCH($C2506,'Paramètres'!$D:$D,0))&amp;"","")="Les deux",IFERROR(INDEX('Paramètres'!$I:$I,MATCH($C2506,'Paramètres'!$D:$D,0))&amp;"","")=IF($P2506=1,"Débit",$L2506)),-IF($P2506=1,-$K2506,$K2506),0))))</f>
        <v/>
      </c>
      <c r="U2506" s="6" t="str">
        <f>IF($K2506="","",IF(ISNUMBER(SEARCH("sortie-epargne",IFERROR(INDEX('Paramètres'!$N:$N,MATCH($D2506,'Paramètres'!$M:$M,0))&amp;"",""))),$K2506,0))</f>
        <v/>
      </c>
      <c r="V2506" s="6" t="str">
        <f>IF(AND($A2506&lt;&gt;"",$O2506=1,$L2506="Débit",N($Q2506)&gt;0,$A2506&gt;=Visualisation!$B$1,$A2506&lt;Visualisation!$D$1),MAX($V$1:V2505)+1,"")</f>
        <v/>
      </c>
    </row>
    <row r="2507" spans="1:22" x14ac:dyDescent="0.25">
      <c r="A2507" s="9"/>
      <c r="E2507" s="10"/>
      <c r="K2507" s="11" t="str">
        <f>IF($E2507="","",ROUND($E2507*IF(ISNA(MATCH($C2507,'Paramètres'!$D:$D,0)),1,IF(INDEX('Paramètres'!$J:$J,MATCH($C2507,'Paramètres'!$D:$D,0))="",1,INDEX('Paramètres'!$J:$J,MATCH($C2507,'Paramètres'!$D:$D,0)))),2))</f>
        <v/>
      </c>
      <c r="L2507" s="6" t="str">
        <f>IF($D2507="","",IF($F2507&lt;&gt;"",$F2507,IF(ISNA(MATCH($D2507,'Paramètres'!$M:$M,0)),"⚠ Type inconnu",IFERROR(INDEX('Paramètres'!$P:$P,MATCH($D2507,'Paramètres'!$M:$M,0))&amp;"",""))))</f>
        <v/>
      </c>
      <c r="M2507" s="6" t="str">
        <f>IF($D2507="","",IF(ISNA(MATCH($D2507,'Paramètres'!$M:$M,0)),"⚠ Type inconnu",IF($L2507="Crédit","",IFERROR(INDEX('Paramètres'!$O:$O,MATCH($D2507,'Paramètres'!$M:$M,0))&amp;"",""))))</f>
        <v/>
      </c>
      <c r="N2507" s="6" t="str">
        <f>IF($D2507="","",IFERROR(INDEX('Paramètres'!$Q:$Q,MATCH($D2507,'Paramètres'!$M:$M,0))&amp;"",""))</f>
        <v/>
      </c>
      <c r="O2507" s="6" t="str">
        <f>IF($A2507="","",IF(OR($J2507&lt;&gt;"x",$A2507&lt;=FinReleve),1,0))</f>
        <v/>
      </c>
      <c r="P2507" s="6" t="str">
        <f>IF($D2507="","",IF(AND($L2507="Crédit",OR(IFERROR(INDEX('Paramètres'!$O:$O,MATCH($D2507,'Paramètres'!$M:$M,0))&amp;"","")&lt;&gt;"",ISNUMBER(SEARCH("remboursement",IFERROR(INDEX('Paramètres'!$N:$N,MATCH($D2507,'Paramètres'!$M:$M,0))&amp;"",""))))),1,0))</f>
        <v/>
      </c>
      <c r="Q2507" s="6" t="str">
        <f>IF($K2507="","",IF(ISNUMBER(SEARCH("transfert-interne",IFERROR(INDEX('Paramètres'!$N:$N,MATCH($D2507,'Paramètres'!$M:$M,0))&amp;"",""))),0,IF($L2507="Débit",$K2507,IF($P2507=1,-$K2507,0))))</f>
        <v/>
      </c>
      <c r="R2507" s="6" t="str">
        <f>IF($K2507="","",IF($L2507="Crédit",$K2507,-$K2507))</f>
        <v/>
      </c>
      <c r="S2507" s="6" t="str">
        <f>IF($C2507="","",IFERROR(INDEX('Paramètres'!$H:$H,MATCH($C2507,'Paramètres'!$D:$D,0))&amp;"",""))</f>
        <v/>
      </c>
      <c r="T2507" s="6" t="str">
        <f>IF($K2507="","",IF($S2507="",0,IF(ISNUMBER(SEARCH("apport-exterieur",IFERROR(INDEX('Paramètres'!$N:$N,MATCH($D2507,'Paramètres'!$M:$M,0))&amp;"",""))),0,IF(OR(IFERROR(INDEX('Paramètres'!$I:$I,MATCH($C2507,'Paramètres'!$D:$D,0))&amp;"","")="Les deux",IFERROR(INDEX('Paramètres'!$I:$I,MATCH($C2507,'Paramètres'!$D:$D,0))&amp;"","")=IF($P2507=1,"Débit",$L2507)),-IF($P2507=1,-$K2507,$K2507),0))))</f>
        <v/>
      </c>
      <c r="U2507" s="6" t="str">
        <f>IF($K2507="","",IF(ISNUMBER(SEARCH("sortie-epargne",IFERROR(INDEX('Paramètres'!$N:$N,MATCH($D2507,'Paramètres'!$M:$M,0))&amp;"",""))),$K2507,0))</f>
        <v/>
      </c>
      <c r="V2507" s="6" t="str">
        <f>IF(AND($A2507&lt;&gt;"",$O2507=1,$L2507="Débit",N($Q2507)&gt;0,$A2507&gt;=Visualisation!$B$1,$A2507&lt;Visualisation!$D$1),MAX($V$1:V2506)+1,"")</f>
        <v/>
      </c>
    </row>
    <row r="2508" spans="1:22" x14ac:dyDescent="0.25">
      <c r="A2508" s="9"/>
      <c r="E2508" s="10"/>
      <c r="K2508" s="11" t="str">
        <f>IF($E2508="","",ROUND($E2508*IF(ISNA(MATCH($C2508,'Paramètres'!$D:$D,0)),1,IF(INDEX('Paramètres'!$J:$J,MATCH($C2508,'Paramètres'!$D:$D,0))="",1,INDEX('Paramètres'!$J:$J,MATCH($C2508,'Paramètres'!$D:$D,0)))),2))</f>
        <v/>
      </c>
      <c r="L2508" s="6" t="str">
        <f>IF($D2508="","",IF($F2508&lt;&gt;"",$F2508,IF(ISNA(MATCH($D2508,'Paramètres'!$M:$M,0)),"⚠ Type inconnu",IFERROR(INDEX('Paramètres'!$P:$P,MATCH($D2508,'Paramètres'!$M:$M,0))&amp;"",""))))</f>
        <v/>
      </c>
      <c r="M2508" s="6" t="str">
        <f>IF($D2508="","",IF(ISNA(MATCH($D2508,'Paramètres'!$M:$M,0)),"⚠ Type inconnu",IF($L2508="Crédit","",IFERROR(INDEX('Paramètres'!$O:$O,MATCH($D2508,'Paramètres'!$M:$M,0))&amp;"",""))))</f>
        <v/>
      </c>
      <c r="N2508" s="6" t="str">
        <f>IF($D2508="","",IFERROR(INDEX('Paramètres'!$Q:$Q,MATCH($D2508,'Paramètres'!$M:$M,0))&amp;"",""))</f>
        <v/>
      </c>
      <c r="O2508" s="6" t="str">
        <f>IF($A2508="","",IF(OR($J2508&lt;&gt;"x",$A2508&lt;=FinReleve),1,0))</f>
        <v/>
      </c>
      <c r="P2508" s="6" t="str">
        <f>IF($D2508="","",IF(AND($L2508="Crédit",OR(IFERROR(INDEX('Paramètres'!$O:$O,MATCH($D2508,'Paramètres'!$M:$M,0))&amp;"","")&lt;&gt;"",ISNUMBER(SEARCH("remboursement",IFERROR(INDEX('Paramètres'!$N:$N,MATCH($D2508,'Paramètres'!$M:$M,0))&amp;"",""))))),1,0))</f>
        <v/>
      </c>
      <c r="Q2508" s="6" t="str">
        <f>IF($K2508="","",IF(ISNUMBER(SEARCH("transfert-interne",IFERROR(INDEX('Paramètres'!$N:$N,MATCH($D2508,'Paramètres'!$M:$M,0))&amp;"",""))),0,IF($L2508="Débit",$K2508,IF($P2508=1,-$K2508,0))))</f>
        <v/>
      </c>
      <c r="R2508" s="6" t="str">
        <f>IF($K2508="","",IF($L2508="Crédit",$K2508,-$K2508))</f>
        <v/>
      </c>
      <c r="S2508" s="6" t="str">
        <f>IF($C2508="","",IFERROR(INDEX('Paramètres'!$H:$H,MATCH($C2508,'Paramètres'!$D:$D,0))&amp;"",""))</f>
        <v/>
      </c>
      <c r="T2508" s="6" t="str">
        <f>IF($K2508="","",IF($S2508="",0,IF(ISNUMBER(SEARCH("apport-exterieur",IFERROR(INDEX('Paramètres'!$N:$N,MATCH($D2508,'Paramètres'!$M:$M,0))&amp;"",""))),0,IF(OR(IFERROR(INDEX('Paramètres'!$I:$I,MATCH($C2508,'Paramètres'!$D:$D,0))&amp;"","")="Les deux",IFERROR(INDEX('Paramètres'!$I:$I,MATCH($C2508,'Paramètres'!$D:$D,0))&amp;"","")=IF($P2508=1,"Débit",$L2508)),-IF($P2508=1,-$K2508,$K2508),0))))</f>
        <v/>
      </c>
      <c r="U2508" s="6" t="str">
        <f>IF($K2508="","",IF(ISNUMBER(SEARCH("sortie-epargne",IFERROR(INDEX('Paramètres'!$N:$N,MATCH($D2508,'Paramètres'!$M:$M,0))&amp;"",""))),$K2508,0))</f>
        <v/>
      </c>
      <c r="V2508" s="6" t="str">
        <f>IF(AND($A2508&lt;&gt;"",$O2508=1,$L2508="Débit",N($Q2508)&gt;0,$A2508&gt;=Visualisation!$B$1,$A2508&lt;Visualisation!$D$1),MAX($V$1:V2507)+1,"")</f>
        <v/>
      </c>
    </row>
    <row r="2509" spans="1:22" x14ac:dyDescent="0.25">
      <c r="A2509" s="9"/>
      <c r="E2509" s="10"/>
      <c r="K2509" s="11" t="str">
        <f>IF($E2509="","",ROUND($E2509*IF(ISNA(MATCH($C2509,'Paramètres'!$D:$D,0)),1,IF(INDEX('Paramètres'!$J:$J,MATCH($C2509,'Paramètres'!$D:$D,0))="",1,INDEX('Paramètres'!$J:$J,MATCH($C2509,'Paramètres'!$D:$D,0)))),2))</f>
        <v/>
      </c>
      <c r="L2509" s="6" t="str">
        <f>IF($D2509="","",IF($F2509&lt;&gt;"",$F2509,IF(ISNA(MATCH($D2509,'Paramètres'!$M:$M,0)),"⚠ Type inconnu",IFERROR(INDEX('Paramètres'!$P:$P,MATCH($D2509,'Paramètres'!$M:$M,0))&amp;"",""))))</f>
        <v/>
      </c>
      <c r="M2509" s="6" t="str">
        <f>IF($D2509="","",IF(ISNA(MATCH($D2509,'Paramètres'!$M:$M,0)),"⚠ Type inconnu",IF($L2509="Crédit","",IFERROR(INDEX('Paramètres'!$O:$O,MATCH($D2509,'Paramètres'!$M:$M,0))&amp;"",""))))</f>
        <v/>
      </c>
      <c r="N2509" s="6" t="str">
        <f>IF($D2509="","",IFERROR(INDEX('Paramètres'!$Q:$Q,MATCH($D2509,'Paramètres'!$M:$M,0))&amp;"",""))</f>
        <v/>
      </c>
      <c r="O2509" s="6" t="str">
        <f>IF($A2509="","",IF(OR($J2509&lt;&gt;"x",$A2509&lt;=FinReleve),1,0))</f>
        <v/>
      </c>
      <c r="P2509" s="6" t="str">
        <f>IF($D2509="","",IF(AND($L2509="Crédit",OR(IFERROR(INDEX('Paramètres'!$O:$O,MATCH($D2509,'Paramètres'!$M:$M,0))&amp;"","")&lt;&gt;"",ISNUMBER(SEARCH("remboursement",IFERROR(INDEX('Paramètres'!$N:$N,MATCH($D2509,'Paramètres'!$M:$M,0))&amp;"",""))))),1,0))</f>
        <v/>
      </c>
      <c r="Q2509" s="6" t="str">
        <f>IF($K2509="","",IF(ISNUMBER(SEARCH("transfert-interne",IFERROR(INDEX('Paramètres'!$N:$N,MATCH($D2509,'Paramètres'!$M:$M,0))&amp;"",""))),0,IF($L2509="Débit",$K2509,IF($P2509=1,-$K2509,0))))</f>
        <v/>
      </c>
      <c r="R2509" s="6" t="str">
        <f>IF($K2509="","",IF($L2509="Crédit",$K2509,-$K2509))</f>
        <v/>
      </c>
      <c r="S2509" s="6" t="str">
        <f>IF($C2509="","",IFERROR(INDEX('Paramètres'!$H:$H,MATCH($C2509,'Paramètres'!$D:$D,0))&amp;"",""))</f>
        <v/>
      </c>
      <c r="T2509" s="6" t="str">
        <f>IF($K2509="","",IF($S2509="",0,IF(ISNUMBER(SEARCH("apport-exterieur",IFERROR(INDEX('Paramètres'!$N:$N,MATCH($D2509,'Paramètres'!$M:$M,0))&amp;"",""))),0,IF(OR(IFERROR(INDEX('Paramètres'!$I:$I,MATCH($C2509,'Paramètres'!$D:$D,0))&amp;"","")="Les deux",IFERROR(INDEX('Paramètres'!$I:$I,MATCH($C2509,'Paramètres'!$D:$D,0))&amp;"","")=IF($P2509=1,"Débit",$L2509)),-IF($P2509=1,-$K2509,$K2509),0))))</f>
        <v/>
      </c>
      <c r="U2509" s="6" t="str">
        <f>IF($K2509="","",IF(ISNUMBER(SEARCH("sortie-epargne",IFERROR(INDEX('Paramètres'!$N:$N,MATCH($D2509,'Paramètres'!$M:$M,0))&amp;"",""))),$K2509,0))</f>
        <v/>
      </c>
      <c r="V2509" s="6" t="str">
        <f>IF(AND($A2509&lt;&gt;"",$O2509=1,$L2509="Débit",N($Q2509)&gt;0,$A2509&gt;=Visualisation!$B$1,$A2509&lt;Visualisation!$D$1),MAX($V$1:V2508)+1,"")</f>
        <v/>
      </c>
    </row>
    <row r="2510" spans="1:22" x14ac:dyDescent="0.25">
      <c r="A2510" s="9"/>
      <c r="E2510" s="10"/>
      <c r="K2510" s="11" t="str">
        <f>IF($E2510="","",ROUND($E2510*IF(ISNA(MATCH($C2510,'Paramètres'!$D:$D,0)),1,IF(INDEX('Paramètres'!$J:$J,MATCH($C2510,'Paramètres'!$D:$D,0))="",1,INDEX('Paramètres'!$J:$J,MATCH($C2510,'Paramètres'!$D:$D,0)))),2))</f>
        <v/>
      </c>
      <c r="L2510" s="6" t="str">
        <f>IF($D2510="","",IF($F2510&lt;&gt;"",$F2510,IF(ISNA(MATCH($D2510,'Paramètres'!$M:$M,0)),"⚠ Type inconnu",IFERROR(INDEX('Paramètres'!$P:$P,MATCH($D2510,'Paramètres'!$M:$M,0))&amp;"",""))))</f>
        <v/>
      </c>
      <c r="M2510" s="6" t="str">
        <f>IF($D2510="","",IF(ISNA(MATCH($D2510,'Paramètres'!$M:$M,0)),"⚠ Type inconnu",IF($L2510="Crédit","",IFERROR(INDEX('Paramètres'!$O:$O,MATCH($D2510,'Paramètres'!$M:$M,0))&amp;"",""))))</f>
        <v/>
      </c>
      <c r="N2510" s="6" t="str">
        <f>IF($D2510="","",IFERROR(INDEX('Paramètres'!$Q:$Q,MATCH($D2510,'Paramètres'!$M:$M,0))&amp;"",""))</f>
        <v/>
      </c>
      <c r="O2510" s="6" t="str">
        <f>IF($A2510="","",IF(OR($J2510&lt;&gt;"x",$A2510&lt;=FinReleve),1,0))</f>
        <v/>
      </c>
      <c r="P2510" s="6" t="str">
        <f>IF($D2510="","",IF(AND($L2510="Crédit",OR(IFERROR(INDEX('Paramètres'!$O:$O,MATCH($D2510,'Paramètres'!$M:$M,0))&amp;"","")&lt;&gt;"",ISNUMBER(SEARCH("remboursement",IFERROR(INDEX('Paramètres'!$N:$N,MATCH($D2510,'Paramètres'!$M:$M,0))&amp;"",""))))),1,0))</f>
        <v/>
      </c>
      <c r="Q2510" s="6" t="str">
        <f>IF($K2510="","",IF(ISNUMBER(SEARCH("transfert-interne",IFERROR(INDEX('Paramètres'!$N:$N,MATCH($D2510,'Paramètres'!$M:$M,0))&amp;"",""))),0,IF($L2510="Débit",$K2510,IF($P2510=1,-$K2510,0))))</f>
        <v/>
      </c>
      <c r="R2510" s="6" t="str">
        <f>IF($K2510="","",IF($L2510="Crédit",$K2510,-$K2510))</f>
        <v/>
      </c>
      <c r="S2510" s="6" t="str">
        <f>IF($C2510="","",IFERROR(INDEX('Paramètres'!$H:$H,MATCH($C2510,'Paramètres'!$D:$D,0))&amp;"",""))</f>
        <v/>
      </c>
      <c r="T2510" s="6" t="str">
        <f>IF($K2510="","",IF($S2510="",0,IF(ISNUMBER(SEARCH("apport-exterieur",IFERROR(INDEX('Paramètres'!$N:$N,MATCH($D2510,'Paramètres'!$M:$M,0))&amp;"",""))),0,IF(OR(IFERROR(INDEX('Paramètres'!$I:$I,MATCH($C2510,'Paramètres'!$D:$D,0))&amp;"","")="Les deux",IFERROR(INDEX('Paramètres'!$I:$I,MATCH($C2510,'Paramètres'!$D:$D,0))&amp;"","")=IF($P2510=1,"Débit",$L2510)),-IF($P2510=1,-$K2510,$K2510),0))))</f>
        <v/>
      </c>
      <c r="U2510" s="6" t="str">
        <f>IF($K2510="","",IF(ISNUMBER(SEARCH("sortie-epargne",IFERROR(INDEX('Paramètres'!$N:$N,MATCH($D2510,'Paramètres'!$M:$M,0))&amp;"",""))),$K2510,0))</f>
        <v/>
      </c>
      <c r="V2510" s="6" t="str">
        <f>IF(AND($A2510&lt;&gt;"",$O2510=1,$L2510="Débit",N($Q2510)&gt;0,$A2510&gt;=Visualisation!$B$1,$A2510&lt;Visualisation!$D$1),MAX($V$1:V2509)+1,"")</f>
        <v/>
      </c>
    </row>
    <row r="2511" spans="1:22" x14ac:dyDescent="0.25">
      <c r="A2511" s="9"/>
      <c r="E2511" s="10"/>
      <c r="K2511" s="11" t="str">
        <f>IF($E2511="","",ROUND($E2511*IF(ISNA(MATCH($C2511,'Paramètres'!$D:$D,0)),1,IF(INDEX('Paramètres'!$J:$J,MATCH($C2511,'Paramètres'!$D:$D,0))="",1,INDEX('Paramètres'!$J:$J,MATCH($C2511,'Paramètres'!$D:$D,0)))),2))</f>
        <v/>
      </c>
      <c r="L2511" s="6" t="str">
        <f>IF($D2511="","",IF($F2511&lt;&gt;"",$F2511,IF(ISNA(MATCH($D2511,'Paramètres'!$M:$M,0)),"⚠ Type inconnu",IFERROR(INDEX('Paramètres'!$P:$P,MATCH($D2511,'Paramètres'!$M:$M,0))&amp;"",""))))</f>
        <v/>
      </c>
      <c r="M2511" s="6" t="str">
        <f>IF($D2511="","",IF(ISNA(MATCH($D2511,'Paramètres'!$M:$M,0)),"⚠ Type inconnu",IF($L2511="Crédit","",IFERROR(INDEX('Paramètres'!$O:$O,MATCH($D2511,'Paramètres'!$M:$M,0))&amp;"",""))))</f>
        <v/>
      </c>
      <c r="N2511" s="6" t="str">
        <f>IF($D2511="","",IFERROR(INDEX('Paramètres'!$Q:$Q,MATCH($D2511,'Paramètres'!$M:$M,0))&amp;"",""))</f>
        <v/>
      </c>
      <c r="O2511" s="6" t="str">
        <f>IF($A2511="","",IF(OR($J2511&lt;&gt;"x",$A2511&lt;=FinReleve),1,0))</f>
        <v/>
      </c>
      <c r="P2511" s="6" t="str">
        <f>IF($D2511="","",IF(AND($L2511="Crédit",OR(IFERROR(INDEX('Paramètres'!$O:$O,MATCH($D2511,'Paramètres'!$M:$M,0))&amp;"","")&lt;&gt;"",ISNUMBER(SEARCH("remboursement",IFERROR(INDEX('Paramètres'!$N:$N,MATCH($D2511,'Paramètres'!$M:$M,0))&amp;"",""))))),1,0))</f>
        <v/>
      </c>
      <c r="Q2511" s="6" t="str">
        <f>IF($K2511="","",IF(ISNUMBER(SEARCH("transfert-interne",IFERROR(INDEX('Paramètres'!$N:$N,MATCH($D2511,'Paramètres'!$M:$M,0))&amp;"",""))),0,IF($L2511="Débit",$K2511,IF($P2511=1,-$K2511,0))))</f>
        <v/>
      </c>
      <c r="R2511" s="6" t="str">
        <f>IF($K2511="","",IF($L2511="Crédit",$K2511,-$K2511))</f>
        <v/>
      </c>
      <c r="S2511" s="6" t="str">
        <f>IF($C2511="","",IFERROR(INDEX('Paramètres'!$H:$H,MATCH($C2511,'Paramètres'!$D:$D,0))&amp;"",""))</f>
        <v/>
      </c>
      <c r="T2511" s="6" t="str">
        <f>IF($K2511="","",IF($S2511="",0,IF(ISNUMBER(SEARCH("apport-exterieur",IFERROR(INDEX('Paramètres'!$N:$N,MATCH($D2511,'Paramètres'!$M:$M,0))&amp;"",""))),0,IF(OR(IFERROR(INDEX('Paramètres'!$I:$I,MATCH($C2511,'Paramètres'!$D:$D,0))&amp;"","")="Les deux",IFERROR(INDEX('Paramètres'!$I:$I,MATCH($C2511,'Paramètres'!$D:$D,0))&amp;"","")=IF($P2511=1,"Débit",$L2511)),-IF($P2511=1,-$K2511,$K2511),0))))</f>
        <v/>
      </c>
      <c r="U2511" s="6" t="str">
        <f>IF($K2511="","",IF(ISNUMBER(SEARCH("sortie-epargne",IFERROR(INDEX('Paramètres'!$N:$N,MATCH($D2511,'Paramètres'!$M:$M,0))&amp;"",""))),$K2511,0))</f>
        <v/>
      </c>
      <c r="V2511" s="6" t="str">
        <f>IF(AND($A2511&lt;&gt;"",$O2511=1,$L2511="Débit",N($Q2511)&gt;0,$A2511&gt;=Visualisation!$B$1,$A2511&lt;Visualisation!$D$1),MAX($V$1:V2510)+1,"")</f>
        <v/>
      </c>
    </row>
    <row r="2512" spans="1:22" x14ac:dyDescent="0.25">
      <c r="A2512" s="9"/>
      <c r="E2512" s="10"/>
      <c r="K2512" s="11" t="str">
        <f>IF($E2512="","",ROUND($E2512*IF(ISNA(MATCH($C2512,'Paramètres'!$D:$D,0)),1,IF(INDEX('Paramètres'!$J:$J,MATCH($C2512,'Paramètres'!$D:$D,0))="",1,INDEX('Paramètres'!$J:$J,MATCH($C2512,'Paramètres'!$D:$D,0)))),2))</f>
        <v/>
      </c>
      <c r="L2512" s="6" t="str">
        <f>IF($D2512="","",IF($F2512&lt;&gt;"",$F2512,IF(ISNA(MATCH($D2512,'Paramètres'!$M:$M,0)),"⚠ Type inconnu",IFERROR(INDEX('Paramètres'!$P:$P,MATCH($D2512,'Paramètres'!$M:$M,0))&amp;"",""))))</f>
        <v/>
      </c>
      <c r="M2512" s="6" t="str">
        <f>IF($D2512="","",IF(ISNA(MATCH($D2512,'Paramètres'!$M:$M,0)),"⚠ Type inconnu",IF($L2512="Crédit","",IFERROR(INDEX('Paramètres'!$O:$O,MATCH($D2512,'Paramètres'!$M:$M,0))&amp;"",""))))</f>
        <v/>
      </c>
      <c r="N2512" s="6" t="str">
        <f>IF($D2512="","",IFERROR(INDEX('Paramètres'!$Q:$Q,MATCH($D2512,'Paramètres'!$M:$M,0))&amp;"",""))</f>
        <v/>
      </c>
      <c r="O2512" s="6" t="str">
        <f>IF($A2512="","",IF(OR($J2512&lt;&gt;"x",$A2512&lt;=FinReleve),1,0))</f>
        <v/>
      </c>
      <c r="P2512" s="6" t="str">
        <f>IF($D2512="","",IF(AND($L2512="Crédit",OR(IFERROR(INDEX('Paramètres'!$O:$O,MATCH($D2512,'Paramètres'!$M:$M,0))&amp;"","")&lt;&gt;"",ISNUMBER(SEARCH("remboursement",IFERROR(INDEX('Paramètres'!$N:$N,MATCH($D2512,'Paramètres'!$M:$M,0))&amp;"",""))))),1,0))</f>
        <v/>
      </c>
      <c r="Q2512" s="6" t="str">
        <f>IF($K2512="","",IF(ISNUMBER(SEARCH("transfert-interne",IFERROR(INDEX('Paramètres'!$N:$N,MATCH($D2512,'Paramètres'!$M:$M,0))&amp;"",""))),0,IF($L2512="Débit",$K2512,IF($P2512=1,-$K2512,0))))</f>
        <v/>
      </c>
      <c r="R2512" s="6" t="str">
        <f>IF($K2512="","",IF($L2512="Crédit",$K2512,-$K2512))</f>
        <v/>
      </c>
      <c r="S2512" s="6" t="str">
        <f>IF($C2512="","",IFERROR(INDEX('Paramètres'!$H:$H,MATCH($C2512,'Paramètres'!$D:$D,0))&amp;"",""))</f>
        <v/>
      </c>
      <c r="T2512" s="6" t="str">
        <f>IF($K2512="","",IF($S2512="",0,IF(ISNUMBER(SEARCH("apport-exterieur",IFERROR(INDEX('Paramètres'!$N:$N,MATCH($D2512,'Paramètres'!$M:$M,0))&amp;"",""))),0,IF(OR(IFERROR(INDEX('Paramètres'!$I:$I,MATCH($C2512,'Paramètres'!$D:$D,0))&amp;"","")="Les deux",IFERROR(INDEX('Paramètres'!$I:$I,MATCH($C2512,'Paramètres'!$D:$D,0))&amp;"","")=IF($P2512=1,"Débit",$L2512)),-IF($P2512=1,-$K2512,$K2512),0))))</f>
        <v/>
      </c>
      <c r="U2512" s="6" t="str">
        <f>IF($K2512="","",IF(ISNUMBER(SEARCH("sortie-epargne",IFERROR(INDEX('Paramètres'!$N:$N,MATCH($D2512,'Paramètres'!$M:$M,0))&amp;"",""))),$K2512,0))</f>
        <v/>
      </c>
      <c r="V2512" s="6" t="str">
        <f>IF(AND($A2512&lt;&gt;"",$O2512=1,$L2512="Débit",N($Q2512)&gt;0,$A2512&gt;=Visualisation!$B$1,$A2512&lt;Visualisation!$D$1),MAX($V$1:V2511)+1,"")</f>
        <v/>
      </c>
    </row>
    <row r="2513" spans="1:22" x14ac:dyDescent="0.25">
      <c r="A2513" s="9"/>
      <c r="E2513" s="10"/>
      <c r="K2513" s="11" t="str">
        <f>IF($E2513="","",ROUND($E2513*IF(ISNA(MATCH($C2513,'Paramètres'!$D:$D,0)),1,IF(INDEX('Paramètres'!$J:$J,MATCH($C2513,'Paramètres'!$D:$D,0))="",1,INDEX('Paramètres'!$J:$J,MATCH($C2513,'Paramètres'!$D:$D,0)))),2))</f>
        <v/>
      </c>
      <c r="L2513" s="6" t="str">
        <f>IF($D2513="","",IF($F2513&lt;&gt;"",$F2513,IF(ISNA(MATCH($D2513,'Paramètres'!$M:$M,0)),"⚠ Type inconnu",IFERROR(INDEX('Paramètres'!$P:$P,MATCH($D2513,'Paramètres'!$M:$M,0))&amp;"",""))))</f>
        <v/>
      </c>
      <c r="M2513" s="6" t="str">
        <f>IF($D2513="","",IF(ISNA(MATCH($D2513,'Paramètres'!$M:$M,0)),"⚠ Type inconnu",IF($L2513="Crédit","",IFERROR(INDEX('Paramètres'!$O:$O,MATCH($D2513,'Paramètres'!$M:$M,0))&amp;"",""))))</f>
        <v/>
      </c>
      <c r="N2513" s="6" t="str">
        <f>IF($D2513="","",IFERROR(INDEX('Paramètres'!$Q:$Q,MATCH($D2513,'Paramètres'!$M:$M,0))&amp;"",""))</f>
        <v/>
      </c>
      <c r="O2513" s="6" t="str">
        <f>IF($A2513="","",IF(OR($J2513&lt;&gt;"x",$A2513&lt;=FinReleve),1,0))</f>
        <v/>
      </c>
      <c r="P2513" s="6" t="str">
        <f>IF($D2513="","",IF(AND($L2513="Crédit",OR(IFERROR(INDEX('Paramètres'!$O:$O,MATCH($D2513,'Paramètres'!$M:$M,0))&amp;"","")&lt;&gt;"",ISNUMBER(SEARCH("remboursement",IFERROR(INDEX('Paramètres'!$N:$N,MATCH($D2513,'Paramètres'!$M:$M,0))&amp;"",""))))),1,0))</f>
        <v/>
      </c>
      <c r="Q2513" s="6" t="str">
        <f>IF($K2513="","",IF(ISNUMBER(SEARCH("transfert-interne",IFERROR(INDEX('Paramètres'!$N:$N,MATCH($D2513,'Paramètres'!$M:$M,0))&amp;"",""))),0,IF($L2513="Débit",$K2513,IF($P2513=1,-$K2513,0))))</f>
        <v/>
      </c>
      <c r="R2513" s="6" t="str">
        <f>IF($K2513="","",IF($L2513="Crédit",$K2513,-$K2513))</f>
        <v/>
      </c>
      <c r="S2513" s="6" t="str">
        <f>IF($C2513="","",IFERROR(INDEX('Paramètres'!$H:$H,MATCH($C2513,'Paramètres'!$D:$D,0))&amp;"",""))</f>
        <v/>
      </c>
      <c r="T2513" s="6" t="str">
        <f>IF($K2513="","",IF($S2513="",0,IF(ISNUMBER(SEARCH("apport-exterieur",IFERROR(INDEX('Paramètres'!$N:$N,MATCH($D2513,'Paramètres'!$M:$M,0))&amp;"",""))),0,IF(OR(IFERROR(INDEX('Paramètres'!$I:$I,MATCH($C2513,'Paramètres'!$D:$D,0))&amp;"","")="Les deux",IFERROR(INDEX('Paramètres'!$I:$I,MATCH($C2513,'Paramètres'!$D:$D,0))&amp;"","")=IF($P2513=1,"Débit",$L2513)),-IF($P2513=1,-$K2513,$K2513),0))))</f>
        <v/>
      </c>
      <c r="U2513" s="6" t="str">
        <f>IF($K2513="","",IF(ISNUMBER(SEARCH("sortie-epargne",IFERROR(INDEX('Paramètres'!$N:$N,MATCH($D2513,'Paramètres'!$M:$M,0))&amp;"",""))),$K2513,0))</f>
        <v/>
      </c>
      <c r="V2513" s="6" t="str">
        <f>IF(AND($A2513&lt;&gt;"",$O2513=1,$L2513="Débit",N($Q2513)&gt;0,$A2513&gt;=Visualisation!$B$1,$A2513&lt;Visualisation!$D$1),MAX($V$1:V2512)+1,"")</f>
        <v/>
      </c>
    </row>
    <row r="2514" spans="1:22" x14ac:dyDescent="0.25">
      <c r="A2514" s="9"/>
      <c r="E2514" s="10"/>
      <c r="K2514" s="11" t="str">
        <f>IF($E2514="","",ROUND($E2514*IF(ISNA(MATCH($C2514,'Paramètres'!$D:$D,0)),1,IF(INDEX('Paramètres'!$J:$J,MATCH($C2514,'Paramètres'!$D:$D,0))="",1,INDEX('Paramètres'!$J:$J,MATCH($C2514,'Paramètres'!$D:$D,0)))),2))</f>
        <v/>
      </c>
      <c r="L2514" s="6" t="str">
        <f>IF($D2514="","",IF($F2514&lt;&gt;"",$F2514,IF(ISNA(MATCH($D2514,'Paramètres'!$M:$M,0)),"⚠ Type inconnu",IFERROR(INDEX('Paramètres'!$P:$P,MATCH($D2514,'Paramètres'!$M:$M,0))&amp;"",""))))</f>
        <v/>
      </c>
      <c r="M2514" s="6" t="str">
        <f>IF($D2514="","",IF(ISNA(MATCH($D2514,'Paramètres'!$M:$M,0)),"⚠ Type inconnu",IF($L2514="Crédit","",IFERROR(INDEX('Paramètres'!$O:$O,MATCH($D2514,'Paramètres'!$M:$M,0))&amp;"",""))))</f>
        <v/>
      </c>
      <c r="N2514" s="6" t="str">
        <f>IF($D2514="","",IFERROR(INDEX('Paramètres'!$Q:$Q,MATCH($D2514,'Paramètres'!$M:$M,0))&amp;"",""))</f>
        <v/>
      </c>
      <c r="O2514" s="6" t="str">
        <f>IF($A2514="","",IF(OR($J2514&lt;&gt;"x",$A2514&lt;=FinReleve),1,0))</f>
        <v/>
      </c>
      <c r="P2514" s="6" t="str">
        <f>IF($D2514="","",IF(AND($L2514="Crédit",OR(IFERROR(INDEX('Paramètres'!$O:$O,MATCH($D2514,'Paramètres'!$M:$M,0))&amp;"","")&lt;&gt;"",ISNUMBER(SEARCH("remboursement",IFERROR(INDEX('Paramètres'!$N:$N,MATCH($D2514,'Paramètres'!$M:$M,0))&amp;"",""))))),1,0))</f>
        <v/>
      </c>
      <c r="Q2514" s="6" t="str">
        <f>IF($K2514="","",IF(ISNUMBER(SEARCH("transfert-interne",IFERROR(INDEX('Paramètres'!$N:$N,MATCH($D2514,'Paramètres'!$M:$M,0))&amp;"",""))),0,IF($L2514="Débit",$K2514,IF($P2514=1,-$K2514,0))))</f>
        <v/>
      </c>
      <c r="R2514" s="6" t="str">
        <f>IF($K2514="","",IF($L2514="Crédit",$K2514,-$K2514))</f>
        <v/>
      </c>
      <c r="S2514" s="6" t="str">
        <f>IF($C2514="","",IFERROR(INDEX('Paramètres'!$H:$H,MATCH($C2514,'Paramètres'!$D:$D,0))&amp;"",""))</f>
        <v/>
      </c>
      <c r="T2514" s="6" t="str">
        <f>IF($K2514="","",IF($S2514="",0,IF(ISNUMBER(SEARCH("apport-exterieur",IFERROR(INDEX('Paramètres'!$N:$N,MATCH($D2514,'Paramètres'!$M:$M,0))&amp;"",""))),0,IF(OR(IFERROR(INDEX('Paramètres'!$I:$I,MATCH($C2514,'Paramètres'!$D:$D,0))&amp;"","")="Les deux",IFERROR(INDEX('Paramètres'!$I:$I,MATCH($C2514,'Paramètres'!$D:$D,0))&amp;"","")=IF($P2514=1,"Débit",$L2514)),-IF($P2514=1,-$K2514,$K2514),0))))</f>
        <v/>
      </c>
      <c r="U2514" s="6" t="str">
        <f>IF($K2514="","",IF(ISNUMBER(SEARCH("sortie-epargne",IFERROR(INDEX('Paramètres'!$N:$N,MATCH($D2514,'Paramètres'!$M:$M,0))&amp;"",""))),$K2514,0))</f>
        <v/>
      </c>
      <c r="V2514" s="6" t="str">
        <f>IF(AND($A2514&lt;&gt;"",$O2514=1,$L2514="Débit",N($Q2514)&gt;0,$A2514&gt;=Visualisation!$B$1,$A2514&lt;Visualisation!$D$1),MAX($V$1:V2513)+1,"")</f>
        <v/>
      </c>
    </row>
    <row r="2515" spans="1:22" x14ac:dyDescent="0.25">
      <c r="A2515" s="9"/>
      <c r="E2515" s="10"/>
      <c r="K2515" s="11" t="str">
        <f>IF($E2515="","",ROUND($E2515*IF(ISNA(MATCH($C2515,'Paramètres'!$D:$D,0)),1,IF(INDEX('Paramètres'!$J:$J,MATCH($C2515,'Paramètres'!$D:$D,0))="",1,INDEX('Paramètres'!$J:$J,MATCH($C2515,'Paramètres'!$D:$D,0)))),2))</f>
        <v/>
      </c>
      <c r="L2515" s="6" t="str">
        <f>IF($D2515="","",IF($F2515&lt;&gt;"",$F2515,IF(ISNA(MATCH($D2515,'Paramètres'!$M:$M,0)),"⚠ Type inconnu",IFERROR(INDEX('Paramètres'!$P:$P,MATCH($D2515,'Paramètres'!$M:$M,0))&amp;"",""))))</f>
        <v/>
      </c>
      <c r="M2515" s="6" t="str">
        <f>IF($D2515="","",IF(ISNA(MATCH($D2515,'Paramètres'!$M:$M,0)),"⚠ Type inconnu",IF($L2515="Crédit","",IFERROR(INDEX('Paramètres'!$O:$O,MATCH($D2515,'Paramètres'!$M:$M,0))&amp;"",""))))</f>
        <v/>
      </c>
      <c r="N2515" s="6" t="str">
        <f>IF($D2515="","",IFERROR(INDEX('Paramètres'!$Q:$Q,MATCH($D2515,'Paramètres'!$M:$M,0))&amp;"",""))</f>
        <v/>
      </c>
      <c r="O2515" s="6" t="str">
        <f>IF($A2515="","",IF(OR($J2515&lt;&gt;"x",$A2515&lt;=FinReleve),1,0))</f>
        <v/>
      </c>
      <c r="P2515" s="6" t="str">
        <f>IF($D2515="","",IF(AND($L2515="Crédit",OR(IFERROR(INDEX('Paramètres'!$O:$O,MATCH($D2515,'Paramètres'!$M:$M,0))&amp;"","")&lt;&gt;"",ISNUMBER(SEARCH("remboursement",IFERROR(INDEX('Paramètres'!$N:$N,MATCH($D2515,'Paramètres'!$M:$M,0))&amp;"",""))))),1,0))</f>
        <v/>
      </c>
      <c r="Q2515" s="6" t="str">
        <f>IF($K2515="","",IF(ISNUMBER(SEARCH("transfert-interne",IFERROR(INDEX('Paramètres'!$N:$N,MATCH($D2515,'Paramètres'!$M:$M,0))&amp;"",""))),0,IF($L2515="Débit",$K2515,IF($P2515=1,-$K2515,0))))</f>
        <v/>
      </c>
      <c r="R2515" s="6" t="str">
        <f>IF($K2515="","",IF($L2515="Crédit",$K2515,-$K2515))</f>
        <v/>
      </c>
      <c r="S2515" s="6" t="str">
        <f>IF($C2515="","",IFERROR(INDEX('Paramètres'!$H:$H,MATCH($C2515,'Paramètres'!$D:$D,0))&amp;"",""))</f>
        <v/>
      </c>
      <c r="T2515" s="6" t="str">
        <f>IF($K2515="","",IF($S2515="",0,IF(ISNUMBER(SEARCH("apport-exterieur",IFERROR(INDEX('Paramètres'!$N:$N,MATCH($D2515,'Paramètres'!$M:$M,0))&amp;"",""))),0,IF(OR(IFERROR(INDEX('Paramètres'!$I:$I,MATCH($C2515,'Paramètres'!$D:$D,0))&amp;"","")="Les deux",IFERROR(INDEX('Paramètres'!$I:$I,MATCH($C2515,'Paramètres'!$D:$D,0))&amp;"","")=IF($P2515=1,"Débit",$L2515)),-IF($P2515=1,-$K2515,$K2515),0))))</f>
        <v/>
      </c>
      <c r="U2515" s="6" t="str">
        <f>IF($K2515="","",IF(ISNUMBER(SEARCH("sortie-epargne",IFERROR(INDEX('Paramètres'!$N:$N,MATCH($D2515,'Paramètres'!$M:$M,0))&amp;"",""))),$K2515,0))</f>
        <v/>
      </c>
      <c r="V2515" s="6" t="str">
        <f>IF(AND($A2515&lt;&gt;"",$O2515=1,$L2515="Débit",N($Q2515)&gt;0,$A2515&gt;=Visualisation!$B$1,$A2515&lt;Visualisation!$D$1),MAX($V$1:V2514)+1,"")</f>
        <v/>
      </c>
    </row>
    <row r="2516" spans="1:22" x14ac:dyDescent="0.25">
      <c r="A2516" s="9"/>
      <c r="E2516" s="10"/>
      <c r="K2516" s="11" t="str">
        <f>IF($E2516="","",ROUND($E2516*IF(ISNA(MATCH($C2516,'Paramètres'!$D:$D,0)),1,IF(INDEX('Paramètres'!$J:$J,MATCH($C2516,'Paramètres'!$D:$D,0))="",1,INDEX('Paramètres'!$J:$J,MATCH($C2516,'Paramètres'!$D:$D,0)))),2))</f>
        <v/>
      </c>
      <c r="L2516" s="6" t="str">
        <f>IF($D2516="","",IF($F2516&lt;&gt;"",$F2516,IF(ISNA(MATCH($D2516,'Paramètres'!$M:$M,0)),"⚠ Type inconnu",IFERROR(INDEX('Paramètres'!$P:$P,MATCH($D2516,'Paramètres'!$M:$M,0))&amp;"",""))))</f>
        <v/>
      </c>
      <c r="M2516" s="6" t="str">
        <f>IF($D2516="","",IF(ISNA(MATCH($D2516,'Paramètres'!$M:$M,0)),"⚠ Type inconnu",IF($L2516="Crédit","",IFERROR(INDEX('Paramètres'!$O:$O,MATCH($D2516,'Paramètres'!$M:$M,0))&amp;"",""))))</f>
        <v/>
      </c>
      <c r="N2516" s="6" t="str">
        <f>IF($D2516="","",IFERROR(INDEX('Paramètres'!$Q:$Q,MATCH($D2516,'Paramètres'!$M:$M,0))&amp;"",""))</f>
        <v/>
      </c>
      <c r="O2516" s="6" t="str">
        <f>IF($A2516="","",IF(OR($J2516&lt;&gt;"x",$A2516&lt;=FinReleve),1,0))</f>
        <v/>
      </c>
      <c r="P2516" s="6" t="str">
        <f>IF($D2516="","",IF(AND($L2516="Crédit",OR(IFERROR(INDEX('Paramètres'!$O:$O,MATCH($D2516,'Paramètres'!$M:$M,0))&amp;"","")&lt;&gt;"",ISNUMBER(SEARCH("remboursement",IFERROR(INDEX('Paramètres'!$N:$N,MATCH($D2516,'Paramètres'!$M:$M,0))&amp;"",""))))),1,0))</f>
        <v/>
      </c>
      <c r="Q2516" s="6" t="str">
        <f>IF($K2516="","",IF(ISNUMBER(SEARCH("transfert-interne",IFERROR(INDEX('Paramètres'!$N:$N,MATCH($D2516,'Paramètres'!$M:$M,0))&amp;"",""))),0,IF($L2516="Débit",$K2516,IF($P2516=1,-$K2516,0))))</f>
        <v/>
      </c>
      <c r="R2516" s="6" t="str">
        <f>IF($K2516="","",IF($L2516="Crédit",$K2516,-$K2516))</f>
        <v/>
      </c>
      <c r="S2516" s="6" t="str">
        <f>IF($C2516="","",IFERROR(INDEX('Paramètres'!$H:$H,MATCH($C2516,'Paramètres'!$D:$D,0))&amp;"",""))</f>
        <v/>
      </c>
      <c r="T2516" s="6" t="str">
        <f>IF($K2516="","",IF($S2516="",0,IF(ISNUMBER(SEARCH("apport-exterieur",IFERROR(INDEX('Paramètres'!$N:$N,MATCH($D2516,'Paramètres'!$M:$M,0))&amp;"",""))),0,IF(OR(IFERROR(INDEX('Paramètres'!$I:$I,MATCH($C2516,'Paramètres'!$D:$D,0))&amp;"","")="Les deux",IFERROR(INDEX('Paramètres'!$I:$I,MATCH($C2516,'Paramètres'!$D:$D,0))&amp;"","")=IF($P2516=1,"Débit",$L2516)),-IF($P2516=1,-$K2516,$K2516),0))))</f>
        <v/>
      </c>
      <c r="U2516" s="6" t="str">
        <f>IF($K2516="","",IF(ISNUMBER(SEARCH("sortie-epargne",IFERROR(INDEX('Paramètres'!$N:$N,MATCH($D2516,'Paramètres'!$M:$M,0))&amp;"",""))),$K2516,0))</f>
        <v/>
      </c>
      <c r="V2516" s="6" t="str">
        <f>IF(AND($A2516&lt;&gt;"",$O2516=1,$L2516="Débit",N($Q2516)&gt;0,$A2516&gt;=Visualisation!$B$1,$A2516&lt;Visualisation!$D$1),MAX($V$1:V2515)+1,"")</f>
        <v/>
      </c>
    </row>
    <row r="2517" spans="1:22" x14ac:dyDescent="0.25">
      <c r="A2517" s="9"/>
      <c r="E2517" s="10"/>
      <c r="K2517" s="11" t="str">
        <f>IF($E2517="","",ROUND($E2517*IF(ISNA(MATCH($C2517,'Paramètres'!$D:$D,0)),1,IF(INDEX('Paramètres'!$J:$J,MATCH($C2517,'Paramètres'!$D:$D,0))="",1,INDEX('Paramètres'!$J:$J,MATCH($C2517,'Paramètres'!$D:$D,0)))),2))</f>
        <v/>
      </c>
      <c r="L2517" s="6" t="str">
        <f>IF($D2517="","",IF($F2517&lt;&gt;"",$F2517,IF(ISNA(MATCH($D2517,'Paramètres'!$M:$M,0)),"⚠ Type inconnu",IFERROR(INDEX('Paramètres'!$P:$P,MATCH($D2517,'Paramètres'!$M:$M,0))&amp;"",""))))</f>
        <v/>
      </c>
      <c r="M2517" s="6" t="str">
        <f>IF($D2517="","",IF(ISNA(MATCH($D2517,'Paramètres'!$M:$M,0)),"⚠ Type inconnu",IF($L2517="Crédit","",IFERROR(INDEX('Paramètres'!$O:$O,MATCH($D2517,'Paramètres'!$M:$M,0))&amp;"",""))))</f>
        <v/>
      </c>
      <c r="N2517" s="6" t="str">
        <f>IF($D2517="","",IFERROR(INDEX('Paramètres'!$Q:$Q,MATCH($D2517,'Paramètres'!$M:$M,0))&amp;"",""))</f>
        <v/>
      </c>
      <c r="O2517" s="6" t="str">
        <f>IF($A2517="","",IF(OR($J2517&lt;&gt;"x",$A2517&lt;=FinReleve),1,0))</f>
        <v/>
      </c>
      <c r="P2517" s="6" t="str">
        <f>IF($D2517="","",IF(AND($L2517="Crédit",OR(IFERROR(INDEX('Paramètres'!$O:$O,MATCH($D2517,'Paramètres'!$M:$M,0))&amp;"","")&lt;&gt;"",ISNUMBER(SEARCH("remboursement",IFERROR(INDEX('Paramètres'!$N:$N,MATCH($D2517,'Paramètres'!$M:$M,0))&amp;"",""))))),1,0))</f>
        <v/>
      </c>
      <c r="Q2517" s="6" t="str">
        <f>IF($K2517="","",IF(ISNUMBER(SEARCH("transfert-interne",IFERROR(INDEX('Paramètres'!$N:$N,MATCH($D2517,'Paramètres'!$M:$M,0))&amp;"",""))),0,IF($L2517="Débit",$K2517,IF($P2517=1,-$K2517,0))))</f>
        <v/>
      </c>
      <c r="R2517" s="6" t="str">
        <f>IF($K2517="","",IF($L2517="Crédit",$K2517,-$K2517))</f>
        <v/>
      </c>
      <c r="S2517" s="6" t="str">
        <f>IF($C2517="","",IFERROR(INDEX('Paramètres'!$H:$H,MATCH($C2517,'Paramètres'!$D:$D,0))&amp;"",""))</f>
        <v/>
      </c>
      <c r="T2517" s="6" t="str">
        <f>IF($K2517="","",IF($S2517="",0,IF(ISNUMBER(SEARCH("apport-exterieur",IFERROR(INDEX('Paramètres'!$N:$N,MATCH($D2517,'Paramètres'!$M:$M,0))&amp;"",""))),0,IF(OR(IFERROR(INDEX('Paramètres'!$I:$I,MATCH($C2517,'Paramètres'!$D:$D,0))&amp;"","")="Les deux",IFERROR(INDEX('Paramètres'!$I:$I,MATCH($C2517,'Paramètres'!$D:$D,0))&amp;"","")=IF($P2517=1,"Débit",$L2517)),-IF($P2517=1,-$K2517,$K2517),0))))</f>
        <v/>
      </c>
      <c r="U2517" s="6" t="str">
        <f>IF($K2517="","",IF(ISNUMBER(SEARCH("sortie-epargne",IFERROR(INDEX('Paramètres'!$N:$N,MATCH($D2517,'Paramètres'!$M:$M,0))&amp;"",""))),$K2517,0))</f>
        <v/>
      </c>
      <c r="V2517" s="6" t="str">
        <f>IF(AND($A2517&lt;&gt;"",$O2517=1,$L2517="Débit",N($Q2517)&gt;0,$A2517&gt;=Visualisation!$B$1,$A2517&lt;Visualisation!$D$1),MAX($V$1:V2516)+1,"")</f>
        <v/>
      </c>
    </row>
    <row r="2518" spans="1:22" x14ac:dyDescent="0.25">
      <c r="A2518" s="9"/>
      <c r="E2518" s="10"/>
      <c r="K2518" s="11" t="str">
        <f>IF($E2518="","",ROUND($E2518*IF(ISNA(MATCH($C2518,'Paramètres'!$D:$D,0)),1,IF(INDEX('Paramètres'!$J:$J,MATCH($C2518,'Paramètres'!$D:$D,0))="",1,INDEX('Paramètres'!$J:$J,MATCH($C2518,'Paramètres'!$D:$D,0)))),2))</f>
        <v/>
      </c>
      <c r="L2518" s="6" t="str">
        <f>IF($D2518="","",IF($F2518&lt;&gt;"",$F2518,IF(ISNA(MATCH($D2518,'Paramètres'!$M:$M,0)),"⚠ Type inconnu",IFERROR(INDEX('Paramètres'!$P:$P,MATCH($D2518,'Paramètres'!$M:$M,0))&amp;"",""))))</f>
        <v/>
      </c>
      <c r="M2518" s="6" t="str">
        <f>IF($D2518="","",IF(ISNA(MATCH($D2518,'Paramètres'!$M:$M,0)),"⚠ Type inconnu",IF($L2518="Crédit","",IFERROR(INDEX('Paramètres'!$O:$O,MATCH($D2518,'Paramètres'!$M:$M,0))&amp;"",""))))</f>
        <v/>
      </c>
      <c r="N2518" s="6" t="str">
        <f>IF($D2518="","",IFERROR(INDEX('Paramètres'!$Q:$Q,MATCH($D2518,'Paramètres'!$M:$M,0))&amp;"",""))</f>
        <v/>
      </c>
      <c r="O2518" s="6" t="str">
        <f>IF($A2518="","",IF(OR($J2518&lt;&gt;"x",$A2518&lt;=FinReleve),1,0))</f>
        <v/>
      </c>
      <c r="P2518" s="6" t="str">
        <f>IF($D2518="","",IF(AND($L2518="Crédit",OR(IFERROR(INDEX('Paramètres'!$O:$O,MATCH($D2518,'Paramètres'!$M:$M,0))&amp;"","")&lt;&gt;"",ISNUMBER(SEARCH("remboursement",IFERROR(INDEX('Paramètres'!$N:$N,MATCH($D2518,'Paramètres'!$M:$M,0))&amp;"",""))))),1,0))</f>
        <v/>
      </c>
      <c r="Q2518" s="6" t="str">
        <f>IF($K2518="","",IF(ISNUMBER(SEARCH("transfert-interne",IFERROR(INDEX('Paramètres'!$N:$N,MATCH($D2518,'Paramètres'!$M:$M,0))&amp;"",""))),0,IF($L2518="Débit",$K2518,IF($P2518=1,-$K2518,0))))</f>
        <v/>
      </c>
      <c r="R2518" s="6" t="str">
        <f>IF($K2518="","",IF($L2518="Crédit",$K2518,-$K2518))</f>
        <v/>
      </c>
      <c r="S2518" s="6" t="str">
        <f>IF($C2518="","",IFERROR(INDEX('Paramètres'!$H:$H,MATCH($C2518,'Paramètres'!$D:$D,0))&amp;"",""))</f>
        <v/>
      </c>
      <c r="T2518" s="6" t="str">
        <f>IF($K2518="","",IF($S2518="",0,IF(ISNUMBER(SEARCH("apport-exterieur",IFERROR(INDEX('Paramètres'!$N:$N,MATCH($D2518,'Paramètres'!$M:$M,0))&amp;"",""))),0,IF(OR(IFERROR(INDEX('Paramètres'!$I:$I,MATCH($C2518,'Paramètres'!$D:$D,0))&amp;"","")="Les deux",IFERROR(INDEX('Paramètres'!$I:$I,MATCH($C2518,'Paramètres'!$D:$D,0))&amp;"","")=IF($P2518=1,"Débit",$L2518)),-IF($P2518=1,-$K2518,$K2518),0))))</f>
        <v/>
      </c>
      <c r="U2518" s="6" t="str">
        <f>IF($K2518="","",IF(ISNUMBER(SEARCH("sortie-epargne",IFERROR(INDEX('Paramètres'!$N:$N,MATCH($D2518,'Paramètres'!$M:$M,0))&amp;"",""))),$K2518,0))</f>
        <v/>
      </c>
      <c r="V2518" s="6" t="str">
        <f>IF(AND($A2518&lt;&gt;"",$O2518=1,$L2518="Débit",N($Q2518)&gt;0,$A2518&gt;=Visualisation!$B$1,$A2518&lt;Visualisation!$D$1),MAX($V$1:V2517)+1,"")</f>
        <v/>
      </c>
    </row>
    <row r="2519" spans="1:22" x14ac:dyDescent="0.25">
      <c r="A2519" s="9"/>
      <c r="E2519" s="10"/>
      <c r="K2519" s="11" t="str">
        <f>IF($E2519="","",ROUND($E2519*IF(ISNA(MATCH($C2519,'Paramètres'!$D:$D,0)),1,IF(INDEX('Paramètres'!$J:$J,MATCH($C2519,'Paramètres'!$D:$D,0))="",1,INDEX('Paramètres'!$J:$J,MATCH($C2519,'Paramètres'!$D:$D,0)))),2))</f>
        <v/>
      </c>
      <c r="L2519" s="6" t="str">
        <f>IF($D2519="","",IF($F2519&lt;&gt;"",$F2519,IF(ISNA(MATCH($D2519,'Paramètres'!$M:$M,0)),"⚠ Type inconnu",IFERROR(INDEX('Paramètres'!$P:$P,MATCH($D2519,'Paramètres'!$M:$M,0))&amp;"",""))))</f>
        <v/>
      </c>
      <c r="M2519" s="6" t="str">
        <f>IF($D2519="","",IF(ISNA(MATCH($D2519,'Paramètres'!$M:$M,0)),"⚠ Type inconnu",IF($L2519="Crédit","",IFERROR(INDEX('Paramètres'!$O:$O,MATCH($D2519,'Paramètres'!$M:$M,0))&amp;"",""))))</f>
        <v/>
      </c>
      <c r="N2519" s="6" t="str">
        <f>IF($D2519="","",IFERROR(INDEX('Paramètres'!$Q:$Q,MATCH($D2519,'Paramètres'!$M:$M,0))&amp;"",""))</f>
        <v/>
      </c>
      <c r="O2519" s="6" t="str">
        <f>IF($A2519="","",IF(OR($J2519&lt;&gt;"x",$A2519&lt;=FinReleve),1,0))</f>
        <v/>
      </c>
      <c r="P2519" s="6" t="str">
        <f>IF($D2519="","",IF(AND($L2519="Crédit",OR(IFERROR(INDEX('Paramètres'!$O:$O,MATCH($D2519,'Paramètres'!$M:$M,0))&amp;"","")&lt;&gt;"",ISNUMBER(SEARCH("remboursement",IFERROR(INDEX('Paramètres'!$N:$N,MATCH($D2519,'Paramètres'!$M:$M,0))&amp;"",""))))),1,0))</f>
        <v/>
      </c>
      <c r="Q2519" s="6" t="str">
        <f>IF($K2519="","",IF(ISNUMBER(SEARCH("transfert-interne",IFERROR(INDEX('Paramètres'!$N:$N,MATCH($D2519,'Paramètres'!$M:$M,0))&amp;"",""))),0,IF($L2519="Débit",$K2519,IF($P2519=1,-$K2519,0))))</f>
        <v/>
      </c>
      <c r="R2519" s="6" t="str">
        <f>IF($K2519="","",IF($L2519="Crédit",$K2519,-$K2519))</f>
        <v/>
      </c>
      <c r="S2519" s="6" t="str">
        <f>IF($C2519="","",IFERROR(INDEX('Paramètres'!$H:$H,MATCH($C2519,'Paramètres'!$D:$D,0))&amp;"",""))</f>
        <v/>
      </c>
      <c r="T2519" s="6" t="str">
        <f>IF($K2519="","",IF($S2519="",0,IF(ISNUMBER(SEARCH("apport-exterieur",IFERROR(INDEX('Paramètres'!$N:$N,MATCH($D2519,'Paramètres'!$M:$M,0))&amp;"",""))),0,IF(OR(IFERROR(INDEX('Paramètres'!$I:$I,MATCH($C2519,'Paramètres'!$D:$D,0))&amp;"","")="Les deux",IFERROR(INDEX('Paramètres'!$I:$I,MATCH($C2519,'Paramètres'!$D:$D,0))&amp;"","")=IF($P2519=1,"Débit",$L2519)),-IF($P2519=1,-$K2519,$K2519),0))))</f>
        <v/>
      </c>
      <c r="U2519" s="6" t="str">
        <f>IF($K2519="","",IF(ISNUMBER(SEARCH("sortie-epargne",IFERROR(INDEX('Paramètres'!$N:$N,MATCH($D2519,'Paramètres'!$M:$M,0))&amp;"",""))),$K2519,0))</f>
        <v/>
      </c>
      <c r="V2519" s="6" t="str">
        <f>IF(AND($A2519&lt;&gt;"",$O2519=1,$L2519="Débit",N($Q2519)&gt;0,$A2519&gt;=Visualisation!$B$1,$A2519&lt;Visualisation!$D$1),MAX($V$1:V2518)+1,"")</f>
        <v/>
      </c>
    </row>
    <row r="2520" spans="1:22" x14ac:dyDescent="0.25">
      <c r="A2520" s="9"/>
      <c r="E2520" s="10"/>
      <c r="K2520" s="11" t="str">
        <f>IF($E2520="","",ROUND($E2520*IF(ISNA(MATCH($C2520,'Paramètres'!$D:$D,0)),1,IF(INDEX('Paramètres'!$J:$J,MATCH($C2520,'Paramètres'!$D:$D,0))="",1,INDEX('Paramètres'!$J:$J,MATCH($C2520,'Paramètres'!$D:$D,0)))),2))</f>
        <v/>
      </c>
      <c r="L2520" s="6" t="str">
        <f>IF($D2520="","",IF($F2520&lt;&gt;"",$F2520,IF(ISNA(MATCH($D2520,'Paramètres'!$M:$M,0)),"⚠ Type inconnu",IFERROR(INDEX('Paramètres'!$P:$P,MATCH($D2520,'Paramètres'!$M:$M,0))&amp;"",""))))</f>
        <v/>
      </c>
      <c r="M2520" s="6" t="str">
        <f>IF($D2520="","",IF(ISNA(MATCH($D2520,'Paramètres'!$M:$M,0)),"⚠ Type inconnu",IF($L2520="Crédit","",IFERROR(INDEX('Paramètres'!$O:$O,MATCH($D2520,'Paramètres'!$M:$M,0))&amp;"",""))))</f>
        <v/>
      </c>
      <c r="N2520" s="6" t="str">
        <f>IF($D2520="","",IFERROR(INDEX('Paramètres'!$Q:$Q,MATCH($D2520,'Paramètres'!$M:$M,0))&amp;"",""))</f>
        <v/>
      </c>
      <c r="O2520" s="6" t="str">
        <f>IF($A2520="","",IF(OR($J2520&lt;&gt;"x",$A2520&lt;=FinReleve),1,0))</f>
        <v/>
      </c>
      <c r="P2520" s="6" t="str">
        <f>IF($D2520="","",IF(AND($L2520="Crédit",OR(IFERROR(INDEX('Paramètres'!$O:$O,MATCH($D2520,'Paramètres'!$M:$M,0))&amp;"","")&lt;&gt;"",ISNUMBER(SEARCH("remboursement",IFERROR(INDEX('Paramètres'!$N:$N,MATCH($D2520,'Paramètres'!$M:$M,0))&amp;"",""))))),1,0))</f>
        <v/>
      </c>
      <c r="Q2520" s="6" t="str">
        <f>IF($K2520="","",IF(ISNUMBER(SEARCH("transfert-interne",IFERROR(INDEX('Paramètres'!$N:$N,MATCH($D2520,'Paramètres'!$M:$M,0))&amp;"",""))),0,IF($L2520="Débit",$K2520,IF($P2520=1,-$K2520,0))))</f>
        <v/>
      </c>
      <c r="R2520" s="6" t="str">
        <f>IF($K2520="","",IF($L2520="Crédit",$K2520,-$K2520))</f>
        <v/>
      </c>
      <c r="S2520" s="6" t="str">
        <f>IF($C2520="","",IFERROR(INDEX('Paramètres'!$H:$H,MATCH($C2520,'Paramètres'!$D:$D,0))&amp;"",""))</f>
        <v/>
      </c>
      <c r="T2520" s="6" t="str">
        <f>IF($K2520="","",IF($S2520="",0,IF(ISNUMBER(SEARCH("apport-exterieur",IFERROR(INDEX('Paramètres'!$N:$N,MATCH($D2520,'Paramètres'!$M:$M,0))&amp;"",""))),0,IF(OR(IFERROR(INDEX('Paramètres'!$I:$I,MATCH($C2520,'Paramètres'!$D:$D,0))&amp;"","")="Les deux",IFERROR(INDEX('Paramètres'!$I:$I,MATCH($C2520,'Paramètres'!$D:$D,0))&amp;"","")=IF($P2520=1,"Débit",$L2520)),-IF($P2520=1,-$K2520,$K2520),0))))</f>
        <v/>
      </c>
      <c r="U2520" s="6" t="str">
        <f>IF($K2520="","",IF(ISNUMBER(SEARCH("sortie-epargne",IFERROR(INDEX('Paramètres'!$N:$N,MATCH($D2520,'Paramètres'!$M:$M,0))&amp;"",""))),$K2520,0))</f>
        <v/>
      </c>
      <c r="V2520" s="6" t="str">
        <f>IF(AND($A2520&lt;&gt;"",$O2520=1,$L2520="Débit",N($Q2520)&gt;0,$A2520&gt;=Visualisation!$B$1,$A2520&lt;Visualisation!$D$1),MAX($V$1:V2519)+1,"")</f>
        <v/>
      </c>
    </row>
    <row r="2521" spans="1:22" x14ac:dyDescent="0.25">
      <c r="A2521" s="9"/>
      <c r="E2521" s="10"/>
      <c r="K2521" s="11" t="str">
        <f>IF($E2521="","",ROUND($E2521*IF(ISNA(MATCH($C2521,'Paramètres'!$D:$D,0)),1,IF(INDEX('Paramètres'!$J:$J,MATCH($C2521,'Paramètres'!$D:$D,0))="",1,INDEX('Paramètres'!$J:$J,MATCH($C2521,'Paramètres'!$D:$D,0)))),2))</f>
        <v/>
      </c>
      <c r="L2521" s="6" t="str">
        <f>IF($D2521="","",IF($F2521&lt;&gt;"",$F2521,IF(ISNA(MATCH($D2521,'Paramètres'!$M:$M,0)),"⚠ Type inconnu",IFERROR(INDEX('Paramètres'!$P:$P,MATCH($D2521,'Paramètres'!$M:$M,0))&amp;"",""))))</f>
        <v/>
      </c>
      <c r="M2521" s="6" t="str">
        <f>IF($D2521="","",IF(ISNA(MATCH($D2521,'Paramètres'!$M:$M,0)),"⚠ Type inconnu",IF($L2521="Crédit","",IFERROR(INDEX('Paramètres'!$O:$O,MATCH($D2521,'Paramètres'!$M:$M,0))&amp;"",""))))</f>
        <v/>
      </c>
      <c r="N2521" s="6" t="str">
        <f>IF($D2521="","",IFERROR(INDEX('Paramètres'!$Q:$Q,MATCH($D2521,'Paramètres'!$M:$M,0))&amp;"",""))</f>
        <v/>
      </c>
      <c r="O2521" s="6" t="str">
        <f>IF($A2521="","",IF(OR($J2521&lt;&gt;"x",$A2521&lt;=FinReleve),1,0))</f>
        <v/>
      </c>
      <c r="P2521" s="6" t="str">
        <f>IF($D2521="","",IF(AND($L2521="Crédit",OR(IFERROR(INDEX('Paramètres'!$O:$O,MATCH($D2521,'Paramètres'!$M:$M,0))&amp;"","")&lt;&gt;"",ISNUMBER(SEARCH("remboursement",IFERROR(INDEX('Paramètres'!$N:$N,MATCH($D2521,'Paramètres'!$M:$M,0))&amp;"",""))))),1,0))</f>
        <v/>
      </c>
      <c r="Q2521" s="6" t="str">
        <f>IF($K2521="","",IF(ISNUMBER(SEARCH("transfert-interne",IFERROR(INDEX('Paramètres'!$N:$N,MATCH($D2521,'Paramètres'!$M:$M,0))&amp;"",""))),0,IF($L2521="Débit",$K2521,IF($P2521=1,-$K2521,0))))</f>
        <v/>
      </c>
      <c r="R2521" s="6" t="str">
        <f>IF($K2521="","",IF($L2521="Crédit",$K2521,-$K2521))</f>
        <v/>
      </c>
      <c r="S2521" s="6" t="str">
        <f>IF($C2521="","",IFERROR(INDEX('Paramètres'!$H:$H,MATCH($C2521,'Paramètres'!$D:$D,0))&amp;"",""))</f>
        <v/>
      </c>
      <c r="T2521" s="6" t="str">
        <f>IF($K2521="","",IF($S2521="",0,IF(ISNUMBER(SEARCH("apport-exterieur",IFERROR(INDEX('Paramètres'!$N:$N,MATCH($D2521,'Paramètres'!$M:$M,0))&amp;"",""))),0,IF(OR(IFERROR(INDEX('Paramètres'!$I:$I,MATCH($C2521,'Paramètres'!$D:$D,0))&amp;"","")="Les deux",IFERROR(INDEX('Paramètres'!$I:$I,MATCH($C2521,'Paramètres'!$D:$D,0))&amp;"","")=IF($P2521=1,"Débit",$L2521)),-IF($P2521=1,-$K2521,$K2521),0))))</f>
        <v/>
      </c>
      <c r="U2521" s="6" t="str">
        <f>IF($K2521="","",IF(ISNUMBER(SEARCH("sortie-epargne",IFERROR(INDEX('Paramètres'!$N:$N,MATCH($D2521,'Paramètres'!$M:$M,0))&amp;"",""))),$K2521,0))</f>
        <v/>
      </c>
      <c r="V2521" s="6" t="str">
        <f>IF(AND($A2521&lt;&gt;"",$O2521=1,$L2521="Débit",N($Q2521)&gt;0,$A2521&gt;=Visualisation!$B$1,$A2521&lt;Visualisation!$D$1),MAX($V$1:V2520)+1,"")</f>
        <v/>
      </c>
    </row>
    <row r="2522" spans="1:22" x14ac:dyDescent="0.25">
      <c r="A2522" s="9"/>
      <c r="E2522" s="10"/>
      <c r="K2522" s="11" t="str">
        <f>IF($E2522="","",ROUND($E2522*IF(ISNA(MATCH($C2522,'Paramètres'!$D:$D,0)),1,IF(INDEX('Paramètres'!$J:$J,MATCH($C2522,'Paramètres'!$D:$D,0))="",1,INDEX('Paramètres'!$J:$J,MATCH($C2522,'Paramètres'!$D:$D,0)))),2))</f>
        <v/>
      </c>
      <c r="L2522" s="6" t="str">
        <f>IF($D2522="","",IF($F2522&lt;&gt;"",$F2522,IF(ISNA(MATCH($D2522,'Paramètres'!$M:$M,0)),"⚠ Type inconnu",IFERROR(INDEX('Paramètres'!$P:$P,MATCH($D2522,'Paramètres'!$M:$M,0))&amp;"",""))))</f>
        <v/>
      </c>
      <c r="M2522" s="6" t="str">
        <f>IF($D2522="","",IF(ISNA(MATCH($D2522,'Paramètres'!$M:$M,0)),"⚠ Type inconnu",IF($L2522="Crédit","",IFERROR(INDEX('Paramètres'!$O:$O,MATCH($D2522,'Paramètres'!$M:$M,0))&amp;"",""))))</f>
        <v/>
      </c>
      <c r="N2522" s="6" t="str">
        <f>IF($D2522="","",IFERROR(INDEX('Paramètres'!$Q:$Q,MATCH($D2522,'Paramètres'!$M:$M,0))&amp;"",""))</f>
        <v/>
      </c>
      <c r="O2522" s="6" t="str">
        <f>IF($A2522="","",IF(OR($J2522&lt;&gt;"x",$A2522&lt;=FinReleve),1,0))</f>
        <v/>
      </c>
      <c r="P2522" s="6" t="str">
        <f>IF($D2522="","",IF(AND($L2522="Crédit",OR(IFERROR(INDEX('Paramètres'!$O:$O,MATCH($D2522,'Paramètres'!$M:$M,0))&amp;"","")&lt;&gt;"",ISNUMBER(SEARCH("remboursement",IFERROR(INDEX('Paramètres'!$N:$N,MATCH($D2522,'Paramètres'!$M:$M,0))&amp;"",""))))),1,0))</f>
        <v/>
      </c>
      <c r="Q2522" s="6" t="str">
        <f>IF($K2522="","",IF(ISNUMBER(SEARCH("transfert-interne",IFERROR(INDEX('Paramètres'!$N:$N,MATCH($D2522,'Paramètres'!$M:$M,0))&amp;"",""))),0,IF($L2522="Débit",$K2522,IF($P2522=1,-$K2522,0))))</f>
        <v/>
      </c>
      <c r="R2522" s="6" t="str">
        <f>IF($K2522="","",IF($L2522="Crédit",$K2522,-$K2522))</f>
        <v/>
      </c>
      <c r="S2522" s="6" t="str">
        <f>IF($C2522="","",IFERROR(INDEX('Paramètres'!$H:$H,MATCH($C2522,'Paramètres'!$D:$D,0))&amp;"",""))</f>
        <v/>
      </c>
      <c r="T2522" s="6" t="str">
        <f>IF($K2522="","",IF($S2522="",0,IF(ISNUMBER(SEARCH("apport-exterieur",IFERROR(INDEX('Paramètres'!$N:$N,MATCH($D2522,'Paramètres'!$M:$M,0))&amp;"",""))),0,IF(OR(IFERROR(INDEX('Paramètres'!$I:$I,MATCH($C2522,'Paramètres'!$D:$D,0))&amp;"","")="Les deux",IFERROR(INDEX('Paramètres'!$I:$I,MATCH($C2522,'Paramètres'!$D:$D,0))&amp;"","")=IF($P2522=1,"Débit",$L2522)),-IF($P2522=1,-$K2522,$K2522),0))))</f>
        <v/>
      </c>
      <c r="U2522" s="6" t="str">
        <f>IF($K2522="","",IF(ISNUMBER(SEARCH("sortie-epargne",IFERROR(INDEX('Paramètres'!$N:$N,MATCH($D2522,'Paramètres'!$M:$M,0))&amp;"",""))),$K2522,0))</f>
        <v/>
      </c>
      <c r="V2522" s="6" t="str">
        <f>IF(AND($A2522&lt;&gt;"",$O2522=1,$L2522="Débit",N($Q2522)&gt;0,$A2522&gt;=Visualisation!$B$1,$A2522&lt;Visualisation!$D$1),MAX($V$1:V2521)+1,"")</f>
        <v/>
      </c>
    </row>
    <row r="2523" spans="1:22" x14ac:dyDescent="0.25">
      <c r="A2523" s="9"/>
      <c r="E2523" s="10"/>
      <c r="K2523" s="11" t="str">
        <f>IF($E2523="","",ROUND($E2523*IF(ISNA(MATCH($C2523,'Paramètres'!$D:$D,0)),1,IF(INDEX('Paramètres'!$J:$J,MATCH($C2523,'Paramètres'!$D:$D,0))="",1,INDEX('Paramètres'!$J:$J,MATCH($C2523,'Paramètres'!$D:$D,0)))),2))</f>
        <v/>
      </c>
      <c r="L2523" s="6" t="str">
        <f>IF($D2523="","",IF($F2523&lt;&gt;"",$F2523,IF(ISNA(MATCH($D2523,'Paramètres'!$M:$M,0)),"⚠ Type inconnu",IFERROR(INDEX('Paramètres'!$P:$P,MATCH($D2523,'Paramètres'!$M:$M,0))&amp;"",""))))</f>
        <v/>
      </c>
      <c r="M2523" s="6" t="str">
        <f>IF($D2523="","",IF(ISNA(MATCH($D2523,'Paramètres'!$M:$M,0)),"⚠ Type inconnu",IF($L2523="Crédit","",IFERROR(INDEX('Paramètres'!$O:$O,MATCH($D2523,'Paramètres'!$M:$M,0))&amp;"",""))))</f>
        <v/>
      </c>
      <c r="N2523" s="6" t="str">
        <f>IF($D2523="","",IFERROR(INDEX('Paramètres'!$Q:$Q,MATCH($D2523,'Paramètres'!$M:$M,0))&amp;"",""))</f>
        <v/>
      </c>
      <c r="O2523" s="6" t="str">
        <f>IF($A2523="","",IF(OR($J2523&lt;&gt;"x",$A2523&lt;=FinReleve),1,0))</f>
        <v/>
      </c>
      <c r="P2523" s="6" t="str">
        <f>IF($D2523="","",IF(AND($L2523="Crédit",OR(IFERROR(INDEX('Paramètres'!$O:$O,MATCH($D2523,'Paramètres'!$M:$M,0))&amp;"","")&lt;&gt;"",ISNUMBER(SEARCH("remboursement",IFERROR(INDEX('Paramètres'!$N:$N,MATCH($D2523,'Paramètres'!$M:$M,0))&amp;"",""))))),1,0))</f>
        <v/>
      </c>
      <c r="Q2523" s="6" t="str">
        <f>IF($K2523="","",IF(ISNUMBER(SEARCH("transfert-interne",IFERROR(INDEX('Paramètres'!$N:$N,MATCH($D2523,'Paramètres'!$M:$M,0))&amp;"",""))),0,IF($L2523="Débit",$K2523,IF($P2523=1,-$K2523,0))))</f>
        <v/>
      </c>
      <c r="R2523" s="6" t="str">
        <f>IF($K2523="","",IF($L2523="Crédit",$K2523,-$K2523))</f>
        <v/>
      </c>
      <c r="S2523" s="6" t="str">
        <f>IF($C2523="","",IFERROR(INDEX('Paramètres'!$H:$H,MATCH($C2523,'Paramètres'!$D:$D,0))&amp;"",""))</f>
        <v/>
      </c>
      <c r="T2523" s="6" t="str">
        <f>IF($K2523="","",IF($S2523="",0,IF(ISNUMBER(SEARCH("apport-exterieur",IFERROR(INDEX('Paramètres'!$N:$N,MATCH($D2523,'Paramètres'!$M:$M,0))&amp;"",""))),0,IF(OR(IFERROR(INDEX('Paramètres'!$I:$I,MATCH($C2523,'Paramètres'!$D:$D,0))&amp;"","")="Les deux",IFERROR(INDEX('Paramètres'!$I:$I,MATCH($C2523,'Paramètres'!$D:$D,0))&amp;"","")=IF($P2523=1,"Débit",$L2523)),-IF($P2523=1,-$K2523,$K2523),0))))</f>
        <v/>
      </c>
      <c r="U2523" s="6" t="str">
        <f>IF($K2523="","",IF(ISNUMBER(SEARCH("sortie-epargne",IFERROR(INDEX('Paramètres'!$N:$N,MATCH($D2523,'Paramètres'!$M:$M,0))&amp;"",""))),$K2523,0))</f>
        <v/>
      </c>
      <c r="V2523" s="6" t="str">
        <f>IF(AND($A2523&lt;&gt;"",$O2523=1,$L2523="Débit",N($Q2523)&gt;0,$A2523&gt;=Visualisation!$B$1,$A2523&lt;Visualisation!$D$1),MAX($V$1:V2522)+1,"")</f>
        <v/>
      </c>
    </row>
    <row r="2524" spans="1:22" x14ac:dyDescent="0.25">
      <c r="A2524" s="9"/>
      <c r="E2524" s="10"/>
      <c r="K2524" s="11" t="str">
        <f>IF($E2524="","",ROUND($E2524*IF(ISNA(MATCH($C2524,'Paramètres'!$D:$D,0)),1,IF(INDEX('Paramètres'!$J:$J,MATCH($C2524,'Paramètres'!$D:$D,0))="",1,INDEX('Paramètres'!$J:$J,MATCH($C2524,'Paramètres'!$D:$D,0)))),2))</f>
        <v/>
      </c>
      <c r="L2524" s="6" t="str">
        <f>IF($D2524="","",IF($F2524&lt;&gt;"",$F2524,IF(ISNA(MATCH($D2524,'Paramètres'!$M:$M,0)),"⚠ Type inconnu",IFERROR(INDEX('Paramètres'!$P:$P,MATCH($D2524,'Paramètres'!$M:$M,0))&amp;"",""))))</f>
        <v/>
      </c>
      <c r="M2524" s="6" t="str">
        <f>IF($D2524="","",IF(ISNA(MATCH($D2524,'Paramètres'!$M:$M,0)),"⚠ Type inconnu",IF($L2524="Crédit","",IFERROR(INDEX('Paramètres'!$O:$O,MATCH($D2524,'Paramètres'!$M:$M,0))&amp;"",""))))</f>
        <v/>
      </c>
      <c r="N2524" s="6" t="str">
        <f>IF($D2524="","",IFERROR(INDEX('Paramètres'!$Q:$Q,MATCH($D2524,'Paramètres'!$M:$M,0))&amp;"",""))</f>
        <v/>
      </c>
      <c r="O2524" s="6" t="str">
        <f>IF($A2524="","",IF(OR($J2524&lt;&gt;"x",$A2524&lt;=FinReleve),1,0))</f>
        <v/>
      </c>
      <c r="P2524" s="6" t="str">
        <f>IF($D2524="","",IF(AND($L2524="Crédit",OR(IFERROR(INDEX('Paramètres'!$O:$O,MATCH($D2524,'Paramètres'!$M:$M,0))&amp;"","")&lt;&gt;"",ISNUMBER(SEARCH("remboursement",IFERROR(INDEX('Paramètres'!$N:$N,MATCH($D2524,'Paramètres'!$M:$M,0))&amp;"",""))))),1,0))</f>
        <v/>
      </c>
      <c r="Q2524" s="6" t="str">
        <f>IF($K2524="","",IF(ISNUMBER(SEARCH("transfert-interne",IFERROR(INDEX('Paramètres'!$N:$N,MATCH($D2524,'Paramètres'!$M:$M,0))&amp;"",""))),0,IF($L2524="Débit",$K2524,IF($P2524=1,-$K2524,0))))</f>
        <v/>
      </c>
      <c r="R2524" s="6" t="str">
        <f>IF($K2524="","",IF($L2524="Crédit",$K2524,-$K2524))</f>
        <v/>
      </c>
      <c r="S2524" s="6" t="str">
        <f>IF($C2524="","",IFERROR(INDEX('Paramètres'!$H:$H,MATCH($C2524,'Paramètres'!$D:$D,0))&amp;"",""))</f>
        <v/>
      </c>
      <c r="T2524" s="6" t="str">
        <f>IF($K2524="","",IF($S2524="",0,IF(ISNUMBER(SEARCH("apport-exterieur",IFERROR(INDEX('Paramètres'!$N:$N,MATCH($D2524,'Paramètres'!$M:$M,0))&amp;"",""))),0,IF(OR(IFERROR(INDEX('Paramètres'!$I:$I,MATCH($C2524,'Paramètres'!$D:$D,0))&amp;"","")="Les deux",IFERROR(INDEX('Paramètres'!$I:$I,MATCH($C2524,'Paramètres'!$D:$D,0))&amp;"","")=IF($P2524=1,"Débit",$L2524)),-IF($P2524=1,-$K2524,$K2524),0))))</f>
        <v/>
      </c>
      <c r="U2524" s="6" t="str">
        <f>IF($K2524="","",IF(ISNUMBER(SEARCH("sortie-epargne",IFERROR(INDEX('Paramètres'!$N:$N,MATCH($D2524,'Paramètres'!$M:$M,0))&amp;"",""))),$K2524,0))</f>
        <v/>
      </c>
      <c r="V2524" s="6" t="str">
        <f>IF(AND($A2524&lt;&gt;"",$O2524=1,$L2524="Débit",N($Q2524)&gt;0,$A2524&gt;=Visualisation!$B$1,$A2524&lt;Visualisation!$D$1),MAX($V$1:V2523)+1,"")</f>
        <v/>
      </c>
    </row>
    <row r="2525" spans="1:22" x14ac:dyDescent="0.25">
      <c r="A2525" s="9"/>
      <c r="E2525" s="10"/>
      <c r="K2525" s="11" t="str">
        <f>IF($E2525="","",ROUND($E2525*IF(ISNA(MATCH($C2525,'Paramètres'!$D:$D,0)),1,IF(INDEX('Paramètres'!$J:$J,MATCH($C2525,'Paramètres'!$D:$D,0))="",1,INDEX('Paramètres'!$J:$J,MATCH($C2525,'Paramètres'!$D:$D,0)))),2))</f>
        <v/>
      </c>
      <c r="L2525" s="6" t="str">
        <f>IF($D2525="","",IF($F2525&lt;&gt;"",$F2525,IF(ISNA(MATCH($D2525,'Paramètres'!$M:$M,0)),"⚠ Type inconnu",IFERROR(INDEX('Paramètres'!$P:$P,MATCH($D2525,'Paramètres'!$M:$M,0))&amp;"",""))))</f>
        <v/>
      </c>
      <c r="M2525" s="6" t="str">
        <f>IF($D2525="","",IF(ISNA(MATCH($D2525,'Paramètres'!$M:$M,0)),"⚠ Type inconnu",IF($L2525="Crédit","",IFERROR(INDEX('Paramètres'!$O:$O,MATCH($D2525,'Paramètres'!$M:$M,0))&amp;"",""))))</f>
        <v/>
      </c>
      <c r="N2525" s="6" t="str">
        <f>IF($D2525="","",IFERROR(INDEX('Paramètres'!$Q:$Q,MATCH($D2525,'Paramètres'!$M:$M,0))&amp;"",""))</f>
        <v/>
      </c>
      <c r="O2525" s="6" t="str">
        <f>IF($A2525="","",IF(OR($J2525&lt;&gt;"x",$A2525&lt;=FinReleve),1,0))</f>
        <v/>
      </c>
      <c r="P2525" s="6" t="str">
        <f>IF($D2525="","",IF(AND($L2525="Crédit",OR(IFERROR(INDEX('Paramètres'!$O:$O,MATCH($D2525,'Paramètres'!$M:$M,0))&amp;"","")&lt;&gt;"",ISNUMBER(SEARCH("remboursement",IFERROR(INDEX('Paramètres'!$N:$N,MATCH($D2525,'Paramètres'!$M:$M,0))&amp;"",""))))),1,0))</f>
        <v/>
      </c>
      <c r="Q2525" s="6" t="str">
        <f>IF($K2525="","",IF(ISNUMBER(SEARCH("transfert-interne",IFERROR(INDEX('Paramètres'!$N:$N,MATCH($D2525,'Paramètres'!$M:$M,0))&amp;"",""))),0,IF($L2525="Débit",$K2525,IF($P2525=1,-$K2525,0))))</f>
        <v/>
      </c>
      <c r="R2525" s="6" t="str">
        <f>IF($K2525="","",IF($L2525="Crédit",$K2525,-$K2525))</f>
        <v/>
      </c>
      <c r="S2525" s="6" t="str">
        <f>IF($C2525="","",IFERROR(INDEX('Paramètres'!$H:$H,MATCH($C2525,'Paramètres'!$D:$D,0))&amp;"",""))</f>
        <v/>
      </c>
      <c r="T2525" s="6" t="str">
        <f>IF($K2525="","",IF($S2525="",0,IF(ISNUMBER(SEARCH("apport-exterieur",IFERROR(INDEX('Paramètres'!$N:$N,MATCH($D2525,'Paramètres'!$M:$M,0))&amp;"",""))),0,IF(OR(IFERROR(INDEX('Paramètres'!$I:$I,MATCH($C2525,'Paramètres'!$D:$D,0))&amp;"","")="Les deux",IFERROR(INDEX('Paramètres'!$I:$I,MATCH($C2525,'Paramètres'!$D:$D,0))&amp;"","")=IF($P2525=1,"Débit",$L2525)),-IF($P2525=1,-$K2525,$K2525),0))))</f>
        <v/>
      </c>
      <c r="U2525" s="6" t="str">
        <f>IF($K2525="","",IF(ISNUMBER(SEARCH("sortie-epargne",IFERROR(INDEX('Paramètres'!$N:$N,MATCH($D2525,'Paramètres'!$M:$M,0))&amp;"",""))),$K2525,0))</f>
        <v/>
      </c>
      <c r="V2525" s="6" t="str">
        <f>IF(AND($A2525&lt;&gt;"",$O2525=1,$L2525="Débit",N($Q2525)&gt;0,$A2525&gt;=Visualisation!$B$1,$A2525&lt;Visualisation!$D$1),MAX($V$1:V2524)+1,"")</f>
        <v/>
      </c>
    </row>
    <row r="2526" spans="1:22" x14ac:dyDescent="0.25">
      <c r="A2526" s="9"/>
      <c r="E2526" s="10"/>
      <c r="K2526" s="11" t="str">
        <f>IF($E2526="","",ROUND($E2526*IF(ISNA(MATCH($C2526,'Paramètres'!$D:$D,0)),1,IF(INDEX('Paramètres'!$J:$J,MATCH($C2526,'Paramètres'!$D:$D,0))="",1,INDEX('Paramètres'!$J:$J,MATCH($C2526,'Paramètres'!$D:$D,0)))),2))</f>
        <v/>
      </c>
      <c r="L2526" s="6" t="str">
        <f>IF($D2526="","",IF($F2526&lt;&gt;"",$F2526,IF(ISNA(MATCH($D2526,'Paramètres'!$M:$M,0)),"⚠ Type inconnu",IFERROR(INDEX('Paramètres'!$P:$P,MATCH($D2526,'Paramètres'!$M:$M,0))&amp;"",""))))</f>
        <v/>
      </c>
      <c r="M2526" s="6" t="str">
        <f>IF($D2526="","",IF(ISNA(MATCH($D2526,'Paramètres'!$M:$M,0)),"⚠ Type inconnu",IF($L2526="Crédit","",IFERROR(INDEX('Paramètres'!$O:$O,MATCH($D2526,'Paramètres'!$M:$M,0))&amp;"",""))))</f>
        <v/>
      </c>
      <c r="N2526" s="6" t="str">
        <f>IF($D2526="","",IFERROR(INDEX('Paramètres'!$Q:$Q,MATCH($D2526,'Paramètres'!$M:$M,0))&amp;"",""))</f>
        <v/>
      </c>
      <c r="O2526" s="6" t="str">
        <f>IF($A2526="","",IF(OR($J2526&lt;&gt;"x",$A2526&lt;=FinReleve),1,0))</f>
        <v/>
      </c>
      <c r="P2526" s="6" t="str">
        <f>IF($D2526="","",IF(AND($L2526="Crédit",OR(IFERROR(INDEX('Paramètres'!$O:$O,MATCH($D2526,'Paramètres'!$M:$M,0))&amp;"","")&lt;&gt;"",ISNUMBER(SEARCH("remboursement",IFERROR(INDEX('Paramètres'!$N:$N,MATCH($D2526,'Paramètres'!$M:$M,0))&amp;"",""))))),1,0))</f>
        <v/>
      </c>
      <c r="Q2526" s="6" t="str">
        <f>IF($K2526="","",IF(ISNUMBER(SEARCH("transfert-interne",IFERROR(INDEX('Paramètres'!$N:$N,MATCH($D2526,'Paramètres'!$M:$M,0))&amp;"",""))),0,IF($L2526="Débit",$K2526,IF($P2526=1,-$K2526,0))))</f>
        <v/>
      </c>
      <c r="R2526" s="6" t="str">
        <f>IF($K2526="","",IF($L2526="Crédit",$K2526,-$K2526))</f>
        <v/>
      </c>
      <c r="S2526" s="6" t="str">
        <f>IF($C2526="","",IFERROR(INDEX('Paramètres'!$H:$H,MATCH($C2526,'Paramètres'!$D:$D,0))&amp;"",""))</f>
        <v/>
      </c>
      <c r="T2526" s="6" t="str">
        <f>IF($K2526="","",IF($S2526="",0,IF(ISNUMBER(SEARCH("apport-exterieur",IFERROR(INDEX('Paramètres'!$N:$N,MATCH($D2526,'Paramètres'!$M:$M,0))&amp;"",""))),0,IF(OR(IFERROR(INDEX('Paramètres'!$I:$I,MATCH($C2526,'Paramètres'!$D:$D,0))&amp;"","")="Les deux",IFERROR(INDEX('Paramètres'!$I:$I,MATCH($C2526,'Paramètres'!$D:$D,0))&amp;"","")=IF($P2526=1,"Débit",$L2526)),-IF($P2526=1,-$K2526,$K2526),0))))</f>
        <v/>
      </c>
      <c r="U2526" s="6" t="str">
        <f>IF($K2526="","",IF(ISNUMBER(SEARCH("sortie-epargne",IFERROR(INDEX('Paramètres'!$N:$N,MATCH($D2526,'Paramètres'!$M:$M,0))&amp;"",""))),$K2526,0))</f>
        <v/>
      </c>
      <c r="V2526" s="6" t="str">
        <f>IF(AND($A2526&lt;&gt;"",$O2526=1,$L2526="Débit",N($Q2526)&gt;0,$A2526&gt;=Visualisation!$B$1,$A2526&lt;Visualisation!$D$1),MAX($V$1:V2525)+1,"")</f>
        <v/>
      </c>
    </row>
    <row r="2527" spans="1:22" x14ac:dyDescent="0.25">
      <c r="A2527" s="9"/>
      <c r="E2527" s="10"/>
      <c r="K2527" s="11" t="str">
        <f>IF($E2527="","",ROUND($E2527*IF(ISNA(MATCH($C2527,'Paramètres'!$D:$D,0)),1,IF(INDEX('Paramètres'!$J:$J,MATCH($C2527,'Paramètres'!$D:$D,0))="",1,INDEX('Paramètres'!$J:$J,MATCH($C2527,'Paramètres'!$D:$D,0)))),2))</f>
        <v/>
      </c>
      <c r="L2527" s="6" t="str">
        <f>IF($D2527="","",IF($F2527&lt;&gt;"",$F2527,IF(ISNA(MATCH($D2527,'Paramètres'!$M:$M,0)),"⚠ Type inconnu",IFERROR(INDEX('Paramètres'!$P:$P,MATCH($D2527,'Paramètres'!$M:$M,0))&amp;"",""))))</f>
        <v/>
      </c>
      <c r="M2527" s="6" t="str">
        <f>IF($D2527="","",IF(ISNA(MATCH($D2527,'Paramètres'!$M:$M,0)),"⚠ Type inconnu",IF($L2527="Crédit","",IFERROR(INDEX('Paramètres'!$O:$O,MATCH($D2527,'Paramètres'!$M:$M,0))&amp;"",""))))</f>
        <v/>
      </c>
      <c r="N2527" s="6" t="str">
        <f>IF($D2527="","",IFERROR(INDEX('Paramètres'!$Q:$Q,MATCH($D2527,'Paramètres'!$M:$M,0))&amp;"",""))</f>
        <v/>
      </c>
      <c r="O2527" s="6" t="str">
        <f>IF($A2527="","",IF(OR($J2527&lt;&gt;"x",$A2527&lt;=FinReleve),1,0))</f>
        <v/>
      </c>
      <c r="P2527" s="6" t="str">
        <f>IF($D2527="","",IF(AND($L2527="Crédit",OR(IFERROR(INDEX('Paramètres'!$O:$O,MATCH($D2527,'Paramètres'!$M:$M,0))&amp;"","")&lt;&gt;"",ISNUMBER(SEARCH("remboursement",IFERROR(INDEX('Paramètres'!$N:$N,MATCH($D2527,'Paramètres'!$M:$M,0))&amp;"",""))))),1,0))</f>
        <v/>
      </c>
      <c r="Q2527" s="6" t="str">
        <f>IF($K2527="","",IF(ISNUMBER(SEARCH("transfert-interne",IFERROR(INDEX('Paramètres'!$N:$N,MATCH($D2527,'Paramètres'!$M:$M,0))&amp;"",""))),0,IF($L2527="Débit",$K2527,IF($P2527=1,-$K2527,0))))</f>
        <v/>
      </c>
      <c r="R2527" s="6" t="str">
        <f>IF($K2527="","",IF($L2527="Crédit",$K2527,-$K2527))</f>
        <v/>
      </c>
      <c r="S2527" s="6" t="str">
        <f>IF($C2527="","",IFERROR(INDEX('Paramètres'!$H:$H,MATCH($C2527,'Paramètres'!$D:$D,0))&amp;"",""))</f>
        <v/>
      </c>
      <c r="T2527" s="6" t="str">
        <f>IF($K2527="","",IF($S2527="",0,IF(ISNUMBER(SEARCH("apport-exterieur",IFERROR(INDEX('Paramètres'!$N:$N,MATCH($D2527,'Paramètres'!$M:$M,0))&amp;"",""))),0,IF(OR(IFERROR(INDEX('Paramètres'!$I:$I,MATCH($C2527,'Paramètres'!$D:$D,0))&amp;"","")="Les deux",IFERROR(INDEX('Paramètres'!$I:$I,MATCH($C2527,'Paramètres'!$D:$D,0))&amp;"","")=IF($P2527=1,"Débit",$L2527)),-IF($P2527=1,-$K2527,$K2527),0))))</f>
        <v/>
      </c>
      <c r="U2527" s="6" t="str">
        <f>IF($K2527="","",IF(ISNUMBER(SEARCH("sortie-epargne",IFERROR(INDEX('Paramètres'!$N:$N,MATCH($D2527,'Paramètres'!$M:$M,0))&amp;"",""))),$K2527,0))</f>
        <v/>
      </c>
      <c r="V2527" s="6" t="str">
        <f>IF(AND($A2527&lt;&gt;"",$O2527=1,$L2527="Débit",N($Q2527)&gt;0,$A2527&gt;=Visualisation!$B$1,$A2527&lt;Visualisation!$D$1),MAX($V$1:V2526)+1,"")</f>
        <v/>
      </c>
    </row>
    <row r="2528" spans="1:22" x14ac:dyDescent="0.25">
      <c r="A2528" s="9"/>
      <c r="E2528" s="10"/>
      <c r="K2528" s="11" t="str">
        <f>IF($E2528="","",ROUND($E2528*IF(ISNA(MATCH($C2528,'Paramètres'!$D:$D,0)),1,IF(INDEX('Paramètres'!$J:$J,MATCH($C2528,'Paramètres'!$D:$D,0))="",1,INDEX('Paramètres'!$J:$J,MATCH($C2528,'Paramètres'!$D:$D,0)))),2))</f>
        <v/>
      </c>
      <c r="L2528" s="6" t="str">
        <f>IF($D2528="","",IF($F2528&lt;&gt;"",$F2528,IF(ISNA(MATCH($D2528,'Paramètres'!$M:$M,0)),"⚠ Type inconnu",IFERROR(INDEX('Paramètres'!$P:$P,MATCH($D2528,'Paramètres'!$M:$M,0))&amp;"",""))))</f>
        <v/>
      </c>
      <c r="M2528" s="6" t="str">
        <f>IF($D2528="","",IF(ISNA(MATCH($D2528,'Paramètres'!$M:$M,0)),"⚠ Type inconnu",IF($L2528="Crédit","",IFERROR(INDEX('Paramètres'!$O:$O,MATCH($D2528,'Paramètres'!$M:$M,0))&amp;"",""))))</f>
        <v/>
      </c>
      <c r="N2528" s="6" t="str">
        <f>IF($D2528="","",IFERROR(INDEX('Paramètres'!$Q:$Q,MATCH($D2528,'Paramètres'!$M:$M,0))&amp;"",""))</f>
        <v/>
      </c>
      <c r="O2528" s="6" t="str">
        <f>IF($A2528="","",IF(OR($J2528&lt;&gt;"x",$A2528&lt;=FinReleve),1,0))</f>
        <v/>
      </c>
      <c r="P2528" s="6" t="str">
        <f>IF($D2528="","",IF(AND($L2528="Crédit",OR(IFERROR(INDEX('Paramètres'!$O:$O,MATCH($D2528,'Paramètres'!$M:$M,0))&amp;"","")&lt;&gt;"",ISNUMBER(SEARCH("remboursement",IFERROR(INDEX('Paramètres'!$N:$N,MATCH($D2528,'Paramètres'!$M:$M,0))&amp;"",""))))),1,0))</f>
        <v/>
      </c>
      <c r="Q2528" s="6" t="str">
        <f>IF($K2528="","",IF(ISNUMBER(SEARCH("transfert-interne",IFERROR(INDEX('Paramètres'!$N:$N,MATCH($D2528,'Paramètres'!$M:$M,0))&amp;"",""))),0,IF($L2528="Débit",$K2528,IF($P2528=1,-$K2528,0))))</f>
        <v/>
      </c>
      <c r="R2528" s="6" t="str">
        <f>IF($K2528="","",IF($L2528="Crédit",$K2528,-$K2528))</f>
        <v/>
      </c>
      <c r="S2528" s="6" t="str">
        <f>IF($C2528="","",IFERROR(INDEX('Paramètres'!$H:$H,MATCH($C2528,'Paramètres'!$D:$D,0))&amp;"",""))</f>
        <v/>
      </c>
      <c r="T2528" s="6" t="str">
        <f>IF($K2528="","",IF($S2528="",0,IF(ISNUMBER(SEARCH("apport-exterieur",IFERROR(INDEX('Paramètres'!$N:$N,MATCH($D2528,'Paramètres'!$M:$M,0))&amp;"",""))),0,IF(OR(IFERROR(INDEX('Paramètres'!$I:$I,MATCH($C2528,'Paramètres'!$D:$D,0))&amp;"","")="Les deux",IFERROR(INDEX('Paramètres'!$I:$I,MATCH($C2528,'Paramètres'!$D:$D,0))&amp;"","")=IF($P2528=1,"Débit",$L2528)),-IF($P2528=1,-$K2528,$K2528),0))))</f>
        <v/>
      </c>
      <c r="U2528" s="6" t="str">
        <f>IF($K2528="","",IF(ISNUMBER(SEARCH("sortie-epargne",IFERROR(INDEX('Paramètres'!$N:$N,MATCH($D2528,'Paramètres'!$M:$M,0))&amp;"",""))),$K2528,0))</f>
        <v/>
      </c>
      <c r="V2528" s="6" t="str">
        <f>IF(AND($A2528&lt;&gt;"",$O2528=1,$L2528="Débit",N($Q2528)&gt;0,$A2528&gt;=Visualisation!$B$1,$A2528&lt;Visualisation!$D$1),MAX($V$1:V2527)+1,"")</f>
        <v/>
      </c>
    </row>
    <row r="2529" spans="1:22" x14ac:dyDescent="0.25">
      <c r="A2529" s="9"/>
      <c r="E2529" s="10"/>
      <c r="K2529" s="11" t="str">
        <f>IF($E2529="","",ROUND($E2529*IF(ISNA(MATCH($C2529,'Paramètres'!$D:$D,0)),1,IF(INDEX('Paramètres'!$J:$J,MATCH($C2529,'Paramètres'!$D:$D,0))="",1,INDEX('Paramètres'!$J:$J,MATCH($C2529,'Paramètres'!$D:$D,0)))),2))</f>
        <v/>
      </c>
      <c r="L2529" s="6" t="str">
        <f>IF($D2529="","",IF($F2529&lt;&gt;"",$F2529,IF(ISNA(MATCH($D2529,'Paramètres'!$M:$M,0)),"⚠ Type inconnu",IFERROR(INDEX('Paramètres'!$P:$P,MATCH($D2529,'Paramètres'!$M:$M,0))&amp;"",""))))</f>
        <v/>
      </c>
      <c r="M2529" s="6" t="str">
        <f>IF($D2529="","",IF(ISNA(MATCH($D2529,'Paramètres'!$M:$M,0)),"⚠ Type inconnu",IF($L2529="Crédit","",IFERROR(INDEX('Paramètres'!$O:$O,MATCH($D2529,'Paramètres'!$M:$M,0))&amp;"",""))))</f>
        <v/>
      </c>
      <c r="N2529" s="6" t="str">
        <f>IF($D2529="","",IFERROR(INDEX('Paramètres'!$Q:$Q,MATCH($D2529,'Paramètres'!$M:$M,0))&amp;"",""))</f>
        <v/>
      </c>
      <c r="O2529" s="6" t="str">
        <f>IF($A2529="","",IF(OR($J2529&lt;&gt;"x",$A2529&lt;=FinReleve),1,0))</f>
        <v/>
      </c>
      <c r="P2529" s="6" t="str">
        <f>IF($D2529="","",IF(AND($L2529="Crédit",OR(IFERROR(INDEX('Paramètres'!$O:$O,MATCH($D2529,'Paramètres'!$M:$M,0))&amp;"","")&lt;&gt;"",ISNUMBER(SEARCH("remboursement",IFERROR(INDEX('Paramètres'!$N:$N,MATCH($D2529,'Paramètres'!$M:$M,0))&amp;"",""))))),1,0))</f>
        <v/>
      </c>
      <c r="Q2529" s="6" t="str">
        <f>IF($K2529="","",IF(ISNUMBER(SEARCH("transfert-interne",IFERROR(INDEX('Paramètres'!$N:$N,MATCH($D2529,'Paramètres'!$M:$M,0))&amp;"",""))),0,IF($L2529="Débit",$K2529,IF($P2529=1,-$K2529,0))))</f>
        <v/>
      </c>
      <c r="R2529" s="6" t="str">
        <f>IF($K2529="","",IF($L2529="Crédit",$K2529,-$K2529))</f>
        <v/>
      </c>
      <c r="S2529" s="6" t="str">
        <f>IF($C2529="","",IFERROR(INDEX('Paramètres'!$H:$H,MATCH($C2529,'Paramètres'!$D:$D,0))&amp;"",""))</f>
        <v/>
      </c>
      <c r="T2529" s="6" t="str">
        <f>IF($K2529="","",IF($S2529="",0,IF(ISNUMBER(SEARCH("apport-exterieur",IFERROR(INDEX('Paramètres'!$N:$N,MATCH($D2529,'Paramètres'!$M:$M,0))&amp;"",""))),0,IF(OR(IFERROR(INDEX('Paramètres'!$I:$I,MATCH($C2529,'Paramètres'!$D:$D,0))&amp;"","")="Les deux",IFERROR(INDEX('Paramètres'!$I:$I,MATCH($C2529,'Paramètres'!$D:$D,0))&amp;"","")=IF($P2529=1,"Débit",$L2529)),-IF($P2529=1,-$K2529,$K2529),0))))</f>
        <v/>
      </c>
      <c r="U2529" s="6" t="str">
        <f>IF($K2529="","",IF(ISNUMBER(SEARCH("sortie-epargne",IFERROR(INDEX('Paramètres'!$N:$N,MATCH($D2529,'Paramètres'!$M:$M,0))&amp;"",""))),$K2529,0))</f>
        <v/>
      </c>
      <c r="V2529" s="6" t="str">
        <f>IF(AND($A2529&lt;&gt;"",$O2529=1,$L2529="Débit",N($Q2529)&gt;0,$A2529&gt;=Visualisation!$B$1,$A2529&lt;Visualisation!$D$1),MAX($V$1:V2528)+1,"")</f>
        <v/>
      </c>
    </row>
    <row r="2530" spans="1:22" x14ac:dyDescent="0.25">
      <c r="A2530" s="9"/>
      <c r="E2530" s="10"/>
      <c r="K2530" s="11" t="str">
        <f>IF($E2530="","",ROUND($E2530*IF(ISNA(MATCH($C2530,'Paramètres'!$D:$D,0)),1,IF(INDEX('Paramètres'!$J:$J,MATCH($C2530,'Paramètres'!$D:$D,0))="",1,INDEX('Paramètres'!$J:$J,MATCH($C2530,'Paramètres'!$D:$D,0)))),2))</f>
        <v/>
      </c>
      <c r="L2530" s="6" t="str">
        <f>IF($D2530="","",IF($F2530&lt;&gt;"",$F2530,IF(ISNA(MATCH($D2530,'Paramètres'!$M:$M,0)),"⚠ Type inconnu",IFERROR(INDEX('Paramètres'!$P:$P,MATCH($D2530,'Paramètres'!$M:$M,0))&amp;"",""))))</f>
        <v/>
      </c>
      <c r="M2530" s="6" t="str">
        <f>IF($D2530="","",IF(ISNA(MATCH($D2530,'Paramètres'!$M:$M,0)),"⚠ Type inconnu",IF($L2530="Crédit","",IFERROR(INDEX('Paramètres'!$O:$O,MATCH($D2530,'Paramètres'!$M:$M,0))&amp;"",""))))</f>
        <v/>
      </c>
      <c r="N2530" s="6" t="str">
        <f>IF($D2530="","",IFERROR(INDEX('Paramètres'!$Q:$Q,MATCH($D2530,'Paramètres'!$M:$M,0))&amp;"",""))</f>
        <v/>
      </c>
      <c r="O2530" s="6" t="str">
        <f>IF($A2530="","",IF(OR($J2530&lt;&gt;"x",$A2530&lt;=FinReleve),1,0))</f>
        <v/>
      </c>
      <c r="P2530" s="6" t="str">
        <f>IF($D2530="","",IF(AND($L2530="Crédit",OR(IFERROR(INDEX('Paramètres'!$O:$O,MATCH($D2530,'Paramètres'!$M:$M,0))&amp;"","")&lt;&gt;"",ISNUMBER(SEARCH("remboursement",IFERROR(INDEX('Paramètres'!$N:$N,MATCH($D2530,'Paramètres'!$M:$M,0))&amp;"",""))))),1,0))</f>
        <v/>
      </c>
      <c r="Q2530" s="6" t="str">
        <f>IF($K2530="","",IF(ISNUMBER(SEARCH("transfert-interne",IFERROR(INDEX('Paramètres'!$N:$N,MATCH($D2530,'Paramètres'!$M:$M,0))&amp;"",""))),0,IF($L2530="Débit",$K2530,IF($P2530=1,-$K2530,0))))</f>
        <v/>
      </c>
      <c r="R2530" s="6" t="str">
        <f>IF($K2530="","",IF($L2530="Crédit",$K2530,-$K2530))</f>
        <v/>
      </c>
      <c r="S2530" s="6" t="str">
        <f>IF($C2530="","",IFERROR(INDEX('Paramètres'!$H:$H,MATCH($C2530,'Paramètres'!$D:$D,0))&amp;"",""))</f>
        <v/>
      </c>
      <c r="T2530" s="6" t="str">
        <f>IF($K2530="","",IF($S2530="",0,IF(ISNUMBER(SEARCH("apport-exterieur",IFERROR(INDEX('Paramètres'!$N:$N,MATCH($D2530,'Paramètres'!$M:$M,0))&amp;"",""))),0,IF(OR(IFERROR(INDEX('Paramètres'!$I:$I,MATCH($C2530,'Paramètres'!$D:$D,0))&amp;"","")="Les deux",IFERROR(INDEX('Paramètres'!$I:$I,MATCH($C2530,'Paramètres'!$D:$D,0))&amp;"","")=IF($P2530=1,"Débit",$L2530)),-IF($P2530=1,-$K2530,$K2530),0))))</f>
        <v/>
      </c>
      <c r="U2530" s="6" t="str">
        <f>IF($K2530="","",IF(ISNUMBER(SEARCH("sortie-epargne",IFERROR(INDEX('Paramètres'!$N:$N,MATCH($D2530,'Paramètres'!$M:$M,0))&amp;"",""))),$K2530,0))</f>
        <v/>
      </c>
      <c r="V2530" s="6" t="str">
        <f>IF(AND($A2530&lt;&gt;"",$O2530=1,$L2530="Débit",N($Q2530)&gt;0,$A2530&gt;=Visualisation!$B$1,$A2530&lt;Visualisation!$D$1),MAX($V$1:V2529)+1,"")</f>
        <v/>
      </c>
    </row>
    <row r="2531" spans="1:22" x14ac:dyDescent="0.25">
      <c r="A2531" s="9"/>
      <c r="E2531" s="10"/>
      <c r="K2531" s="11" t="str">
        <f>IF($E2531="","",ROUND($E2531*IF(ISNA(MATCH($C2531,'Paramètres'!$D:$D,0)),1,IF(INDEX('Paramètres'!$J:$J,MATCH($C2531,'Paramètres'!$D:$D,0))="",1,INDEX('Paramètres'!$J:$J,MATCH($C2531,'Paramètres'!$D:$D,0)))),2))</f>
        <v/>
      </c>
      <c r="L2531" s="6" t="str">
        <f>IF($D2531="","",IF($F2531&lt;&gt;"",$F2531,IF(ISNA(MATCH($D2531,'Paramètres'!$M:$M,0)),"⚠ Type inconnu",IFERROR(INDEX('Paramètres'!$P:$P,MATCH($D2531,'Paramètres'!$M:$M,0))&amp;"",""))))</f>
        <v/>
      </c>
      <c r="M2531" s="6" t="str">
        <f>IF($D2531="","",IF(ISNA(MATCH($D2531,'Paramètres'!$M:$M,0)),"⚠ Type inconnu",IF($L2531="Crédit","",IFERROR(INDEX('Paramètres'!$O:$O,MATCH($D2531,'Paramètres'!$M:$M,0))&amp;"",""))))</f>
        <v/>
      </c>
      <c r="N2531" s="6" t="str">
        <f>IF($D2531="","",IFERROR(INDEX('Paramètres'!$Q:$Q,MATCH($D2531,'Paramètres'!$M:$M,0))&amp;"",""))</f>
        <v/>
      </c>
      <c r="O2531" s="6" t="str">
        <f>IF($A2531="","",IF(OR($J2531&lt;&gt;"x",$A2531&lt;=FinReleve),1,0))</f>
        <v/>
      </c>
      <c r="P2531" s="6" t="str">
        <f>IF($D2531="","",IF(AND($L2531="Crédit",OR(IFERROR(INDEX('Paramètres'!$O:$O,MATCH($D2531,'Paramètres'!$M:$M,0))&amp;"","")&lt;&gt;"",ISNUMBER(SEARCH("remboursement",IFERROR(INDEX('Paramètres'!$N:$N,MATCH($D2531,'Paramètres'!$M:$M,0))&amp;"",""))))),1,0))</f>
        <v/>
      </c>
      <c r="Q2531" s="6" t="str">
        <f>IF($K2531="","",IF(ISNUMBER(SEARCH("transfert-interne",IFERROR(INDEX('Paramètres'!$N:$N,MATCH($D2531,'Paramètres'!$M:$M,0))&amp;"",""))),0,IF($L2531="Débit",$K2531,IF($P2531=1,-$K2531,0))))</f>
        <v/>
      </c>
      <c r="R2531" s="6" t="str">
        <f>IF($K2531="","",IF($L2531="Crédit",$K2531,-$K2531))</f>
        <v/>
      </c>
      <c r="S2531" s="6" t="str">
        <f>IF($C2531="","",IFERROR(INDEX('Paramètres'!$H:$H,MATCH($C2531,'Paramètres'!$D:$D,0))&amp;"",""))</f>
        <v/>
      </c>
      <c r="T2531" s="6" t="str">
        <f>IF($K2531="","",IF($S2531="",0,IF(ISNUMBER(SEARCH("apport-exterieur",IFERROR(INDEX('Paramètres'!$N:$N,MATCH($D2531,'Paramètres'!$M:$M,0))&amp;"",""))),0,IF(OR(IFERROR(INDEX('Paramètres'!$I:$I,MATCH($C2531,'Paramètres'!$D:$D,0))&amp;"","")="Les deux",IFERROR(INDEX('Paramètres'!$I:$I,MATCH($C2531,'Paramètres'!$D:$D,0))&amp;"","")=IF($P2531=1,"Débit",$L2531)),-IF($P2531=1,-$K2531,$K2531),0))))</f>
        <v/>
      </c>
      <c r="U2531" s="6" t="str">
        <f>IF($K2531="","",IF(ISNUMBER(SEARCH("sortie-epargne",IFERROR(INDEX('Paramètres'!$N:$N,MATCH($D2531,'Paramètres'!$M:$M,0))&amp;"",""))),$K2531,0))</f>
        <v/>
      </c>
      <c r="V2531" s="6" t="str">
        <f>IF(AND($A2531&lt;&gt;"",$O2531=1,$L2531="Débit",N($Q2531)&gt;0,$A2531&gt;=Visualisation!$B$1,$A2531&lt;Visualisation!$D$1),MAX($V$1:V2530)+1,"")</f>
        <v/>
      </c>
    </row>
    <row r="2532" spans="1:22" x14ac:dyDescent="0.25">
      <c r="A2532" s="9"/>
      <c r="E2532" s="10"/>
      <c r="K2532" s="11" t="str">
        <f>IF($E2532="","",ROUND($E2532*IF(ISNA(MATCH($C2532,'Paramètres'!$D:$D,0)),1,IF(INDEX('Paramètres'!$J:$J,MATCH($C2532,'Paramètres'!$D:$D,0))="",1,INDEX('Paramètres'!$J:$J,MATCH($C2532,'Paramètres'!$D:$D,0)))),2))</f>
        <v/>
      </c>
      <c r="L2532" s="6" t="str">
        <f>IF($D2532="","",IF($F2532&lt;&gt;"",$F2532,IF(ISNA(MATCH($D2532,'Paramètres'!$M:$M,0)),"⚠ Type inconnu",IFERROR(INDEX('Paramètres'!$P:$P,MATCH($D2532,'Paramètres'!$M:$M,0))&amp;"",""))))</f>
        <v/>
      </c>
      <c r="M2532" s="6" t="str">
        <f>IF($D2532="","",IF(ISNA(MATCH($D2532,'Paramètres'!$M:$M,0)),"⚠ Type inconnu",IF($L2532="Crédit","",IFERROR(INDEX('Paramètres'!$O:$O,MATCH($D2532,'Paramètres'!$M:$M,0))&amp;"",""))))</f>
        <v/>
      </c>
      <c r="N2532" s="6" t="str">
        <f>IF($D2532="","",IFERROR(INDEX('Paramètres'!$Q:$Q,MATCH($D2532,'Paramètres'!$M:$M,0))&amp;"",""))</f>
        <v/>
      </c>
      <c r="O2532" s="6" t="str">
        <f>IF($A2532="","",IF(OR($J2532&lt;&gt;"x",$A2532&lt;=FinReleve),1,0))</f>
        <v/>
      </c>
      <c r="P2532" s="6" t="str">
        <f>IF($D2532="","",IF(AND($L2532="Crédit",OR(IFERROR(INDEX('Paramètres'!$O:$O,MATCH($D2532,'Paramètres'!$M:$M,0))&amp;"","")&lt;&gt;"",ISNUMBER(SEARCH("remboursement",IFERROR(INDEX('Paramètres'!$N:$N,MATCH($D2532,'Paramètres'!$M:$M,0))&amp;"",""))))),1,0))</f>
        <v/>
      </c>
      <c r="Q2532" s="6" t="str">
        <f>IF($K2532="","",IF(ISNUMBER(SEARCH("transfert-interne",IFERROR(INDEX('Paramètres'!$N:$N,MATCH($D2532,'Paramètres'!$M:$M,0))&amp;"",""))),0,IF($L2532="Débit",$K2532,IF($P2532=1,-$K2532,0))))</f>
        <v/>
      </c>
      <c r="R2532" s="6" t="str">
        <f>IF($K2532="","",IF($L2532="Crédit",$K2532,-$K2532))</f>
        <v/>
      </c>
      <c r="S2532" s="6" t="str">
        <f>IF($C2532="","",IFERROR(INDEX('Paramètres'!$H:$H,MATCH($C2532,'Paramètres'!$D:$D,0))&amp;"",""))</f>
        <v/>
      </c>
      <c r="T2532" s="6" t="str">
        <f>IF($K2532="","",IF($S2532="",0,IF(ISNUMBER(SEARCH("apport-exterieur",IFERROR(INDEX('Paramètres'!$N:$N,MATCH($D2532,'Paramètres'!$M:$M,0))&amp;"",""))),0,IF(OR(IFERROR(INDEX('Paramètres'!$I:$I,MATCH($C2532,'Paramètres'!$D:$D,0))&amp;"","")="Les deux",IFERROR(INDEX('Paramètres'!$I:$I,MATCH($C2532,'Paramètres'!$D:$D,0))&amp;"","")=IF($P2532=1,"Débit",$L2532)),-IF($P2532=1,-$K2532,$K2532),0))))</f>
        <v/>
      </c>
      <c r="U2532" s="6" t="str">
        <f>IF($K2532="","",IF(ISNUMBER(SEARCH("sortie-epargne",IFERROR(INDEX('Paramètres'!$N:$N,MATCH($D2532,'Paramètres'!$M:$M,0))&amp;"",""))),$K2532,0))</f>
        <v/>
      </c>
      <c r="V2532" s="6" t="str">
        <f>IF(AND($A2532&lt;&gt;"",$O2532=1,$L2532="Débit",N($Q2532)&gt;0,$A2532&gt;=Visualisation!$B$1,$A2532&lt;Visualisation!$D$1),MAX($V$1:V2531)+1,"")</f>
        <v/>
      </c>
    </row>
    <row r="2533" spans="1:22" x14ac:dyDescent="0.25">
      <c r="A2533" s="9"/>
      <c r="E2533" s="10"/>
      <c r="K2533" s="11" t="str">
        <f>IF($E2533="","",ROUND($E2533*IF(ISNA(MATCH($C2533,'Paramètres'!$D:$D,0)),1,IF(INDEX('Paramètres'!$J:$J,MATCH($C2533,'Paramètres'!$D:$D,0))="",1,INDEX('Paramètres'!$J:$J,MATCH($C2533,'Paramètres'!$D:$D,0)))),2))</f>
        <v/>
      </c>
      <c r="L2533" s="6" t="str">
        <f>IF($D2533="","",IF($F2533&lt;&gt;"",$F2533,IF(ISNA(MATCH($D2533,'Paramètres'!$M:$M,0)),"⚠ Type inconnu",IFERROR(INDEX('Paramètres'!$P:$P,MATCH($D2533,'Paramètres'!$M:$M,0))&amp;"",""))))</f>
        <v/>
      </c>
      <c r="M2533" s="6" t="str">
        <f>IF($D2533="","",IF(ISNA(MATCH($D2533,'Paramètres'!$M:$M,0)),"⚠ Type inconnu",IF($L2533="Crédit","",IFERROR(INDEX('Paramètres'!$O:$O,MATCH($D2533,'Paramètres'!$M:$M,0))&amp;"",""))))</f>
        <v/>
      </c>
      <c r="N2533" s="6" t="str">
        <f>IF($D2533="","",IFERROR(INDEX('Paramètres'!$Q:$Q,MATCH($D2533,'Paramètres'!$M:$M,0))&amp;"",""))</f>
        <v/>
      </c>
      <c r="O2533" s="6" t="str">
        <f>IF($A2533="","",IF(OR($J2533&lt;&gt;"x",$A2533&lt;=FinReleve),1,0))</f>
        <v/>
      </c>
      <c r="P2533" s="6" t="str">
        <f>IF($D2533="","",IF(AND($L2533="Crédit",OR(IFERROR(INDEX('Paramètres'!$O:$O,MATCH($D2533,'Paramètres'!$M:$M,0))&amp;"","")&lt;&gt;"",ISNUMBER(SEARCH("remboursement",IFERROR(INDEX('Paramètres'!$N:$N,MATCH($D2533,'Paramètres'!$M:$M,0))&amp;"",""))))),1,0))</f>
        <v/>
      </c>
      <c r="Q2533" s="6" t="str">
        <f>IF($K2533="","",IF(ISNUMBER(SEARCH("transfert-interne",IFERROR(INDEX('Paramètres'!$N:$N,MATCH($D2533,'Paramètres'!$M:$M,0))&amp;"",""))),0,IF($L2533="Débit",$K2533,IF($P2533=1,-$K2533,0))))</f>
        <v/>
      </c>
      <c r="R2533" s="6" t="str">
        <f>IF($K2533="","",IF($L2533="Crédit",$K2533,-$K2533))</f>
        <v/>
      </c>
      <c r="S2533" s="6" t="str">
        <f>IF($C2533="","",IFERROR(INDEX('Paramètres'!$H:$H,MATCH($C2533,'Paramètres'!$D:$D,0))&amp;"",""))</f>
        <v/>
      </c>
      <c r="T2533" s="6" t="str">
        <f>IF($K2533="","",IF($S2533="",0,IF(ISNUMBER(SEARCH("apport-exterieur",IFERROR(INDEX('Paramètres'!$N:$N,MATCH($D2533,'Paramètres'!$M:$M,0))&amp;"",""))),0,IF(OR(IFERROR(INDEX('Paramètres'!$I:$I,MATCH($C2533,'Paramètres'!$D:$D,0))&amp;"","")="Les deux",IFERROR(INDEX('Paramètres'!$I:$I,MATCH($C2533,'Paramètres'!$D:$D,0))&amp;"","")=IF($P2533=1,"Débit",$L2533)),-IF($P2533=1,-$K2533,$K2533),0))))</f>
        <v/>
      </c>
      <c r="U2533" s="6" t="str">
        <f>IF($K2533="","",IF(ISNUMBER(SEARCH("sortie-epargne",IFERROR(INDEX('Paramètres'!$N:$N,MATCH($D2533,'Paramètres'!$M:$M,0))&amp;"",""))),$K2533,0))</f>
        <v/>
      </c>
      <c r="V2533" s="6" t="str">
        <f>IF(AND($A2533&lt;&gt;"",$O2533=1,$L2533="Débit",N($Q2533)&gt;0,$A2533&gt;=Visualisation!$B$1,$A2533&lt;Visualisation!$D$1),MAX($V$1:V2532)+1,"")</f>
        <v/>
      </c>
    </row>
    <row r="2534" spans="1:22" x14ac:dyDescent="0.25">
      <c r="A2534" s="9"/>
      <c r="E2534" s="10"/>
      <c r="K2534" s="11" t="str">
        <f>IF($E2534="","",ROUND($E2534*IF(ISNA(MATCH($C2534,'Paramètres'!$D:$D,0)),1,IF(INDEX('Paramètres'!$J:$J,MATCH($C2534,'Paramètres'!$D:$D,0))="",1,INDEX('Paramètres'!$J:$J,MATCH($C2534,'Paramètres'!$D:$D,0)))),2))</f>
        <v/>
      </c>
      <c r="L2534" s="6" t="str">
        <f>IF($D2534="","",IF($F2534&lt;&gt;"",$F2534,IF(ISNA(MATCH($D2534,'Paramètres'!$M:$M,0)),"⚠ Type inconnu",IFERROR(INDEX('Paramètres'!$P:$P,MATCH($D2534,'Paramètres'!$M:$M,0))&amp;"",""))))</f>
        <v/>
      </c>
      <c r="M2534" s="6" t="str">
        <f>IF($D2534="","",IF(ISNA(MATCH($D2534,'Paramètres'!$M:$M,0)),"⚠ Type inconnu",IF($L2534="Crédit","",IFERROR(INDEX('Paramètres'!$O:$O,MATCH($D2534,'Paramètres'!$M:$M,0))&amp;"",""))))</f>
        <v/>
      </c>
      <c r="N2534" s="6" t="str">
        <f>IF($D2534="","",IFERROR(INDEX('Paramètres'!$Q:$Q,MATCH($D2534,'Paramètres'!$M:$M,0))&amp;"",""))</f>
        <v/>
      </c>
      <c r="O2534" s="6" t="str">
        <f>IF($A2534="","",IF(OR($J2534&lt;&gt;"x",$A2534&lt;=FinReleve),1,0))</f>
        <v/>
      </c>
      <c r="P2534" s="6" t="str">
        <f>IF($D2534="","",IF(AND($L2534="Crédit",OR(IFERROR(INDEX('Paramètres'!$O:$O,MATCH($D2534,'Paramètres'!$M:$M,0))&amp;"","")&lt;&gt;"",ISNUMBER(SEARCH("remboursement",IFERROR(INDEX('Paramètres'!$N:$N,MATCH($D2534,'Paramètres'!$M:$M,0))&amp;"",""))))),1,0))</f>
        <v/>
      </c>
      <c r="Q2534" s="6" t="str">
        <f>IF($K2534="","",IF(ISNUMBER(SEARCH("transfert-interne",IFERROR(INDEX('Paramètres'!$N:$N,MATCH($D2534,'Paramètres'!$M:$M,0))&amp;"",""))),0,IF($L2534="Débit",$K2534,IF($P2534=1,-$K2534,0))))</f>
        <v/>
      </c>
      <c r="R2534" s="6" t="str">
        <f>IF($K2534="","",IF($L2534="Crédit",$K2534,-$K2534))</f>
        <v/>
      </c>
      <c r="S2534" s="6" t="str">
        <f>IF($C2534="","",IFERROR(INDEX('Paramètres'!$H:$H,MATCH($C2534,'Paramètres'!$D:$D,0))&amp;"",""))</f>
        <v/>
      </c>
      <c r="T2534" s="6" t="str">
        <f>IF($K2534="","",IF($S2534="",0,IF(ISNUMBER(SEARCH("apport-exterieur",IFERROR(INDEX('Paramètres'!$N:$N,MATCH($D2534,'Paramètres'!$M:$M,0))&amp;"",""))),0,IF(OR(IFERROR(INDEX('Paramètres'!$I:$I,MATCH($C2534,'Paramètres'!$D:$D,0))&amp;"","")="Les deux",IFERROR(INDEX('Paramètres'!$I:$I,MATCH($C2534,'Paramètres'!$D:$D,0))&amp;"","")=IF($P2534=1,"Débit",$L2534)),-IF($P2534=1,-$K2534,$K2534),0))))</f>
        <v/>
      </c>
      <c r="U2534" s="6" t="str">
        <f>IF($K2534="","",IF(ISNUMBER(SEARCH("sortie-epargne",IFERROR(INDEX('Paramètres'!$N:$N,MATCH($D2534,'Paramètres'!$M:$M,0))&amp;"",""))),$K2534,0))</f>
        <v/>
      </c>
      <c r="V2534" s="6" t="str">
        <f>IF(AND($A2534&lt;&gt;"",$O2534=1,$L2534="Débit",N($Q2534)&gt;0,$A2534&gt;=Visualisation!$B$1,$A2534&lt;Visualisation!$D$1),MAX($V$1:V2533)+1,"")</f>
        <v/>
      </c>
    </row>
    <row r="2535" spans="1:22" x14ac:dyDescent="0.25">
      <c r="A2535" s="9"/>
      <c r="E2535" s="10"/>
      <c r="K2535" s="11" t="str">
        <f>IF($E2535="","",ROUND($E2535*IF(ISNA(MATCH($C2535,'Paramètres'!$D:$D,0)),1,IF(INDEX('Paramètres'!$J:$J,MATCH($C2535,'Paramètres'!$D:$D,0))="",1,INDEX('Paramètres'!$J:$J,MATCH($C2535,'Paramètres'!$D:$D,0)))),2))</f>
        <v/>
      </c>
      <c r="L2535" s="6" t="str">
        <f>IF($D2535="","",IF($F2535&lt;&gt;"",$F2535,IF(ISNA(MATCH($D2535,'Paramètres'!$M:$M,0)),"⚠ Type inconnu",IFERROR(INDEX('Paramètres'!$P:$P,MATCH($D2535,'Paramètres'!$M:$M,0))&amp;"",""))))</f>
        <v/>
      </c>
      <c r="M2535" s="6" t="str">
        <f>IF($D2535="","",IF(ISNA(MATCH($D2535,'Paramètres'!$M:$M,0)),"⚠ Type inconnu",IF($L2535="Crédit","",IFERROR(INDEX('Paramètres'!$O:$O,MATCH($D2535,'Paramètres'!$M:$M,0))&amp;"",""))))</f>
        <v/>
      </c>
      <c r="N2535" s="6" t="str">
        <f>IF($D2535="","",IFERROR(INDEX('Paramètres'!$Q:$Q,MATCH($D2535,'Paramètres'!$M:$M,0))&amp;"",""))</f>
        <v/>
      </c>
      <c r="O2535" s="6" t="str">
        <f>IF($A2535="","",IF(OR($J2535&lt;&gt;"x",$A2535&lt;=FinReleve),1,0))</f>
        <v/>
      </c>
      <c r="P2535" s="6" t="str">
        <f>IF($D2535="","",IF(AND($L2535="Crédit",OR(IFERROR(INDEX('Paramètres'!$O:$O,MATCH($D2535,'Paramètres'!$M:$M,0))&amp;"","")&lt;&gt;"",ISNUMBER(SEARCH("remboursement",IFERROR(INDEX('Paramètres'!$N:$N,MATCH($D2535,'Paramètres'!$M:$M,0))&amp;"",""))))),1,0))</f>
        <v/>
      </c>
      <c r="Q2535" s="6" t="str">
        <f>IF($K2535="","",IF(ISNUMBER(SEARCH("transfert-interne",IFERROR(INDEX('Paramètres'!$N:$N,MATCH($D2535,'Paramètres'!$M:$M,0))&amp;"",""))),0,IF($L2535="Débit",$K2535,IF($P2535=1,-$K2535,0))))</f>
        <v/>
      </c>
      <c r="R2535" s="6" t="str">
        <f>IF($K2535="","",IF($L2535="Crédit",$K2535,-$K2535))</f>
        <v/>
      </c>
      <c r="S2535" s="6" t="str">
        <f>IF($C2535="","",IFERROR(INDEX('Paramètres'!$H:$H,MATCH($C2535,'Paramètres'!$D:$D,0))&amp;"",""))</f>
        <v/>
      </c>
      <c r="T2535" s="6" t="str">
        <f>IF($K2535="","",IF($S2535="",0,IF(ISNUMBER(SEARCH("apport-exterieur",IFERROR(INDEX('Paramètres'!$N:$N,MATCH($D2535,'Paramètres'!$M:$M,0))&amp;"",""))),0,IF(OR(IFERROR(INDEX('Paramètres'!$I:$I,MATCH($C2535,'Paramètres'!$D:$D,0))&amp;"","")="Les deux",IFERROR(INDEX('Paramètres'!$I:$I,MATCH($C2535,'Paramètres'!$D:$D,0))&amp;"","")=IF($P2535=1,"Débit",$L2535)),-IF($P2535=1,-$K2535,$K2535),0))))</f>
        <v/>
      </c>
      <c r="U2535" s="6" t="str">
        <f>IF($K2535="","",IF(ISNUMBER(SEARCH("sortie-epargne",IFERROR(INDEX('Paramètres'!$N:$N,MATCH($D2535,'Paramètres'!$M:$M,0))&amp;"",""))),$K2535,0))</f>
        <v/>
      </c>
      <c r="V2535" s="6" t="str">
        <f>IF(AND($A2535&lt;&gt;"",$O2535=1,$L2535="Débit",N($Q2535)&gt;0,$A2535&gt;=Visualisation!$B$1,$A2535&lt;Visualisation!$D$1),MAX($V$1:V2534)+1,"")</f>
        <v/>
      </c>
    </row>
    <row r="2536" spans="1:22" x14ac:dyDescent="0.25">
      <c r="A2536" s="9"/>
      <c r="E2536" s="10"/>
      <c r="K2536" s="11" t="str">
        <f>IF($E2536="","",ROUND($E2536*IF(ISNA(MATCH($C2536,'Paramètres'!$D:$D,0)),1,IF(INDEX('Paramètres'!$J:$J,MATCH($C2536,'Paramètres'!$D:$D,0))="",1,INDEX('Paramètres'!$J:$J,MATCH($C2536,'Paramètres'!$D:$D,0)))),2))</f>
        <v/>
      </c>
      <c r="L2536" s="6" t="str">
        <f>IF($D2536="","",IF($F2536&lt;&gt;"",$F2536,IF(ISNA(MATCH($D2536,'Paramètres'!$M:$M,0)),"⚠ Type inconnu",IFERROR(INDEX('Paramètres'!$P:$P,MATCH($D2536,'Paramètres'!$M:$M,0))&amp;"",""))))</f>
        <v/>
      </c>
      <c r="M2536" s="6" t="str">
        <f>IF($D2536="","",IF(ISNA(MATCH($D2536,'Paramètres'!$M:$M,0)),"⚠ Type inconnu",IF($L2536="Crédit","",IFERROR(INDEX('Paramètres'!$O:$O,MATCH($D2536,'Paramètres'!$M:$M,0))&amp;"",""))))</f>
        <v/>
      </c>
      <c r="N2536" s="6" t="str">
        <f>IF($D2536="","",IFERROR(INDEX('Paramètres'!$Q:$Q,MATCH($D2536,'Paramètres'!$M:$M,0))&amp;"",""))</f>
        <v/>
      </c>
      <c r="O2536" s="6" t="str">
        <f>IF($A2536="","",IF(OR($J2536&lt;&gt;"x",$A2536&lt;=FinReleve),1,0))</f>
        <v/>
      </c>
      <c r="P2536" s="6" t="str">
        <f>IF($D2536="","",IF(AND($L2536="Crédit",OR(IFERROR(INDEX('Paramètres'!$O:$O,MATCH($D2536,'Paramètres'!$M:$M,0))&amp;"","")&lt;&gt;"",ISNUMBER(SEARCH("remboursement",IFERROR(INDEX('Paramètres'!$N:$N,MATCH($D2536,'Paramètres'!$M:$M,0))&amp;"",""))))),1,0))</f>
        <v/>
      </c>
      <c r="Q2536" s="6" t="str">
        <f>IF($K2536="","",IF(ISNUMBER(SEARCH("transfert-interne",IFERROR(INDEX('Paramètres'!$N:$N,MATCH($D2536,'Paramètres'!$M:$M,0))&amp;"",""))),0,IF($L2536="Débit",$K2536,IF($P2536=1,-$K2536,0))))</f>
        <v/>
      </c>
      <c r="R2536" s="6" t="str">
        <f>IF($K2536="","",IF($L2536="Crédit",$K2536,-$K2536))</f>
        <v/>
      </c>
      <c r="S2536" s="6" t="str">
        <f>IF($C2536="","",IFERROR(INDEX('Paramètres'!$H:$H,MATCH($C2536,'Paramètres'!$D:$D,0))&amp;"",""))</f>
        <v/>
      </c>
      <c r="T2536" s="6" t="str">
        <f>IF($K2536="","",IF($S2536="",0,IF(ISNUMBER(SEARCH("apport-exterieur",IFERROR(INDEX('Paramètres'!$N:$N,MATCH($D2536,'Paramètres'!$M:$M,0))&amp;"",""))),0,IF(OR(IFERROR(INDEX('Paramètres'!$I:$I,MATCH($C2536,'Paramètres'!$D:$D,0))&amp;"","")="Les deux",IFERROR(INDEX('Paramètres'!$I:$I,MATCH($C2536,'Paramètres'!$D:$D,0))&amp;"","")=IF($P2536=1,"Débit",$L2536)),-IF($P2536=1,-$K2536,$K2536),0))))</f>
        <v/>
      </c>
      <c r="U2536" s="6" t="str">
        <f>IF($K2536="","",IF(ISNUMBER(SEARCH("sortie-epargne",IFERROR(INDEX('Paramètres'!$N:$N,MATCH($D2536,'Paramètres'!$M:$M,0))&amp;"",""))),$K2536,0))</f>
        <v/>
      </c>
      <c r="V2536" s="6" t="str">
        <f>IF(AND($A2536&lt;&gt;"",$O2536=1,$L2536="Débit",N($Q2536)&gt;0,$A2536&gt;=Visualisation!$B$1,$A2536&lt;Visualisation!$D$1),MAX($V$1:V2535)+1,"")</f>
        <v/>
      </c>
    </row>
    <row r="2537" spans="1:22" x14ac:dyDescent="0.25">
      <c r="A2537" s="9"/>
      <c r="E2537" s="10"/>
      <c r="K2537" s="11" t="str">
        <f>IF($E2537="","",ROUND($E2537*IF(ISNA(MATCH($C2537,'Paramètres'!$D:$D,0)),1,IF(INDEX('Paramètres'!$J:$J,MATCH($C2537,'Paramètres'!$D:$D,0))="",1,INDEX('Paramètres'!$J:$J,MATCH($C2537,'Paramètres'!$D:$D,0)))),2))</f>
        <v/>
      </c>
      <c r="L2537" s="6" t="str">
        <f>IF($D2537="","",IF($F2537&lt;&gt;"",$F2537,IF(ISNA(MATCH($D2537,'Paramètres'!$M:$M,0)),"⚠ Type inconnu",IFERROR(INDEX('Paramètres'!$P:$P,MATCH($D2537,'Paramètres'!$M:$M,0))&amp;"",""))))</f>
        <v/>
      </c>
      <c r="M2537" s="6" t="str">
        <f>IF($D2537="","",IF(ISNA(MATCH($D2537,'Paramètres'!$M:$M,0)),"⚠ Type inconnu",IF($L2537="Crédit","",IFERROR(INDEX('Paramètres'!$O:$O,MATCH($D2537,'Paramètres'!$M:$M,0))&amp;"",""))))</f>
        <v/>
      </c>
      <c r="N2537" s="6" t="str">
        <f>IF($D2537="","",IFERROR(INDEX('Paramètres'!$Q:$Q,MATCH($D2537,'Paramètres'!$M:$M,0))&amp;"",""))</f>
        <v/>
      </c>
      <c r="O2537" s="6" t="str">
        <f>IF($A2537="","",IF(OR($J2537&lt;&gt;"x",$A2537&lt;=FinReleve),1,0))</f>
        <v/>
      </c>
      <c r="P2537" s="6" t="str">
        <f>IF($D2537="","",IF(AND($L2537="Crédit",OR(IFERROR(INDEX('Paramètres'!$O:$O,MATCH($D2537,'Paramètres'!$M:$M,0))&amp;"","")&lt;&gt;"",ISNUMBER(SEARCH("remboursement",IFERROR(INDEX('Paramètres'!$N:$N,MATCH($D2537,'Paramètres'!$M:$M,0))&amp;"",""))))),1,0))</f>
        <v/>
      </c>
      <c r="Q2537" s="6" t="str">
        <f>IF($K2537="","",IF(ISNUMBER(SEARCH("transfert-interne",IFERROR(INDEX('Paramètres'!$N:$N,MATCH($D2537,'Paramètres'!$M:$M,0))&amp;"",""))),0,IF($L2537="Débit",$K2537,IF($P2537=1,-$K2537,0))))</f>
        <v/>
      </c>
      <c r="R2537" s="6" t="str">
        <f>IF($K2537="","",IF($L2537="Crédit",$K2537,-$K2537))</f>
        <v/>
      </c>
      <c r="S2537" s="6" t="str">
        <f>IF($C2537="","",IFERROR(INDEX('Paramètres'!$H:$H,MATCH($C2537,'Paramètres'!$D:$D,0))&amp;"",""))</f>
        <v/>
      </c>
      <c r="T2537" s="6" t="str">
        <f>IF($K2537="","",IF($S2537="",0,IF(ISNUMBER(SEARCH("apport-exterieur",IFERROR(INDEX('Paramètres'!$N:$N,MATCH($D2537,'Paramètres'!$M:$M,0))&amp;"",""))),0,IF(OR(IFERROR(INDEX('Paramètres'!$I:$I,MATCH($C2537,'Paramètres'!$D:$D,0))&amp;"","")="Les deux",IFERROR(INDEX('Paramètres'!$I:$I,MATCH($C2537,'Paramètres'!$D:$D,0))&amp;"","")=IF($P2537=1,"Débit",$L2537)),-IF($P2537=1,-$K2537,$K2537),0))))</f>
        <v/>
      </c>
      <c r="U2537" s="6" t="str">
        <f>IF($K2537="","",IF(ISNUMBER(SEARCH("sortie-epargne",IFERROR(INDEX('Paramètres'!$N:$N,MATCH($D2537,'Paramètres'!$M:$M,0))&amp;"",""))),$K2537,0))</f>
        <v/>
      </c>
      <c r="V2537" s="6" t="str">
        <f>IF(AND($A2537&lt;&gt;"",$O2537=1,$L2537="Débit",N($Q2537)&gt;0,$A2537&gt;=Visualisation!$B$1,$A2537&lt;Visualisation!$D$1),MAX($V$1:V2536)+1,"")</f>
        <v/>
      </c>
    </row>
    <row r="2538" spans="1:22" x14ac:dyDescent="0.25">
      <c r="A2538" s="9"/>
      <c r="E2538" s="10"/>
      <c r="K2538" s="11" t="str">
        <f>IF($E2538="","",ROUND($E2538*IF(ISNA(MATCH($C2538,'Paramètres'!$D:$D,0)),1,IF(INDEX('Paramètres'!$J:$J,MATCH($C2538,'Paramètres'!$D:$D,0))="",1,INDEX('Paramètres'!$J:$J,MATCH($C2538,'Paramètres'!$D:$D,0)))),2))</f>
        <v/>
      </c>
      <c r="L2538" s="6" t="str">
        <f>IF($D2538="","",IF($F2538&lt;&gt;"",$F2538,IF(ISNA(MATCH($D2538,'Paramètres'!$M:$M,0)),"⚠ Type inconnu",IFERROR(INDEX('Paramètres'!$P:$P,MATCH($D2538,'Paramètres'!$M:$M,0))&amp;"",""))))</f>
        <v/>
      </c>
      <c r="M2538" s="6" t="str">
        <f>IF($D2538="","",IF(ISNA(MATCH($D2538,'Paramètres'!$M:$M,0)),"⚠ Type inconnu",IF($L2538="Crédit","",IFERROR(INDEX('Paramètres'!$O:$O,MATCH($D2538,'Paramètres'!$M:$M,0))&amp;"",""))))</f>
        <v/>
      </c>
      <c r="N2538" s="6" t="str">
        <f>IF($D2538="","",IFERROR(INDEX('Paramètres'!$Q:$Q,MATCH($D2538,'Paramètres'!$M:$M,0))&amp;"",""))</f>
        <v/>
      </c>
      <c r="O2538" s="6" t="str">
        <f>IF($A2538="","",IF(OR($J2538&lt;&gt;"x",$A2538&lt;=FinReleve),1,0))</f>
        <v/>
      </c>
      <c r="P2538" s="6" t="str">
        <f>IF($D2538="","",IF(AND($L2538="Crédit",OR(IFERROR(INDEX('Paramètres'!$O:$O,MATCH($D2538,'Paramètres'!$M:$M,0))&amp;"","")&lt;&gt;"",ISNUMBER(SEARCH("remboursement",IFERROR(INDEX('Paramètres'!$N:$N,MATCH($D2538,'Paramètres'!$M:$M,0))&amp;"",""))))),1,0))</f>
        <v/>
      </c>
      <c r="Q2538" s="6" t="str">
        <f>IF($K2538="","",IF(ISNUMBER(SEARCH("transfert-interne",IFERROR(INDEX('Paramètres'!$N:$N,MATCH($D2538,'Paramètres'!$M:$M,0))&amp;"",""))),0,IF($L2538="Débit",$K2538,IF($P2538=1,-$K2538,0))))</f>
        <v/>
      </c>
      <c r="R2538" s="6" t="str">
        <f>IF($K2538="","",IF($L2538="Crédit",$K2538,-$K2538))</f>
        <v/>
      </c>
      <c r="S2538" s="6" t="str">
        <f>IF($C2538="","",IFERROR(INDEX('Paramètres'!$H:$H,MATCH($C2538,'Paramètres'!$D:$D,0))&amp;"",""))</f>
        <v/>
      </c>
      <c r="T2538" s="6" t="str">
        <f>IF($K2538="","",IF($S2538="",0,IF(ISNUMBER(SEARCH("apport-exterieur",IFERROR(INDEX('Paramètres'!$N:$N,MATCH($D2538,'Paramètres'!$M:$M,0))&amp;"",""))),0,IF(OR(IFERROR(INDEX('Paramètres'!$I:$I,MATCH($C2538,'Paramètres'!$D:$D,0))&amp;"","")="Les deux",IFERROR(INDEX('Paramètres'!$I:$I,MATCH($C2538,'Paramètres'!$D:$D,0))&amp;"","")=IF($P2538=1,"Débit",$L2538)),-IF($P2538=1,-$K2538,$K2538),0))))</f>
        <v/>
      </c>
      <c r="U2538" s="6" t="str">
        <f>IF($K2538="","",IF(ISNUMBER(SEARCH("sortie-epargne",IFERROR(INDEX('Paramètres'!$N:$N,MATCH($D2538,'Paramètres'!$M:$M,0))&amp;"",""))),$K2538,0))</f>
        <v/>
      </c>
      <c r="V2538" s="6" t="str">
        <f>IF(AND($A2538&lt;&gt;"",$O2538=1,$L2538="Débit",N($Q2538)&gt;0,$A2538&gt;=Visualisation!$B$1,$A2538&lt;Visualisation!$D$1),MAX($V$1:V2537)+1,"")</f>
        <v/>
      </c>
    </row>
    <row r="2539" spans="1:22" x14ac:dyDescent="0.25">
      <c r="A2539" s="9"/>
      <c r="E2539" s="10"/>
      <c r="K2539" s="11" t="str">
        <f>IF($E2539="","",ROUND($E2539*IF(ISNA(MATCH($C2539,'Paramètres'!$D:$D,0)),1,IF(INDEX('Paramètres'!$J:$J,MATCH($C2539,'Paramètres'!$D:$D,0))="",1,INDEX('Paramètres'!$J:$J,MATCH($C2539,'Paramètres'!$D:$D,0)))),2))</f>
        <v/>
      </c>
      <c r="L2539" s="6" t="str">
        <f>IF($D2539="","",IF($F2539&lt;&gt;"",$F2539,IF(ISNA(MATCH($D2539,'Paramètres'!$M:$M,0)),"⚠ Type inconnu",IFERROR(INDEX('Paramètres'!$P:$P,MATCH($D2539,'Paramètres'!$M:$M,0))&amp;"",""))))</f>
        <v/>
      </c>
      <c r="M2539" s="6" t="str">
        <f>IF($D2539="","",IF(ISNA(MATCH($D2539,'Paramètres'!$M:$M,0)),"⚠ Type inconnu",IF($L2539="Crédit","",IFERROR(INDEX('Paramètres'!$O:$O,MATCH($D2539,'Paramètres'!$M:$M,0))&amp;"",""))))</f>
        <v/>
      </c>
      <c r="N2539" s="6" t="str">
        <f>IF($D2539="","",IFERROR(INDEX('Paramètres'!$Q:$Q,MATCH($D2539,'Paramètres'!$M:$M,0))&amp;"",""))</f>
        <v/>
      </c>
      <c r="O2539" s="6" t="str">
        <f>IF($A2539="","",IF(OR($J2539&lt;&gt;"x",$A2539&lt;=FinReleve),1,0))</f>
        <v/>
      </c>
      <c r="P2539" s="6" t="str">
        <f>IF($D2539="","",IF(AND($L2539="Crédit",OR(IFERROR(INDEX('Paramètres'!$O:$O,MATCH($D2539,'Paramètres'!$M:$M,0))&amp;"","")&lt;&gt;"",ISNUMBER(SEARCH("remboursement",IFERROR(INDEX('Paramètres'!$N:$N,MATCH($D2539,'Paramètres'!$M:$M,0))&amp;"",""))))),1,0))</f>
        <v/>
      </c>
      <c r="Q2539" s="6" t="str">
        <f>IF($K2539="","",IF(ISNUMBER(SEARCH("transfert-interne",IFERROR(INDEX('Paramètres'!$N:$N,MATCH($D2539,'Paramètres'!$M:$M,0))&amp;"",""))),0,IF($L2539="Débit",$K2539,IF($P2539=1,-$K2539,0))))</f>
        <v/>
      </c>
      <c r="R2539" s="6" t="str">
        <f>IF($K2539="","",IF($L2539="Crédit",$K2539,-$K2539))</f>
        <v/>
      </c>
      <c r="S2539" s="6" t="str">
        <f>IF($C2539="","",IFERROR(INDEX('Paramètres'!$H:$H,MATCH($C2539,'Paramètres'!$D:$D,0))&amp;"",""))</f>
        <v/>
      </c>
      <c r="T2539" s="6" t="str">
        <f>IF($K2539="","",IF($S2539="",0,IF(ISNUMBER(SEARCH("apport-exterieur",IFERROR(INDEX('Paramètres'!$N:$N,MATCH($D2539,'Paramètres'!$M:$M,0))&amp;"",""))),0,IF(OR(IFERROR(INDEX('Paramètres'!$I:$I,MATCH($C2539,'Paramètres'!$D:$D,0))&amp;"","")="Les deux",IFERROR(INDEX('Paramètres'!$I:$I,MATCH($C2539,'Paramètres'!$D:$D,0))&amp;"","")=IF($P2539=1,"Débit",$L2539)),-IF($P2539=1,-$K2539,$K2539),0))))</f>
        <v/>
      </c>
      <c r="U2539" s="6" t="str">
        <f>IF($K2539="","",IF(ISNUMBER(SEARCH("sortie-epargne",IFERROR(INDEX('Paramètres'!$N:$N,MATCH($D2539,'Paramètres'!$M:$M,0))&amp;"",""))),$K2539,0))</f>
        <v/>
      </c>
      <c r="V2539" s="6" t="str">
        <f>IF(AND($A2539&lt;&gt;"",$O2539=1,$L2539="Débit",N($Q2539)&gt;0,$A2539&gt;=Visualisation!$B$1,$A2539&lt;Visualisation!$D$1),MAX($V$1:V2538)+1,"")</f>
        <v/>
      </c>
    </row>
    <row r="2540" spans="1:22" x14ac:dyDescent="0.25">
      <c r="A2540" s="9"/>
      <c r="E2540" s="10"/>
      <c r="K2540" s="11" t="str">
        <f>IF($E2540="","",ROUND($E2540*IF(ISNA(MATCH($C2540,'Paramètres'!$D:$D,0)),1,IF(INDEX('Paramètres'!$J:$J,MATCH($C2540,'Paramètres'!$D:$D,0))="",1,INDEX('Paramètres'!$J:$J,MATCH($C2540,'Paramètres'!$D:$D,0)))),2))</f>
        <v/>
      </c>
      <c r="L2540" s="6" t="str">
        <f>IF($D2540="","",IF($F2540&lt;&gt;"",$F2540,IF(ISNA(MATCH($D2540,'Paramètres'!$M:$M,0)),"⚠ Type inconnu",IFERROR(INDEX('Paramètres'!$P:$P,MATCH($D2540,'Paramètres'!$M:$M,0))&amp;"",""))))</f>
        <v/>
      </c>
      <c r="M2540" s="6" t="str">
        <f>IF($D2540="","",IF(ISNA(MATCH($D2540,'Paramètres'!$M:$M,0)),"⚠ Type inconnu",IF($L2540="Crédit","",IFERROR(INDEX('Paramètres'!$O:$O,MATCH($D2540,'Paramètres'!$M:$M,0))&amp;"",""))))</f>
        <v/>
      </c>
      <c r="N2540" s="6" t="str">
        <f>IF($D2540="","",IFERROR(INDEX('Paramètres'!$Q:$Q,MATCH($D2540,'Paramètres'!$M:$M,0))&amp;"",""))</f>
        <v/>
      </c>
      <c r="O2540" s="6" t="str">
        <f>IF($A2540="","",IF(OR($J2540&lt;&gt;"x",$A2540&lt;=FinReleve),1,0))</f>
        <v/>
      </c>
      <c r="P2540" s="6" t="str">
        <f>IF($D2540="","",IF(AND($L2540="Crédit",OR(IFERROR(INDEX('Paramètres'!$O:$O,MATCH($D2540,'Paramètres'!$M:$M,0))&amp;"","")&lt;&gt;"",ISNUMBER(SEARCH("remboursement",IFERROR(INDEX('Paramètres'!$N:$N,MATCH($D2540,'Paramètres'!$M:$M,0))&amp;"",""))))),1,0))</f>
        <v/>
      </c>
      <c r="Q2540" s="6" t="str">
        <f>IF($K2540="","",IF(ISNUMBER(SEARCH("transfert-interne",IFERROR(INDEX('Paramètres'!$N:$N,MATCH($D2540,'Paramètres'!$M:$M,0))&amp;"",""))),0,IF($L2540="Débit",$K2540,IF($P2540=1,-$K2540,0))))</f>
        <v/>
      </c>
      <c r="R2540" s="6" t="str">
        <f>IF($K2540="","",IF($L2540="Crédit",$K2540,-$K2540))</f>
        <v/>
      </c>
      <c r="S2540" s="6" t="str">
        <f>IF($C2540="","",IFERROR(INDEX('Paramètres'!$H:$H,MATCH($C2540,'Paramètres'!$D:$D,0))&amp;"",""))</f>
        <v/>
      </c>
      <c r="T2540" s="6" t="str">
        <f>IF($K2540="","",IF($S2540="",0,IF(ISNUMBER(SEARCH("apport-exterieur",IFERROR(INDEX('Paramètres'!$N:$N,MATCH($D2540,'Paramètres'!$M:$M,0))&amp;"",""))),0,IF(OR(IFERROR(INDEX('Paramètres'!$I:$I,MATCH($C2540,'Paramètres'!$D:$D,0))&amp;"","")="Les deux",IFERROR(INDEX('Paramètres'!$I:$I,MATCH($C2540,'Paramètres'!$D:$D,0))&amp;"","")=IF($P2540=1,"Débit",$L2540)),-IF($P2540=1,-$K2540,$K2540),0))))</f>
        <v/>
      </c>
      <c r="U2540" s="6" t="str">
        <f>IF($K2540="","",IF(ISNUMBER(SEARCH("sortie-epargne",IFERROR(INDEX('Paramètres'!$N:$N,MATCH($D2540,'Paramètres'!$M:$M,0))&amp;"",""))),$K2540,0))</f>
        <v/>
      </c>
      <c r="V2540" s="6" t="str">
        <f>IF(AND($A2540&lt;&gt;"",$O2540=1,$L2540="Débit",N($Q2540)&gt;0,$A2540&gt;=Visualisation!$B$1,$A2540&lt;Visualisation!$D$1),MAX($V$1:V2539)+1,"")</f>
        <v/>
      </c>
    </row>
    <row r="2541" spans="1:22" x14ac:dyDescent="0.25">
      <c r="A2541" s="9"/>
      <c r="E2541" s="10"/>
      <c r="K2541" s="11" t="str">
        <f>IF($E2541="","",ROUND($E2541*IF(ISNA(MATCH($C2541,'Paramètres'!$D:$D,0)),1,IF(INDEX('Paramètres'!$J:$J,MATCH($C2541,'Paramètres'!$D:$D,0))="",1,INDEX('Paramètres'!$J:$J,MATCH($C2541,'Paramètres'!$D:$D,0)))),2))</f>
        <v/>
      </c>
      <c r="L2541" s="6" t="str">
        <f>IF($D2541="","",IF($F2541&lt;&gt;"",$F2541,IF(ISNA(MATCH($D2541,'Paramètres'!$M:$M,0)),"⚠ Type inconnu",IFERROR(INDEX('Paramètres'!$P:$P,MATCH($D2541,'Paramètres'!$M:$M,0))&amp;"",""))))</f>
        <v/>
      </c>
      <c r="M2541" s="6" t="str">
        <f>IF($D2541="","",IF(ISNA(MATCH($D2541,'Paramètres'!$M:$M,0)),"⚠ Type inconnu",IF($L2541="Crédit","",IFERROR(INDEX('Paramètres'!$O:$O,MATCH($D2541,'Paramètres'!$M:$M,0))&amp;"",""))))</f>
        <v/>
      </c>
      <c r="N2541" s="6" t="str">
        <f>IF($D2541="","",IFERROR(INDEX('Paramètres'!$Q:$Q,MATCH($D2541,'Paramètres'!$M:$M,0))&amp;"",""))</f>
        <v/>
      </c>
      <c r="O2541" s="6" t="str">
        <f>IF($A2541="","",IF(OR($J2541&lt;&gt;"x",$A2541&lt;=FinReleve),1,0))</f>
        <v/>
      </c>
      <c r="P2541" s="6" t="str">
        <f>IF($D2541="","",IF(AND($L2541="Crédit",OR(IFERROR(INDEX('Paramètres'!$O:$O,MATCH($D2541,'Paramètres'!$M:$M,0))&amp;"","")&lt;&gt;"",ISNUMBER(SEARCH("remboursement",IFERROR(INDEX('Paramètres'!$N:$N,MATCH($D2541,'Paramètres'!$M:$M,0))&amp;"",""))))),1,0))</f>
        <v/>
      </c>
      <c r="Q2541" s="6" t="str">
        <f>IF($K2541="","",IF(ISNUMBER(SEARCH("transfert-interne",IFERROR(INDEX('Paramètres'!$N:$N,MATCH($D2541,'Paramètres'!$M:$M,0))&amp;"",""))),0,IF($L2541="Débit",$K2541,IF($P2541=1,-$K2541,0))))</f>
        <v/>
      </c>
      <c r="R2541" s="6" t="str">
        <f>IF($K2541="","",IF($L2541="Crédit",$K2541,-$K2541))</f>
        <v/>
      </c>
      <c r="S2541" s="6" t="str">
        <f>IF($C2541="","",IFERROR(INDEX('Paramètres'!$H:$H,MATCH($C2541,'Paramètres'!$D:$D,0))&amp;"",""))</f>
        <v/>
      </c>
      <c r="T2541" s="6" t="str">
        <f>IF($K2541="","",IF($S2541="",0,IF(ISNUMBER(SEARCH("apport-exterieur",IFERROR(INDEX('Paramètres'!$N:$N,MATCH($D2541,'Paramètres'!$M:$M,0))&amp;"",""))),0,IF(OR(IFERROR(INDEX('Paramètres'!$I:$I,MATCH($C2541,'Paramètres'!$D:$D,0))&amp;"","")="Les deux",IFERROR(INDEX('Paramètres'!$I:$I,MATCH($C2541,'Paramètres'!$D:$D,0))&amp;"","")=IF($P2541=1,"Débit",$L2541)),-IF($P2541=1,-$K2541,$K2541),0))))</f>
        <v/>
      </c>
      <c r="U2541" s="6" t="str">
        <f>IF($K2541="","",IF(ISNUMBER(SEARCH("sortie-epargne",IFERROR(INDEX('Paramètres'!$N:$N,MATCH($D2541,'Paramètres'!$M:$M,0))&amp;"",""))),$K2541,0))</f>
        <v/>
      </c>
      <c r="V2541" s="6" t="str">
        <f>IF(AND($A2541&lt;&gt;"",$O2541=1,$L2541="Débit",N($Q2541)&gt;0,$A2541&gt;=Visualisation!$B$1,$A2541&lt;Visualisation!$D$1),MAX($V$1:V2540)+1,"")</f>
        <v/>
      </c>
    </row>
    <row r="2542" spans="1:22" x14ac:dyDescent="0.25">
      <c r="A2542" s="9"/>
      <c r="E2542" s="10"/>
      <c r="K2542" s="11" t="str">
        <f>IF($E2542="","",ROUND($E2542*IF(ISNA(MATCH($C2542,'Paramètres'!$D:$D,0)),1,IF(INDEX('Paramètres'!$J:$J,MATCH($C2542,'Paramètres'!$D:$D,0))="",1,INDEX('Paramètres'!$J:$J,MATCH($C2542,'Paramètres'!$D:$D,0)))),2))</f>
        <v/>
      </c>
      <c r="L2542" s="6" t="str">
        <f>IF($D2542="","",IF($F2542&lt;&gt;"",$F2542,IF(ISNA(MATCH($D2542,'Paramètres'!$M:$M,0)),"⚠ Type inconnu",IFERROR(INDEX('Paramètres'!$P:$P,MATCH($D2542,'Paramètres'!$M:$M,0))&amp;"",""))))</f>
        <v/>
      </c>
      <c r="M2542" s="6" t="str">
        <f>IF($D2542="","",IF(ISNA(MATCH($D2542,'Paramètres'!$M:$M,0)),"⚠ Type inconnu",IF($L2542="Crédit","",IFERROR(INDEX('Paramètres'!$O:$O,MATCH($D2542,'Paramètres'!$M:$M,0))&amp;"",""))))</f>
        <v/>
      </c>
      <c r="N2542" s="6" t="str">
        <f>IF($D2542="","",IFERROR(INDEX('Paramètres'!$Q:$Q,MATCH($D2542,'Paramètres'!$M:$M,0))&amp;"",""))</f>
        <v/>
      </c>
      <c r="O2542" s="6" t="str">
        <f>IF($A2542="","",IF(OR($J2542&lt;&gt;"x",$A2542&lt;=FinReleve),1,0))</f>
        <v/>
      </c>
      <c r="P2542" s="6" t="str">
        <f>IF($D2542="","",IF(AND($L2542="Crédit",OR(IFERROR(INDEX('Paramètres'!$O:$O,MATCH($D2542,'Paramètres'!$M:$M,0))&amp;"","")&lt;&gt;"",ISNUMBER(SEARCH("remboursement",IFERROR(INDEX('Paramètres'!$N:$N,MATCH($D2542,'Paramètres'!$M:$M,0))&amp;"",""))))),1,0))</f>
        <v/>
      </c>
      <c r="Q2542" s="6" t="str">
        <f>IF($K2542="","",IF(ISNUMBER(SEARCH("transfert-interne",IFERROR(INDEX('Paramètres'!$N:$N,MATCH($D2542,'Paramètres'!$M:$M,0))&amp;"",""))),0,IF($L2542="Débit",$K2542,IF($P2542=1,-$K2542,0))))</f>
        <v/>
      </c>
      <c r="R2542" s="6" t="str">
        <f>IF($K2542="","",IF($L2542="Crédit",$K2542,-$K2542))</f>
        <v/>
      </c>
      <c r="S2542" s="6" t="str">
        <f>IF($C2542="","",IFERROR(INDEX('Paramètres'!$H:$H,MATCH($C2542,'Paramètres'!$D:$D,0))&amp;"",""))</f>
        <v/>
      </c>
      <c r="T2542" s="6" t="str">
        <f>IF($K2542="","",IF($S2542="",0,IF(ISNUMBER(SEARCH("apport-exterieur",IFERROR(INDEX('Paramètres'!$N:$N,MATCH($D2542,'Paramètres'!$M:$M,0))&amp;"",""))),0,IF(OR(IFERROR(INDEX('Paramètres'!$I:$I,MATCH($C2542,'Paramètres'!$D:$D,0))&amp;"","")="Les deux",IFERROR(INDEX('Paramètres'!$I:$I,MATCH($C2542,'Paramètres'!$D:$D,0))&amp;"","")=IF($P2542=1,"Débit",$L2542)),-IF($P2542=1,-$K2542,$K2542),0))))</f>
        <v/>
      </c>
      <c r="U2542" s="6" t="str">
        <f>IF($K2542="","",IF(ISNUMBER(SEARCH("sortie-epargne",IFERROR(INDEX('Paramètres'!$N:$N,MATCH($D2542,'Paramètres'!$M:$M,0))&amp;"",""))),$K2542,0))</f>
        <v/>
      </c>
      <c r="V2542" s="6" t="str">
        <f>IF(AND($A2542&lt;&gt;"",$O2542=1,$L2542="Débit",N($Q2542)&gt;0,$A2542&gt;=Visualisation!$B$1,$A2542&lt;Visualisation!$D$1),MAX($V$1:V2541)+1,"")</f>
        <v/>
      </c>
    </row>
    <row r="2543" spans="1:22" x14ac:dyDescent="0.25">
      <c r="A2543" s="9"/>
      <c r="E2543" s="10"/>
      <c r="K2543" s="11" t="str">
        <f>IF($E2543="","",ROUND($E2543*IF(ISNA(MATCH($C2543,'Paramètres'!$D:$D,0)),1,IF(INDEX('Paramètres'!$J:$J,MATCH($C2543,'Paramètres'!$D:$D,0))="",1,INDEX('Paramètres'!$J:$J,MATCH($C2543,'Paramètres'!$D:$D,0)))),2))</f>
        <v/>
      </c>
      <c r="L2543" s="6" t="str">
        <f>IF($D2543="","",IF($F2543&lt;&gt;"",$F2543,IF(ISNA(MATCH($D2543,'Paramètres'!$M:$M,0)),"⚠ Type inconnu",IFERROR(INDEX('Paramètres'!$P:$P,MATCH($D2543,'Paramètres'!$M:$M,0))&amp;"",""))))</f>
        <v/>
      </c>
      <c r="M2543" s="6" t="str">
        <f>IF($D2543="","",IF(ISNA(MATCH($D2543,'Paramètres'!$M:$M,0)),"⚠ Type inconnu",IF($L2543="Crédit","",IFERROR(INDEX('Paramètres'!$O:$O,MATCH($D2543,'Paramètres'!$M:$M,0))&amp;"",""))))</f>
        <v/>
      </c>
      <c r="N2543" s="6" t="str">
        <f>IF($D2543="","",IFERROR(INDEX('Paramètres'!$Q:$Q,MATCH($D2543,'Paramètres'!$M:$M,0))&amp;"",""))</f>
        <v/>
      </c>
      <c r="O2543" s="6" t="str">
        <f>IF($A2543="","",IF(OR($J2543&lt;&gt;"x",$A2543&lt;=FinReleve),1,0))</f>
        <v/>
      </c>
      <c r="P2543" s="6" t="str">
        <f>IF($D2543="","",IF(AND($L2543="Crédit",OR(IFERROR(INDEX('Paramètres'!$O:$O,MATCH($D2543,'Paramètres'!$M:$M,0))&amp;"","")&lt;&gt;"",ISNUMBER(SEARCH("remboursement",IFERROR(INDEX('Paramètres'!$N:$N,MATCH($D2543,'Paramètres'!$M:$M,0))&amp;"",""))))),1,0))</f>
        <v/>
      </c>
      <c r="Q2543" s="6" t="str">
        <f>IF($K2543="","",IF(ISNUMBER(SEARCH("transfert-interne",IFERROR(INDEX('Paramètres'!$N:$N,MATCH($D2543,'Paramètres'!$M:$M,0))&amp;"",""))),0,IF($L2543="Débit",$K2543,IF($P2543=1,-$K2543,0))))</f>
        <v/>
      </c>
      <c r="R2543" s="6" t="str">
        <f>IF($K2543="","",IF($L2543="Crédit",$K2543,-$K2543))</f>
        <v/>
      </c>
      <c r="S2543" s="6" t="str">
        <f>IF($C2543="","",IFERROR(INDEX('Paramètres'!$H:$H,MATCH($C2543,'Paramètres'!$D:$D,0))&amp;"",""))</f>
        <v/>
      </c>
      <c r="T2543" s="6" t="str">
        <f>IF($K2543="","",IF($S2543="",0,IF(ISNUMBER(SEARCH("apport-exterieur",IFERROR(INDEX('Paramètres'!$N:$N,MATCH($D2543,'Paramètres'!$M:$M,0))&amp;"",""))),0,IF(OR(IFERROR(INDEX('Paramètres'!$I:$I,MATCH($C2543,'Paramètres'!$D:$D,0))&amp;"","")="Les deux",IFERROR(INDEX('Paramètres'!$I:$I,MATCH($C2543,'Paramètres'!$D:$D,0))&amp;"","")=IF($P2543=1,"Débit",$L2543)),-IF($P2543=1,-$K2543,$K2543),0))))</f>
        <v/>
      </c>
      <c r="U2543" s="6" t="str">
        <f>IF($K2543="","",IF(ISNUMBER(SEARCH("sortie-epargne",IFERROR(INDEX('Paramètres'!$N:$N,MATCH($D2543,'Paramètres'!$M:$M,0))&amp;"",""))),$K2543,0))</f>
        <v/>
      </c>
      <c r="V2543" s="6" t="str">
        <f>IF(AND($A2543&lt;&gt;"",$O2543=1,$L2543="Débit",N($Q2543)&gt;0,$A2543&gt;=Visualisation!$B$1,$A2543&lt;Visualisation!$D$1),MAX($V$1:V2542)+1,"")</f>
        <v/>
      </c>
    </row>
    <row r="2544" spans="1:22" x14ac:dyDescent="0.25">
      <c r="A2544" s="9"/>
      <c r="E2544" s="10"/>
      <c r="K2544" s="11" t="str">
        <f>IF($E2544="","",ROUND($E2544*IF(ISNA(MATCH($C2544,'Paramètres'!$D:$D,0)),1,IF(INDEX('Paramètres'!$J:$J,MATCH($C2544,'Paramètres'!$D:$D,0))="",1,INDEX('Paramètres'!$J:$J,MATCH($C2544,'Paramètres'!$D:$D,0)))),2))</f>
        <v/>
      </c>
      <c r="L2544" s="6" t="str">
        <f>IF($D2544="","",IF($F2544&lt;&gt;"",$F2544,IF(ISNA(MATCH($D2544,'Paramètres'!$M:$M,0)),"⚠ Type inconnu",IFERROR(INDEX('Paramètres'!$P:$P,MATCH($D2544,'Paramètres'!$M:$M,0))&amp;"",""))))</f>
        <v/>
      </c>
      <c r="M2544" s="6" t="str">
        <f>IF($D2544="","",IF(ISNA(MATCH($D2544,'Paramètres'!$M:$M,0)),"⚠ Type inconnu",IF($L2544="Crédit","",IFERROR(INDEX('Paramètres'!$O:$O,MATCH($D2544,'Paramètres'!$M:$M,0))&amp;"",""))))</f>
        <v/>
      </c>
      <c r="N2544" s="6" t="str">
        <f>IF($D2544="","",IFERROR(INDEX('Paramètres'!$Q:$Q,MATCH($D2544,'Paramètres'!$M:$M,0))&amp;"",""))</f>
        <v/>
      </c>
      <c r="O2544" s="6" t="str">
        <f>IF($A2544="","",IF(OR($J2544&lt;&gt;"x",$A2544&lt;=FinReleve),1,0))</f>
        <v/>
      </c>
      <c r="P2544" s="6" t="str">
        <f>IF($D2544="","",IF(AND($L2544="Crédit",OR(IFERROR(INDEX('Paramètres'!$O:$O,MATCH($D2544,'Paramètres'!$M:$M,0))&amp;"","")&lt;&gt;"",ISNUMBER(SEARCH("remboursement",IFERROR(INDEX('Paramètres'!$N:$N,MATCH($D2544,'Paramètres'!$M:$M,0))&amp;"",""))))),1,0))</f>
        <v/>
      </c>
      <c r="Q2544" s="6" t="str">
        <f>IF($K2544="","",IF(ISNUMBER(SEARCH("transfert-interne",IFERROR(INDEX('Paramètres'!$N:$N,MATCH($D2544,'Paramètres'!$M:$M,0))&amp;"",""))),0,IF($L2544="Débit",$K2544,IF($P2544=1,-$K2544,0))))</f>
        <v/>
      </c>
      <c r="R2544" s="6" t="str">
        <f>IF($K2544="","",IF($L2544="Crédit",$K2544,-$K2544))</f>
        <v/>
      </c>
      <c r="S2544" s="6" t="str">
        <f>IF($C2544="","",IFERROR(INDEX('Paramètres'!$H:$H,MATCH($C2544,'Paramètres'!$D:$D,0))&amp;"",""))</f>
        <v/>
      </c>
      <c r="T2544" s="6" t="str">
        <f>IF($K2544="","",IF($S2544="",0,IF(ISNUMBER(SEARCH("apport-exterieur",IFERROR(INDEX('Paramètres'!$N:$N,MATCH($D2544,'Paramètres'!$M:$M,0))&amp;"",""))),0,IF(OR(IFERROR(INDEX('Paramètres'!$I:$I,MATCH($C2544,'Paramètres'!$D:$D,0))&amp;"","")="Les deux",IFERROR(INDEX('Paramètres'!$I:$I,MATCH($C2544,'Paramètres'!$D:$D,0))&amp;"","")=IF($P2544=1,"Débit",$L2544)),-IF($P2544=1,-$K2544,$K2544),0))))</f>
        <v/>
      </c>
      <c r="U2544" s="6" t="str">
        <f>IF($K2544="","",IF(ISNUMBER(SEARCH("sortie-epargne",IFERROR(INDEX('Paramètres'!$N:$N,MATCH($D2544,'Paramètres'!$M:$M,0))&amp;"",""))),$K2544,0))</f>
        <v/>
      </c>
      <c r="V2544" s="6" t="str">
        <f>IF(AND($A2544&lt;&gt;"",$O2544=1,$L2544="Débit",N($Q2544)&gt;0,$A2544&gt;=Visualisation!$B$1,$A2544&lt;Visualisation!$D$1),MAX($V$1:V2543)+1,"")</f>
        <v/>
      </c>
    </row>
    <row r="2545" spans="1:22" x14ac:dyDescent="0.25">
      <c r="A2545" s="9"/>
      <c r="E2545" s="10"/>
      <c r="K2545" s="11" t="str">
        <f>IF($E2545="","",ROUND($E2545*IF(ISNA(MATCH($C2545,'Paramètres'!$D:$D,0)),1,IF(INDEX('Paramètres'!$J:$J,MATCH($C2545,'Paramètres'!$D:$D,0))="",1,INDEX('Paramètres'!$J:$J,MATCH($C2545,'Paramètres'!$D:$D,0)))),2))</f>
        <v/>
      </c>
      <c r="L2545" s="6" t="str">
        <f>IF($D2545="","",IF($F2545&lt;&gt;"",$F2545,IF(ISNA(MATCH($D2545,'Paramètres'!$M:$M,0)),"⚠ Type inconnu",IFERROR(INDEX('Paramètres'!$P:$P,MATCH($D2545,'Paramètres'!$M:$M,0))&amp;"",""))))</f>
        <v/>
      </c>
      <c r="M2545" s="6" t="str">
        <f>IF($D2545="","",IF(ISNA(MATCH($D2545,'Paramètres'!$M:$M,0)),"⚠ Type inconnu",IF($L2545="Crédit","",IFERROR(INDEX('Paramètres'!$O:$O,MATCH($D2545,'Paramètres'!$M:$M,0))&amp;"",""))))</f>
        <v/>
      </c>
      <c r="N2545" s="6" t="str">
        <f>IF($D2545="","",IFERROR(INDEX('Paramètres'!$Q:$Q,MATCH($D2545,'Paramètres'!$M:$M,0))&amp;"",""))</f>
        <v/>
      </c>
      <c r="O2545" s="6" t="str">
        <f>IF($A2545="","",IF(OR($J2545&lt;&gt;"x",$A2545&lt;=FinReleve),1,0))</f>
        <v/>
      </c>
      <c r="P2545" s="6" t="str">
        <f>IF($D2545="","",IF(AND($L2545="Crédit",OR(IFERROR(INDEX('Paramètres'!$O:$O,MATCH($D2545,'Paramètres'!$M:$M,0))&amp;"","")&lt;&gt;"",ISNUMBER(SEARCH("remboursement",IFERROR(INDEX('Paramètres'!$N:$N,MATCH($D2545,'Paramètres'!$M:$M,0))&amp;"",""))))),1,0))</f>
        <v/>
      </c>
      <c r="Q2545" s="6" t="str">
        <f>IF($K2545="","",IF(ISNUMBER(SEARCH("transfert-interne",IFERROR(INDEX('Paramètres'!$N:$N,MATCH($D2545,'Paramètres'!$M:$M,0))&amp;"",""))),0,IF($L2545="Débit",$K2545,IF($P2545=1,-$K2545,0))))</f>
        <v/>
      </c>
      <c r="R2545" s="6" t="str">
        <f>IF($K2545="","",IF($L2545="Crédit",$K2545,-$K2545))</f>
        <v/>
      </c>
      <c r="S2545" s="6" t="str">
        <f>IF($C2545="","",IFERROR(INDEX('Paramètres'!$H:$H,MATCH($C2545,'Paramètres'!$D:$D,0))&amp;"",""))</f>
        <v/>
      </c>
      <c r="T2545" s="6" t="str">
        <f>IF($K2545="","",IF($S2545="",0,IF(ISNUMBER(SEARCH("apport-exterieur",IFERROR(INDEX('Paramètres'!$N:$N,MATCH($D2545,'Paramètres'!$M:$M,0))&amp;"",""))),0,IF(OR(IFERROR(INDEX('Paramètres'!$I:$I,MATCH($C2545,'Paramètres'!$D:$D,0))&amp;"","")="Les deux",IFERROR(INDEX('Paramètres'!$I:$I,MATCH($C2545,'Paramètres'!$D:$D,0))&amp;"","")=IF($P2545=1,"Débit",$L2545)),-IF($P2545=1,-$K2545,$K2545),0))))</f>
        <v/>
      </c>
      <c r="U2545" s="6" t="str">
        <f>IF($K2545="","",IF(ISNUMBER(SEARCH("sortie-epargne",IFERROR(INDEX('Paramètres'!$N:$N,MATCH($D2545,'Paramètres'!$M:$M,0))&amp;"",""))),$K2545,0))</f>
        <v/>
      </c>
      <c r="V2545" s="6" t="str">
        <f>IF(AND($A2545&lt;&gt;"",$O2545=1,$L2545="Débit",N($Q2545)&gt;0,$A2545&gt;=Visualisation!$B$1,$A2545&lt;Visualisation!$D$1),MAX($V$1:V2544)+1,"")</f>
        <v/>
      </c>
    </row>
    <row r="2546" spans="1:22" x14ac:dyDescent="0.25">
      <c r="A2546" s="9"/>
      <c r="E2546" s="10"/>
      <c r="K2546" s="11" t="str">
        <f>IF($E2546="","",ROUND($E2546*IF(ISNA(MATCH($C2546,'Paramètres'!$D:$D,0)),1,IF(INDEX('Paramètres'!$J:$J,MATCH($C2546,'Paramètres'!$D:$D,0))="",1,INDEX('Paramètres'!$J:$J,MATCH($C2546,'Paramètres'!$D:$D,0)))),2))</f>
        <v/>
      </c>
      <c r="L2546" s="6" t="str">
        <f>IF($D2546="","",IF($F2546&lt;&gt;"",$F2546,IF(ISNA(MATCH($D2546,'Paramètres'!$M:$M,0)),"⚠ Type inconnu",IFERROR(INDEX('Paramètres'!$P:$P,MATCH($D2546,'Paramètres'!$M:$M,0))&amp;"",""))))</f>
        <v/>
      </c>
      <c r="M2546" s="6" t="str">
        <f>IF($D2546="","",IF(ISNA(MATCH($D2546,'Paramètres'!$M:$M,0)),"⚠ Type inconnu",IF($L2546="Crédit","",IFERROR(INDEX('Paramètres'!$O:$O,MATCH($D2546,'Paramètres'!$M:$M,0))&amp;"",""))))</f>
        <v/>
      </c>
      <c r="N2546" s="6" t="str">
        <f>IF($D2546="","",IFERROR(INDEX('Paramètres'!$Q:$Q,MATCH($D2546,'Paramètres'!$M:$M,0))&amp;"",""))</f>
        <v/>
      </c>
      <c r="O2546" s="6" t="str">
        <f>IF($A2546="","",IF(OR($J2546&lt;&gt;"x",$A2546&lt;=FinReleve),1,0))</f>
        <v/>
      </c>
      <c r="P2546" s="6" t="str">
        <f>IF($D2546="","",IF(AND($L2546="Crédit",OR(IFERROR(INDEX('Paramètres'!$O:$O,MATCH($D2546,'Paramètres'!$M:$M,0))&amp;"","")&lt;&gt;"",ISNUMBER(SEARCH("remboursement",IFERROR(INDEX('Paramètres'!$N:$N,MATCH($D2546,'Paramètres'!$M:$M,0))&amp;"",""))))),1,0))</f>
        <v/>
      </c>
      <c r="Q2546" s="6" t="str">
        <f>IF($K2546="","",IF(ISNUMBER(SEARCH("transfert-interne",IFERROR(INDEX('Paramètres'!$N:$N,MATCH($D2546,'Paramètres'!$M:$M,0))&amp;"",""))),0,IF($L2546="Débit",$K2546,IF($P2546=1,-$K2546,0))))</f>
        <v/>
      </c>
      <c r="R2546" s="6" t="str">
        <f>IF($K2546="","",IF($L2546="Crédit",$K2546,-$K2546))</f>
        <v/>
      </c>
      <c r="S2546" s="6" t="str">
        <f>IF($C2546="","",IFERROR(INDEX('Paramètres'!$H:$H,MATCH($C2546,'Paramètres'!$D:$D,0))&amp;"",""))</f>
        <v/>
      </c>
      <c r="T2546" s="6" t="str">
        <f>IF($K2546="","",IF($S2546="",0,IF(ISNUMBER(SEARCH("apport-exterieur",IFERROR(INDEX('Paramètres'!$N:$N,MATCH($D2546,'Paramètres'!$M:$M,0))&amp;"",""))),0,IF(OR(IFERROR(INDEX('Paramètres'!$I:$I,MATCH($C2546,'Paramètres'!$D:$D,0))&amp;"","")="Les deux",IFERROR(INDEX('Paramètres'!$I:$I,MATCH($C2546,'Paramètres'!$D:$D,0))&amp;"","")=IF($P2546=1,"Débit",$L2546)),-IF($P2546=1,-$K2546,$K2546),0))))</f>
        <v/>
      </c>
      <c r="U2546" s="6" t="str">
        <f>IF($K2546="","",IF(ISNUMBER(SEARCH("sortie-epargne",IFERROR(INDEX('Paramètres'!$N:$N,MATCH($D2546,'Paramètres'!$M:$M,0))&amp;"",""))),$K2546,0))</f>
        <v/>
      </c>
      <c r="V2546" s="6" t="str">
        <f>IF(AND($A2546&lt;&gt;"",$O2546=1,$L2546="Débit",N($Q2546)&gt;0,$A2546&gt;=Visualisation!$B$1,$A2546&lt;Visualisation!$D$1),MAX($V$1:V2545)+1,"")</f>
        <v/>
      </c>
    </row>
    <row r="2547" spans="1:22" x14ac:dyDescent="0.25">
      <c r="A2547" s="9"/>
      <c r="E2547" s="10"/>
      <c r="K2547" s="11" t="str">
        <f>IF($E2547="","",ROUND($E2547*IF(ISNA(MATCH($C2547,'Paramètres'!$D:$D,0)),1,IF(INDEX('Paramètres'!$J:$J,MATCH($C2547,'Paramètres'!$D:$D,0))="",1,INDEX('Paramètres'!$J:$J,MATCH($C2547,'Paramètres'!$D:$D,0)))),2))</f>
        <v/>
      </c>
      <c r="L2547" s="6" t="str">
        <f>IF($D2547="","",IF($F2547&lt;&gt;"",$F2547,IF(ISNA(MATCH($D2547,'Paramètres'!$M:$M,0)),"⚠ Type inconnu",IFERROR(INDEX('Paramètres'!$P:$P,MATCH($D2547,'Paramètres'!$M:$M,0))&amp;"",""))))</f>
        <v/>
      </c>
      <c r="M2547" s="6" t="str">
        <f>IF($D2547="","",IF(ISNA(MATCH($D2547,'Paramètres'!$M:$M,0)),"⚠ Type inconnu",IF($L2547="Crédit","",IFERROR(INDEX('Paramètres'!$O:$O,MATCH($D2547,'Paramètres'!$M:$M,0))&amp;"",""))))</f>
        <v/>
      </c>
      <c r="N2547" s="6" t="str">
        <f>IF($D2547="","",IFERROR(INDEX('Paramètres'!$Q:$Q,MATCH($D2547,'Paramètres'!$M:$M,0))&amp;"",""))</f>
        <v/>
      </c>
      <c r="O2547" s="6" t="str">
        <f>IF($A2547="","",IF(OR($J2547&lt;&gt;"x",$A2547&lt;=FinReleve),1,0))</f>
        <v/>
      </c>
      <c r="P2547" s="6" t="str">
        <f>IF($D2547="","",IF(AND($L2547="Crédit",OR(IFERROR(INDEX('Paramètres'!$O:$O,MATCH($D2547,'Paramètres'!$M:$M,0))&amp;"","")&lt;&gt;"",ISNUMBER(SEARCH("remboursement",IFERROR(INDEX('Paramètres'!$N:$N,MATCH($D2547,'Paramètres'!$M:$M,0))&amp;"",""))))),1,0))</f>
        <v/>
      </c>
      <c r="Q2547" s="6" t="str">
        <f>IF($K2547="","",IF(ISNUMBER(SEARCH("transfert-interne",IFERROR(INDEX('Paramètres'!$N:$N,MATCH($D2547,'Paramètres'!$M:$M,0))&amp;"",""))),0,IF($L2547="Débit",$K2547,IF($P2547=1,-$K2547,0))))</f>
        <v/>
      </c>
      <c r="R2547" s="6" t="str">
        <f>IF($K2547="","",IF($L2547="Crédit",$K2547,-$K2547))</f>
        <v/>
      </c>
      <c r="S2547" s="6" t="str">
        <f>IF($C2547="","",IFERROR(INDEX('Paramètres'!$H:$H,MATCH($C2547,'Paramètres'!$D:$D,0))&amp;"",""))</f>
        <v/>
      </c>
      <c r="T2547" s="6" t="str">
        <f>IF($K2547="","",IF($S2547="",0,IF(ISNUMBER(SEARCH("apport-exterieur",IFERROR(INDEX('Paramètres'!$N:$N,MATCH($D2547,'Paramètres'!$M:$M,0))&amp;"",""))),0,IF(OR(IFERROR(INDEX('Paramètres'!$I:$I,MATCH($C2547,'Paramètres'!$D:$D,0))&amp;"","")="Les deux",IFERROR(INDEX('Paramètres'!$I:$I,MATCH($C2547,'Paramètres'!$D:$D,0))&amp;"","")=IF($P2547=1,"Débit",$L2547)),-IF($P2547=1,-$K2547,$K2547),0))))</f>
        <v/>
      </c>
      <c r="U2547" s="6" t="str">
        <f>IF($K2547="","",IF(ISNUMBER(SEARCH("sortie-epargne",IFERROR(INDEX('Paramètres'!$N:$N,MATCH($D2547,'Paramètres'!$M:$M,0))&amp;"",""))),$K2547,0))</f>
        <v/>
      </c>
      <c r="V2547" s="6" t="str">
        <f>IF(AND($A2547&lt;&gt;"",$O2547=1,$L2547="Débit",N($Q2547)&gt;0,$A2547&gt;=Visualisation!$B$1,$A2547&lt;Visualisation!$D$1),MAX($V$1:V2546)+1,"")</f>
        <v/>
      </c>
    </row>
    <row r="2548" spans="1:22" x14ac:dyDescent="0.25">
      <c r="A2548" s="9"/>
      <c r="E2548" s="10"/>
      <c r="K2548" s="11" t="str">
        <f>IF($E2548="","",ROUND($E2548*IF(ISNA(MATCH($C2548,'Paramètres'!$D:$D,0)),1,IF(INDEX('Paramètres'!$J:$J,MATCH($C2548,'Paramètres'!$D:$D,0))="",1,INDEX('Paramètres'!$J:$J,MATCH($C2548,'Paramètres'!$D:$D,0)))),2))</f>
        <v/>
      </c>
      <c r="L2548" s="6" t="str">
        <f>IF($D2548="","",IF($F2548&lt;&gt;"",$F2548,IF(ISNA(MATCH($D2548,'Paramètres'!$M:$M,0)),"⚠ Type inconnu",IFERROR(INDEX('Paramètres'!$P:$P,MATCH($D2548,'Paramètres'!$M:$M,0))&amp;"",""))))</f>
        <v/>
      </c>
      <c r="M2548" s="6" t="str">
        <f>IF($D2548="","",IF(ISNA(MATCH($D2548,'Paramètres'!$M:$M,0)),"⚠ Type inconnu",IF($L2548="Crédit","",IFERROR(INDEX('Paramètres'!$O:$O,MATCH($D2548,'Paramètres'!$M:$M,0))&amp;"",""))))</f>
        <v/>
      </c>
      <c r="N2548" s="6" t="str">
        <f>IF($D2548="","",IFERROR(INDEX('Paramètres'!$Q:$Q,MATCH($D2548,'Paramètres'!$M:$M,0))&amp;"",""))</f>
        <v/>
      </c>
      <c r="O2548" s="6" t="str">
        <f>IF($A2548="","",IF(OR($J2548&lt;&gt;"x",$A2548&lt;=FinReleve),1,0))</f>
        <v/>
      </c>
      <c r="P2548" s="6" t="str">
        <f>IF($D2548="","",IF(AND($L2548="Crédit",OR(IFERROR(INDEX('Paramètres'!$O:$O,MATCH($D2548,'Paramètres'!$M:$M,0))&amp;"","")&lt;&gt;"",ISNUMBER(SEARCH("remboursement",IFERROR(INDEX('Paramètres'!$N:$N,MATCH($D2548,'Paramètres'!$M:$M,0))&amp;"",""))))),1,0))</f>
        <v/>
      </c>
      <c r="Q2548" s="6" t="str">
        <f>IF($K2548="","",IF(ISNUMBER(SEARCH("transfert-interne",IFERROR(INDEX('Paramètres'!$N:$N,MATCH($D2548,'Paramètres'!$M:$M,0))&amp;"",""))),0,IF($L2548="Débit",$K2548,IF($P2548=1,-$K2548,0))))</f>
        <v/>
      </c>
      <c r="R2548" s="6" t="str">
        <f>IF($K2548="","",IF($L2548="Crédit",$K2548,-$K2548))</f>
        <v/>
      </c>
      <c r="S2548" s="6" t="str">
        <f>IF($C2548="","",IFERROR(INDEX('Paramètres'!$H:$H,MATCH($C2548,'Paramètres'!$D:$D,0))&amp;"",""))</f>
        <v/>
      </c>
      <c r="T2548" s="6" t="str">
        <f>IF($K2548="","",IF($S2548="",0,IF(ISNUMBER(SEARCH("apport-exterieur",IFERROR(INDEX('Paramètres'!$N:$N,MATCH($D2548,'Paramètres'!$M:$M,0))&amp;"",""))),0,IF(OR(IFERROR(INDEX('Paramètres'!$I:$I,MATCH($C2548,'Paramètres'!$D:$D,0))&amp;"","")="Les deux",IFERROR(INDEX('Paramètres'!$I:$I,MATCH($C2548,'Paramètres'!$D:$D,0))&amp;"","")=IF($P2548=1,"Débit",$L2548)),-IF($P2548=1,-$K2548,$K2548),0))))</f>
        <v/>
      </c>
      <c r="U2548" s="6" t="str">
        <f>IF($K2548="","",IF(ISNUMBER(SEARCH("sortie-epargne",IFERROR(INDEX('Paramètres'!$N:$N,MATCH($D2548,'Paramètres'!$M:$M,0))&amp;"",""))),$K2548,0))</f>
        <v/>
      </c>
      <c r="V2548" s="6" t="str">
        <f>IF(AND($A2548&lt;&gt;"",$O2548=1,$L2548="Débit",N($Q2548)&gt;0,$A2548&gt;=Visualisation!$B$1,$A2548&lt;Visualisation!$D$1),MAX($V$1:V2547)+1,"")</f>
        <v/>
      </c>
    </row>
    <row r="2549" spans="1:22" x14ac:dyDescent="0.25">
      <c r="A2549" s="9"/>
      <c r="E2549" s="10"/>
      <c r="K2549" s="11" t="str">
        <f>IF($E2549="","",ROUND($E2549*IF(ISNA(MATCH($C2549,'Paramètres'!$D:$D,0)),1,IF(INDEX('Paramètres'!$J:$J,MATCH($C2549,'Paramètres'!$D:$D,0))="",1,INDEX('Paramètres'!$J:$J,MATCH($C2549,'Paramètres'!$D:$D,0)))),2))</f>
        <v/>
      </c>
      <c r="L2549" s="6" t="str">
        <f>IF($D2549="","",IF($F2549&lt;&gt;"",$F2549,IF(ISNA(MATCH($D2549,'Paramètres'!$M:$M,0)),"⚠ Type inconnu",IFERROR(INDEX('Paramètres'!$P:$P,MATCH($D2549,'Paramètres'!$M:$M,0))&amp;"",""))))</f>
        <v/>
      </c>
      <c r="M2549" s="6" t="str">
        <f>IF($D2549="","",IF(ISNA(MATCH($D2549,'Paramètres'!$M:$M,0)),"⚠ Type inconnu",IF($L2549="Crédit","",IFERROR(INDEX('Paramètres'!$O:$O,MATCH($D2549,'Paramètres'!$M:$M,0))&amp;"",""))))</f>
        <v/>
      </c>
      <c r="N2549" s="6" t="str">
        <f>IF($D2549="","",IFERROR(INDEX('Paramètres'!$Q:$Q,MATCH($D2549,'Paramètres'!$M:$M,0))&amp;"",""))</f>
        <v/>
      </c>
      <c r="O2549" s="6" t="str">
        <f>IF($A2549="","",IF(OR($J2549&lt;&gt;"x",$A2549&lt;=FinReleve),1,0))</f>
        <v/>
      </c>
      <c r="P2549" s="6" t="str">
        <f>IF($D2549="","",IF(AND($L2549="Crédit",OR(IFERROR(INDEX('Paramètres'!$O:$O,MATCH($D2549,'Paramètres'!$M:$M,0))&amp;"","")&lt;&gt;"",ISNUMBER(SEARCH("remboursement",IFERROR(INDEX('Paramètres'!$N:$N,MATCH($D2549,'Paramètres'!$M:$M,0))&amp;"",""))))),1,0))</f>
        <v/>
      </c>
      <c r="Q2549" s="6" t="str">
        <f>IF($K2549="","",IF(ISNUMBER(SEARCH("transfert-interne",IFERROR(INDEX('Paramètres'!$N:$N,MATCH($D2549,'Paramètres'!$M:$M,0))&amp;"",""))),0,IF($L2549="Débit",$K2549,IF($P2549=1,-$K2549,0))))</f>
        <v/>
      </c>
      <c r="R2549" s="6" t="str">
        <f>IF($K2549="","",IF($L2549="Crédit",$K2549,-$K2549))</f>
        <v/>
      </c>
      <c r="S2549" s="6" t="str">
        <f>IF($C2549="","",IFERROR(INDEX('Paramètres'!$H:$H,MATCH($C2549,'Paramètres'!$D:$D,0))&amp;"",""))</f>
        <v/>
      </c>
      <c r="T2549" s="6" t="str">
        <f>IF($K2549="","",IF($S2549="",0,IF(ISNUMBER(SEARCH("apport-exterieur",IFERROR(INDEX('Paramètres'!$N:$N,MATCH($D2549,'Paramètres'!$M:$M,0))&amp;"",""))),0,IF(OR(IFERROR(INDEX('Paramètres'!$I:$I,MATCH($C2549,'Paramètres'!$D:$D,0))&amp;"","")="Les deux",IFERROR(INDEX('Paramètres'!$I:$I,MATCH($C2549,'Paramètres'!$D:$D,0))&amp;"","")=IF($P2549=1,"Débit",$L2549)),-IF($P2549=1,-$K2549,$K2549),0))))</f>
        <v/>
      </c>
      <c r="U2549" s="6" t="str">
        <f>IF($K2549="","",IF(ISNUMBER(SEARCH("sortie-epargne",IFERROR(INDEX('Paramètres'!$N:$N,MATCH($D2549,'Paramètres'!$M:$M,0))&amp;"",""))),$K2549,0))</f>
        <v/>
      </c>
      <c r="V2549" s="6" t="str">
        <f>IF(AND($A2549&lt;&gt;"",$O2549=1,$L2549="Débit",N($Q2549)&gt;0,$A2549&gt;=Visualisation!$B$1,$A2549&lt;Visualisation!$D$1),MAX($V$1:V2548)+1,"")</f>
        <v/>
      </c>
    </row>
    <row r="2550" spans="1:22" x14ac:dyDescent="0.25">
      <c r="A2550" s="9"/>
      <c r="E2550" s="10"/>
      <c r="K2550" s="11" t="str">
        <f>IF($E2550="","",ROUND($E2550*IF(ISNA(MATCH($C2550,'Paramètres'!$D:$D,0)),1,IF(INDEX('Paramètres'!$J:$J,MATCH($C2550,'Paramètres'!$D:$D,0))="",1,INDEX('Paramètres'!$J:$J,MATCH($C2550,'Paramètres'!$D:$D,0)))),2))</f>
        <v/>
      </c>
      <c r="L2550" s="6" t="str">
        <f>IF($D2550="","",IF($F2550&lt;&gt;"",$F2550,IF(ISNA(MATCH($D2550,'Paramètres'!$M:$M,0)),"⚠ Type inconnu",IFERROR(INDEX('Paramètres'!$P:$P,MATCH($D2550,'Paramètres'!$M:$M,0))&amp;"",""))))</f>
        <v/>
      </c>
      <c r="M2550" s="6" t="str">
        <f>IF($D2550="","",IF(ISNA(MATCH($D2550,'Paramètres'!$M:$M,0)),"⚠ Type inconnu",IF($L2550="Crédit","",IFERROR(INDEX('Paramètres'!$O:$O,MATCH($D2550,'Paramètres'!$M:$M,0))&amp;"",""))))</f>
        <v/>
      </c>
      <c r="N2550" s="6" t="str">
        <f>IF($D2550="","",IFERROR(INDEX('Paramètres'!$Q:$Q,MATCH($D2550,'Paramètres'!$M:$M,0))&amp;"",""))</f>
        <v/>
      </c>
      <c r="O2550" s="6" t="str">
        <f>IF($A2550="","",IF(OR($J2550&lt;&gt;"x",$A2550&lt;=FinReleve),1,0))</f>
        <v/>
      </c>
      <c r="P2550" s="6" t="str">
        <f>IF($D2550="","",IF(AND($L2550="Crédit",OR(IFERROR(INDEX('Paramètres'!$O:$O,MATCH($D2550,'Paramètres'!$M:$M,0))&amp;"","")&lt;&gt;"",ISNUMBER(SEARCH("remboursement",IFERROR(INDEX('Paramètres'!$N:$N,MATCH($D2550,'Paramètres'!$M:$M,0))&amp;"",""))))),1,0))</f>
        <v/>
      </c>
      <c r="Q2550" s="6" t="str">
        <f>IF($K2550="","",IF(ISNUMBER(SEARCH("transfert-interne",IFERROR(INDEX('Paramètres'!$N:$N,MATCH($D2550,'Paramètres'!$M:$M,0))&amp;"",""))),0,IF($L2550="Débit",$K2550,IF($P2550=1,-$K2550,0))))</f>
        <v/>
      </c>
      <c r="R2550" s="6" t="str">
        <f>IF($K2550="","",IF($L2550="Crédit",$K2550,-$K2550))</f>
        <v/>
      </c>
      <c r="S2550" s="6" t="str">
        <f>IF($C2550="","",IFERROR(INDEX('Paramètres'!$H:$H,MATCH($C2550,'Paramètres'!$D:$D,0))&amp;"",""))</f>
        <v/>
      </c>
      <c r="T2550" s="6" t="str">
        <f>IF($K2550="","",IF($S2550="",0,IF(ISNUMBER(SEARCH("apport-exterieur",IFERROR(INDEX('Paramètres'!$N:$N,MATCH($D2550,'Paramètres'!$M:$M,0))&amp;"",""))),0,IF(OR(IFERROR(INDEX('Paramètres'!$I:$I,MATCH($C2550,'Paramètres'!$D:$D,0))&amp;"","")="Les deux",IFERROR(INDEX('Paramètres'!$I:$I,MATCH($C2550,'Paramètres'!$D:$D,0))&amp;"","")=IF($P2550=1,"Débit",$L2550)),-IF($P2550=1,-$K2550,$K2550),0))))</f>
        <v/>
      </c>
      <c r="U2550" s="6" t="str">
        <f>IF($K2550="","",IF(ISNUMBER(SEARCH("sortie-epargne",IFERROR(INDEX('Paramètres'!$N:$N,MATCH($D2550,'Paramètres'!$M:$M,0))&amp;"",""))),$K2550,0))</f>
        <v/>
      </c>
      <c r="V2550" s="6" t="str">
        <f>IF(AND($A2550&lt;&gt;"",$O2550=1,$L2550="Débit",N($Q2550)&gt;0,$A2550&gt;=Visualisation!$B$1,$A2550&lt;Visualisation!$D$1),MAX($V$1:V2549)+1,"")</f>
        <v/>
      </c>
    </row>
    <row r="2551" spans="1:22" x14ac:dyDescent="0.25">
      <c r="A2551" s="9"/>
      <c r="E2551" s="10"/>
      <c r="K2551" s="11" t="str">
        <f>IF($E2551="","",ROUND($E2551*IF(ISNA(MATCH($C2551,'Paramètres'!$D:$D,0)),1,IF(INDEX('Paramètres'!$J:$J,MATCH($C2551,'Paramètres'!$D:$D,0))="",1,INDEX('Paramètres'!$J:$J,MATCH($C2551,'Paramètres'!$D:$D,0)))),2))</f>
        <v/>
      </c>
      <c r="L2551" s="6" t="str">
        <f>IF($D2551="","",IF($F2551&lt;&gt;"",$F2551,IF(ISNA(MATCH($D2551,'Paramètres'!$M:$M,0)),"⚠ Type inconnu",IFERROR(INDEX('Paramètres'!$P:$P,MATCH($D2551,'Paramètres'!$M:$M,0))&amp;"",""))))</f>
        <v/>
      </c>
      <c r="M2551" s="6" t="str">
        <f>IF($D2551="","",IF(ISNA(MATCH($D2551,'Paramètres'!$M:$M,0)),"⚠ Type inconnu",IF($L2551="Crédit","",IFERROR(INDEX('Paramètres'!$O:$O,MATCH($D2551,'Paramètres'!$M:$M,0))&amp;"",""))))</f>
        <v/>
      </c>
      <c r="N2551" s="6" t="str">
        <f>IF($D2551="","",IFERROR(INDEX('Paramètres'!$Q:$Q,MATCH($D2551,'Paramètres'!$M:$M,0))&amp;"",""))</f>
        <v/>
      </c>
      <c r="O2551" s="6" t="str">
        <f>IF($A2551="","",IF(OR($J2551&lt;&gt;"x",$A2551&lt;=FinReleve),1,0))</f>
        <v/>
      </c>
      <c r="P2551" s="6" t="str">
        <f>IF($D2551="","",IF(AND($L2551="Crédit",OR(IFERROR(INDEX('Paramètres'!$O:$O,MATCH($D2551,'Paramètres'!$M:$M,0))&amp;"","")&lt;&gt;"",ISNUMBER(SEARCH("remboursement",IFERROR(INDEX('Paramètres'!$N:$N,MATCH($D2551,'Paramètres'!$M:$M,0))&amp;"",""))))),1,0))</f>
        <v/>
      </c>
      <c r="Q2551" s="6" t="str">
        <f>IF($K2551="","",IF(ISNUMBER(SEARCH("transfert-interne",IFERROR(INDEX('Paramètres'!$N:$N,MATCH($D2551,'Paramètres'!$M:$M,0))&amp;"",""))),0,IF($L2551="Débit",$K2551,IF($P2551=1,-$K2551,0))))</f>
        <v/>
      </c>
      <c r="R2551" s="6" t="str">
        <f>IF($K2551="","",IF($L2551="Crédit",$K2551,-$K2551))</f>
        <v/>
      </c>
      <c r="S2551" s="6" t="str">
        <f>IF($C2551="","",IFERROR(INDEX('Paramètres'!$H:$H,MATCH($C2551,'Paramètres'!$D:$D,0))&amp;"",""))</f>
        <v/>
      </c>
      <c r="T2551" s="6" t="str">
        <f>IF($K2551="","",IF($S2551="",0,IF(ISNUMBER(SEARCH("apport-exterieur",IFERROR(INDEX('Paramètres'!$N:$N,MATCH($D2551,'Paramètres'!$M:$M,0))&amp;"",""))),0,IF(OR(IFERROR(INDEX('Paramètres'!$I:$I,MATCH($C2551,'Paramètres'!$D:$D,0))&amp;"","")="Les deux",IFERROR(INDEX('Paramètres'!$I:$I,MATCH($C2551,'Paramètres'!$D:$D,0))&amp;"","")=IF($P2551=1,"Débit",$L2551)),-IF($P2551=1,-$K2551,$K2551),0))))</f>
        <v/>
      </c>
      <c r="U2551" s="6" t="str">
        <f>IF($K2551="","",IF(ISNUMBER(SEARCH("sortie-epargne",IFERROR(INDEX('Paramètres'!$N:$N,MATCH($D2551,'Paramètres'!$M:$M,0))&amp;"",""))),$K2551,0))</f>
        <v/>
      </c>
      <c r="V2551" s="6" t="str">
        <f>IF(AND($A2551&lt;&gt;"",$O2551=1,$L2551="Débit",N($Q2551)&gt;0,$A2551&gt;=Visualisation!$B$1,$A2551&lt;Visualisation!$D$1),MAX($V$1:V2550)+1,"")</f>
        <v/>
      </c>
    </row>
    <row r="2552" spans="1:22" x14ac:dyDescent="0.25">
      <c r="A2552" s="9"/>
      <c r="E2552" s="10"/>
      <c r="K2552" s="11" t="str">
        <f>IF($E2552="","",ROUND($E2552*IF(ISNA(MATCH($C2552,'Paramètres'!$D:$D,0)),1,IF(INDEX('Paramètres'!$J:$J,MATCH($C2552,'Paramètres'!$D:$D,0))="",1,INDEX('Paramètres'!$J:$J,MATCH($C2552,'Paramètres'!$D:$D,0)))),2))</f>
        <v/>
      </c>
      <c r="L2552" s="6" t="str">
        <f>IF($D2552="","",IF($F2552&lt;&gt;"",$F2552,IF(ISNA(MATCH($D2552,'Paramètres'!$M:$M,0)),"⚠ Type inconnu",IFERROR(INDEX('Paramètres'!$P:$P,MATCH($D2552,'Paramètres'!$M:$M,0))&amp;"",""))))</f>
        <v/>
      </c>
      <c r="M2552" s="6" t="str">
        <f>IF($D2552="","",IF(ISNA(MATCH($D2552,'Paramètres'!$M:$M,0)),"⚠ Type inconnu",IF($L2552="Crédit","",IFERROR(INDEX('Paramètres'!$O:$O,MATCH($D2552,'Paramètres'!$M:$M,0))&amp;"",""))))</f>
        <v/>
      </c>
      <c r="N2552" s="6" t="str">
        <f>IF($D2552="","",IFERROR(INDEX('Paramètres'!$Q:$Q,MATCH($D2552,'Paramètres'!$M:$M,0))&amp;"",""))</f>
        <v/>
      </c>
      <c r="O2552" s="6" t="str">
        <f>IF($A2552="","",IF(OR($J2552&lt;&gt;"x",$A2552&lt;=FinReleve),1,0))</f>
        <v/>
      </c>
      <c r="P2552" s="6" t="str">
        <f>IF($D2552="","",IF(AND($L2552="Crédit",OR(IFERROR(INDEX('Paramètres'!$O:$O,MATCH($D2552,'Paramètres'!$M:$M,0))&amp;"","")&lt;&gt;"",ISNUMBER(SEARCH("remboursement",IFERROR(INDEX('Paramètres'!$N:$N,MATCH($D2552,'Paramètres'!$M:$M,0))&amp;"",""))))),1,0))</f>
        <v/>
      </c>
      <c r="Q2552" s="6" t="str">
        <f>IF($K2552="","",IF(ISNUMBER(SEARCH("transfert-interne",IFERROR(INDEX('Paramètres'!$N:$N,MATCH($D2552,'Paramètres'!$M:$M,0))&amp;"",""))),0,IF($L2552="Débit",$K2552,IF($P2552=1,-$K2552,0))))</f>
        <v/>
      </c>
      <c r="R2552" s="6" t="str">
        <f>IF($K2552="","",IF($L2552="Crédit",$K2552,-$K2552))</f>
        <v/>
      </c>
      <c r="S2552" s="6" t="str">
        <f>IF($C2552="","",IFERROR(INDEX('Paramètres'!$H:$H,MATCH($C2552,'Paramètres'!$D:$D,0))&amp;"",""))</f>
        <v/>
      </c>
      <c r="T2552" s="6" t="str">
        <f>IF($K2552="","",IF($S2552="",0,IF(ISNUMBER(SEARCH("apport-exterieur",IFERROR(INDEX('Paramètres'!$N:$N,MATCH($D2552,'Paramètres'!$M:$M,0))&amp;"",""))),0,IF(OR(IFERROR(INDEX('Paramètres'!$I:$I,MATCH($C2552,'Paramètres'!$D:$D,0))&amp;"","")="Les deux",IFERROR(INDEX('Paramètres'!$I:$I,MATCH($C2552,'Paramètres'!$D:$D,0))&amp;"","")=IF($P2552=1,"Débit",$L2552)),-IF($P2552=1,-$K2552,$K2552),0))))</f>
        <v/>
      </c>
      <c r="U2552" s="6" t="str">
        <f>IF($K2552="","",IF(ISNUMBER(SEARCH("sortie-epargne",IFERROR(INDEX('Paramètres'!$N:$N,MATCH($D2552,'Paramètres'!$M:$M,0))&amp;"",""))),$K2552,0))</f>
        <v/>
      </c>
      <c r="V2552" s="6" t="str">
        <f>IF(AND($A2552&lt;&gt;"",$O2552=1,$L2552="Débit",N($Q2552)&gt;0,$A2552&gt;=Visualisation!$B$1,$A2552&lt;Visualisation!$D$1),MAX($V$1:V2551)+1,"")</f>
        <v/>
      </c>
    </row>
    <row r="2553" spans="1:22" x14ac:dyDescent="0.25">
      <c r="A2553" s="9"/>
      <c r="E2553" s="10"/>
      <c r="K2553" s="11" t="str">
        <f>IF($E2553="","",ROUND($E2553*IF(ISNA(MATCH($C2553,'Paramètres'!$D:$D,0)),1,IF(INDEX('Paramètres'!$J:$J,MATCH($C2553,'Paramètres'!$D:$D,0))="",1,INDEX('Paramètres'!$J:$J,MATCH($C2553,'Paramètres'!$D:$D,0)))),2))</f>
        <v/>
      </c>
      <c r="L2553" s="6" t="str">
        <f>IF($D2553="","",IF($F2553&lt;&gt;"",$F2553,IF(ISNA(MATCH($D2553,'Paramètres'!$M:$M,0)),"⚠ Type inconnu",IFERROR(INDEX('Paramètres'!$P:$P,MATCH($D2553,'Paramètres'!$M:$M,0))&amp;"",""))))</f>
        <v/>
      </c>
      <c r="M2553" s="6" t="str">
        <f>IF($D2553="","",IF(ISNA(MATCH($D2553,'Paramètres'!$M:$M,0)),"⚠ Type inconnu",IF($L2553="Crédit","",IFERROR(INDEX('Paramètres'!$O:$O,MATCH($D2553,'Paramètres'!$M:$M,0))&amp;"",""))))</f>
        <v/>
      </c>
      <c r="N2553" s="6" t="str">
        <f>IF($D2553="","",IFERROR(INDEX('Paramètres'!$Q:$Q,MATCH($D2553,'Paramètres'!$M:$M,0))&amp;"",""))</f>
        <v/>
      </c>
      <c r="O2553" s="6" t="str">
        <f>IF($A2553="","",IF(OR($J2553&lt;&gt;"x",$A2553&lt;=FinReleve),1,0))</f>
        <v/>
      </c>
      <c r="P2553" s="6" t="str">
        <f>IF($D2553="","",IF(AND($L2553="Crédit",OR(IFERROR(INDEX('Paramètres'!$O:$O,MATCH($D2553,'Paramètres'!$M:$M,0))&amp;"","")&lt;&gt;"",ISNUMBER(SEARCH("remboursement",IFERROR(INDEX('Paramètres'!$N:$N,MATCH($D2553,'Paramètres'!$M:$M,0))&amp;"",""))))),1,0))</f>
        <v/>
      </c>
      <c r="Q2553" s="6" t="str">
        <f>IF($K2553="","",IF(ISNUMBER(SEARCH("transfert-interne",IFERROR(INDEX('Paramètres'!$N:$N,MATCH($D2553,'Paramètres'!$M:$M,0))&amp;"",""))),0,IF($L2553="Débit",$K2553,IF($P2553=1,-$K2553,0))))</f>
        <v/>
      </c>
      <c r="R2553" s="6" t="str">
        <f>IF($K2553="","",IF($L2553="Crédit",$K2553,-$K2553))</f>
        <v/>
      </c>
      <c r="S2553" s="6" t="str">
        <f>IF($C2553="","",IFERROR(INDEX('Paramètres'!$H:$H,MATCH($C2553,'Paramètres'!$D:$D,0))&amp;"",""))</f>
        <v/>
      </c>
      <c r="T2553" s="6" t="str">
        <f>IF($K2553="","",IF($S2553="",0,IF(ISNUMBER(SEARCH("apport-exterieur",IFERROR(INDEX('Paramètres'!$N:$N,MATCH($D2553,'Paramètres'!$M:$M,0))&amp;"",""))),0,IF(OR(IFERROR(INDEX('Paramètres'!$I:$I,MATCH($C2553,'Paramètres'!$D:$D,0))&amp;"","")="Les deux",IFERROR(INDEX('Paramètres'!$I:$I,MATCH($C2553,'Paramètres'!$D:$D,0))&amp;"","")=IF($P2553=1,"Débit",$L2553)),-IF($P2553=1,-$K2553,$K2553),0))))</f>
        <v/>
      </c>
      <c r="U2553" s="6" t="str">
        <f>IF($K2553="","",IF(ISNUMBER(SEARCH("sortie-epargne",IFERROR(INDEX('Paramètres'!$N:$N,MATCH($D2553,'Paramètres'!$M:$M,0))&amp;"",""))),$K2553,0))</f>
        <v/>
      </c>
      <c r="V2553" s="6" t="str">
        <f>IF(AND($A2553&lt;&gt;"",$O2553=1,$L2553="Débit",N($Q2553)&gt;0,$A2553&gt;=Visualisation!$B$1,$A2553&lt;Visualisation!$D$1),MAX($V$1:V2552)+1,"")</f>
        <v/>
      </c>
    </row>
    <row r="2554" spans="1:22" x14ac:dyDescent="0.25">
      <c r="A2554" s="9"/>
      <c r="E2554" s="10"/>
      <c r="K2554" s="11" t="str">
        <f>IF($E2554="","",ROUND($E2554*IF(ISNA(MATCH($C2554,'Paramètres'!$D:$D,0)),1,IF(INDEX('Paramètres'!$J:$J,MATCH($C2554,'Paramètres'!$D:$D,0))="",1,INDEX('Paramètres'!$J:$J,MATCH($C2554,'Paramètres'!$D:$D,0)))),2))</f>
        <v/>
      </c>
      <c r="L2554" s="6" t="str">
        <f>IF($D2554="","",IF($F2554&lt;&gt;"",$F2554,IF(ISNA(MATCH($D2554,'Paramètres'!$M:$M,0)),"⚠ Type inconnu",IFERROR(INDEX('Paramètres'!$P:$P,MATCH($D2554,'Paramètres'!$M:$M,0))&amp;"",""))))</f>
        <v/>
      </c>
      <c r="M2554" s="6" t="str">
        <f>IF($D2554="","",IF(ISNA(MATCH($D2554,'Paramètres'!$M:$M,0)),"⚠ Type inconnu",IF($L2554="Crédit","",IFERROR(INDEX('Paramètres'!$O:$O,MATCH($D2554,'Paramètres'!$M:$M,0))&amp;"",""))))</f>
        <v/>
      </c>
      <c r="N2554" s="6" t="str">
        <f>IF($D2554="","",IFERROR(INDEX('Paramètres'!$Q:$Q,MATCH($D2554,'Paramètres'!$M:$M,0))&amp;"",""))</f>
        <v/>
      </c>
      <c r="O2554" s="6" t="str">
        <f>IF($A2554="","",IF(OR($J2554&lt;&gt;"x",$A2554&lt;=FinReleve),1,0))</f>
        <v/>
      </c>
      <c r="P2554" s="6" t="str">
        <f>IF($D2554="","",IF(AND($L2554="Crédit",OR(IFERROR(INDEX('Paramètres'!$O:$O,MATCH($D2554,'Paramètres'!$M:$M,0))&amp;"","")&lt;&gt;"",ISNUMBER(SEARCH("remboursement",IFERROR(INDEX('Paramètres'!$N:$N,MATCH($D2554,'Paramètres'!$M:$M,0))&amp;"",""))))),1,0))</f>
        <v/>
      </c>
      <c r="Q2554" s="6" t="str">
        <f>IF($K2554="","",IF(ISNUMBER(SEARCH("transfert-interne",IFERROR(INDEX('Paramètres'!$N:$N,MATCH($D2554,'Paramètres'!$M:$M,0))&amp;"",""))),0,IF($L2554="Débit",$K2554,IF($P2554=1,-$K2554,0))))</f>
        <v/>
      </c>
      <c r="R2554" s="6" t="str">
        <f>IF($K2554="","",IF($L2554="Crédit",$K2554,-$K2554))</f>
        <v/>
      </c>
      <c r="S2554" s="6" t="str">
        <f>IF($C2554="","",IFERROR(INDEX('Paramètres'!$H:$H,MATCH($C2554,'Paramètres'!$D:$D,0))&amp;"",""))</f>
        <v/>
      </c>
      <c r="T2554" s="6" t="str">
        <f>IF($K2554="","",IF($S2554="",0,IF(ISNUMBER(SEARCH("apport-exterieur",IFERROR(INDEX('Paramètres'!$N:$N,MATCH($D2554,'Paramètres'!$M:$M,0))&amp;"",""))),0,IF(OR(IFERROR(INDEX('Paramètres'!$I:$I,MATCH($C2554,'Paramètres'!$D:$D,0))&amp;"","")="Les deux",IFERROR(INDEX('Paramètres'!$I:$I,MATCH($C2554,'Paramètres'!$D:$D,0))&amp;"","")=IF($P2554=1,"Débit",$L2554)),-IF($P2554=1,-$K2554,$K2554),0))))</f>
        <v/>
      </c>
      <c r="U2554" s="6" t="str">
        <f>IF($K2554="","",IF(ISNUMBER(SEARCH("sortie-epargne",IFERROR(INDEX('Paramètres'!$N:$N,MATCH($D2554,'Paramètres'!$M:$M,0))&amp;"",""))),$K2554,0))</f>
        <v/>
      </c>
      <c r="V2554" s="6" t="str">
        <f>IF(AND($A2554&lt;&gt;"",$O2554=1,$L2554="Débit",N($Q2554)&gt;0,$A2554&gt;=Visualisation!$B$1,$A2554&lt;Visualisation!$D$1),MAX($V$1:V2553)+1,"")</f>
        <v/>
      </c>
    </row>
    <row r="2555" spans="1:22" x14ac:dyDescent="0.25">
      <c r="A2555" s="9"/>
      <c r="E2555" s="10"/>
      <c r="K2555" s="11" t="str">
        <f>IF($E2555="","",ROUND($E2555*IF(ISNA(MATCH($C2555,'Paramètres'!$D:$D,0)),1,IF(INDEX('Paramètres'!$J:$J,MATCH($C2555,'Paramètres'!$D:$D,0))="",1,INDEX('Paramètres'!$J:$J,MATCH($C2555,'Paramètres'!$D:$D,0)))),2))</f>
        <v/>
      </c>
      <c r="L2555" s="6" t="str">
        <f>IF($D2555="","",IF($F2555&lt;&gt;"",$F2555,IF(ISNA(MATCH($D2555,'Paramètres'!$M:$M,0)),"⚠ Type inconnu",IFERROR(INDEX('Paramètres'!$P:$P,MATCH($D2555,'Paramètres'!$M:$M,0))&amp;"",""))))</f>
        <v/>
      </c>
      <c r="M2555" s="6" t="str">
        <f>IF($D2555="","",IF(ISNA(MATCH($D2555,'Paramètres'!$M:$M,0)),"⚠ Type inconnu",IF($L2555="Crédit","",IFERROR(INDEX('Paramètres'!$O:$O,MATCH($D2555,'Paramètres'!$M:$M,0))&amp;"",""))))</f>
        <v/>
      </c>
      <c r="N2555" s="6" t="str">
        <f>IF($D2555="","",IFERROR(INDEX('Paramètres'!$Q:$Q,MATCH($D2555,'Paramètres'!$M:$M,0))&amp;"",""))</f>
        <v/>
      </c>
      <c r="O2555" s="6" t="str">
        <f>IF($A2555="","",IF(OR($J2555&lt;&gt;"x",$A2555&lt;=FinReleve),1,0))</f>
        <v/>
      </c>
      <c r="P2555" s="6" t="str">
        <f>IF($D2555="","",IF(AND($L2555="Crédit",OR(IFERROR(INDEX('Paramètres'!$O:$O,MATCH($D2555,'Paramètres'!$M:$M,0))&amp;"","")&lt;&gt;"",ISNUMBER(SEARCH("remboursement",IFERROR(INDEX('Paramètres'!$N:$N,MATCH($D2555,'Paramètres'!$M:$M,0))&amp;"",""))))),1,0))</f>
        <v/>
      </c>
      <c r="Q2555" s="6" t="str">
        <f>IF($K2555="","",IF(ISNUMBER(SEARCH("transfert-interne",IFERROR(INDEX('Paramètres'!$N:$N,MATCH($D2555,'Paramètres'!$M:$M,0))&amp;"",""))),0,IF($L2555="Débit",$K2555,IF($P2555=1,-$K2555,0))))</f>
        <v/>
      </c>
      <c r="R2555" s="6" t="str">
        <f>IF($K2555="","",IF($L2555="Crédit",$K2555,-$K2555))</f>
        <v/>
      </c>
      <c r="S2555" s="6" t="str">
        <f>IF($C2555="","",IFERROR(INDEX('Paramètres'!$H:$H,MATCH($C2555,'Paramètres'!$D:$D,0))&amp;"",""))</f>
        <v/>
      </c>
      <c r="T2555" s="6" t="str">
        <f>IF($K2555="","",IF($S2555="",0,IF(ISNUMBER(SEARCH("apport-exterieur",IFERROR(INDEX('Paramètres'!$N:$N,MATCH($D2555,'Paramètres'!$M:$M,0))&amp;"",""))),0,IF(OR(IFERROR(INDEX('Paramètres'!$I:$I,MATCH($C2555,'Paramètres'!$D:$D,0))&amp;"","")="Les deux",IFERROR(INDEX('Paramètres'!$I:$I,MATCH($C2555,'Paramètres'!$D:$D,0))&amp;"","")=IF($P2555=1,"Débit",$L2555)),-IF($P2555=1,-$K2555,$K2555),0))))</f>
        <v/>
      </c>
      <c r="U2555" s="6" t="str">
        <f>IF($K2555="","",IF(ISNUMBER(SEARCH("sortie-epargne",IFERROR(INDEX('Paramètres'!$N:$N,MATCH($D2555,'Paramètres'!$M:$M,0))&amp;"",""))),$K2555,0))</f>
        <v/>
      </c>
      <c r="V2555" s="6" t="str">
        <f>IF(AND($A2555&lt;&gt;"",$O2555=1,$L2555="Débit",N($Q2555)&gt;0,$A2555&gt;=Visualisation!$B$1,$A2555&lt;Visualisation!$D$1),MAX($V$1:V2554)+1,"")</f>
        <v/>
      </c>
    </row>
    <row r="2556" spans="1:22" x14ac:dyDescent="0.25">
      <c r="A2556" s="9"/>
      <c r="E2556" s="10"/>
      <c r="K2556" s="11" t="str">
        <f>IF($E2556="","",ROUND($E2556*IF(ISNA(MATCH($C2556,'Paramètres'!$D:$D,0)),1,IF(INDEX('Paramètres'!$J:$J,MATCH($C2556,'Paramètres'!$D:$D,0))="",1,INDEX('Paramètres'!$J:$J,MATCH($C2556,'Paramètres'!$D:$D,0)))),2))</f>
        <v/>
      </c>
      <c r="L2556" s="6" t="str">
        <f>IF($D2556="","",IF($F2556&lt;&gt;"",$F2556,IF(ISNA(MATCH($D2556,'Paramètres'!$M:$M,0)),"⚠ Type inconnu",IFERROR(INDEX('Paramètres'!$P:$P,MATCH($D2556,'Paramètres'!$M:$M,0))&amp;"",""))))</f>
        <v/>
      </c>
      <c r="M2556" s="6" t="str">
        <f>IF($D2556="","",IF(ISNA(MATCH($D2556,'Paramètres'!$M:$M,0)),"⚠ Type inconnu",IF($L2556="Crédit","",IFERROR(INDEX('Paramètres'!$O:$O,MATCH($D2556,'Paramètres'!$M:$M,0))&amp;"",""))))</f>
        <v/>
      </c>
      <c r="N2556" s="6" t="str">
        <f>IF($D2556="","",IFERROR(INDEX('Paramètres'!$Q:$Q,MATCH($D2556,'Paramètres'!$M:$M,0))&amp;"",""))</f>
        <v/>
      </c>
      <c r="O2556" s="6" t="str">
        <f>IF($A2556="","",IF(OR($J2556&lt;&gt;"x",$A2556&lt;=FinReleve),1,0))</f>
        <v/>
      </c>
      <c r="P2556" s="6" t="str">
        <f>IF($D2556="","",IF(AND($L2556="Crédit",OR(IFERROR(INDEX('Paramètres'!$O:$O,MATCH($D2556,'Paramètres'!$M:$M,0))&amp;"","")&lt;&gt;"",ISNUMBER(SEARCH("remboursement",IFERROR(INDEX('Paramètres'!$N:$N,MATCH($D2556,'Paramètres'!$M:$M,0))&amp;"",""))))),1,0))</f>
        <v/>
      </c>
      <c r="Q2556" s="6" t="str">
        <f>IF($K2556="","",IF(ISNUMBER(SEARCH("transfert-interne",IFERROR(INDEX('Paramètres'!$N:$N,MATCH($D2556,'Paramètres'!$M:$M,0))&amp;"",""))),0,IF($L2556="Débit",$K2556,IF($P2556=1,-$K2556,0))))</f>
        <v/>
      </c>
      <c r="R2556" s="6" t="str">
        <f>IF($K2556="","",IF($L2556="Crédit",$K2556,-$K2556))</f>
        <v/>
      </c>
      <c r="S2556" s="6" t="str">
        <f>IF($C2556="","",IFERROR(INDEX('Paramètres'!$H:$H,MATCH($C2556,'Paramètres'!$D:$D,0))&amp;"",""))</f>
        <v/>
      </c>
      <c r="T2556" s="6" t="str">
        <f>IF($K2556="","",IF($S2556="",0,IF(ISNUMBER(SEARCH("apport-exterieur",IFERROR(INDEX('Paramètres'!$N:$N,MATCH($D2556,'Paramètres'!$M:$M,0))&amp;"",""))),0,IF(OR(IFERROR(INDEX('Paramètres'!$I:$I,MATCH($C2556,'Paramètres'!$D:$D,0))&amp;"","")="Les deux",IFERROR(INDEX('Paramètres'!$I:$I,MATCH($C2556,'Paramètres'!$D:$D,0))&amp;"","")=IF($P2556=1,"Débit",$L2556)),-IF($P2556=1,-$K2556,$K2556),0))))</f>
        <v/>
      </c>
      <c r="U2556" s="6" t="str">
        <f>IF($K2556="","",IF(ISNUMBER(SEARCH("sortie-epargne",IFERROR(INDEX('Paramètres'!$N:$N,MATCH($D2556,'Paramètres'!$M:$M,0))&amp;"",""))),$K2556,0))</f>
        <v/>
      </c>
      <c r="V2556" s="6" t="str">
        <f>IF(AND($A2556&lt;&gt;"",$O2556=1,$L2556="Débit",N($Q2556)&gt;0,$A2556&gt;=Visualisation!$B$1,$A2556&lt;Visualisation!$D$1),MAX($V$1:V2555)+1,"")</f>
        <v/>
      </c>
    </row>
    <row r="2557" spans="1:22" x14ac:dyDescent="0.25">
      <c r="A2557" s="9"/>
      <c r="E2557" s="10"/>
      <c r="K2557" s="11" t="str">
        <f>IF($E2557="","",ROUND($E2557*IF(ISNA(MATCH($C2557,'Paramètres'!$D:$D,0)),1,IF(INDEX('Paramètres'!$J:$J,MATCH($C2557,'Paramètres'!$D:$D,0))="",1,INDEX('Paramètres'!$J:$J,MATCH($C2557,'Paramètres'!$D:$D,0)))),2))</f>
        <v/>
      </c>
      <c r="L2557" s="6" t="str">
        <f>IF($D2557="","",IF($F2557&lt;&gt;"",$F2557,IF(ISNA(MATCH($D2557,'Paramètres'!$M:$M,0)),"⚠ Type inconnu",IFERROR(INDEX('Paramètres'!$P:$P,MATCH($D2557,'Paramètres'!$M:$M,0))&amp;"",""))))</f>
        <v/>
      </c>
      <c r="M2557" s="6" t="str">
        <f>IF($D2557="","",IF(ISNA(MATCH($D2557,'Paramètres'!$M:$M,0)),"⚠ Type inconnu",IF($L2557="Crédit","",IFERROR(INDEX('Paramètres'!$O:$O,MATCH($D2557,'Paramètres'!$M:$M,0))&amp;"",""))))</f>
        <v/>
      </c>
      <c r="N2557" s="6" t="str">
        <f>IF($D2557="","",IFERROR(INDEX('Paramètres'!$Q:$Q,MATCH($D2557,'Paramètres'!$M:$M,0))&amp;"",""))</f>
        <v/>
      </c>
      <c r="O2557" s="6" t="str">
        <f>IF($A2557="","",IF(OR($J2557&lt;&gt;"x",$A2557&lt;=FinReleve),1,0))</f>
        <v/>
      </c>
      <c r="P2557" s="6" t="str">
        <f>IF($D2557="","",IF(AND($L2557="Crédit",OR(IFERROR(INDEX('Paramètres'!$O:$O,MATCH($D2557,'Paramètres'!$M:$M,0))&amp;"","")&lt;&gt;"",ISNUMBER(SEARCH("remboursement",IFERROR(INDEX('Paramètres'!$N:$N,MATCH($D2557,'Paramètres'!$M:$M,0))&amp;"",""))))),1,0))</f>
        <v/>
      </c>
      <c r="Q2557" s="6" t="str">
        <f>IF($K2557="","",IF(ISNUMBER(SEARCH("transfert-interne",IFERROR(INDEX('Paramètres'!$N:$N,MATCH($D2557,'Paramètres'!$M:$M,0))&amp;"",""))),0,IF($L2557="Débit",$K2557,IF($P2557=1,-$K2557,0))))</f>
        <v/>
      </c>
      <c r="R2557" s="6" t="str">
        <f>IF($K2557="","",IF($L2557="Crédit",$K2557,-$K2557))</f>
        <v/>
      </c>
      <c r="S2557" s="6" t="str">
        <f>IF($C2557="","",IFERROR(INDEX('Paramètres'!$H:$H,MATCH($C2557,'Paramètres'!$D:$D,0))&amp;"",""))</f>
        <v/>
      </c>
      <c r="T2557" s="6" t="str">
        <f>IF($K2557="","",IF($S2557="",0,IF(ISNUMBER(SEARCH("apport-exterieur",IFERROR(INDEX('Paramètres'!$N:$N,MATCH($D2557,'Paramètres'!$M:$M,0))&amp;"",""))),0,IF(OR(IFERROR(INDEX('Paramètres'!$I:$I,MATCH($C2557,'Paramètres'!$D:$D,0))&amp;"","")="Les deux",IFERROR(INDEX('Paramètres'!$I:$I,MATCH($C2557,'Paramètres'!$D:$D,0))&amp;"","")=IF($P2557=1,"Débit",$L2557)),-IF($P2557=1,-$K2557,$K2557),0))))</f>
        <v/>
      </c>
      <c r="U2557" s="6" t="str">
        <f>IF($K2557="","",IF(ISNUMBER(SEARCH("sortie-epargne",IFERROR(INDEX('Paramètres'!$N:$N,MATCH($D2557,'Paramètres'!$M:$M,0))&amp;"",""))),$K2557,0))</f>
        <v/>
      </c>
      <c r="V2557" s="6" t="str">
        <f>IF(AND($A2557&lt;&gt;"",$O2557=1,$L2557="Débit",N($Q2557)&gt;0,$A2557&gt;=Visualisation!$B$1,$A2557&lt;Visualisation!$D$1),MAX($V$1:V2556)+1,"")</f>
        <v/>
      </c>
    </row>
    <row r="2558" spans="1:22" x14ac:dyDescent="0.25">
      <c r="A2558" s="9"/>
      <c r="E2558" s="10"/>
      <c r="K2558" s="11" t="str">
        <f>IF($E2558="","",ROUND($E2558*IF(ISNA(MATCH($C2558,'Paramètres'!$D:$D,0)),1,IF(INDEX('Paramètres'!$J:$J,MATCH($C2558,'Paramètres'!$D:$D,0))="",1,INDEX('Paramètres'!$J:$J,MATCH($C2558,'Paramètres'!$D:$D,0)))),2))</f>
        <v/>
      </c>
      <c r="L2558" s="6" t="str">
        <f>IF($D2558="","",IF($F2558&lt;&gt;"",$F2558,IF(ISNA(MATCH($D2558,'Paramètres'!$M:$M,0)),"⚠ Type inconnu",IFERROR(INDEX('Paramètres'!$P:$P,MATCH($D2558,'Paramètres'!$M:$M,0))&amp;"",""))))</f>
        <v/>
      </c>
      <c r="M2558" s="6" t="str">
        <f>IF($D2558="","",IF(ISNA(MATCH($D2558,'Paramètres'!$M:$M,0)),"⚠ Type inconnu",IF($L2558="Crédit","",IFERROR(INDEX('Paramètres'!$O:$O,MATCH($D2558,'Paramètres'!$M:$M,0))&amp;"",""))))</f>
        <v/>
      </c>
      <c r="N2558" s="6" t="str">
        <f>IF($D2558="","",IFERROR(INDEX('Paramètres'!$Q:$Q,MATCH($D2558,'Paramètres'!$M:$M,0))&amp;"",""))</f>
        <v/>
      </c>
      <c r="O2558" s="6" t="str">
        <f>IF($A2558="","",IF(OR($J2558&lt;&gt;"x",$A2558&lt;=FinReleve),1,0))</f>
        <v/>
      </c>
      <c r="P2558" s="6" t="str">
        <f>IF($D2558="","",IF(AND($L2558="Crédit",OR(IFERROR(INDEX('Paramètres'!$O:$O,MATCH($D2558,'Paramètres'!$M:$M,0))&amp;"","")&lt;&gt;"",ISNUMBER(SEARCH("remboursement",IFERROR(INDEX('Paramètres'!$N:$N,MATCH($D2558,'Paramètres'!$M:$M,0))&amp;"",""))))),1,0))</f>
        <v/>
      </c>
      <c r="Q2558" s="6" t="str">
        <f>IF($K2558="","",IF(ISNUMBER(SEARCH("transfert-interne",IFERROR(INDEX('Paramètres'!$N:$N,MATCH($D2558,'Paramètres'!$M:$M,0))&amp;"",""))),0,IF($L2558="Débit",$K2558,IF($P2558=1,-$K2558,0))))</f>
        <v/>
      </c>
      <c r="R2558" s="6" t="str">
        <f>IF($K2558="","",IF($L2558="Crédit",$K2558,-$K2558))</f>
        <v/>
      </c>
      <c r="S2558" s="6" t="str">
        <f>IF($C2558="","",IFERROR(INDEX('Paramètres'!$H:$H,MATCH($C2558,'Paramètres'!$D:$D,0))&amp;"",""))</f>
        <v/>
      </c>
      <c r="T2558" s="6" t="str">
        <f>IF($K2558="","",IF($S2558="",0,IF(ISNUMBER(SEARCH("apport-exterieur",IFERROR(INDEX('Paramètres'!$N:$N,MATCH($D2558,'Paramètres'!$M:$M,0))&amp;"",""))),0,IF(OR(IFERROR(INDEX('Paramètres'!$I:$I,MATCH($C2558,'Paramètres'!$D:$D,0))&amp;"","")="Les deux",IFERROR(INDEX('Paramètres'!$I:$I,MATCH($C2558,'Paramètres'!$D:$D,0))&amp;"","")=IF($P2558=1,"Débit",$L2558)),-IF($P2558=1,-$K2558,$K2558),0))))</f>
        <v/>
      </c>
      <c r="U2558" s="6" t="str">
        <f>IF($K2558="","",IF(ISNUMBER(SEARCH("sortie-epargne",IFERROR(INDEX('Paramètres'!$N:$N,MATCH($D2558,'Paramètres'!$M:$M,0))&amp;"",""))),$K2558,0))</f>
        <v/>
      </c>
      <c r="V2558" s="6" t="str">
        <f>IF(AND($A2558&lt;&gt;"",$O2558=1,$L2558="Débit",N($Q2558)&gt;0,$A2558&gt;=Visualisation!$B$1,$A2558&lt;Visualisation!$D$1),MAX($V$1:V2557)+1,"")</f>
        <v/>
      </c>
    </row>
    <row r="2559" spans="1:22" x14ac:dyDescent="0.25">
      <c r="A2559" s="9"/>
      <c r="E2559" s="10"/>
      <c r="K2559" s="11" t="str">
        <f>IF($E2559="","",ROUND($E2559*IF(ISNA(MATCH($C2559,'Paramètres'!$D:$D,0)),1,IF(INDEX('Paramètres'!$J:$J,MATCH($C2559,'Paramètres'!$D:$D,0))="",1,INDEX('Paramètres'!$J:$J,MATCH($C2559,'Paramètres'!$D:$D,0)))),2))</f>
        <v/>
      </c>
      <c r="L2559" s="6" t="str">
        <f>IF($D2559="","",IF($F2559&lt;&gt;"",$F2559,IF(ISNA(MATCH($D2559,'Paramètres'!$M:$M,0)),"⚠ Type inconnu",IFERROR(INDEX('Paramètres'!$P:$P,MATCH($D2559,'Paramètres'!$M:$M,0))&amp;"",""))))</f>
        <v/>
      </c>
      <c r="M2559" s="6" t="str">
        <f>IF($D2559="","",IF(ISNA(MATCH($D2559,'Paramètres'!$M:$M,0)),"⚠ Type inconnu",IF($L2559="Crédit","",IFERROR(INDEX('Paramètres'!$O:$O,MATCH($D2559,'Paramètres'!$M:$M,0))&amp;"",""))))</f>
        <v/>
      </c>
      <c r="N2559" s="6" t="str">
        <f>IF($D2559="","",IFERROR(INDEX('Paramètres'!$Q:$Q,MATCH($D2559,'Paramètres'!$M:$M,0))&amp;"",""))</f>
        <v/>
      </c>
      <c r="O2559" s="6" t="str">
        <f>IF($A2559="","",IF(OR($J2559&lt;&gt;"x",$A2559&lt;=FinReleve),1,0))</f>
        <v/>
      </c>
      <c r="P2559" s="6" t="str">
        <f>IF($D2559="","",IF(AND($L2559="Crédit",OR(IFERROR(INDEX('Paramètres'!$O:$O,MATCH($D2559,'Paramètres'!$M:$M,0))&amp;"","")&lt;&gt;"",ISNUMBER(SEARCH("remboursement",IFERROR(INDEX('Paramètres'!$N:$N,MATCH($D2559,'Paramètres'!$M:$M,0))&amp;"",""))))),1,0))</f>
        <v/>
      </c>
      <c r="Q2559" s="6" t="str">
        <f>IF($K2559="","",IF(ISNUMBER(SEARCH("transfert-interne",IFERROR(INDEX('Paramètres'!$N:$N,MATCH($D2559,'Paramètres'!$M:$M,0))&amp;"",""))),0,IF($L2559="Débit",$K2559,IF($P2559=1,-$K2559,0))))</f>
        <v/>
      </c>
      <c r="R2559" s="6" t="str">
        <f>IF($K2559="","",IF($L2559="Crédit",$K2559,-$K2559))</f>
        <v/>
      </c>
      <c r="S2559" s="6" t="str">
        <f>IF($C2559="","",IFERROR(INDEX('Paramètres'!$H:$H,MATCH($C2559,'Paramètres'!$D:$D,0))&amp;"",""))</f>
        <v/>
      </c>
      <c r="T2559" s="6" t="str">
        <f>IF($K2559="","",IF($S2559="",0,IF(ISNUMBER(SEARCH("apport-exterieur",IFERROR(INDEX('Paramètres'!$N:$N,MATCH($D2559,'Paramètres'!$M:$M,0))&amp;"",""))),0,IF(OR(IFERROR(INDEX('Paramètres'!$I:$I,MATCH($C2559,'Paramètres'!$D:$D,0))&amp;"","")="Les deux",IFERROR(INDEX('Paramètres'!$I:$I,MATCH($C2559,'Paramètres'!$D:$D,0))&amp;"","")=IF($P2559=1,"Débit",$L2559)),-IF($P2559=1,-$K2559,$K2559),0))))</f>
        <v/>
      </c>
      <c r="U2559" s="6" t="str">
        <f>IF($K2559="","",IF(ISNUMBER(SEARCH("sortie-epargne",IFERROR(INDEX('Paramètres'!$N:$N,MATCH($D2559,'Paramètres'!$M:$M,0))&amp;"",""))),$K2559,0))</f>
        <v/>
      </c>
      <c r="V2559" s="6" t="str">
        <f>IF(AND($A2559&lt;&gt;"",$O2559=1,$L2559="Débit",N($Q2559)&gt;0,$A2559&gt;=Visualisation!$B$1,$A2559&lt;Visualisation!$D$1),MAX($V$1:V2558)+1,"")</f>
        <v/>
      </c>
    </row>
    <row r="2560" spans="1:22" x14ac:dyDescent="0.25">
      <c r="A2560" s="9"/>
      <c r="E2560" s="10"/>
      <c r="K2560" s="11" t="str">
        <f>IF($E2560="","",ROUND($E2560*IF(ISNA(MATCH($C2560,'Paramètres'!$D:$D,0)),1,IF(INDEX('Paramètres'!$J:$J,MATCH($C2560,'Paramètres'!$D:$D,0))="",1,INDEX('Paramètres'!$J:$J,MATCH($C2560,'Paramètres'!$D:$D,0)))),2))</f>
        <v/>
      </c>
      <c r="L2560" s="6" t="str">
        <f>IF($D2560="","",IF($F2560&lt;&gt;"",$F2560,IF(ISNA(MATCH($D2560,'Paramètres'!$M:$M,0)),"⚠ Type inconnu",IFERROR(INDEX('Paramètres'!$P:$P,MATCH($D2560,'Paramètres'!$M:$M,0))&amp;"",""))))</f>
        <v/>
      </c>
      <c r="M2560" s="6" t="str">
        <f>IF($D2560="","",IF(ISNA(MATCH($D2560,'Paramètres'!$M:$M,0)),"⚠ Type inconnu",IF($L2560="Crédit","",IFERROR(INDEX('Paramètres'!$O:$O,MATCH($D2560,'Paramètres'!$M:$M,0))&amp;"",""))))</f>
        <v/>
      </c>
      <c r="N2560" s="6" t="str">
        <f>IF($D2560="","",IFERROR(INDEX('Paramètres'!$Q:$Q,MATCH($D2560,'Paramètres'!$M:$M,0))&amp;"",""))</f>
        <v/>
      </c>
      <c r="O2560" s="6" t="str">
        <f>IF($A2560="","",IF(OR($J2560&lt;&gt;"x",$A2560&lt;=FinReleve),1,0))</f>
        <v/>
      </c>
      <c r="P2560" s="6" t="str">
        <f>IF($D2560="","",IF(AND($L2560="Crédit",OR(IFERROR(INDEX('Paramètres'!$O:$O,MATCH($D2560,'Paramètres'!$M:$M,0))&amp;"","")&lt;&gt;"",ISNUMBER(SEARCH("remboursement",IFERROR(INDEX('Paramètres'!$N:$N,MATCH($D2560,'Paramètres'!$M:$M,0))&amp;"",""))))),1,0))</f>
        <v/>
      </c>
      <c r="Q2560" s="6" t="str">
        <f>IF($K2560="","",IF(ISNUMBER(SEARCH("transfert-interne",IFERROR(INDEX('Paramètres'!$N:$N,MATCH($D2560,'Paramètres'!$M:$M,0))&amp;"",""))),0,IF($L2560="Débit",$K2560,IF($P2560=1,-$K2560,0))))</f>
        <v/>
      </c>
      <c r="R2560" s="6" t="str">
        <f>IF($K2560="","",IF($L2560="Crédit",$K2560,-$K2560))</f>
        <v/>
      </c>
      <c r="S2560" s="6" t="str">
        <f>IF($C2560="","",IFERROR(INDEX('Paramètres'!$H:$H,MATCH($C2560,'Paramètres'!$D:$D,0))&amp;"",""))</f>
        <v/>
      </c>
      <c r="T2560" s="6" t="str">
        <f>IF($K2560="","",IF($S2560="",0,IF(ISNUMBER(SEARCH("apport-exterieur",IFERROR(INDEX('Paramètres'!$N:$N,MATCH($D2560,'Paramètres'!$M:$M,0))&amp;"",""))),0,IF(OR(IFERROR(INDEX('Paramètres'!$I:$I,MATCH($C2560,'Paramètres'!$D:$D,0))&amp;"","")="Les deux",IFERROR(INDEX('Paramètres'!$I:$I,MATCH($C2560,'Paramètres'!$D:$D,0))&amp;"","")=IF($P2560=1,"Débit",$L2560)),-IF($P2560=1,-$K2560,$K2560),0))))</f>
        <v/>
      </c>
      <c r="U2560" s="6" t="str">
        <f>IF($K2560="","",IF(ISNUMBER(SEARCH("sortie-epargne",IFERROR(INDEX('Paramètres'!$N:$N,MATCH($D2560,'Paramètres'!$M:$M,0))&amp;"",""))),$K2560,0))</f>
        <v/>
      </c>
      <c r="V2560" s="6" t="str">
        <f>IF(AND($A2560&lt;&gt;"",$O2560=1,$L2560="Débit",N($Q2560)&gt;0,$A2560&gt;=Visualisation!$B$1,$A2560&lt;Visualisation!$D$1),MAX($V$1:V2559)+1,"")</f>
        <v/>
      </c>
    </row>
    <row r="2561" spans="1:22" x14ac:dyDescent="0.25">
      <c r="A2561" s="9"/>
      <c r="E2561" s="10"/>
      <c r="K2561" s="11" t="str">
        <f>IF($E2561="","",ROUND($E2561*IF(ISNA(MATCH($C2561,'Paramètres'!$D:$D,0)),1,IF(INDEX('Paramètres'!$J:$J,MATCH($C2561,'Paramètres'!$D:$D,0))="",1,INDEX('Paramètres'!$J:$J,MATCH($C2561,'Paramètres'!$D:$D,0)))),2))</f>
        <v/>
      </c>
      <c r="L2561" s="6" t="str">
        <f>IF($D2561="","",IF($F2561&lt;&gt;"",$F2561,IF(ISNA(MATCH($D2561,'Paramètres'!$M:$M,0)),"⚠ Type inconnu",IFERROR(INDEX('Paramètres'!$P:$P,MATCH($D2561,'Paramètres'!$M:$M,0))&amp;"",""))))</f>
        <v/>
      </c>
      <c r="M2561" s="6" t="str">
        <f>IF($D2561="","",IF(ISNA(MATCH($D2561,'Paramètres'!$M:$M,0)),"⚠ Type inconnu",IF($L2561="Crédit","",IFERROR(INDEX('Paramètres'!$O:$O,MATCH($D2561,'Paramètres'!$M:$M,0))&amp;"",""))))</f>
        <v/>
      </c>
      <c r="N2561" s="6" t="str">
        <f>IF($D2561="","",IFERROR(INDEX('Paramètres'!$Q:$Q,MATCH($D2561,'Paramètres'!$M:$M,0))&amp;"",""))</f>
        <v/>
      </c>
      <c r="O2561" s="6" t="str">
        <f>IF($A2561="","",IF(OR($J2561&lt;&gt;"x",$A2561&lt;=FinReleve),1,0))</f>
        <v/>
      </c>
      <c r="P2561" s="6" t="str">
        <f>IF($D2561="","",IF(AND($L2561="Crédit",OR(IFERROR(INDEX('Paramètres'!$O:$O,MATCH($D2561,'Paramètres'!$M:$M,0))&amp;"","")&lt;&gt;"",ISNUMBER(SEARCH("remboursement",IFERROR(INDEX('Paramètres'!$N:$N,MATCH($D2561,'Paramètres'!$M:$M,0))&amp;"",""))))),1,0))</f>
        <v/>
      </c>
      <c r="Q2561" s="6" t="str">
        <f>IF($K2561="","",IF(ISNUMBER(SEARCH("transfert-interne",IFERROR(INDEX('Paramètres'!$N:$N,MATCH($D2561,'Paramètres'!$M:$M,0))&amp;"",""))),0,IF($L2561="Débit",$K2561,IF($P2561=1,-$K2561,0))))</f>
        <v/>
      </c>
      <c r="R2561" s="6" t="str">
        <f>IF($K2561="","",IF($L2561="Crédit",$K2561,-$K2561))</f>
        <v/>
      </c>
      <c r="S2561" s="6" t="str">
        <f>IF($C2561="","",IFERROR(INDEX('Paramètres'!$H:$H,MATCH($C2561,'Paramètres'!$D:$D,0))&amp;"",""))</f>
        <v/>
      </c>
      <c r="T2561" s="6" t="str">
        <f>IF($K2561="","",IF($S2561="",0,IF(ISNUMBER(SEARCH("apport-exterieur",IFERROR(INDEX('Paramètres'!$N:$N,MATCH($D2561,'Paramètres'!$M:$M,0))&amp;"",""))),0,IF(OR(IFERROR(INDEX('Paramètres'!$I:$I,MATCH($C2561,'Paramètres'!$D:$D,0))&amp;"","")="Les deux",IFERROR(INDEX('Paramètres'!$I:$I,MATCH($C2561,'Paramètres'!$D:$D,0))&amp;"","")=IF($P2561=1,"Débit",$L2561)),-IF($P2561=1,-$K2561,$K2561),0))))</f>
        <v/>
      </c>
      <c r="U2561" s="6" t="str">
        <f>IF($K2561="","",IF(ISNUMBER(SEARCH("sortie-epargne",IFERROR(INDEX('Paramètres'!$N:$N,MATCH($D2561,'Paramètres'!$M:$M,0))&amp;"",""))),$K2561,0))</f>
        <v/>
      </c>
      <c r="V2561" s="6" t="str">
        <f>IF(AND($A2561&lt;&gt;"",$O2561=1,$L2561="Débit",N($Q2561)&gt;0,$A2561&gt;=Visualisation!$B$1,$A2561&lt;Visualisation!$D$1),MAX($V$1:V2560)+1,"")</f>
        <v/>
      </c>
    </row>
    <row r="2562" spans="1:22" x14ac:dyDescent="0.25">
      <c r="A2562" s="9"/>
      <c r="E2562" s="10"/>
      <c r="K2562" s="11" t="str">
        <f>IF($E2562="","",ROUND($E2562*IF(ISNA(MATCH($C2562,'Paramètres'!$D:$D,0)),1,IF(INDEX('Paramètres'!$J:$J,MATCH($C2562,'Paramètres'!$D:$D,0))="",1,INDEX('Paramètres'!$J:$J,MATCH($C2562,'Paramètres'!$D:$D,0)))),2))</f>
        <v/>
      </c>
      <c r="L2562" s="6" t="str">
        <f>IF($D2562="","",IF($F2562&lt;&gt;"",$F2562,IF(ISNA(MATCH($D2562,'Paramètres'!$M:$M,0)),"⚠ Type inconnu",IFERROR(INDEX('Paramètres'!$P:$P,MATCH($D2562,'Paramètres'!$M:$M,0))&amp;"",""))))</f>
        <v/>
      </c>
      <c r="M2562" s="6" t="str">
        <f>IF($D2562="","",IF(ISNA(MATCH($D2562,'Paramètres'!$M:$M,0)),"⚠ Type inconnu",IF($L2562="Crédit","",IFERROR(INDEX('Paramètres'!$O:$O,MATCH($D2562,'Paramètres'!$M:$M,0))&amp;"",""))))</f>
        <v/>
      </c>
      <c r="N2562" s="6" t="str">
        <f>IF($D2562="","",IFERROR(INDEX('Paramètres'!$Q:$Q,MATCH($D2562,'Paramètres'!$M:$M,0))&amp;"",""))</f>
        <v/>
      </c>
      <c r="O2562" s="6" t="str">
        <f>IF($A2562="","",IF(OR($J2562&lt;&gt;"x",$A2562&lt;=FinReleve),1,0))</f>
        <v/>
      </c>
      <c r="P2562" s="6" t="str">
        <f>IF($D2562="","",IF(AND($L2562="Crédit",OR(IFERROR(INDEX('Paramètres'!$O:$O,MATCH($D2562,'Paramètres'!$M:$M,0))&amp;"","")&lt;&gt;"",ISNUMBER(SEARCH("remboursement",IFERROR(INDEX('Paramètres'!$N:$N,MATCH($D2562,'Paramètres'!$M:$M,0))&amp;"",""))))),1,0))</f>
        <v/>
      </c>
      <c r="Q2562" s="6" t="str">
        <f>IF($K2562="","",IF(ISNUMBER(SEARCH("transfert-interne",IFERROR(INDEX('Paramètres'!$N:$N,MATCH($D2562,'Paramètres'!$M:$M,0))&amp;"",""))),0,IF($L2562="Débit",$K2562,IF($P2562=1,-$K2562,0))))</f>
        <v/>
      </c>
      <c r="R2562" s="6" t="str">
        <f>IF($K2562="","",IF($L2562="Crédit",$K2562,-$K2562))</f>
        <v/>
      </c>
      <c r="S2562" s="6" t="str">
        <f>IF($C2562="","",IFERROR(INDEX('Paramètres'!$H:$H,MATCH($C2562,'Paramètres'!$D:$D,0))&amp;"",""))</f>
        <v/>
      </c>
      <c r="T2562" s="6" t="str">
        <f>IF($K2562="","",IF($S2562="",0,IF(ISNUMBER(SEARCH("apport-exterieur",IFERROR(INDEX('Paramètres'!$N:$N,MATCH($D2562,'Paramètres'!$M:$M,0))&amp;"",""))),0,IF(OR(IFERROR(INDEX('Paramètres'!$I:$I,MATCH($C2562,'Paramètres'!$D:$D,0))&amp;"","")="Les deux",IFERROR(INDEX('Paramètres'!$I:$I,MATCH($C2562,'Paramètres'!$D:$D,0))&amp;"","")=IF($P2562=1,"Débit",$L2562)),-IF($P2562=1,-$K2562,$K2562),0))))</f>
        <v/>
      </c>
      <c r="U2562" s="6" t="str">
        <f>IF($K2562="","",IF(ISNUMBER(SEARCH("sortie-epargne",IFERROR(INDEX('Paramètres'!$N:$N,MATCH($D2562,'Paramètres'!$M:$M,0))&amp;"",""))),$K2562,0))</f>
        <v/>
      </c>
      <c r="V2562" s="6" t="str">
        <f>IF(AND($A2562&lt;&gt;"",$O2562=1,$L2562="Débit",N($Q2562)&gt;0,$A2562&gt;=Visualisation!$B$1,$A2562&lt;Visualisation!$D$1),MAX($V$1:V2561)+1,"")</f>
        <v/>
      </c>
    </row>
    <row r="2563" spans="1:22" x14ac:dyDescent="0.25">
      <c r="A2563" s="9"/>
      <c r="E2563" s="10"/>
      <c r="K2563" s="11" t="str">
        <f>IF($E2563="","",ROUND($E2563*IF(ISNA(MATCH($C2563,'Paramètres'!$D:$D,0)),1,IF(INDEX('Paramètres'!$J:$J,MATCH($C2563,'Paramètres'!$D:$D,0))="",1,INDEX('Paramètres'!$J:$J,MATCH($C2563,'Paramètres'!$D:$D,0)))),2))</f>
        <v/>
      </c>
      <c r="L2563" s="6" t="str">
        <f>IF($D2563="","",IF($F2563&lt;&gt;"",$F2563,IF(ISNA(MATCH($D2563,'Paramètres'!$M:$M,0)),"⚠ Type inconnu",IFERROR(INDEX('Paramètres'!$P:$P,MATCH($D2563,'Paramètres'!$M:$M,0))&amp;"",""))))</f>
        <v/>
      </c>
      <c r="M2563" s="6" t="str">
        <f>IF($D2563="","",IF(ISNA(MATCH($D2563,'Paramètres'!$M:$M,0)),"⚠ Type inconnu",IF($L2563="Crédit","",IFERROR(INDEX('Paramètres'!$O:$O,MATCH($D2563,'Paramètres'!$M:$M,0))&amp;"",""))))</f>
        <v/>
      </c>
      <c r="N2563" s="6" t="str">
        <f>IF($D2563="","",IFERROR(INDEX('Paramètres'!$Q:$Q,MATCH($D2563,'Paramètres'!$M:$M,0))&amp;"",""))</f>
        <v/>
      </c>
      <c r="O2563" s="6" t="str">
        <f>IF($A2563="","",IF(OR($J2563&lt;&gt;"x",$A2563&lt;=FinReleve),1,0))</f>
        <v/>
      </c>
      <c r="P2563" s="6" t="str">
        <f>IF($D2563="","",IF(AND($L2563="Crédit",OR(IFERROR(INDEX('Paramètres'!$O:$O,MATCH($D2563,'Paramètres'!$M:$M,0))&amp;"","")&lt;&gt;"",ISNUMBER(SEARCH("remboursement",IFERROR(INDEX('Paramètres'!$N:$N,MATCH($D2563,'Paramètres'!$M:$M,0))&amp;"",""))))),1,0))</f>
        <v/>
      </c>
      <c r="Q2563" s="6" t="str">
        <f>IF($K2563="","",IF(ISNUMBER(SEARCH("transfert-interne",IFERROR(INDEX('Paramètres'!$N:$N,MATCH($D2563,'Paramètres'!$M:$M,0))&amp;"",""))),0,IF($L2563="Débit",$K2563,IF($P2563=1,-$K2563,0))))</f>
        <v/>
      </c>
      <c r="R2563" s="6" t="str">
        <f>IF($K2563="","",IF($L2563="Crédit",$K2563,-$K2563))</f>
        <v/>
      </c>
      <c r="S2563" s="6" t="str">
        <f>IF($C2563="","",IFERROR(INDEX('Paramètres'!$H:$H,MATCH($C2563,'Paramètres'!$D:$D,0))&amp;"",""))</f>
        <v/>
      </c>
      <c r="T2563" s="6" t="str">
        <f>IF($K2563="","",IF($S2563="",0,IF(ISNUMBER(SEARCH("apport-exterieur",IFERROR(INDEX('Paramètres'!$N:$N,MATCH($D2563,'Paramètres'!$M:$M,0))&amp;"",""))),0,IF(OR(IFERROR(INDEX('Paramètres'!$I:$I,MATCH($C2563,'Paramètres'!$D:$D,0))&amp;"","")="Les deux",IFERROR(INDEX('Paramètres'!$I:$I,MATCH($C2563,'Paramètres'!$D:$D,0))&amp;"","")=IF($P2563=1,"Débit",$L2563)),-IF($P2563=1,-$K2563,$K2563),0))))</f>
        <v/>
      </c>
      <c r="U2563" s="6" t="str">
        <f>IF($K2563="","",IF(ISNUMBER(SEARCH("sortie-epargne",IFERROR(INDEX('Paramètres'!$N:$N,MATCH($D2563,'Paramètres'!$M:$M,0))&amp;"",""))),$K2563,0))</f>
        <v/>
      </c>
      <c r="V2563" s="6" t="str">
        <f>IF(AND($A2563&lt;&gt;"",$O2563=1,$L2563="Débit",N($Q2563)&gt;0,$A2563&gt;=Visualisation!$B$1,$A2563&lt;Visualisation!$D$1),MAX($V$1:V2562)+1,"")</f>
        <v/>
      </c>
    </row>
    <row r="2564" spans="1:22" x14ac:dyDescent="0.25">
      <c r="A2564" s="9"/>
      <c r="E2564" s="10"/>
      <c r="K2564" s="11" t="str">
        <f>IF($E2564="","",ROUND($E2564*IF(ISNA(MATCH($C2564,'Paramètres'!$D:$D,0)),1,IF(INDEX('Paramètres'!$J:$J,MATCH($C2564,'Paramètres'!$D:$D,0))="",1,INDEX('Paramètres'!$J:$J,MATCH($C2564,'Paramètres'!$D:$D,0)))),2))</f>
        <v/>
      </c>
      <c r="L2564" s="6" t="str">
        <f>IF($D2564="","",IF($F2564&lt;&gt;"",$F2564,IF(ISNA(MATCH($D2564,'Paramètres'!$M:$M,0)),"⚠ Type inconnu",IFERROR(INDEX('Paramètres'!$P:$P,MATCH($D2564,'Paramètres'!$M:$M,0))&amp;"",""))))</f>
        <v/>
      </c>
      <c r="M2564" s="6" t="str">
        <f>IF($D2564="","",IF(ISNA(MATCH($D2564,'Paramètres'!$M:$M,0)),"⚠ Type inconnu",IF($L2564="Crédit","",IFERROR(INDEX('Paramètres'!$O:$O,MATCH($D2564,'Paramètres'!$M:$M,0))&amp;"",""))))</f>
        <v/>
      </c>
      <c r="N2564" s="6" t="str">
        <f>IF($D2564="","",IFERROR(INDEX('Paramètres'!$Q:$Q,MATCH($D2564,'Paramètres'!$M:$M,0))&amp;"",""))</f>
        <v/>
      </c>
      <c r="O2564" s="6" t="str">
        <f>IF($A2564="","",IF(OR($J2564&lt;&gt;"x",$A2564&lt;=FinReleve),1,0))</f>
        <v/>
      </c>
      <c r="P2564" s="6" t="str">
        <f>IF($D2564="","",IF(AND($L2564="Crédit",OR(IFERROR(INDEX('Paramètres'!$O:$O,MATCH($D2564,'Paramètres'!$M:$M,0))&amp;"","")&lt;&gt;"",ISNUMBER(SEARCH("remboursement",IFERROR(INDEX('Paramètres'!$N:$N,MATCH($D2564,'Paramètres'!$M:$M,0))&amp;"",""))))),1,0))</f>
        <v/>
      </c>
      <c r="Q2564" s="6" t="str">
        <f>IF($K2564="","",IF(ISNUMBER(SEARCH("transfert-interne",IFERROR(INDEX('Paramètres'!$N:$N,MATCH($D2564,'Paramètres'!$M:$M,0))&amp;"",""))),0,IF($L2564="Débit",$K2564,IF($P2564=1,-$K2564,0))))</f>
        <v/>
      </c>
      <c r="R2564" s="6" t="str">
        <f>IF($K2564="","",IF($L2564="Crédit",$K2564,-$K2564))</f>
        <v/>
      </c>
      <c r="S2564" s="6" t="str">
        <f>IF($C2564="","",IFERROR(INDEX('Paramètres'!$H:$H,MATCH($C2564,'Paramètres'!$D:$D,0))&amp;"",""))</f>
        <v/>
      </c>
      <c r="T2564" s="6" t="str">
        <f>IF($K2564="","",IF($S2564="",0,IF(ISNUMBER(SEARCH("apport-exterieur",IFERROR(INDEX('Paramètres'!$N:$N,MATCH($D2564,'Paramètres'!$M:$M,0))&amp;"",""))),0,IF(OR(IFERROR(INDEX('Paramètres'!$I:$I,MATCH($C2564,'Paramètres'!$D:$D,0))&amp;"","")="Les deux",IFERROR(INDEX('Paramètres'!$I:$I,MATCH($C2564,'Paramètres'!$D:$D,0))&amp;"","")=IF($P2564=1,"Débit",$L2564)),-IF($P2564=1,-$K2564,$K2564),0))))</f>
        <v/>
      </c>
      <c r="U2564" s="6" t="str">
        <f>IF($K2564="","",IF(ISNUMBER(SEARCH("sortie-epargne",IFERROR(INDEX('Paramètres'!$N:$N,MATCH($D2564,'Paramètres'!$M:$M,0))&amp;"",""))),$K2564,0))</f>
        <v/>
      </c>
      <c r="V2564" s="6" t="str">
        <f>IF(AND($A2564&lt;&gt;"",$O2564=1,$L2564="Débit",N($Q2564)&gt;0,$A2564&gt;=Visualisation!$B$1,$A2564&lt;Visualisation!$D$1),MAX($V$1:V2563)+1,"")</f>
        <v/>
      </c>
    </row>
    <row r="2565" spans="1:22" x14ac:dyDescent="0.25">
      <c r="A2565" s="9"/>
      <c r="E2565" s="10"/>
      <c r="K2565" s="11" t="str">
        <f>IF($E2565="","",ROUND($E2565*IF(ISNA(MATCH($C2565,'Paramètres'!$D:$D,0)),1,IF(INDEX('Paramètres'!$J:$J,MATCH($C2565,'Paramètres'!$D:$D,0))="",1,INDEX('Paramètres'!$J:$J,MATCH($C2565,'Paramètres'!$D:$D,0)))),2))</f>
        <v/>
      </c>
      <c r="L2565" s="6" t="str">
        <f>IF($D2565="","",IF($F2565&lt;&gt;"",$F2565,IF(ISNA(MATCH($D2565,'Paramètres'!$M:$M,0)),"⚠ Type inconnu",IFERROR(INDEX('Paramètres'!$P:$P,MATCH($D2565,'Paramètres'!$M:$M,0))&amp;"",""))))</f>
        <v/>
      </c>
      <c r="M2565" s="6" t="str">
        <f>IF($D2565="","",IF(ISNA(MATCH($D2565,'Paramètres'!$M:$M,0)),"⚠ Type inconnu",IF($L2565="Crédit","",IFERROR(INDEX('Paramètres'!$O:$O,MATCH($D2565,'Paramètres'!$M:$M,0))&amp;"",""))))</f>
        <v/>
      </c>
      <c r="N2565" s="6" t="str">
        <f>IF($D2565="","",IFERROR(INDEX('Paramètres'!$Q:$Q,MATCH($D2565,'Paramètres'!$M:$M,0))&amp;"",""))</f>
        <v/>
      </c>
      <c r="O2565" s="6" t="str">
        <f>IF($A2565="","",IF(OR($J2565&lt;&gt;"x",$A2565&lt;=FinReleve),1,0))</f>
        <v/>
      </c>
      <c r="P2565" s="6" t="str">
        <f>IF($D2565="","",IF(AND($L2565="Crédit",OR(IFERROR(INDEX('Paramètres'!$O:$O,MATCH($D2565,'Paramètres'!$M:$M,0))&amp;"","")&lt;&gt;"",ISNUMBER(SEARCH("remboursement",IFERROR(INDEX('Paramètres'!$N:$N,MATCH($D2565,'Paramètres'!$M:$M,0))&amp;"",""))))),1,0))</f>
        <v/>
      </c>
      <c r="Q2565" s="6" t="str">
        <f>IF($K2565="","",IF(ISNUMBER(SEARCH("transfert-interne",IFERROR(INDEX('Paramètres'!$N:$N,MATCH($D2565,'Paramètres'!$M:$M,0))&amp;"",""))),0,IF($L2565="Débit",$K2565,IF($P2565=1,-$K2565,0))))</f>
        <v/>
      </c>
      <c r="R2565" s="6" t="str">
        <f>IF($K2565="","",IF($L2565="Crédit",$K2565,-$K2565))</f>
        <v/>
      </c>
      <c r="S2565" s="6" t="str">
        <f>IF($C2565="","",IFERROR(INDEX('Paramètres'!$H:$H,MATCH($C2565,'Paramètres'!$D:$D,0))&amp;"",""))</f>
        <v/>
      </c>
      <c r="T2565" s="6" t="str">
        <f>IF($K2565="","",IF($S2565="",0,IF(ISNUMBER(SEARCH("apport-exterieur",IFERROR(INDEX('Paramètres'!$N:$N,MATCH($D2565,'Paramètres'!$M:$M,0))&amp;"",""))),0,IF(OR(IFERROR(INDEX('Paramètres'!$I:$I,MATCH($C2565,'Paramètres'!$D:$D,0))&amp;"","")="Les deux",IFERROR(INDEX('Paramètres'!$I:$I,MATCH($C2565,'Paramètres'!$D:$D,0))&amp;"","")=IF($P2565=1,"Débit",$L2565)),-IF($P2565=1,-$K2565,$K2565),0))))</f>
        <v/>
      </c>
      <c r="U2565" s="6" t="str">
        <f>IF($K2565="","",IF(ISNUMBER(SEARCH("sortie-epargne",IFERROR(INDEX('Paramètres'!$N:$N,MATCH($D2565,'Paramètres'!$M:$M,0))&amp;"",""))),$K2565,0))</f>
        <v/>
      </c>
      <c r="V2565" s="6" t="str">
        <f>IF(AND($A2565&lt;&gt;"",$O2565=1,$L2565="Débit",N($Q2565)&gt;0,$A2565&gt;=Visualisation!$B$1,$A2565&lt;Visualisation!$D$1),MAX($V$1:V2564)+1,"")</f>
        <v/>
      </c>
    </row>
    <row r="2566" spans="1:22" x14ac:dyDescent="0.25">
      <c r="A2566" s="9"/>
      <c r="E2566" s="10"/>
      <c r="K2566" s="11" t="str">
        <f>IF($E2566="","",ROUND($E2566*IF(ISNA(MATCH($C2566,'Paramètres'!$D:$D,0)),1,IF(INDEX('Paramètres'!$J:$J,MATCH($C2566,'Paramètres'!$D:$D,0))="",1,INDEX('Paramètres'!$J:$J,MATCH($C2566,'Paramètres'!$D:$D,0)))),2))</f>
        <v/>
      </c>
      <c r="L2566" s="6" t="str">
        <f>IF($D2566="","",IF($F2566&lt;&gt;"",$F2566,IF(ISNA(MATCH($D2566,'Paramètres'!$M:$M,0)),"⚠ Type inconnu",IFERROR(INDEX('Paramètres'!$P:$P,MATCH($D2566,'Paramètres'!$M:$M,0))&amp;"",""))))</f>
        <v/>
      </c>
      <c r="M2566" s="6" t="str">
        <f>IF($D2566="","",IF(ISNA(MATCH($D2566,'Paramètres'!$M:$M,0)),"⚠ Type inconnu",IF($L2566="Crédit","",IFERROR(INDEX('Paramètres'!$O:$O,MATCH($D2566,'Paramètres'!$M:$M,0))&amp;"",""))))</f>
        <v/>
      </c>
      <c r="N2566" s="6" t="str">
        <f>IF($D2566="","",IFERROR(INDEX('Paramètres'!$Q:$Q,MATCH($D2566,'Paramètres'!$M:$M,0))&amp;"",""))</f>
        <v/>
      </c>
      <c r="O2566" s="6" t="str">
        <f>IF($A2566="","",IF(OR($J2566&lt;&gt;"x",$A2566&lt;=FinReleve),1,0))</f>
        <v/>
      </c>
      <c r="P2566" s="6" t="str">
        <f>IF($D2566="","",IF(AND($L2566="Crédit",OR(IFERROR(INDEX('Paramètres'!$O:$O,MATCH($D2566,'Paramètres'!$M:$M,0))&amp;"","")&lt;&gt;"",ISNUMBER(SEARCH("remboursement",IFERROR(INDEX('Paramètres'!$N:$N,MATCH($D2566,'Paramètres'!$M:$M,0))&amp;"",""))))),1,0))</f>
        <v/>
      </c>
      <c r="Q2566" s="6" t="str">
        <f>IF($K2566="","",IF(ISNUMBER(SEARCH("transfert-interne",IFERROR(INDEX('Paramètres'!$N:$N,MATCH($D2566,'Paramètres'!$M:$M,0))&amp;"",""))),0,IF($L2566="Débit",$K2566,IF($P2566=1,-$K2566,0))))</f>
        <v/>
      </c>
      <c r="R2566" s="6" t="str">
        <f>IF($K2566="","",IF($L2566="Crédit",$K2566,-$K2566))</f>
        <v/>
      </c>
      <c r="S2566" s="6" t="str">
        <f>IF($C2566="","",IFERROR(INDEX('Paramètres'!$H:$H,MATCH($C2566,'Paramètres'!$D:$D,0))&amp;"",""))</f>
        <v/>
      </c>
      <c r="T2566" s="6" t="str">
        <f>IF($K2566="","",IF($S2566="",0,IF(ISNUMBER(SEARCH("apport-exterieur",IFERROR(INDEX('Paramètres'!$N:$N,MATCH($D2566,'Paramètres'!$M:$M,0))&amp;"",""))),0,IF(OR(IFERROR(INDEX('Paramètres'!$I:$I,MATCH($C2566,'Paramètres'!$D:$D,0))&amp;"","")="Les deux",IFERROR(INDEX('Paramètres'!$I:$I,MATCH($C2566,'Paramètres'!$D:$D,0))&amp;"","")=IF($P2566=1,"Débit",$L2566)),-IF($P2566=1,-$K2566,$K2566),0))))</f>
        <v/>
      </c>
      <c r="U2566" s="6" t="str">
        <f>IF($K2566="","",IF(ISNUMBER(SEARCH("sortie-epargne",IFERROR(INDEX('Paramètres'!$N:$N,MATCH($D2566,'Paramètres'!$M:$M,0))&amp;"",""))),$K2566,0))</f>
        <v/>
      </c>
      <c r="V2566" s="6" t="str">
        <f>IF(AND($A2566&lt;&gt;"",$O2566=1,$L2566="Débit",N($Q2566)&gt;0,$A2566&gt;=Visualisation!$B$1,$A2566&lt;Visualisation!$D$1),MAX($V$1:V2565)+1,"")</f>
        <v/>
      </c>
    </row>
    <row r="2567" spans="1:22" x14ac:dyDescent="0.25">
      <c r="A2567" s="9"/>
      <c r="E2567" s="10"/>
      <c r="K2567" s="11" t="str">
        <f>IF($E2567="","",ROUND($E2567*IF(ISNA(MATCH($C2567,'Paramètres'!$D:$D,0)),1,IF(INDEX('Paramètres'!$J:$J,MATCH($C2567,'Paramètres'!$D:$D,0))="",1,INDEX('Paramètres'!$J:$J,MATCH($C2567,'Paramètres'!$D:$D,0)))),2))</f>
        <v/>
      </c>
      <c r="L2567" s="6" t="str">
        <f>IF($D2567="","",IF($F2567&lt;&gt;"",$F2567,IF(ISNA(MATCH($D2567,'Paramètres'!$M:$M,0)),"⚠ Type inconnu",IFERROR(INDEX('Paramètres'!$P:$P,MATCH($D2567,'Paramètres'!$M:$M,0))&amp;"",""))))</f>
        <v/>
      </c>
      <c r="M2567" s="6" t="str">
        <f>IF($D2567="","",IF(ISNA(MATCH($D2567,'Paramètres'!$M:$M,0)),"⚠ Type inconnu",IF($L2567="Crédit","",IFERROR(INDEX('Paramètres'!$O:$O,MATCH($D2567,'Paramètres'!$M:$M,0))&amp;"",""))))</f>
        <v/>
      </c>
      <c r="N2567" s="6" t="str">
        <f>IF($D2567="","",IFERROR(INDEX('Paramètres'!$Q:$Q,MATCH($D2567,'Paramètres'!$M:$M,0))&amp;"",""))</f>
        <v/>
      </c>
      <c r="O2567" s="6" t="str">
        <f>IF($A2567="","",IF(OR($J2567&lt;&gt;"x",$A2567&lt;=FinReleve),1,0))</f>
        <v/>
      </c>
      <c r="P2567" s="6" t="str">
        <f>IF($D2567="","",IF(AND($L2567="Crédit",OR(IFERROR(INDEX('Paramètres'!$O:$O,MATCH($D2567,'Paramètres'!$M:$M,0))&amp;"","")&lt;&gt;"",ISNUMBER(SEARCH("remboursement",IFERROR(INDEX('Paramètres'!$N:$N,MATCH($D2567,'Paramètres'!$M:$M,0))&amp;"",""))))),1,0))</f>
        <v/>
      </c>
      <c r="Q2567" s="6" t="str">
        <f>IF($K2567="","",IF(ISNUMBER(SEARCH("transfert-interne",IFERROR(INDEX('Paramètres'!$N:$N,MATCH($D2567,'Paramètres'!$M:$M,0))&amp;"",""))),0,IF($L2567="Débit",$K2567,IF($P2567=1,-$K2567,0))))</f>
        <v/>
      </c>
      <c r="R2567" s="6" t="str">
        <f>IF($K2567="","",IF($L2567="Crédit",$K2567,-$K2567))</f>
        <v/>
      </c>
      <c r="S2567" s="6" t="str">
        <f>IF($C2567="","",IFERROR(INDEX('Paramètres'!$H:$H,MATCH($C2567,'Paramètres'!$D:$D,0))&amp;"",""))</f>
        <v/>
      </c>
      <c r="T2567" s="6" t="str">
        <f>IF($K2567="","",IF($S2567="",0,IF(ISNUMBER(SEARCH("apport-exterieur",IFERROR(INDEX('Paramètres'!$N:$N,MATCH($D2567,'Paramètres'!$M:$M,0))&amp;"",""))),0,IF(OR(IFERROR(INDEX('Paramètres'!$I:$I,MATCH($C2567,'Paramètres'!$D:$D,0))&amp;"","")="Les deux",IFERROR(INDEX('Paramètres'!$I:$I,MATCH($C2567,'Paramètres'!$D:$D,0))&amp;"","")=IF($P2567=1,"Débit",$L2567)),-IF($P2567=1,-$K2567,$K2567),0))))</f>
        <v/>
      </c>
      <c r="U2567" s="6" t="str">
        <f>IF($K2567="","",IF(ISNUMBER(SEARCH("sortie-epargne",IFERROR(INDEX('Paramètres'!$N:$N,MATCH($D2567,'Paramètres'!$M:$M,0))&amp;"",""))),$K2567,0))</f>
        <v/>
      </c>
      <c r="V2567" s="6" t="str">
        <f>IF(AND($A2567&lt;&gt;"",$O2567=1,$L2567="Débit",N($Q2567)&gt;0,$A2567&gt;=Visualisation!$B$1,$A2567&lt;Visualisation!$D$1),MAX($V$1:V2566)+1,"")</f>
        <v/>
      </c>
    </row>
    <row r="2568" spans="1:22" x14ac:dyDescent="0.25">
      <c r="A2568" s="9"/>
      <c r="E2568" s="10"/>
      <c r="K2568" s="11" t="str">
        <f>IF($E2568="","",ROUND($E2568*IF(ISNA(MATCH($C2568,'Paramètres'!$D:$D,0)),1,IF(INDEX('Paramètres'!$J:$J,MATCH($C2568,'Paramètres'!$D:$D,0))="",1,INDEX('Paramètres'!$J:$J,MATCH($C2568,'Paramètres'!$D:$D,0)))),2))</f>
        <v/>
      </c>
      <c r="L2568" s="6" t="str">
        <f>IF($D2568="","",IF($F2568&lt;&gt;"",$F2568,IF(ISNA(MATCH($D2568,'Paramètres'!$M:$M,0)),"⚠ Type inconnu",IFERROR(INDEX('Paramètres'!$P:$P,MATCH($D2568,'Paramètres'!$M:$M,0))&amp;"",""))))</f>
        <v/>
      </c>
      <c r="M2568" s="6" t="str">
        <f>IF($D2568="","",IF(ISNA(MATCH($D2568,'Paramètres'!$M:$M,0)),"⚠ Type inconnu",IF($L2568="Crédit","",IFERROR(INDEX('Paramètres'!$O:$O,MATCH($D2568,'Paramètres'!$M:$M,0))&amp;"",""))))</f>
        <v/>
      </c>
      <c r="N2568" s="6" t="str">
        <f>IF($D2568="","",IFERROR(INDEX('Paramètres'!$Q:$Q,MATCH($D2568,'Paramètres'!$M:$M,0))&amp;"",""))</f>
        <v/>
      </c>
      <c r="O2568" s="6" t="str">
        <f>IF($A2568="","",IF(OR($J2568&lt;&gt;"x",$A2568&lt;=FinReleve),1,0))</f>
        <v/>
      </c>
      <c r="P2568" s="6" t="str">
        <f>IF($D2568="","",IF(AND($L2568="Crédit",OR(IFERROR(INDEX('Paramètres'!$O:$O,MATCH($D2568,'Paramètres'!$M:$M,0))&amp;"","")&lt;&gt;"",ISNUMBER(SEARCH("remboursement",IFERROR(INDEX('Paramètres'!$N:$N,MATCH($D2568,'Paramètres'!$M:$M,0))&amp;"",""))))),1,0))</f>
        <v/>
      </c>
      <c r="Q2568" s="6" t="str">
        <f>IF($K2568="","",IF(ISNUMBER(SEARCH("transfert-interne",IFERROR(INDEX('Paramètres'!$N:$N,MATCH($D2568,'Paramètres'!$M:$M,0))&amp;"",""))),0,IF($L2568="Débit",$K2568,IF($P2568=1,-$K2568,0))))</f>
        <v/>
      </c>
      <c r="R2568" s="6" t="str">
        <f>IF($K2568="","",IF($L2568="Crédit",$K2568,-$K2568))</f>
        <v/>
      </c>
      <c r="S2568" s="6" t="str">
        <f>IF($C2568="","",IFERROR(INDEX('Paramètres'!$H:$H,MATCH($C2568,'Paramètres'!$D:$D,0))&amp;"",""))</f>
        <v/>
      </c>
      <c r="T2568" s="6" t="str">
        <f>IF($K2568="","",IF($S2568="",0,IF(ISNUMBER(SEARCH("apport-exterieur",IFERROR(INDEX('Paramètres'!$N:$N,MATCH($D2568,'Paramètres'!$M:$M,0))&amp;"",""))),0,IF(OR(IFERROR(INDEX('Paramètres'!$I:$I,MATCH($C2568,'Paramètres'!$D:$D,0))&amp;"","")="Les deux",IFERROR(INDEX('Paramètres'!$I:$I,MATCH($C2568,'Paramètres'!$D:$D,0))&amp;"","")=IF($P2568=1,"Débit",$L2568)),-IF($P2568=1,-$K2568,$K2568),0))))</f>
        <v/>
      </c>
      <c r="U2568" s="6" t="str">
        <f>IF($K2568="","",IF(ISNUMBER(SEARCH("sortie-epargne",IFERROR(INDEX('Paramètres'!$N:$N,MATCH($D2568,'Paramètres'!$M:$M,0))&amp;"",""))),$K2568,0))</f>
        <v/>
      </c>
      <c r="V2568" s="6" t="str">
        <f>IF(AND($A2568&lt;&gt;"",$O2568=1,$L2568="Débit",N($Q2568)&gt;0,$A2568&gt;=Visualisation!$B$1,$A2568&lt;Visualisation!$D$1),MAX($V$1:V2567)+1,"")</f>
        <v/>
      </c>
    </row>
    <row r="2569" spans="1:22" x14ac:dyDescent="0.25">
      <c r="A2569" s="9"/>
      <c r="E2569" s="10"/>
      <c r="K2569" s="11" t="str">
        <f>IF($E2569="","",ROUND($E2569*IF(ISNA(MATCH($C2569,'Paramètres'!$D:$D,0)),1,IF(INDEX('Paramètres'!$J:$J,MATCH($C2569,'Paramètres'!$D:$D,0))="",1,INDEX('Paramètres'!$J:$J,MATCH($C2569,'Paramètres'!$D:$D,0)))),2))</f>
        <v/>
      </c>
      <c r="L2569" s="6" t="str">
        <f>IF($D2569="","",IF($F2569&lt;&gt;"",$F2569,IF(ISNA(MATCH($D2569,'Paramètres'!$M:$M,0)),"⚠ Type inconnu",IFERROR(INDEX('Paramètres'!$P:$P,MATCH($D2569,'Paramètres'!$M:$M,0))&amp;"",""))))</f>
        <v/>
      </c>
      <c r="M2569" s="6" t="str">
        <f>IF($D2569="","",IF(ISNA(MATCH($D2569,'Paramètres'!$M:$M,0)),"⚠ Type inconnu",IF($L2569="Crédit","",IFERROR(INDEX('Paramètres'!$O:$O,MATCH($D2569,'Paramètres'!$M:$M,0))&amp;"",""))))</f>
        <v/>
      </c>
      <c r="N2569" s="6" t="str">
        <f>IF($D2569="","",IFERROR(INDEX('Paramètres'!$Q:$Q,MATCH($D2569,'Paramètres'!$M:$M,0))&amp;"",""))</f>
        <v/>
      </c>
      <c r="O2569" s="6" t="str">
        <f>IF($A2569="","",IF(OR($J2569&lt;&gt;"x",$A2569&lt;=FinReleve),1,0))</f>
        <v/>
      </c>
      <c r="P2569" s="6" t="str">
        <f>IF($D2569="","",IF(AND($L2569="Crédit",OR(IFERROR(INDEX('Paramètres'!$O:$O,MATCH($D2569,'Paramètres'!$M:$M,0))&amp;"","")&lt;&gt;"",ISNUMBER(SEARCH("remboursement",IFERROR(INDEX('Paramètres'!$N:$N,MATCH($D2569,'Paramètres'!$M:$M,0))&amp;"",""))))),1,0))</f>
        <v/>
      </c>
      <c r="Q2569" s="6" t="str">
        <f>IF($K2569="","",IF(ISNUMBER(SEARCH("transfert-interne",IFERROR(INDEX('Paramètres'!$N:$N,MATCH($D2569,'Paramètres'!$M:$M,0))&amp;"",""))),0,IF($L2569="Débit",$K2569,IF($P2569=1,-$K2569,0))))</f>
        <v/>
      </c>
      <c r="R2569" s="6" t="str">
        <f>IF($K2569="","",IF($L2569="Crédit",$K2569,-$K2569))</f>
        <v/>
      </c>
      <c r="S2569" s="6" t="str">
        <f>IF($C2569="","",IFERROR(INDEX('Paramètres'!$H:$H,MATCH($C2569,'Paramètres'!$D:$D,0))&amp;"",""))</f>
        <v/>
      </c>
      <c r="T2569" s="6" t="str">
        <f>IF($K2569="","",IF($S2569="",0,IF(ISNUMBER(SEARCH("apport-exterieur",IFERROR(INDEX('Paramètres'!$N:$N,MATCH($D2569,'Paramètres'!$M:$M,0))&amp;"",""))),0,IF(OR(IFERROR(INDEX('Paramètres'!$I:$I,MATCH($C2569,'Paramètres'!$D:$D,0))&amp;"","")="Les deux",IFERROR(INDEX('Paramètres'!$I:$I,MATCH($C2569,'Paramètres'!$D:$D,0))&amp;"","")=IF($P2569=1,"Débit",$L2569)),-IF($P2569=1,-$K2569,$K2569),0))))</f>
        <v/>
      </c>
      <c r="U2569" s="6" t="str">
        <f>IF($K2569="","",IF(ISNUMBER(SEARCH("sortie-epargne",IFERROR(INDEX('Paramètres'!$N:$N,MATCH($D2569,'Paramètres'!$M:$M,0))&amp;"",""))),$K2569,0))</f>
        <v/>
      </c>
      <c r="V2569" s="6" t="str">
        <f>IF(AND($A2569&lt;&gt;"",$O2569=1,$L2569="Débit",N($Q2569)&gt;0,$A2569&gt;=Visualisation!$B$1,$A2569&lt;Visualisation!$D$1),MAX($V$1:V2568)+1,"")</f>
        <v/>
      </c>
    </row>
    <row r="2570" spans="1:22" x14ac:dyDescent="0.25">
      <c r="A2570" s="9"/>
      <c r="E2570" s="10"/>
      <c r="K2570" s="11" t="str">
        <f>IF($E2570="","",ROUND($E2570*IF(ISNA(MATCH($C2570,'Paramètres'!$D:$D,0)),1,IF(INDEX('Paramètres'!$J:$J,MATCH($C2570,'Paramètres'!$D:$D,0))="",1,INDEX('Paramètres'!$J:$J,MATCH($C2570,'Paramètres'!$D:$D,0)))),2))</f>
        <v/>
      </c>
      <c r="L2570" s="6" t="str">
        <f>IF($D2570="","",IF($F2570&lt;&gt;"",$F2570,IF(ISNA(MATCH($D2570,'Paramètres'!$M:$M,0)),"⚠ Type inconnu",IFERROR(INDEX('Paramètres'!$P:$P,MATCH($D2570,'Paramètres'!$M:$M,0))&amp;"",""))))</f>
        <v/>
      </c>
      <c r="M2570" s="6" t="str">
        <f>IF($D2570="","",IF(ISNA(MATCH($D2570,'Paramètres'!$M:$M,0)),"⚠ Type inconnu",IF($L2570="Crédit","",IFERROR(INDEX('Paramètres'!$O:$O,MATCH($D2570,'Paramètres'!$M:$M,0))&amp;"",""))))</f>
        <v/>
      </c>
      <c r="N2570" s="6" t="str">
        <f>IF($D2570="","",IFERROR(INDEX('Paramètres'!$Q:$Q,MATCH($D2570,'Paramètres'!$M:$M,0))&amp;"",""))</f>
        <v/>
      </c>
      <c r="O2570" s="6" t="str">
        <f>IF($A2570="","",IF(OR($J2570&lt;&gt;"x",$A2570&lt;=FinReleve),1,0))</f>
        <v/>
      </c>
      <c r="P2570" s="6" t="str">
        <f>IF($D2570="","",IF(AND($L2570="Crédit",OR(IFERROR(INDEX('Paramètres'!$O:$O,MATCH($D2570,'Paramètres'!$M:$M,0))&amp;"","")&lt;&gt;"",ISNUMBER(SEARCH("remboursement",IFERROR(INDEX('Paramètres'!$N:$N,MATCH($D2570,'Paramètres'!$M:$M,0))&amp;"",""))))),1,0))</f>
        <v/>
      </c>
      <c r="Q2570" s="6" t="str">
        <f>IF($K2570="","",IF(ISNUMBER(SEARCH("transfert-interne",IFERROR(INDEX('Paramètres'!$N:$N,MATCH($D2570,'Paramètres'!$M:$M,0))&amp;"",""))),0,IF($L2570="Débit",$K2570,IF($P2570=1,-$K2570,0))))</f>
        <v/>
      </c>
      <c r="R2570" s="6" t="str">
        <f>IF($K2570="","",IF($L2570="Crédit",$K2570,-$K2570))</f>
        <v/>
      </c>
      <c r="S2570" s="6" t="str">
        <f>IF($C2570="","",IFERROR(INDEX('Paramètres'!$H:$H,MATCH($C2570,'Paramètres'!$D:$D,0))&amp;"",""))</f>
        <v/>
      </c>
      <c r="T2570" s="6" t="str">
        <f>IF($K2570="","",IF($S2570="",0,IF(ISNUMBER(SEARCH("apport-exterieur",IFERROR(INDEX('Paramètres'!$N:$N,MATCH($D2570,'Paramètres'!$M:$M,0))&amp;"",""))),0,IF(OR(IFERROR(INDEX('Paramètres'!$I:$I,MATCH($C2570,'Paramètres'!$D:$D,0))&amp;"","")="Les deux",IFERROR(INDEX('Paramètres'!$I:$I,MATCH($C2570,'Paramètres'!$D:$D,0))&amp;"","")=IF($P2570=1,"Débit",$L2570)),-IF($P2570=1,-$K2570,$K2570),0))))</f>
        <v/>
      </c>
      <c r="U2570" s="6" t="str">
        <f>IF($K2570="","",IF(ISNUMBER(SEARCH("sortie-epargne",IFERROR(INDEX('Paramètres'!$N:$N,MATCH($D2570,'Paramètres'!$M:$M,0))&amp;"",""))),$K2570,0))</f>
        <v/>
      </c>
      <c r="V2570" s="6" t="str">
        <f>IF(AND($A2570&lt;&gt;"",$O2570=1,$L2570="Débit",N($Q2570)&gt;0,$A2570&gt;=Visualisation!$B$1,$A2570&lt;Visualisation!$D$1),MAX($V$1:V2569)+1,"")</f>
        <v/>
      </c>
    </row>
    <row r="2571" spans="1:22" x14ac:dyDescent="0.25">
      <c r="A2571" s="9"/>
      <c r="E2571" s="10"/>
      <c r="K2571" s="11" t="str">
        <f>IF($E2571="","",ROUND($E2571*IF(ISNA(MATCH($C2571,'Paramètres'!$D:$D,0)),1,IF(INDEX('Paramètres'!$J:$J,MATCH($C2571,'Paramètres'!$D:$D,0))="",1,INDEX('Paramètres'!$J:$J,MATCH($C2571,'Paramètres'!$D:$D,0)))),2))</f>
        <v/>
      </c>
      <c r="L2571" s="6" t="str">
        <f>IF($D2571="","",IF($F2571&lt;&gt;"",$F2571,IF(ISNA(MATCH($D2571,'Paramètres'!$M:$M,0)),"⚠ Type inconnu",IFERROR(INDEX('Paramètres'!$P:$P,MATCH($D2571,'Paramètres'!$M:$M,0))&amp;"",""))))</f>
        <v/>
      </c>
      <c r="M2571" s="6" t="str">
        <f>IF($D2571="","",IF(ISNA(MATCH($D2571,'Paramètres'!$M:$M,0)),"⚠ Type inconnu",IF($L2571="Crédit","",IFERROR(INDEX('Paramètres'!$O:$O,MATCH($D2571,'Paramètres'!$M:$M,0))&amp;"",""))))</f>
        <v/>
      </c>
      <c r="N2571" s="6" t="str">
        <f>IF($D2571="","",IFERROR(INDEX('Paramètres'!$Q:$Q,MATCH($D2571,'Paramètres'!$M:$M,0))&amp;"",""))</f>
        <v/>
      </c>
      <c r="O2571" s="6" t="str">
        <f>IF($A2571="","",IF(OR($J2571&lt;&gt;"x",$A2571&lt;=FinReleve),1,0))</f>
        <v/>
      </c>
      <c r="P2571" s="6" t="str">
        <f>IF($D2571="","",IF(AND($L2571="Crédit",OR(IFERROR(INDEX('Paramètres'!$O:$O,MATCH($D2571,'Paramètres'!$M:$M,0))&amp;"","")&lt;&gt;"",ISNUMBER(SEARCH("remboursement",IFERROR(INDEX('Paramètres'!$N:$N,MATCH($D2571,'Paramètres'!$M:$M,0))&amp;"",""))))),1,0))</f>
        <v/>
      </c>
      <c r="Q2571" s="6" t="str">
        <f>IF($K2571="","",IF(ISNUMBER(SEARCH("transfert-interne",IFERROR(INDEX('Paramètres'!$N:$N,MATCH($D2571,'Paramètres'!$M:$M,0))&amp;"",""))),0,IF($L2571="Débit",$K2571,IF($P2571=1,-$K2571,0))))</f>
        <v/>
      </c>
      <c r="R2571" s="6" t="str">
        <f>IF($K2571="","",IF($L2571="Crédit",$K2571,-$K2571))</f>
        <v/>
      </c>
      <c r="S2571" s="6" t="str">
        <f>IF($C2571="","",IFERROR(INDEX('Paramètres'!$H:$H,MATCH($C2571,'Paramètres'!$D:$D,0))&amp;"",""))</f>
        <v/>
      </c>
      <c r="T2571" s="6" t="str">
        <f>IF($K2571="","",IF($S2571="",0,IF(ISNUMBER(SEARCH("apport-exterieur",IFERROR(INDEX('Paramètres'!$N:$N,MATCH($D2571,'Paramètres'!$M:$M,0))&amp;"",""))),0,IF(OR(IFERROR(INDEX('Paramètres'!$I:$I,MATCH($C2571,'Paramètres'!$D:$D,0))&amp;"","")="Les deux",IFERROR(INDEX('Paramètres'!$I:$I,MATCH($C2571,'Paramètres'!$D:$D,0))&amp;"","")=IF($P2571=1,"Débit",$L2571)),-IF($P2571=1,-$K2571,$K2571),0))))</f>
        <v/>
      </c>
      <c r="U2571" s="6" t="str">
        <f>IF($K2571="","",IF(ISNUMBER(SEARCH("sortie-epargne",IFERROR(INDEX('Paramètres'!$N:$N,MATCH($D2571,'Paramètres'!$M:$M,0))&amp;"",""))),$K2571,0))</f>
        <v/>
      </c>
      <c r="V2571" s="6" t="str">
        <f>IF(AND($A2571&lt;&gt;"",$O2571=1,$L2571="Débit",N($Q2571)&gt;0,$A2571&gt;=Visualisation!$B$1,$A2571&lt;Visualisation!$D$1),MAX($V$1:V2570)+1,"")</f>
        <v/>
      </c>
    </row>
    <row r="2572" spans="1:22" x14ac:dyDescent="0.25">
      <c r="A2572" s="9"/>
      <c r="E2572" s="10"/>
      <c r="K2572" s="11" t="str">
        <f>IF($E2572="","",ROUND($E2572*IF(ISNA(MATCH($C2572,'Paramètres'!$D:$D,0)),1,IF(INDEX('Paramètres'!$J:$J,MATCH($C2572,'Paramètres'!$D:$D,0))="",1,INDEX('Paramètres'!$J:$J,MATCH($C2572,'Paramètres'!$D:$D,0)))),2))</f>
        <v/>
      </c>
      <c r="L2572" s="6" t="str">
        <f>IF($D2572="","",IF($F2572&lt;&gt;"",$F2572,IF(ISNA(MATCH($D2572,'Paramètres'!$M:$M,0)),"⚠ Type inconnu",IFERROR(INDEX('Paramètres'!$P:$P,MATCH($D2572,'Paramètres'!$M:$M,0))&amp;"",""))))</f>
        <v/>
      </c>
      <c r="M2572" s="6" t="str">
        <f>IF($D2572="","",IF(ISNA(MATCH($D2572,'Paramètres'!$M:$M,0)),"⚠ Type inconnu",IF($L2572="Crédit","",IFERROR(INDEX('Paramètres'!$O:$O,MATCH($D2572,'Paramètres'!$M:$M,0))&amp;"",""))))</f>
        <v/>
      </c>
      <c r="N2572" s="6" t="str">
        <f>IF($D2572="","",IFERROR(INDEX('Paramètres'!$Q:$Q,MATCH($D2572,'Paramètres'!$M:$M,0))&amp;"",""))</f>
        <v/>
      </c>
      <c r="O2572" s="6" t="str">
        <f>IF($A2572="","",IF(OR($J2572&lt;&gt;"x",$A2572&lt;=FinReleve),1,0))</f>
        <v/>
      </c>
      <c r="P2572" s="6" t="str">
        <f>IF($D2572="","",IF(AND($L2572="Crédit",OR(IFERROR(INDEX('Paramètres'!$O:$O,MATCH($D2572,'Paramètres'!$M:$M,0))&amp;"","")&lt;&gt;"",ISNUMBER(SEARCH("remboursement",IFERROR(INDEX('Paramètres'!$N:$N,MATCH($D2572,'Paramètres'!$M:$M,0))&amp;"",""))))),1,0))</f>
        <v/>
      </c>
      <c r="Q2572" s="6" t="str">
        <f>IF($K2572="","",IF(ISNUMBER(SEARCH("transfert-interne",IFERROR(INDEX('Paramètres'!$N:$N,MATCH($D2572,'Paramètres'!$M:$M,0))&amp;"",""))),0,IF($L2572="Débit",$K2572,IF($P2572=1,-$K2572,0))))</f>
        <v/>
      </c>
      <c r="R2572" s="6" t="str">
        <f>IF($K2572="","",IF($L2572="Crédit",$K2572,-$K2572))</f>
        <v/>
      </c>
      <c r="S2572" s="6" t="str">
        <f>IF($C2572="","",IFERROR(INDEX('Paramètres'!$H:$H,MATCH($C2572,'Paramètres'!$D:$D,0))&amp;"",""))</f>
        <v/>
      </c>
      <c r="T2572" s="6" t="str">
        <f>IF($K2572="","",IF($S2572="",0,IF(ISNUMBER(SEARCH("apport-exterieur",IFERROR(INDEX('Paramètres'!$N:$N,MATCH($D2572,'Paramètres'!$M:$M,0))&amp;"",""))),0,IF(OR(IFERROR(INDEX('Paramètres'!$I:$I,MATCH($C2572,'Paramètres'!$D:$D,0))&amp;"","")="Les deux",IFERROR(INDEX('Paramètres'!$I:$I,MATCH($C2572,'Paramètres'!$D:$D,0))&amp;"","")=IF($P2572=1,"Débit",$L2572)),-IF($P2572=1,-$K2572,$K2572),0))))</f>
        <v/>
      </c>
      <c r="U2572" s="6" t="str">
        <f>IF($K2572="","",IF(ISNUMBER(SEARCH("sortie-epargne",IFERROR(INDEX('Paramètres'!$N:$N,MATCH($D2572,'Paramètres'!$M:$M,0))&amp;"",""))),$K2572,0))</f>
        <v/>
      </c>
      <c r="V2572" s="6" t="str">
        <f>IF(AND($A2572&lt;&gt;"",$O2572=1,$L2572="Débit",N($Q2572)&gt;0,$A2572&gt;=Visualisation!$B$1,$A2572&lt;Visualisation!$D$1),MAX($V$1:V2571)+1,"")</f>
        <v/>
      </c>
    </row>
    <row r="2573" spans="1:22" x14ac:dyDescent="0.25">
      <c r="A2573" s="9"/>
      <c r="E2573" s="10"/>
      <c r="K2573" s="11" t="str">
        <f>IF($E2573="","",ROUND($E2573*IF(ISNA(MATCH($C2573,'Paramètres'!$D:$D,0)),1,IF(INDEX('Paramètres'!$J:$J,MATCH($C2573,'Paramètres'!$D:$D,0))="",1,INDEX('Paramètres'!$J:$J,MATCH($C2573,'Paramètres'!$D:$D,0)))),2))</f>
        <v/>
      </c>
      <c r="L2573" s="6" t="str">
        <f>IF($D2573="","",IF($F2573&lt;&gt;"",$F2573,IF(ISNA(MATCH($D2573,'Paramètres'!$M:$M,0)),"⚠ Type inconnu",IFERROR(INDEX('Paramètres'!$P:$P,MATCH($D2573,'Paramètres'!$M:$M,0))&amp;"",""))))</f>
        <v/>
      </c>
      <c r="M2573" s="6" t="str">
        <f>IF($D2573="","",IF(ISNA(MATCH($D2573,'Paramètres'!$M:$M,0)),"⚠ Type inconnu",IF($L2573="Crédit","",IFERROR(INDEX('Paramètres'!$O:$O,MATCH($D2573,'Paramètres'!$M:$M,0))&amp;"",""))))</f>
        <v/>
      </c>
      <c r="N2573" s="6" t="str">
        <f>IF($D2573="","",IFERROR(INDEX('Paramètres'!$Q:$Q,MATCH($D2573,'Paramètres'!$M:$M,0))&amp;"",""))</f>
        <v/>
      </c>
      <c r="O2573" s="6" t="str">
        <f>IF($A2573="","",IF(OR($J2573&lt;&gt;"x",$A2573&lt;=FinReleve),1,0))</f>
        <v/>
      </c>
      <c r="P2573" s="6" t="str">
        <f>IF($D2573="","",IF(AND($L2573="Crédit",OR(IFERROR(INDEX('Paramètres'!$O:$O,MATCH($D2573,'Paramètres'!$M:$M,0))&amp;"","")&lt;&gt;"",ISNUMBER(SEARCH("remboursement",IFERROR(INDEX('Paramètres'!$N:$N,MATCH($D2573,'Paramètres'!$M:$M,0))&amp;"",""))))),1,0))</f>
        <v/>
      </c>
      <c r="Q2573" s="6" t="str">
        <f>IF($K2573="","",IF(ISNUMBER(SEARCH("transfert-interne",IFERROR(INDEX('Paramètres'!$N:$N,MATCH($D2573,'Paramètres'!$M:$M,0))&amp;"",""))),0,IF($L2573="Débit",$K2573,IF($P2573=1,-$K2573,0))))</f>
        <v/>
      </c>
      <c r="R2573" s="6" t="str">
        <f>IF($K2573="","",IF($L2573="Crédit",$K2573,-$K2573))</f>
        <v/>
      </c>
      <c r="S2573" s="6" t="str">
        <f>IF($C2573="","",IFERROR(INDEX('Paramètres'!$H:$H,MATCH($C2573,'Paramètres'!$D:$D,0))&amp;"",""))</f>
        <v/>
      </c>
      <c r="T2573" s="6" t="str">
        <f>IF($K2573="","",IF($S2573="",0,IF(ISNUMBER(SEARCH("apport-exterieur",IFERROR(INDEX('Paramètres'!$N:$N,MATCH($D2573,'Paramètres'!$M:$M,0))&amp;"",""))),0,IF(OR(IFERROR(INDEX('Paramètres'!$I:$I,MATCH($C2573,'Paramètres'!$D:$D,0))&amp;"","")="Les deux",IFERROR(INDEX('Paramètres'!$I:$I,MATCH($C2573,'Paramètres'!$D:$D,0))&amp;"","")=IF($P2573=1,"Débit",$L2573)),-IF($P2573=1,-$K2573,$K2573),0))))</f>
        <v/>
      </c>
      <c r="U2573" s="6" t="str">
        <f>IF($K2573="","",IF(ISNUMBER(SEARCH("sortie-epargne",IFERROR(INDEX('Paramètres'!$N:$N,MATCH($D2573,'Paramètres'!$M:$M,0))&amp;"",""))),$K2573,0))</f>
        <v/>
      </c>
      <c r="V2573" s="6" t="str">
        <f>IF(AND($A2573&lt;&gt;"",$O2573=1,$L2573="Débit",N($Q2573)&gt;0,$A2573&gt;=Visualisation!$B$1,$A2573&lt;Visualisation!$D$1),MAX($V$1:V2572)+1,"")</f>
        <v/>
      </c>
    </row>
    <row r="2574" spans="1:22" x14ac:dyDescent="0.25">
      <c r="A2574" s="9"/>
      <c r="E2574" s="10"/>
      <c r="K2574" s="11" t="str">
        <f>IF($E2574="","",ROUND($E2574*IF(ISNA(MATCH($C2574,'Paramètres'!$D:$D,0)),1,IF(INDEX('Paramètres'!$J:$J,MATCH($C2574,'Paramètres'!$D:$D,0))="",1,INDEX('Paramètres'!$J:$J,MATCH($C2574,'Paramètres'!$D:$D,0)))),2))</f>
        <v/>
      </c>
      <c r="L2574" s="6" t="str">
        <f>IF($D2574="","",IF($F2574&lt;&gt;"",$F2574,IF(ISNA(MATCH($D2574,'Paramètres'!$M:$M,0)),"⚠ Type inconnu",IFERROR(INDEX('Paramètres'!$P:$P,MATCH($D2574,'Paramètres'!$M:$M,0))&amp;"",""))))</f>
        <v/>
      </c>
      <c r="M2574" s="6" t="str">
        <f>IF($D2574="","",IF(ISNA(MATCH($D2574,'Paramètres'!$M:$M,0)),"⚠ Type inconnu",IF($L2574="Crédit","",IFERROR(INDEX('Paramètres'!$O:$O,MATCH($D2574,'Paramètres'!$M:$M,0))&amp;"",""))))</f>
        <v/>
      </c>
      <c r="N2574" s="6" t="str">
        <f>IF($D2574="","",IFERROR(INDEX('Paramètres'!$Q:$Q,MATCH($D2574,'Paramètres'!$M:$M,0))&amp;"",""))</f>
        <v/>
      </c>
      <c r="O2574" s="6" t="str">
        <f>IF($A2574="","",IF(OR($J2574&lt;&gt;"x",$A2574&lt;=FinReleve),1,0))</f>
        <v/>
      </c>
      <c r="P2574" s="6" t="str">
        <f>IF($D2574="","",IF(AND($L2574="Crédit",OR(IFERROR(INDEX('Paramètres'!$O:$O,MATCH($D2574,'Paramètres'!$M:$M,0))&amp;"","")&lt;&gt;"",ISNUMBER(SEARCH("remboursement",IFERROR(INDEX('Paramètres'!$N:$N,MATCH($D2574,'Paramètres'!$M:$M,0))&amp;"",""))))),1,0))</f>
        <v/>
      </c>
      <c r="Q2574" s="6" t="str">
        <f>IF($K2574="","",IF(ISNUMBER(SEARCH("transfert-interne",IFERROR(INDEX('Paramètres'!$N:$N,MATCH($D2574,'Paramètres'!$M:$M,0))&amp;"",""))),0,IF($L2574="Débit",$K2574,IF($P2574=1,-$K2574,0))))</f>
        <v/>
      </c>
      <c r="R2574" s="6" t="str">
        <f>IF($K2574="","",IF($L2574="Crédit",$K2574,-$K2574))</f>
        <v/>
      </c>
      <c r="S2574" s="6" t="str">
        <f>IF($C2574="","",IFERROR(INDEX('Paramètres'!$H:$H,MATCH($C2574,'Paramètres'!$D:$D,0))&amp;"",""))</f>
        <v/>
      </c>
      <c r="T2574" s="6" t="str">
        <f>IF($K2574="","",IF($S2574="",0,IF(ISNUMBER(SEARCH("apport-exterieur",IFERROR(INDEX('Paramètres'!$N:$N,MATCH($D2574,'Paramètres'!$M:$M,0))&amp;"",""))),0,IF(OR(IFERROR(INDEX('Paramètres'!$I:$I,MATCH($C2574,'Paramètres'!$D:$D,0))&amp;"","")="Les deux",IFERROR(INDEX('Paramètres'!$I:$I,MATCH($C2574,'Paramètres'!$D:$D,0))&amp;"","")=IF($P2574=1,"Débit",$L2574)),-IF($P2574=1,-$K2574,$K2574),0))))</f>
        <v/>
      </c>
      <c r="U2574" s="6" t="str">
        <f>IF($K2574="","",IF(ISNUMBER(SEARCH("sortie-epargne",IFERROR(INDEX('Paramètres'!$N:$N,MATCH($D2574,'Paramètres'!$M:$M,0))&amp;"",""))),$K2574,0))</f>
        <v/>
      </c>
      <c r="V2574" s="6" t="str">
        <f>IF(AND($A2574&lt;&gt;"",$O2574=1,$L2574="Débit",N($Q2574)&gt;0,$A2574&gt;=Visualisation!$B$1,$A2574&lt;Visualisation!$D$1),MAX($V$1:V2573)+1,"")</f>
        <v/>
      </c>
    </row>
    <row r="2575" spans="1:22" x14ac:dyDescent="0.25">
      <c r="A2575" s="9"/>
      <c r="E2575" s="10"/>
      <c r="K2575" s="11" t="str">
        <f>IF($E2575="","",ROUND($E2575*IF(ISNA(MATCH($C2575,'Paramètres'!$D:$D,0)),1,IF(INDEX('Paramètres'!$J:$J,MATCH($C2575,'Paramètres'!$D:$D,0))="",1,INDEX('Paramètres'!$J:$J,MATCH($C2575,'Paramètres'!$D:$D,0)))),2))</f>
        <v/>
      </c>
      <c r="L2575" s="6" t="str">
        <f>IF($D2575="","",IF($F2575&lt;&gt;"",$F2575,IF(ISNA(MATCH($D2575,'Paramètres'!$M:$M,0)),"⚠ Type inconnu",IFERROR(INDEX('Paramètres'!$P:$P,MATCH($D2575,'Paramètres'!$M:$M,0))&amp;"",""))))</f>
        <v/>
      </c>
      <c r="M2575" s="6" t="str">
        <f>IF($D2575="","",IF(ISNA(MATCH($D2575,'Paramètres'!$M:$M,0)),"⚠ Type inconnu",IF($L2575="Crédit","",IFERROR(INDEX('Paramètres'!$O:$O,MATCH($D2575,'Paramètres'!$M:$M,0))&amp;"",""))))</f>
        <v/>
      </c>
      <c r="N2575" s="6" t="str">
        <f>IF($D2575="","",IFERROR(INDEX('Paramètres'!$Q:$Q,MATCH($D2575,'Paramètres'!$M:$M,0))&amp;"",""))</f>
        <v/>
      </c>
      <c r="O2575" s="6" t="str">
        <f>IF($A2575="","",IF(OR($J2575&lt;&gt;"x",$A2575&lt;=FinReleve),1,0))</f>
        <v/>
      </c>
      <c r="P2575" s="6" t="str">
        <f>IF($D2575="","",IF(AND($L2575="Crédit",OR(IFERROR(INDEX('Paramètres'!$O:$O,MATCH($D2575,'Paramètres'!$M:$M,0))&amp;"","")&lt;&gt;"",ISNUMBER(SEARCH("remboursement",IFERROR(INDEX('Paramètres'!$N:$N,MATCH($D2575,'Paramètres'!$M:$M,0))&amp;"",""))))),1,0))</f>
        <v/>
      </c>
      <c r="Q2575" s="6" t="str">
        <f>IF($K2575="","",IF(ISNUMBER(SEARCH("transfert-interne",IFERROR(INDEX('Paramètres'!$N:$N,MATCH($D2575,'Paramètres'!$M:$M,0))&amp;"",""))),0,IF($L2575="Débit",$K2575,IF($P2575=1,-$K2575,0))))</f>
        <v/>
      </c>
      <c r="R2575" s="6" t="str">
        <f>IF($K2575="","",IF($L2575="Crédit",$K2575,-$K2575))</f>
        <v/>
      </c>
      <c r="S2575" s="6" t="str">
        <f>IF($C2575="","",IFERROR(INDEX('Paramètres'!$H:$H,MATCH($C2575,'Paramètres'!$D:$D,0))&amp;"",""))</f>
        <v/>
      </c>
      <c r="T2575" s="6" t="str">
        <f>IF($K2575="","",IF($S2575="",0,IF(ISNUMBER(SEARCH("apport-exterieur",IFERROR(INDEX('Paramètres'!$N:$N,MATCH($D2575,'Paramètres'!$M:$M,0))&amp;"",""))),0,IF(OR(IFERROR(INDEX('Paramètres'!$I:$I,MATCH($C2575,'Paramètres'!$D:$D,0))&amp;"","")="Les deux",IFERROR(INDEX('Paramètres'!$I:$I,MATCH($C2575,'Paramètres'!$D:$D,0))&amp;"","")=IF($P2575=1,"Débit",$L2575)),-IF($P2575=1,-$K2575,$K2575),0))))</f>
        <v/>
      </c>
      <c r="U2575" s="6" t="str">
        <f>IF($K2575="","",IF(ISNUMBER(SEARCH("sortie-epargne",IFERROR(INDEX('Paramètres'!$N:$N,MATCH($D2575,'Paramètres'!$M:$M,0))&amp;"",""))),$K2575,0))</f>
        <v/>
      </c>
      <c r="V2575" s="6" t="str">
        <f>IF(AND($A2575&lt;&gt;"",$O2575=1,$L2575="Débit",N($Q2575)&gt;0,$A2575&gt;=Visualisation!$B$1,$A2575&lt;Visualisation!$D$1),MAX($V$1:V2574)+1,"")</f>
        <v/>
      </c>
    </row>
    <row r="2576" spans="1:22" x14ac:dyDescent="0.25">
      <c r="A2576" s="9"/>
      <c r="E2576" s="10"/>
      <c r="K2576" s="11" t="str">
        <f>IF($E2576="","",ROUND($E2576*IF(ISNA(MATCH($C2576,'Paramètres'!$D:$D,0)),1,IF(INDEX('Paramètres'!$J:$J,MATCH($C2576,'Paramètres'!$D:$D,0))="",1,INDEX('Paramètres'!$J:$J,MATCH($C2576,'Paramètres'!$D:$D,0)))),2))</f>
        <v/>
      </c>
      <c r="L2576" s="6" t="str">
        <f>IF($D2576="","",IF($F2576&lt;&gt;"",$F2576,IF(ISNA(MATCH($D2576,'Paramètres'!$M:$M,0)),"⚠ Type inconnu",IFERROR(INDEX('Paramètres'!$P:$P,MATCH($D2576,'Paramètres'!$M:$M,0))&amp;"",""))))</f>
        <v/>
      </c>
      <c r="M2576" s="6" t="str">
        <f>IF($D2576="","",IF(ISNA(MATCH($D2576,'Paramètres'!$M:$M,0)),"⚠ Type inconnu",IF($L2576="Crédit","",IFERROR(INDEX('Paramètres'!$O:$O,MATCH($D2576,'Paramètres'!$M:$M,0))&amp;"",""))))</f>
        <v/>
      </c>
      <c r="N2576" s="6" t="str">
        <f>IF($D2576="","",IFERROR(INDEX('Paramètres'!$Q:$Q,MATCH($D2576,'Paramètres'!$M:$M,0))&amp;"",""))</f>
        <v/>
      </c>
      <c r="O2576" s="6" t="str">
        <f>IF($A2576="","",IF(OR($J2576&lt;&gt;"x",$A2576&lt;=FinReleve),1,0))</f>
        <v/>
      </c>
      <c r="P2576" s="6" t="str">
        <f>IF($D2576="","",IF(AND($L2576="Crédit",OR(IFERROR(INDEX('Paramètres'!$O:$O,MATCH($D2576,'Paramètres'!$M:$M,0))&amp;"","")&lt;&gt;"",ISNUMBER(SEARCH("remboursement",IFERROR(INDEX('Paramètres'!$N:$N,MATCH($D2576,'Paramètres'!$M:$M,0))&amp;"",""))))),1,0))</f>
        <v/>
      </c>
      <c r="Q2576" s="6" t="str">
        <f>IF($K2576="","",IF(ISNUMBER(SEARCH("transfert-interne",IFERROR(INDEX('Paramètres'!$N:$N,MATCH($D2576,'Paramètres'!$M:$M,0))&amp;"",""))),0,IF($L2576="Débit",$K2576,IF($P2576=1,-$K2576,0))))</f>
        <v/>
      </c>
      <c r="R2576" s="6" t="str">
        <f>IF($K2576="","",IF($L2576="Crédit",$K2576,-$K2576))</f>
        <v/>
      </c>
      <c r="S2576" s="6" t="str">
        <f>IF($C2576="","",IFERROR(INDEX('Paramètres'!$H:$H,MATCH($C2576,'Paramètres'!$D:$D,0))&amp;"",""))</f>
        <v/>
      </c>
      <c r="T2576" s="6" t="str">
        <f>IF($K2576="","",IF($S2576="",0,IF(ISNUMBER(SEARCH("apport-exterieur",IFERROR(INDEX('Paramètres'!$N:$N,MATCH($D2576,'Paramètres'!$M:$M,0))&amp;"",""))),0,IF(OR(IFERROR(INDEX('Paramètres'!$I:$I,MATCH($C2576,'Paramètres'!$D:$D,0))&amp;"","")="Les deux",IFERROR(INDEX('Paramètres'!$I:$I,MATCH($C2576,'Paramètres'!$D:$D,0))&amp;"","")=IF($P2576=1,"Débit",$L2576)),-IF($P2576=1,-$K2576,$K2576),0))))</f>
        <v/>
      </c>
      <c r="U2576" s="6" t="str">
        <f>IF($K2576="","",IF(ISNUMBER(SEARCH("sortie-epargne",IFERROR(INDEX('Paramètres'!$N:$N,MATCH($D2576,'Paramètres'!$M:$M,0))&amp;"",""))),$K2576,0))</f>
        <v/>
      </c>
      <c r="V2576" s="6" t="str">
        <f>IF(AND($A2576&lt;&gt;"",$O2576=1,$L2576="Débit",N($Q2576)&gt;0,$A2576&gt;=Visualisation!$B$1,$A2576&lt;Visualisation!$D$1),MAX($V$1:V2575)+1,"")</f>
        <v/>
      </c>
    </row>
    <row r="2577" spans="1:22" x14ac:dyDescent="0.25">
      <c r="A2577" s="9"/>
      <c r="E2577" s="10"/>
      <c r="K2577" s="11" t="str">
        <f>IF($E2577="","",ROUND($E2577*IF(ISNA(MATCH($C2577,'Paramètres'!$D:$D,0)),1,IF(INDEX('Paramètres'!$J:$J,MATCH($C2577,'Paramètres'!$D:$D,0))="",1,INDEX('Paramètres'!$J:$J,MATCH($C2577,'Paramètres'!$D:$D,0)))),2))</f>
        <v/>
      </c>
      <c r="L2577" s="6" t="str">
        <f>IF($D2577="","",IF($F2577&lt;&gt;"",$F2577,IF(ISNA(MATCH($D2577,'Paramètres'!$M:$M,0)),"⚠ Type inconnu",IFERROR(INDEX('Paramètres'!$P:$P,MATCH($D2577,'Paramètres'!$M:$M,0))&amp;"",""))))</f>
        <v/>
      </c>
      <c r="M2577" s="6" t="str">
        <f>IF($D2577="","",IF(ISNA(MATCH($D2577,'Paramètres'!$M:$M,0)),"⚠ Type inconnu",IF($L2577="Crédit","",IFERROR(INDEX('Paramètres'!$O:$O,MATCH($D2577,'Paramètres'!$M:$M,0))&amp;"",""))))</f>
        <v/>
      </c>
      <c r="N2577" s="6" t="str">
        <f>IF($D2577="","",IFERROR(INDEX('Paramètres'!$Q:$Q,MATCH($D2577,'Paramètres'!$M:$M,0))&amp;"",""))</f>
        <v/>
      </c>
      <c r="O2577" s="6" t="str">
        <f>IF($A2577="","",IF(OR($J2577&lt;&gt;"x",$A2577&lt;=FinReleve),1,0))</f>
        <v/>
      </c>
      <c r="P2577" s="6" t="str">
        <f>IF($D2577="","",IF(AND($L2577="Crédit",OR(IFERROR(INDEX('Paramètres'!$O:$O,MATCH($D2577,'Paramètres'!$M:$M,0))&amp;"","")&lt;&gt;"",ISNUMBER(SEARCH("remboursement",IFERROR(INDEX('Paramètres'!$N:$N,MATCH($D2577,'Paramètres'!$M:$M,0))&amp;"",""))))),1,0))</f>
        <v/>
      </c>
      <c r="Q2577" s="6" t="str">
        <f>IF($K2577="","",IF(ISNUMBER(SEARCH("transfert-interne",IFERROR(INDEX('Paramètres'!$N:$N,MATCH($D2577,'Paramètres'!$M:$M,0))&amp;"",""))),0,IF($L2577="Débit",$K2577,IF($P2577=1,-$K2577,0))))</f>
        <v/>
      </c>
      <c r="R2577" s="6" t="str">
        <f>IF($K2577="","",IF($L2577="Crédit",$K2577,-$K2577))</f>
        <v/>
      </c>
      <c r="S2577" s="6" t="str">
        <f>IF($C2577="","",IFERROR(INDEX('Paramètres'!$H:$H,MATCH($C2577,'Paramètres'!$D:$D,0))&amp;"",""))</f>
        <v/>
      </c>
      <c r="T2577" s="6" t="str">
        <f>IF($K2577="","",IF($S2577="",0,IF(ISNUMBER(SEARCH("apport-exterieur",IFERROR(INDEX('Paramètres'!$N:$N,MATCH($D2577,'Paramètres'!$M:$M,0))&amp;"",""))),0,IF(OR(IFERROR(INDEX('Paramètres'!$I:$I,MATCH($C2577,'Paramètres'!$D:$D,0))&amp;"","")="Les deux",IFERROR(INDEX('Paramètres'!$I:$I,MATCH($C2577,'Paramètres'!$D:$D,0))&amp;"","")=IF($P2577=1,"Débit",$L2577)),-IF($P2577=1,-$K2577,$K2577),0))))</f>
        <v/>
      </c>
      <c r="U2577" s="6" t="str">
        <f>IF($K2577="","",IF(ISNUMBER(SEARCH("sortie-epargne",IFERROR(INDEX('Paramètres'!$N:$N,MATCH($D2577,'Paramètres'!$M:$M,0))&amp;"",""))),$K2577,0))</f>
        <v/>
      </c>
      <c r="V2577" s="6" t="str">
        <f>IF(AND($A2577&lt;&gt;"",$O2577=1,$L2577="Débit",N($Q2577)&gt;0,$A2577&gt;=Visualisation!$B$1,$A2577&lt;Visualisation!$D$1),MAX($V$1:V2576)+1,"")</f>
        <v/>
      </c>
    </row>
    <row r="2578" spans="1:22" x14ac:dyDescent="0.25">
      <c r="A2578" s="9"/>
      <c r="E2578" s="10"/>
      <c r="K2578" s="11" t="str">
        <f>IF($E2578="","",ROUND($E2578*IF(ISNA(MATCH($C2578,'Paramètres'!$D:$D,0)),1,IF(INDEX('Paramètres'!$J:$J,MATCH($C2578,'Paramètres'!$D:$D,0))="",1,INDEX('Paramètres'!$J:$J,MATCH($C2578,'Paramètres'!$D:$D,0)))),2))</f>
        <v/>
      </c>
      <c r="L2578" s="6" t="str">
        <f>IF($D2578="","",IF($F2578&lt;&gt;"",$F2578,IF(ISNA(MATCH($D2578,'Paramètres'!$M:$M,0)),"⚠ Type inconnu",IFERROR(INDEX('Paramètres'!$P:$P,MATCH($D2578,'Paramètres'!$M:$M,0))&amp;"",""))))</f>
        <v/>
      </c>
      <c r="M2578" s="6" t="str">
        <f>IF($D2578="","",IF(ISNA(MATCH($D2578,'Paramètres'!$M:$M,0)),"⚠ Type inconnu",IF($L2578="Crédit","",IFERROR(INDEX('Paramètres'!$O:$O,MATCH($D2578,'Paramètres'!$M:$M,0))&amp;"",""))))</f>
        <v/>
      </c>
      <c r="N2578" s="6" t="str">
        <f>IF($D2578="","",IFERROR(INDEX('Paramètres'!$Q:$Q,MATCH($D2578,'Paramètres'!$M:$M,0))&amp;"",""))</f>
        <v/>
      </c>
      <c r="O2578" s="6" t="str">
        <f>IF($A2578="","",IF(OR($J2578&lt;&gt;"x",$A2578&lt;=FinReleve),1,0))</f>
        <v/>
      </c>
      <c r="P2578" s="6" t="str">
        <f>IF($D2578="","",IF(AND($L2578="Crédit",OR(IFERROR(INDEX('Paramètres'!$O:$O,MATCH($D2578,'Paramètres'!$M:$M,0))&amp;"","")&lt;&gt;"",ISNUMBER(SEARCH("remboursement",IFERROR(INDEX('Paramètres'!$N:$N,MATCH($D2578,'Paramètres'!$M:$M,0))&amp;"",""))))),1,0))</f>
        <v/>
      </c>
      <c r="Q2578" s="6" t="str">
        <f>IF($K2578="","",IF(ISNUMBER(SEARCH("transfert-interne",IFERROR(INDEX('Paramètres'!$N:$N,MATCH($D2578,'Paramètres'!$M:$M,0))&amp;"",""))),0,IF($L2578="Débit",$K2578,IF($P2578=1,-$K2578,0))))</f>
        <v/>
      </c>
      <c r="R2578" s="6" t="str">
        <f>IF($K2578="","",IF($L2578="Crédit",$K2578,-$K2578))</f>
        <v/>
      </c>
      <c r="S2578" s="6" t="str">
        <f>IF($C2578="","",IFERROR(INDEX('Paramètres'!$H:$H,MATCH($C2578,'Paramètres'!$D:$D,0))&amp;"",""))</f>
        <v/>
      </c>
      <c r="T2578" s="6" t="str">
        <f>IF($K2578="","",IF($S2578="",0,IF(ISNUMBER(SEARCH("apport-exterieur",IFERROR(INDEX('Paramètres'!$N:$N,MATCH($D2578,'Paramètres'!$M:$M,0))&amp;"",""))),0,IF(OR(IFERROR(INDEX('Paramètres'!$I:$I,MATCH($C2578,'Paramètres'!$D:$D,0))&amp;"","")="Les deux",IFERROR(INDEX('Paramètres'!$I:$I,MATCH($C2578,'Paramètres'!$D:$D,0))&amp;"","")=IF($P2578=1,"Débit",$L2578)),-IF($P2578=1,-$K2578,$K2578),0))))</f>
        <v/>
      </c>
      <c r="U2578" s="6" t="str">
        <f>IF($K2578="","",IF(ISNUMBER(SEARCH("sortie-epargne",IFERROR(INDEX('Paramètres'!$N:$N,MATCH($D2578,'Paramètres'!$M:$M,0))&amp;"",""))),$K2578,0))</f>
        <v/>
      </c>
      <c r="V2578" s="6" t="str">
        <f>IF(AND($A2578&lt;&gt;"",$O2578=1,$L2578="Débit",N($Q2578)&gt;0,$A2578&gt;=Visualisation!$B$1,$A2578&lt;Visualisation!$D$1),MAX($V$1:V2577)+1,"")</f>
        <v/>
      </c>
    </row>
    <row r="2579" spans="1:22" x14ac:dyDescent="0.25">
      <c r="A2579" s="9"/>
      <c r="E2579" s="10"/>
      <c r="K2579" s="11" t="str">
        <f>IF($E2579="","",ROUND($E2579*IF(ISNA(MATCH($C2579,'Paramètres'!$D:$D,0)),1,IF(INDEX('Paramètres'!$J:$J,MATCH($C2579,'Paramètres'!$D:$D,0))="",1,INDEX('Paramètres'!$J:$J,MATCH($C2579,'Paramètres'!$D:$D,0)))),2))</f>
        <v/>
      </c>
      <c r="L2579" s="6" t="str">
        <f>IF($D2579="","",IF($F2579&lt;&gt;"",$F2579,IF(ISNA(MATCH($D2579,'Paramètres'!$M:$M,0)),"⚠ Type inconnu",IFERROR(INDEX('Paramètres'!$P:$P,MATCH($D2579,'Paramètres'!$M:$M,0))&amp;"",""))))</f>
        <v/>
      </c>
      <c r="M2579" s="6" t="str">
        <f>IF($D2579="","",IF(ISNA(MATCH($D2579,'Paramètres'!$M:$M,0)),"⚠ Type inconnu",IF($L2579="Crédit","",IFERROR(INDEX('Paramètres'!$O:$O,MATCH($D2579,'Paramètres'!$M:$M,0))&amp;"",""))))</f>
        <v/>
      </c>
      <c r="N2579" s="6" t="str">
        <f>IF($D2579="","",IFERROR(INDEX('Paramètres'!$Q:$Q,MATCH($D2579,'Paramètres'!$M:$M,0))&amp;"",""))</f>
        <v/>
      </c>
      <c r="O2579" s="6" t="str">
        <f>IF($A2579="","",IF(OR($J2579&lt;&gt;"x",$A2579&lt;=FinReleve),1,0))</f>
        <v/>
      </c>
      <c r="P2579" s="6" t="str">
        <f>IF($D2579="","",IF(AND($L2579="Crédit",OR(IFERROR(INDEX('Paramètres'!$O:$O,MATCH($D2579,'Paramètres'!$M:$M,0))&amp;"","")&lt;&gt;"",ISNUMBER(SEARCH("remboursement",IFERROR(INDEX('Paramètres'!$N:$N,MATCH($D2579,'Paramètres'!$M:$M,0))&amp;"",""))))),1,0))</f>
        <v/>
      </c>
      <c r="Q2579" s="6" t="str">
        <f>IF($K2579="","",IF(ISNUMBER(SEARCH("transfert-interne",IFERROR(INDEX('Paramètres'!$N:$N,MATCH($D2579,'Paramètres'!$M:$M,0))&amp;"",""))),0,IF($L2579="Débit",$K2579,IF($P2579=1,-$K2579,0))))</f>
        <v/>
      </c>
      <c r="R2579" s="6" t="str">
        <f>IF($K2579="","",IF($L2579="Crédit",$K2579,-$K2579))</f>
        <v/>
      </c>
      <c r="S2579" s="6" t="str">
        <f>IF($C2579="","",IFERROR(INDEX('Paramètres'!$H:$H,MATCH($C2579,'Paramètres'!$D:$D,0))&amp;"",""))</f>
        <v/>
      </c>
      <c r="T2579" s="6" t="str">
        <f>IF($K2579="","",IF($S2579="",0,IF(ISNUMBER(SEARCH("apport-exterieur",IFERROR(INDEX('Paramètres'!$N:$N,MATCH($D2579,'Paramètres'!$M:$M,0))&amp;"",""))),0,IF(OR(IFERROR(INDEX('Paramètres'!$I:$I,MATCH($C2579,'Paramètres'!$D:$D,0))&amp;"","")="Les deux",IFERROR(INDEX('Paramètres'!$I:$I,MATCH($C2579,'Paramètres'!$D:$D,0))&amp;"","")=IF($P2579=1,"Débit",$L2579)),-IF($P2579=1,-$K2579,$K2579),0))))</f>
        <v/>
      </c>
      <c r="U2579" s="6" t="str">
        <f>IF($K2579="","",IF(ISNUMBER(SEARCH("sortie-epargne",IFERROR(INDEX('Paramètres'!$N:$N,MATCH($D2579,'Paramètres'!$M:$M,0))&amp;"",""))),$K2579,0))</f>
        <v/>
      </c>
      <c r="V2579" s="6" t="str">
        <f>IF(AND($A2579&lt;&gt;"",$O2579=1,$L2579="Débit",N($Q2579)&gt;0,$A2579&gt;=Visualisation!$B$1,$A2579&lt;Visualisation!$D$1),MAX($V$1:V2578)+1,"")</f>
        <v/>
      </c>
    </row>
    <row r="2580" spans="1:22" x14ac:dyDescent="0.25">
      <c r="A2580" s="9"/>
      <c r="E2580" s="10"/>
      <c r="K2580" s="11" t="str">
        <f>IF($E2580="","",ROUND($E2580*IF(ISNA(MATCH($C2580,'Paramètres'!$D:$D,0)),1,IF(INDEX('Paramètres'!$J:$J,MATCH($C2580,'Paramètres'!$D:$D,0))="",1,INDEX('Paramètres'!$J:$J,MATCH($C2580,'Paramètres'!$D:$D,0)))),2))</f>
        <v/>
      </c>
      <c r="L2580" s="6" t="str">
        <f>IF($D2580="","",IF($F2580&lt;&gt;"",$F2580,IF(ISNA(MATCH($D2580,'Paramètres'!$M:$M,0)),"⚠ Type inconnu",IFERROR(INDEX('Paramètres'!$P:$P,MATCH($D2580,'Paramètres'!$M:$M,0))&amp;"",""))))</f>
        <v/>
      </c>
      <c r="M2580" s="6" t="str">
        <f>IF($D2580="","",IF(ISNA(MATCH($D2580,'Paramètres'!$M:$M,0)),"⚠ Type inconnu",IF($L2580="Crédit","",IFERROR(INDEX('Paramètres'!$O:$O,MATCH($D2580,'Paramètres'!$M:$M,0))&amp;"",""))))</f>
        <v/>
      </c>
      <c r="N2580" s="6" t="str">
        <f>IF($D2580="","",IFERROR(INDEX('Paramètres'!$Q:$Q,MATCH($D2580,'Paramètres'!$M:$M,0))&amp;"",""))</f>
        <v/>
      </c>
      <c r="O2580" s="6" t="str">
        <f>IF($A2580="","",IF(OR($J2580&lt;&gt;"x",$A2580&lt;=FinReleve),1,0))</f>
        <v/>
      </c>
      <c r="P2580" s="6" t="str">
        <f>IF($D2580="","",IF(AND($L2580="Crédit",OR(IFERROR(INDEX('Paramètres'!$O:$O,MATCH($D2580,'Paramètres'!$M:$M,0))&amp;"","")&lt;&gt;"",ISNUMBER(SEARCH("remboursement",IFERROR(INDEX('Paramètres'!$N:$N,MATCH($D2580,'Paramètres'!$M:$M,0))&amp;"",""))))),1,0))</f>
        <v/>
      </c>
      <c r="Q2580" s="6" t="str">
        <f>IF($K2580="","",IF(ISNUMBER(SEARCH("transfert-interne",IFERROR(INDEX('Paramètres'!$N:$N,MATCH($D2580,'Paramètres'!$M:$M,0))&amp;"",""))),0,IF($L2580="Débit",$K2580,IF($P2580=1,-$K2580,0))))</f>
        <v/>
      </c>
      <c r="R2580" s="6" t="str">
        <f>IF($K2580="","",IF($L2580="Crédit",$K2580,-$K2580))</f>
        <v/>
      </c>
      <c r="S2580" s="6" t="str">
        <f>IF($C2580="","",IFERROR(INDEX('Paramètres'!$H:$H,MATCH($C2580,'Paramètres'!$D:$D,0))&amp;"",""))</f>
        <v/>
      </c>
      <c r="T2580" s="6" t="str">
        <f>IF($K2580="","",IF($S2580="",0,IF(ISNUMBER(SEARCH("apport-exterieur",IFERROR(INDEX('Paramètres'!$N:$N,MATCH($D2580,'Paramètres'!$M:$M,0))&amp;"",""))),0,IF(OR(IFERROR(INDEX('Paramètres'!$I:$I,MATCH($C2580,'Paramètres'!$D:$D,0))&amp;"","")="Les deux",IFERROR(INDEX('Paramètres'!$I:$I,MATCH($C2580,'Paramètres'!$D:$D,0))&amp;"","")=IF($P2580=1,"Débit",$L2580)),-IF($P2580=1,-$K2580,$K2580),0))))</f>
        <v/>
      </c>
      <c r="U2580" s="6" t="str">
        <f>IF($K2580="","",IF(ISNUMBER(SEARCH("sortie-epargne",IFERROR(INDEX('Paramètres'!$N:$N,MATCH($D2580,'Paramètres'!$M:$M,0))&amp;"",""))),$K2580,0))</f>
        <v/>
      </c>
      <c r="V2580" s="6" t="str">
        <f>IF(AND($A2580&lt;&gt;"",$O2580=1,$L2580="Débit",N($Q2580)&gt;0,$A2580&gt;=Visualisation!$B$1,$A2580&lt;Visualisation!$D$1),MAX($V$1:V2579)+1,"")</f>
        <v/>
      </c>
    </row>
    <row r="2581" spans="1:22" x14ac:dyDescent="0.25">
      <c r="A2581" s="9"/>
      <c r="E2581" s="10"/>
      <c r="K2581" s="11" t="str">
        <f>IF($E2581="","",ROUND($E2581*IF(ISNA(MATCH($C2581,'Paramètres'!$D:$D,0)),1,IF(INDEX('Paramètres'!$J:$J,MATCH($C2581,'Paramètres'!$D:$D,0))="",1,INDEX('Paramètres'!$J:$J,MATCH($C2581,'Paramètres'!$D:$D,0)))),2))</f>
        <v/>
      </c>
      <c r="L2581" s="6" t="str">
        <f>IF($D2581="","",IF($F2581&lt;&gt;"",$F2581,IF(ISNA(MATCH($D2581,'Paramètres'!$M:$M,0)),"⚠ Type inconnu",IFERROR(INDEX('Paramètres'!$P:$P,MATCH($D2581,'Paramètres'!$M:$M,0))&amp;"",""))))</f>
        <v/>
      </c>
      <c r="M2581" s="6" t="str">
        <f>IF($D2581="","",IF(ISNA(MATCH($D2581,'Paramètres'!$M:$M,0)),"⚠ Type inconnu",IF($L2581="Crédit","",IFERROR(INDEX('Paramètres'!$O:$O,MATCH($D2581,'Paramètres'!$M:$M,0))&amp;"",""))))</f>
        <v/>
      </c>
      <c r="N2581" s="6" t="str">
        <f>IF($D2581="","",IFERROR(INDEX('Paramètres'!$Q:$Q,MATCH($D2581,'Paramètres'!$M:$M,0))&amp;"",""))</f>
        <v/>
      </c>
      <c r="O2581" s="6" t="str">
        <f>IF($A2581="","",IF(OR($J2581&lt;&gt;"x",$A2581&lt;=FinReleve),1,0))</f>
        <v/>
      </c>
      <c r="P2581" s="6" t="str">
        <f>IF($D2581="","",IF(AND($L2581="Crédit",OR(IFERROR(INDEX('Paramètres'!$O:$O,MATCH($D2581,'Paramètres'!$M:$M,0))&amp;"","")&lt;&gt;"",ISNUMBER(SEARCH("remboursement",IFERROR(INDEX('Paramètres'!$N:$N,MATCH($D2581,'Paramètres'!$M:$M,0))&amp;"",""))))),1,0))</f>
        <v/>
      </c>
      <c r="Q2581" s="6" t="str">
        <f>IF($K2581="","",IF(ISNUMBER(SEARCH("transfert-interne",IFERROR(INDEX('Paramètres'!$N:$N,MATCH($D2581,'Paramètres'!$M:$M,0))&amp;"",""))),0,IF($L2581="Débit",$K2581,IF($P2581=1,-$K2581,0))))</f>
        <v/>
      </c>
      <c r="R2581" s="6" t="str">
        <f>IF($K2581="","",IF($L2581="Crédit",$K2581,-$K2581))</f>
        <v/>
      </c>
      <c r="S2581" s="6" t="str">
        <f>IF($C2581="","",IFERROR(INDEX('Paramètres'!$H:$H,MATCH($C2581,'Paramètres'!$D:$D,0))&amp;"",""))</f>
        <v/>
      </c>
      <c r="T2581" s="6" t="str">
        <f>IF($K2581="","",IF($S2581="",0,IF(ISNUMBER(SEARCH("apport-exterieur",IFERROR(INDEX('Paramètres'!$N:$N,MATCH($D2581,'Paramètres'!$M:$M,0))&amp;"",""))),0,IF(OR(IFERROR(INDEX('Paramètres'!$I:$I,MATCH($C2581,'Paramètres'!$D:$D,0))&amp;"","")="Les deux",IFERROR(INDEX('Paramètres'!$I:$I,MATCH($C2581,'Paramètres'!$D:$D,0))&amp;"","")=IF($P2581=1,"Débit",$L2581)),-IF($P2581=1,-$K2581,$K2581),0))))</f>
        <v/>
      </c>
      <c r="U2581" s="6" t="str">
        <f>IF($K2581="","",IF(ISNUMBER(SEARCH("sortie-epargne",IFERROR(INDEX('Paramètres'!$N:$N,MATCH($D2581,'Paramètres'!$M:$M,0))&amp;"",""))),$K2581,0))</f>
        <v/>
      </c>
      <c r="V2581" s="6" t="str">
        <f>IF(AND($A2581&lt;&gt;"",$O2581=1,$L2581="Débit",N($Q2581)&gt;0,$A2581&gt;=Visualisation!$B$1,$A2581&lt;Visualisation!$D$1),MAX($V$1:V2580)+1,"")</f>
        <v/>
      </c>
    </row>
    <row r="2582" spans="1:22" x14ac:dyDescent="0.25">
      <c r="A2582" s="9"/>
      <c r="E2582" s="10"/>
      <c r="K2582" s="11" t="str">
        <f>IF($E2582="","",ROUND($E2582*IF(ISNA(MATCH($C2582,'Paramètres'!$D:$D,0)),1,IF(INDEX('Paramètres'!$J:$J,MATCH($C2582,'Paramètres'!$D:$D,0))="",1,INDEX('Paramètres'!$J:$J,MATCH($C2582,'Paramètres'!$D:$D,0)))),2))</f>
        <v/>
      </c>
      <c r="L2582" s="6" t="str">
        <f>IF($D2582="","",IF($F2582&lt;&gt;"",$F2582,IF(ISNA(MATCH($D2582,'Paramètres'!$M:$M,0)),"⚠ Type inconnu",IFERROR(INDEX('Paramètres'!$P:$P,MATCH($D2582,'Paramètres'!$M:$M,0))&amp;"",""))))</f>
        <v/>
      </c>
      <c r="M2582" s="6" t="str">
        <f>IF($D2582="","",IF(ISNA(MATCH($D2582,'Paramètres'!$M:$M,0)),"⚠ Type inconnu",IF($L2582="Crédit","",IFERROR(INDEX('Paramètres'!$O:$O,MATCH($D2582,'Paramètres'!$M:$M,0))&amp;"",""))))</f>
        <v/>
      </c>
      <c r="N2582" s="6" t="str">
        <f>IF($D2582="","",IFERROR(INDEX('Paramètres'!$Q:$Q,MATCH($D2582,'Paramètres'!$M:$M,0))&amp;"",""))</f>
        <v/>
      </c>
      <c r="O2582" s="6" t="str">
        <f>IF($A2582="","",IF(OR($J2582&lt;&gt;"x",$A2582&lt;=FinReleve),1,0))</f>
        <v/>
      </c>
      <c r="P2582" s="6" t="str">
        <f>IF($D2582="","",IF(AND($L2582="Crédit",OR(IFERROR(INDEX('Paramètres'!$O:$O,MATCH($D2582,'Paramètres'!$M:$M,0))&amp;"","")&lt;&gt;"",ISNUMBER(SEARCH("remboursement",IFERROR(INDEX('Paramètres'!$N:$N,MATCH($D2582,'Paramètres'!$M:$M,0))&amp;"",""))))),1,0))</f>
        <v/>
      </c>
      <c r="Q2582" s="6" t="str">
        <f>IF($K2582="","",IF(ISNUMBER(SEARCH("transfert-interne",IFERROR(INDEX('Paramètres'!$N:$N,MATCH($D2582,'Paramètres'!$M:$M,0))&amp;"",""))),0,IF($L2582="Débit",$K2582,IF($P2582=1,-$K2582,0))))</f>
        <v/>
      </c>
      <c r="R2582" s="6" t="str">
        <f>IF($K2582="","",IF($L2582="Crédit",$K2582,-$K2582))</f>
        <v/>
      </c>
      <c r="S2582" s="6" t="str">
        <f>IF($C2582="","",IFERROR(INDEX('Paramètres'!$H:$H,MATCH($C2582,'Paramètres'!$D:$D,0))&amp;"",""))</f>
        <v/>
      </c>
      <c r="T2582" s="6" t="str">
        <f>IF($K2582="","",IF($S2582="",0,IF(ISNUMBER(SEARCH("apport-exterieur",IFERROR(INDEX('Paramètres'!$N:$N,MATCH($D2582,'Paramètres'!$M:$M,0))&amp;"",""))),0,IF(OR(IFERROR(INDEX('Paramètres'!$I:$I,MATCH($C2582,'Paramètres'!$D:$D,0))&amp;"","")="Les deux",IFERROR(INDEX('Paramètres'!$I:$I,MATCH($C2582,'Paramètres'!$D:$D,0))&amp;"","")=IF($P2582=1,"Débit",$L2582)),-IF($P2582=1,-$K2582,$K2582),0))))</f>
        <v/>
      </c>
      <c r="U2582" s="6" t="str">
        <f>IF($K2582="","",IF(ISNUMBER(SEARCH("sortie-epargne",IFERROR(INDEX('Paramètres'!$N:$N,MATCH($D2582,'Paramètres'!$M:$M,0))&amp;"",""))),$K2582,0))</f>
        <v/>
      </c>
      <c r="V2582" s="6" t="str">
        <f>IF(AND($A2582&lt;&gt;"",$O2582=1,$L2582="Débit",N($Q2582)&gt;0,$A2582&gt;=Visualisation!$B$1,$A2582&lt;Visualisation!$D$1),MAX($V$1:V2581)+1,"")</f>
        <v/>
      </c>
    </row>
    <row r="2583" spans="1:22" x14ac:dyDescent="0.25">
      <c r="A2583" s="9"/>
      <c r="E2583" s="10"/>
      <c r="K2583" s="11" t="str">
        <f>IF($E2583="","",ROUND($E2583*IF(ISNA(MATCH($C2583,'Paramètres'!$D:$D,0)),1,IF(INDEX('Paramètres'!$J:$J,MATCH($C2583,'Paramètres'!$D:$D,0))="",1,INDEX('Paramètres'!$J:$J,MATCH($C2583,'Paramètres'!$D:$D,0)))),2))</f>
        <v/>
      </c>
      <c r="L2583" s="6" t="str">
        <f>IF($D2583="","",IF($F2583&lt;&gt;"",$F2583,IF(ISNA(MATCH($D2583,'Paramètres'!$M:$M,0)),"⚠ Type inconnu",IFERROR(INDEX('Paramètres'!$P:$P,MATCH($D2583,'Paramètres'!$M:$M,0))&amp;"",""))))</f>
        <v/>
      </c>
      <c r="M2583" s="6" t="str">
        <f>IF($D2583="","",IF(ISNA(MATCH($D2583,'Paramètres'!$M:$M,0)),"⚠ Type inconnu",IF($L2583="Crédit","",IFERROR(INDEX('Paramètres'!$O:$O,MATCH($D2583,'Paramètres'!$M:$M,0))&amp;"",""))))</f>
        <v/>
      </c>
      <c r="N2583" s="6" t="str">
        <f>IF($D2583="","",IFERROR(INDEX('Paramètres'!$Q:$Q,MATCH($D2583,'Paramètres'!$M:$M,0))&amp;"",""))</f>
        <v/>
      </c>
      <c r="O2583" s="6" t="str">
        <f>IF($A2583="","",IF(OR($J2583&lt;&gt;"x",$A2583&lt;=FinReleve),1,0))</f>
        <v/>
      </c>
      <c r="P2583" s="6" t="str">
        <f>IF($D2583="","",IF(AND($L2583="Crédit",OR(IFERROR(INDEX('Paramètres'!$O:$O,MATCH($D2583,'Paramètres'!$M:$M,0))&amp;"","")&lt;&gt;"",ISNUMBER(SEARCH("remboursement",IFERROR(INDEX('Paramètres'!$N:$N,MATCH($D2583,'Paramètres'!$M:$M,0))&amp;"",""))))),1,0))</f>
        <v/>
      </c>
      <c r="Q2583" s="6" t="str">
        <f>IF($K2583="","",IF(ISNUMBER(SEARCH("transfert-interne",IFERROR(INDEX('Paramètres'!$N:$N,MATCH($D2583,'Paramètres'!$M:$M,0))&amp;"",""))),0,IF($L2583="Débit",$K2583,IF($P2583=1,-$K2583,0))))</f>
        <v/>
      </c>
      <c r="R2583" s="6" t="str">
        <f>IF($K2583="","",IF($L2583="Crédit",$K2583,-$K2583))</f>
        <v/>
      </c>
      <c r="S2583" s="6" t="str">
        <f>IF($C2583="","",IFERROR(INDEX('Paramètres'!$H:$H,MATCH($C2583,'Paramètres'!$D:$D,0))&amp;"",""))</f>
        <v/>
      </c>
      <c r="T2583" s="6" t="str">
        <f>IF($K2583="","",IF($S2583="",0,IF(ISNUMBER(SEARCH("apport-exterieur",IFERROR(INDEX('Paramètres'!$N:$N,MATCH($D2583,'Paramètres'!$M:$M,0))&amp;"",""))),0,IF(OR(IFERROR(INDEX('Paramètres'!$I:$I,MATCH($C2583,'Paramètres'!$D:$D,0))&amp;"","")="Les deux",IFERROR(INDEX('Paramètres'!$I:$I,MATCH($C2583,'Paramètres'!$D:$D,0))&amp;"","")=IF($P2583=1,"Débit",$L2583)),-IF($P2583=1,-$K2583,$K2583),0))))</f>
        <v/>
      </c>
      <c r="U2583" s="6" t="str">
        <f>IF($K2583="","",IF(ISNUMBER(SEARCH("sortie-epargne",IFERROR(INDEX('Paramètres'!$N:$N,MATCH($D2583,'Paramètres'!$M:$M,0))&amp;"",""))),$K2583,0))</f>
        <v/>
      </c>
      <c r="V2583" s="6" t="str">
        <f>IF(AND($A2583&lt;&gt;"",$O2583=1,$L2583="Débit",N($Q2583)&gt;0,$A2583&gt;=Visualisation!$B$1,$A2583&lt;Visualisation!$D$1),MAX($V$1:V2582)+1,"")</f>
        <v/>
      </c>
    </row>
    <row r="2584" spans="1:22" x14ac:dyDescent="0.25">
      <c r="A2584" s="9"/>
      <c r="E2584" s="10"/>
      <c r="K2584" s="11" t="str">
        <f>IF($E2584="","",ROUND($E2584*IF(ISNA(MATCH($C2584,'Paramètres'!$D:$D,0)),1,IF(INDEX('Paramètres'!$J:$J,MATCH($C2584,'Paramètres'!$D:$D,0))="",1,INDEX('Paramètres'!$J:$J,MATCH($C2584,'Paramètres'!$D:$D,0)))),2))</f>
        <v/>
      </c>
      <c r="L2584" s="6" t="str">
        <f>IF($D2584="","",IF($F2584&lt;&gt;"",$F2584,IF(ISNA(MATCH($D2584,'Paramètres'!$M:$M,0)),"⚠ Type inconnu",IFERROR(INDEX('Paramètres'!$P:$P,MATCH($D2584,'Paramètres'!$M:$M,0))&amp;"",""))))</f>
        <v/>
      </c>
      <c r="M2584" s="6" t="str">
        <f>IF($D2584="","",IF(ISNA(MATCH($D2584,'Paramètres'!$M:$M,0)),"⚠ Type inconnu",IF($L2584="Crédit","",IFERROR(INDEX('Paramètres'!$O:$O,MATCH($D2584,'Paramètres'!$M:$M,0))&amp;"",""))))</f>
        <v/>
      </c>
      <c r="N2584" s="6" t="str">
        <f>IF($D2584="","",IFERROR(INDEX('Paramètres'!$Q:$Q,MATCH($D2584,'Paramètres'!$M:$M,0))&amp;"",""))</f>
        <v/>
      </c>
      <c r="O2584" s="6" t="str">
        <f>IF($A2584="","",IF(OR($J2584&lt;&gt;"x",$A2584&lt;=FinReleve),1,0))</f>
        <v/>
      </c>
      <c r="P2584" s="6" t="str">
        <f>IF($D2584="","",IF(AND($L2584="Crédit",OR(IFERROR(INDEX('Paramètres'!$O:$O,MATCH($D2584,'Paramètres'!$M:$M,0))&amp;"","")&lt;&gt;"",ISNUMBER(SEARCH("remboursement",IFERROR(INDEX('Paramètres'!$N:$N,MATCH($D2584,'Paramètres'!$M:$M,0))&amp;"",""))))),1,0))</f>
        <v/>
      </c>
      <c r="Q2584" s="6" t="str">
        <f>IF($K2584="","",IF(ISNUMBER(SEARCH("transfert-interne",IFERROR(INDEX('Paramètres'!$N:$N,MATCH($D2584,'Paramètres'!$M:$M,0))&amp;"",""))),0,IF($L2584="Débit",$K2584,IF($P2584=1,-$K2584,0))))</f>
        <v/>
      </c>
      <c r="R2584" s="6" t="str">
        <f>IF($K2584="","",IF($L2584="Crédit",$K2584,-$K2584))</f>
        <v/>
      </c>
      <c r="S2584" s="6" t="str">
        <f>IF($C2584="","",IFERROR(INDEX('Paramètres'!$H:$H,MATCH($C2584,'Paramètres'!$D:$D,0))&amp;"",""))</f>
        <v/>
      </c>
      <c r="T2584" s="6" t="str">
        <f>IF($K2584="","",IF($S2584="",0,IF(ISNUMBER(SEARCH("apport-exterieur",IFERROR(INDEX('Paramètres'!$N:$N,MATCH($D2584,'Paramètres'!$M:$M,0))&amp;"",""))),0,IF(OR(IFERROR(INDEX('Paramètres'!$I:$I,MATCH($C2584,'Paramètres'!$D:$D,0))&amp;"","")="Les deux",IFERROR(INDEX('Paramètres'!$I:$I,MATCH($C2584,'Paramètres'!$D:$D,0))&amp;"","")=IF($P2584=1,"Débit",$L2584)),-IF($P2584=1,-$K2584,$K2584),0))))</f>
        <v/>
      </c>
      <c r="U2584" s="6" t="str">
        <f>IF($K2584="","",IF(ISNUMBER(SEARCH("sortie-epargne",IFERROR(INDEX('Paramètres'!$N:$N,MATCH($D2584,'Paramètres'!$M:$M,0))&amp;"",""))),$K2584,0))</f>
        <v/>
      </c>
      <c r="V2584" s="6" t="str">
        <f>IF(AND($A2584&lt;&gt;"",$O2584=1,$L2584="Débit",N($Q2584)&gt;0,$A2584&gt;=Visualisation!$B$1,$A2584&lt;Visualisation!$D$1),MAX($V$1:V2583)+1,"")</f>
        <v/>
      </c>
    </row>
    <row r="2585" spans="1:22" x14ac:dyDescent="0.25">
      <c r="A2585" s="9"/>
      <c r="E2585" s="10"/>
      <c r="K2585" s="11" t="str">
        <f>IF($E2585="","",ROUND($E2585*IF(ISNA(MATCH($C2585,'Paramètres'!$D:$D,0)),1,IF(INDEX('Paramètres'!$J:$J,MATCH($C2585,'Paramètres'!$D:$D,0))="",1,INDEX('Paramètres'!$J:$J,MATCH($C2585,'Paramètres'!$D:$D,0)))),2))</f>
        <v/>
      </c>
      <c r="L2585" s="6" t="str">
        <f>IF($D2585="","",IF($F2585&lt;&gt;"",$F2585,IF(ISNA(MATCH($D2585,'Paramètres'!$M:$M,0)),"⚠ Type inconnu",IFERROR(INDEX('Paramètres'!$P:$P,MATCH($D2585,'Paramètres'!$M:$M,0))&amp;"",""))))</f>
        <v/>
      </c>
      <c r="M2585" s="6" t="str">
        <f>IF($D2585="","",IF(ISNA(MATCH($D2585,'Paramètres'!$M:$M,0)),"⚠ Type inconnu",IF($L2585="Crédit","",IFERROR(INDEX('Paramètres'!$O:$O,MATCH($D2585,'Paramètres'!$M:$M,0))&amp;"",""))))</f>
        <v/>
      </c>
      <c r="N2585" s="6" t="str">
        <f>IF($D2585="","",IFERROR(INDEX('Paramètres'!$Q:$Q,MATCH($D2585,'Paramètres'!$M:$M,0))&amp;"",""))</f>
        <v/>
      </c>
      <c r="O2585" s="6" t="str">
        <f>IF($A2585="","",IF(OR($J2585&lt;&gt;"x",$A2585&lt;=FinReleve),1,0))</f>
        <v/>
      </c>
      <c r="P2585" s="6" t="str">
        <f>IF($D2585="","",IF(AND($L2585="Crédit",OR(IFERROR(INDEX('Paramètres'!$O:$O,MATCH($D2585,'Paramètres'!$M:$M,0))&amp;"","")&lt;&gt;"",ISNUMBER(SEARCH("remboursement",IFERROR(INDEX('Paramètres'!$N:$N,MATCH($D2585,'Paramètres'!$M:$M,0))&amp;"",""))))),1,0))</f>
        <v/>
      </c>
      <c r="Q2585" s="6" t="str">
        <f>IF($K2585="","",IF(ISNUMBER(SEARCH("transfert-interne",IFERROR(INDEX('Paramètres'!$N:$N,MATCH($D2585,'Paramètres'!$M:$M,0))&amp;"",""))),0,IF($L2585="Débit",$K2585,IF($P2585=1,-$K2585,0))))</f>
        <v/>
      </c>
      <c r="R2585" s="6" t="str">
        <f>IF($K2585="","",IF($L2585="Crédit",$K2585,-$K2585))</f>
        <v/>
      </c>
      <c r="S2585" s="6" t="str">
        <f>IF($C2585="","",IFERROR(INDEX('Paramètres'!$H:$H,MATCH($C2585,'Paramètres'!$D:$D,0))&amp;"",""))</f>
        <v/>
      </c>
      <c r="T2585" s="6" t="str">
        <f>IF($K2585="","",IF($S2585="",0,IF(ISNUMBER(SEARCH("apport-exterieur",IFERROR(INDEX('Paramètres'!$N:$N,MATCH($D2585,'Paramètres'!$M:$M,0))&amp;"",""))),0,IF(OR(IFERROR(INDEX('Paramètres'!$I:$I,MATCH($C2585,'Paramètres'!$D:$D,0))&amp;"","")="Les deux",IFERROR(INDEX('Paramètres'!$I:$I,MATCH($C2585,'Paramètres'!$D:$D,0))&amp;"","")=IF($P2585=1,"Débit",$L2585)),-IF($P2585=1,-$K2585,$K2585),0))))</f>
        <v/>
      </c>
      <c r="U2585" s="6" t="str">
        <f>IF($K2585="","",IF(ISNUMBER(SEARCH("sortie-epargne",IFERROR(INDEX('Paramètres'!$N:$N,MATCH($D2585,'Paramètres'!$M:$M,0))&amp;"",""))),$K2585,0))</f>
        <v/>
      </c>
      <c r="V2585" s="6" t="str">
        <f>IF(AND($A2585&lt;&gt;"",$O2585=1,$L2585="Débit",N($Q2585)&gt;0,$A2585&gt;=Visualisation!$B$1,$A2585&lt;Visualisation!$D$1),MAX($V$1:V2584)+1,"")</f>
        <v/>
      </c>
    </row>
    <row r="2586" spans="1:22" x14ac:dyDescent="0.25">
      <c r="A2586" s="9"/>
      <c r="E2586" s="10"/>
      <c r="K2586" s="11" t="str">
        <f>IF($E2586="","",ROUND($E2586*IF(ISNA(MATCH($C2586,'Paramètres'!$D:$D,0)),1,IF(INDEX('Paramètres'!$J:$J,MATCH($C2586,'Paramètres'!$D:$D,0))="",1,INDEX('Paramètres'!$J:$J,MATCH($C2586,'Paramètres'!$D:$D,0)))),2))</f>
        <v/>
      </c>
      <c r="L2586" s="6" t="str">
        <f>IF($D2586="","",IF($F2586&lt;&gt;"",$F2586,IF(ISNA(MATCH($D2586,'Paramètres'!$M:$M,0)),"⚠ Type inconnu",IFERROR(INDEX('Paramètres'!$P:$P,MATCH($D2586,'Paramètres'!$M:$M,0))&amp;"",""))))</f>
        <v/>
      </c>
      <c r="M2586" s="6" t="str">
        <f>IF($D2586="","",IF(ISNA(MATCH($D2586,'Paramètres'!$M:$M,0)),"⚠ Type inconnu",IF($L2586="Crédit","",IFERROR(INDEX('Paramètres'!$O:$O,MATCH($D2586,'Paramètres'!$M:$M,0))&amp;"",""))))</f>
        <v/>
      </c>
      <c r="N2586" s="6" t="str">
        <f>IF($D2586="","",IFERROR(INDEX('Paramètres'!$Q:$Q,MATCH($D2586,'Paramètres'!$M:$M,0))&amp;"",""))</f>
        <v/>
      </c>
      <c r="O2586" s="6" t="str">
        <f>IF($A2586="","",IF(OR($J2586&lt;&gt;"x",$A2586&lt;=FinReleve),1,0))</f>
        <v/>
      </c>
      <c r="P2586" s="6" t="str">
        <f>IF($D2586="","",IF(AND($L2586="Crédit",OR(IFERROR(INDEX('Paramètres'!$O:$O,MATCH($D2586,'Paramètres'!$M:$M,0))&amp;"","")&lt;&gt;"",ISNUMBER(SEARCH("remboursement",IFERROR(INDEX('Paramètres'!$N:$N,MATCH($D2586,'Paramètres'!$M:$M,0))&amp;"",""))))),1,0))</f>
        <v/>
      </c>
      <c r="Q2586" s="6" t="str">
        <f>IF($K2586="","",IF(ISNUMBER(SEARCH("transfert-interne",IFERROR(INDEX('Paramètres'!$N:$N,MATCH($D2586,'Paramètres'!$M:$M,0))&amp;"",""))),0,IF($L2586="Débit",$K2586,IF($P2586=1,-$K2586,0))))</f>
        <v/>
      </c>
      <c r="R2586" s="6" t="str">
        <f>IF($K2586="","",IF($L2586="Crédit",$K2586,-$K2586))</f>
        <v/>
      </c>
      <c r="S2586" s="6" t="str">
        <f>IF($C2586="","",IFERROR(INDEX('Paramètres'!$H:$H,MATCH($C2586,'Paramètres'!$D:$D,0))&amp;"",""))</f>
        <v/>
      </c>
      <c r="T2586" s="6" t="str">
        <f>IF($K2586="","",IF($S2586="",0,IF(ISNUMBER(SEARCH("apport-exterieur",IFERROR(INDEX('Paramètres'!$N:$N,MATCH($D2586,'Paramètres'!$M:$M,0))&amp;"",""))),0,IF(OR(IFERROR(INDEX('Paramètres'!$I:$I,MATCH($C2586,'Paramètres'!$D:$D,0))&amp;"","")="Les deux",IFERROR(INDEX('Paramètres'!$I:$I,MATCH($C2586,'Paramètres'!$D:$D,0))&amp;"","")=IF($P2586=1,"Débit",$L2586)),-IF($P2586=1,-$K2586,$K2586),0))))</f>
        <v/>
      </c>
      <c r="U2586" s="6" t="str">
        <f>IF($K2586="","",IF(ISNUMBER(SEARCH("sortie-epargne",IFERROR(INDEX('Paramètres'!$N:$N,MATCH($D2586,'Paramètres'!$M:$M,0))&amp;"",""))),$K2586,0))</f>
        <v/>
      </c>
      <c r="V2586" s="6" t="str">
        <f>IF(AND($A2586&lt;&gt;"",$O2586=1,$L2586="Débit",N($Q2586)&gt;0,$A2586&gt;=Visualisation!$B$1,$A2586&lt;Visualisation!$D$1),MAX($V$1:V2585)+1,"")</f>
        <v/>
      </c>
    </row>
    <row r="2587" spans="1:22" x14ac:dyDescent="0.25">
      <c r="A2587" s="9"/>
      <c r="E2587" s="10"/>
      <c r="K2587" s="11" t="str">
        <f>IF($E2587="","",ROUND($E2587*IF(ISNA(MATCH($C2587,'Paramètres'!$D:$D,0)),1,IF(INDEX('Paramètres'!$J:$J,MATCH($C2587,'Paramètres'!$D:$D,0))="",1,INDEX('Paramètres'!$J:$J,MATCH($C2587,'Paramètres'!$D:$D,0)))),2))</f>
        <v/>
      </c>
      <c r="L2587" s="6" t="str">
        <f>IF($D2587="","",IF($F2587&lt;&gt;"",$F2587,IF(ISNA(MATCH($D2587,'Paramètres'!$M:$M,0)),"⚠ Type inconnu",IFERROR(INDEX('Paramètres'!$P:$P,MATCH($D2587,'Paramètres'!$M:$M,0))&amp;"",""))))</f>
        <v/>
      </c>
      <c r="M2587" s="6" t="str">
        <f>IF($D2587="","",IF(ISNA(MATCH($D2587,'Paramètres'!$M:$M,0)),"⚠ Type inconnu",IF($L2587="Crédit","",IFERROR(INDEX('Paramètres'!$O:$O,MATCH($D2587,'Paramètres'!$M:$M,0))&amp;"",""))))</f>
        <v/>
      </c>
      <c r="N2587" s="6" t="str">
        <f>IF($D2587="","",IFERROR(INDEX('Paramètres'!$Q:$Q,MATCH($D2587,'Paramètres'!$M:$M,0))&amp;"",""))</f>
        <v/>
      </c>
      <c r="O2587" s="6" t="str">
        <f>IF($A2587="","",IF(OR($J2587&lt;&gt;"x",$A2587&lt;=FinReleve),1,0))</f>
        <v/>
      </c>
      <c r="P2587" s="6" t="str">
        <f>IF($D2587="","",IF(AND($L2587="Crédit",OR(IFERROR(INDEX('Paramètres'!$O:$O,MATCH($D2587,'Paramètres'!$M:$M,0))&amp;"","")&lt;&gt;"",ISNUMBER(SEARCH("remboursement",IFERROR(INDEX('Paramètres'!$N:$N,MATCH($D2587,'Paramètres'!$M:$M,0))&amp;"",""))))),1,0))</f>
        <v/>
      </c>
      <c r="Q2587" s="6" t="str">
        <f>IF($K2587="","",IF(ISNUMBER(SEARCH("transfert-interne",IFERROR(INDEX('Paramètres'!$N:$N,MATCH($D2587,'Paramètres'!$M:$M,0))&amp;"",""))),0,IF($L2587="Débit",$K2587,IF($P2587=1,-$K2587,0))))</f>
        <v/>
      </c>
      <c r="R2587" s="6" t="str">
        <f>IF($K2587="","",IF($L2587="Crédit",$K2587,-$K2587))</f>
        <v/>
      </c>
      <c r="S2587" s="6" t="str">
        <f>IF($C2587="","",IFERROR(INDEX('Paramètres'!$H:$H,MATCH($C2587,'Paramètres'!$D:$D,0))&amp;"",""))</f>
        <v/>
      </c>
      <c r="T2587" s="6" t="str">
        <f>IF($K2587="","",IF($S2587="",0,IF(ISNUMBER(SEARCH("apport-exterieur",IFERROR(INDEX('Paramètres'!$N:$N,MATCH($D2587,'Paramètres'!$M:$M,0))&amp;"",""))),0,IF(OR(IFERROR(INDEX('Paramètres'!$I:$I,MATCH($C2587,'Paramètres'!$D:$D,0))&amp;"","")="Les deux",IFERROR(INDEX('Paramètres'!$I:$I,MATCH($C2587,'Paramètres'!$D:$D,0))&amp;"","")=IF($P2587=1,"Débit",$L2587)),-IF($P2587=1,-$K2587,$K2587),0))))</f>
        <v/>
      </c>
      <c r="U2587" s="6" t="str">
        <f>IF($K2587="","",IF(ISNUMBER(SEARCH("sortie-epargne",IFERROR(INDEX('Paramètres'!$N:$N,MATCH($D2587,'Paramètres'!$M:$M,0))&amp;"",""))),$K2587,0))</f>
        <v/>
      </c>
      <c r="V2587" s="6" t="str">
        <f>IF(AND($A2587&lt;&gt;"",$O2587=1,$L2587="Débit",N($Q2587)&gt;0,$A2587&gt;=Visualisation!$B$1,$A2587&lt;Visualisation!$D$1),MAX($V$1:V2586)+1,"")</f>
        <v/>
      </c>
    </row>
    <row r="2588" spans="1:22" x14ac:dyDescent="0.25">
      <c r="A2588" s="9"/>
      <c r="E2588" s="10"/>
      <c r="K2588" s="11" t="str">
        <f>IF($E2588="","",ROUND($E2588*IF(ISNA(MATCH($C2588,'Paramètres'!$D:$D,0)),1,IF(INDEX('Paramètres'!$J:$J,MATCH($C2588,'Paramètres'!$D:$D,0))="",1,INDEX('Paramètres'!$J:$J,MATCH($C2588,'Paramètres'!$D:$D,0)))),2))</f>
        <v/>
      </c>
      <c r="L2588" s="6" t="str">
        <f>IF($D2588="","",IF($F2588&lt;&gt;"",$F2588,IF(ISNA(MATCH($D2588,'Paramètres'!$M:$M,0)),"⚠ Type inconnu",IFERROR(INDEX('Paramètres'!$P:$P,MATCH($D2588,'Paramètres'!$M:$M,0))&amp;"",""))))</f>
        <v/>
      </c>
      <c r="M2588" s="6" t="str">
        <f>IF($D2588="","",IF(ISNA(MATCH($D2588,'Paramètres'!$M:$M,0)),"⚠ Type inconnu",IF($L2588="Crédit","",IFERROR(INDEX('Paramètres'!$O:$O,MATCH($D2588,'Paramètres'!$M:$M,0))&amp;"",""))))</f>
        <v/>
      </c>
      <c r="N2588" s="6" t="str">
        <f>IF($D2588="","",IFERROR(INDEX('Paramètres'!$Q:$Q,MATCH($D2588,'Paramètres'!$M:$M,0))&amp;"",""))</f>
        <v/>
      </c>
      <c r="O2588" s="6" t="str">
        <f>IF($A2588="","",IF(OR($J2588&lt;&gt;"x",$A2588&lt;=FinReleve),1,0))</f>
        <v/>
      </c>
      <c r="P2588" s="6" t="str">
        <f>IF($D2588="","",IF(AND($L2588="Crédit",OR(IFERROR(INDEX('Paramètres'!$O:$O,MATCH($D2588,'Paramètres'!$M:$M,0))&amp;"","")&lt;&gt;"",ISNUMBER(SEARCH("remboursement",IFERROR(INDEX('Paramètres'!$N:$N,MATCH($D2588,'Paramètres'!$M:$M,0))&amp;"",""))))),1,0))</f>
        <v/>
      </c>
      <c r="Q2588" s="6" t="str">
        <f>IF($K2588="","",IF(ISNUMBER(SEARCH("transfert-interne",IFERROR(INDEX('Paramètres'!$N:$N,MATCH($D2588,'Paramètres'!$M:$M,0))&amp;"",""))),0,IF($L2588="Débit",$K2588,IF($P2588=1,-$K2588,0))))</f>
        <v/>
      </c>
      <c r="R2588" s="6" t="str">
        <f>IF($K2588="","",IF($L2588="Crédit",$K2588,-$K2588))</f>
        <v/>
      </c>
      <c r="S2588" s="6" t="str">
        <f>IF($C2588="","",IFERROR(INDEX('Paramètres'!$H:$H,MATCH($C2588,'Paramètres'!$D:$D,0))&amp;"",""))</f>
        <v/>
      </c>
      <c r="T2588" s="6" t="str">
        <f>IF($K2588="","",IF($S2588="",0,IF(ISNUMBER(SEARCH("apport-exterieur",IFERROR(INDEX('Paramètres'!$N:$N,MATCH($D2588,'Paramètres'!$M:$M,0))&amp;"",""))),0,IF(OR(IFERROR(INDEX('Paramètres'!$I:$I,MATCH($C2588,'Paramètres'!$D:$D,0))&amp;"","")="Les deux",IFERROR(INDEX('Paramètres'!$I:$I,MATCH($C2588,'Paramètres'!$D:$D,0))&amp;"","")=IF($P2588=1,"Débit",$L2588)),-IF($P2588=1,-$K2588,$K2588),0))))</f>
        <v/>
      </c>
      <c r="U2588" s="6" t="str">
        <f>IF($K2588="","",IF(ISNUMBER(SEARCH("sortie-epargne",IFERROR(INDEX('Paramètres'!$N:$N,MATCH($D2588,'Paramètres'!$M:$M,0))&amp;"",""))),$K2588,0))</f>
        <v/>
      </c>
      <c r="V2588" s="6" t="str">
        <f>IF(AND($A2588&lt;&gt;"",$O2588=1,$L2588="Débit",N($Q2588)&gt;0,$A2588&gt;=Visualisation!$B$1,$A2588&lt;Visualisation!$D$1),MAX($V$1:V2587)+1,"")</f>
        <v/>
      </c>
    </row>
    <row r="2589" spans="1:22" x14ac:dyDescent="0.25">
      <c r="A2589" s="9"/>
      <c r="E2589" s="10"/>
      <c r="K2589" s="11" t="str">
        <f>IF($E2589="","",ROUND($E2589*IF(ISNA(MATCH($C2589,'Paramètres'!$D:$D,0)),1,IF(INDEX('Paramètres'!$J:$J,MATCH($C2589,'Paramètres'!$D:$D,0))="",1,INDEX('Paramètres'!$J:$J,MATCH($C2589,'Paramètres'!$D:$D,0)))),2))</f>
        <v/>
      </c>
      <c r="L2589" s="6" t="str">
        <f>IF($D2589="","",IF($F2589&lt;&gt;"",$F2589,IF(ISNA(MATCH($D2589,'Paramètres'!$M:$M,0)),"⚠ Type inconnu",IFERROR(INDEX('Paramètres'!$P:$P,MATCH($D2589,'Paramètres'!$M:$M,0))&amp;"",""))))</f>
        <v/>
      </c>
      <c r="M2589" s="6" t="str">
        <f>IF($D2589="","",IF(ISNA(MATCH($D2589,'Paramètres'!$M:$M,0)),"⚠ Type inconnu",IF($L2589="Crédit","",IFERROR(INDEX('Paramètres'!$O:$O,MATCH($D2589,'Paramètres'!$M:$M,0))&amp;"",""))))</f>
        <v/>
      </c>
      <c r="N2589" s="6" t="str">
        <f>IF($D2589="","",IFERROR(INDEX('Paramètres'!$Q:$Q,MATCH($D2589,'Paramètres'!$M:$M,0))&amp;"",""))</f>
        <v/>
      </c>
      <c r="O2589" s="6" t="str">
        <f>IF($A2589="","",IF(OR($J2589&lt;&gt;"x",$A2589&lt;=FinReleve),1,0))</f>
        <v/>
      </c>
      <c r="P2589" s="6" t="str">
        <f>IF($D2589="","",IF(AND($L2589="Crédit",OR(IFERROR(INDEX('Paramètres'!$O:$O,MATCH($D2589,'Paramètres'!$M:$M,0))&amp;"","")&lt;&gt;"",ISNUMBER(SEARCH("remboursement",IFERROR(INDEX('Paramètres'!$N:$N,MATCH($D2589,'Paramètres'!$M:$M,0))&amp;"",""))))),1,0))</f>
        <v/>
      </c>
      <c r="Q2589" s="6" t="str">
        <f>IF($K2589="","",IF(ISNUMBER(SEARCH("transfert-interne",IFERROR(INDEX('Paramètres'!$N:$N,MATCH($D2589,'Paramètres'!$M:$M,0))&amp;"",""))),0,IF($L2589="Débit",$K2589,IF($P2589=1,-$K2589,0))))</f>
        <v/>
      </c>
      <c r="R2589" s="6" t="str">
        <f>IF($K2589="","",IF($L2589="Crédit",$K2589,-$K2589))</f>
        <v/>
      </c>
      <c r="S2589" s="6" t="str">
        <f>IF($C2589="","",IFERROR(INDEX('Paramètres'!$H:$H,MATCH($C2589,'Paramètres'!$D:$D,0))&amp;"",""))</f>
        <v/>
      </c>
      <c r="T2589" s="6" t="str">
        <f>IF($K2589="","",IF($S2589="",0,IF(ISNUMBER(SEARCH("apport-exterieur",IFERROR(INDEX('Paramètres'!$N:$N,MATCH($D2589,'Paramètres'!$M:$M,0))&amp;"",""))),0,IF(OR(IFERROR(INDEX('Paramètres'!$I:$I,MATCH($C2589,'Paramètres'!$D:$D,0))&amp;"","")="Les deux",IFERROR(INDEX('Paramètres'!$I:$I,MATCH($C2589,'Paramètres'!$D:$D,0))&amp;"","")=IF($P2589=1,"Débit",$L2589)),-IF($P2589=1,-$K2589,$K2589),0))))</f>
        <v/>
      </c>
      <c r="U2589" s="6" t="str">
        <f>IF($K2589="","",IF(ISNUMBER(SEARCH("sortie-epargne",IFERROR(INDEX('Paramètres'!$N:$N,MATCH($D2589,'Paramètres'!$M:$M,0))&amp;"",""))),$K2589,0))</f>
        <v/>
      </c>
      <c r="V2589" s="6" t="str">
        <f>IF(AND($A2589&lt;&gt;"",$O2589=1,$L2589="Débit",N($Q2589)&gt;0,$A2589&gt;=Visualisation!$B$1,$A2589&lt;Visualisation!$D$1),MAX($V$1:V2588)+1,"")</f>
        <v/>
      </c>
    </row>
    <row r="2590" spans="1:22" x14ac:dyDescent="0.25">
      <c r="A2590" s="9"/>
      <c r="E2590" s="10"/>
      <c r="K2590" s="11" t="str">
        <f>IF($E2590="","",ROUND($E2590*IF(ISNA(MATCH($C2590,'Paramètres'!$D:$D,0)),1,IF(INDEX('Paramètres'!$J:$J,MATCH($C2590,'Paramètres'!$D:$D,0))="",1,INDEX('Paramètres'!$J:$J,MATCH($C2590,'Paramètres'!$D:$D,0)))),2))</f>
        <v/>
      </c>
      <c r="L2590" s="6" t="str">
        <f>IF($D2590="","",IF($F2590&lt;&gt;"",$F2590,IF(ISNA(MATCH($D2590,'Paramètres'!$M:$M,0)),"⚠ Type inconnu",IFERROR(INDEX('Paramètres'!$P:$P,MATCH($D2590,'Paramètres'!$M:$M,0))&amp;"",""))))</f>
        <v/>
      </c>
      <c r="M2590" s="6" t="str">
        <f>IF($D2590="","",IF(ISNA(MATCH($D2590,'Paramètres'!$M:$M,0)),"⚠ Type inconnu",IF($L2590="Crédit","",IFERROR(INDEX('Paramètres'!$O:$O,MATCH($D2590,'Paramètres'!$M:$M,0))&amp;"",""))))</f>
        <v/>
      </c>
      <c r="N2590" s="6" t="str">
        <f>IF($D2590="","",IFERROR(INDEX('Paramètres'!$Q:$Q,MATCH($D2590,'Paramètres'!$M:$M,0))&amp;"",""))</f>
        <v/>
      </c>
      <c r="O2590" s="6" t="str">
        <f>IF($A2590="","",IF(OR($J2590&lt;&gt;"x",$A2590&lt;=FinReleve),1,0))</f>
        <v/>
      </c>
      <c r="P2590" s="6" t="str">
        <f>IF($D2590="","",IF(AND($L2590="Crédit",OR(IFERROR(INDEX('Paramètres'!$O:$O,MATCH($D2590,'Paramètres'!$M:$M,0))&amp;"","")&lt;&gt;"",ISNUMBER(SEARCH("remboursement",IFERROR(INDEX('Paramètres'!$N:$N,MATCH($D2590,'Paramètres'!$M:$M,0))&amp;"",""))))),1,0))</f>
        <v/>
      </c>
      <c r="Q2590" s="6" t="str">
        <f>IF($K2590="","",IF(ISNUMBER(SEARCH("transfert-interne",IFERROR(INDEX('Paramètres'!$N:$N,MATCH($D2590,'Paramètres'!$M:$M,0))&amp;"",""))),0,IF($L2590="Débit",$K2590,IF($P2590=1,-$K2590,0))))</f>
        <v/>
      </c>
      <c r="R2590" s="6" t="str">
        <f>IF($K2590="","",IF($L2590="Crédit",$K2590,-$K2590))</f>
        <v/>
      </c>
      <c r="S2590" s="6" t="str">
        <f>IF($C2590="","",IFERROR(INDEX('Paramètres'!$H:$H,MATCH($C2590,'Paramètres'!$D:$D,0))&amp;"",""))</f>
        <v/>
      </c>
      <c r="T2590" s="6" t="str">
        <f>IF($K2590="","",IF($S2590="",0,IF(ISNUMBER(SEARCH("apport-exterieur",IFERROR(INDEX('Paramètres'!$N:$N,MATCH($D2590,'Paramètres'!$M:$M,0))&amp;"",""))),0,IF(OR(IFERROR(INDEX('Paramètres'!$I:$I,MATCH($C2590,'Paramètres'!$D:$D,0))&amp;"","")="Les deux",IFERROR(INDEX('Paramètres'!$I:$I,MATCH($C2590,'Paramètres'!$D:$D,0))&amp;"","")=IF($P2590=1,"Débit",$L2590)),-IF($P2590=1,-$K2590,$K2590),0))))</f>
        <v/>
      </c>
      <c r="U2590" s="6" t="str">
        <f>IF($K2590="","",IF(ISNUMBER(SEARCH("sortie-epargne",IFERROR(INDEX('Paramètres'!$N:$N,MATCH($D2590,'Paramètres'!$M:$M,0))&amp;"",""))),$K2590,0))</f>
        <v/>
      </c>
      <c r="V2590" s="6" t="str">
        <f>IF(AND($A2590&lt;&gt;"",$O2590=1,$L2590="Débit",N($Q2590)&gt;0,$A2590&gt;=Visualisation!$B$1,$A2590&lt;Visualisation!$D$1),MAX($V$1:V2589)+1,"")</f>
        <v/>
      </c>
    </row>
    <row r="2591" spans="1:22" x14ac:dyDescent="0.25">
      <c r="A2591" s="9"/>
      <c r="E2591" s="10"/>
      <c r="K2591" s="11" t="str">
        <f>IF($E2591="","",ROUND($E2591*IF(ISNA(MATCH($C2591,'Paramètres'!$D:$D,0)),1,IF(INDEX('Paramètres'!$J:$J,MATCH($C2591,'Paramètres'!$D:$D,0))="",1,INDEX('Paramètres'!$J:$J,MATCH($C2591,'Paramètres'!$D:$D,0)))),2))</f>
        <v/>
      </c>
      <c r="L2591" s="6" t="str">
        <f>IF($D2591="","",IF($F2591&lt;&gt;"",$F2591,IF(ISNA(MATCH($D2591,'Paramètres'!$M:$M,0)),"⚠ Type inconnu",IFERROR(INDEX('Paramètres'!$P:$P,MATCH($D2591,'Paramètres'!$M:$M,0))&amp;"",""))))</f>
        <v/>
      </c>
      <c r="M2591" s="6" t="str">
        <f>IF($D2591="","",IF(ISNA(MATCH($D2591,'Paramètres'!$M:$M,0)),"⚠ Type inconnu",IF($L2591="Crédit","",IFERROR(INDEX('Paramètres'!$O:$O,MATCH($D2591,'Paramètres'!$M:$M,0))&amp;"",""))))</f>
        <v/>
      </c>
      <c r="N2591" s="6" t="str">
        <f>IF($D2591="","",IFERROR(INDEX('Paramètres'!$Q:$Q,MATCH($D2591,'Paramètres'!$M:$M,0))&amp;"",""))</f>
        <v/>
      </c>
      <c r="O2591" s="6" t="str">
        <f>IF($A2591="","",IF(OR($J2591&lt;&gt;"x",$A2591&lt;=FinReleve),1,0))</f>
        <v/>
      </c>
      <c r="P2591" s="6" t="str">
        <f>IF($D2591="","",IF(AND($L2591="Crédit",OR(IFERROR(INDEX('Paramètres'!$O:$O,MATCH($D2591,'Paramètres'!$M:$M,0))&amp;"","")&lt;&gt;"",ISNUMBER(SEARCH("remboursement",IFERROR(INDEX('Paramètres'!$N:$N,MATCH($D2591,'Paramètres'!$M:$M,0))&amp;"",""))))),1,0))</f>
        <v/>
      </c>
      <c r="Q2591" s="6" t="str">
        <f>IF($K2591="","",IF(ISNUMBER(SEARCH("transfert-interne",IFERROR(INDEX('Paramètres'!$N:$N,MATCH($D2591,'Paramètres'!$M:$M,0))&amp;"",""))),0,IF($L2591="Débit",$K2591,IF($P2591=1,-$K2591,0))))</f>
        <v/>
      </c>
      <c r="R2591" s="6" t="str">
        <f>IF($K2591="","",IF($L2591="Crédit",$K2591,-$K2591))</f>
        <v/>
      </c>
      <c r="S2591" s="6" t="str">
        <f>IF($C2591="","",IFERROR(INDEX('Paramètres'!$H:$H,MATCH($C2591,'Paramètres'!$D:$D,0))&amp;"",""))</f>
        <v/>
      </c>
      <c r="T2591" s="6" t="str">
        <f>IF($K2591="","",IF($S2591="",0,IF(ISNUMBER(SEARCH("apport-exterieur",IFERROR(INDEX('Paramètres'!$N:$N,MATCH($D2591,'Paramètres'!$M:$M,0))&amp;"",""))),0,IF(OR(IFERROR(INDEX('Paramètres'!$I:$I,MATCH($C2591,'Paramètres'!$D:$D,0))&amp;"","")="Les deux",IFERROR(INDEX('Paramètres'!$I:$I,MATCH($C2591,'Paramètres'!$D:$D,0))&amp;"","")=IF($P2591=1,"Débit",$L2591)),-IF($P2591=1,-$K2591,$K2591),0))))</f>
        <v/>
      </c>
      <c r="U2591" s="6" t="str">
        <f>IF($K2591="","",IF(ISNUMBER(SEARCH("sortie-epargne",IFERROR(INDEX('Paramètres'!$N:$N,MATCH($D2591,'Paramètres'!$M:$M,0))&amp;"",""))),$K2591,0))</f>
        <v/>
      </c>
      <c r="V2591" s="6" t="str">
        <f>IF(AND($A2591&lt;&gt;"",$O2591=1,$L2591="Débit",N($Q2591)&gt;0,$A2591&gt;=Visualisation!$B$1,$A2591&lt;Visualisation!$D$1),MAX($V$1:V2590)+1,"")</f>
        <v/>
      </c>
    </row>
    <row r="2592" spans="1:22" x14ac:dyDescent="0.25">
      <c r="A2592" s="9"/>
      <c r="E2592" s="10"/>
      <c r="K2592" s="11" t="str">
        <f>IF($E2592="","",ROUND($E2592*IF(ISNA(MATCH($C2592,'Paramètres'!$D:$D,0)),1,IF(INDEX('Paramètres'!$J:$J,MATCH($C2592,'Paramètres'!$D:$D,0))="",1,INDEX('Paramètres'!$J:$J,MATCH($C2592,'Paramètres'!$D:$D,0)))),2))</f>
        <v/>
      </c>
      <c r="L2592" s="6" t="str">
        <f>IF($D2592="","",IF($F2592&lt;&gt;"",$F2592,IF(ISNA(MATCH($D2592,'Paramètres'!$M:$M,0)),"⚠ Type inconnu",IFERROR(INDEX('Paramètres'!$P:$P,MATCH($D2592,'Paramètres'!$M:$M,0))&amp;"",""))))</f>
        <v/>
      </c>
      <c r="M2592" s="6" t="str">
        <f>IF($D2592="","",IF(ISNA(MATCH($D2592,'Paramètres'!$M:$M,0)),"⚠ Type inconnu",IF($L2592="Crédit","",IFERROR(INDEX('Paramètres'!$O:$O,MATCH($D2592,'Paramètres'!$M:$M,0))&amp;"",""))))</f>
        <v/>
      </c>
      <c r="N2592" s="6" t="str">
        <f>IF($D2592="","",IFERROR(INDEX('Paramètres'!$Q:$Q,MATCH($D2592,'Paramètres'!$M:$M,0))&amp;"",""))</f>
        <v/>
      </c>
      <c r="O2592" s="6" t="str">
        <f>IF($A2592="","",IF(OR($J2592&lt;&gt;"x",$A2592&lt;=FinReleve),1,0))</f>
        <v/>
      </c>
      <c r="P2592" s="6" t="str">
        <f>IF($D2592="","",IF(AND($L2592="Crédit",OR(IFERROR(INDEX('Paramètres'!$O:$O,MATCH($D2592,'Paramètres'!$M:$M,0))&amp;"","")&lt;&gt;"",ISNUMBER(SEARCH("remboursement",IFERROR(INDEX('Paramètres'!$N:$N,MATCH($D2592,'Paramètres'!$M:$M,0))&amp;"",""))))),1,0))</f>
        <v/>
      </c>
      <c r="Q2592" s="6" t="str">
        <f>IF($K2592="","",IF(ISNUMBER(SEARCH("transfert-interne",IFERROR(INDEX('Paramètres'!$N:$N,MATCH($D2592,'Paramètres'!$M:$M,0))&amp;"",""))),0,IF($L2592="Débit",$K2592,IF($P2592=1,-$K2592,0))))</f>
        <v/>
      </c>
      <c r="R2592" s="6" t="str">
        <f>IF($K2592="","",IF($L2592="Crédit",$K2592,-$K2592))</f>
        <v/>
      </c>
      <c r="S2592" s="6" t="str">
        <f>IF($C2592="","",IFERROR(INDEX('Paramètres'!$H:$H,MATCH($C2592,'Paramètres'!$D:$D,0))&amp;"",""))</f>
        <v/>
      </c>
      <c r="T2592" s="6" t="str">
        <f>IF($K2592="","",IF($S2592="",0,IF(ISNUMBER(SEARCH("apport-exterieur",IFERROR(INDEX('Paramètres'!$N:$N,MATCH($D2592,'Paramètres'!$M:$M,0))&amp;"",""))),0,IF(OR(IFERROR(INDEX('Paramètres'!$I:$I,MATCH($C2592,'Paramètres'!$D:$D,0))&amp;"","")="Les deux",IFERROR(INDEX('Paramètres'!$I:$I,MATCH($C2592,'Paramètres'!$D:$D,0))&amp;"","")=IF($P2592=1,"Débit",$L2592)),-IF($P2592=1,-$K2592,$K2592),0))))</f>
        <v/>
      </c>
      <c r="U2592" s="6" t="str">
        <f>IF($K2592="","",IF(ISNUMBER(SEARCH("sortie-epargne",IFERROR(INDEX('Paramètres'!$N:$N,MATCH($D2592,'Paramètres'!$M:$M,0))&amp;"",""))),$K2592,0))</f>
        <v/>
      </c>
      <c r="V2592" s="6" t="str">
        <f>IF(AND($A2592&lt;&gt;"",$O2592=1,$L2592="Débit",N($Q2592)&gt;0,$A2592&gt;=Visualisation!$B$1,$A2592&lt;Visualisation!$D$1),MAX($V$1:V2591)+1,"")</f>
        <v/>
      </c>
    </row>
    <row r="2593" spans="1:22" x14ac:dyDescent="0.25">
      <c r="A2593" s="9"/>
      <c r="E2593" s="10"/>
      <c r="K2593" s="11" t="str">
        <f>IF($E2593="","",ROUND($E2593*IF(ISNA(MATCH($C2593,'Paramètres'!$D:$D,0)),1,IF(INDEX('Paramètres'!$J:$J,MATCH($C2593,'Paramètres'!$D:$D,0))="",1,INDEX('Paramètres'!$J:$J,MATCH($C2593,'Paramètres'!$D:$D,0)))),2))</f>
        <v/>
      </c>
      <c r="L2593" s="6" t="str">
        <f>IF($D2593="","",IF($F2593&lt;&gt;"",$F2593,IF(ISNA(MATCH($D2593,'Paramètres'!$M:$M,0)),"⚠ Type inconnu",IFERROR(INDEX('Paramètres'!$P:$P,MATCH($D2593,'Paramètres'!$M:$M,0))&amp;"",""))))</f>
        <v/>
      </c>
      <c r="M2593" s="6" t="str">
        <f>IF($D2593="","",IF(ISNA(MATCH($D2593,'Paramètres'!$M:$M,0)),"⚠ Type inconnu",IF($L2593="Crédit","",IFERROR(INDEX('Paramètres'!$O:$O,MATCH($D2593,'Paramètres'!$M:$M,0))&amp;"",""))))</f>
        <v/>
      </c>
      <c r="N2593" s="6" t="str">
        <f>IF($D2593="","",IFERROR(INDEX('Paramètres'!$Q:$Q,MATCH($D2593,'Paramètres'!$M:$M,0))&amp;"",""))</f>
        <v/>
      </c>
      <c r="O2593" s="6" t="str">
        <f>IF($A2593="","",IF(OR($J2593&lt;&gt;"x",$A2593&lt;=FinReleve),1,0))</f>
        <v/>
      </c>
      <c r="P2593" s="6" t="str">
        <f>IF($D2593="","",IF(AND($L2593="Crédit",OR(IFERROR(INDEX('Paramètres'!$O:$O,MATCH($D2593,'Paramètres'!$M:$M,0))&amp;"","")&lt;&gt;"",ISNUMBER(SEARCH("remboursement",IFERROR(INDEX('Paramètres'!$N:$N,MATCH($D2593,'Paramètres'!$M:$M,0))&amp;"",""))))),1,0))</f>
        <v/>
      </c>
      <c r="Q2593" s="6" t="str">
        <f>IF($K2593="","",IF(ISNUMBER(SEARCH("transfert-interne",IFERROR(INDEX('Paramètres'!$N:$N,MATCH($D2593,'Paramètres'!$M:$M,0))&amp;"",""))),0,IF($L2593="Débit",$K2593,IF($P2593=1,-$K2593,0))))</f>
        <v/>
      </c>
      <c r="R2593" s="6" t="str">
        <f>IF($K2593="","",IF($L2593="Crédit",$K2593,-$K2593))</f>
        <v/>
      </c>
      <c r="S2593" s="6" t="str">
        <f>IF($C2593="","",IFERROR(INDEX('Paramètres'!$H:$H,MATCH($C2593,'Paramètres'!$D:$D,0))&amp;"",""))</f>
        <v/>
      </c>
      <c r="T2593" s="6" t="str">
        <f>IF($K2593="","",IF($S2593="",0,IF(ISNUMBER(SEARCH("apport-exterieur",IFERROR(INDEX('Paramètres'!$N:$N,MATCH($D2593,'Paramètres'!$M:$M,0))&amp;"",""))),0,IF(OR(IFERROR(INDEX('Paramètres'!$I:$I,MATCH($C2593,'Paramètres'!$D:$D,0))&amp;"","")="Les deux",IFERROR(INDEX('Paramètres'!$I:$I,MATCH($C2593,'Paramètres'!$D:$D,0))&amp;"","")=IF($P2593=1,"Débit",$L2593)),-IF($P2593=1,-$K2593,$K2593),0))))</f>
        <v/>
      </c>
      <c r="U2593" s="6" t="str">
        <f>IF($K2593="","",IF(ISNUMBER(SEARCH("sortie-epargne",IFERROR(INDEX('Paramètres'!$N:$N,MATCH($D2593,'Paramètres'!$M:$M,0))&amp;"",""))),$K2593,0))</f>
        <v/>
      </c>
      <c r="V2593" s="6" t="str">
        <f>IF(AND($A2593&lt;&gt;"",$O2593=1,$L2593="Débit",N($Q2593)&gt;0,$A2593&gt;=Visualisation!$B$1,$A2593&lt;Visualisation!$D$1),MAX($V$1:V2592)+1,"")</f>
        <v/>
      </c>
    </row>
    <row r="2594" spans="1:22" x14ac:dyDescent="0.25">
      <c r="A2594" s="9"/>
      <c r="E2594" s="10"/>
      <c r="K2594" s="11" t="str">
        <f>IF($E2594="","",ROUND($E2594*IF(ISNA(MATCH($C2594,'Paramètres'!$D:$D,0)),1,IF(INDEX('Paramètres'!$J:$J,MATCH($C2594,'Paramètres'!$D:$D,0))="",1,INDEX('Paramètres'!$J:$J,MATCH($C2594,'Paramètres'!$D:$D,0)))),2))</f>
        <v/>
      </c>
      <c r="L2594" s="6" t="str">
        <f>IF($D2594="","",IF($F2594&lt;&gt;"",$F2594,IF(ISNA(MATCH($D2594,'Paramètres'!$M:$M,0)),"⚠ Type inconnu",IFERROR(INDEX('Paramètres'!$P:$P,MATCH($D2594,'Paramètres'!$M:$M,0))&amp;"",""))))</f>
        <v/>
      </c>
      <c r="M2594" s="6" t="str">
        <f>IF($D2594="","",IF(ISNA(MATCH($D2594,'Paramètres'!$M:$M,0)),"⚠ Type inconnu",IF($L2594="Crédit","",IFERROR(INDEX('Paramètres'!$O:$O,MATCH($D2594,'Paramètres'!$M:$M,0))&amp;"",""))))</f>
        <v/>
      </c>
      <c r="N2594" s="6" t="str">
        <f>IF($D2594="","",IFERROR(INDEX('Paramètres'!$Q:$Q,MATCH($D2594,'Paramètres'!$M:$M,0))&amp;"",""))</f>
        <v/>
      </c>
      <c r="O2594" s="6" t="str">
        <f>IF($A2594="","",IF(OR($J2594&lt;&gt;"x",$A2594&lt;=FinReleve),1,0))</f>
        <v/>
      </c>
      <c r="P2594" s="6" t="str">
        <f>IF($D2594="","",IF(AND($L2594="Crédit",OR(IFERROR(INDEX('Paramètres'!$O:$O,MATCH($D2594,'Paramètres'!$M:$M,0))&amp;"","")&lt;&gt;"",ISNUMBER(SEARCH("remboursement",IFERROR(INDEX('Paramètres'!$N:$N,MATCH($D2594,'Paramètres'!$M:$M,0))&amp;"",""))))),1,0))</f>
        <v/>
      </c>
      <c r="Q2594" s="6" t="str">
        <f>IF($K2594="","",IF(ISNUMBER(SEARCH("transfert-interne",IFERROR(INDEX('Paramètres'!$N:$N,MATCH($D2594,'Paramètres'!$M:$M,0))&amp;"",""))),0,IF($L2594="Débit",$K2594,IF($P2594=1,-$K2594,0))))</f>
        <v/>
      </c>
      <c r="R2594" s="6" t="str">
        <f>IF($K2594="","",IF($L2594="Crédit",$K2594,-$K2594))</f>
        <v/>
      </c>
      <c r="S2594" s="6" t="str">
        <f>IF($C2594="","",IFERROR(INDEX('Paramètres'!$H:$H,MATCH($C2594,'Paramètres'!$D:$D,0))&amp;"",""))</f>
        <v/>
      </c>
      <c r="T2594" s="6" t="str">
        <f>IF($K2594="","",IF($S2594="",0,IF(ISNUMBER(SEARCH("apport-exterieur",IFERROR(INDEX('Paramètres'!$N:$N,MATCH($D2594,'Paramètres'!$M:$M,0))&amp;"",""))),0,IF(OR(IFERROR(INDEX('Paramètres'!$I:$I,MATCH($C2594,'Paramètres'!$D:$D,0))&amp;"","")="Les deux",IFERROR(INDEX('Paramètres'!$I:$I,MATCH($C2594,'Paramètres'!$D:$D,0))&amp;"","")=IF($P2594=1,"Débit",$L2594)),-IF($P2594=1,-$K2594,$K2594),0))))</f>
        <v/>
      </c>
      <c r="U2594" s="6" t="str">
        <f>IF($K2594="","",IF(ISNUMBER(SEARCH("sortie-epargne",IFERROR(INDEX('Paramètres'!$N:$N,MATCH($D2594,'Paramètres'!$M:$M,0))&amp;"",""))),$K2594,0))</f>
        <v/>
      </c>
      <c r="V2594" s="6" t="str">
        <f>IF(AND($A2594&lt;&gt;"",$O2594=1,$L2594="Débit",N($Q2594)&gt;0,$A2594&gt;=Visualisation!$B$1,$A2594&lt;Visualisation!$D$1),MAX($V$1:V2593)+1,"")</f>
        <v/>
      </c>
    </row>
    <row r="2595" spans="1:22" x14ac:dyDescent="0.25">
      <c r="A2595" s="9"/>
      <c r="E2595" s="10"/>
      <c r="K2595" s="11" t="str">
        <f>IF($E2595="","",ROUND($E2595*IF(ISNA(MATCH($C2595,'Paramètres'!$D:$D,0)),1,IF(INDEX('Paramètres'!$J:$J,MATCH($C2595,'Paramètres'!$D:$D,0))="",1,INDEX('Paramètres'!$J:$J,MATCH($C2595,'Paramètres'!$D:$D,0)))),2))</f>
        <v/>
      </c>
      <c r="L2595" s="6" t="str">
        <f>IF($D2595="","",IF($F2595&lt;&gt;"",$F2595,IF(ISNA(MATCH($D2595,'Paramètres'!$M:$M,0)),"⚠ Type inconnu",IFERROR(INDEX('Paramètres'!$P:$P,MATCH($D2595,'Paramètres'!$M:$M,0))&amp;"",""))))</f>
        <v/>
      </c>
      <c r="M2595" s="6" t="str">
        <f>IF($D2595="","",IF(ISNA(MATCH($D2595,'Paramètres'!$M:$M,0)),"⚠ Type inconnu",IF($L2595="Crédit","",IFERROR(INDEX('Paramètres'!$O:$O,MATCH($D2595,'Paramètres'!$M:$M,0))&amp;"",""))))</f>
        <v/>
      </c>
      <c r="N2595" s="6" t="str">
        <f>IF($D2595="","",IFERROR(INDEX('Paramètres'!$Q:$Q,MATCH($D2595,'Paramètres'!$M:$M,0))&amp;"",""))</f>
        <v/>
      </c>
      <c r="O2595" s="6" t="str">
        <f>IF($A2595="","",IF(OR($J2595&lt;&gt;"x",$A2595&lt;=FinReleve),1,0))</f>
        <v/>
      </c>
      <c r="P2595" s="6" t="str">
        <f>IF($D2595="","",IF(AND($L2595="Crédit",OR(IFERROR(INDEX('Paramètres'!$O:$O,MATCH($D2595,'Paramètres'!$M:$M,0))&amp;"","")&lt;&gt;"",ISNUMBER(SEARCH("remboursement",IFERROR(INDEX('Paramètres'!$N:$N,MATCH($D2595,'Paramètres'!$M:$M,0))&amp;"",""))))),1,0))</f>
        <v/>
      </c>
      <c r="Q2595" s="6" t="str">
        <f>IF($K2595="","",IF(ISNUMBER(SEARCH("transfert-interne",IFERROR(INDEX('Paramètres'!$N:$N,MATCH($D2595,'Paramètres'!$M:$M,0))&amp;"",""))),0,IF($L2595="Débit",$K2595,IF($P2595=1,-$K2595,0))))</f>
        <v/>
      </c>
      <c r="R2595" s="6" t="str">
        <f>IF($K2595="","",IF($L2595="Crédit",$K2595,-$K2595))</f>
        <v/>
      </c>
      <c r="S2595" s="6" t="str">
        <f>IF($C2595="","",IFERROR(INDEX('Paramètres'!$H:$H,MATCH($C2595,'Paramètres'!$D:$D,0))&amp;"",""))</f>
        <v/>
      </c>
      <c r="T2595" s="6" t="str">
        <f>IF($K2595="","",IF($S2595="",0,IF(ISNUMBER(SEARCH("apport-exterieur",IFERROR(INDEX('Paramètres'!$N:$N,MATCH($D2595,'Paramètres'!$M:$M,0))&amp;"",""))),0,IF(OR(IFERROR(INDEX('Paramètres'!$I:$I,MATCH($C2595,'Paramètres'!$D:$D,0))&amp;"","")="Les deux",IFERROR(INDEX('Paramètres'!$I:$I,MATCH($C2595,'Paramètres'!$D:$D,0))&amp;"","")=IF($P2595=1,"Débit",$L2595)),-IF($P2595=1,-$K2595,$K2595),0))))</f>
        <v/>
      </c>
      <c r="U2595" s="6" t="str">
        <f>IF($K2595="","",IF(ISNUMBER(SEARCH("sortie-epargne",IFERROR(INDEX('Paramètres'!$N:$N,MATCH($D2595,'Paramètres'!$M:$M,0))&amp;"",""))),$K2595,0))</f>
        <v/>
      </c>
      <c r="V2595" s="6" t="str">
        <f>IF(AND($A2595&lt;&gt;"",$O2595=1,$L2595="Débit",N($Q2595)&gt;0,$A2595&gt;=Visualisation!$B$1,$A2595&lt;Visualisation!$D$1),MAX($V$1:V2594)+1,"")</f>
        <v/>
      </c>
    </row>
    <row r="2596" spans="1:22" x14ac:dyDescent="0.25">
      <c r="A2596" s="9"/>
      <c r="E2596" s="10"/>
      <c r="K2596" s="11" t="str">
        <f>IF($E2596="","",ROUND($E2596*IF(ISNA(MATCH($C2596,'Paramètres'!$D:$D,0)),1,IF(INDEX('Paramètres'!$J:$J,MATCH($C2596,'Paramètres'!$D:$D,0))="",1,INDEX('Paramètres'!$J:$J,MATCH($C2596,'Paramètres'!$D:$D,0)))),2))</f>
        <v/>
      </c>
      <c r="L2596" s="6" t="str">
        <f>IF($D2596="","",IF($F2596&lt;&gt;"",$F2596,IF(ISNA(MATCH($D2596,'Paramètres'!$M:$M,0)),"⚠ Type inconnu",IFERROR(INDEX('Paramètres'!$P:$P,MATCH($D2596,'Paramètres'!$M:$M,0))&amp;"",""))))</f>
        <v/>
      </c>
      <c r="M2596" s="6" t="str">
        <f>IF($D2596="","",IF(ISNA(MATCH($D2596,'Paramètres'!$M:$M,0)),"⚠ Type inconnu",IF($L2596="Crédit","",IFERROR(INDEX('Paramètres'!$O:$O,MATCH($D2596,'Paramètres'!$M:$M,0))&amp;"",""))))</f>
        <v/>
      </c>
      <c r="N2596" s="6" t="str">
        <f>IF($D2596="","",IFERROR(INDEX('Paramètres'!$Q:$Q,MATCH($D2596,'Paramètres'!$M:$M,0))&amp;"",""))</f>
        <v/>
      </c>
      <c r="O2596" s="6" t="str">
        <f>IF($A2596="","",IF(OR($J2596&lt;&gt;"x",$A2596&lt;=FinReleve),1,0))</f>
        <v/>
      </c>
      <c r="P2596" s="6" t="str">
        <f>IF($D2596="","",IF(AND($L2596="Crédit",OR(IFERROR(INDEX('Paramètres'!$O:$O,MATCH($D2596,'Paramètres'!$M:$M,0))&amp;"","")&lt;&gt;"",ISNUMBER(SEARCH("remboursement",IFERROR(INDEX('Paramètres'!$N:$N,MATCH($D2596,'Paramètres'!$M:$M,0))&amp;"",""))))),1,0))</f>
        <v/>
      </c>
      <c r="Q2596" s="6" t="str">
        <f>IF($K2596="","",IF(ISNUMBER(SEARCH("transfert-interne",IFERROR(INDEX('Paramètres'!$N:$N,MATCH($D2596,'Paramètres'!$M:$M,0))&amp;"",""))),0,IF($L2596="Débit",$K2596,IF($P2596=1,-$K2596,0))))</f>
        <v/>
      </c>
      <c r="R2596" s="6" t="str">
        <f>IF($K2596="","",IF($L2596="Crédit",$K2596,-$K2596))</f>
        <v/>
      </c>
      <c r="S2596" s="6" t="str">
        <f>IF($C2596="","",IFERROR(INDEX('Paramètres'!$H:$H,MATCH($C2596,'Paramètres'!$D:$D,0))&amp;"",""))</f>
        <v/>
      </c>
      <c r="T2596" s="6" t="str">
        <f>IF($K2596="","",IF($S2596="",0,IF(ISNUMBER(SEARCH("apport-exterieur",IFERROR(INDEX('Paramètres'!$N:$N,MATCH($D2596,'Paramètres'!$M:$M,0))&amp;"",""))),0,IF(OR(IFERROR(INDEX('Paramètres'!$I:$I,MATCH($C2596,'Paramètres'!$D:$D,0))&amp;"","")="Les deux",IFERROR(INDEX('Paramètres'!$I:$I,MATCH($C2596,'Paramètres'!$D:$D,0))&amp;"","")=IF($P2596=1,"Débit",$L2596)),-IF($P2596=1,-$K2596,$K2596),0))))</f>
        <v/>
      </c>
      <c r="U2596" s="6" t="str">
        <f>IF($K2596="","",IF(ISNUMBER(SEARCH("sortie-epargne",IFERROR(INDEX('Paramètres'!$N:$N,MATCH($D2596,'Paramètres'!$M:$M,0))&amp;"",""))),$K2596,0))</f>
        <v/>
      </c>
      <c r="V2596" s="6" t="str">
        <f>IF(AND($A2596&lt;&gt;"",$O2596=1,$L2596="Débit",N($Q2596)&gt;0,$A2596&gt;=Visualisation!$B$1,$A2596&lt;Visualisation!$D$1),MAX($V$1:V2595)+1,"")</f>
        <v/>
      </c>
    </row>
    <row r="2597" spans="1:22" x14ac:dyDescent="0.25">
      <c r="A2597" s="9"/>
      <c r="E2597" s="10"/>
      <c r="K2597" s="11" t="str">
        <f>IF($E2597="","",ROUND($E2597*IF(ISNA(MATCH($C2597,'Paramètres'!$D:$D,0)),1,IF(INDEX('Paramètres'!$J:$J,MATCH($C2597,'Paramètres'!$D:$D,0))="",1,INDEX('Paramètres'!$J:$J,MATCH($C2597,'Paramètres'!$D:$D,0)))),2))</f>
        <v/>
      </c>
      <c r="L2597" s="6" t="str">
        <f>IF($D2597="","",IF($F2597&lt;&gt;"",$F2597,IF(ISNA(MATCH($D2597,'Paramètres'!$M:$M,0)),"⚠ Type inconnu",IFERROR(INDEX('Paramètres'!$P:$P,MATCH($D2597,'Paramètres'!$M:$M,0))&amp;"",""))))</f>
        <v/>
      </c>
      <c r="M2597" s="6" t="str">
        <f>IF($D2597="","",IF(ISNA(MATCH($D2597,'Paramètres'!$M:$M,0)),"⚠ Type inconnu",IF($L2597="Crédit","",IFERROR(INDEX('Paramètres'!$O:$O,MATCH($D2597,'Paramètres'!$M:$M,0))&amp;"",""))))</f>
        <v/>
      </c>
      <c r="N2597" s="6" t="str">
        <f>IF($D2597="","",IFERROR(INDEX('Paramètres'!$Q:$Q,MATCH($D2597,'Paramètres'!$M:$M,0))&amp;"",""))</f>
        <v/>
      </c>
      <c r="O2597" s="6" t="str">
        <f>IF($A2597="","",IF(OR($J2597&lt;&gt;"x",$A2597&lt;=FinReleve),1,0))</f>
        <v/>
      </c>
      <c r="P2597" s="6" t="str">
        <f>IF($D2597="","",IF(AND($L2597="Crédit",OR(IFERROR(INDEX('Paramètres'!$O:$O,MATCH($D2597,'Paramètres'!$M:$M,0))&amp;"","")&lt;&gt;"",ISNUMBER(SEARCH("remboursement",IFERROR(INDEX('Paramètres'!$N:$N,MATCH($D2597,'Paramètres'!$M:$M,0))&amp;"",""))))),1,0))</f>
        <v/>
      </c>
      <c r="Q2597" s="6" t="str">
        <f>IF($K2597="","",IF(ISNUMBER(SEARCH("transfert-interne",IFERROR(INDEX('Paramètres'!$N:$N,MATCH($D2597,'Paramètres'!$M:$M,0))&amp;"",""))),0,IF($L2597="Débit",$K2597,IF($P2597=1,-$K2597,0))))</f>
        <v/>
      </c>
      <c r="R2597" s="6" t="str">
        <f>IF($K2597="","",IF($L2597="Crédit",$K2597,-$K2597))</f>
        <v/>
      </c>
      <c r="S2597" s="6" t="str">
        <f>IF($C2597="","",IFERROR(INDEX('Paramètres'!$H:$H,MATCH($C2597,'Paramètres'!$D:$D,0))&amp;"",""))</f>
        <v/>
      </c>
      <c r="T2597" s="6" t="str">
        <f>IF($K2597="","",IF($S2597="",0,IF(ISNUMBER(SEARCH("apport-exterieur",IFERROR(INDEX('Paramètres'!$N:$N,MATCH($D2597,'Paramètres'!$M:$M,0))&amp;"",""))),0,IF(OR(IFERROR(INDEX('Paramètres'!$I:$I,MATCH($C2597,'Paramètres'!$D:$D,0))&amp;"","")="Les deux",IFERROR(INDEX('Paramètres'!$I:$I,MATCH($C2597,'Paramètres'!$D:$D,0))&amp;"","")=IF($P2597=1,"Débit",$L2597)),-IF($P2597=1,-$K2597,$K2597),0))))</f>
        <v/>
      </c>
      <c r="U2597" s="6" t="str">
        <f>IF($K2597="","",IF(ISNUMBER(SEARCH("sortie-epargne",IFERROR(INDEX('Paramètres'!$N:$N,MATCH($D2597,'Paramètres'!$M:$M,0))&amp;"",""))),$K2597,0))</f>
        <v/>
      </c>
      <c r="V2597" s="6" t="str">
        <f>IF(AND($A2597&lt;&gt;"",$O2597=1,$L2597="Débit",N($Q2597)&gt;0,$A2597&gt;=Visualisation!$B$1,$A2597&lt;Visualisation!$D$1),MAX($V$1:V2596)+1,"")</f>
        <v/>
      </c>
    </row>
    <row r="2598" spans="1:22" x14ac:dyDescent="0.25">
      <c r="A2598" s="9"/>
      <c r="E2598" s="10"/>
      <c r="K2598" s="11" t="str">
        <f>IF($E2598="","",ROUND($E2598*IF(ISNA(MATCH($C2598,'Paramètres'!$D:$D,0)),1,IF(INDEX('Paramètres'!$J:$J,MATCH($C2598,'Paramètres'!$D:$D,0))="",1,INDEX('Paramètres'!$J:$J,MATCH($C2598,'Paramètres'!$D:$D,0)))),2))</f>
        <v/>
      </c>
      <c r="L2598" s="6" t="str">
        <f>IF($D2598="","",IF($F2598&lt;&gt;"",$F2598,IF(ISNA(MATCH($D2598,'Paramètres'!$M:$M,0)),"⚠ Type inconnu",IFERROR(INDEX('Paramètres'!$P:$P,MATCH($D2598,'Paramètres'!$M:$M,0))&amp;"",""))))</f>
        <v/>
      </c>
      <c r="M2598" s="6" t="str">
        <f>IF($D2598="","",IF(ISNA(MATCH($D2598,'Paramètres'!$M:$M,0)),"⚠ Type inconnu",IF($L2598="Crédit","",IFERROR(INDEX('Paramètres'!$O:$O,MATCH($D2598,'Paramètres'!$M:$M,0))&amp;"",""))))</f>
        <v/>
      </c>
      <c r="N2598" s="6" t="str">
        <f>IF($D2598="","",IFERROR(INDEX('Paramètres'!$Q:$Q,MATCH($D2598,'Paramètres'!$M:$M,0))&amp;"",""))</f>
        <v/>
      </c>
      <c r="O2598" s="6" t="str">
        <f>IF($A2598="","",IF(OR($J2598&lt;&gt;"x",$A2598&lt;=FinReleve),1,0))</f>
        <v/>
      </c>
      <c r="P2598" s="6" t="str">
        <f>IF($D2598="","",IF(AND($L2598="Crédit",OR(IFERROR(INDEX('Paramètres'!$O:$O,MATCH($D2598,'Paramètres'!$M:$M,0))&amp;"","")&lt;&gt;"",ISNUMBER(SEARCH("remboursement",IFERROR(INDEX('Paramètres'!$N:$N,MATCH($D2598,'Paramètres'!$M:$M,0))&amp;"",""))))),1,0))</f>
        <v/>
      </c>
      <c r="Q2598" s="6" t="str">
        <f>IF($K2598="","",IF(ISNUMBER(SEARCH("transfert-interne",IFERROR(INDEX('Paramètres'!$N:$N,MATCH($D2598,'Paramètres'!$M:$M,0))&amp;"",""))),0,IF($L2598="Débit",$K2598,IF($P2598=1,-$K2598,0))))</f>
        <v/>
      </c>
      <c r="R2598" s="6" t="str">
        <f>IF($K2598="","",IF($L2598="Crédit",$K2598,-$K2598))</f>
        <v/>
      </c>
      <c r="S2598" s="6" t="str">
        <f>IF($C2598="","",IFERROR(INDEX('Paramètres'!$H:$H,MATCH($C2598,'Paramètres'!$D:$D,0))&amp;"",""))</f>
        <v/>
      </c>
      <c r="T2598" s="6" t="str">
        <f>IF($K2598="","",IF($S2598="",0,IF(ISNUMBER(SEARCH("apport-exterieur",IFERROR(INDEX('Paramètres'!$N:$N,MATCH($D2598,'Paramètres'!$M:$M,0))&amp;"",""))),0,IF(OR(IFERROR(INDEX('Paramètres'!$I:$I,MATCH($C2598,'Paramètres'!$D:$D,0))&amp;"","")="Les deux",IFERROR(INDEX('Paramètres'!$I:$I,MATCH($C2598,'Paramètres'!$D:$D,0))&amp;"","")=IF($P2598=1,"Débit",$L2598)),-IF($P2598=1,-$K2598,$K2598),0))))</f>
        <v/>
      </c>
      <c r="U2598" s="6" t="str">
        <f>IF($K2598="","",IF(ISNUMBER(SEARCH("sortie-epargne",IFERROR(INDEX('Paramètres'!$N:$N,MATCH($D2598,'Paramètres'!$M:$M,0))&amp;"",""))),$K2598,0))</f>
        <v/>
      </c>
      <c r="V2598" s="6" t="str">
        <f>IF(AND($A2598&lt;&gt;"",$O2598=1,$L2598="Débit",N($Q2598)&gt;0,$A2598&gt;=Visualisation!$B$1,$A2598&lt;Visualisation!$D$1),MAX($V$1:V2597)+1,"")</f>
        <v/>
      </c>
    </row>
    <row r="2599" spans="1:22" x14ac:dyDescent="0.25">
      <c r="A2599" s="9"/>
      <c r="E2599" s="10"/>
      <c r="K2599" s="11" t="str">
        <f>IF($E2599="","",ROUND($E2599*IF(ISNA(MATCH($C2599,'Paramètres'!$D:$D,0)),1,IF(INDEX('Paramètres'!$J:$J,MATCH($C2599,'Paramètres'!$D:$D,0))="",1,INDEX('Paramètres'!$J:$J,MATCH($C2599,'Paramètres'!$D:$D,0)))),2))</f>
        <v/>
      </c>
      <c r="L2599" s="6" t="str">
        <f>IF($D2599="","",IF($F2599&lt;&gt;"",$F2599,IF(ISNA(MATCH($D2599,'Paramètres'!$M:$M,0)),"⚠ Type inconnu",IFERROR(INDEX('Paramètres'!$P:$P,MATCH($D2599,'Paramètres'!$M:$M,0))&amp;"",""))))</f>
        <v/>
      </c>
      <c r="M2599" s="6" t="str">
        <f>IF($D2599="","",IF(ISNA(MATCH($D2599,'Paramètres'!$M:$M,0)),"⚠ Type inconnu",IF($L2599="Crédit","",IFERROR(INDEX('Paramètres'!$O:$O,MATCH($D2599,'Paramètres'!$M:$M,0))&amp;"",""))))</f>
        <v/>
      </c>
      <c r="N2599" s="6" t="str">
        <f>IF($D2599="","",IFERROR(INDEX('Paramètres'!$Q:$Q,MATCH($D2599,'Paramètres'!$M:$M,0))&amp;"",""))</f>
        <v/>
      </c>
      <c r="O2599" s="6" t="str">
        <f>IF($A2599="","",IF(OR($J2599&lt;&gt;"x",$A2599&lt;=FinReleve),1,0))</f>
        <v/>
      </c>
      <c r="P2599" s="6" t="str">
        <f>IF($D2599="","",IF(AND($L2599="Crédit",OR(IFERROR(INDEX('Paramètres'!$O:$O,MATCH($D2599,'Paramètres'!$M:$M,0))&amp;"","")&lt;&gt;"",ISNUMBER(SEARCH("remboursement",IFERROR(INDEX('Paramètres'!$N:$N,MATCH($D2599,'Paramètres'!$M:$M,0))&amp;"",""))))),1,0))</f>
        <v/>
      </c>
      <c r="Q2599" s="6" t="str">
        <f>IF($K2599="","",IF(ISNUMBER(SEARCH("transfert-interne",IFERROR(INDEX('Paramètres'!$N:$N,MATCH($D2599,'Paramètres'!$M:$M,0))&amp;"",""))),0,IF($L2599="Débit",$K2599,IF($P2599=1,-$K2599,0))))</f>
        <v/>
      </c>
      <c r="R2599" s="6" t="str">
        <f>IF($K2599="","",IF($L2599="Crédit",$K2599,-$K2599))</f>
        <v/>
      </c>
      <c r="S2599" s="6" t="str">
        <f>IF($C2599="","",IFERROR(INDEX('Paramètres'!$H:$H,MATCH($C2599,'Paramètres'!$D:$D,0))&amp;"",""))</f>
        <v/>
      </c>
      <c r="T2599" s="6" t="str">
        <f>IF($K2599="","",IF($S2599="",0,IF(ISNUMBER(SEARCH("apport-exterieur",IFERROR(INDEX('Paramètres'!$N:$N,MATCH($D2599,'Paramètres'!$M:$M,0))&amp;"",""))),0,IF(OR(IFERROR(INDEX('Paramètres'!$I:$I,MATCH($C2599,'Paramètres'!$D:$D,0))&amp;"","")="Les deux",IFERROR(INDEX('Paramètres'!$I:$I,MATCH($C2599,'Paramètres'!$D:$D,0))&amp;"","")=IF($P2599=1,"Débit",$L2599)),-IF($P2599=1,-$K2599,$K2599),0))))</f>
        <v/>
      </c>
      <c r="U2599" s="6" t="str">
        <f>IF($K2599="","",IF(ISNUMBER(SEARCH("sortie-epargne",IFERROR(INDEX('Paramètres'!$N:$N,MATCH($D2599,'Paramètres'!$M:$M,0))&amp;"",""))),$K2599,0))</f>
        <v/>
      </c>
      <c r="V2599" s="6" t="str">
        <f>IF(AND($A2599&lt;&gt;"",$O2599=1,$L2599="Débit",N($Q2599)&gt;0,$A2599&gt;=Visualisation!$B$1,$A2599&lt;Visualisation!$D$1),MAX($V$1:V2598)+1,"")</f>
        <v/>
      </c>
    </row>
    <row r="2600" spans="1:22" x14ac:dyDescent="0.25">
      <c r="A2600" s="9"/>
      <c r="E2600" s="10"/>
      <c r="K2600" s="11" t="str">
        <f>IF($E2600="","",ROUND($E2600*IF(ISNA(MATCH($C2600,'Paramètres'!$D:$D,0)),1,IF(INDEX('Paramètres'!$J:$J,MATCH($C2600,'Paramètres'!$D:$D,0))="",1,INDEX('Paramètres'!$J:$J,MATCH($C2600,'Paramètres'!$D:$D,0)))),2))</f>
        <v/>
      </c>
      <c r="L2600" s="6" t="str">
        <f>IF($D2600="","",IF($F2600&lt;&gt;"",$F2600,IF(ISNA(MATCH($D2600,'Paramètres'!$M:$M,0)),"⚠ Type inconnu",IFERROR(INDEX('Paramètres'!$P:$P,MATCH($D2600,'Paramètres'!$M:$M,0))&amp;"",""))))</f>
        <v/>
      </c>
      <c r="M2600" s="6" t="str">
        <f>IF($D2600="","",IF(ISNA(MATCH($D2600,'Paramètres'!$M:$M,0)),"⚠ Type inconnu",IF($L2600="Crédit","",IFERROR(INDEX('Paramètres'!$O:$O,MATCH($D2600,'Paramètres'!$M:$M,0))&amp;"",""))))</f>
        <v/>
      </c>
      <c r="N2600" s="6" t="str">
        <f>IF($D2600="","",IFERROR(INDEX('Paramètres'!$Q:$Q,MATCH($D2600,'Paramètres'!$M:$M,0))&amp;"",""))</f>
        <v/>
      </c>
      <c r="O2600" s="6" t="str">
        <f>IF($A2600="","",IF(OR($J2600&lt;&gt;"x",$A2600&lt;=FinReleve),1,0))</f>
        <v/>
      </c>
      <c r="P2600" s="6" t="str">
        <f>IF($D2600="","",IF(AND($L2600="Crédit",OR(IFERROR(INDEX('Paramètres'!$O:$O,MATCH($D2600,'Paramètres'!$M:$M,0))&amp;"","")&lt;&gt;"",ISNUMBER(SEARCH("remboursement",IFERROR(INDEX('Paramètres'!$N:$N,MATCH($D2600,'Paramètres'!$M:$M,0))&amp;"",""))))),1,0))</f>
        <v/>
      </c>
      <c r="Q2600" s="6" t="str">
        <f>IF($K2600="","",IF(ISNUMBER(SEARCH("transfert-interne",IFERROR(INDEX('Paramètres'!$N:$N,MATCH($D2600,'Paramètres'!$M:$M,0))&amp;"",""))),0,IF($L2600="Débit",$K2600,IF($P2600=1,-$K2600,0))))</f>
        <v/>
      </c>
      <c r="R2600" s="6" t="str">
        <f>IF($K2600="","",IF($L2600="Crédit",$K2600,-$K2600))</f>
        <v/>
      </c>
      <c r="S2600" s="6" t="str">
        <f>IF($C2600="","",IFERROR(INDEX('Paramètres'!$H:$H,MATCH($C2600,'Paramètres'!$D:$D,0))&amp;"",""))</f>
        <v/>
      </c>
      <c r="T2600" s="6" t="str">
        <f>IF($K2600="","",IF($S2600="",0,IF(ISNUMBER(SEARCH("apport-exterieur",IFERROR(INDEX('Paramètres'!$N:$N,MATCH($D2600,'Paramètres'!$M:$M,0))&amp;"",""))),0,IF(OR(IFERROR(INDEX('Paramètres'!$I:$I,MATCH($C2600,'Paramètres'!$D:$D,0))&amp;"","")="Les deux",IFERROR(INDEX('Paramètres'!$I:$I,MATCH($C2600,'Paramètres'!$D:$D,0))&amp;"","")=IF($P2600=1,"Débit",$L2600)),-IF($P2600=1,-$K2600,$K2600),0))))</f>
        <v/>
      </c>
      <c r="U2600" s="6" t="str">
        <f>IF($K2600="","",IF(ISNUMBER(SEARCH("sortie-epargne",IFERROR(INDEX('Paramètres'!$N:$N,MATCH($D2600,'Paramètres'!$M:$M,0))&amp;"",""))),$K2600,0))</f>
        <v/>
      </c>
      <c r="V2600" s="6" t="str">
        <f>IF(AND($A2600&lt;&gt;"",$O2600=1,$L2600="Débit",N($Q2600)&gt;0,$A2600&gt;=Visualisation!$B$1,$A2600&lt;Visualisation!$D$1),MAX($V$1:V2599)+1,"")</f>
        <v/>
      </c>
    </row>
    <row r="2601" spans="1:22" x14ac:dyDescent="0.25">
      <c r="A2601" s="9"/>
      <c r="E2601" s="10"/>
      <c r="K2601" s="11" t="str">
        <f>IF($E2601="","",ROUND($E2601*IF(ISNA(MATCH($C2601,'Paramètres'!$D:$D,0)),1,IF(INDEX('Paramètres'!$J:$J,MATCH($C2601,'Paramètres'!$D:$D,0))="",1,INDEX('Paramètres'!$J:$J,MATCH($C2601,'Paramètres'!$D:$D,0)))),2))</f>
        <v/>
      </c>
      <c r="L2601" s="6" t="str">
        <f>IF($D2601="","",IF($F2601&lt;&gt;"",$F2601,IF(ISNA(MATCH($D2601,'Paramètres'!$M:$M,0)),"⚠ Type inconnu",IFERROR(INDEX('Paramètres'!$P:$P,MATCH($D2601,'Paramètres'!$M:$M,0))&amp;"",""))))</f>
        <v/>
      </c>
      <c r="M2601" s="6" t="str">
        <f>IF($D2601="","",IF(ISNA(MATCH($D2601,'Paramètres'!$M:$M,0)),"⚠ Type inconnu",IF($L2601="Crédit","",IFERROR(INDEX('Paramètres'!$O:$O,MATCH($D2601,'Paramètres'!$M:$M,0))&amp;"",""))))</f>
        <v/>
      </c>
      <c r="N2601" s="6" t="str">
        <f>IF($D2601="","",IFERROR(INDEX('Paramètres'!$Q:$Q,MATCH($D2601,'Paramètres'!$M:$M,0))&amp;"",""))</f>
        <v/>
      </c>
      <c r="O2601" s="6" t="str">
        <f>IF($A2601="","",IF(OR($J2601&lt;&gt;"x",$A2601&lt;=FinReleve),1,0))</f>
        <v/>
      </c>
      <c r="P2601" s="6" t="str">
        <f>IF($D2601="","",IF(AND($L2601="Crédit",OR(IFERROR(INDEX('Paramètres'!$O:$O,MATCH($D2601,'Paramètres'!$M:$M,0))&amp;"","")&lt;&gt;"",ISNUMBER(SEARCH("remboursement",IFERROR(INDEX('Paramètres'!$N:$N,MATCH($D2601,'Paramètres'!$M:$M,0))&amp;"",""))))),1,0))</f>
        <v/>
      </c>
      <c r="Q2601" s="6" t="str">
        <f>IF($K2601="","",IF(ISNUMBER(SEARCH("transfert-interne",IFERROR(INDEX('Paramètres'!$N:$N,MATCH($D2601,'Paramètres'!$M:$M,0))&amp;"",""))),0,IF($L2601="Débit",$K2601,IF($P2601=1,-$K2601,0))))</f>
        <v/>
      </c>
      <c r="R2601" s="6" t="str">
        <f>IF($K2601="","",IF($L2601="Crédit",$K2601,-$K2601))</f>
        <v/>
      </c>
      <c r="S2601" s="6" t="str">
        <f>IF($C2601="","",IFERROR(INDEX('Paramètres'!$H:$H,MATCH($C2601,'Paramètres'!$D:$D,0))&amp;"",""))</f>
        <v/>
      </c>
      <c r="T2601" s="6" t="str">
        <f>IF($K2601="","",IF($S2601="",0,IF(ISNUMBER(SEARCH("apport-exterieur",IFERROR(INDEX('Paramètres'!$N:$N,MATCH($D2601,'Paramètres'!$M:$M,0))&amp;"",""))),0,IF(OR(IFERROR(INDEX('Paramètres'!$I:$I,MATCH($C2601,'Paramètres'!$D:$D,0))&amp;"","")="Les deux",IFERROR(INDEX('Paramètres'!$I:$I,MATCH($C2601,'Paramètres'!$D:$D,0))&amp;"","")=IF($P2601=1,"Débit",$L2601)),-IF($P2601=1,-$K2601,$K2601),0))))</f>
        <v/>
      </c>
      <c r="U2601" s="6" t="str">
        <f>IF($K2601="","",IF(ISNUMBER(SEARCH("sortie-epargne",IFERROR(INDEX('Paramètres'!$N:$N,MATCH($D2601,'Paramètres'!$M:$M,0))&amp;"",""))),$K2601,0))</f>
        <v/>
      </c>
      <c r="V2601" s="6" t="str">
        <f>IF(AND($A2601&lt;&gt;"",$O2601=1,$L2601="Débit",N($Q2601)&gt;0,$A2601&gt;=Visualisation!$B$1,$A2601&lt;Visualisation!$D$1),MAX($V$1:V2600)+1,"")</f>
        <v/>
      </c>
    </row>
    <row r="2602" spans="1:22" x14ac:dyDescent="0.25">
      <c r="A2602" s="9"/>
      <c r="E2602" s="10"/>
      <c r="K2602" s="11" t="str">
        <f>IF($E2602="","",ROUND($E2602*IF(ISNA(MATCH($C2602,'Paramètres'!$D:$D,0)),1,IF(INDEX('Paramètres'!$J:$J,MATCH($C2602,'Paramètres'!$D:$D,0))="",1,INDEX('Paramètres'!$J:$J,MATCH($C2602,'Paramètres'!$D:$D,0)))),2))</f>
        <v/>
      </c>
      <c r="L2602" s="6" t="str">
        <f>IF($D2602="","",IF($F2602&lt;&gt;"",$F2602,IF(ISNA(MATCH($D2602,'Paramètres'!$M:$M,0)),"⚠ Type inconnu",IFERROR(INDEX('Paramètres'!$P:$P,MATCH($D2602,'Paramètres'!$M:$M,0))&amp;"",""))))</f>
        <v/>
      </c>
      <c r="M2602" s="6" t="str">
        <f>IF($D2602="","",IF(ISNA(MATCH($D2602,'Paramètres'!$M:$M,0)),"⚠ Type inconnu",IF($L2602="Crédit","",IFERROR(INDEX('Paramètres'!$O:$O,MATCH($D2602,'Paramètres'!$M:$M,0))&amp;"",""))))</f>
        <v/>
      </c>
      <c r="N2602" s="6" t="str">
        <f>IF($D2602="","",IFERROR(INDEX('Paramètres'!$Q:$Q,MATCH($D2602,'Paramètres'!$M:$M,0))&amp;"",""))</f>
        <v/>
      </c>
      <c r="O2602" s="6" t="str">
        <f>IF($A2602="","",IF(OR($J2602&lt;&gt;"x",$A2602&lt;=FinReleve),1,0))</f>
        <v/>
      </c>
      <c r="P2602" s="6" t="str">
        <f>IF($D2602="","",IF(AND($L2602="Crédit",OR(IFERROR(INDEX('Paramètres'!$O:$O,MATCH($D2602,'Paramètres'!$M:$M,0))&amp;"","")&lt;&gt;"",ISNUMBER(SEARCH("remboursement",IFERROR(INDEX('Paramètres'!$N:$N,MATCH($D2602,'Paramètres'!$M:$M,0))&amp;"",""))))),1,0))</f>
        <v/>
      </c>
      <c r="Q2602" s="6" t="str">
        <f>IF($K2602="","",IF(ISNUMBER(SEARCH("transfert-interne",IFERROR(INDEX('Paramètres'!$N:$N,MATCH($D2602,'Paramètres'!$M:$M,0))&amp;"",""))),0,IF($L2602="Débit",$K2602,IF($P2602=1,-$K2602,0))))</f>
        <v/>
      </c>
      <c r="R2602" s="6" t="str">
        <f>IF($K2602="","",IF($L2602="Crédit",$K2602,-$K2602))</f>
        <v/>
      </c>
      <c r="S2602" s="6" t="str">
        <f>IF($C2602="","",IFERROR(INDEX('Paramètres'!$H:$H,MATCH($C2602,'Paramètres'!$D:$D,0))&amp;"",""))</f>
        <v/>
      </c>
      <c r="T2602" s="6" t="str">
        <f>IF($K2602="","",IF($S2602="",0,IF(ISNUMBER(SEARCH("apport-exterieur",IFERROR(INDEX('Paramètres'!$N:$N,MATCH($D2602,'Paramètres'!$M:$M,0))&amp;"",""))),0,IF(OR(IFERROR(INDEX('Paramètres'!$I:$I,MATCH($C2602,'Paramètres'!$D:$D,0))&amp;"","")="Les deux",IFERROR(INDEX('Paramètres'!$I:$I,MATCH($C2602,'Paramètres'!$D:$D,0))&amp;"","")=IF($P2602=1,"Débit",$L2602)),-IF($P2602=1,-$K2602,$K2602),0))))</f>
        <v/>
      </c>
      <c r="U2602" s="6" t="str">
        <f>IF($K2602="","",IF(ISNUMBER(SEARCH("sortie-epargne",IFERROR(INDEX('Paramètres'!$N:$N,MATCH($D2602,'Paramètres'!$M:$M,0))&amp;"",""))),$K2602,0))</f>
        <v/>
      </c>
      <c r="V2602" s="6" t="str">
        <f>IF(AND($A2602&lt;&gt;"",$O2602=1,$L2602="Débit",N($Q2602)&gt;0,$A2602&gt;=Visualisation!$B$1,$A2602&lt;Visualisation!$D$1),MAX($V$1:V2601)+1,"")</f>
        <v/>
      </c>
    </row>
    <row r="2603" spans="1:22" x14ac:dyDescent="0.25">
      <c r="A2603" s="9"/>
      <c r="E2603" s="10"/>
      <c r="K2603" s="11" t="str">
        <f>IF($E2603="","",ROUND($E2603*IF(ISNA(MATCH($C2603,'Paramètres'!$D:$D,0)),1,IF(INDEX('Paramètres'!$J:$J,MATCH($C2603,'Paramètres'!$D:$D,0))="",1,INDEX('Paramètres'!$J:$J,MATCH($C2603,'Paramètres'!$D:$D,0)))),2))</f>
        <v/>
      </c>
      <c r="L2603" s="6" t="str">
        <f>IF($D2603="","",IF($F2603&lt;&gt;"",$F2603,IF(ISNA(MATCH($D2603,'Paramètres'!$M:$M,0)),"⚠ Type inconnu",IFERROR(INDEX('Paramètres'!$P:$P,MATCH($D2603,'Paramètres'!$M:$M,0))&amp;"",""))))</f>
        <v/>
      </c>
      <c r="M2603" s="6" t="str">
        <f>IF($D2603="","",IF(ISNA(MATCH($D2603,'Paramètres'!$M:$M,0)),"⚠ Type inconnu",IF($L2603="Crédit","",IFERROR(INDEX('Paramètres'!$O:$O,MATCH($D2603,'Paramètres'!$M:$M,0))&amp;"",""))))</f>
        <v/>
      </c>
      <c r="N2603" s="6" t="str">
        <f>IF($D2603="","",IFERROR(INDEX('Paramètres'!$Q:$Q,MATCH($D2603,'Paramètres'!$M:$M,0))&amp;"",""))</f>
        <v/>
      </c>
      <c r="O2603" s="6" t="str">
        <f>IF($A2603="","",IF(OR($J2603&lt;&gt;"x",$A2603&lt;=FinReleve),1,0))</f>
        <v/>
      </c>
      <c r="P2603" s="6" t="str">
        <f>IF($D2603="","",IF(AND($L2603="Crédit",OR(IFERROR(INDEX('Paramètres'!$O:$O,MATCH($D2603,'Paramètres'!$M:$M,0))&amp;"","")&lt;&gt;"",ISNUMBER(SEARCH("remboursement",IFERROR(INDEX('Paramètres'!$N:$N,MATCH($D2603,'Paramètres'!$M:$M,0))&amp;"",""))))),1,0))</f>
        <v/>
      </c>
      <c r="Q2603" s="6" t="str">
        <f>IF($K2603="","",IF(ISNUMBER(SEARCH("transfert-interne",IFERROR(INDEX('Paramètres'!$N:$N,MATCH($D2603,'Paramètres'!$M:$M,0))&amp;"",""))),0,IF($L2603="Débit",$K2603,IF($P2603=1,-$K2603,0))))</f>
        <v/>
      </c>
      <c r="R2603" s="6" t="str">
        <f>IF($K2603="","",IF($L2603="Crédit",$K2603,-$K2603))</f>
        <v/>
      </c>
      <c r="S2603" s="6" t="str">
        <f>IF($C2603="","",IFERROR(INDEX('Paramètres'!$H:$H,MATCH($C2603,'Paramètres'!$D:$D,0))&amp;"",""))</f>
        <v/>
      </c>
      <c r="T2603" s="6" t="str">
        <f>IF($K2603="","",IF($S2603="",0,IF(ISNUMBER(SEARCH("apport-exterieur",IFERROR(INDEX('Paramètres'!$N:$N,MATCH($D2603,'Paramètres'!$M:$M,0))&amp;"",""))),0,IF(OR(IFERROR(INDEX('Paramètres'!$I:$I,MATCH($C2603,'Paramètres'!$D:$D,0))&amp;"","")="Les deux",IFERROR(INDEX('Paramètres'!$I:$I,MATCH($C2603,'Paramètres'!$D:$D,0))&amp;"","")=IF($P2603=1,"Débit",$L2603)),-IF($P2603=1,-$K2603,$K2603),0))))</f>
        <v/>
      </c>
      <c r="U2603" s="6" t="str">
        <f>IF($K2603="","",IF(ISNUMBER(SEARCH("sortie-epargne",IFERROR(INDEX('Paramètres'!$N:$N,MATCH($D2603,'Paramètres'!$M:$M,0))&amp;"",""))),$K2603,0))</f>
        <v/>
      </c>
      <c r="V2603" s="6" t="str">
        <f>IF(AND($A2603&lt;&gt;"",$O2603=1,$L2603="Débit",N($Q2603)&gt;0,$A2603&gt;=Visualisation!$B$1,$A2603&lt;Visualisation!$D$1),MAX($V$1:V2602)+1,"")</f>
        <v/>
      </c>
    </row>
    <row r="2604" spans="1:22" x14ac:dyDescent="0.25">
      <c r="A2604" s="9"/>
      <c r="E2604" s="10"/>
      <c r="K2604" s="11" t="str">
        <f>IF($E2604="","",ROUND($E2604*IF(ISNA(MATCH($C2604,'Paramètres'!$D:$D,0)),1,IF(INDEX('Paramètres'!$J:$J,MATCH($C2604,'Paramètres'!$D:$D,0))="",1,INDEX('Paramètres'!$J:$J,MATCH($C2604,'Paramètres'!$D:$D,0)))),2))</f>
        <v/>
      </c>
      <c r="L2604" s="6" t="str">
        <f>IF($D2604="","",IF($F2604&lt;&gt;"",$F2604,IF(ISNA(MATCH($D2604,'Paramètres'!$M:$M,0)),"⚠ Type inconnu",IFERROR(INDEX('Paramètres'!$P:$P,MATCH($D2604,'Paramètres'!$M:$M,0))&amp;"",""))))</f>
        <v/>
      </c>
      <c r="M2604" s="6" t="str">
        <f>IF($D2604="","",IF(ISNA(MATCH($D2604,'Paramètres'!$M:$M,0)),"⚠ Type inconnu",IF($L2604="Crédit","",IFERROR(INDEX('Paramètres'!$O:$O,MATCH($D2604,'Paramètres'!$M:$M,0))&amp;"",""))))</f>
        <v/>
      </c>
      <c r="N2604" s="6" t="str">
        <f>IF($D2604="","",IFERROR(INDEX('Paramètres'!$Q:$Q,MATCH($D2604,'Paramètres'!$M:$M,0))&amp;"",""))</f>
        <v/>
      </c>
      <c r="O2604" s="6" t="str">
        <f>IF($A2604="","",IF(OR($J2604&lt;&gt;"x",$A2604&lt;=FinReleve),1,0))</f>
        <v/>
      </c>
      <c r="P2604" s="6" t="str">
        <f>IF($D2604="","",IF(AND($L2604="Crédit",OR(IFERROR(INDEX('Paramètres'!$O:$O,MATCH($D2604,'Paramètres'!$M:$M,0))&amp;"","")&lt;&gt;"",ISNUMBER(SEARCH("remboursement",IFERROR(INDEX('Paramètres'!$N:$N,MATCH($D2604,'Paramètres'!$M:$M,0))&amp;"",""))))),1,0))</f>
        <v/>
      </c>
      <c r="Q2604" s="6" t="str">
        <f>IF($K2604="","",IF(ISNUMBER(SEARCH("transfert-interne",IFERROR(INDEX('Paramètres'!$N:$N,MATCH($D2604,'Paramètres'!$M:$M,0))&amp;"",""))),0,IF($L2604="Débit",$K2604,IF($P2604=1,-$K2604,0))))</f>
        <v/>
      </c>
      <c r="R2604" s="6" t="str">
        <f>IF($K2604="","",IF($L2604="Crédit",$K2604,-$K2604))</f>
        <v/>
      </c>
      <c r="S2604" s="6" t="str">
        <f>IF($C2604="","",IFERROR(INDEX('Paramètres'!$H:$H,MATCH($C2604,'Paramètres'!$D:$D,0))&amp;"",""))</f>
        <v/>
      </c>
      <c r="T2604" s="6" t="str">
        <f>IF($K2604="","",IF($S2604="",0,IF(ISNUMBER(SEARCH("apport-exterieur",IFERROR(INDEX('Paramètres'!$N:$N,MATCH($D2604,'Paramètres'!$M:$M,0))&amp;"",""))),0,IF(OR(IFERROR(INDEX('Paramètres'!$I:$I,MATCH($C2604,'Paramètres'!$D:$D,0))&amp;"","")="Les deux",IFERROR(INDEX('Paramètres'!$I:$I,MATCH($C2604,'Paramètres'!$D:$D,0))&amp;"","")=IF($P2604=1,"Débit",$L2604)),-IF($P2604=1,-$K2604,$K2604),0))))</f>
        <v/>
      </c>
      <c r="U2604" s="6" t="str">
        <f>IF($K2604="","",IF(ISNUMBER(SEARCH("sortie-epargne",IFERROR(INDEX('Paramètres'!$N:$N,MATCH($D2604,'Paramètres'!$M:$M,0))&amp;"",""))),$K2604,0))</f>
        <v/>
      </c>
      <c r="V2604" s="6" t="str">
        <f>IF(AND($A2604&lt;&gt;"",$O2604=1,$L2604="Débit",N($Q2604)&gt;0,$A2604&gt;=Visualisation!$B$1,$A2604&lt;Visualisation!$D$1),MAX($V$1:V2603)+1,"")</f>
        <v/>
      </c>
    </row>
    <row r="2605" spans="1:22" x14ac:dyDescent="0.25">
      <c r="A2605" s="9"/>
      <c r="E2605" s="10"/>
      <c r="K2605" s="11" t="str">
        <f>IF($E2605="","",ROUND($E2605*IF(ISNA(MATCH($C2605,'Paramètres'!$D:$D,0)),1,IF(INDEX('Paramètres'!$J:$J,MATCH($C2605,'Paramètres'!$D:$D,0))="",1,INDEX('Paramètres'!$J:$J,MATCH($C2605,'Paramètres'!$D:$D,0)))),2))</f>
        <v/>
      </c>
      <c r="L2605" s="6" t="str">
        <f>IF($D2605="","",IF($F2605&lt;&gt;"",$F2605,IF(ISNA(MATCH($D2605,'Paramètres'!$M:$M,0)),"⚠ Type inconnu",IFERROR(INDEX('Paramètres'!$P:$P,MATCH($D2605,'Paramètres'!$M:$M,0))&amp;"",""))))</f>
        <v/>
      </c>
      <c r="M2605" s="6" t="str">
        <f>IF($D2605="","",IF(ISNA(MATCH($D2605,'Paramètres'!$M:$M,0)),"⚠ Type inconnu",IF($L2605="Crédit","",IFERROR(INDEX('Paramètres'!$O:$O,MATCH($D2605,'Paramètres'!$M:$M,0))&amp;"",""))))</f>
        <v/>
      </c>
      <c r="N2605" s="6" t="str">
        <f>IF($D2605="","",IFERROR(INDEX('Paramètres'!$Q:$Q,MATCH($D2605,'Paramètres'!$M:$M,0))&amp;"",""))</f>
        <v/>
      </c>
      <c r="O2605" s="6" t="str">
        <f>IF($A2605="","",IF(OR($J2605&lt;&gt;"x",$A2605&lt;=FinReleve),1,0))</f>
        <v/>
      </c>
      <c r="P2605" s="6" t="str">
        <f>IF($D2605="","",IF(AND($L2605="Crédit",OR(IFERROR(INDEX('Paramètres'!$O:$O,MATCH($D2605,'Paramètres'!$M:$M,0))&amp;"","")&lt;&gt;"",ISNUMBER(SEARCH("remboursement",IFERROR(INDEX('Paramètres'!$N:$N,MATCH($D2605,'Paramètres'!$M:$M,0))&amp;"",""))))),1,0))</f>
        <v/>
      </c>
      <c r="Q2605" s="6" t="str">
        <f>IF($K2605="","",IF(ISNUMBER(SEARCH("transfert-interne",IFERROR(INDEX('Paramètres'!$N:$N,MATCH($D2605,'Paramètres'!$M:$M,0))&amp;"",""))),0,IF($L2605="Débit",$K2605,IF($P2605=1,-$K2605,0))))</f>
        <v/>
      </c>
      <c r="R2605" s="6" t="str">
        <f>IF($K2605="","",IF($L2605="Crédit",$K2605,-$K2605))</f>
        <v/>
      </c>
      <c r="S2605" s="6" t="str">
        <f>IF($C2605="","",IFERROR(INDEX('Paramètres'!$H:$H,MATCH($C2605,'Paramètres'!$D:$D,0))&amp;"",""))</f>
        <v/>
      </c>
      <c r="T2605" s="6" t="str">
        <f>IF($K2605="","",IF($S2605="",0,IF(ISNUMBER(SEARCH("apport-exterieur",IFERROR(INDEX('Paramètres'!$N:$N,MATCH($D2605,'Paramètres'!$M:$M,0))&amp;"",""))),0,IF(OR(IFERROR(INDEX('Paramètres'!$I:$I,MATCH($C2605,'Paramètres'!$D:$D,0))&amp;"","")="Les deux",IFERROR(INDEX('Paramètres'!$I:$I,MATCH($C2605,'Paramètres'!$D:$D,0))&amp;"","")=IF($P2605=1,"Débit",$L2605)),-IF($P2605=1,-$K2605,$K2605),0))))</f>
        <v/>
      </c>
      <c r="U2605" s="6" t="str">
        <f>IF($K2605="","",IF(ISNUMBER(SEARCH("sortie-epargne",IFERROR(INDEX('Paramètres'!$N:$N,MATCH($D2605,'Paramètres'!$M:$M,0))&amp;"",""))),$K2605,0))</f>
        <v/>
      </c>
      <c r="V2605" s="6" t="str">
        <f>IF(AND($A2605&lt;&gt;"",$O2605=1,$L2605="Débit",N($Q2605)&gt;0,$A2605&gt;=Visualisation!$B$1,$A2605&lt;Visualisation!$D$1),MAX($V$1:V2604)+1,"")</f>
        <v/>
      </c>
    </row>
    <row r="2606" spans="1:22" x14ac:dyDescent="0.25">
      <c r="A2606" s="9"/>
      <c r="E2606" s="10"/>
      <c r="K2606" s="11" t="str">
        <f>IF($E2606="","",ROUND($E2606*IF(ISNA(MATCH($C2606,'Paramètres'!$D:$D,0)),1,IF(INDEX('Paramètres'!$J:$J,MATCH($C2606,'Paramètres'!$D:$D,0))="",1,INDEX('Paramètres'!$J:$J,MATCH($C2606,'Paramètres'!$D:$D,0)))),2))</f>
        <v/>
      </c>
      <c r="L2606" s="6" t="str">
        <f>IF($D2606="","",IF($F2606&lt;&gt;"",$F2606,IF(ISNA(MATCH($D2606,'Paramètres'!$M:$M,0)),"⚠ Type inconnu",IFERROR(INDEX('Paramètres'!$P:$P,MATCH($D2606,'Paramètres'!$M:$M,0))&amp;"",""))))</f>
        <v/>
      </c>
      <c r="M2606" s="6" t="str">
        <f>IF($D2606="","",IF(ISNA(MATCH($D2606,'Paramètres'!$M:$M,0)),"⚠ Type inconnu",IF($L2606="Crédit","",IFERROR(INDEX('Paramètres'!$O:$O,MATCH($D2606,'Paramètres'!$M:$M,0))&amp;"",""))))</f>
        <v/>
      </c>
      <c r="N2606" s="6" t="str">
        <f>IF($D2606="","",IFERROR(INDEX('Paramètres'!$Q:$Q,MATCH($D2606,'Paramètres'!$M:$M,0))&amp;"",""))</f>
        <v/>
      </c>
      <c r="O2606" s="6" t="str">
        <f>IF($A2606="","",IF(OR($J2606&lt;&gt;"x",$A2606&lt;=FinReleve),1,0))</f>
        <v/>
      </c>
      <c r="P2606" s="6" t="str">
        <f>IF($D2606="","",IF(AND($L2606="Crédit",OR(IFERROR(INDEX('Paramètres'!$O:$O,MATCH($D2606,'Paramètres'!$M:$M,0))&amp;"","")&lt;&gt;"",ISNUMBER(SEARCH("remboursement",IFERROR(INDEX('Paramètres'!$N:$N,MATCH($D2606,'Paramètres'!$M:$M,0))&amp;"",""))))),1,0))</f>
        <v/>
      </c>
      <c r="Q2606" s="6" t="str">
        <f>IF($K2606="","",IF(ISNUMBER(SEARCH("transfert-interne",IFERROR(INDEX('Paramètres'!$N:$N,MATCH($D2606,'Paramètres'!$M:$M,0))&amp;"",""))),0,IF($L2606="Débit",$K2606,IF($P2606=1,-$K2606,0))))</f>
        <v/>
      </c>
      <c r="R2606" s="6" t="str">
        <f>IF($K2606="","",IF($L2606="Crédit",$K2606,-$K2606))</f>
        <v/>
      </c>
      <c r="S2606" s="6" t="str">
        <f>IF($C2606="","",IFERROR(INDEX('Paramètres'!$H:$H,MATCH($C2606,'Paramètres'!$D:$D,0))&amp;"",""))</f>
        <v/>
      </c>
      <c r="T2606" s="6" t="str">
        <f>IF($K2606="","",IF($S2606="",0,IF(ISNUMBER(SEARCH("apport-exterieur",IFERROR(INDEX('Paramètres'!$N:$N,MATCH($D2606,'Paramètres'!$M:$M,0))&amp;"",""))),0,IF(OR(IFERROR(INDEX('Paramètres'!$I:$I,MATCH($C2606,'Paramètres'!$D:$D,0))&amp;"","")="Les deux",IFERROR(INDEX('Paramètres'!$I:$I,MATCH($C2606,'Paramètres'!$D:$D,0))&amp;"","")=IF($P2606=1,"Débit",$L2606)),-IF($P2606=1,-$K2606,$K2606),0))))</f>
        <v/>
      </c>
      <c r="U2606" s="6" t="str">
        <f>IF($K2606="","",IF(ISNUMBER(SEARCH("sortie-epargne",IFERROR(INDEX('Paramètres'!$N:$N,MATCH($D2606,'Paramètres'!$M:$M,0))&amp;"",""))),$K2606,0))</f>
        <v/>
      </c>
      <c r="V2606" s="6" t="str">
        <f>IF(AND($A2606&lt;&gt;"",$O2606=1,$L2606="Débit",N($Q2606)&gt;0,$A2606&gt;=Visualisation!$B$1,$A2606&lt;Visualisation!$D$1),MAX($V$1:V2605)+1,"")</f>
        <v/>
      </c>
    </row>
    <row r="2607" spans="1:22" x14ac:dyDescent="0.25">
      <c r="A2607" s="9"/>
      <c r="E2607" s="10"/>
      <c r="K2607" s="11" t="str">
        <f>IF($E2607="","",ROUND($E2607*IF(ISNA(MATCH($C2607,'Paramètres'!$D:$D,0)),1,IF(INDEX('Paramètres'!$J:$J,MATCH($C2607,'Paramètres'!$D:$D,0))="",1,INDEX('Paramètres'!$J:$J,MATCH($C2607,'Paramètres'!$D:$D,0)))),2))</f>
        <v/>
      </c>
      <c r="L2607" s="6" t="str">
        <f>IF($D2607="","",IF($F2607&lt;&gt;"",$F2607,IF(ISNA(MATCH($D2607,'Paramètres'!$M:$M,0)),"⚠ Type inconnu",IFERROR(INDEX('Paramètres'!$P:$P,MATCH($D2607,'Paramètres'!$M:$M,0))&amp;"",""))))</f>
        <v/>
      </c>
      <c r="M2607" s="6" t="str">
        <f>IF($D2607="","",IF(ISNA(MATCH($D2607,'Paramètres'!$M:$M,0)),"⚠ Type inconnu",IF($L2607="Crédit","",IFERROR(INDEX('Paramètres'!$O:$O,MATCH($D2607,'Paramètres'!$M:$M,0))&amp;"",""))))</f>
        <v/>
      </c>
      <c r="N2607" s="6" t="str">
        <f>IF($D2607="","",IFERROR(INDEX('Paramètres'!$Q:$Q,MATCH($D2607,'Paramètres'!$M:$M,0))&amp;"",""))</f>
        <v/>
      </c>
      <c r="O2607" s="6" t="str">
        <f>IF($A2607="","",IF(OR($J2607&lt;&gt;"x",$A2607&lt;=FinReleve),1,0))</f>
        <v/>
      </c>
      <c r="P2607" s="6" t="str">
        <f>IF($D2607="","",IF(AND($L2607="Crédit",OR(IFERROR(INDEX('Paramètres'!$O:$O,MATCH($D2607,'Paramètres'!$M:$M,0))&amp;"","")&lt;&gt;"",ISNUMBER(SEARCH("remboursement",IFERROR(INDEX('Paramètres'!$N:$N,MATCH($D2607,'Paramètres'!$M:$M,0))&amp;"",""))))),1,0))</f>
        <v/>
      </c>
      <c r="Q2607" s="6" t="str">
        <f>IF($K2607="","",IF(ISNUMBER(SEARCH("transfert-interne",IFERROR(INDEX('Paramètres'!$N:$N,MATCH($D2607,'Paramètres'!$M:$M,0))&amp;"",""))),0,IF($L2607="Débit",$K2607,IF($P2607=1,-$K2607,0))))</f>
        <v/>
      </c>
      <c r="R2607" s="6" t="str">
        <f>IF($K2607="","",IF($L2607="Crédit",$K2607,-$K2607))</f>
        <v/>
      </c>
      <c r="S2607" s="6" t="str">
        <f>IF($C2607="","",IFERROR(INDEX('Paramètres'!$H:$H,MATCH($C2607,'Paramètres'!$D:$D,0))&amp;"",""))</f>
        <v/>
      </c>
      <c r="T2607" s="6" t="str">
        <f>IF($K2607="","",IF($S2607="",0,IF(ISNUMBER(SEARCH("apport-exterieur",IFERROR(INDEX('Paramètres'!$N:$N,MATCH($D2607,'Paramètres'!$M:$M,0))&amp;"",""))),0,IF(OR(IFERROR(INDEX('Paramètres'!$I:$I,MATCH($C2607,'Paramètres'!$D:$D,0))&amp;"","")="Les deux",IFERROR(INDEX('Paramètres'!$I:$I,MATCH($C2607,'Paramètres'!$D:$D,0))&amp;"","")=IF($P2607=1,"Débit",$L2607)),-IF($P2607=1,-$K2607,$K2607),0))))</f>
        <v/>
      </c>
      <c r="U2607" s="6" t="str">
        <f>IF($K2607="","",IF(ISNUMBER(SEARCH("sortie-epargne",IFERROR(INDEX('Paramètres'!$N:$N,MATCH($D2607,'Paramètres'!$M:$M,0))&amp;"",""))),$K2607,0))</f>
        <v/>
      </c>
      <c r="V2607" s="6" t="str">
        <f>IF(AND($A2607&lt;&gt;"",$O2607=1,$L2607="Débit",N($Q2607)&gt;0,$A2607&gt;=Visualisation!$B$1,$A2607&lt;Visualisation!$D$1),MAX($V$1:V2606)+1,"")</f>
        <v/>
      </c>
    </row>
    <row r="2608" spans="1:22" x14ac:dyDescent="0.25">
      <c r="A2608" s="9"/>
      <c r="E2608" s="10"/>
      <c r="K2608" s="11" t="str">
        <f>IF($E2608="","",ROUND($E2608*IF(ISNA(MATCH($C2608,'Paramètres'!$D:$D,0)),1,IF(INDEX('Paramètres'!$J:$J,MATCH($C2608,'Paramètres'!$D:$D,0))="",1,INDEX('Paramètres'!$J:$J,MATCH($C2608,'Paramètres'!$D:$D,0)))),2))</f>
        <v/>
      </c>
      <c r="L2608" s="6" t="str">
        <f>IF($D2608="","",IF($F2608&lt;&gt;"",$F2608,IF(ISNA(MATCH($D2608,'Paramètres'!$M:$M,0)),"⚠ Type inconnu",IFERROR(INDEX('Paramètres'!$P:$P,MATCH($D2608,'Paramètres'!$M:$M,0))&amp;"",""))))</f>
        <v/>
      </c>
      <c r="M2608" s="6" t="str">
        <f>IF($D2608="","",IF(ISNA(MATCH($D2608,'Paramètres'!$M:$M,0)),"⚠ Type inconnu",IF($L2608="Crédit","",IFERROR(INDEX('Paramètres'!$O:$O,MATCH($D2608,'Paramètres'!$M:$M,0))&amp;"",""))))</f>
        <v/>
      </c>
      <c r="N2608" s="6" t="str">
        <f>IF($D2608="","",IFERROR(INDEX('Paramètres'!$Q:$Q,MATCH($D2608,'Paramètres'!$M:$M,0))&amp;"",""))</f>
        <v/>
      </c>
      <c r="O2608" s="6" t="str">
        <f>IF($A2608="","",IF(OR($J2608&lt;&gt;"x",$A2608&lt;=FinReleve),1,0))</f>
        <v/>
      </c>
      <c r="P2608" s="6" t="str">
        <f>IF($D2608="","",IF(AND($L2608="Crédit",OR(IFERROR(INDEX('Paramètres'!$O:$O,MATCH($D2608,'Paramètres'!$M:$M,0))&amp;"","")&lt;&gt;"",ISNUMBER(SEARCH("remboursement",IFERROR(INDEX('Paramètres'!$N:$N,MATCH($D2608,'Paramètres'!$M:$M,0))&amp;"",""))))),1,0))</f>
        <v/>
      </c>
      <c r="Q2608" s="6" t="str">
        <f>IF($K2608="","",IF(ISNUMBER(SEARCH("transfert-interne",IFERROR(INDEX('Paramètres'!$N:$N,MATCH($D2608,'Paramètres'!$M:$M,0))&amp;"",""))),0,IF($L2608="Débit",$K2608,IF($P2608=1,-$K2608,0))))</f>
        <v/>
      </c>
      <c r="R2608" s="6" t="str">
        <f>IF($K2608="","",IF($L2608="Crédit",$K2608,-$K2608))</f>
        <v/>
      </c>
      <c r="S2608" s="6" t="str">
        <f>IF($C2608="","",IFERROR(INDEX('Paramètres'!$H:$H,MATCH($C2608,'Paramètres'!$D:$D,0))&amp;"",""))</f>
        <v/>
      </c>
      <c r="T2608" s="6" t="str">
        <f>IF($K2608="","",IF($S2608="",0,IF(ISNUMBER(SEARCH("apport-exterieur",IFERROR(INDEX('Paramètres'!$N:$N,MATCH($D2608,'Paramètres'!$M:$M,0))&amp;"",""))),0,IF(OR(IFERROR(INDEX('Paramètres'!$I:$I,MATCH($C2608,'Paramètres'!$D:$D,0))&amp;"","")="Les deux",IFERROR(INDEX('Paramètres'!$I:$I,MATCH($C2608,'Paramètres'!$D:$D,0))&amp;"","")=IF($P2608=1,"Débit",$L2608)),-IF($P2608=1,-$K2608,$K2608),0))))</f>
        <v/>
      </c>
      <c r="U2608" s="6" t="str">
        <f>IF($K2608="","",IF(ISNUMBER(SEARCH("sortie-epargne",IFERROR(INDEX('Paramètres'!$N:$N,MATCH($D2608,'Paramètres'!$M:$M,0))&amp;"",""))),$K2608,0))</f>
        <v/>
      </c>
      <c r="V2608" s="6" t="str">
        <f>IF(AND($A2608&lt;&gt;"",$O2608=1,$L2608="Débit",N($Q2608)&gt;0,$A2608&gt;=Visualisation!$B$1,$A2608&lt;Visualisation!$D$1),MAX($V$1:V2607)+1,"")</f>
        <v/>
      </c>
    </row>
    <row r="2609" spans="1:22" x14ac:dyDescent="0.25">
      <c r="A2609" s="9"/>
      <c r="E2609" s="10"/>
      <c r="K2609" s="11" t="str">
        <f>IF($E2609="","",ROUND($E2609*IF(ISNA(MATCH($C2609,'Paramètres'!$D:$D,0)),1,IF(INDEX('Paramètres'!$J:$J,MATCH($C2609,'Paramètres'!$D:$D,0))="",1,INDEX('Paramètres'!$J:$J,MATCH($C2609,'Paramètres'!$D:$D,0)))),2))</f>
        <v/>
      </c>
      <c r="L2609" s="6" t="str">
        <f>IF($D2609="","",IF($F2609&lt;&gt;"",$F2609,IF(ISNA(MATCH($D2609,'Paramètres'!$M:$M,0)),"⚠ Type inconnu",IFERROR(INDEX('Paramètres'!$P:$P,MATCH($D2609,'Paramètres'!$M:$M,0))&amp;"",""))))</f>
        <v/>
      </c>
      <c r="M2609" s="6" t="str">
        <f>IF($D2609="","",IF(ISNA(MATCH($D2609,'Paramètres'!$M:$M,0)),"⚠ Type inconnu",IF($L2609="Crédit","",IFERROR(INDEX('Paramètres'!$O:$O,MATCH($D2609,'Paramètres'!$M:$M,0))&amp;"",""))))</f>
        <v/>
      </c>
      <c r="N2609" s="6" t="str">
        <f>IF($D2609="","",IFERROR(INDEX('Paramètres'!$Q:$Q,MATCH($D2609,'Paramètres'!$M:$M,0))&amp;"",""))</f>
        <v/>
      </c>
      <c r="O2609" s="6" t="str">
        <f>IF($A2609="","",IF(OR($J2609&lt;&gt;"x",$A2609&lt;=FinReleve),1,0))</f>
        <v/>
      </c>
      <c r="P2609" s="6" t="str">
        <f>IF($D2609="","",IF(AND($L2609="Crédit",OR(IFERROR(INDEX('Paramètres'!$O:$O,MATCH($D2609,'Paramètres'!$M:$M,0))&amp;"","")&lt;&gt;"",ISNUMBER(SEARCH("remboursement",IFERROR(INDEX('Paramètres'!$N:$N,MATCH($D2609,'Paramètres'!$M:$M,0))&amp;"",""))))),1,0))</f>
        <v/>
      </c>
      <c r="Q2609" s="6" t="str">
        <f>IF($K2609="","",IF(ISNUMBER(SEARCH("transfert-interne",IFERROR(INDEX('Paramètres'!$N:$N,MATCH($D2609,'Paramètres'!$M:$M,0))&amp;"",""))),0,IF($L2609="Débit",$K2609,IF($P2609=1,-$K2609,0))))</f>
        <v/>
      </c>
      <c r="R2609" s="6" t="str">
        <f>IF($K2609="","",IF($L2609="Crédit",$K2609,-$K2609))</f>
        <v/>
      </c>
      <c r="S2609" s="6" t="str">
        <f>IF($C2609="","",IFERROR(INDEX('Paramètres'!$H:$H,MATCH($C2609,'Paramètres'!$D:$D,0))&amp;"",""))</f>
        <v/>
      </c>
      <c r="T2609" s="6" t="str">
        <f>IF($K2609="","",IF($S2609="",0,IF(ISNUMBER(SEARCH("apport-exterieur",IFERROR(INDEX('Paramètres'!$N:$N,MATCH($D2609,'Paramètres'!$M:$M,0))&amp;"",""))),0,IF(OR(IFERROR(INDEX('Paramètres'!$I:$I,MATCH($C2609,'Paramètres'!$D:$D,0))&amp;"","")="Les deux",IFERROR(INDEX('Paramètres'!$I:$I,MATCH($C2609,'Paramètres'!$D:$D,0))&amp;"","")=IF($P2609=1,"Débit",$L2609)),-IF($P2609=1,-$K2609,$K2609),0))))</f>
        <v/>
      </c>
      <c r="U2609" s="6" t="str">
        <f>IF($K2609="","",IF(ISNUMBER(SEARCH("sortie-epargne",IFERROR(INDEX('Paramètres'!$N:$N,MATCH($D2609,'Paramètres'!$M:$M,0))&amp;"",""))),$K2609,0))</f>
        <v/>
      </c>
      <c r="V2609" s="6" t="str">
        <f>IF(AND($A2609&lt;&gt;"",$O2609=1,$L2609="Débit",N($Q2609)&gt;0,$A2609&gt;=Visualisation!$B$1,$A2609&lt;Visualisation!$D$1),MAX($V$1:V2608)+1,"")</f>
        <v/>
      </c>
    </row>
    <row r="2610" spans="1:22" x14ac:dyDescent="0.25">
      <c r="A2610" s="9"/>
      <c r="E2610" s="10"/>
      <c r="K2610" s="11" t="str">
        <f>IF($E2610="","",ROUND($E2610*IF(ISNA(MATCH($C2610,'Paramètres'!$D:$D,0)),1,IF(INDEX('Paramètres'!$J:$J,MATCH($C2610,'Paramètres'!$D:$D,0))="",1,INDEX('Paramètres'!$J:$J,MATCH($C2610,'Paramètres'!$D:$D,0)))),2))</f>
        <v/>
      </c>
      <c r="L2610" s="6" t="str">
        <f>IF($D2610="","",IF($F2610&lt;&gt;"",$F2610,IF(ISNA(MATCH($D2610,'Paramètres'!$M:$M,0)),"⚠ Type inconnu",IFERROR(INDEX('Paramètres'!$P:$P,MATCH($D2610,'Paramètres'!$M:$M,0))&amp;"",""))))</f>
        <v/>
      </c>
      <c r="M2610" s="6" t="str">
        <f>IF($D2610="","",IF(ISNA(MATCH($D2610,'Paramètres'!$M:$M,0)),"⚠ Type inconnu",IF($L2610="Crédit","",IFERROR(INDEX('Paramètres'!$O:$O,MATCH($D2610,'Paramètres'!$M:$M,0))&amp;"",""))))</f>
        <v/>
      </c>
      <c r="N2610" s="6" t="str">
        <f>IF($D2610="","",IFERROR(INDEX('Paramètres'!$Q:$Q,MATCH($D2610,'Paramètres'!$M:$M,0))&amp;"",""))</f>
        <v/>
      </c>
      <c r="O2610" s="6" t="str">
        <f>IF($A2610="","",IF(OR($J2610&lt;&gt;"x",$A2610&lt;=FinReleve),1,0))</f>
        <v/>
      </c>
      <c r="P2610" s="6" t="str">
        <f>IF($D2610="","",IF(AND($L2610="Crédit",OR(IFERROR(INDEX('Paramètres'!$O:$O,MATCH($D2610,'Paramètres'!$M:$M,0))&amp;"","")&lt;&gt;"",ISNUMBER(SEARCH("remboursement",IFERROR(INDEX('Paramètres'!$N:$N,MATCH($D2610,'Paramètres'!$M:$M,0))&amp;"",""))))),1,0))</f>
        <v/>
      </c>
      <c r="Q2610" s="6" t="str">
        <f>IF($K2610="","",IF(ISNUMBER(SEARCH("transfert-interne",IFERROR(INDEX('Paramètres'!$N:$N,MATCH($D2610,'Paramètres'!$M:$M,0))&amp;"",""))),0,IF($L2610="Débit",$K2610,IF($P2610=1,-$K2610,0))))</f>
        <v/>
      </c>
      <c r="R2610" s="6" t="str">
        <f>IF($K2610="","",IF($L2610="Crédit",$K2610,-$K2610))</f>
        <v/>
      </c>
      <c r="S2610" s="6" t="str">
        <f>IF($C2610="","",IFERROR(INDEX('Paramètres'!$H:$H,MATCH($C2610,'Paramètres'!$D:$D,0))&amp;"",""))</f>
        <v/>
      </c>
      <c r="T2610" s="6" t="str">
        <f>IF($K2610="","",IF($S2610="",0,IF(ISNUMBER(SEARCH("apport-exterieur",IFERROR(INDEX('Paramètres'!$N:$N,MATCH($D2610,'Paramètres'!$M:$M,0))&amp;"",""))),0,IF(OR(IFERROR(INDEX('Paramètres'!$I:$I,MATCH($C2610,'Paramètres'!$D:$D,0))&amp;"","")="Les deux",IFERROR(INDEX('Paramètres'!$I:$I,MATCH($C2610,'Paramètres'!$D:$D,0))&amp;"","")=IF($P2610=1,"Débit",$L2610)),-IF($P2610=1,-$K2610,$K2610),0))))</f>
        <v/>
      </c>
      <c r="U2610" s="6" t="str">
        <f>IF($K2610="","",IF(ISNUMBER(SEARCH("sortie-epargne",IFERROR(INDEX('Paramètres'!$N:$N,MATCH($D2610,'Paramètres'!$M:$M,0))&amp;"",""))),$K2610,0))</f>
        <v/>
      </c>
      <c r="V2610" s="6" t="str">
        <f>IF(AND($A2610&lt;&gt;"",$O2610=1,$L2610="Débit",N($Q2610)&gt;0,$A2610&gt;=Visualisation!$B$1,$A2610&lt;Visualisation!$D$1),MAX($V$1:V2609)+1,"")</f>
        <v/>
      </c>
    </row>
    <row r="2611" spans="1:22" x14ac:dyDescent="0.25">
      <c r="A2611" s="9"/>
      <c r="E2611" s="10"/>
      <c r="K2611" s="11" t="str">
        <f>IF($E2611="","",ROUND($E2611*IF(ISNA(MATCH($C2611,'Paramètres'!$D:$D,0)),1,IF(INDEX('Paramètres'!$J:$J,MATCH($C2611,'Paramètres'!$D:$D,0))="",1,INDEX('Paramètres'!$J:$J,MATCH($C2611,'Paramètres'!$D:$D,0)))),2))</f>
        <v/>
      </c>
      <c r="L2611" s="6" t="str">
        <f>IF($D2611="","",IF($F2611&lt;&gt;"",$F2611,IF(ISNA(MATCH($D2611,'Paramètres'!$M:$M,0)),"⚠ Type inconnu",IFERROR(INDEX('Paramètres'!$P:$P,MATCH($D2611,'Paramètres'!$M:$M,0))&amp;"",""))))</f>
        <v/>
      </c>
      <c r="M2611" s="6" t="str">
        <f>IF($D2611="","",IF(ISNA(MATCH($D2611,'Paramètres'!$M:$M,0)),"⚠ Type inconnu",IF($L2611="Crédit","",IFERROR(INDEX('Paramètres'!$O:$O,MATCH($D2611,'Paramètres'!$M:$M,0))&amp;"",""))))</f>
        <v/>
      </c>
      <c r="N2611" s="6" t="str">
        <f>IF($D2611="","",IFERROR(INDEX('Paramètres'!$Q:$Q,MATCH($D2611,'Paramètres'!$M:$M,0))&amp;"",""))</f>
        <v/>
      </c>
      <c r="O2611" s="6" t="str">
        <f>IF($A2611="","",IF(OR($J2611&lt;&gt;"x",$A2611&lt;=FinReleve),1,0))</f>
        <v/>
      </c>
      <c r="P2611" s="6" t="str">
        <f>IF($D2611="","",IF(AND($L2611="Crédit",OR(IFERROR(INDEX('Paramètres'!$O:$O,MATCH($D2611,'Paramètres'!$M:$M,0))&amp;"","")&lt;&gt;"",ISNUMBER(SEARCH("remboursement",IFERROR(INDEX('Paramètres'!$N:$N,MATCH($D2611,'Paramètres'!$M:$M,0))&amp;"",""))))),1,0))</f>
        <v/>
      </c>
      <c r="Q2611" s="6" t="str">
        <f>IF($K2611="","",IF(ISNUMBER(SEARCH("transfert-interne",IFERROR(INDEX('Paramètres'!$N:$N,MATCH($D2611,'Paramètres'!$M:$M,0))&amp;"",""))),0,IF($L2611="Débit",$K2611,IF($P2611=1,-$K2611,0))))</f>
        <v/>
      </c>
      <c r="R2611" s="6" t="str">
        <f>IF($K2611="","",IF($L2611="Crédit",$K2611,-$K2611))</f>
        <v/>
      </c>
      <c r="S2611" s="6" t="str">
        <f>IF($C2611="","",IFERROR(INDEX('Paramètres'!$H:$H,MATCH($C2611,'Paramètres'!$D:$D,0))&amp;"",""))</f>
        <v/>
      </c>
      <c r="T2611" s="6" t="str">
        <f>IF($K2611="","",IF($S2611="",0,IF(ISNUMBER(SEARCH("apport-exterieur",IFERROR(INDEX('Paramètres'!$N:$N,MATCH($D2611,'Paramètres'!$M:$M,0))&amp;"",""))),0,IF(OR(IFERROR(INDEX('Paramètres'!$I:$I,MATCH($C2611,'Paramètres'!$D:$D,0))&amp;"","")="Les deux",IFERROR(INDEX('Paramètres'!$I:$I,MATCH($C2611,'Paramètres'!$D:$D,0))&amp;"","")=IF($P2611=1,"Débit",$L2611)),-IF($P2611=1,-$K2611,$K2611),0))))</f>
        <v/>
      </c>
      <c r="U2611" s="6" t="str">
        <f>IF($K2611="","",IF(ISNUMBER(SEARCH("sortie-epargne",IFERROR(INDEX('Paramètres'!$N:$N,MATCH($D2611,'Paramètres'!$M:$M,0))&amp;"",""))),$K2611,0))</f>
        <v/>
      </c>
      <c r="V2611" s="6" t="str">
        <f>IF(AND($A2611&lt;&gt;"",$O2611=1,$L2611="Débit",N($Q2611)&gt;0,$A2611&gt;=Visualisation!$B$1,$A2611&lt;Visualisation!$D$1),MAX($V$1:V2610)+1,"")</f>
        <v/>
      </c>
    </row>
    <row r="2612" spans="1:22" x14ac:dyDescent="0.25">
      <c r="A2612" s="9"/>
      <c r="E2612" s="10"/>
      <c r="K2612" s="11" t="str">
        <f>IF($E2612="","",ROUND($E2612*IF(ISNA(MATCH($C2612,'Paramètres'!$D:$D,0)),1,IF(INDEX('Paramètres'!$J:$J,MATCH($C2612,'Paramètres'!$D:$D,0))="",1,INDEX('Paramètres'!$J:$J,MATCH($C2612,'Paramètres'!$D:$D,0)))),2))</f>
        <v/>
      </c>
      <c r="L2612" s="6" t="str">
        <f>IF($D2612="","",IF($F2612&lt;&gt;"",$F2612,IF(ISNA(MATCH($D2612,'Paramètres'!$M:$M,0)),"⚠ Type inconnu",IFERROR(INDEX('Paramètres'!$P:$P,MATCH($D2612,'Paramètres'!$M:$M,0))&amp;"",""))))</f>
        <v/>
      </c>
      <c r="M2612" s="6" t="str">
        <f>IF($D2612="","",IF(ISNA(MATCH($D2612,'Paramètres'!$M:$M,0)),"⚠ Type inconnu",IF($L2612="Crédit","",IFERROR(INDEX('Paramètres'!$O:$O,MATCH($D2612,'Paramètres'!$M:$M,0))&amp;"",""))))</f>
        <v/>
      </c>
      <c r="N2612" s="6" t="str">
        <f>IF($D2612="","",IFERROR(INDEX('Paramètres'!$Q:$Q,MATCH($D2612,'Paramètres'!$M:$M,0))&amp;"",""))</f>
        <v/>
      </c>
      <c r="O2612" s="6" t="str">
        <f>IF($A2612="","",IF(OR($J2612&lt;&gt;"x",$A2612&lt;=FinReleve),1,0))</f>
        <v/>
      </c>
      <c r="P2612" s="6" t="str">
        <f>IF($D2612="","",IF(AND($L2612="Crédit",OR(IFERROR(INDEX('Paramètres'!$O:$O,MATCH($D2612,'Paramètres'!$M:$M,0))&amp;"","")&lt;&gt;"",ISNUMBER(SEARCH("remboursement",IFERROR(INDEX('Paramètres'!$N:$N,MATCH($D2612,'Paramètres'!$M:$M,0))&amp;"",""))))),1,0))</f>
        <v/>
      </c>
      <c r="Q2612" s="6" t="str">
        <f>IF($K2612="","",IF(ISNUMBER(SEARCH("transfert-interne",IFERROR(INDEX('Paramètres'!$N:$N,MATCH($D2612,'Paramètres'!$M:$M,0))&amp;"",""))),0,IF($L2612="Débit",$K2612,IF($P2612=1,-$K2612,0))))</f>
        <v/>
      </c>
      <c r="R2612" s="6" t="str">
        <f>IF($K2612="","",IF($L2612="Crédit",$K2612,-$K2612))</f>
        <v/>
      </c>
      <c r="S2612" s="6" t="str">
        <f>IF($C2612="","",IFERROR(INDEX('Paramètres'!$H:$H,MATCH($C2612,'Paramètres'!$D:$D,0))&amp;"",""))</f>
        <v/>
      </c>
      <c r="T2612" s="6" t="str">
        <f>IF($K2612="","",IF($S2612="",0,IF(ISNUMBER(SEARCH("apport-exterieur",IFERROR(INDEX('Paramètres'!$N:$N,MATCH($D2612,'Paramètres'!$M:$M,0))&amp;"",""))),0,IF(OR(IFERROR(INDEX('Paramètres'!$I:$I,MATCH($C2612,'Paramètres'!$D:$D,0))&amp;"","")="Les deux",IFERROR(INDEX('Paramètres'!$I:$I,MATCH($C2612,'Paramètres'!$D:$D,0))&amp;"","")=IF($P2612=1,"Débit",$L2612)),-IF($P2612=1,-$K2612,$K2612),0))))</f>
        <v/>
      </c>
      <c r="U2612" s="6" t="str">
        <f>IF($K2612="","",IF(ISNUMBER(SEARCH("sortie-epargne",IFERROR(INDEX('Paramètres'!$N:$N,MATCH($D2612,'Paramètres'!$M:$M,0))&amp;"",""))),$K2612,0))</f>
        <v/>
      </c>
      <c r="V2612" s="6" t="str">
        <f>IF(AND($A2612&lt;&gt;"",$O2612=1,$L2612="Débit",N($Q2612)&gt;0,$A2612&gt;=Visualisation!$B$1,$A2612&lt;Visualisation!$D$1),MAX($V$1:V2611)+1,"")</f>
        <v/>
      </c>
    </row>
    <row r="2613" spans="1:22" x14ac:dyDescent="0.25">
      <c r="A2613" s="9"/>
      <c r="E2613" s="10"/>
      <c r="K2613" s="11" t="str">
        <f>IF($E2613="","",ROUND($E2613*IF(ISNA(MATCH($C2613,'Paramètres'!$D:$D,0)),1,IF(INDEX('Paramètres'!$J:$J,MATCH($C2613,'Paramètres'!$D:$D,0))="",1,INDEX('Paramètres'!$J:$J,MATCH($C2613,'Paramètres'!$D:$D,0)))),2))</f>
        <v/>
      </c>
      <c r="L2613" s="6" t="str">
        <f>IF($D2613="","",IF($F2613&lt;&gt;"",$F2613,IF(ISNA(MATCH($D2613,'Paramètres'!$M:$M,0)),"⚠ Type inconnu",IFERROR(INDEX('Paramètres'!$P:$P,MATCH($D2613,'Paramètres'!$M:$M,0))&amp;"",""))))</f>
        <v/>
      </c>
      <c r="M2613" s="6" t="str">
        <f>IF($D2613="","",IF(ISNA(MATCH($D2613,'Paramètres'!$M:$M,0)),"⚠ Type inconnu",IF($L2613="Crédit","",IFERROR(INDEX('Paramètres'!$O:$O,MATCH($D2613,'Paramètres'!$M:$M,0))&amp;"",""))))</f>
        <v/>
      </c>
      <c r="N2613" s="6" t="str">
        <f>IF($D2613="","",IFERROR(INDEX('Paramètres'!$Q:$Q,MATCH($D2613,'Paramètres'!$M:$M,0))&amp;"",""))</f>
        <v/>
      </c>
      <c r="O2613" s="6" t="str">
        <f>IF($A2613="","",IF(OR($J2613&lt;&gt;"x",$A2613&lt;=FinReleve),1,0))</f>
        <v/>
      </c>
      <c r="P2613" s="6" t="str">
        <f>IF($D2613="","",IF(AND($L2613="Crédit",OR(IFERROR(INDEX('Paramètres'!$O:$O,MATCH($D2613,'Paramètres'!$M:$M,0))&amp;"","")&lt;&gt;"",ISNUMBER(SEARCH("remboursement",IFERROR(INDEX('Paramètres'!$N:$N,MATCH($D2613,'Paramètres'!$M:$M,0))&amp;"",""))))),1,0))</f>
        <v/>
      </c>
      <c r="Q2613" s="6" t="str">
        <f>IF($K2613="","",IF(ISNUMBER(SEARCH("transfert-interne",IFERROR(INDEX('Paramètres'!$N:$N,MATCH($D2613,'Paramètres'!$M:$M,0))&amp;"",""))),0,IF($L2613="Débit",$K2613,IF($P2613=1,-$K2613,0))))</f>
        <v/>
      </c>
      <c r="R2613" s="6" t="str">
        <f>IF($K2613="","",IF($L2613="Crédit",$K2613,-$K2613))</f>
        <v/>
      </c>
      <c r="S2613" s="6" t="str">
        <f>IF($C2613="","",IFERROR(INDEX('Paramètres'!$H:$H,MATCH($C2613,'Paramètres'!$D:$D,0))&amp;"",""))</f>
        <v/>
      </c>
      <c r="T2613" s="6" t="str">
        <f>IF($K2613="","",IF($S2613="",0,IF(ISNUMBER(SEARCH("apport-exterieur",IFERROR(INDEX('Paramètres'!$N:$N,MATCH($D2613,'Paramètres'!$M:$M,0))&amp;"",""))),0,IF(OR(IFERROR(INDEX('Paramètres'!$I:$I,MATCH($C2613,'Paramètres'!$D:$D,0))&amp;"","")="Les deux",IFERROR(INDEX('Paramètres'!$I:$I,MATCH($C2613,'Paramètres'!$D:$D,0))&amp;"","")=IF($P2613=1,"Débit",$L2613)),-IF($P2613=1,-$K2613,$K2613),0))))</f>
        <v/>
      </c>
      <c r="U2613" s="6" t="str">
        <f>IF($K2613="","",IF(ISNUMBER(SEARCH("sortie-epargne",IFERROR(INDEX('Paramètres'!$N:$N,MATCH($D2613,'Paramètres'!$M:$M,0))&amp;"",""))),$K2613,0))</f>
        <v/>
      </c>
      <c r="V2613" s="6" t="str">
        <f>IF(AND($A2613&lt;&gt;"",$O2613=1,$L2613="Débit",N($Q2613)&gt;0,$A2613&gt;=Visualisation!$B$1,$A2613&lt;Visualisation!$D$1),MAX($V$1:V2612)+1,"")</f>
        <v/>
      </c>
    </row>
    <row r="2614" spans="1:22" x14ac:dyDescent="0.25">
      <c r="A2614" s="9"/>
      <c r="E2614" s="10"/>
      <c r="K2614" s="11" t="str">
        <f>IF($E2614="","",ROUND($E2614*IF(ISNA(MATCH($C2614,'Paramètres'!$D:$D,0)),1,IF(INDEX('Paramètres'!$J:$J,MATCH($C2614,'Paramètres'!$D:$D,0))="",1,INDEX('Paramètres'!$J:$J,MATCH($C2614,'Paramètres'!$D:$D,0)))),2))</f>
        <v/>
      </c>
      <c r="L2614" s="6" t="str">
        <f>IF($D2614="","",IF($F2614&lt;&gt;"",$F2614,IF(ISNA(MATCH($D2614,'Paramètres'!$M:$M,0)),"⚠ Type inconnu",IFERROR(INDEX('Paramètres'!$P:$P,MATCH($D2614,'Paramètres'!$M:$M,0))&amp;"",""))))</f>
        <v/>
      </c>
      <c r="M2614" s="6" t="str">
        <f>IF($D2614="","",IF(ISNA(MATCH($D2614,'Paramètres'!$M:$M,0)),"⚠ Type inconnu",IF($L2614="Crédit","",IFERROR(INDEX('Paramètres'!$O:$O,MATCH($D2614,'Paramètres'!$M:$M,0))&amp;"",""))))</f>
        <v/>
      </c>
      <c r="N2614" s="6" t="str">
        <f>IF($D2614="","",IFERROR(INDEX('Paramètres'!$Q:$Q,MATCH($D2614,'Paramètres'!$M:$M,0))&amp;"",""))</f>
        <v/>
      </c>
      <c r="O2614" s="6" t="str">
        <f>IF($A2614="","",IF(OR($J2614&lt;&gt;"x",$A2614&lt;=FinReleve),1,0))</f>
        <v/>
      </c>
      <c r="P2614" s="6" t="str">
        <f>IF($D2614="","",IF(AND($L2614="Crédit",OR(IFERROR(INDEX('Paramètres'!$O:$O,MATCH($D2614,'Paramètres'!$M:$M,0))&amp;"","")&lt;&gt;"",ISNUMBER(SEARCH("remboursement",IFERROR(INDEX('Paramètres'!$N:$N,MATCH($D2614,'Paramètres'!$M:$M,0))&amp;"",""))))),1,0))</f>
        <v/>
      </c>
      <c r="Q2614" s="6" t="str">
        <f>IF($K2614="","",IF(ISNUMBER(SEARCH("transfert-interne",IFERROR(INDEX('Paramètres'!$N:$N,MATCH($D2614,'Paramètres'!$M:$M,0))&amp;"",""))),0,IF($L2614="Débit",$K2614,IF($P2614=1,-$K2614,0))))</f>
        <v/>
      </c>
      <c r="R2614" s="6" t="str">
        <f>IF($K2614="","",IF($L2614="Crédit",$K2614,-$K2614))</f>
        <v/>
      </c>
      <c r="S2614" s="6" t="str">
        <f>IF($C2614="","",IFERROR(INDEX('Paramètres'!$H:$H,MATCH($C2614,'Paramètres'!$D:$D,0))&amp;"",""))</f>
        <v/>
      </c>
      <c r="T2614" s="6" t="str">
        <f>IF($K2614="","",IF($S2614="",0,IF(ISNUMBER(SEARCH("apport-exterieur",IFERROR(INDEX('Paramètres'!$N:$N,MATCH($D2614,'Paramètres'!$M:$M,0))&amp;"",""))),0,IF(OR(IFERROR(INDEX('Paramètres'!$I:$I,MATCH($C2614,'Paramètres'!$D:$D,0))&amp;"","")="Les deux",IFERROR(INDEX('Paramètres'!$I:$I,MATCH($C2614,'Paramètres'!$D:$D,0))&amp;"","")=IF($P2614=1,"Débit",$L2614)),-IF($P2614=1,-$K2614,$K2614),0))))</f>
        <v/>
      </c>
      <c r="U2614" s="6" t="str">
        <f>IF($K2614="","",IF(ISNUMBER(SEARCH("sortie-epargne",IFERROR(INDEX('Paramètres'!$N:$N,MATCH($D2614,'Paramètres'!$M:$M,0))&amp;"",""))),$K2614,0))</f>
        <v/>
      </c>
      <c r="V2614" s="6" t="str">
        <f>IF(AND($A2614&lt;&gt;"",$O2614=1,$L2614="Débit",N($Q2614)&gt;0,$A2614&gt;=Visualisation!$B$1,$A2614&lt;Visualisation!$D$1),MAX($V$1:V2613)+1,"")</f>
        <v/>
      </c>
    </row>
    <row r="2615" spans="1:22" x14ac:dyDescent="0.25">
      <c r="A2615" s="9"/>
      <c r="E2615" s="10"/>
      <c r="K2615" s="11" t="str">
        <f>IF($E2615="","",ROUND($E2615*IF(ISNA(MATCH($C2615,'Paramètres'!$D:$D,0)),1,IF(INDEX('Paramètres'!$J:$J,MATCH($C2615,'Paramètres'!$D:$D,0))="",1,INDEX('Paramètres'!$J:$J,MATCH($C2615,'Paramètres'!$D:$D,0)))),2))</f>
        <v/>
      </c>
      <c r="L2615" s="6" t="str">
        <f>IF($D2615="","",IF($F2615&lt;&gt;"",$F2615,IF(ISNA(MATCH($D2615,'Paramètres'!$M:$M,0)),"⚠ Type inconnu",IFERROR(INDEX('Paramètres'!$P:$P,MATCH($D2615,'Paramètres'!$M:$M,0))&amp;"",""))))</f>
        <v/>
      </c>
      <c r="M2615" s="6" t="str">
        <f>IF($D2615="","",IF(ISNA(MATCH($D2615,'Paramètres'!$M:$M,0)),"⚠ Type inconnu",IF($L2615="Crédit","",IFERROR(INDEX('Paramètres'!$O:$O,MATCH($D2615,'Paramètres'!$M:$M,0))&amp;"",""))))</f>
        <v/>
      </c>
      <c r="N2615" s="6" t="str">
        <f>IF($D2615="","",IFERROR(INDEX('Paramètres'!$Q:$Q,MATCH($D2615,'Paramètres'!$M:$M,0))&amp;"",""))</f>
        <v/>
      </c>
      <c r="O2615" s="6" t="str">
        <f>IF($A2615="","",IF(OR($J2615&lt;&gt;"x",$A2615&lt;=FinReleve),1,0))</f>
        <v/>
      </c>
      <c r="P2615" s="6" t="str">
        <f>IF($D2615="","",IF(AND($L2615="Crédit",OR(IFERROR(INDEX('Paramètres'!$O:$O,MATCH($D2615,'Paramètres'!$M:$M,0))&amp;"","")&lt;&gt;"",ISNUMBER(SEARCH("remboursement",IFERROR(INDEX('Paramètres'!$N:$N,MATCH($D2615,'Paramètres'!$M:$M,0))&amp;"",""))))),1,0))</f>
        <v/>
      </c>
      <c r="Q2615" s="6" t="str">
        <f>IF($K2615="","",IF(ISNUMBER(SEARCH("transfert-interne",IFERROR(INDEX('Paramètres'!$N:$N,MATCH($D2615,'Paramètres'!$M:$M,0))&amp;"",""))),0,IF($L2615="Débit",$K2615,IF($P2615=1,-$K2615,0))))</f>
        <v/>
      </c>
      <c r="R2615" s="6" t="str">
        <f>IF($K2615="","",IF($L2615="Crédit",$K2615,-$K2615))</f>
        <v/>
      </c>
      <c r="S2615" s="6" t="str">
        <f>IF($C2615="","",IFERROR(INDEX('Paramètres'!$H:$H,MATCH($C2615,'Paramètres'!$D:$D,0))&amp;"",""))</f>
        <v/>
      </c>
      <c r="T2615" s="6" t="str">
        <f>IF($K2615="","",IF($S2615="",0,IF(ISNUMBER(SEARCH("apport-exterieur",IFERROR(INDEX('Paramètres'!$N:$N,MATCH($D2615,'Paramètres'!$M:$M,0))&amp;"",""))),0,IF(OR(IFERROR(INDEX('Paramètres'!$I:$I,MATCH($C2615,'Paramètres'!$D:$D,0))&amp;"","")="Les deux",IFERROR(INDEX('Paramètres'!$I:$I,MATCH($C2615,'Paramètres'!$D:$D,0))&amp;"","")=IF($P2615=1,"Débit",$L2615)),-IF($P2615=1,-$K2615,$K2615),0))))</f>
        <v/>
      </c>
      <c r="U2615" s="6" t="str">
        <f>IF($K2615="","",IF(ISNUMBER(SEARCH("sortie-epargne",IFERROR(INDEX('Paramètres'!$N:$N,MATCH($D2615,'Paramètres'!$M:$M,0))&amp;"",""))),$K2615,0))</f>
        <v/>
      </c>
      <c r="V2615" s="6" t="str">
        <f>IF(AND($A2615&lt;&gt;"",$O2615=1,$L2615="Débit",N($Q2615)&gt;0,$A2615&gt;=Visualisation!$B$1,$A2615&lt;Visualisation!$D$1),MAX($V$1:V2614)+1,"")</f>
        <v/>
      </c>
    </row>
    <row r="2616" spans="1:22" x14ac:dyDescent="0.25">
      <c r="A2616" s="9"/>
      <c r="E2616" s="10"/>
      <c r="K2616" s="11" t="str">
        <f>IF($E2616="","",ROUND($E2616*IF(ISNA(MATCH($C2616,'Paramètres'!$D:$D,0)),1,IF(INDEX('Paramètres'!$J:$J,MATCH($C2616,'Paramètres'!$D:$D,0))="",1,INDEX('Paramètres'!$J:$J,MATCH($C2616,'Paramètres'!$D:$D,0)))),2))</f>
        <v/>
      </c>
      <c r="L2616" s="6" t="str">
        <f>IF($D2616="","",IF($F2616&lt;&gt;"",$F2616,IF(ISNA(MATCH($D2616,'Paramètres'!$M:$M,0)),"⚠ Type inconnu",IFERROR(INDEX('Paramètres'!$P:$P,MATCH($D2616,'Paramètres'!$M:$M,0))&amp;"",""))))</f>
        <v/>
      </c>
      <c r="M2616" s="6" t="str">
        <f>IF($D2616="","",IF(ISNA(MATCH($D2616,'Paramètres'!$M:$M,0)),"⚠ Type inconnu",IF($L2616="Crédit","",IFERROR(INDEX('Paramètres'!$O:$O,MATCH($D2616,'Paramètres'!$M:$M,0))&amp;"",""))))</f>
        <v/>
      </c>
      <c r="N2616" s="6" t="str">
        <f>IF($D2616="","",IFERROR(INDEX('Paramètres'!$Q:$Q,MATCH($D2616,'Paramètres'!$M:$M,0))&amp;"",""))</f>
        <v/>
      </c>
      <c r="O2616" s="6" t="str">
        <f>IF($A2616="","",IF(OR($J2616&lt;&gt;"x",$A2616&lt;=FinReleve),1,0))</f>
        <v/>
      </c>
      <c r="P2616" s="6" t="str">
        <f>IF($D2616="","",IF(AND($L2616="Crédit",OR(IFERROR(INDEX('Paramètres'!$O:$O,MATCH($D2616,'Paramètres'!$M:$M,0))&amp;"","")&lt;&gt;"",ISNUMBER(SEARCH("remboursement",IFERROR(INDEX('Paramètres'!$N:$N,MATCH($D2616,'Paramètres'!$M:$M,0))&amp;"",""))))),1,0))</f>
        <v/>
      </c>
      <c r="Q2616" s="6" t="str">
        <f>IF($K2616="","",IF(ISNUMBER(SEARCH("transfert-interne",IFERROR(INDEX('Paramètres'!$N:$N,MATCH($D2616,'Paramètres'!$M:$M,0))&amp;"",""))),0,IF($L2616="Débit",$K2616,IF($P2616=1,-$K2616,0))))</f>
        <v/>
      </c>
      <c r="R2616" s="6" t="str">
        <f>IF($K2616="","",IF($L2616="Crédit",$K2616,-$K2616))</f>
        <v/>
      </c>
      <c r="S2616" s="6" t="str">
        <f>IF($C2616="","",IFERROR(INDEX('Paramètres'!$H:$H,MATCH($C2616,'Paramètres'!$D:$D,0))&amp;"",""))</f>
        <v/>
      </c>
      <c r="T2616" s="6" t="str">
        <f>IF($K2616="","",IF($S2616="",0,IF(ISNUMBER(SEARCH("apport-exterieur",IFERROR(INDEX('Paramètres'!$N:$N,MATCH($D2616,'Paramètres'!$M:$M,0))&amp;"",""))),0,IF(OR(IFERROR(INDEX('Paramètres'!$I:$I,MATCH($C2616,'Paramètres'!$D:$D,0))&amp;"","")="Les deux",IFERROR(INDEX('Paramètres'!$I:$I,MATCH($C2616,'Paramètres'!$D:$D,0))&amp;"","")=IF($P2616=1,"Débit",$L2616)),-IF($P2616=1,-$K2616,$K2616),0))))</f>
        <v/>
      </c>
      <c r="U2616" s="6" t="str">
        <f>IF($K2616="","",IF(ISNUMBER(SEARCH("sortie-epargne",IFERROR(INDEX('Paramètres'!$N:$N,MATCH($D2616,'Paramètres'!$M:$M,0))&amp;"",""))),$K2616,0))</f>
        <v/>
      </c>
      <c r="V2616" s="6" t="str">
        <f>IF(AND($A2616&lt;&gt;"",$O2616=1,$L2616="Débit",N($Q2616)&gt;0,$A2616&gt;=Visualisation!$B$1,$A2616&lt;Visualisation!$D$1),MAX($V$1:V2615)+1,"")</f>
        <v/>
      </c>
    </row>
    <row r="2617" spans="1:22" x14ac:dyDescent="0.25">
      <c r="A2617" s="9"/>
      <c r="E2617" s="10"/>
      <c r="K2617" s="11" t="str">
        <f>IF($E2617="","",ROUND($E2617*IF(ISNA(MATCH($C2617,'Paramètres'!$D:$D,0)),1,IF(INDEX('Paramètres'!$J:$J,MATCH($C2617,'Paramètres'!$D:$D,0))="",1,INDEX('Paramètres'!$J:$J,MATCH($C2617,'Paramètres'!$D:$D,0)))),2))</f>
        <v/>
      </c>
      <c r="L2617" s="6" t="str">
        <f>IF($D2617="","",IF($F2617&lt;&gt;"",$F2617,IF(ISNA(MATCH($D2617,'Paramètres'!$M:$M,0)),"⚠ Type inconnu",IFERROR(INDEX('Paramètres'!$P:$P,MATCH($D2617,'Paramètres'!$M:$M,0))&amp;"",""))))</f>
        <v/>
      </c>
      <c r="M2617" s="6" t="str">
        <f>IF($D2617="","",IF(ISNA(MATCH($D2617,'Paramètres'!$M:$M,0)),"⚠ Type inconnu",IF($L2617="Crédit","",IFERROR(INDEX('Paramètres'!$O:$O,MATCH($D2617,'Paramètres'!$M:$M,0))&amp;"",""))))</f>
        <v/>
      </c>
      <c r="N2617" s="6" t="str">
        <f>IF($D2617="","",IFERROR(INDEX('Paramètres'!$Q:$Q,MATCH($D2617,'Paramètres'!$M:$M,0))&amp;"",""))</f>
        <v/>
      </c>
      <c r="O2617" s="6" t="str">
        <f>IF($A2617="","",IF(OR($J2617&lt;&gt;"x",$A2617&lt;=FinReleve),1,0))</f>
        <v/>
      </c>
      <c r="P2617" s="6" t="str">
        <f>IF($D2617="","",IF(AND($L2617="Crédit",OR(IFERROR(INDEX('Paramètres'!$O:$O,MATCH($D2617,'Paramètres'!$M:$M,0))&amp;"","")&lt;&gt;"",ISNUMBER(SEARCH("remboursement",IFERROR(INDEX('Paramètres'!$N:$N,MATCH($D2617,'Paramètres'!$M:$M,0))&amp;"",""))))),1,0))</f>
        <v/>
      </c>
      <c r="Q2617" s="6" t="str">
        <f>IF($K2617="","",IF(ISNUMBER(SEARCH("transfert-interne",IFERROR(INDEX('Paramètres'!$N:$N,MATCH($D2617,'Paramètres'!$M:$M,0))&amp;"",""))),0,IF($L2617="Débit",$K2617,IF($P2617=1,-$K2617,0))))</f>
        <v/>
      </c>
      <c r="R2617" s="6" t="str">
        <f>IF($K2617="","",IF($L2617="Crédit",$K2617,-$K2617))</f>
        <v/>
      </c>
      <c r="S2617" s="6" t="str">
        <f>IF($C2617="","",IFERROR(INDEX('Paramètres'!$H:$H,MATCH($C2617,'Paramètres'!$D:$D,0))&amp;"",""))</f>
        <v/>
      </c>
      <c r="T2617" s="6" t="str">
        <f>IF($K2617="","",IF($S2617="",0,IF(ISNUMBER(SEARCH("apport-exterieur",IFERROR(INDEX('Paramètres'!$N:$N,MATCH($D2617,'Paramètres'!$M:$M,0))&amp;"",""))),0,IF(OR(IFERROR(INDEX('Paramètres'!$I:$I,MATCH($C2617,'Paramètres'!$D:$D,0))&amp;"","")="Les deux",IFERROR(INDEX('Paramètres'!$I:$I,MATCH($C2617,'Paramètres'!$D:$D,0))&amp;"","")=IF($P2617=1,"Débit",$L2617)),-IF($P2617=1,-$K2617,$K2617),0))))</f>
        <v/>
      </c>
      <c r="U2617" s="6" t="str">
        <f>IF($K2617="","",IF(ISNUMBER(SEARCH("sortie-epargne",IFERROR(INDEX('Paramètres'!$N:$N,MATCH($D2617,'Paramètres'!$M:$M,0))&amp;"",""))),$K2617,0))</f>
        <v/>
      </c>
      <c r="V2617" s="6" t="str">
        <f>IF(AND($A2617&lt;&gt;"",$O2617=1,$L2617="Débit",N($Q2617)&gt;0,$A2617&gt;=Visualisation!$B$1,$A2617&lt;Visualisation!$D$1),MAX($V$1:V2616)+1,"")</f>
        <v/>
      </c>
    </row>
    <row r="2618" spans="1:22" x14ac:dyDescent="0.25">
      <c r="A2618" s="9"/>
      <c r="E2618" s="10"/>
      <c r="K2618" s="11" t="str">
        <f>IF($E2618="","",ROUND($E2618*IF(ISNA(MATCH($C2618,'Paramètres'!$D:$D,0)),1,IF(INDEX('Paramètres'!$J:$J,MATCH($C2618,'Paramètres'!$D:$D,0))="",1,INDEX('Paramètres'!$J:$J,MATCH($C2618,'Paramètres'!$D:$D,0)))),2))</f>
        <v/>
      </c>
      <c r="L2618" s="6" t="str">
        <f>IF($D2618="","",IF($F2618&lt;&gt;"",$F2618,IF(ISNA(MATCH($D2618,'Paramètres'!$M:$M,0)),"⚠ Type inconnu",IFERROR(INDEX('Paramètres'!$P:$P,MATCH($D2618,'Paramètres'!$M:$M,0))&amp;"",""))))</f>
        <v/>
      </c>
      <c r="M2618" s="6" t="str">
        <f>IF($D2618="","",IF(ISNA(MATCH($D2618,'Paramètres'!$M:$M,0)),"⚠ Type inconnu",IF($L2618="Crédit","",IFERROR(INDEX('Paramètres'!$O:$O,MATCH($D2618,'Paramètres'!$M:$M,0))&amp;"",""))))</f>
        <v/>
      </c>
      <c r="N2618" s="6" t="str">
        <f>IF($D2618="","",IFERROR(INDEX('Paramètres'!$Q:$Q,MATCH($D2618,'Paramètres'!$M:$M,0))&amp;"",""))</f>
        <v/>
      </c>
      <c r="O2618" s="6" t="str">
        <f>IF($A2618="","",IF(OR($J2618&lt;&gt;"x",$A2618&lt;=FinReleve),1,0))</f>
        <v/>
      </c>
      <c r="P2618" s="6" t="str">
        <f>IF($D2618="","",IF(AND($L2618="Crédit",OR(IFERROR(INDEX('Paramètres'!$O:$O,MATCH($D2618,'Paramètres'!$M:$M,0))&amp;"","")&lt;&gt;"",ISNUMBER(SEARCH("remboursement",IFERROR(INDEX('Paramètres'!$N:$N,MATCH($D2618,'Paramètres'!$M:$M,0))&amp;"",""))))),1,0))</f>
        <v/>
      </c>
      <c r="Q2618" s="6" t="str">
        <f>IF($K2618="","",IF(ISNUMBER(SEARCH("transfert-interne",IFERROR(INDEX('Paramètres'!$N:$N,MATCH($D2618,'Paramètres'!$M:$M,0))&amp;"",""))),0,IF($L2618="Débit",$K2618,IF($P2618=1,-$K2618,0))))</f>
        <v/>
      </c>
      <c r="R2618" s="6" t="str">
        <f>IF($K2618="","",IF($L2618="Crédit",$K2618,-$K2618))</f>
        <v/>
      </c>
      <c r="S2618" s="6" t="str">
        <f>IF($C2618="","",IFERROR(INDEX('Paramètres'!$H:$H,MATCH($C2618,'Paramètres'!$D:$D,0))&amp;"",""))</f>
        <v/>
      </c>
      <c r="T2618" s="6" t="str">
        <f>IF($K2618="","",IF($S2618="",0,IF(ISNUMBER(SEARCH("apport-exterieur",IFERROR(INDEX('Paramètres'!$N:$N,MATCH($D2618,'Paramètres'!$M:$M,0))&amp;"",""))),0,IF(OR(IFERROR(INDEX('Paramètres'!$I:$I,MATCH($C2618,'Paramètres'!$D:$D,0))&amp;"","")="Les deux",IFERROR(INDEX('Paramètres'!$I:$I,MATCH($C2618,'Paramètres'!$D:$D,0))&amp;"","")=IF($P2618=1,"Débit",$L2618)),-IF($P2618=1,-$K2618,$K2618),0))))</f>
        <v/>
      </c>
      <c r="U2618" s="6" t="str">
        <f>IF($K2618="","",IF(ISNUMBER(SEARCH("sortie-epargne",IFERROR(INDEX('Paramètres'!$N:$N,MATCH($D2618,'Paramètres'!$M:$M,0))&amp;"",""))),$K2618,0))</f>
        <v/>
      </c>
      <c r="V2618" s="6" t="str">
        <f>IF(AND($A2618&lt;&gt;"",$O2618=1,$L2618="Débit",N($Q2618)&gt;0,$A2618&gt;=Visualisation!$B$1,$A2618&lt;Visualisation!$D$1),MAX($V$1:V2617)+1,"")</f>
        <v/>
      </c>
    </row>
    <row r="2619" spans="1:22" x14ac:dyDescent="0.25">
      <c r="A2619" s="9"/>
      <c r="E2619" s="10"/>
      <c r="K2619" s="11" t="str">
        <f>IF($E2619="","",ROUND($E2619*IF(ISNA(MATCH($C2619,'Paramètres'!$D:$D,0)),1,IF(INDEX('Paramètres'!$J:$J,MATCH($C2619,'Paramètres'!$D:$D,0))="",1,INDEX('Paramètres'!$J:$J,MATCH($C2619,'Paramètres'!$D:$D,0)))),2))</f>
        <v/>
      </c>
      <c r="L2619" s="6" t="str">
        <f>IF($D2619="","",IF($F2619&lt;&gt;"",$F2619,IF(ISNA(MATCH($D2619,'Paramètres'!$M:$M,0)),"⚠ Type inconnu",IFERROR(INDEX('Paramètres'!$P:$P,MATCH($D2619,'Paramètres'!$M:$M,0))&amp;"",""))))</f>
        <v/>
      </c>
      <c r="M2619" s="6" t="str">
        <f>IF($D2619="","",IF(ISNA(MATCH($D2619,'Paramètres'!$M:$M,0)),"⚠ Type inconnu",IF($L2619="Crédit","",IFERROR(INDEX('Paramètres'!$O:$O,MATCH($D2619,'Paramètres'!$M:$M,0))&amp;"",""))))</f>
        <v/>
      </c>
      <c r="N2619" s="6" t="str">
        <f>IF($D2619="","",IFERROR(INDEX('Paramètres'!$Q:$Q,MATCH($D2619,'Paramètres'!$M:$M,0))&amp;"",""))</f>
        <v/>
      </c>
      <c r="O2619" s="6" t="str">
        <f>IF($A2619="","",IF(OR($J2619&lt;&gt;"x",$A2619&lt;=FinReleve),1,0))</f>
        <v/>
      </c>
      <c r="P2619" s="6" t="str">
        <f>IF($D2619="","",IF(AND($L2619="Crédit",OR(IFERROR(INDEX('Paramètres'!$O:$O,MATCH($D2619,'Paramètres'!$M:$M,0))&amp;"","")&lt;&gt;"",ISNUMBER(SEARCH("remboursement",IFERROR(INDEX('Paramètres'!$N:$N,MATCH($D2619,'Paramètres'!$M:$M,0))&amp;"",""))))),1,0))</f>
        <v/>
      </c>
      <c r="Q2619" s="6" t="str">
        <f>IF($K2619="","",IF(ISNUMBER(SEARCH("transfert-interne",IFERROR(INDEX('Paramètres'!$N:$N,MATCH($D2619,'Paramètres'!$M:$M,0))&amp;"",""))),0,IF($L2619="Débit",$K2619,IF($P2619=1,-$K2619,0))))</f>
        <v/>
      </c>
      <c r="R2619" s="6" t="str">
        <f>IF($K2619="","",IF($L2619="Crédit",$K2619,-$K2619))</f>
        <v/>
      </c>
      <c r="S2619" s="6" t="str">
        <f>IF($C2619="","",IFERROR(INDEX('Paramètres'!$H:$H,MATCH($C2619,'Paramètres'!$D:$D,0))&amp;"",""))</f>
        <v/>
      </c>
      <c r="T2619" s="6" t="str">
        <f>IF($K2619="","",IF($S2619="",0,IF(ISNUMBER(SEARCH("apport-exterieur",IFERROR(INDEX('Paramètres'!$N:$N,MATCH($D2619,'Paramètres'!$M:$M,0))&amp;"",""))),0,IF(OR(IFERROR(INDEX('Paramètres'!$I:$I,MATCH($C2619,'Paramètres'!$D:$D,0))&amp;"","")="Les deux",IFERROR(INDEX('Paramètres'!$I:$I,MATCH($C2619,'Paramètres'!$D:$D,0))&amp;"","")=IF($P2619=1,"Débit",$L2619)),-IF($P2619=1,-$K2619,$K2619),0))))</f>
        <v/>
      </c>
      <c r="U2619" s="6" t="str">
        <f>IF($K2619="","",IF(ISNUMBER(SEARCH("sortie-epargne",IFERROR(INDEX('Paramètres'!$N:$N,MATCH($D2619,'Paramètres'!$M:$M,0))&amp;"",""))),$K2619,0))</f>
        <v/>
      </c>
      <c r="V2619" s="6" t="str">
        <f>IF(AND($A2619&lt;&gt;"",$O2619=1,$L2619="Débit",N($Q2619)&gt;0,$A2619&gt;=Visualisation!$B$1,$A2619&lt;Visualisation!$D$1),MAX($V$1:V2618)+1,"")</f>
        <v/>
      </c>
    </row>
    <row r="2620" spans="1:22" x14ac:dyDescent="0.25">
      <c r="A2620" s="9"/>
      <c r="E2620" s="10"/>
      <c r="K2620" s="11" t="str">
        <f>IF($E2620="","",ROUND($E2620*IF(ISNA(MATCH($C2620,'Paramètres'!$D:$D,0)),1,IF(INDEX('Paramètres'!$J:$J,MATCH($C2620,'Paramètres'!$D:$D,0))="",1,INDEX('Paramètres'!$J:$J,MATCH($C2620,'Paramètres'!$D:$D,0)))),2))</f>
        <v/>
      </c>
      <c r="L2620" s="6" t="str">
        <f>IF($D2620="","",IF($F2620&lt;&gt;"",$F2620,IF(ISNA(MATCH($D2620,'Paramètres'!$M:$M,0)),"⚠ Type inconnu",IFERROR(INDEX('Paramètres'!$P:$P,MATCH($D2620,'Paramètres'!$M:$M,0))&amp;"",""))))</f>
        <v/>
      </c>
      <c r="M2620" s="6" t="str">
        <f>IF($D2620="","",IF(ISNA(MATCH($D2620,'Paramètres'!$M:$M,0)),"⚠ Type inconnu",IF($L2620="Crédit","",IFERROR(INDEX('Paramètres'!$O:$O,MATCH($D2620,'Paramètres'!$M:$M,0))&amp;"",""))))</f>
        <v/>
      </c>
      <c r="N2620" s="6" t="str">
        <f>IF($D2620="","",IFERROR(INDEX('Paramètres'!$Q:$Q,MATCH($D2620,'Paramètres'!$M:$M,0))&amp;"",""))</f>
        <v/>
      </c>
      <c r="O2620" s="6" t="str">
        <f>IF($A2620="","",IF(OR($J2620&lt;&gt;"x",$A2620&lt;=FinReleve),1,0))</f>
        <v/>
      </c>
      <c r="P2620" s="6" t="str">
        <f>IF($D2620="","",IF(AND($L2620="Crédit",OR(IFERROR(INDEX('Paramètres'!$O:$O,MATCH($D2620,'Paramètres'!$M:$M,0))&amp;"","")&lt;&gt;"",ISNUMBER(SEARCH("remboursement",IFERROR(INDEX('Paramètres'!$N:$N,MATCH($D2620,'Paramètres'!$M:$M,0))&amp;"",""))))),1,0))</f>
        <v/>
      </c>
      <c r="Q2620" s="6" t="str">
        <f>IF($K2620="","",IF(ISNUMBER(SEARCH("transfert-interne",IFERROR(INDEX('Paramètres'!$N:$N,MATCH($D2620,'Paramètres'!$M:$M,0))&amp;"",""))),0,IF($L2620="Débit",$K2620,IF($P2620=1,-$K2620,0))))</f>
        <v/>
      </c>
      <c r="R2620" s="6" t="str">
        <f>IF($K2620="","",IF($L2620="Crédit",$K2620,-$K2620))</f>
        <v/>
      </c>
      <c r="S2620" s="6" t="str">
        <f>IF($C2620="","",IFERROR(INDEX('Paramètres'!$H:$H,MATCH($C2620,'Paramètres'!$D:$D,0))&amp;"",""))</f>
        <v/>
      </c>
      <c r="T2620" s="6" t="str">
        <f>IF($K2620="","",IF($S2620="",0,IF(ISNUMBER(SEARCH("apport-exterieur",IFERROR(INDEX('Paramètres'!$N:$N,MATCH($D2620,'Paramètres'!$M:$M,0))&amp;"",""))),0,IF(OR(IFERROR(INDEX('Paramètres'!$I:$I,MATCH($C2620,'Paramètres'!$D:$D,0))&amp;"","")="Les deux",IFERROR(INDEX('Paramètres'!$I:$I,MATCH($C2620,'Paramètres'!$D:$D,0))&amp;"","")=IF($P2620=1,"Débit",$L2620)),-IF($P2620=1,-$K2620,$K2620),0))))</f>
        <v/>
      </c>
      <c r="U2620" s="6" t="str">
        <f>IF($K2620="","",IF(ISNUMBER(SEARCH("sortie-epargne",IFERROR(INDEX('Paramètres'!$N:$N,MATCH($D2620,'Paramètres'!$M:$M,0))&amp;"",""))),$K2620,0))</f>
        <v/>
      </c>
      <c r="V2620" s="6" t="str">
        <f>IF(AND($A2620&lt;&gt;"",$O2620=1,$L2620="Débit",N($Q2620)&gt;0,$A2620&gt;=Visualisation!$B$1,$A2620&lt;Visualisation!$D$1),MAX($V$1:V2619)+1,"")</f>
        <v/>
      </c>
    </row>
    <row r="2621" spans="1:22" x14ac:dyDescent="0.25">
      <c r="A2621" s="9"/>
      <c r="E2621" s="10"/>
      <c r="K2621" s="11" t="str">
        <f>IF($E2621="","",ROUND($E2621*IF(ISNA(MATCH($C2621,'Paramètres'!$D:$D,0)),1,IF(INDEX('Paramètres'!$J:$J,MATCH($C2621,'Paramètres'!$D:$D,0))="",1,INDEX('Paramètres'!$J:$J,MATCH($C2621,'Paramètres'!$D:$D,0)))),2))</f>
        <v/>
      </c>
      <c r="L2621" s="6" t="str">
        <f>IF($D2621="","",IF($F2621&lt;&gt;"",$F2621,IF(ISNA(MATCH($D2621,'Paramètres'!$M:$M,0)),"⚠ Type inconnu",IFERROR(INDEX('Paramètres'!$P:$P,MATCH($D2621,'Paramètres'!$M:$M,0))&amp;"",""))))</f>
        <v/>
      </c>
      <c r="M2621" s="6" t="str">
        <f>IF($D2621="","",IF(ISNA(MATCH($D2621,'Paramètres'!$M:$M,0)),"⚠ Type inconnu",IF($L2621="Crédit","",IFERROR(INDEX('Paramètres'!$O:$O,MATCH($D2621,'Paramètres'!$M:$M,0))&amp;"",""))))</f>
        <v/>
      </c>
      <c r="N2621" s="6" t="str">
        <f>IF($D2621="","",IFERROR(INDEX('Paramètres'!$Q:$Q,MATCH($D2621,'Paramètres'!$M:$M,0))&amp;"",""))</f>
        <v/>
      </c>
      <c r="O2621" s="6" t="str">
        <f>IF($A2621="","",IF(OR($J2621&lt;&gt;"x",$A2621&lt;=FinReleve),1,0))</f>
        <v/>
      </c>
      <c r="P2621" s="6" t="str">
        <f>IF($D2621="","",IF(AND($L2621="Crédit",OR(IFERROR(INDEX('Paramètres'!$O:$O,MATCH($D2621,'Paramètres'!$M:$M,0))&amp;"","")&lt;&gt;"",ISNUMBER(SEARCH("remboursement",IFERROR(INDEX('Paramètres'!$N:$N,MATCH($D2621,'Paramètres'!$M:$M,0))&amp;"",""))))),1,0))</f>
        <v/>
      </c>
      <c r="Q2621" s="6" t="str">
        <f>IF($K2621="","",IF(ISNUMBER(SEARCH("transfert-interne",IFERROR(INDEX('Paramètres'!$N:$N,MATCH($D2621,'Paramètres'!$M:$M,0))&amp;"",""))),0,IF($L2621="Débit",$K2621,IF($P2621=1,-$K2621,0))))</f>
        <v/>
      </c>
      <c r="R2621" s="6" t="str">
        <f>IF($K2621="","",IF($L2621="Crédit",$K2621,-$K2621))</f>
        <v/>
      </c>
      <c r="S2621" s="6" t="str">
        <f>IF($C2621="","",IFERROR(INDEX('Paramètres'!$H:$H,MATCH($C2621,'Paramètres'!$D:$D,0))&amp;"",""))</f>
        <v/>
      </c>
      <c r="T2621" s="6" t="str">
        <f>IF($K2621="","",IF($S2621="",0,IF(ISNUMBER(SEARCH("apport-exterieur",IFERROR(INDEX('Paramètres'!$N:$N,MATCH($D2621,'Paramètres'!$M:$M,0))&amp;"",""))),0,IF(OR(IFERROR(INDEX('Paramètres'!$I:$I,MATCH($C2621,'Paramètres'!$D:$D,0))&amp;"","")="Les deux",IFERROR(INDEX('Paramètres'!$I:$I,MATCH($C2621,'Paramètres'!$D:$D,0))&amp;"","")=IF($P2621=1,"Débit",$L2621)),-IF($P2621=1,-$K2621,$K2621),0))))</f>
        <v/>
      </c>
      <c r="U2621" s="6" t="str">
        <f>IF($K2621="","",IF(ISNUMBER(SEARCH("sortie-epargne",IFERROR(INDEX('Paramètres'!$N:$N,MATCH($D2621,'Paramètres'!$M:$M,0))&amp;"",""))),$K2621,0))</f>
        <v/>
      </c>
      <c r="V2621" s="6" t="str">
        <f>IF(AND($A2621&lt;&gt;"",$O2621=1,$L2621="Débit",N($Q2621)&gt;0,$A2621&gt;=Visualisation!$B$1,$A2621&lt;Visualisation!$D$1),MAX($V$1:V2620)+1,"")</f>
        <v/>
      </c>
    </row>
    <row r="2622" spans="1:22" x14ac:dyDescent="0.25">
      <c r="A2622" s="9"/>
      <c r="E2622" s="10"/>
      <c r="K2622" s="11" t="str">
        <f>IF($E2622="","",ROUND($E2622*IF(ISNA(MATCH($C2622,'Paramètres'!$D:$D,0)),1,IF(INDEX('Paramètres'!$J:$J,MATCH($C2622,'Paramètres'!$D:$D,0))="",1,INDEX('Paramètres'!$J:$J,MATCH($C2622,'Paramètres'!$D:$D,0)))),2))</f>
        <v/>
      </c>
      <c r="L2622" s="6" t="str">
        <f>IF($D2622="","",IF($F2622&lt;&gt;"",$F2622,IF(ISNA(MATCH($D2622,'Paramètres'!$M:$M,0)),"⚠ Type inconnu",IFERROR(INDEX('Paramètres'!$P:$P,MATCH($D2622,'Paramètres'!$M:$M,0))&amp;"",""))))</f>
        <v/>
      </c>
      <c r="M2622" s="6" t="str">
        <f>IF($D2622="","",IF(ISNA(MATCH($D2622,'Paramètres'!$M:$M,0)),"⚠ Type inconnu",IF($L2622="Crédit","",IFERROR(INDEX('Paramètres'!$O:$O,MATCH($D2622,'Paramètres'!$M:$M,0))&amp;"",""))))</f>
        <v/>
      </c>
      <c r="N2622" s="6" t="str">
        <f>IF($D2622="","",IFERROR(INDEX('Paramètres'!$Q:$Q,MATCH($D2622,'Paramètres'!$M:$M,0))&amp;"",""))</f>
        <v/>
      </c>
      <c r="O2622" s="6" t="str">
        <f>IF($A2622="","",IF(OR($J2622&lt;&gt;"x",$A2622&lt;=FinReleve),1,0))</f>
        <v/>
      </c>
      <c r="P2622" s="6" t="str">
        <f>IF($D2622="","",IF(AND($L2622="Crédit",OR(IFERROR(INDEX('Paramètres'!$O:$O,MATCH($D2622,'Paramètres'!$M:$M,0))&amp;"","")&lt;&gt;"",ISNUMBER(SEARCH("remboursement",IFERROR(INDEX('Paramètres'!$N:$N,MATCH($D2622,'Paramètres'!$M:$M,0))&amp;"",""))))),1,0))</f>
        <v/>
      </c>
      <c r="Q2622" s="6" t="str">
        <f>IF($K2622="","",IF(ISNUMBER(SEARCH("transfert-interne",IFERROR(INDEX('Paramètres'!$N:$N,MATCH($D2622,'Paramètres'!$M:$M,0))&amp;"",""))),0,IF($L2622="Débit",$K2622,IF($P2622=1,-$K2622,0))))</f>
        <v/>
      </c>
      <c r="R2622" s="6" t="str">
        <f>IF($K2622="","",IF($L2622="Crédit",$K2622,-$K2622))</f>
        <v/>
      </c>
      <c r="S2622" s="6" t="str">
        <f>IF($C2622="","",IFERROR(INDEX('Paramètres'!$H:$H,MATCH($C2622,'Paramètres'!$D:$D,0))&amp;"",""))</f>
        <v/>
      </c>
      <c r="T2622" s="6" t="str">
        <f>IF($K2622="","",IF($S2622="",0,IF(ISNUMBER(SEARCH("apport-exterieur",IFERROR(INDEX('Paramètres'!$N:$N,MATCH($D2622,'Paramètres'!$M:$M,0))&amp;"",""))),0,IF(OR(IFERROR(INDEX('Paramètres'!$I:$I,MATCH($C2622,'Paramètres'!$D:$D,0))&amp;"","")="Les deux",IFERROR(INDEX('Paramètres'!$I:$I,MATCH($C2622,'Paramètres'!$D:$D,0))&amp;"","")=IF($P2622=1,"Débit",$L2622)),-IF($P2622=1,-$K2622,$K2622),0))))</f>
        <v/>
      </c>
      <c r="U2622" s="6" t="str">
        <f>IF($K2622="","",IF(ISNUMBER(SEARCH("sortie-epargne",IFERROR(INDEX('Paramètres'!$N:$N,MATCH($D2622,'Paramètres'!$M:$M,0))&amp;"",""))),$K2622,0))</f>
        <v/>
      </c>
      <c r="V2622" s="6" t="str">
        <f>IF(AND($A2622&lt;&gt;"",$O2622=1,$L2622="Débit",N($Q2622)&gt;0,$A2622&gt;=Visualisation!$B$1,$A2622&lt;Visualisation!$D$1),MAX($V$1:V2621)+1,"")</f>
        <v/>
      </c>
    </row>
    <row r="2623" spans="1:22" x14ac:dyDescent="0.25">
      <c r="A2623" s="9"/>
      <c r="E2623" s="10"/>
      <c r="K2623" s="11" t="str">
        <f>IF($E2623="","",ROUND($E2623*IF(ISNA(MATCH($C2623,'Paramètres'!$D:$D,0)),1,IF(INDEX('Paramètres'!$J:$J,MATCH($C2623,'Paramètres'!$D:$D,0))="",1,INDEX('Paramètres'!$J:$J,MATCH($C2623,'Paramètres'!$D:$D,0)))),2))</f>
        <v/>
      </c>
      <c r="L2623" s="6" t="str">
        <f>IF($D2623="","",IF($F2623&lt;&gt;"",$F2623,IF(ISNA(MATCH($D2623,'Paramètres'!$M:$M,0)),"⚠ Type inconnu",IFERROR(INDEX('Paramètres'!$P:$P,MATCH($D2623,'Paramètres'!$M:$M,0))&amp;"",""))))</f>
        <v/>
      </c>
      <c r="M2623" s="6" t="str">
        <f>IF($D2623="","",IF(ISNA(MATCH($D2623,'Paramètres'!$M:$M,0)),"⚠ Type inconnu",IF($L2623="Crédit","",IFERROR(INDEX('Paramètres'!$O:$O,MATCH($D2623,'Paramètres'!$M:$M,0))&amp;"",""))))</f>
        <v/>
      </c>
      <c r="N2623" s="6" t="str">
        <f>IF($D2623="","",IFERROR(INDEX('Paramètres'!$Q:$Q,MATCH($D2623,'Paramètres'!$M:$M,0))&amp;"",""))</f>
        <v/>
      </c>
      <c r="O2623" s="6" t="str">
        <f>IF($A2623="","",IF(OR($J2623&lt;&gt;"x",$A2623&lt;=FinReleve),1,0))</f>
        <v/>
      </c>
      <c r="P2623" s="6" t="str">
        <f>IF($D2623="","",IF(AND($L2623="Crédit",OR(IFERROR(INDEX('Paramètres'!$O:$O,MATCH($D2623,'Paramètres'!$M:$M,0))&amp;"","")&lt;&gt;"",ISNUMBER(SEARCH("remboursement",IFERROR(INDEX('Paramètres'!$N:$N,MATCH($D2623,'Paramètres'!$M:$M,0))&amp;"",""))))),1,0))</f>
        <v/>
      </c>
      <c r="Q2623" s="6" t="str">
        <f>IF($K2623="","",IF(ISNUMBER(SEARCH("transfert-interne",IFERROR(INDEX('Paramètres'!$N:$N,MATCH($D2623,'Paramètres'!$M:$M,0))&amp;"",""))),0,IF($L2623="Débit",$K2623,IF($P2623=1,-$K2623,0))))</f>
        <v/>
      </c>
      <c r="R2623" s="6" t="str">
        <f>IF($K2623="","",IF($L2623="Crédit",$K2623,-$K2623))</f>
        <v/>
      </c>
      <c r="S2623" s="6" t="str">
        <f>IF($C2623="","",IFERROR(INDEX('Paramètres'!$H:$H,MATCH($C2623,'Paramètres'!$D:$D,0))&amp;"",""))</f>
        <v/>
      </c>
      <c r="T2623" s="6" t="str">
        <f>IF($K2623="","",IF($S2623="",0,IF(ISNUMBER(SEARCH("apport-exterieur",IFERROR(INDEX('Paramètres'!$N:$N,MATCH($D2623,'Paramètres'!$M:$M,0))&amp;"",""))),0,IF(OR(IFERROR(INDEX('Paramètres'!$I:$I,MATCH($C2623,'Paramètres'!$D:$D,0))&amp;"","")="Les deux",IFERROR(INDEX('Paramètres'!$I:$I,MATCH($C2623,'Paramètres'!$D:$D,0))&amp;"","")=IF($P2623=1,"Débit",$L2623)),-IF($P2623=1,-$K2623,$K2623),0))))</f>
        <v/>
      </c>
      <c r="U2623" s="6" t="str">
        <f>IF($K2623="","",IF(ISNUMBER(SEARCH("sortie-epargne",IFERROR(INDEX('Paramètres'!$N:$N,MATCH($D2623,'Paramètres'!$M:$M,0))&amp;"",""))),$K2623,0))</f>
        <v/>
      </c>
      <c r="V2623" s="6" t="str">
        <f>IF(AND($A2623&lt;&gt;"",$O2623=1,$L2623="Débit",N($Q2623)&gt;0,$A2623&gt;=Visualisation!$B$1,$A2623&lt;Visualisation!$D$1),MAX($V$1:V2622)+1,"")</f>
        <v/>
      </c>
    </row>
    <row r="2624" spans="1:22" x14ac:dyDescent="0.25">
      <c r="A2624" s="9"/>
      <c r="E2624" s="10"/>
      <c r="K2624" s="11" t="str">
        <f>IF($E2624="","",ROUND($E2624*IF(ISNA(MATCH($C2624,'Paramètres'!$D:$D,0)),1,IF(INDEX('Paramètres'!$J:$J,MATCH($C2624,'Paramètres'!$D:$D,0))="",1,INDEX('Paramètres'!$J:$J,MATCH($C2624,'Paramètres'!$D:$D,0)))),2))</f>
        <v/>
      </c>
      <c r="L2624" s="6" t="str">
        <f>IF($D2624="","",IF($F2624&lt;&gt;"",$F2624,IF(ISNA(MATCH($D2624,'Paramètres'!$M:$M,0)),"⚠ Type inconnu",IFERROR(INDEX('Paramètres'!$P:$P,MATCH($D2624,'Paramètres'!$M:$M,0))&amp;"",""))))</f>
        <v/>
      </c>
      <c r="M2624" s="6" t="str">
        <f>IF($D2624="","",IF(ISNA(MATCH($D2624,'Paramètres'!$M:$M,0)),"⚠ Type inconnu",IF($L2624="Crédit","",IFERROR(INDEX('Paramètres'!$O:$O,MATCH($D2624,'Paramètres'!$M:$M,0))&amp;"",""))))</f>
        <v/>
      </c>
      <c r="N2624" s="6" t="str">
        <f>IF($D2624="","",IFERROR(INDEX('Paramètres'!$Q:$Q,MATCH($D2624,'Paramètres'!$M:$M,0))&amp;"",""))</f>
        <v/>
      </c>
      <c r="O2624" s="6" t="str">
        <f>IF($A2624="","",IF(OR($J2624&lt;&gt;"x",$A2624&lt;=FinReleve),1,0))</f>
        <v/>
      </c>
      <c r="P2624" s="6" t="str">
        <f>IF($D2624="","",IF(AND($L2624="Crédit",OR(IFERROR(INDEX('Paramètres'!$O:$O,MATCH($D2624,'Paramètres'!$M:$M,0))&amp;"","")&lt;&gt;"",ISNUMBER(SEARCH("remboursement",IFERROR(INDEX('Paramètres'!$N:$N,MATCH($D2624,'Paramètres'!$M:$M,0))&amp;"",""))))),1,0))</f>
        <v/>
      </c>
      <c r="Q2624" s="6" t="str">
        <f>IF($K2624="","",IF(ISNUMBER(SEARCH("transfert-interne",IFERROR(INDEX('Paramètres'!$N:$N,MATCH($D2624,'Paramètres'!$M:$M,0))&amp;"",""))),0,IF($L2624="Débit",$K2624,IF($P2624=1,-$K2624,0))))</f>
        <v/>
      </c>
      <c r="R2624" s="6" t="str">
        <f>IF($K2624="","",IF($L2624="Crédit",$K2624,-$K2624))</f>
        <v/>
      </c>
      <c r="S2624" s="6" t="str">
        <f>IF($C2624="","",IFERROR(INDEX('Paramètres'!$H:$H,MATCH($C2624,'Paramètres'!$D:$D,0))&amp;"",""))</f>
        <v/>
      </c>
      <c r="T2624" s="6" t="str">
        <f>IF($K2624="","",IF($S2624="",0,IF(ISNUMBER(SEARCH("apport-exterieur",IFERROR(INDEX('Paramètres'!$N:$N,MATCH($D2624,'Paramètres'!$M:$M,0))&amp;"",""))),0,IF(OR(IFERROR(INDEX('Paramètres'!$I:$I,MATCH($C2624,'Paramètres'!$D:$D,0))&amp;"","")="Les deux",IFERROR(INDEX('Paramètres'!$I:$I,MATCH($C2624,'Paramètres'!$D:$D,0))&amp;"","")=IF($P2624=1,"Débit",$L2624)),-IF($P2624=1,-$K2624,$K2624),0))))</f>
        <v/>
      </c>
      <c r="U2624" s="6" t="str">
        <f>IF($K2624="","",IF(ISNUMBER(SEARCH("sortie-epargne",IFERROR(INDEX('Paramètres'!$N:$N,MATCH($D2624,'Paramètres'!$M:$M,0))&amp;"",""))),$K2624,0))</f>
        <v/>
      </c>
      <c r="V2624" s="6" t="str">
        <f>IF(AND($A2624&lt;&gt;"",$O2624=1,$L2624="Débit",N($Q2624)&gt;0,$A2624&gt;=Visualisation!$B$1,$A2624&lt;Visualisation!$D$1),MAX($V$1:V2623)+1,"")</f>
        <v/>
      </c>
    </row>
    <row r="2625" spans="1:22" x14ac:dyDescent="0.25">
      <c r="A2625" s="9"/>
      <c r="E2625" s="10"/>
      <c r="K2625" s="11" t="str">
        <f>IF($E2625="","",ROUND($E2625*IF(ISNA(MATCH($C2625,'Paramètres'!$D:$D,0)),1,IF(INDEX('Paramètres'!$J:$J,MATCH($C2625,'Paramètres'!$D:$D,0))="",1,INDEX('Paramètres'!$J:$J,MATCH($C2625,'Paramètres'!$D:$D,0)))),2))</f>
        <v/>
      </c>
      <c r="L2625" s="6" t="str">
        <f>IF($D2625="","",IF($F2625&lt;&gt;"",$F2625,IF(ISNA(MATCH($D2625,'Paramètres'!$M:$M,0)),"⚠ Type inconnu",IFERROR(INDEX('Paramètres'!$P:$P,MATCH($D2625,'Paramètres'!$M:$M,0))&amp;"",""))))</f>
        <v/>
      </c>
      <c r="M2625" s="6" t="str">
        <f>IF($D2625="","",IF(ISNA(MATCH($D2625,'Paramètres'!$M:$M,0)),"⚠ Type inconnu",IF($L2625="Crédit","",IFERROR(INDEX('Paramètres'!$O:$O,MATCH($D2625,'Paramètres'!$M:$M,0))&amp;"",""))))</f>
        <v/>
      </c>
      <c r="N2625" s="6" t="str">
        <f>IF($D2625="","",IFERROR(INDEX('Paramètres'!$Q:$Q,MATCH($D2625,'Paramètres'!$M:$M,0))&amp;"",""))</f>
        <v/>
      </c>
      <c r="O2625" s="6" t="str">
        <f>IF($A2625="","",IF(OR($J2625&lt;&gt;"x",$A2625&lt;=FinReleve),1,0))</f>
        <v/>
      </c>
      <c r="P2625" s="6" t="str">
        <f>IF($D2625="","",IF(AND($L2625="Crédit",OR(IFERROR(INDEX('Paramètres'!$O:$O,MATCH($D2625,'Paramètres'!$M:$M,0))&amp;"","")&lt;&gt;"",ISNUMBER(SEARCH("remboursement",IFERROR(INDEX('Paramètres'!$N:$N,MATCH($D2625,'Paramètres'!$M:$M,0))&amp;"",""))))),1,0))</f>
        <v/>
      </c>
      <c r="Q2625" s="6" t="str">
        <f>IF($K2625="","",IF(ISNUMBER(SEARCH("transfert-interne",IFERROR(INDEX('Paramètres'!$N:$N,MATCH($D2625,'Paramètres'!$M:$M,0))&amp;"",""))),0,IF($L2625="Débit",$K2625,IF($P2625=1,-$K2625,0))))</f>
        <v/>
      </c>
      <c r="R2625" s="6" t="str">
        <f>IF($K2625="","",IF($L2625="Crédit",$K2625,-$K2625))</f>
        <v/>
      </c>
      <c r="S2625" s="6" t="str">
        <f>IF($C2625="","",IFERROR(INDEX('Paramètres'!$H:$H,MATCH($C2625,'Paramètres'!$D:$D,0))&amp;"",""))</f>
        <v/>
      </c>
      <c r="T2625" s="6" t="str">
        <f>IF($K2625="","",IF($S2625="",0,IF(ISNUMBER(SEARCH("apport-exterieur",IFERROR(INDEX('Paramètres'!$N:$N,MATCH($D2625,'Paramètres'!$M:$M,0))&amp;"",""))),0,IF(OR(IFERROR(INDEX('Paramètres'!$I:$I,MATCH($C2625,'Paramètres'!$D:$D,0))&amp;"","")="Les deux",IFERROR(INDEX('Paramètres'!$I:$I,MATCH($C2625,'Paramètres'!$D:$D,0))&amp;"","")=IF($P2625=1,"Débit",$L2625)),-IF($P2625=1,-$K2625,$K2625),0))))</f>
        <v/>
      </c>
      <c r="U2625" s="6" t="str">
        <f>IF($K2625="","",IF(ISNUMBER(SEARCH("sortie-epargne",IFERROR(INDEX('Paramètres'!$N:$N,MATCH($D2625,'Paramètres'!$M:$M,0))&amp;"",""))),$K2625,0))</f>
        <v/>
      </c>
      <c r="V2625" s="6" t="str">
        <f>IF(AND($A2625&lt;&gt;"",$O2625=1,$L2625="Débit",N($Q2625)&gt;0,$A2625&gt;=Visualisation!$B$1,$A2625&lt;Visualisation!$D$1),MAX($V$1:V2624)+1,"")</f>
        <v/>
      </c>
    </row>
    <row r="2626" spans="1:22" x14ac:dyDescent="0.25">
      <c r="A2626" s="9"/>
      <c r="E2626" s="10"/>
      <c r="K2626" s="11" t="str">
        <f>IF($E2626="","",ROUND($E2626*IF(ISNA(MATCH($C2626,'Paramètres'!$D:$D,0)),1,IF(INDEX('Paramètres'!$J:$J,MATCH($C2626,'Paramètres'!$D:$D,0))="",1,INDEX('Paramètres'!$J:$J,MATCH($C2626,'Paramètres'!$D:$D,0)))),2))</f>
        <v/>
      </c>
      <c r="L2626" s="6" t="str">
        <f>IF($D2626="","",IF($F2626&lt;&gt;"",$F2626,IF(ISNA(MATCH($D2626,'Paramètres'!$M:$M,0)),"⚠ Type inconnu",IFERROR(INDEX('Paramètres'!$P:$P,MATCH($D2626,'Paramètres'!$M:$M,0))&amp;"",""))))</f>
        <v/>
      </c>
      <c r="M2626" s="6" t="str">
        <f>IF($D2626="","",IF(ISNA(MATCH($D2626,'Paramètres'!$M:$M,0)),"⚠ Type inconnu",IF($L2626="Crédit","",IFERROR(INDEX('Paramètres'!$O:$O,MATCH($D2626,'Paramètres'!$M:$M,0))&amp;"",""))))</f>
        <v/>
      </c>
      <c r="N2626" s="6" t="str">
        <f>IF($D2626="","",IFERROR(INDEX('Paramètres'!$Q:$Q,MATCH($D2626,'Paramètres'!$M:$M,0))&amp;"",""))</f>
        <v/>
      </c>
      <c r="O2626" s="6" t="str">
        <f>IF($A2626="","",IF(OR($J2626&lt;&gt;"x",$A2626&lt;=FinReleve),1,0))</f>
        <v/>
      </c>
      <c r="P2626" s="6" t="str">
        <f>IF($D2626="","",IF(AND($L2626="Crédit",OR(IFERROR(INDEX('Paramètres'!$O:$O,MATCH($D2626,'Paramètres'!$M:$M,0))&amp;"","")&lt;&gt;"",ISNUMBER(SEARCH("remboursement",IFERROR(INDEX('Paramètres'!$N:$N,MATCH($D2626,'Paramètres'!$M:$M,0))&amp;"",""))))),1,0))</f>
        <v/>
      </c>
      <c r="Q2626" s="6" t="str">
        <f>IF($K2626="","",IF(ISNUMBER(SEARCH("transfert-interne",IFERROR(INDEX('Paramètres'!$N:$N,MATCH($D2626,'Paramètres'!$M:$M,0))&amp;"",""))),0,IF($L2626="Débit",$K2626,IF($P2626=1,-$K2626,0))))</f>
        <v/>
      </c>
      <c r="R2626" s="6" t="str">
        <f>IF($K2626="","",IF($L2626="Crédit",$K2626,-$K2626))</f>
        <v/>
      </c>
      <c r="S2626" s="6" t="str">
        <f>IF($C2626="","",IFERROR(INDEX('Paramètres'!$H:$H,MATCH($C2626,'Paramètres'!$D:$D,0))&amp;"",""))</f>
        <v/>
      </c>
      <c r="T2626" s="6" t="str">
        <f>IF($K2626="","",IF($S2626="",0,IF(ISNUMBER(SEARCH("apport-exterieur",IFERROR(INDEX('Paramètres'!$N:$N,MATCH($D2626,'Paramètres'!$M:$M,0))&amp;"",""))),0,IF(OR(IFERROR(INDEX('Paramètres'!$I:$I,MATCH($C2626,'Paramètres'!$D:$D,0))&amp;"","")="Les deux",IFERROR(INDEX('Paramètres'!$I:$I,MATCH($C2626,'Paramètres'!$D:$D,0))&amp;"","")=IF($P2626=1,"Débit",$L2626)),-IF($P2626=1,-$K2626,$K2626),0))))</f>
        <v/>
      </c>
      <c r="U2626" s="6" t="str">
        <f>IF($K2626="","",IF(ISNUMBER(SEARCH("sortie-epargne",IFERROR(INDEX('Paramètres'!$N:$N,MATCH($D2626,'Paramètres'!$M:$M,0))&amp;"",""))),$K2626,0))</f>
        <v/>
      </c>
      <c r="V2626" s="6" t="str">
        <f>IF(AND($A2626&lt;&gt;"",$O2626=1,$L2626="Débit",N($Q2626)&gt;0,$A2626&gt;=Visualisation!$B$1,$A2626&lt;Visualisation!$D$1),MAX($V$1:V2625)+1,"")</f>
        <v/>
      </c>
    </row>
    <row r="2627" spans="1:22" x14ac:dyDescent="0.25">
      <c r="A2627" s="9"/>
      <c r="E2627" s="10"/>
      <c r="K2627" s="11" t="str">
        <f>IF($E2627="","",ROUND($E2627*IF(ISNA(MATCH($C2627,'Paramètres'!$D:$D,0)),1,IF(INDEX('Paramètres'!$J:$J,MATCH($C2627,'Paramètres'!$D:$D,0))="",1,INDEX('Paramètres'!$J:$J,MATCH($C2627,'Paramètres'!$D:$D,0)))),2))</f>
        <v/>
      </c>
      <c r="L2627" s="6" t="str">
        <f>IF($D2627="","",IF($F2627&lt;&gt;"",$F2627,IF(ISNA(MATCH($D2627,'Paramètres'!$M:$M,0)),"⚠ Type inconnu",IFERROR(INDEX('Paramètres'!$P:$P,MATCH($D2627,'Paramètres'!$M:$M,0))&amp;"",""))))</f>
        <v/>
      </c>
      <c r="M2627" s="6" t="str">
        <f>IF($D2627="","",IF(ISNA(MATCH($D2627,'Paramètres'!$M:$M,0)),"⚠ Type inconnu",IF($L2627="Crédit","",IFERROR(INDEX('Paramètres'!$O:$O,MATCH($D2627,'Paramètres'!$M:$M,0))&amp;"",""))))</f>
        <v/>
      </c>
      <c r="N2627" s="6" t="str">
        <f>IF($D2627="","",IFERROR(INDEX('Paramètres'!$Q:$Q,MATCH($D2627,'Paramètres'!$M:$M,0))&amp;"",""))</f>
        <v/>
      </c>
      <c r="O2627" s="6" t="str">
        <f>IF($A2627="","",IF(OR($J2627&lt;&gt;"x",$A2627&lt;=FinReleve),1,0))</f>
        <v/>
      </c>
      <c r="P2627" s="6" t="str">
        <f>IF($D2627="","",IF(AND($L2627="Crédit",OR(IFERROR(INDEX('Paramètres'!$O:$O,MATCH($D2627,'Paramètres'!$M:$M,0))&amp;"","")&lt;&gt;"",ISNUMBER(SEARCH("remboursement",IFERROR(INDEX('Paramètres'!$N:$N,MATCH($D2627,'Paramètres'!$M:$M,0))&amp;"",""))))),1,0))</f>
        <v/>
      </c>
      <c r="Q2627" s="6" t="str">
        <f>IF($K2627="","",IF(ISNUMBER(SEARCH("transfert-interne",IFERROR(INDEX('Paramètres'!$N:$N,MATCH($D2627,'Paramètres'!$M:$M,0))&amp;"",""))),0,IF($L2627="Débit",$K2627,IF($P2627=1,-$K2627,0))))</f>
        <v/>
      </c>
      <c r="R2627" s="6" t="str">
        <f>IF($K2627="","",IF($L2627="Crédit",$K2627,-$K2627))</f>
        <v/>
      </c>
      <c r="S2627" s="6" t="str">
        <f>IF($C2627="","",IFERROR(INDEX('Paramètres'!$H:$H,MATCH($C2627,'Paramètres'!$D:$D,0))&amp;"",""))</f>
        <v/>
      </c>
      <c r="T2627" s="6" t="str">
        <f>IF($K2627="","",IF($S2627="",0,IF(ISNUMBER(SEARCH("apport-exterieur",IFERROR(INDEX('Paramètres'!$N:$N,MATCH($D2627,'Paramètres'!$M:$M,0))&amp;"",""))),0,IF(OR(IFERROR(INDEX('Paramètres'!$I:$I,MATCH($C2627,'Paramètres'!$D:$D,0))&amp;"","")="Les deux",IFERROR(INDEX('Paramètres'!$I:$I,MATCH($C2627,'Paramètres'!$D:$D,0))&amp;"","")=IF($P2627=1,"Débit",$L2627)),-IF($P2627=1,-$K2627,$K2627),0))))</f>
        <v/>
      </c>
      <c r="U2627" s="6" t="str">
        <f>IF($K2627="","",IF(ISNUMBER(SEARCH("sortie-epargne",IFERROR(INDEX('Paramètres'!$N:$N,MATCH($D2627,'Paramètres'!$M:$M,0))&amp;"",""))),$K2627,0))</f>
        <v/>
      </c>
      <c r="V2627" s="6" t="str">
        <f>IF(AND($A2627&lt;&gt;"",$O2627=1,$L2627="Débit",N($Q2627)&gt;0,$A2627&gt;=Visualisation!$B$1,$A2627&lt;Visualisation!$D$1),MAX($V$1:V2626)+1,"")</f>
        <v/>
      </c>
    </row>
    <row r="2628" spans="1:22" x14ac:dyDescent="0.25">
      <c r="A2628" s="9"/>
      <c r="E2628" s="10"/>
      <c r="K2628" s="11" t="str">
        <f>IF($E2628="","",ROUND($E2628*IF(ISNA(MATCH($C2628,'Paramètres'!$D:$D,0)),1,IF(INDEX('Paramètres'!$J:$J,MATCH($C2628,'Paramètres'!$D:$D,0))="",1,INDEX('Paramètres'!$J:$J,MATCH($C2628,'Paramètres'!$D:$D,0)))),2))</f>
        <v/>
      </c>
      <c r="L2628" s="6" t="str">
        <f>IF($D2628="","",IF($F2628&lt;&gt;"",$F2628,IF(ISNA(MATCH($D2628,'Paramètres'!$M:$M,0)),"⚠ Type inconnu",IFERROR(INDEX('Paramètres'!$P:$P,MATCH($D2628,'Paramètres'!$M:$M,0))&amp;"",""))))</f>
        <v/>
      </c>
      <c r="M2628" s="6" t="str">
        <f>IF($D2628="","",IF(ISNA(MATCH($D2628,'Paramètres'!$M:$M,0)),"⚠ Type inconnu",IF($L2628="Crédit","",IFERROR(INDEX('Paramètres'!$O:$O,MATCH($D2628,'Paramètres'!$M:$M,0))&amp;"",""))))</f>
        <v/>
      </c>
      <c r="N2628" s="6" t="str">
        <f>IF($D2628="","",IFERROR(INDEX('Paramètres'!$Q:$Q,MATCH($D2628,'Paramètres'!$M:$M,0))&amp;"",""))</f>
        <v/>
      </c>
      <c r="O2628" s="6" t="str">
        <f>IF($A2628="","",IF(OR($J2628&lt;&gt;"x",$A2628&lt;=FinReleve),1,0))</f>
        <v/>
      </c>
      <c r="P2628" s="6" t="str">
        <f>IF($D2628="","",IF(AND($L2628="Crédit",OR(IFERROR(INDEX('Paramètres'!$O:$O,MATCH($D2628,'Paramètres'!$M:$M,0))&amp;"","")&lt;&gt;"",ISNUMBER(SEARCH("remboursement",IFERROR(INDEX('Paramètres'!$N:$N,MATCH($D2628,'Paramètres'!$M:$M,0))&amp;"",""))))),1,0))</f>
        <v/>
      </c>
      <c r="Q2628" s="6" t="str">
        <f>IF($K2628="","",IF(ISNUMBER(SEARCH("transfert-interne",IFERROR(INDEX('Paramètres'!$N:$N,MATCH($D2628,'Paramètres'!$M:$M,0))&amp;"",""))),0,IF($L2628="Débit",$K2628,IF($P2628=1,-$K2628,0))))</f>
        <v/>
      </c>
      <c r="R2628" s="6" t="str">
        <f>IF($K2628="","",IF($L2628="Crédit",$K2628,-$K2628))</f>
        <v/>
      </c>
      <c r="S2628" s="6" t="str">
        <f>IF($C2628="","",IFERROR(INDEX('Paramètres'!$H:$H,MATCH($C2628,'Paramètres'!$D:$D,0))&amp;"",""))</f>
        <v/>
      </c>
      <c r="T2628" s="6" t="str">
        <f>IF($K2628="","",IF($S2628="",0,IF(ISNUMBER(SEARCH("apport-exterieur",IFERROR(INDEX('Paramètres'!$N:$N,MATCH($D2628,'Paramètres'!$M:$M,0))&amp;"",""))),0,IF(OR(IFERROR(INDEX('Paramètres'!$I:$I,MATCH($C2628,'Paramètres'!$D:$D,0))&amp;"","")="Les deux",IFERROR(INDEX('Paramètres'!$I:$I,MATCH($C2628,'Paramètres'!$D:$D,0))&amp;"","")=IF($P2628=1,"Débit",$L2628)),-IF($P2628=1,-$K2628,$K2628),0))))</f>
        <v/>
      </c>
      <c r="U2628" s="6" t="str">
        <f>IF($K2628="","",IF(ISNUMBER(SEARCH("sortie-epargne",IFERROR(INDEX('Paramètres'!$N:$N,MATCH($D2628,'Paramètres'!$M:$M,0))&amp;"",""))),$K2628,0))</f>
        <v/>
      </c>
      <c r="V2628" s="6" t="str">
        <f>IF(AND($A2628&lt;&gt;"",$O2628=1,$L2628="Débit",N($Q2628)&gt;0,$A2628&gt;=Visualisation!$B$1,$A2628&lt;Visualisation!$D$1),MAX($V$1:V2627)+1,"")</f>
        <v/>
      </c>
    </row>
    <row r="2629" spans="1:22" x14ac:dyDescent="0.25">
      <c r="A2629" s="9"/>
      <c r="E2629" s="10"/>
      <c r="K2629" s="11" t="str">
        <f>IF($E2629="","",ROUND($E2629*IF(ISNA(MATCH($C2629,'Paramètres'!$D:$D,0)),1,IF(INDEX('Paramètres'!$J:$J,MATCH($C2629,'Paramètres'!$D:$D,0))="",1,INDEX('Paramètres'!$J:$J,MATCH($C2629,'Paramètres'!$D:$D,0)))),2))</f>
        <v/>
      </c>
      <c r="L2629" s="6" t="str">
        <f>IF($D2629="","",IF($F2629&lt;&gt;"",$F2629,IF(ISNA(MATCH($D2629,'Paramètres'!$M:$M,0)),"⚠ Type inconnu",IFERROR(INDEX('Paramètres'!$P:$P,MATCH($D2629,'Paramètres'!$M:$M,0))&amp;"",""))))</f>
        <v/>
      </c>
      <c r="M2629" s="6" t="str">
        <f>IF($D2629="","",IF(ISNA(MATCH($D2629,'Paramètres'!$M:$M,0)),"⚠ Type inconnu",IF($L2629="Crédit","",IFERROR(INDEX('Paramètres'!$O:$O,MATCH($D2629,'Paramètres'!$M:$M,0))&amp;"",""))))</f>
        <v/>
      </c>
      <c r="N2629" s="6" t="str">
        <f>IF($D2629="","",IFERROR(INDEX('Paramètres'!$Q:$Q,MATCH($D2629,'Paramètres'!$M:$M,0))&amp;"",""))</f>
        <v/>
      </c>
      <c r="O2629" s="6" t="str">
        <f>IF($A2629="","",IF(OR($J2629&lt;&gt;"x",$A2629&lt;=FinReleve),1,0))</f>
        <v/>
      </c>
      <c r="P2629" s="6" t="str">
        <f>IF($D2629="","",IF(AND($L2629="Crédit",OR(IFERROR(INDEX('Paramètres'!$O:$O,MATCH($D2629,'Paramètres'!$M:$M,0))&amp;"","")&lt;&gt;"",ISNUMBER(SEARCH("remboursement",IFERROR(INDEX('Paramètres'!$N:$N,MATCH($D2629,'Paramètres'!$M:$M,0))&amp;"",""))))),1,0))</f>
        <v/>
      </c>
      <c r="Q2629" s="6" t="str">
        <f>IF($K2629="","",IF(ISNUMBER(SEARCH("transfert-interne",IFERROR(INDEX('Paramètres'!$N:$N,MATCH($D2629,'Paramètres'!$M:$M,0))&amp;"",""))),0,IF($L2629="Débit",$K2629,IF($P2629=1,-$K2629,0))))</f>
        <v/>
      </c>
      <c r="R2629" s="6" t="str">
        <f>IF($K2629="","",IF($L2629="Crédit",$K2629,-$K2629))</f>
        <v/>
      </c>
      <c r="S2629" s="6" t="str">
        <f>IF($C2629="","",IFERROR(INDEX('Paramètres'!$H:$H,MATCH($C2629,'Paramètres'!$D:$D,0))&amp;"",""))</f>
        <v/>
      </c>
      <c r="T2629" s="6" t="str">
        <f>IF($K2629="","",IF($S2629="",0,IF(ISNUMBER(SEARCH("apport-exterieur",IFERROR(INDEX('Paramètres'!$N:$N,MATCH($D2629,'Paramètres'!$M:$M,0))&amp;"",""))),0,IF(OR(IFERROR(INDEX('Paramètres'!$I:$I,MATCH($C2629,'Paramètres'!$D:$D,0))&amp;"","")="Les deux",IFERROR(INDEX('Paramètres'!$I:$I,MATCH($C2629,'Paramètres'!$D:$D,0))&amp;"","")=IF($P2629=1,"Débit",$L2629)),-IF($P2629=1,-$K2629,$K2629),0))))</f>
        <v/>
      </c>
      <c r="U2629" s="6" t="str">
        <f>IF($K2629="","",IF(ISNUMBER(SEARCH("sortie-epargne",IFERROR(INDEX('Paramètres'!$N:$N,MATCH($D2629,'Paramètres'!$M:$M,0))&amp;"",""))),$K2629,0))</f>
        <v/>
      </c>
      <c r="V2629" s="6" t="str">
        <f>IF(AND($A2629&lt;&gt;"",$O2629=1,$L2629="Débit",N($Q2629)&gt;0,$A2629&gt;=Visualisation!$B$1,$A2629&lt;Visualisation!$D$1),MAX($V$1:V2628)+1,"")</f>
        <v/>
      </c>
    </row>
    <row r="2630" spans="1:22" x14ac:dyDescent="0.25">
      <c r="A2630" s="9"/>
      <c r="E2630" s="10"/>
      <c r="K2630" s="11" t="str">
        <f>IF($E2630="","",ROUND($E2630*IF(ISNA(MATCH($C2630,'Paramètres'!$D:$D,0)),1,IF(INDEX('Paramètres'!$J:$J,MATCH($C2630,'Paramètres'!$D:$D,0))="",1,INDEX('Paramètres'!$J:$J,MATCH($C2630,'Paramètres'!$D:$D,0)))),2))</f>
        <v/>
      </c>
      <c r="L2630" s="6" t="str">
        <f>IF($D2630="","",IF($F2630&lt;&gt;"",$F2630,IF(ISNA(MATCH($D2630,'Paramètres'!$M:$M,0)),"⚠ Type inconnu",IFERROR(INDEX('Paramètres'!$P:$P,MATCH($D2630,'Paramètres'!$M:$M,0))&amp;"",""))))</f>
        <v/>
      </c>
      <c r="M2630" s="6" t="str">
        <f>IF($D2630="","",IF(ISNA(MATCH($D2630,'Paramètres'!$M:$M,0)),"⚠ Type inconnu",IF($L2630="Crédit","",IFERROR(INDEX('Paramètres'!$O:$O,MATCH($D2630,'Paramètres'!$M:$M,0))&amp;"",""))))</f>
        <v/>
      </c>
      <c r="N2630" s="6" t="str">
        <f>IF($D2630="","",IFERROR(INDEX('Paramètres'!$Q:$Q,MATCH($D2630,'Paramètres'!$M:$M,0))&amp;"",""))</f>
        <v/>
      </c>
      <c r="O2630" s="6" t="str">
        <f>IF($A2630="","",IF(OR($J2630&lt;&gt;"x",$A2630&lt;=FinReleve),1,0))</f>
        <v/>
      </c>
      <c r="P2630" s="6" t="str">
        <f>IF($D2630="","",IF(AND($L2630="Crédit",OR(IFERROR(INDEX('Paramètres'!$O:$O,MATCH($D2630,'Paramètres'!$M:$M,0))&amp;"","")&lt;&gt;"",ISNUMBER(SEARCH("remboursement",IFERROR(INDEX('Paramètres'!$N:$N,MATCH($D2630,'Paramètres'!$M:$M,0))&amp;"",""))))),1,0))</f>
        <v/>
      </c>
      <c r="Q2630" s="6" t="str">
        <f>IF($K2630="","",IF(ISNUMBER(SEARCH("transfert-interne",IFERROR(INDEX('Paramètres'!$N:$N,MATCH($D2630,'Paramètres'!$M:$M,0))&amp;"",""))),0,IF($L2630="Débit",$K2630,IF($P2630=1,-$K2630,0))))</f>
        <v/>
      </c>
      <c r="R2630" s="6" t="str">
        <f>IF($K2630="","",IF($L2630="Crédit",$K2630,-$K2630))</f>
        <v/>
      </c>
      <c r="S2630" s="6" t="str">
        <f>IF($C2630="","",IFERROR(INDEX('Paramètres'!$H:$H,MATCH($C2630,'Paramètres'!$D:$D,0))&amp;"",""))</f>
        <v/>
      </c>
      <c r="T2630" s="6" t="str">
        <f>IF($K2630="","",IF($S2630="",0,IF(ISNUMBER(SEARCH("apport-exterieur",IFERROR(INDEX('Paramètres'!$N:$N,MATCH($D2630,'Paramètres'!$M:$M,0))&amp;"",""))),0,IF(OR(IFERROR(INDEX('Paramètres'!$I:$I,MATCH($C2630,'Paramètres'!$D:$D,0))&amp;"","")="Les deux",IFERROR(INDEX('Paramètres'!$I:$I,MATCH($C2630,'Paramètres'!$D:$D,0))&amp;"","")=IF($P2630=1,"Débit",$L2630)),-IF($P2630=1,-$K2630,$K2630),0))))</f>
        <v/>
      </c>
      <c r="U2630" s="6" t="str">
        <f>IF($K2630="","",IF(ISNUMBER(SEARCH("sortie-epargne",IFERROR(INDEX('Paramètres'!$N:$N,MATCH($D2630,'Paramètres'!$M:$M,0))&amp;"",""))),$K2630,0))</f>
        <v/>
      </c>
      <c r="V2630" s="6" t="str">
        <f>IF(AND($A2630&lt;&gt;"",$O2630=1,$L2630="Débit",N($Q2630)&gt;0,$A2630&gt;=Visualisation!$B$1,$A2630&lt;Visualisation!$D$1),MAX($V$1:V2629)+1,"")</f>
        <v/>
      </c>
    </row>
    <row r="2631" spans="1:22" x14ac:dyDescent="0.25">
      <c r="A2631" s="9"/>
      <c r="E2631" s="10"/>
      <c r="K2631" s="11" t="str">
        <f>IF($E2631="","",ROUND($E2631*IF(ISNA(MATCH($C2631,'Paramètres'!$D:$D,0)),1,IF(INDEX('Paramètres'!$J:$J,MATCH($C2631,'Paramètres'!$D:$D,0))="",1,INDEX('Paramètres'!$J:$J,MATCH($C2631,'Paramètres'!$D:$D,0)))),2))</f>
        <v/>
      </c>
      <c r="L2631" s="6" t="str">
        <f>IF($D2631="","",IF($F2631&lt;&gt;"",$F2631,IF(ISNA(MATCH($D2631,'Paramètres'!$M:$M,0)),"⚠ Type inconnu",IFERROR(INDEX('Paramètres'!$P:$P,MATCH($D2631,'Paramètres'!$M:$M,0))&amp;"",""))))</f>
        <v/>
      </c>
      <c r="M2631" s="6" t="str">
        <f>IF($D2631="","",IF(ISNA(MATCH($D2631,'Paramètres'!$M:$M,0)),"⚠ Type inconnu",IF($L2631="Crédit","",IFERROR(INDEX('Paramètres'!$O:$O,MATCH($D2631,'Paramètres'!$M:$M,0))&amp;"",""))))</f>
        <v/>
      </c>
      <c r="N2631" s="6" t="str">
        <f>IF($D2631="","",IFERROR(INDEX('Paramètres'!$Q:$Q,MATCH($D2631,'Paramètres'!$M:$M,0))&amp;"",""))</f>
        <v/>
      </c>
      <c r="O2631" s="6" t="str">
        <f>IF($A2631="","",IF(OR($J2631&lt;&gt;"x",$A2631&lt;=FinReleve),1,0))</f>
        <v/>
      </c>
      <c r="P2631" s="6" t="str">
        <f>IF($D2631="","",IF(AND($L2631="Crédit",OR(IFERROR(INDEX('Paramètres'!$O:$O,MATCH($D2631,'Paramètres'!$M:$M,0))&amp;"","")&lt;&gt;"",ISNUMBER(SEARCH("remboursement",IFERROR(INDEX('Paramètres'!$N:$N,MATCH($D2631,'Paramètres'!$M:$M,0))&amp;"",""))))),1,0))</f>
        <v/>
      </c>
      <c r="Q2631" s="6" t="str">
        <f>IF($K2631="","",IF(ISNUMBER(SEARCH("transfert-interne",IFERROR(INDEX('Paramètres'!$N:$N,MATCH($D2631,'Paramètres'!$M:$M,0))&amp;"",""))),0,IF($L2631="Débit",$K2631,IF($P2631=1,-$K2631,0))))</f>
        <v/>
      </c>
      <c r="R2631" s="6" t="str">
        <f>IF($K2631="","",IF($L2631="Crédit",$K2631,-$K2631))</f>
        <v/>
      </c>
      <c r="S2631" s="6" t="str">
        <f>IF($C2631="","",IFERROR(INDEX('Paramètres'!$H:$H,MATCH($C2631,'Paramètres'!$D:$D,0))&amp;"",""))</f>
        <v/>
      </c>
      <c r="T2631" s="6" t="str">
        <f>IF($K2631="","",IF($S2631="",0,IF(ISNUMBER(SEARCH("apport-exterieur",IFERROR(INDEX('Paramètres'!$N:$N,MATCH($D2631,'Paramètres'!$M:$M,0))&amp;"",""))),0,IF(OR(IFERROR(INDEX('Paramètres'!$I:$I,MATCH($C2631,'Paramètres'!$D:$D,0))&amp;"","")="Les deux",IFERROR(INDEX('Paramètres'!$I:$I,MATCH($C2631,'Paramètres'!$D:$D,0))&amp;"","")=IF($P2631=1,"Débit",$L2631)),-IF($P2631=1,-$K2631,$K2631),0))))</f>
        <v/>
      </c>
      <c r="U2631" s="6" t="str">
        <f>IF($K2631="","",IF(ISNUMBER(SEARCH("sortie-epargne",IFERROR(INDEX('Paramètres'!$N:$N,MATCH($D2631,'Paramètres'!$M:$M,0))&amp;"",""))),$K2631,0))</f>
        <v/>
      </c>
      <c r="V2631" s="6" t="str">
        <f>IF(AND($A2631&lt;&gt;"",$O2631=1,$L2631="Débit",N($Q2631)&gt;0,$A2631&gt;=Visualisation!$B$1,$A2631&lt;Visualisation!$D$1),MAX($V$1:V2630)+1,"")</f>
        <v/>
      </c>
    </row>
    <row r="2632" spans="1:22" x14ac:dyDescent="0.25">
      <c r="A2632" s="9"/>
      <c r="E2632" s="10"/>
      <c r="K2632" s="11" t="str">
        <f>IF($E2632="","",ROUND($E2632*IF(ISNA(MATCH($C2632,'Paramètres'!$D:$D,0)),1,IF(INDEX('Paramètres'!$J:$J,MATCH($C2632,'Paramètres'!$D:$D,0))="",1,INDEX('Paramètres'!$J:$J,MATCH($C2632,'Paramètres'!$D:$D,0)))),2))</f>
        <v/>
      </c>
      <c r="L2632" s="6" t="str">
        <f>IF($D2632="","",IF($F2632&lt;&gt;"",$F2632,IF(ISNA(MATCH($D2632,'Paramètres'!$M:$M,0)),"⚠ Type inconnu",IFERROR(INDEX('Paramètres'!$P:$P,MATCH($D2632,'Paramètres'!$M:$M,0))&amp;"",""))))</f>
        <v/>
      </c>
      <c r="M2632" s="6" t="str">
        <f>IF($D2632="","",IF(ISNA(MATCH($D2632,'Paramètres'!$M:$M,0)),"⚠ Type inconnu",IF($L2632="Crédit","",IFERROR(INDEX('Paramètres'!$O:$O,MATCH($D2632,'Paramètres'!$M:$M,0))&amp;"",""))))</f>
        <v/>
      </c>
      <c r="N2632" s="6" t="str">
        <f>IF($D2632="","",IFERROR(INDEX('Paramètres'!$Q:$Q,MATCH($D2632,'Paramètres'!$M:$M,0))&amp;"",""))</f>
        <v/>
      </c>
      <c r="O2632" s="6" t="str">
        <f>IF($A2632="","",IF(OR($J2632&lt;&gt;"x",$A2632&lt;=FinReleve),1,0))</f>
        <v/>
      </c>
      <c r="P2632" s="6" t="str">
        <f>IF($D2632="","",IF(AND($L2632="Crédit",OR(IFERROR(INDEX('Paramètres'!$O:$O,MATCH($D2632,'Paramètres'!$M:$M,0))&amp;"","")&lt;&gt;"",ISNUMBER(SEARCH("remboursement",IFERROR(INDEX('Paramètres'!$N:$N,MATCH($D2632,'Paramètres'!$M:$M,0))&amp;"",""))))),1,0))</f>
        <v/>
      </c>
      <c r="Q2632" s="6" t="str">
        <f>IF($K2632="","",IF(ISNUMBER(SEARCH("transfert-interne",IFERROR(INDEX('Paramètres'!$N:$N,MATCH($D2632,'Paramètres'!$M:$M,0))&amp;"",""))),0,IF($L2632="Débit",$K2632,IF($P2632=1,-$K2632,0))))</f>
        <v/>
      </c>
      <c r="R2632" s="6" t="str">
        <f>IF($K2632="","",IF($L2632="Crédit",$K2632,-$K2632))</f>
        <v/>
      </c>
      <c r="S2632" s="6" t="str">
        <f>IF($C2632="","",IFERROR(INDEX('Paramètres'!$H:$H,MATCH($C2632,'Paramètres'!$D:$D,0))&amp;"",""))</f>
        <v/>
      </c>
      <c r="T2632" s="6" t="str">
        <f>IF($K2632="","",IF($S2632="",0,IF(ISNUMBER(SEARCH("apport-exterieur",IFERROR(INDEX('Paramètres'!$N:$N,MATCH($D2632,'Paramètres'!$M:$M,0))&amp;"",""))),0,IF(OR(IFERROR(INDEX('Paramètres'!$I:$I,MATCH($C2632,'Paramètres'!$D:$D,0))&amp;"","")="Les deux",IFERROR(INDEX('Paramètres'!$I:$I,MATCH($C2632,'Paramètres'!$D:$D,0))&amp;"","")=IF($P2632=1,"Débit",$L2632)),-IF($P2632=1,-$K2632,$K2632),0))))</f>
        <v/>
      </c>
      <c r="U2632" s="6" t="str">
        <f>IF($K2632="","",IF(ISNUMBER(SEARCH("sortie-epargne",IFERROR(INDEX('Paramètres'!$N:$N,MATCH($D2632,'Paramètres'!$M:$M,0))&amp;"",""))),$K2632,0))</f>
        <v/>
      </c>
      <c r="V2632" s="6" t="str">
        <f>IF(AND($A2632&lt;&gt;"",$O2632=1,$L2632="Débit",N($Q2632)&gt;0,$A2632&gt;=Visualisation!$B$1,$A2632&lt;Visualisation!$D$1),MAX($V$1:V2631)+1,"")</f>
        <v/>
      </c>
    </row>
    <row r="2633" spans="1:22" x14ac:dyDescent="0.25">
      <c r="A2633" s="9"/>
      <c r="E2633" s="10"/>
      <c r="K2633" s="11" t="str">
        <f>IF($E2633="","",ROUND($E2633*IF(ISNA(MATCH($C2633,'Paramètres'!$D:$D,0)),1,IF(INDEX('Paramètres'!$J:$J,MATCH($C2633,'Paramètres'!$D:$D,0))="",1,INDEX('Paramètres'!$J:$J,MATCH($C2633,'Paramètres'!$D:$D,0)))),2))</f>
        <v/>
      </c>
      <c r="L2633" s="6" t="str">
        <f>IF($D2633="","",IF($F2633&lt;&gt;"",$F2633,IF(ISNA(MATCH($D2633,'Paramètres'!$M:$M,0)),"⚠ Type inconnu",IFERROR(INDEX('Paramètres'!$P:$P,MATCH($D2633,'Paramètres'!$M:$M,0))&amp;"",""))))</f>
        <v/>
      </c>
      <c r="M2633" s="6" t="str">
        <f>IF($D2633="","",IF(ISNA(MATCH($D2633,'Paramètres'!$M:$M,0)),"⚠ Type inconnu",IF($L2633="Crédit","",IFERROR(INDEX('Paramètres'!$O:$O,MATCH($D2633,'Paramètres'!$M:$M,0))&amp;"",""))))</f>
        <v/>
      </c>
      <c r="N2633" s="6" t="str">
        <f>IF($D2633="","",IFERROR(INDEX('Paramètres'!$Q:$Q,MATCH($D2633,'Paramètres'!$M:$M,0))&amp;"",""))</f>
        <v/>
      </c>
      <c r="O2633" s="6" t="str">
        <f>IF($A2633="","",IF(OR($J2633&lt;&gt;"x",$A2633&lt;=FinReleve),1,0))</f>
        <v/>
      </c>
      <c r="P2633" s="6" t="str">
        <f>IF($D2633="","",IF(AND($L2633="Crédit",OR(IFERROR(INDEX('Paramètres'!$O:$O,MATCH($D2633,'Paramètres'!$M:$M,0))&amp;"","")&lt;&gt;"",ISNUMBER(SEARCH("remboursement",IFERROR(INDEX('Paramètres'!$N:$N,MATCH($D2633,'Paramètres'!$M:$M,0))&amp;"",""))))),1,0))</f>
        <v/>
      </c>
      <c r="Q2633" s="6" t="str">
        <f>IF($K2633="","",IF(ISNUMBER(SEARCH("transfert-interne",IFERROR(INDEX('Paramètres'!$N:$N,MATCH($D2633,'Paramètres'!$M:$M,0))&amp;"",""))),0,IF($L2633="Débit",$K2633,IF($P2633=1,-$K2633,0))))</f>
        <v/>
      </c>
      <c r="R2633" s="6" t="str">
        <f>IF($K2633="","",IF($L2633="Crédit",$K2633,-$K2633))</f>
        <v/>
      </c>
      <c r="S2633" s="6" t="str">
        <f>IF($C2633="","",IFERROR(INDEX('Paramètres'!$H:$H,MATCH($C2633,'Paramètres'!$D:$D,0))&amp;"",""))</f>
        <v/>
      </c>
      <c r="T2633" s="6" t="str">
        <f>IF($K2633="","",IF($S2633="",0,IF(ISNUMBER(SEARCH("apport-exterieur",IFERROR(INDEX('Paramètres'!$N:$N,MATCH($D2633,'Paramètres'!$M:$M,0))&amp;"",""))),0,IF(OR(IFERROR(INDEX('Paramètres'!$I:$I,MATCH($C2633,'Paramètres'!$D:$D,0))&amp;"","")="Les deux",IFERROR(INDEX('Paramètres'!$I:$I,MATCH($C2633,'Paramètres'!$D:$D,0))&amp;"","")=IF($P2633=1,"Débit",$L2633)),-IF($P2633=1,-$K2633,$K2633),0))))</f>
        <v/>
      </c>
      <c r="U2633" s="6" t="str">
        <f>IF($K2633="","",IF(ISNUMBER(SEARCH("sortie-epargne",IFERROR(INDEX('Paramètres'!$N:$N,MATCH($D2633,'Paramètres'!$M:$M,0))&amp;"",""))),$K2633,0))</f>
        <v/>
      </c>
      <c r="V2633" s="6" t="str">
        <f>IF(AND($A2633&lt;&gt;"",$O2633=1,$L2633="Débit",N($Q2633)&gt;0,$A2633&gt;=Visualisation!$B$1,$A2633&lt;Visualisation!$D$1),MAX($V$1:V2632)+1,"")</f>
        <v/>
      </c>
    </row>
    <row r="2634" spans="1:22" x14ac:dyDescent="0.25">
      <c r="A2634" s="9"/>
      <c r="E2634" s="10"/>
      <c r="K2634" s="11" t="str">
        <f>IF($E2634="","",ROUND($E2634*IF(ISNA(MATCH($C2634,'Paramètres'!$D:$D,0)),1,IF(INDEX('Paramètres'!$J:$J,MATCH($C2634,'Paramètres'!$D:$D,0))="",1,INDEX('Paramètres'!$J:$J,MATCH($C2634,'Paramètres'!$D:$D,0)))),2))</f>
        <v/>
      </c>
      <c r="L2634" s="6" t="str">
        <f>IF($D2634="","",IF($F2634&lt;&gt;"",$F2634,IF(ISNA(MATCH($D2634,'Paramètres'!$M:$M,0)),"⚠ Type inconnu",IFERROR(INDEX('Paramètres'!$P:$P,MATCH($D2634,'Paramètres'!$M:$M,0))&amp;"",""))))</f>
        <v/>
      </c>
      <c r="M2634" s="6" t="str">
        <f>IF($D2634="","",IF(ISNA(MATCH($D2634,'Paramètres'!$M:$M,0)),"⚠ Type inconnu",IF($L2634="Crédit","",IFERROR(INDEX('Paramètres'!$O:$O,MATCH($D2634,'Paramètres'!$M:$M,0))&amp;"",""))))</f>
        <v/>
      </c>
      <c r="N2634" s="6" t="str">
        <f>IF($D2634="","",IFERROR(INDEX('Paramètres'!$Q:$Q,MATCH($D2634,'Paramètres'!$M:$M,0))&amp;"",""))</f>
        <v/>
      </c>
      <c r="O2634" s="6" t="str">
        <f>IF($A2634="","",IF(OR($J2634&lt;&gt;"x",$A2634&lt;=FinReleve),1,0))</f>
        <v/>
      </c>
      <c r="P2634" s="6" t="str">
        <f>IF($D2634="","",IF(AND($L2634="Crédit",OR(IFERROR(INDEX('Paramètres'!$O:$O,MATCH($D2634,'Paramètres'!$M:$M,0))&amp;"","")&lt;&gt;"",ISNUMBER(SEARCH("remboursement",IFERROR(INDEX('Paramètres'!$N:$N,MATCH($D2634,'Paramètres'!$M:$M,0))&amp;"",""))))),1,0))</f>
        <v/>
      </c>
      <c r="Q2634" s="6" t="str">
        <f>IF($K2634="","",IF(ISNUMBER(SEARCH("transfert-interne",IFERROR(INDEX('Paramètres'!$N:$N,MATCH($D2634,'Paramètres'!$M:$M,0))&amp;"",""))),0,IF($L2634="Débit",$K2634,IF($P2634=1,-$K2634,0))))</f>
        <v/>
      </c>
      <c r="R2634" s="6" t="str">
        <f>IF($K2634="","",IF($L2634="Crédit",$K2634,-$K2634))</f>
        <v/>
      </c>
      <c r="S2634" s="6" t="str">
        <f>IF($C2634="","",IFERROR(INDEX('Paramètres'!$H:$H,MATCH($C2634,'Paramètres'!$D:$D,0))&amp;"",""))</f>
        <v/>
      </c>
      <c r="T2634" s="6" t="str">
        <f>IF($K2634="","",IF($S2634="",0,IF(ISNUMBER(SEARCH("apport-exterieur",IFERROR(INDEX('Paramètres'!$N:$N,MATCH($D2634,'Paramètres'!$M:$M,0))&amp;"",""))),0,IF(OR(IFERROR(INDEX('Paramètres'!$I:$I,MATCH($C2634,'Paramètres'!$D:$D,0))&amp;"","")="Les deux",IFERROR(INDEX('Paramètres'!$I:$I,MATCH($C2634,'Paramètres'!$D:$D,0))&amp;"","")=IF($P2634=1,"Débit",$L2634)),-IF($P2634=1,-$K2634,$K2634),0))))</f>
        <v/>
      </c>
      <c r="U2634" s="6" t="str">
        <f>IF($K2634="","",IF(ISNUMBER(SEARCH("sortie-epargne",IFERROR(INDEX('Paramètres'!$N:$N,MATCH($D2634,'Paramètres'!$M:$M,0))&amp;"",""))),$K2634,0))</f>
        <v/>
      </c>
      <c r="V2634" s="6" t="str">
        <f>IF(AND($A2634&lt;&gt;"",$O2634=1,$L2634="Débit",N($Q2634)&gt;0,$A2634&gt;=Visualisation!$B$1,$A2634&lt;Visualisation!$D$1),MAX($V$1:V2633)+1,"")</f>
        <v/>
      </c>
    </row>
    <row r="2635" spans="1:22" x14ac:dyDescent="0.25">
      <c r="A2635" s="9"/>
      <c r="E2635" s="10"/>
      <c r="K2635" s="11" t="str">
        <f>IF($E2635="","",ROUND($E2635*IF(ISNA(MATCH($C2635,'Paramètres'!$D:$D,0)),1,IF(INDEX('Paramètres'!$J:$J,MATCH($C2635,'Paramètres'!$D:$D,0))="",1,INDEX('Paramètres'!$J:$J,MATCH($C2635,'Paramètres'!$D:$D,0)))),2))</f>
        <v/>
      </c>
      <c r="L2635" s="6" t="str">
        <f>IF($D2635="","",IF($F2635&lt;&gt;"",$F2635,IF(ISNA(MATCH($D2635,'Paramètres'!$M:$M,0)),"⚠ Type inconnu",IFERROR(INDEX('Paramètres'!$P:$P,MATCH($D2635,'Paramètres'!$M:$M,0))&amp;"",""))))</f>
        <v/>
      </c>
      <c r="M2635" s="6" t="str">
        <f>IF($D2635="","",IF(ISNA(MATCH($D2635,'Paramètres'!$M:$M,0)),"⚠ Type inconnu",IF($L2635="Crédit","",IFERROR(INDEX('Paramètres'!$O:$O,MATCH($D2635,'Paramètres'!$M:$M,0))&amp;"",""))))</f>
        <v/>
      </c>
      <c r="N2635" s="6" t="str">
        <f>IF($D2635="","",IFERROR(INDEX('Paramètres'!$Q:$Q,MATCH($D2635,'Paramètres'!$M:$M,0))&amp;"",""))</f>
        <v/>
      </c>
      <c r="O2635" s="6" t="str">
        <f>IF($A2635="","",IF(OR($J2635&lt;&gt;"x",$A2635&lt;=FinReleve),1,0))</f>
        <v/>
      </c>
      <c r="P2635" s="6" t="str">
        <f>IF($D2635="","",IF(AND($L2635="Crédit",OR(IFERROR(INDEX('Paramètres'!$O:$O,MATCH($D2635,'Paramètres'!$M:$M,0))&amp;"","")&lt;&gt;"",ISNUMBER(SEARCH("remboursement",IFERROR(INDEX('Paramètres'!$N:$N,MATCH($D2635,'Paramètres'!$M:$M,0))&amp;"",""))))),1,0))</f>
        <v/>
      </c>
      <c r="Q2635" s="6" t="str">
        <f>IF($K2635="","",IF(ISNUMBER(SEARCH("transfert-interne",IFERROR(INDEX('Paramètres'!$N:$N,MATCH($D2635,'Paramètres'!$M:$M,0))&amp;"",""))),0,IF($L2635="Débit",$K2635,IF($P2635=1,-$K2635,0))))</f>
        <v/>
      </c>
      <c r="R2635" s="6" t="str">
        <f>IF($K2635="","",IF($L2635="Crédit",$K2635,-$K2635))</f>
        <v/>
      </c>
      <c r="S2635" s="6" t="str">
        <f>IF($C2635="","",IFERROR(INDEX('Paramètres'!$H:$H,MATCH($C2635,'Paramètres'!$D:$D,0))&amp;"",""))</f>
        <v/>
      </c>
      <c r="T2635" s="6" t="str">
        <f>IF($K2635="","",IF($S2635="",0,IF(ISNUMBER(SEARCH("apport-exterieur",IFERROR(INDEX('Paramètres'!$N:$N,MATCH($D2635,'Paramètres'!$M:$M,0))&amp;"",""))),0,IF(OR(IFERROR(INDEX('Paramètres'!$I:$I,MATCH($C2635,'Paramètres'!$D:$D,0))&amp;"","")="Les deux",IFERROR(INDEX('Paramètres'!$I:$I,MATCH($C2635,'Paramètres'!$D:$D,0))&amp;"","")=IF($P2635=1,"Débit",$L2635)),-IF($P2635=1,-$K2635,$K2635),0))))</f>
        <v/>
      </c>
      <c r="U2635" s="6" t="str">
        <f>IF($K2635="","",IF(ISNUMBER(SEARCH("sortie-epargne",IFERROR(INDEX('Paramètres'!$N:$N,MATCH($D2635,'Paramètres'!$M:$M,0))&amp;"",""))),$K2635,0))</f>
        <v/>
      </c>
      <c r="V2635" s="6" t="str">
        <f>IF(AND($A2635&lt;&gt;"",$O2635=1,$L2635="Débit",N($Q2635)&gt;0,$A2635&gt;=Visualisation!$B$1,$A2635&lt;Visualisation!$D$1),MAX($V$1:V2634)+1,"")</f>
        <v/>
      </c>
    </row>
    <row r="2636" spans="1:22" x14ac:dyDescent="0.25">
      <c r="A2636" s="9"/>
      <c r="E2636" s="10"/>
      <c r="K2636" s="11" t="str">
        <f>IF($E2636="","",ROUND($E2636*IF(ISNA(MATCH($C2636,'Paramètres'!$D:$D,0)),1,IF(INDEX('Paramètres'!$J:$J,MATCH($C2636,'Paramètres'!$D:$D,0))="",1,INDEX('Paramètres'!$J:$J,MATCH($C2636,'Paramètres'!$D:$D,0)))),2))</f>
        <v/>
      </c>
      <c r="L2636" s="6" t="str">
        <f>IF($D2636="","",IF($F2636&lt;&gt;"",$F2636,IF(ISNA(MATCH($D2636,'Paramètres'!$M:$M,0)),"⚠ Type inconnu",IFERROR(INDEX('Paramètres'!$P:$P,MATCH($D2636,'Paramètres'!$M:$M,0))&amp;"",""))))</f>
        <v/>
      </c>
      <c r="M2636" s="6" t="str">
        <f>IF($D2636="","",IF(ISNA(MATCH($D2636,'Paramètres'!$M:$M,0)),"⚠ Type inconnu",IF($L2636="Crédit","",IFERROR(INDEX('Paramètres'!$O:$O,MATCH($D2636,'Paramètres'!$M:$M,0))&amp;"",""))))</f>
        <v/>
      </c>
      <c r="N2636" s="6" t="str">
        <f>IF($D2636="","",IFERROR(INDEX('Paramètres'!$Q:$Q,MATCH($D2636,'Paramètres'!$M:$M,0))&amp;"",""))</f>
        <v/>
      </c>
      <c r="O2636" s="6" t="str">
        <f>IF($A2636="","",IF(OR($J2636&lt;&gt;"x",$A2636&lt;=FinReleve),1,0))</f>
        <v/>
      </c>
      <c r="P2636" s="6" t="str">
        <f>IF($D2636="","",IF(AND($L2636="Crédit",OR(IFERROR(INDEX('Paramètres'!$O:$O,MATCH($D2636,'Paramètres'!$M:$M,0))&amp;"","")&lt;&gt;"",ISNUMBER(SEARCH("remboursement",IFERROR(INDEX('Paramètres'!$N:$N,MATCH($D2636,'Paramètres'!$M:$M,0))&amp;"",""))))),1,0))</f>
        <v/>
      </c>
      <c r="Q2636" s="6" t="str">
        <f>IF($K2636="","",IF(ISNUMBER(SEARCH("transfert-interne",IFERROR(INDEX('Paramètres'!$N:$N,MATCH($D2636,'Paramètres'!$M:$M,0))&amp;"",""))),0,IF($L2636="Débit",$K2636,IF($P2636=1,-$K2636,0))))</f>
        <v/>
      </c>
      <c r="R2636" s="6" t="str">
        <f>IF($K2636="","",IF($L2636="Crédit",$K2636,-$K2636))</f>
        <v/>
      </c>
      <c r="S2636" s="6" t="str">
        <f>IF($C2636="","",IFERROR(INDEX('Paramètres'!$H:$H,MATCH($C2636,'Paramètres'!$D:$D,0))&amp;"",""))</f>
        <v/>
      </c>
      <c r="T2636" s="6" t="str">
        <f>IF($K2636="","",IF($S2636="",0,IF(ISNUMBER(SEARCH("apport-exterieur",IFERROR(INDEX('Paramètres'!$N:$N,MATCH($D2636,'Paramètres'!$M:$M,0))&amp;"",""))),0,IF(OR(IFERROR(INDEX('Paramètres'!$I:$I,MATCH($C2636,'Paramètres'!$D:$D,0))&amp;"","")="Les deux",IFERROR(INDEX('Paramètres'!$I:$I,MATCH($C2636,'Paramètres'!$D:$D,0))&amp;"","")=IF($P2636=1,"Débit",$L2636)),-IF($P2636=1,-$K2636,$K2636),0))))</f>
        <v/>
      </c>
      <c r="U2636" s="6" t="str">
        <f>IF($K2636="","",IF(ISNUMBER(SEARCH("sortie-epargne",IFERROR(INDEX('Paramètres'!$N:$N,MATCH($D2636,'Paramètres'!$M:$M,0))&amp;"",""))),$K2636,0))</f>
        <v/>
      </c>
      <c r="V2636" s="6" t="str">
        <f>IF(AND($A2636&lt;&gt;"",$O2636=1,$L2636="Débit",N($Q2636)&gt;0,$A2636&gt;=Visualisation!$B$1,$A2636&lt;Visualisation!$D$1),MAX($V$1:V2635)+1,"")</f>
        <v/>
      </c>
    </row>
    <row r="2637" spans="1:22" x14ac:dyDescent="0.25">
      <c r="A2637" s="9"/>
      <c r="E2637" s="10"/>
      <c r="K2637" s="11" t="str">
        <f>IF($E2637="","",ROUND($E2637*IF(ISNA(MATCH($C2637,'Paramètres'!$D:$D,0)),1,IF(INDEX('Paramètres'!$J:$J,MATCH($C2637,'Paramètres'!$D:$D,0))="",1,INDEX('Paramètres'!$J:$J,MATCH($C2637,'Paramètres'!$D:$D,0)))),2))</f>
        <v/>
      </c>
      <c r="L2637" s="6" t="str">
        <f>IF($D2637="","",IF($F2637&lt;&gt;"",$F2637,IF(ISNA(MATCH($D2637,'Paramètres'!$M:$M,0)),"⚠ Type inconnu",IFERROR(INDEX('Paramètres'!$P:$P,MATCH($D2637,'Paramètres'!$M:$M,0))&amp;"",""))))</f>
        <v/>
      </c>
      <c r="M2637" s="6" t="str">
        <f>IF($D2637="","",IF(ISNA(MATCH($D2637,'Paramètres'!$M:$M,0)),"⚠ Type inconnu",IF($L2637="Crédit","",IFERROR(INDEX('Paramètres'!$O:$O,MATCH($D2637,'Paramètres'!$M:$M,0))&amp;"",""))))</f>
        <v/>
      </c>
      <c r="N2637" s="6" t="str">
        <f>IF($D2637="","",IFERROR(INDEX('Paramètres'!$Q:$Q,MATCH($D2637,'Paramètres'!$M:$M,0))&amp;"",""))</f>
        <v/>
      </c>
      <c r="O2637" s="6" t="str">
        <f>IF($A2637="","",IF(OR($J2637&lt;&gt;"x",$A2637&lt;=FinReleve),1,0))</f>
        <v/>
      </c>
      <c r="P2637" s="6" t="str">
        <f>IF($D2637="","",IF(AND($L2637="Crédit",OR(IFERROR(INDEX('Paramètres'!$O:$O,MATCH($D2637,'Paramètres'!$M:$M,0))&amp;"","")&lt;&gt;"",ISNUMBER(SEARCH("remboursement",IFERROR(INDEX('Paramètres'!$N:$N,MATCH($D2637,'Paramètres'!$M:$M,0))&amp;"",""))))),1,0))</f>
        <v/>
      </c>
      <c r="Q2637" s="6" t="str">
        <f>IF($K2637="","",IF(ISNUMBER(SEARCH("transfert-interne",IFERROR(INDEX('Paramètres'!$N:$N,MATCH($D2637,'Paramètres'!$M:$M,0))&amp;"",""))),0,IF($L2637="Débit",$K2637,IF($P2637=1,-$K2637,0))))</f>
        <v/>
      </c>
      <c r="R2637" s="6" t="str">
        <f>IF($K2637="","",IF($L2637="Crédit",$K2637,-$K2637))</f>
        <v/>
      </c>
      <c r="S2637" s="6" t="str">
        <f>IF($C2637="","",IFERROR(INDEX('Paramètres'!$H:$H,MATCH($C2637,'Paramètres'!$D:$D,0))&amp;"",""))</f>
        <v/>
      </c>
      <c r="T2637" s="6" t="str">
        <f>IF($K2637="","",IF($S2637="",0,IF(ISNUMBER(SEARCH("apport-exterieur",IFERROR(INDEX('Paramètres'!$N:$N,MATCH($D2637,'Paramètres'!$M:$M,0))&amp;"",""))),0,IF(OR(IFERROR(INDEX('Paramètres'!$I:$I,MATCH($C2637,'Paramètres'!$D:$D,0))&amp;"","")="Les deux",IFERROR(INDEX('Paramètres'!$I:$I,MATCH($C2637,'Paramètres'!$D:$D,0))&amp;"","")=IF($P2637=1,"Débit",$L2637)),-IF($P2637=1,-$K2637,$K2637),0))))</f>
        <v/>
      </c>
      <c r="U2637" s="6" t="str">
        <f>IF($K2637="","",IF(ISNUMBER(SEARCH("sortie-epargne",IFERROR(INDEX('Paramètres'!$N:$N,MATCH($D2637,'Paramètres'!$M:$M,0))&amp;"",""))),$K2637,0))</f>
        <v/>
      </c>
      <c r="V2637" s="6" t="str">
        <f>IF(AND($A2637&lt;&gt;"",$O2637=1,$L2637="Débit",N($Q2637)&gt;0,$A2637&gt;=Visualisation!$B$1,$A2637&lt;Visualisation!$D$1),MAX($V$1:V2636)+1,"")</f>
        <v/>
      </c>
    </row>
    <row r="2638" spans="1:22" x14ac:dyDescent="0.25">
      <c r="A2638" s="9"/>
      <c r="E2638" s="10"/>
      <c r="K2638" s="11" t="str">
        <f>IF($E2638="","",ROUND($E2638*IF(ISNA(MATCH($C2638,'Paramètres'!$D:$D,0)),1,IF(INDEX('Paramètres'!$J:$J,MATCH($C2638,'Paramètres'!$D:$D,0))="",1,INDEX('Paramètres'!$J:$J,MATCH($C2638,'Paramètres'!$D:$D,0)))),2))</f>
        <v/>
      </c>
      <c r="L2638" s="6" t="str">
        <f>IF($D2638="","",IF($F2638&lt;&gt;"",$F2638,IF(ISNA(MATCH($D2638,'Paramètres'!$M:$M,0)),"⚠ Type inconnu",IFERROR(INDEX('Paramètres'!$P:$P,MATCH($D2638,'Paramètres'!$M:$M,0))&amp;"",""))))</f>
        <v/>
      </c>
      <c r="M2638" s="6" t="str">
        <f>IF($D2638="","",IF(ISNA(MATCH($D2638,'Paramètres'!$M:$M,0)),"⚠ Type inconnu",IF($L2638="Crédit","",IFERROR(INDEX('Paramètres'!$O:$O,MATCH($D2638,'Paramètres'!$M:$M,0))&amp;"",""))))</f>
        <v/>
      </c>
      <c r="N2638" s="6" t="str">
        <f>IF($D2638="","",IFERROR(INDEX('Paramètres'!$Q:$Q,MATCH($D2638,'Paramètres'!$M:$M,0))&amp;"",""))</f>
        <v/>
      </c>
      <c r="O2638" s="6" t="str">
        <f>IF($A2638="","",IF(OR($J2638&lt;&gt;"x",$A2638&lt;=FinReleve),1,0))</f>
        <v/>
      </c>
      <c r="P2638" s="6" t="str">
        <f>IF($D2638="","",IF(AND($L2638="Crédit",OR(IFERROR(INDEX('Paramètres'!$O:$O,MATCH($D2638,'Paramètres'!$M:$M,0))&amp;"","")&lt;&gt;"",ISNUMBER(SEARCH("remboursement",IFERROR(INDEX('Paramètres'!$N:$N,MATCH($D2638,'Paramètres'!$M:$M,0))&amp;"",""))))),1,0))</f>
        <v/>
      </c>
      <c r="Q2638" s="6" t="str">
        <f>IF($K2638="","",IF(ISNUMBER(SEARCH("transfert-interne",IFERROR(INDEX('Paramètres'!$N:$N,MATCH($D2638,'Paramètres'!$M:$M,0))&amp;"",""))),0,IF($L2638="Débit",$K2638,IF($P2638=1,-$K2638,0))))</f>
        <v/>
      </c>
      <c r="R2638" s="6" t="str">
        <f>IF($K2638="","",IF($L2638="Crédit",$K2638,-$K2638))</f>
        <v/>
      </c>
      <c r="S2638" s="6" t="str">
        <f>IF($C2638="","",IFERROR(INDEX('Paramètres'!$H:$H,MATCH($C2638,'Paramètres'!$D:$D,0))&amp;"",""))</f>
        <v/>
      </c>
      <c r="T2638" s="6" t="str">
        <f>IF($K2638="","",IF($S2638="",0,IF(ISNUMBER(SEARCH("apport-exterieur",IFERROR(INDEX('Paramètres'!$N:$N,MATCH($D2638,'Paramètres'!$M:$M,0))&amp;"",""))),0,IF(OR(IFERROR(INDEX('Paramètres'!$I:$I,MATCH($C2638,'Paramètres'!$D:$D,0))&amp;"","")="Les deux",IFERROR(INDEX('Paramètres'!$I:$I,MATCH($C2638,'Paramètres'!$D:$D,0))&amp;"","")=IF($P2638=1,"Débit",$L2638)),-IF($P2638=1,-$K2638,$K2638),0))))</f>
        <v/>
      </c>
      <c r="U2638" s="6" t="str">
        <f>IF($K2638="","",IF(ISNUMBER(SEARCH("sortie-epargne",IFERROR(INDEX('Paramètres'!$N:$N,MATCH($D2638,'Paramètres'!$M:$M,0))&amp;"",""))),$K2638,0))</f>
        <v/>
      </c>
      <c r="V2638" s="6" t="str">
        <f>IF(AND($A2638&lt;&gt;"",$O2638=1,$L2638="Débit",N($Q2638)&gt;0,$A2638&gt;=Visualisation!$B$1,$A2638&lt;Visualisation!$D$1),MAX($V$1:V2637)+1,"")</f>
        <v/>
      </c>
    </row>
    <row r="2639" spans="1:22" x14ac:dyDescent="0.25">
      <c r="A2639" s="9"/>
      <c r="E2639" s="10"/>
      <c r="K2639" s="11" t="str">
        <f>IF($E2639="","",ROUND($E2639*IF(ISNA(MATCH($C2639,'Paramètres'!$D:$D,0)),1,IF(INDEX('Paramètres'!$J:$J,MATCH($C2639,'Paramètres'!$D:$D,0))="",1,INDEX('Paramètres'!$J:$J,MATCH($C2639,'Paramètres'!$D:$D,0)))),2))</f>
        <v/>
      </c>
      <c r="L2639" s="6" t="str">
        <f>IF($D2639="","",IF($F2639&lt;&gt;"",$F2639,IF(ISNA(MATCH($D2639,'Paramètres'!$M:$M,0)),"⚠ Type inconnu",IFERROR(INDEX('Paramètres'!$P:$P,MATCH($D2639,'Paramètres'!$M:$M,0))&amp;"",""))))</f>
        <v/>
      </c>
      <c r="M2639" s="6" t="str">
        <f>IF($D2639="","",IF(ISNA(MATCH($D2639,'Paramètres'!$M:$M,0)),"⚠ Type inconnu",IF($L2639="Crédit","",IFERROR(INDEX('Paramètres'!$O:$O,MATCH($D2639,'Paramètres'!$M:$M,0))&amp;"",""))))</f>
        <v/>
      </c>
      <c r="N2639" s="6" t="str">
        <f>IF($D2639="","",IFERROR(INDEX('Paramètres'!$Q:$Q,MATCH($D2639,'Paramètres'!$M:$M,0))&amp;"",""))</f>
        <v/>
      </c>
      <c r="O2639" s="6" t="str">
        <f>IF($A2639="","",IF(OR($J2639&lt;&gt;"x",$A2639&lt;=FinReleve),1,0))</f>
        <v/>
      </c>
      <c r="P2639" s="6" t="str">
        <f>IF($D2639="","",IF(AND($L2639="Crédit",OR(IFERROR(INDEX('Paramètres'!$O:$O,MATCH($D2639,'Paramètres'!$M:$M,0))&amp;"","")&lt;&gt;"",ISNUMBER(SEARCH("remboursement",IFERROR(INDEX('Paramètres'!$N:$N,MATCH($D2639,'Paramètres'!$M:$M,0))&amp;"",""))))),1,0))</f>
        <v/>
      </c>
      <c r="Q2639" s="6" t="str">
        <f>IF($K2639="","",IF(ISNUMBER(SEARCH("transfert-interne",IFERROR(INDEX('Paramètres'!$N:$N,MATCH($D2639,'Paramètres'!$M:$M,0))&amp;"",""))),0,IF($L2639="Débit",$K2639,IF($P2639=1,-$K2639,0))))</f>
        <v/>
      </c>
      <c r="R2639" s="6" t="str">
        <f>IF($K2639="","",IF($L2639="Crédit",$K2639,-$K2639))</f>
        <v/>
      </c>
      <c r="S2639" s="6" t="str">
        <f>IF($C2639="","",IFERROR(INDEX('Paramètres'!$H:$H,MATCH($C2639,'Paramètres'!$D:$D,0))&amp;"",""))</f>
        <v/>
      </c>
      <c r="T2639" s="6" t="str">
        <f>IF($K2639="","",IF($S2639="",0,IF(ISNUMBER(SEARCH("apport-exterieur",IFERROR(INDEX('Paramètres'!$N:$N,MATCH($D2639,'Paramètres'!$M:$M,0))&amp;"",""))),0,IF(OR(IFERROR(INDEX('Paramètres'!$I:$I,MATCH($C2639,'Paramètres'!$D:$D,0))&amp;"","")="Les deux",IFERROR(INDEX('Paramètres'!$I:$I,MATCH($C2639,'Paramètres'!$D:$D,0))&amp;"","")=IF($P2639=1,"Débit",$L2639)),-IF($P2639=1,-$K2639,$K2639),0))))</f>
        <v/>
      </c>
      <c r="U2639" s="6" t="str">
        <f>IF($K2639="","",IF(ISNUMBER(SEARCH("sortie-epargne",IFERROR(INDEX('Paramètres'!$N:$N,MATCH($D2639,'Paramètres'!$M:$M,0))&amp;"",""))),$K2639,0))</f>
        <v/>
      </c>
      <c r="V2639" s="6" t="str">
        <f>IF(AND($A2639&lt;&gt;"",$O2639=1,$L2639="Débit",N($Q2639)&gt;0,$A2639&gt;=Visualisation!$B$1,$A2639&lt;Visualisation!$D$1),MAX($V$1:V2638)+1,"")</f>
        <v/>
      </c>
    </row>
    <row r="2640" spans="1:22" x14ac:dyDescent="0.25">
      <c r="A2640" s="9"/>
      <c r="E2640" s="10"/>
      <c r="K2640" s="11" t="str">
        <f>IF($E2640="","",ROUND($E2640*IF(ISNA(MATCH($C2640,'Paramètres'!$D:$D,0)),1,IF(INDEX('Paramètres'!$J:$J,MATCH($C2640,'Paramètres'!$D:$D,0))="",1,INDEX('Paramètres'!$J:$J,MATCH($C2640,'Paramètres'!$D:$D,0)))),2))</f>
        <v/>
      </c>
      <c r="L2640" s="6" t="str">
        <f>IF($D2640="","",IF($F2640&lt;&gt;"",$F2640,IF(ISNA(MATCH($D2640,'Paramètres'!$M:$M,0)),"⚠ Type inconnu",IFERROR(INDEX('Paramètres'!$P:$P,MATCH($D2640,'Paramètres'!$M:$M,0))&amp;"",""))))</f>
        <v/>
      </c>
      <c r="M2640" s="6" t="str">
        <f>IF($D2640="","",IF(ISNA(MATCH($D2640,'Paramètres'!$M:$M,0)),"⚠ Type inconnu",IF($L2640="Crédit","",IFERROR(INDEX('Paramètres'!$O:$O,MATCH($D2640,'Paramètres'!$M:$M,0))&amp;"",""))))</f>
        <v/>
      </c>
      <c r="N2640" s="6" t="str">
        <f>IF($D2640="","",IFERROR(INDEX('Paramètres'!$Q:$Q,MATCH($D2640,'Paramètres'!$M:$M,0))&amp;"",""))</f>
        <v/>
      </c>
      <c r="O2640" s="6" t="str">
        <f>IF($A2640="","",IF(OR($J2640&lt;&gt;"x",$A2640&lt;=FinReleve),1,0))</f>
        <v/>
      </c>
      <c r="P2640" s="6" t="str">
        <f>IF($D2640="","",IF(AND($L2640="Crédit",OR(IFERROR(INDEX('Paramètres'!$O:$O,MATCH($D2640,'Paramètres'!$M:$M,0))&amp;"","")&lt;&gt;"",ISNUMBER(SEARCH("remboursement",IFERROR(INDEX('Paramètres'!$N:$N,MATCH($D2640,'Paramètres'!$M:$M,0))&amp;"",""))))),1,0))</f>
        <v/>
      </c>
      <c r="Q2640" s="6" t="str">
        <f>IF($K2640="","",IF(ISNUMBER(SEARCH("transfert-interne",IFERROR(INDEX('Paramètres'!$N:$N,MATCH($D2640,'Paramètres'!$M:$M,0))&amp;"",""))),0,IF($L2640="Débit",$K2640,IF($P2640=1,-$K2640,0))))</f>
        <v/>
      </c>
      <c r="R2640" s="6" t="str">
        <f>IF($K2640="","",IF($L2640="Crédit",$K2640,-$K2640))</f>
        <v/>
      </c>
      <c r="S2640" s="6" t="str">
        <f>IF($C2640="","",IFERROR(INDEX('Paramètres'!$H:$H,MATCH($C2640,'Paramètres'!$D:$D,0))&amp;"",""))</f>
        <v/>
      </c>
      <c r="T2640" s="6" t="str">
        <f>IF($K2640="","",IF($S2640="",0,IF(ISNUMBER(SEARCH("apport-exterieur",IFERROR(INDEX('Paramètres'!$N:$N,MATCH($D2640,'Paramètres'!$M:$M,0))&amp;"",""))),0,IF(OR(IFERROR(INDEX('Paramètres'!$I:$I,MATCH($C2640,'Paramètres'!$D:$D,0))&amp;"","")="Les deux",IFERROR(INDEX('Paramètres'!$I:$I,MATCH($C2640,'Paramètres'!$D:$D,0))&amp;"","")=IF($P2640=1,"Débit",$L2640)),-IF($P2640=1,-$K2640,$K2640),0))))</f>
        <v/>
      </c>
      <c r="U2640" s="6" t="str">
        <f>IF($K2640="","",IF(ISNUMBER(SEARCH("sortie-epargne",IFERROR(INDEX('Paramètres'!$N:$N,MATCH($D2640,'Paramètres'!$M:$M,0))&amp;"",""))),$K2640,0))</f>
        <v/>
      </c>
      <c r="V2640" s="6" t="str">
        <f>IF(AND($A2640&lt;&gt;"",$O2640=1,$L2640="Débit",N($Q2640)&gt;0,$A2640&gt;=Visualisation!$B$1,$A2640&lt;Visualisation!$D$1),MAX($V$1:V2639)+1,"")</f>
        <v/>
      </c>
    </row>
    <row r="2641" spans="1:22" x14ac:dyDescent="0.25">
      <c r="A2641" s="9"/>
      <c r="E2641" s="10"/>
      <c r="K2641" s="11" t="str">
        <f>IF($E2641="","",ROUND($E2641*IF(ISNA(MATCH($C2641,'Paramètres'!$D:$D,0)),1,IF(INDEX('Paramètres'!$J:$J,MATCH($C2641,'Paramètres'!$D:$D,0))="",1,INDEX('Paramètres'!$J:$J,MATCH($C2641,'Paramètres'!$D:$D,0)))),2))</f>
        <v/>
      </c>
      <c r="L2641" s="6" t="str">
        <f>IF($D2641="","",IF($F2641&lt;&gt;"",$F2641,IF(ISNA(MATCH($D2641,'Paramètres'!$M:$M,0)),"⚠ Type inconnu",IFERROR(INDEX('Paramètres'!$P:$P,MATCH($D2641,'Paramètres'!$M:$M,0))&amp;"",""))))</f>
        <v/>
      </c>
      <c r="M2641" s="6" t="str">
        <f>IF($D2641="","",IF(ISNA(MATCH($D2641,'Paramètres'!$M:$M,0)),"⚠ Type inconnu",IF($L2641="Crédit","",IFERROR(INDEX('Paramètres'!$O:$O,MATCH($D2641,'Paramètres'!$M:$M,0))&amp;"",""))))</f>
        <v/>
      </c>
      <c r="N2641" s="6" t="str">
        <f>IF($D2641="","",IFERROR(INDEX('Paramètres'!$Q:$Q,MATCH($D2641,'Paramètres'!$M:$M,0))&amp;"",""))</f>
        <v/>
      </c>
      <c r="O2641" s="6" t="str">
        <f>IF($A2641="","",IF(OR($J2641&lt;&gt;"x",$A2641&lt;=FinReleve),1,0))</f>
        <v/>
      </c>
      <c r="P2641" s="6" t="str">
        <f>IF($D2641="","",IF(AND($L2641="Crédit",OR(IFERROR(INDEX('Paramètres'!$O:$O,MATCH($D2641,'Paramètres'!$M:$M,0))&amp;"","")&lt;&gt;"",ISNUMBER(SEARCH("remboursement",IFERROR(INDEX('Paramètres'!$N:$N,MATCH($D2641,'Paramètres'!$M:$M,0))&amp;"",""))))),1,0))</f>
        <v/>
      </c>
      <c r="Q2641" s="6" t="str">
        <f>IF($K2641="","",IF(ISNUMBER(SEARCH("transfert-interne",IFERROR(INDEX('Paramètres'!$N:$N,MATCH($D2641,'Paramètres'!$M:$M,0))&amp;"",""))),0,IF($L2641="Débit",$K2641,IF($P2641=1,-$K2641,0))))</f>
        <v/>
      </c>
      <c r="R2641" s="6" t="str">
        <f>IF($K2641="","",IF($L2641="Crédit",$K2641,-$K2641))</f>
        <v/>
      </c>
      <c r="S2641" s="6" t="str">
        <f>IF($C2641="","",IFERROR(INDEX('Paramètres'!$H:$H,MATCH($C2641,'Paramètres'!$D:$D,0))&amp;"",""))</f>
        <v/>
      </c>
      <c r="T2641" s="6" t="str">
        <f>IF($K2641="","",IF($S2641="",0,IF(ISNUMBER(SEARCH("apport-exterieur",IFERROR(INDEX('Paramètres'!$N:$N,MATCH($D2641,'Paramètres'!$M:$M,0))&amp;"",""))),0,IF(OR(IFERROR(INDEX('Paramètres'!$I:$I,MATCH($C2641,'Paramètres'!$D:$D,0))&amp;"","")="Les deux",IFERROR(INDEX('Paramètres'!$I:$I,MATCH($C2641,'Paramètres'!$D:$D,0))&amp;"","")=IF($P2641=1,"Débit",$L2641)),-IF($P2641=1,-$K2641,$K2641),0))))</f>
        <v/>
      </c>
      <c r="U2641" s="6" t="str">
        <f>IF($K2641="","",IF(ISNUMBER(SEARCH("sortie-epargne",IFERROR(INDEX('Paramètres'!$N:$N,MATCH($D2641,'Paramètres'!$M:$M,0))&amp;"",""))),$K2641,0))</f>
        <v/>
      </c>
      <c r="V2641" s="6" t="str">
        <f>IF(AND($A2641&lt;&gt;"",$O2641=1,$L2641="Débit",N($Q2641)&gt;0,$A2641&gt;=Visualisation!$B$1,$A2641&lt;Visualisation!$D$1),MAX($V$1:V2640)+1,"")</f>
        <v/>
      </c>
    </row>
    <row r="2642" spans="1:22" x14ac:dyDescent="0.25">
      <c r="A2642" s="9"/>
      <c r="E2642" s="10"/>
      <c r="K2642" s="11" t="str">
        <f>IF($E2642="","",ROUND($E2642*IF(ISNA(MATCH($C2642,'Paramètres'!$D:$D,0)),1,IF(INDEX('Paramètres'!$J:$J,MATCH($C2642,'Paramètres'!$D:$D,0))="",1,INDEX('Paramètres'!$J:$J,MATCH($C2642,'Paramètres'!$D:$D,0)))),2))</f>
        <v/>
      </c>
      <c r="L2642" s="6" t="str">
        <f>IF($D2642="","",IF($F2642&lt;&gt;"",$F2642,IF(ISNA(MATCH($D2642,'Paramètres'!$M:$M,0)),"⚠ Type inconnu",IFERROR(INDEX('Paramètres'!$P:$P,MATCH($D2642,'Paramètres'!$M:$M,0))&amp;"",""))))</f>
        <v/>
      </c>
      <c r="M2642" s="6" t="str">
        <f>IF($D2642="","",IF(ISNA(MATCH($D2642,'Paramètres'!$M:$M,0)),"⚠ Type inconnu",IF($L2642="Crédit","",IFERROR(INDEX('Paramètres'!$O:$O,MATCH($D2642,'Paramètres'!$M:$M,0))&amp;"",""))))</f>
        <v/>
      </c>
      <c r="N2642" s="6" t="str">
        <f>IF($D2642="","",IFERROR(INDEX('Paramètres'!$Q:$Q,MATCH($D2642,'Paramètres'!$M:$M,0))&amp;"",""))</f>
        <v/>
      </c>
      <c r="O2642" s="6" t="str">
        <f>IF($A2642="","",IF(OR($J2642&lt;&gt;"x",$A2642&lt;=FinReleve),1,0))</f>
        <v/>
      </c>
      <c r="P2642" s="6" t="str">
        <f>IF($D2642="","",IF(AND($L2642="Crédit",OR(IFERROR(INDEX('Paramètres'!$O:$O,MATCH($D2642,'Paramètres'!$M:$M,0))&amp;"","")&lt;&gt;"",ISNUMBER(SEARCH("remboursement",IFERROR(INDEX('Paramètres'!$N:$N,MATCH($D2642,'Paramètres'!$M:$M,0))&amp;"",""))))),1,0))</f>
        <v/>
      </c>
      <c r="Q2642" s="6" t="str">
        <f>IF($K2642="","",IF(ISNUMBER(SEARCH("transfert-interne",IFERROR(INDEX('Paramètres'!$N:$N,MATCH($D2642,'Paramètres'!$M:$M,0))&amp;"",""))),0,IF($L2642="Débit",$K2642,IF($P2642=1,-$K2642,0))))</f>
        <v/>
      </c>
      <c r="R2642" s="6" t="str">
        <f>IF($K2642="","",IF($L2642="Crédit",$K2642,-$K2642))</f>
        <v/>
      </c>
      <c r="S2642" s="6" t="str">
        <f>IF($C2642="","",IFERROR(INDEX('Paramètres'!$H:$H,MATCH($C2642,'Paramètres'!$D:$D,0))&amp;"",""))</f>
        <v/>
      </c>
      <c r="T2642" s="6" t="str">
        <f>IF($K2642="","",IF($S2642="",0,IF(ISNUMBER(SEARCH("apport-exterieur",IFERROR(INDEX('Paramètres'!$N:$N,MATCH($D2642,'Paramètres'!$M:$M,0))&amp;"",""))),0,IF(OR(IFERROR(INDEX('Paramètres'!$I:$I,MATCH($C2642,'Paramètres'!$D:$D,0))&amp;"","")="Les deux",IFERROR(INDEX('Paramètres'!$I:$I,MATCH($C2642,'Paramètres'!$D:$D,0))&amp;"","")=IF($P2642=1,"Débit",$L2642)),-IF($P2642=1,-$K2642,$K2642),0))))</f>
        <v/>
      </c>
      <c r="U2642" s="6" t="str">
        <f>IF($K2642="","",IF(ISNUMBER(SEARCH("sortie-epargne",IFERROR(INDEX('Paramètres'!$N:$N,MATCH($D2642,'Paramètres'!$M:$M,0))&amp;"",""))),$K2642,0))</f>
        <v/>
      </c>
      <c r="V2642" s="6" t="str">
        <f>IF(AND($A2642&lt;&gt;"",$O2642=1,$L2642="Débit",N($Q2642)&gt;0,$A2642&gt;=Visualisation!$B$1,$A2642&lt;Visualisation!$D$1),MAX($V$1:V2641)+1,"")</f>
        <v/>
      </c>
    </row>
    <row r="2643" spans="1:22" x14ac:dyDescent="0.25">
      <c r="A2643" s="9"/>
      <c r="E2643" s="10"/>
      <c r="K2643" s="11" t="str">
        <f>IF($E2643="","",ROUND($E2643*IF(ISNA(MATCH($C2643,'Paramètres'!$D:$D,0)),1,IF(INDEX('Paramètres'!$J:$J,MATCH($C2643,'Paramètres'!$D:$D,0))="",1,INDEX('Paramètres'!$J:$J,MATCH($C2643,'Paramètres'!$D:$D,0)))),2))</f>
        <v/>
      </c>
      <c r="L2643" s="6" t="str">
        <f>IF($D2643="","",IF($F2643&lt;&gt;"",$F2643,IF(ISNA(MATCH($D2643,'Paramètres'!$M:$M,0)),"⚠ Type inconnu",IFERROR(INDEX('Paramètres'!$P:$P,MATCH($D2643,'Paramètres'!$M:$M,0))&amp;"",""))))</f>
        <v/>
      </c>
      <c r="M2643" s="6" t="str">
        <f>IF($D2643="","",IF(ISNA(MATCH($D2643,'Paramètres'!$M:$M,0)),"⚠ Type inconnu",IF($L2643="Crédit","",IFERROR(INDEX('Paramètres'!$O:$O,MATCH($D2643,'Paramètres'!$M:$M,0))&amp;"",""))))</f>
        <v/>
      </c>
      <c r="N2643" s="6" t="str">
        <f>IF($D2643="","",IFERROR(INDEX('Paramètres'!$Q:$Q,MATCH($D2643,'Paramètres'!$M:$M,0))&amp;"",""))</f>
        <v/>
      </c>
      <c r="O2643" s="6" t="str">
        <f>IF($A2643="","",IF(OR($J2643&lt;&gt;"x",$A2643&lt;=FinReleve),1,0))</f>
        <v/>
      </c>
      <c r="P2643" s="6" t="str">
        <f>IF($D2643="","",IF(AND($L2643="Crédit",OR(IFERROR(INDEX('Paramètres'!$O:$O,MATCH($D2643,'Paramètres'!$M:$M,0))&amp;"","")&lt;&gt;"",ISNUMBER(SEARCH("remboursement",IFERROR(INDEX('Paramètres'!$N:$N,MATCH($D2643,'Paramètres'!$M:$M,0))&amp;"",""))))),1,0))</f>
        <v/>
      </c>
      <c r="Q2643" s="6" t="str">
        <f>IF($K2643="","",IF(ISNUMBER(SEARCH("transfert-interne",IFERROR(INDEX('Paramètres'!$N:$N,MATCH($D2643,'Paramètres'!$M:$M,0))&amp;"",""))),0,IF($L2643="Débit",$K2643,IF($P2643=1,-$K2643,0))))</f>
        <v/>
      </c>
      <c r="R2643" s="6" t="str">
        <f>IF($K2643="","",IF($L2643="Crédit",$K2643,-$K2643))</f>
        <v/>
      </c>
      <c r="S2643" s="6" t="str">
        <f>IF($C2643="","",IFERROR(INDEX('Paramètres'!$H:$H,MATCH($C2643,'Paramètres'!$D:$D,0))&amp;"",""))</f>
        <v/>
      </c>
      <c r="T2643" s="6" t="str">
        <f>IF($K2643="","",IF($S2643="",0,IF(ISNUMBER(SEARCH("apport-exterieur",IFERROR(INDEX('Paramètres'!$N:$N,MATCH($D2643,'Paramètres'!$M:$M,0))&amp;"",""))),0,IF(OR(IFERROR(INDEX('Paramètres'!$I:$I,MATCH($C2643,'Paramètres'!$D:$D,0))&amp;"","")="Les deux",IFERROR(INDEX('Paramètres'!$I:$I,MATCH($C2643,'Paramètres'!$D:$D,0))&amp;"","")=IF($P2643=1,"Débit",$L2643)),-IF($P2643=1,-$K2643,$K2643),0))))</f>
        <v/>
      </c>
      <c r="U2643" s="6" t="str">
        <f>IF($K2643="","",IF(ISNUMBER(SEARCH("sortie-epargne",IFERROR(INDEX('Paramètres'!$N:$N,MATCH($D2643,'Paramètres'!$M:$M,0))&amp;"",""))),$K2643,0))</f>
        <v/>
      </c>
      <c r="V2643" s="6" t="str">
        <f>IF(AND($A2643&lt;&gt;"",$O2643=1,$L2643="Débit",N($Q2643)&gt;0,$A2643&gt;=Visualisation!$B$1,$A2643&lt;Visualisation!$D$1),MAX($V$1:V2642)+1,"")</f>
        <v/>
      </c>
    </row>
    <row r="2644" spans="1:22" x14ac:dyDescent="0.25">
      <c r="A2644" s="9"/>
      <c r="E2644" s="10"/>
      <c r="K2644" s="11" t="str">
        <f>IF($E2644="","",ROUND($E2644*IF(ISNA(MATCH($C2644,'Paramètres'!$D:$D,0)),1,IF(INDEX('Paramètres'!$J:$J,MATCH($C2644,'Paramètres'!$D:$D,0))="",1,INDEX('Paramètres'!$J:$J,MATCH($C2644,'Paramètres'!$D:$D,0)))),2))</f>
        <v/>
      </c>
      <c r="L2644" s="6" t="str">
        <f>IF($D2644="","",IF($F2644&lt;&gt;"",$F2644,IF(ISNA(MATCH($D2644,'Paramètres'!$M:$M,0)),"⚠ Type inconnu",IFERROR(INDEX('Paramètres'!$P:$P,MATCH($D2644,'Paramètres'!$M:$M,0))&amp;"",""))))</f>
        <v/>
      </c>
      <c r="M2644" s="6" t="str">
        <f>IF($D2644="","",IF(ISNA(MATCH($D2644,'Paramètres'!$M:$M,0)),"⚠ Type inconnu",IF($L2644="Crédit","",IFERROR(INDEX('Paramètres'!$O:$O,MATCH($D2644,'Paramètres'!$M:$M,0))&amp;"",""))))</f>
        <v/>
      </c>
      <c r="N2644" s="6" t="str">
        <f>IF($D2644="","",IFERROR(INDEX('Paramètres'!$Q:$Q,MATCH($D2644,'Paramètres'!$M:$M,0))&amp;"",""))</f>
        <v/>
      </c>
      <c r="O2644" s="6" t="str">
        <f>IF($A2644="","",IF(OR($J2644&lt;&gt;"x",$A2644&lt;=FinReleve),1,0))</f>
        <v/>
      </c>
      <c r="P2644" s="6" t="str">
        <f>IF($D2644="","",IF(AND($L2644="Crédit",OR(IFERROR(INDEX('Paramètres'!$O:$O,MATCH($D2644,'Paramètres'!$M:$M,0))&amp;"","")&lt;&gt;"",ISNUMBER(SEARCH("remboursement",IFERROR(INDEX('Paramètres'!$N:$N,MATCH($D2644,'Paramètres'!$M:$M,0))&amp;"",""))))),1,0))</f>
        <v/>
      </c>
      <c r="Q2644" s="6" t="str">
        <f>IF($K2644="","",IF(ISNUMBER(SEARCH("transfert-interne",IFERROR(INDEX('Paramètres'!$N:$N,MATCH($D2644,'Paramètres'!$M:$M,0))&amp;"",""))),0,IF($L2644="Débit",$K2644,IF($P2644=1,-$K2644,0))))</f>
        <v/>
      </c>
      <c r="R2644" s="6" t="str">
        <f>IF($K2644="","",IF($L2644="Crédit",$K2644,-$K2644))</f>
        <v/>
      </c>
      <c r="S2644" s="6" t="str">
        <f>IF($C2644="","",IFERROR(INDEX('Paramètres'!$H:$H,MATCH($C2644,'Paramètres'!$D:$D,0))&amp;"",""))</f>
        <v/>
      </c>
      <c r="T2644" s="6" t="str">
        <f>IF($K2644="","",IF($S2644="",0,IF(ISNUMBER(SEARCH("apport-exterieur",IFERROR(INDEX('Paramètres'!$N:$N,MATCH($D2644,'Paramètres'!$M:$M,0))&amp;"",""))),0,IF(OR(IFERROR(INDEX('Paramètres'!$I:$I,MATCH($C2644,'Paramètres'!$D:$D,0))&amp;"","")="Les deux",IFERROR(INDEX('Paramètres'!$I:$I,MATCH($C2644,'Paramètres'!$D:$D,0))&amp;"","")=IF($P2644=1,"Débit",$L2644)),-IF($P2644=1,-$K2644,$K2644),0))))</f>
        <v/>
      </c>
      <c r="U2644" s="6" t="str">
        <f>IF($K2644="","",IF(ISNUMBER(SEARCH("sortie-epargne",IFERROR(INDEX('Paramètres'!$N:$N,MATCH($D2644,'Paramètres'!$M:$M,0))&amp;"",""))),$K2644,0))</f>
        <v/>
      </c>
      <c r="V2644" s="6" t="str">
        <f>IF(AND($A2644&lt;&gt;"",$O2644=1,$L2644="Débit",N($Q2644)&gt;0,$A2644&gt;=Visualisation!$B$1,$A2644&lt;Visualisation!$D$1),MAX($V$1:V2643)+1,"")</f>
        <v/>
      </c>
    </row>
    <row r="2645" spans="1:22" x14ac:dyDescent="0.25">
      <c r="A2645" s="9"/>
      <c r="E2645" s="10"/>
      <c r="K2645" s="11" t="str">
        <f>IF($E2645="","",ROUND($E2645*IF(ISNA(MATCH($C2645,'Paramètres'!$D:$D,0)),1,IF(INDEX('Paramètres'!$J:$J,MATCH($C2645,'Paramètres'!$D:$D,0))="",1,INDEX('Paramètres'!$J:$J,MATCH($C2645,'Paramètres'!$D:$D,0)))),2))</f>
        <v/>
      </c>
      <c r="L2645" s="6" t="str">
        <f>IF($D2645="","",IF($F2645&lt;&gt;"",$F2645,IF(ISNA(MATCH($D2645,'Paramètres'!$M:$M,0)),"⚠ Type inconnu",IFERROR(INDEX('Paramètres'!$P:$P,MATCH($D2645,'Paramètres'!$M:$M,0))&amp;"",""))))</f>
        <v/>
      </c>
      <c r="M2645" s="6" t="str">
        <f>IF($D2645="","",IF(ISNA(MATCH($D2645,'Paramètres'!$M:$M,0)),"⚠ Type inconnu",IF($L2645="Crédit","",IFERROR(INDEX('Paramètres'!$O:$O,MATCH($D2645,'Paramètres'!$M:$M,0))&amp;"",""))))</f>
        <v/>
      </c>
      <c r="N2645" s="6" t="str">
        <f>IF($D2645="","",IFERROR(INDEX('Paramètres'!$Q:$Q,MATCH($D2645,'Paramètres'!$M:$M,0))&amp;"",""))</f>
        <v/>
      </c>
      <c r="O2645" s="6" t="str">
        <f>IF($A2645="","",IF(OR($J2645&lt;&gt;"x",$A2645&lt;=FinReleve),1,0))</f>
        <v/>
      </c>
      <c r="P2645" s="6" t="str">
        <f>IF($D2645="","",IF(AND($L2645="Crédit",OR(IFERROR(INDEX('Paramètres'!$O:$O,MATCH($D2645,'Paramètres'!$M:$M,0))&amp;"","")&lt;&gt;"",ISNUMBER(SEARCH("remboursement",IFERROR(INDEX('Paramètres'!$N:$N,MATCH($D2645,'Paramètres'!$M:$M,0))&amp;"",""))))),1,0))</f>
        <v/>
      </c>
      <c r="Q2645" s="6" t="str">
        <f>IF($K2645="","",IF(ISNUMBER(SEARCH("transfert-interne",IFERROR(INDEX('Paramètres'!$N:$N,MATCH($D2645,'Paramètres'!$M:$M,0))&amp;"",""))),0,IF($L2645="Débit",$K2645,IF($P2645=1,-$K2645,0))))</f>
        <v/>
      </c>
      <c r="R2645" s="6" t="str">
        <f>IF($K2645="","",IF($L2645="Crédit",$K2645,-$K2645))</f>
        <v/>
      </c>
      <c r="S2645" s="6" t="str">
        <f>IF($C2645="","",IFERROR(INDEX('Paramètres'!$H:$H,MATCH($C2645,'Paramètres'!$D:$D,0))&amp;"",""))</f>
        <v/>
      </c>
      <c r="T2645" s="6" t="str">
        <f>IF($K2645="","",IF($S2645="",0,IF(ISNUMBER(SEARCH("apport-exterieur",IFERROR(INDEX('Paramètres'!$N:$N,MATCH($D2645,'Paramètres'!$M:$M,0))&amp;"",""))),0,IF(OR(IFERROR(INDEX('Paramètres'!$I:$I,MATCH($C2645,'Paramètres'!$D:$D,0))&amp;"","")="Les deux",IFERROR(INDEX('Paramètres'!$I:$I,MATCH($C2645,'Paramètres'!$D:$D,0))&amp;"","")=IF($P2645=1,"Débit",$L2645)),-IF($P2645=1,-$K2645,$K2645),0))))</f>
        <v/>
      </c>
      <c r="U2645" s="6" t="str">
        <f>IF($K2645="","",IF(ISNUMBER(SEARCH("sortie-epargne",IFERROR(INDEX('Paramètres'!$N:$N,MATCH($D2645,'Paramètres'!$M:$M,0))&amp;"",""))),$K2645,0))</f>
        <v/>
      </c>
      <c r="V2645" s="6" t="str">
        <f>IF(AND($A2645&lt;&gt;"",$O2645=1,$L2645="Débit",N($Q2645)&gt;0,$A2645&gt;=Visualisation!$B$1,$A2645&lt;Visualisation!$D$1),MAX($V$1:V2644)+1,"")</f>
        <v/>
      </c>
    </row>
    <row r="2646" spans="1:22" x14ac:dyDescent="0.25">
      <c r="A2646" s="9"/>
      <c r="E2646" s="10"/>
      <c r="K2646" s="11" t="str">
        <f>IF($E2646="","",ROUND($E2646*IF(ISNA(MATCH($C2646,'Paramètres'!$D:$D,0)),1,IF(INDEX('Paramètres'!$J:$J,MATCH($C2646,'Paramètres'!$D:$D,0))="",1,INDEX('Paramètres'!$J:$J,MATCH($C2646,'Paramètres'!$D:$D,0)))),2))</f>
        <v/>
      </c>
      <c r="L2646" s="6" t="str">
        <f>IF($D2646="","",IF($F2646&lt;&gt;"",$F2646,IF(ISNA(MATCH($D2646,'Paramètres'!$M:$M,0)),"⚠ Type inconnu",IFERROR(INDEX('Paramètres'!$P:$P,MATCH($D2646,'Paramètres'!$M:$M,0))&amp;"",""))))</f>
        <v/>
      </c>
      <c r="M2646" s="6" t="str">
        <f>IF($D2646="","",IF(ISNA(MATCH($D2646,'Paramètres'!$M:$M,0)),"⚠ Type inconnu",IF($L2646="Crédit","",IFERROR(INDEX('Paramètres'!$O:$O,MATCH($D2646,'Paramètres'!$M:$M,0))&amp;"",""))))</f>
        <v/>
      </c>
      <c r="N2646" s="6" t="str">
        <f>IF($D2646="","",IFERROR(INDEX('Paramètres'!$Q:$Q,MATCH($D2646,'Paramètres'!$M:$M,0))&amp;"",""))</f>
        <v/>
      </c>
      <c r="O2646" s="6" t="str">
        <f>IF($A2646="","",IF(OR($J2646&lt;&gt;"x",$A2646&lt;=FinReleve),1,0))</f>
        <v/>
      </c>
      <c r="P2646" s="6" t="str">
        <f>IF($D2646="","",IF(AND($L2646="Crédit",OR(IFERROR(INDEX('Paramètres'!$O:$O,MATCH($D2646,'Paramètres'!$M:$M,0))&amp;"","")&lt;&gt;"",ISNUMBER(SEARCH("remboursement",IFERROR(INDEX('Paramètres'!$N:$N,MATCH($D2646,'Paramètres'!$M:$M,0))&amp;"",""))))),1,0))</f>
        <v/>
      </c>
      <c r="Q2646" s="6" t="str">
        <f>IF($K2646="","",IF(ISNUMBER(SEARCH("transfert-interne",IFERROR(INDEX('Paramètres'!$N:$N,MATCH($D2646,'Paramètres'!$M:$M,0))&amp;"",""))),0,IF($L2646="Débit",$K2646,IF($P2646=1,-$K2646,0))))</f>
        <v/>
      </c>
      <c r="R2646" s="6" t="str">
        <f>IF($K2646="","",IF($L2646="Crédit",$K2646,-$K2646))</f>
        <v/>
      </c>
      <c r="S2646" s="6" t="str">
        <f>IF($C2646="","",IFERROR(INDEX('Paramètres'!$H:$H,MATCH($C2646,'Paramètres'!$D:$D,0))&amp;"",""))</f>
        <v/>
      </c>
      <c r="T2646" s="6" t="str">
        <f>IF($K2646="","",IF($S2646="",0,IF(ISNUMBER(SEARCH("apport-exterieur",IFERROR(INDEX('Paramètres'!$N:$N,MATCH($D2646,'Paramètres'!$M:$M,0))&amp;"",""))),0,IF(OR(IFERROR(INDEX('Paramètres'!$I:$I,MATCH($C2646,'Paramètres'!$D:$D,0))&amp;"","")="Les deux",IFERROR(INDEX('Paramètres'!$I:$I,MATCH($C2646,'Paramètres'!$D:$D,0))&amp;"","")=IF($P2646=1,"Débit",$L2646)),-IF($P2646=1,-$K2646,$K2646),0))))</f>
        <v/>
      </c>
      <c r="U2646" s="6" t="str">
        <f>IF($K2646="","",IF(ISNUMBER(SEARCH("sortie-epargne",IFERROR(INDEX('Paramètres'!$N:$N,MATCH($D2646,'Paramètres'!$M:$M,0))&amp;"",""))),$K2646,0))</f>
        <v/>
      </c>
      <c r="V2646" s="6" t="str">
        <f>IF(AND($A2646&lt;&gt;"",$O2646=1,$L2646="Débit",N($Q2646)&gt;0,$A2646&gt;=Visualisation!$B$1,$A2646&lt;Visualisation!$D$1),MAX($V$1:V2645)+1,"")</f>
        <v/>
      </c>
    </row>
    <row r="2647" spans="1:22" x14ac:dyDescent="0.25">
      <c r="A2647" s="9"/>
      <c r="E2647" s="10"/>
      <c r="K2647" s="11" t="str">
        <f>IF($E2647="","",ROUND($E2647*IF(ISNA(MATCH($C2647,'Paramètres'!$D:$D,0)),1,IF(INDEX('Paramètres'!$J:$J,MATCH($C2647,'Paramètres'!$D:$D,0))="",1,INDEX('Paramètres'!$J:$J,MATCH($C2647,'Paramètres'!$D:$D,0)))),2))</f>
        <v/>
      </c>
      <c r="L2647" s="6" t="str">
        <f>IF($D2647="","",IF($F2647&lt;&gt;"",$F2647,IF(ISNA(MATCH($D2647,'Paramètres'!$M:$M,0)),"⚠ Type inconnu",IFERROR(INDEX('Paramètres'!$P:$P,MATCH($D2647,'Paramètres'!$M:$M,0))&amp;"",""))))</f>
        <v/>
      </c>
      <c r="M2647" s="6" t="str">
        <f>IF($D2647="","",IF(ISNA(MATCH($D2647,'Paramètres'!$M:$M,0)),"⚠ Type inconnu",IF($L2647="Crédit","",IFERROR(INDEX('Paramètres'!$O:$O,MATCH($D2647,'Paramètres'!$M:$M,0))&amp;"",""))))</f>
        <v/>
      </c>
      <c r="N2647" s="6" t="str">
        <f>IF($D2647="","",IFERROR(INDEX('Paramètres'!$Q:$Q,MATCH($D2647,'Paramètres'!$M:$M,0))&amp;"",""))</f>
        <v/>
      </c>
      <c r="O2647" s="6" t="str">
        <f>IF($A2647="","",IF(OR($J2647&lt;&gt;"x",$A2647&lt;=FinReleve),1,0))</f>
        <v/>
      </c>
      <c r="P2647" s="6" t="str">
        <f>IF($D2647="","",IF(AND($L2647="Crédit",OR(IFERROR(INDEX('Paramètres'!$O:$O,MATCH($D2647,'Paramètres'!$M:$M,0))&amp;"","")&lt;&gt;"",ISNUMBER(SEARCH("remboursement",IFERROR(INDEX('Paramètres'!$N:$N,MATCH($D2647,'Paramètres'!$M:$M,0))&amp;"",""))))),1,0))</f>
        <v/>
      </c>
      <c r="Q2647" s="6" t="str">
        <f>IF($K2647="","",IF(ISNUMBER(SEARCH("transfert-interne",IFERROR(INDEX('Paramètres'!$N:$N,MATCH($D2647,'Paramètres'!$M:$M,0))&amp;"",""))),0,IF($L2647="Débit",$K2647,IF($P2647=1,-$K2647,0))))</f>
        <v/>
      </c>
      <c r="R2647" s="6" t="str">
        <f>IF($K2647="","",IF($L2647="Crédit",$K2647,-$K2647))</f>
        <v/>
      </c>
      <c r="S2647" s="6" t="str">
        <f>IF($C2647="","",IFERROR(INDEX('Paramètres'!$H:$H,MATCH($C2647,'Paramètres'!$D:$D,0))&amp;"",""))</f>
        <v/>
      </c>
      <c r="T2647" s="6" t="str">
        <f>IF($K2647="","",IF($S2647="",0,IF(ISNUMBER(SEARCH("apport-exterieur",IFERROR(INDEX('Paramètres'!$N:$N,MATCH($D2647,'Paramètres'!$M:$M,0))&amp;"",""))),0,IF(OR(IFERROR(INDEX('Paramètres'!$I:$I,MATCH($C2647,'Paramètres'!$D:$D,0))&amp;"","")="Les deux",IFERROR(INDEX('Paramètres'!$I:$I,MATCH($C2647,'Paramètres'!$D:$D,0))&amp;"","")=IF($P2647=1,"Débit",$L2647)),-IF($P2647=1,-$K2647,$K2647),0))))</f>
        <v/>
      </c>
      <c r="U2647" s="6" t="str">
        <f>IF($K2647="","",IF(ISNUMBER(SEARCH("sortie-epargne",IFERROR(INDEX('Paramètres'!$N:$N,MATCH($D2647,'Paramètres'!$M:$M,0))&amp;"",""))),$K2647,0))</f>
        <v/>
      </c>
      <c r="V2647" s="6" t="str">
        <f>IF(AND($A2647&lt;&gt;"",$O2647=1,$L2647="Débit",N($Q2647)&gt;0,$A2647&gt;=Visualisation!$B$1,$A2647&lt;Visualisation!$D$1),MAX($V$1:V2646)+1,"")</f>
        <v/>
      </c>
    </row>
    <row r="2648" spans="1:22" x14ac:dyDescent="0.25">
      <c r="A2648" s="9"/>
      <c r="E2648" s="10"/>
      <c r="K2648" s="11" t="str">
        <f>IF($E2648="","",ROUND($E2648*IF(ISNA(MATCH($C2648,'Paramètres'!$D:$D,0)),1,IF(INDEX('Paramètres'!$J:$J,MATCH($C2648,'Paramètres'!$D:$D,0))="",1,INDEX('Paramètres'!$J:$J,MATCH($C2648,'Paramètres'!$D:$D,0)))),2))</f>
        <v/>
      </c>
      <c r="L2648" s="6" t="str">
        <f>IF($D2648="","",IF($F2648&lt;&gt;"",$F2648,IF(ISNA(MATCH($D2648,'Paramètres'!$M:$M,0)),"⚠ Type inconnu",IFERROR(INDEX('Paramètres'!$P:$P,MATCH($D2648,'Paramètres'!$M:$M,0))&amp;"",""))))</f>
        <v/>
      </c>
      <c r="M2648" s="6" t="str">
        <f>IF($D2648="","",IF(ISNA(MATCH($D2648,'Paramètres'!$M:$M,0)),"⚠ Type inconnu",IF($L2648="Crédit","",IFERROR(INDEX('Paramètres'!$O:$O,MATCH($D2648,'Paramètres'!$M:$M,0))&amp;"",""))))</f>
        <v/>
      </c>
      <c r="N2648" s="6" t="str">
        <f>IF($D2648="","",IFERROR(INDEX('Paramètres'!$Q:$Q,MATCH($D2648,'Paramètres'!$M:$M,0))&amp;"",""))</f>
        <v/>
      </c>
      <c r="O2648" s="6" t="str">
        <f>IF($A2648="","",IF(OR($J2648&lt;&gt;"x",$A2648&lt;=FinReleve),1,0))</f>
        <v/>
      </c>
      <c r="P2648" s="6" t="str">
        <f>IF($D2648="","",IF(AND($L2648="Crédit",OR(IFERROR(INDEX('Paramètres'!$O:$O,MATCH($D2648,'Paramètres'!$M:$M,0))&amp;"","")&lt;&gt;"",ISNUMBER(SEARCH("remboursement",IFERROR(INDEX('Paramètres'!$N:$N,MATCH($D2648,'Paramètres'!$M:$M,0))&amp;"",""))))),1,0))</f>
        <v/>
      </c>
      <c r="Q2648" s="6" t="str">
        <f>IF($K2648="","",IF(ISNUMBER(SEARCH("transfert-interne",IFERROR(INDEX('Paramètres'!$N:$N,MATCH($D2648,'Paramètres'!$M:$M,0))&amp;"",""))),0,IF($L2648="Débit",$K2648,IF($P2648=1,-$K2648,0))))</f>
        <v/>
      </c>
      <c r="R2648" s="6" t="str">
        <f>IF($K2648="","",IF($L2648="Crédit",$K2648,-$K2648))</f>
        <v/>
      </c>
      <c r="S2648" s="6" t="str">
        <f>IF($C2648="","",IFERROR(INDEX('Paramètres'!$H:$H,MATCH($C2648,'Paramètres'!$D:$D,0))&amp;"",""))</f>
        <v/>
      </c>
      <c r="T2648" s="6" t="str">
        <f>IF($K2648="","",IF($S2648="",0,IF(ISNUMBER(SEARCH("apport-exterieur",IFERROR(INDEX('Paramètres'!$N:$N,MATCH($D2648,'Paramètres'!$M:$M,0))&amp;"",""))),0,IF(OR(IFERROR(INDEX('Paramètres'!$I:$I,MATCH($C2648,'Paramètres'!$D:$D,0))&amp;"","")="Les deux",IFERROR(INDEX('Paramètres'!$I:$I,MATCH($C2648,'Paramètres'!$D:$D,0))&amp;"","")=IF($P2648=1,"Débit",$L2648)),-IF($P2648=1,-$K2648,$K2648),0))))</f>
        <v/>
      </c>
      <c r="U2648" s="6" t="str">
        <f>IF($K2648="","",IF(ISNUMBER(SEARCH("sortie-epargne",IFERROR(INDEX('Paramètres'!$N:$N,MATCH($D2648,'Paramètres'!$M:$M,0))&amp;"",""))),$K2648,0))</f>
        <v/>
      </c>
      <c r="V2648" s="6" t="str">
        <f>IF(AND($A2648&lt;&gt;"",$O2648=1,$L2648="Débit",N($Q2648)&gt;0,$A2648&gt;=Visualisation!$B$1,$A2648&lt;Visualisation!$D$1),MAX($V$1:V2647)+1,"")</f>
        <v/>
      </c>
    </row>
    <row r="2649" spans="1:22" x14ac:dyDescent="0.25">
      <c r="A2649" s="9"/>
      <c r="E2649" s="10"/>
      <c r="K2649" s="11" t="str">
        <f>IF($E2649="","",ROUND($E2649*IF(ISNA(MATCH($C2649,'Paramètres'!$D:$D,0)),1,IF(INDEX('Paramètres'!$J:$J,MATCH($C2649,'Paramètres'!$D:$D,0))="",1,INDEX('Paramètres'!$J:$J,MATCH($C2649,'Paramètres'!$D:$D,0)))),2))</f>
        <v/>
      </c>
      <c r="L2649" s="6" t="str">
        <f>IF($D2649="","",IF($F2649&lt;&gt;"",$F2649,IF(ISNA(MATCH($D2649,'Paramètres'!$M:$M,0)),"⚠ Type inconnu",IFERROR(INDEX('Paramètres'!$P:$P,MATCH($D2649,'Paramètres'!$M:$M,0))&amp;"",""))))</f>
        <v/>
      </c>
      <c r="M2649" s="6" t="str">
        <f>IF($D2649="","",IF(ISNA(MATCH($D2649,'Paramètres'!$M:$M,0)),"⚠ Type inconnu",IF($L2649="Crédit","",IFERROR(INDEX('Paramètres'!$O:$O,MATCH($D2649,'Paramètres'!$M:$M,0))&amp;"",""))))</f>
        <v/>
      </c>
      <c r="N2649" s="6" t="str">
        <f>IF($D2649="","",IFERROR(INDEX('Paramètres'!$Q:$Q,MATCH($D2649,'Paramètres'!$M:$M,0))&amp;"",""))</f>
        <v/>
      </c>
      <c r="O2649" s="6" t="str">
        <f>IF($A2649="","",IF(OR($J2649&lt;&gt;"x",$A2649&lt;=FinReleve),1,0))</f>
        <v/>
      </c>
      <c r="P2649" s="6" t="str">
        <f>IF($D2649="","",IF(AND($L2649="Crédit",OR(IFERROR(INDEX('Paramètres'!$O:$O,MATCH($D2649,'Paramètres'!$M:$M,0))&amp;"","")&lt;&gt;"",ISNUMBER(SEARCH("remboursement",IFERROR(INDEX('Paramètres'!$N:$N,MATCH($D2649,'Paramètres'!$M:$M,0))&amp;"",""))))),1,0))</f>
        <v/>
      </c>
      <c r="Q2649" s="6" t="str">
        <f>IF($K2649="","",IF(ISNUMBER(SEARCH("transfert-interne",IFERROR(INDEX('Paramètres'!$N:$N,MATCH($D2649,'Paramètres'!$M:$M,0))&amp;"",""))),0,IF($L2649="Débit",$K2649,IF($P2649=1,-$K2649,0))))</f>
        <v/>
      </c>
      <c r="R2649" s="6" t="str">
        <f>IF($K2649="","",IF($L2649="Crédit",$K2649,-$K2649))</f>
        <v/>
      </c>
      <c r="S2649" s="6" t="str">
        <f>IF($C2649="","",IFERROR(INDEX('Paramètres'!$H:$H,MATCH($C2649,'Paramètres'!$D:$D,0))&amp;"",""))</f>
        <v/>
      </c>
      <c r="T2649" s="6" t="str">
        <f>IF($K2649="","",IF($S2649="",0,IF(ISNUMBER(SEARCH("apport-exterieur",IFERROR(INDEX('Paramètres'!$N:$N,MATCH($D2649,'Paramètres'!$M:$M,0))&amp;"",""))),0,IF(OR(IFERROR(INDEX('Paramètres'!$I:$I,MATCH($C2649,'Paramètres'!$D:$D,0))&amp;"","")="Les deux",IFERROR(INDEX('Paramètres'!$I:$I,MATCH($C2649,'Paramètres'!$D:$D,0))&amp;"","")=IF($P2649=1,"Débit",$L2649)),-IF($P2649=1,-$K2649,$K2649),0))))</f>
        <v/>
      </c>
      <c r="U2649" s="6" t="str">
        <f>IF($K2649="","",IF(ISNUMBER(SEARCH("sortie-epargne",IFERROR(INDEX('Paramètres'!$N:$N,MATCH($D2649,'Paramètres'!$M:$M,0))&amp;"",""))),$K2649,0))</f>
        <v/>
      </c>
      <c r="V2649" s="6" t="str">
        <f>IF(AND($A2649&lt;&gt;"",$O2649=1,$L2649="Débit",N($Q2649)&gt;0,$A2649&gt;=Visualisation!$B$1,$A2649&lt;Visualisation!$D$1),MAX($V$1:V2648)+1,"")</f>
        <v/>
      </c>
    </row>
    <row r="2650" spans="1:22" x14ac:dyDescent="0.25">
      <c r="A2650" s="9"/>
      <c r="E2650" s="10"/>
      <c r="K2650" s="11" t="str">
        <f>IF($E2650="","",ROUND($E2650*IF(ISNA(MATCH($C2650,'Paramètres'!$D:$D,0)),1,IF(INDEX('Paramètres'!$J:$J,MATCH($C2650,'Paramètres'!$D:$D,0))="",1,INDEX('Paramètres'!$J:$J,MATCH($C2650,'Paramètres'!$D:$D,0)))),2))</f>
        <v/>
      </c>
      <c r="L2650" s="6" t="str">
        <f>IF($D2650="","",IF($F2650&lt;&gt;"",$F2650,IF(ISNA(MATCH($D2650,'Paramètres'!$M:$M,0)),"⚠ Type inconnu",IFERROR(INDEX('Paramètres'!$P:$P,MATCH($D2650,'Paramètres'!$M:$M,0))&amp;"",""))))</f>
        <v/>
      </c>
      <c r="M2650" s="6" t="str">
        <f>IF($D2650="","",IF(ISNA(MATCH($D2650,'Paramètres'!$M:$M,0)),"⚠ Type inconnu",IF($L2650="Crédit","",IFERROR(INDEX('Paramètres'!$O:$O,MATCH($D2650,'Paramètres'!$M:$M,0))&amp;"",""))))</f>
        <v/>
      </c>
      <c r="N2650" s="6" t="str">
        <f>IF($D2650="","",IFERROR(INDEX('Paramètres'!$Q:$Q,MATCH($D2650,'Paramètres'!$M:$M,0))&amp;"",""))</f>
        <v/>
      </c>
      <c r="O2650" s="6" t="str">
        <f>IF($A2650="","",IF(OR($J2650&lt;&gt;"x",$A2650&lt;=FinReleve),1,0))</f>
        <v/>
      </c>
      <c r="P2650" s="6" t="str">
        <f>IF($D2650="","",IF(AND($L2650="Crédit",OR(IFERROR(INDEX('Paramètres'!$O:$O,MATCH($D2650,'Paramètres'!$M:$M,0))&amp;"","")&lt;&gt;"",ISNUMBER(SEARCH("remboursement",IFERROR(INDEX('Paramètres'!$N:$N,MATCH($D2650,'Paramètres'!$M:$M,0))&amp;"",""))))),1,0))</f>
        <v/>
      </c>
      <c r="Q2650" s="6" t="str">
        <f>IF($K2650="","",IF(ISNUMBER(SEARCH("transfert-interne",IFERROR(INDEX('Paramètres'!$N:$N,MATCH($D2650,'Paramètres'!$M:$M,0))&amp;"",""))),0,IF($L2650="Débit",$K2650,IF($P2650=1,-$K2650,0))))</f>
        <v/>
      </c>
      <c r="R2650" s="6" t="str">
        <f>IF($K2650="","",IF($L2650="Crédit",$K2650,-$K2650))</f>
        <v/>
      </c>
      <c r="S2650" s="6" t="str">
        <f>IF($C2650="","",IFERROR(INDEX('Paramètres'!$H:$H,MATCH($C2650,'Paramètres'!$D:$D,0))&amp;"",""))</f>
        <v/>
      </c>
      <c r="T2650" s="6" t="str">
        <f>IF($K2650="","",IF($S2650="",0,IF(ISNUMBER(SEARCH("apport-exterieur",IFERROR(INDEX('Paramètres'!$N:$N,MATCH($D2650,'Paramètres'!$M:$M,0))&amp;"",""))),0,IF(OR(IFERROR(INDEX('Paramètres'!$I:$I,MATCH($C2650,'Paramètres'!$D:$D,0))&amp;"","")="Les deux",IFERROR(INDEX('Paramètres'!$I:$I,MATCH($C2650,'Paramètres'!$D:$D,0))&amp;"","")=IF($P2650=1,"Débit",$L2650)),-IF($P2650=1,-$K2650,$K2650),0))))</f>
        <v/>
      </c>
      <c r="U2650" s="6" t="str">
        <f>IF($K2650="","",IF(ISNUMBER(SEARCH("sortie-epargne",IFERROR(INDEX('Paramètres'!$N:$N,MATCH($D2650,'Paramètres'!$M:$M,0))&amp;"",""))),$K2650,0))</f>
        <v/>
      </c>
      <c r="V2650" s="6" t="str">
        <f>IF(AND($A2650&lt;&gt;"",$O2650=1,$L2650="Débit",N($Q2650)&gt;0,$A2650&gt;=Visualisation!$B$1,$A2650&lt;Visualisation!$D$1),MAX($V$1:V2649)+1,"")</f>
        <v/>
      </c>
    </row>
    <row r="2651" spans="1:22" x14ac:dyDescent="0.25">
      <c r="A2651" s="9"/>
      <c r="E2651" s="10"/>
      <c r="K2651" s="11" t="str">
        <f>IF($E2651="","",ROUND($E2651*IF(ISNA(MATCH($C2651,'Paramètres'!$D:$D,0)),1,IF(INDEX('Paramètres'!$J:$J,MATCH($C2651,'Paramètres'!$D:$D,0))="",1,INDEX('Paramètres'!$J:$J,MATCH($C2651,'Paramètres'!$D:$D,0)))),2))</f>
        <v/>
      </c>
      <c r="L2651" s="6" t="str">
        <f>IF($D2651="","",IF($F2651&lt;&gt;"",$F2651,IF(ISNA(MATCH($D2651,'Paramètres'!$M:$M,0)),"⚠ Type inconnu",IFERROR(INDEX('Paramètres'!$P:$P,MATCH($D2651,'Paramètres'!$M:$M,0))&amp;"",""))))</f>
        <v/>
      </c>
      <c r="M2651" s="6" t="str">
        <f>IF($D2651="","",IF(ISNA(MATCH($D2651,'Paramètres'!$M:$M,0)),"⚠ Type inconnu",IF($L2651="Crédit","",IFERROR(INDEX('Paramètres'!$O:$O,MATCH($D2651,'Paramètres'!$M:$M,0))&amp;"",""))))</f>
        <v/>
      </c>
      <c r="N2651" s="6" t="str">
        <f>IF($D2651="","",IFERROR(INDEX('Paramètres'!$Q:$Q,MATCH($D2651,'Paramètres'!$M:$M,0))&amp;"",""))</f>
        <v/>
      </c>
      <c r="O2651" s="6" t="str">
        <f>IF($A2651="","",IF(OR($J2651&lt;&gt;"x",$A2651&lt;=FinReleve),1,0))</f>
        <v/>
      </c>
      <c r="P2651" s="6" t="str">
        <f>IF($D2651="","",IF(AND($L2651="Crédit",OR(IFERROR(INDEX('Paramètres'!$O:$O,MATCH($D2651,'Paramètres'!$M:$M,0))&amp;"","")&lt;&gt;"",ISNUMBER(SEARCH("remboursement",IFERROR(INDEX('Paramètres'!$N:$N,MATCH($D2651,'Paramètres'!$M:$M,0))&amp;"",""))))),1,0))</f>
        <v/>
      </c>
      <c r="Q2651" s="6" t="str">
        <f>IF($K2651="","",IF(ISNUMBER(SEARCH("transfert-interne",IFERROR(INDEX('Paramètres'!$N:$N,MATCH($D2651,'Paramètres'!$M:$M,0))&amp;"",""))),0,IF($L2651="Débit",$K2651,IF($P2651=1,-$K2651,0))))</f>
        <v/>
      </c>
      <c r="R2651" s="6" t="str">
        <f>IF($K2651="","",IF($L2651="Crédit",$K2651,-$K2651))</f>
        <v/>
      </c>
      <c r="S2651" s="6" t="str">
        <f>IF($C2651="","",IFERROR(INDEX('Paramètres'!$H:$H,MATCH($C2651,'Paramètres'!$D:$D,0))&amp;"",""))</f>
        <v/>
      </c>
      <c r="T2651" s="6" t="str">
        <f>IF($K2651="","",IF($S2651="",0,IF(ISNUMBER(SEARCH("apport-exterieur",IFERROR(INDEX('Paramètres'!$N:$N,MATCH($D2651,'Paramètres'!$M:$M,0))&amp;"",""))),0,IF(OR(IFERROR(INDEX('Paramètres'!$I:$I,MATCH($C2651,'Paramètres'!$D:$D,0))&amp;"","")="Les deux",IFERROR(INDEX('Paramètres'!$I:$I,MATCH($C2651,'Paramètres'!$D:$D,0))&amp;"","")=IF($P2651=1,"Débit",$L2651)),-IF($P2651=1,-$K2651,$K2651),0))))</f>
        <v/>
      </c>
      <c r="U2651" s="6" t="str">
        <f>IF($K2651="","",IF(ISNUMBER(SEARCH("sortie-epargne",IFERROR(INDEX('Paramètres'!$N:$N,MATCH($D2651,'Paramètres'!$M:$M,0))&amp;"",""))),$K2651,0))</f>
        <v/>
      </c>
      <c r="V2651" s="6" t="str">
        <f>IF(AND($A2651&lt;&gt;"",$O2651=1,$L2651="Débit",N($Q2651)&gt;0,$A2651&gt;=Visualisation!$B$1,$A2651&lt;Visualisation!$D$1),MAX($V$1:V2650)+1,"")</f>
        <v/>
      </c>
    </row>
    <row r="2652" spans="1:22" x14ac:dyDescent="0.25">
      <c r="A2652" s="9"/>
      <c r="E2652" s="10"/>
      <c r="K2652" s="11" t="str">
        <f>IF($E2652="","",ROUND($E2652*IF(ISNA(MATCH($C2652,'Paramètres'!$D:$D,0)),1,IF(INDEX('Paramètres'!$J:$J,MATCH($C2652,'Paramètres'!$D:$D,0))="",1,INDEX('Paramètres'!$J:$J,MATCH($C2652,'Paramètres'!$D:$D,0)))),2))</f>
        <v/>
      </c>
      <c r="L2652" s="6" t="str">
        <f>IF($D2652="","",IF($F2652&lt;&gt;"",$F2652,IF(ISNA(MATCH($D2652,'Paramètres'!$M:$M,0)),"⚠ Type inconnu",IFERROR(INDEX('Paramètres'!$P:$P,MATCH($D2652,'Paramètres'!$M:$M,0))&amp;"",""))))</f>
        <v/>
      </c>
      <c r="M2652" s="6" t="str">
        <f>IF($D2652="","",IF(ISNA(MATCH($D2652,'Paramètres'!$M:$M,0)),"⚠ Type inconnu",IF($L2652="Crédit","",IFERROR(INDEX('Paramètres'!$O:$O,MATCH($D2652,'Paramètres'!$M:$M,0))&amp;"",""))))</f>
        <v/>
      </c>
      <c r="N2652" s="6" t="str">
        <f>IF($D2652="","",IFERROR(INDEX('Paramètres'!$Q:$Q,MATCH($D2652,'Paramètres'!$M:$M,0))&amp;"",""))</f>
        <v/>
      </c>
      <c r="O2652" s="6" t="str">
        <f>IF($A2652="","",IF(OR($J2652&lt;&gt;"x",$A2652&lt;=FinReleve),1,0))</f>
        <v/>
      </c>
      <c r="P2652" s="6" t="str">
        <f>IF($D2652="","",IF(AND($L2652="Crédit",OR(IFERROR(INDEX('Paramètres'!$O:$O,MATCH($D2652,'Paramètres'!$M:$M,0))&amp;"","")&lt;&gt;"",ISNUMBER(SEARCH("remboursement",IFERROR(INDEX('Paramètres'!$N:$N,MATCH($D2652,'Paramètres'!$M:$M,0))&amp;"",""))))),1,0))</f>
        <v/>
      </c>
      <c r="Q2652" s="6" t="str">
        <f>IF($K2652="","",IF(ISNUMBER(SEARCH("transfert-interne",IFERROR(INDEX('Paramètres'!$N:$N,MATCH($D2652,'Paramètres'!$M:$M,0))&amp;"",""))),0,IF($L2652="Débit",$K2652,IF($P2652=1,-$K2652,0))))</f>
        <v/>
      </c>
      <c r="R2652" s="6" t="str">
        <f>IF($K2652="","",IF($L2652="Crédit",$K2652,-$K2652))</f>
        <v/>
      </c>
      <c r="S2652" s="6" t="str">
        <f>IF($C2652="","",IFERROR(INDEX('Paramètres'!$H:$H,MATCH($C2652,'Paramètres'!$D:$D,0))&amp;"",""))</f>
        <v/>
      </c>
      <c r="T2652" s="6" t="str">
        <f>IF($K2652="","",IF($S2652="",0,IF(ISNUMBER(SEARCH("apport-exterieur",IFERROR(INDEX('Paramètres'!$N:$N,MATCH($D2652,'Paramètres'!$M:$M,0))&amp;"",""))),0,IF(OR(IFERROR(INDEX('Paramètres'!$I:$I,MATCH($C2652,'Paramètres'!$D:$D,0))&amp;"","")="Les deux",IFERROR(INDEX('Paramètres'!$I:$I,MATCH($C2652,'Paramètres'!$D:$D,0))&amp;"","")=IF($P2652=1,"Débit",$L2652)),-IF($P2652=1,-$K2652,$K2652),0))))</f>
        <v/>
      </c>
      <c r="U2652" s="6" t="str">
        <f>IF($K2652="","",IF(ISNUMBER(SEARCH("sortie-epargne",IFERROR(INDEX('Paramètres'!$N:$N,MATCH($D2652,'Paramètres'!$M:$M,0))&amp;"",""))),$K2652,0))</f>
        <v/>
      </c>
      <c r="V2652" s="6" t="str">
        <f>IF(AND($A2652&lt;&gt;"",$O2652=1,$L2652="Débit",N($Q2652)&gt;0,$A2652&gt;=Visualisation!$B$1,$A2652&lt;Visualisation!$D$1),MAX($V$1:V2651)+1,"")</f>
        <v/>
      </c>
    </row>
    <row r="2653" spans="1:22" x14ac:dyDescent="0.25">
      <c r="A2653" s="9"/>
      <c r="E2653" s="10"/>
      <c r="K2653" s="11" t="str">
        <f>IF($E2653="","",ROUND($E2653*IF(ISNA(MATCH($C2653,'Paramètres'!$D:$D,0)),1,IF(INDEX('Paramètres'!$J:$J,MATCH($C2653,'Paramètres'!$D:$D,0))="",1,INDEX('Paramètres'!$J:$J,MATCH($C2653,'Paramètres'!$D:$D,0)))),2))</f>
        <v/>
      </c>
      <c r="L2653" s="6" t="str">
        <f>IF($D2653="","",IF($F2653&lt;&gt;"",$F2653,IF(ISNA(MATCH($D2653,'Paramètres'!$M:$M,0)),"⚠ Type inconnu",IFERROR(INDEX('Paramètres'!$P:$P,MATCH($D2653,'Paramètres'!$M:$M,0))&amp;"",""))))</f>
        <v/>
      </c>
      <c r="M2653" s="6" t="str">
        <f>IF($D2653="","",IF(ISNA(MATCH($D2653,'Paramètres'!$M:$M,0)),"⚠ Type inconnu",IF($L2653="Crédit","",IFERROR(INDEX('Paramètres'!$O:$O,MATCH($D2653,'Paramètres'!$M:$M,0))&amp;"",""))))</f>
        <v/>
      </c>
      <c r="N2653" s="6" t="str">
        <f>IF($D2653="","",IFERROR(INDEX('Paramètres'!$Q:$Q,MATCH($D2653,'Paramètres'!$M:$M,0))&amp;"",""))</f>
        <v/>
      </c>
      <c r="O2653" s="6" t="str">
        <f>IF($A2653="","",IF(OR($J2653&lt;&gt;"x",$A2653&lt;=FinReleve),1,0))</f>
        <v/>
      </c>
      <c r="P2653" s="6" t="str">
        <f>IF($D2653="","",IF(AND($L2653="Crédit",OR(IFERROR(INDEX('Paramètres'!$O:$O,MATCH($D2653,'Paramètres'!$M:$M,0))&amp;"","")&lt;&gt;"",ISNUMBER(SEARCH("remboursement",IFERROR(INDEX('Paramètres'!$N:$N,MATCH($D2653,'Paramètres'!$M:$M,0))&amp;"",""))))),1,0))</f>
        <v/>
      </c>
      <c r="Q2653" s="6" t="str">
        <f>IF($K2653="","",IF(ISNUMBER(SEARCH("transfert-interne",IFERROR(INDEX('Paramètres'!$N:$N,MATCH($D2653,'Paramètres'!$M:$M,0))&amp;"",""))),0,IF($L2653="Débit",$K2653,IF($P2653=1,-$K2653,0))))</f>
        <v/>
      </c>
      <c r="R2653" s="6" t="str">
        <f>IF($K2653="","",IF($L2653="Crédit",$K2653,-$K2653))</f>
        <v/>
      </c>
      <c r="S2653" s="6" t="str">
        <f>IF($C2653="","",IFERROR(INDEX('Paramètres'!$H:$H,MATCH($C2653,'Paramètres'!$D:$D,0))&amp;"",""))</f>
        <v/>
      </c>
      <c r="T2653" s="6" t="str">
        <f>IF($K2653="","",IF($S2653="",0,IF(ISNUMBER(SEARCH("apport-exterieur",IFERROR(INDEX('Paramètres'!$N:$N,MATCH($D2653,'Paramètres'!$M:$M,0))&amp;"",""))),0,IF(OR(IFERROR(INDEX('Paramètres'!$I:$I,MATCH($C2653,'Paramètres'!$D:$D,0))&amp;"","")="Les deux",IFERROR(INDEX('Paramètres'!$I:$I,MATCH($C2653,'Paramètres'!$D:$D,0))&amp;"","")=IF($P2653=1,"Débit",$L2653)),-IF($P2653=1,-$K2653,$K2653),0))))</f>
        <v/>
      </c>
      <c r="U2653" s="6" t="str">
        <f>IF($K2653="","",IF(ISNUMBER(SEARCH("sortie-epargne",IFERROR(INDEX('Paramètres'!$N:$N,MATCH($D2653,'Paramètres'!$M:$M,0))&amp;"",""))),$K2653,0))</f>
        <v/>
      </c>
      <c r="V2653" s="6" t="str">
        <f>IF(AND($A2653&lt;&gt;"",$O2653=1,$L2653="Débit",N($Q2653)&gt;0,$A2653&gt;=Visualisation!$B$1,$A2653&lt;Visualisation!$D$1),MAX($V$1:V2652)+1,"")</f>
        <v/>
      </c>
    </row>
    <row r="2654" spans="1:22" x14ac:dyDescent="0.25">
      <c r="A2654" s="9"/>
      <c r="E2654" s="10"/>
      <c r="K2654" s="11" t="str">
        <f>IF($E2654="","",ROUND($E2654*IF(ISNA(MATCH($C2654,'Paramètres'!$D:$D,0)),1,IF(INDEX('Paramètres'!$J:$J,MATCH($C2654,'Paramètres'!$D:$D,0))="",1,INDEX('Paramètres'!$J:$J,MATCH($C2654,'Paramètres'!$D:$D,0)))),2))</f>
        <v/>
      </c>
      <c r="L2654" s="6" t="str">
        <f>IF($D2654="","",IF($F2654&lt;&gt;"",$F2654,IF(ISNA(MATCH($D2654,'Paramètres'!$M:$M,0)),"⚠ Type inconnu",IFERROR(INDEX('Paramètres'!$P:$P,MATCH($D2654,'Paramètres'!$M:$M,0))&amp;"",""))))</f>
        <v/>
      </c>
      <c r="M2654" s="6" t="str">
        <f>IF($D2654="","",IF(ISNA(MATCH($D2654,'Paramètres'!$M:$M,0)),"⚠ Type inconnu",IF($L2654="Crédit","",IFERROR(INDEX('Paramètres'!$O:$O,MATCH($D2654,'Paramètres'!$M:$M,0))&amp;"",""))))</f>
        <v/>
      </c>
      <c r="N2654" s="6" t="str">
        <f>IF($D2654="","",IFERROR(INDEX('Paramètres'!$Q:$Q,MATCH($D2654,'Paramètres'!$M:$M,0))&amp;"",""))</f>
        <v/>
      </c>
      <c r="O2654" s="6" t="str">
        <f>IF($A2654="","",IF(OR($J2654&lt;&gt;"x",$A2654&lt;=FinReleve),1,0))</f>
        <v/>
      </c>
      <c r="P2654" s="6" t="str">
        <f>IF($D2654="","",IF(AND($L2654="Crédit",OR(IFERROR(INDEX('Paramètres'!$O:$O,MATCH($D2654,'Paramètres'!$M:$M,0))&amp;"","")&lt;&gt;"",ISNUMBER(SEARCH("remboursement",IFERROR(INDEX('Paramètres'!$N:$N,MATCH($D2654,'Paramètres'!$M:$M,0))&amp;"",""))))),1,0))</f>
        <v/>
      </c>
      <c r="Q2654" s="6" t="str">
        <f>IF($K2654="","",IF(ISNUMBER(SEARCH("transfert-interne",IFERROR(INDEX('Paramètres'!$N:$N,MATCH($D2654,'Paramètres'!$M:$M,0))&amp;"",""))),0,IF($L2654="Débit",$K2654,IF($P2654=1,-$K2654,0))))</f>
        <v/>
      </c>
      <c r="R2654" s="6" t="str">
        <f>IF($K2654="","",IF($L2654="Crédit",$K2654,-$K2654))</f>
        <v/>
      </c>
      <c r="S2654" s="6" t="str">
        <f>IF($C2654="","",IFERROR(INDEX('Paramètres'!$H:$H,MATCH($C2654,'Paramètres'!$D:$D,0))&amp;"",""))</f>
        <v/>
      </c>
      <c r="T2654" s="6" t="str">
        <f>IF($K2654="","",IF($S2654="",0,IF(ISNUMBER(SEARCH("apport-exterieur",IFERROR(INDEX('Paramètres'!$N:$N,MATCH($D2654,'Paramètres'!$M:$M,0))&amp;"",""))),0,IF(OR(IFERROR(INDEX('Paramètres'!$I:$I,MATCH($C2654,'Paramètres'!$D:$D,0))&amp;"","")="Les deux",IFERROR(INDEX('Paramètres'!$I:$I,MATCH($C2654,'Paramètres'!$D:$D,0))&amp;"","")=IF($P2654=1,"Débit",$L2654)),-IF($P2654=1,-$K2654,$K2654),0))))</f>
        <v/>
      </c>
      <c r="U2654" s="6" t="str">
        <f>IF($K2654="","",IF(ISNUMBER(SEARCH("sortie-epargne",IFERROR(INDEX('Paramètres'!$N:$N,MATCH($D2654,'Paramètres'!$M:$M,0))&amp;"",""))),$K2654,0))</f>
        <v/>
      </c>
      <c r="V2654" s="6" t="str">
        <f>IF(AND($A2654&lt;&gt;"",$O2654=1,$L2654="Débit",N($Q2654)&gt;0,$A2654&gt;=Visualisation!$B$1,$A2654&lt;Visualisation!$D$1),MAX($V$1:V2653)+1,"")</f>
        <v/>
      </c>
    </row>
    <row r="2655" spans="1:22" x14ac:dyDescent="0.25">
      <c r="A2655" s="9"/>
      <c r="E2655" s="10"/>
      <c r="K2655" s="11" t="str">
        <f>IF($E2655="","",ROUND($E2655*IF(ISNA(MATCH($C2655,'Paramètres'!$D:$D,0)),1,IF(INDEX('Paramètres'!$J:$J,MATCH($C2655,'Paramètres'!$D:$D,0))="",1,INDEX('Paramètres'!$J:$J,MATCH($C2655,'Paramètres'!$D:$D,0)))),2))</f>
        <v/>
      </c>
      <c r="L2655" s="6" t="str">
        <f>IF($D2655="","",IF($F2655&lt;&gt;"",$F2655,IF(ISNA(MATCH($D2655,'Paramètres'!$M:$M,0)),"⚠ Type inconnu",IFERROR(INDEX('Paramètres'!$P:$P,MATCH($D2655,'Paramètres'!$M:$M,0))&amp;"",""))))</f>
        <v/>
      </c>
      <c r="M2655" s="6" t="str">
        <f>IF($D2655="","",IF(ISNA(MATCH($D2655,'Paramètres'!$M:$M,0)),"⚠ Type inconnu",IF($L2655="Crédit","",IFERROR(INDEX('Paramètres'!$O:$O,MATCH($D2655,'Paramètres'!$M:$M,0))&amp;"",""))))</f>
        <v/>
      </c>
      <c r="N2655" s="6" t="str">
        <f>IF($D2655="","",IFERROR(INDEX('Paramètres'!$Q:$Q,MATCH($D2655,'Paramètres'!$M:$M,0))&amp;"",""))</f>
        <v/>
      </c>
      <c r="O2655" s="6" t="str">
        <f>IF($A2655="","",IF(OR($J2655&lt;&gt;"x",$A2655&lt;=FinReleve),1,0))</f>
        <v/>
      </c>
      <c r="P2655" s="6" t="str">
        <f>IF($D2655="","",IF(AND($L2655="Crédit",OR(IFERROR(INDEX('Paramètres'!$O:$O,MATCH($D2655,'Paramètres'!$M:$M,0))&amp;"","")&lt;&gt;"",ISNUMBER(SEARCH("remboursement",IFERROR(INDEX('Paramètres'!$N:$N,MATCH($D2655,'Paramètres'!$M:$M,0))&amp;"",""))))),1,0))</f>
        <v/>
      </c>
      <c r="Q2655" s="6" t="str">
        <f>IF($K2655="","",IF(ISNUMBER(SEARCH("transfert-interne",IFERROR(INDEX('Paramètres'!$N:$N,MATCH($D2655,'Paramètres'!$M:$M,0))&amp;"",""))),0,IF($L2655="Débit",$K2655,IF($P2655=1,-$K2655,0))))</f>
        <v/>
      </c>
      <c r="R2655" s="6" t="str">
        <f>IF($K2655="","",IF($L2655="Crédit",$K2655,-$K2655))</f>
        <v/>
      </c>
      <c r="S2655" s="6" t="str">
        <f>IF($C2655="","",IFERROR(INDEX('Paramètres'!$H:$H,MATCH($C2655,'Paramètres'!$D:$D,0))&amp;"",""))</f>
        <v/>
      </c>
      <c r="T2655" s="6" t="str">
        <f>IF($K2655="","",IF($S2655="",0,IF(ISNUMBER(SEARCH("apport-exterieur",IFERROR(INDEX('Paramètres'!$N:$N,MATCH($D2655,'Paramètres'!$M:$M,0))&amp;"",""))),0,IF(OR(IFERROR(INDEX('Paramètres'!$I:$I,MATCH($C2655,'Paramètres'!$D:$D,0))&amp;"","")="Les deux",IFERROR(INDEX('Paramètres'!$I:$I,MATCH($C2655,'Paramètres'!$D:$D,0))&amp;"","")=IF($P2655=1,"Débit",$L2655)),-IF($P2655=1,-$K2655,$K2655),0))))</f>
        <v/>
      </c>
      <c r="U2655" s="6" t="str">
        <f>IF($K2655="","",IF(ISNUMBER(SEARCH("sortie-epargne",IFERROR(INDEX('Paramètres'!$N:$N,MATCH($D2655,'Paramètres'!$M:$M,0))&amp;"",""))),$K2655,0))</f>
        <v/>
      </c>
      <c r="V2655" s="6" t="str">
        <f>IF(AND($A2655&lt;&gt;"",$O2655=1,$L2655="Débit",N($Q2655)&gt;0,$A2655&gt;=Visualisation!$B$1,$A2655&lt;Visualisation!$D$1),MAX($V$1:V2654)+1,"")</f>
        <v/>
      </c>
    </row>
    <row r="2656" spans="1:22" x14ac:dyDescent="0.25">
      <c r="A2656" s="9"/>
      <c r="E2656" s="10"/>
      <c r="K2656" s="11" t="str">
        <f>IF($E2656="","",ROUND($E2656*IF(ISNA(MATCH($C2656,'Paramètres'!$D:$D,0)),1,IF(INDEX('Paramètres'!$J:$J,MATCH($C2656,'Paramètres'!$D:$D,0))="",1,INDEX('Paramètres'!$J:$J,MATCH($C2656,'Paramètres'!$D:$D,0)))),2))</f>
        <v/>
      </c>
      <c r="L2656" s="6" t="str">
        <f>IF($D2656="","",IF($F2656&lt;&gt;"",$F2656,IF(ISNA(MATCH($D2656,'Paramètres'!$M:$M,0)),"⚠ Type inconnu",IFERROR(INDEX('Paramètres'!$P:$P,MATCH($D2656,'Paramètres'!$M:$M,0))&amp;"",""))))</f>
        <v/>
      </c>
      <c r="M2656" s="6" t="str">
        <f>IF($D2656="","",IF(ISNA(MATCH($D2656,'Paramètres'!$M:$M,0)),"⚠ Type inconnu",IF($L2656="Crédit","",IFERROR(INDEX('Paramètres'!$O:$O,MATCH($D2656,'Paramètres'!$M:$M,0))&amp;"",""))))</f>
        <v/>
      </c>
      <c r="N2656" s="6" t="str">
        <f>IF($D2656="","",IFERROR(INDEX('Paramètres'!$Q:$Q,MATCH($D2656,'Paramètres'!$M:$M,0))&amp;"",""))</f>
        <v/>
      </c>
      <c r="O2656" s="6" t="str">
        <f>IF($A2656="","",IF(OR($J2656&lt;&gt;"x",$A2656&lt;=FinReleve),1,0))</f>
        <v/>
      </c>
      <c r="P2656" s="6" t="str">
        <f>IF($D2656="","",IF(AND($L2656="Crédit",OR(IFERROR(INDEX('Paramètres'!$O:$O,MATCH($D2656,'Paramètres'!$M:$M,0))&amp;"","")&lt;&gt;"",ISNUMBER(SEARCH("remboursement",IFERROR(INDEX('Paramètres'!$N:$N,MATCH($D2656,'Paramètres'!$M:$M,0))&amp;"",""))))),1,0))</f>
        <v/>
      </c>
      <c r="Q2656" s="6" t="str">
        <f>IF($K2656="","",IF(ISNUMBER(SEARCH("transfert-interne",IFERROR(INDEX('Paramètres'!$N:$N,MATCH($D2656,'Paramètres'!$M:$M,0))&amp;"",""))),0,IF($L2656="Débit",$K2656,IF($P2656=1,-$K2656,0))))</f>
        <v/>
      </c>
      <c r="R2656" s="6" t="str">
        <f>IF($K2656="","",IF($L2656="Crédit",$K2656,-$K2656))</f>
        <v/>
      </c>
      <c r="S2656" s="6" t="str">
        <f>IF($C2656="","",IFERROR(INDEX('Paramètres'!$H:$H,MATCH($C2656,'Paramètres'!$D:$D,0))&amp;"",""))</f>
        <v/>
      </c>
      <c r="T2656" s="6" t="str">
        <f>IF($K2656="","",IF($S2656="",0,IF(ISNUMBER(SEARCH("apport-exterieur",IFERROR(INDEX('Paramètres'!$N:$N,MATCH($D2656,'Paramètres'!$M:$M,0))&amp;"",""))),0,IF(OR(IFERROR(INDEX('Paramètres'!$I:$I,MATCH($C2656,'Paramètres'!$D:$D,0))&amp;"","")="Les deux",IFERROR(INDEX('Paramètres'!$I:$I,MATCH($C2656,'Paramètres'!$D:$D,0))&amp;"","")=IF($P2656=1,"Débit",$L2656)),-IF($P2656=1,-$K2656,$K2656),0))))</f>
        <v/>
      </c>
      <c r="U2656" s="6" t="str">
        <f>IF($K2656="","",IF(ISNUMBER(SEARCH("sortie-epargne",IFERROR(INDEX('Paramètres'!$N:$N,MATCH($D2656,'Paramètres'!$M:$M,0))&amp;"",""))),$K2656,0))</f>
        <v/>
      </c>
      <c r="V2656" s="6" t="str">
        <f>IF(AND($A2656&lt;&gt;"",$O2656=1,$L2656="Débit",N($Q2656)&gt;0,$A2656&gt;=Visualisation!$B$1,$A2656&lt;Visualisation!$D$1),MAX($V$1:V2655)+1,"")</f>
        <v/>
      </c>
    </row>
    <row r="2657" spans="1:22" x14ac:dyDescent="0.25">
      <c r="A2657" s="9"/>
      <c r="E2657" s="10"/>
      <c r="K2657" s="11" t="str">
        <f>IF($E2657="","",ROUND($E2657*IF(ISNA(MATCH($C2657,'Paramètres'!$D:$D,0)),1,IF(INDEX('Paramètres'!$J:$J,MATCH($C2657,'Paramètres'!$D:$D,0))="",1,INDEX('Paramètres'!$J:$J,MATCH($C2657,'Paramètres'!$D:$D,0)))),2))</f>
        <v/>
      </c>
      <c r="L2657" s="6" t="str">
        <f>IF($D2657="","",IF($F2657&lt;&gt;"",$F2657,IF(ISNA(MATCH($D2657,'Paramètres'!$M:$M,0)),"⚠ Type inconnu",IFERROR(INDEX('Paramètres'!$P:$P,MATCH($D2657,'Paramètres'!$M:$M,0))&amp;"",""))))</f>
        <v/>
      </c>
      <c r="M2657" s="6" t="str">
        <f>IF($D2657="","",IF(ISNA(MATCH($D2657,'Paramètres'!$M:$M,0)),"⚠ Type inconnu",IF($L2657="Crédit","",IFERROR(INDEX('Paramètres'!$O:$O,MATCH($D2657,'Paramètres'!$M:$M,0))&amp;"",""))))</f>
        <v/>
      </c>
      <c r="N2657" s="6" t="str">
        <f>IF($D2657="","",IFERROR(INDEX('Paramètres'!$Q:$Q,MATCH($D2657,'Paramètres'!$M:$M,0))&amp;"",""))</f>
        <v/>
      </c>
      <c r="O2657" s="6" t="str">
        <f>IF($A2657="","",IF(OR($J2657&lt;&gt;"x",$A2657&lt;=FinReleve),1,0))</f>
        <v/>
      </c>
      <c r="P2657" s="6" t="str">
        <f>IF($D2657="","",IF(AND($L2657="Crédit",OR(IFERROR(INDEX('Paramètres'!$O:$O,MATCH($D2657,'Paramètres'!$M:$M,0))&amp;"","")&lt;&gt;"",ISNUMBER(SEARCH("remboursement",IFERROR(INDEX('Paramètres'!$N:$N,MATCH($D2657,'Paramètres'!$M:$M,0))&amp;"",""))))),1,0))</f>
        <v/>
      </c>
      <c r="Q2657" s="6" t="str">
        <f>IF($K2657="","",IF(ISNUMBER(SEARCH("transfert-interne",IFERROR(INDEX('Paramètres'!$N:$N,MATCH($D2657,'Paramètres'!$M:$M,0))&amp;"",""))),0,IF($L2657="Débit",$K2657,IF($P2657=1,-$K2657,0))))</f>
        <v/>
      </c>
      <c r="R2657" s="6" t="str">
        <f>IF($K2657="","",IF($L2657="Crédit",$K2657,-$K2657))</f>
        <v/>
      </c>
      <c r="S2657" s="6" t="str">
        <f>IF($C2657="","",IFERROR(INDEX('Paramètres'!$H:$H,MATCH($C2657,'Paramètres'!$D:$D,0))&amp;"",""))</f>
        <v/>
      </c>
      <c r="T2657" s="6" t="str">
        <f>IF($K2657="","",IF($S2657="",0,IF(ISNUMBER(SEARCH("apport-exterieur",IFERROR(INDEX('Paramètres'!$N:$N,MATCH($D2657,'Paramètres'!$M:$M,0))&amp;"",""))),0,IF(OR(IFERROR(INDEX('Paramètres'!$I:$I,MATCH($C2657,'Paramètres'!$D:$D,0))&amp;"","")="Les deux",IFERROR(INDEX('Paramètres'!$I:$I,MATCH($C2657,'Paramètres'!$D:$D,0))&amp;"","")=IF($P2657=1,"Débit",$L2657)),-IF($P2657=1,-$K2657,$K2657),0))))</f>
        <v/>
      </c>
      <c r="U2657" s="6" t="str">
        <f>IF($K2657="","",IF(ISNUMBER(SEARCH("sortie-epargne",IFERROR(INDEX('Paramètres'!$N:$N,MATCH($D2657,'Paramètres'!$M:$M,0))&amp;"",""))),$K2657,0))</f>
        <v/>
      </c>
      <c r="V2657" s="6" t="str">
        <f>IF(AND($A2657&lt;&gt;"",$O2657=1,$L2657="Débit",N($Q2657)&gt;0,$A2657&gt;=Visualisation!$B$1,$A2657&lt;Visualisation!$D$1),MAX($V$1:V2656)+1,"")</f>
        <v/>
      </c>
    </row>
    <row r="2658" spans="1:22" x14ac:dyDescent="0.25">
      <c r="A2658" s="9"/>
      <c r="E2658" s="10"/>
      <c r="K2658" s="11" t="str">
        <f>IF($E2658="","",ROUND($E2658*IF(ISNA(MATCH($C2658,'Paramètres'!$D:$D,0)),1,IF(INDEX('Paramètres'!$J:$J,MATCH($C2658,'Paramètres'!$D:$D,0))="",1,INDEX('Paramètres'!$J:$J,MATCH($C2658,'Paramètres'!$D:$D,0)))),2))</f>
        <v/>
      </c>
      <c r="L2658" s="6" t="str">
        <f>IF($D2658="","",IF($F2658&lt;&gt;"",$F2658,IF(ISNA(MATCH($D2658,'Paramètres'!$M:$M,0)),"⚠ Type inconnu",IFERROR(INDEX('Paramètres'!$P:$P,MATCH($D2658,'Paramètres'!$M:$M,0))&amp;"",""))))</f>
        <v/>
      </c>
      <c r="M2658" s="6" t="str">
        <f>IF($D2658="","",IF(ISNA(MATCH($D2658,'Paramètres'!$M:$M,0)),"⚠ Type inconnu",IF($L2658="Crédit","",IFERROR(INDEX('Paramètres'!$O:$O,MATCH($D2658,'Paramètres'!$M:$M,0))&amp;"",""))))</f>
        <v/>
      </c>
      <c r="N2658" s="6" t="str">
        <f>IF($D2658="","",IFERROR(INDEX('Paramètres'!$Q:$Q,MATCH($D2658,'Paramètres'!$M:$M,0))&amp;"",""))</f>
        <v/>
      </c>
      <c r="O2658" s="6" t="str">
        <f>IF($A2658="","",IF(OR($J2658&lt;&gt;"x",$A2658&lt;=FinReleve),1,0))</f>
        <v/>
      </c>
      <c r="P2658" s="6" t="str">
        <f>IF($D2658="","",IF(AND($L2658="Crédit",OR(IFERROR(INDEX('Paramètres'!$O:$O,MATCH($D2658,'Paramètres'!$M:$M,0))&amp;"","")&lt;&gt;"",ISNUMBER(SEARCH("remboursement",IFERROR(INDEX('Paramètres'!$N:$N,MATCH($D2658,'Paramètres'!$M:$M,0))&amp;"",""))))),1,0))</f>
        <v/>
      </c>
      <c r="Q2658" s="6" t="str">
        <f>IF($K2658="","",IF(ISNUMBER(SEARCH("transfert-interne",IFERROR(INDEX('Paramètres'!$N:$N,MATCH($D2658,'Paramètres'!$M:$M,0))&amp;"",""))),0,IF($L2658="Débit",$K2658,IF($P2658=1,-$K2658,0))))</f>
        <v/>
      </c>
      <c r="R2658" s="6" t="str">
        <f>IF($K2658="","",IF($L2658="Crédit",$K2658,-$K2658))</f>
        <v/>
      </c>
      <c r="S2658" s="6" t="str">
        <f>IF($C2658="","",IFERROR(INDEX('Paramètres'!$H:$H,MATCH($C2658,'Paramètres'!$D:$D,0))&amp;"",""))</f>
        <v/>
      </c>
      <c r="T2658" s="6" t="str">
        <f>IF($K2658="","",IF($S2658="",0,IF(ISNUMBER(SEARCH("apport-exterieur",IFERROR(INDEX('Paramètres'!$N:$N,MATCH($D2658,'Paramètres'!$M:$M,0))&amp;"",""))),0,IF(OR(IFERROR(INDEX('Paramètres'!$I:$I,MATCH($C2658,'Paramètres'!$D:$D,0))&amp;"","")="Les deux",IFERROR(INDEX('Paramètres'!$I:$I,MATCH($C2658,'Paramètres'!$D:$D,0))&amp;"","")=IF($P2658=1,"Débit",$L2658)),-IF($P2658=1,-$K2658,$K2658),0))))</f>
        <v/>
      </c>
      <c r="U2658" s="6" t="str">
        <f>IF($K2658="","",IF(ISNUMBER(SEARCH("sortie-epargne",IFERROR(INDEX('Paramètres'!$N:$N,MATCH($D2658,'Paramètres'!$M:$M,0))&amp;"",""))),$K2658,0))</f>
        <v/>
      </c>
      <c r="V2658" s="6" t="str">
        <f>IF(AND($A2658&lt;&gt;"",$O2658=1,$L2658="Débit",N($Q2658)&gt;0,$A2658&gt;=Visualisation!$B$1,$A2658&lt;Visualisation!$D$1),MAX($V$1:V2657)+1,"")</f>
        <v/>
      </c>
    </row>
    <row r="2659" spans="1:22" x14ac:dyDescent="0.25">
      <c r="A2659" s="9"/>
      <c r="E2659" s="10"/>
      <c r="K2659" s="11" t="str">
        <f>IF($E2659="","",ROUND($E2659*IF(ISNA(MATCH($C2659,'Paramètres'!$D:$D,0)),1,IF(INDEX('Paramètres'!$J:$J,MATCH($C2659,'Paramètres'!$D:$D,0))="",1,INDEX('Paramètres'!$J:$J,MATCH($C2659,'Paramètres'!$D:$D,0)))),2))</f>
        <v/>
      </c>
      <c r="L2659" s="6" t="str">
        <f>IF($D2659="","",IF($F2659&lt;&gt;"",$F2659,IF(ISNA(MATCH($D2659,'Paramètres'!$M:$M,0)),"⚠ Type inconnu",IFERROR(INDEX('Paramètres'!$P:$P,MATCH($D2659,'Paramètres'!$M:$M,0))&amp;"",""))))</f>
        <v/>
      </c>
      <c r="M2659" s="6" t="str">
        <f>IF($D2659="","",IF(ISNA(MATCH($D2659,'Paramètres'!$M:$M,0)),"⚠ Type inconnu",IF($L2659="Crédit","",IFERROR(INDEX('Paramètres'!$O:$O,MATCH($D2659,'Paramètres'!$M:$M,0))&amp;"",""))))</f>
        <v/>
      </c>
      <c r="N2659" s="6" t="str">
        <f>IF($D2659="","",IFERROR(INDEX('Paramètres'!$Q:$Q,MATCH($D2659,'Paramètres'!$M:$M,0))&amp;"",""))</f>
        <v/>
      </c>
      <c r="O2659" s="6" t="str">
        <f>IF($A2659="","",IF(OR($J2659&lt;&gt;"x",$A2659&lt;=FinReleve),1,0))</f>
        <v/>
      </c>
      <c r="P2659" s="6" t="str">
        <f>IF($D2659="","",IF(AND($L2659="Crédit",OR(IFERROR(INDEX('Paramètres'!$O:$O,MATCH($D2659,'Paramètres'!$M:$M,0))&amp;"","")&lt;&gt;"",ISNUMBER(SEARCH("remboursement",IFERROR(INDEX('Paramètres'!$N:$N,MATCH($D2659,'Paramètres'!$M:$M,0))&amp;"",""))))),1,0))</f>
        <v/>
      </c>
      <c r="Q2659" s="6" t="str">
        <f>IF($K2659="","",IF(ISNUMBER(SEARCH("transfert-interne",IFERROR(INDEX('Paramètres'!$N:$N,MATCH($D2659,'Paramètres'!$M:$M,0))&amp;"",""))),0,IF($L2659="Débit",$K2659,IF($P2659=1,-$K2659,0))))</f>
        <v/>
      </c>
      <c r="R2659" s="6" t="str">
        <f>IF($K2659="","",IF($L2659="Crédit",$K2659,-$K2659))</f>
        <v/>
      </c>
      <c r="S2659" s="6" t="str">
        <f>IF($C2659="","",IFERROR(INDEX('Paramètres'!$H:$H,MATCH($C2659,'Paramètres'!$D:$D,0))&amp;"",""))</f>
        <v/>
      </c>
      <c r="T2659" s="6" t="str">
        <f>IF($K2659="","",IF($S2659="",0,IF(ISNUMBER(SEARCH("apport-exterieur",IFERROR(INDEX('Paramètres'!$N:$N,MATCH($D2659,'Paramètres'!$M:$M,0))&amp;"",""))),0,IF(OR(IFERROR(INDEX('Paramètres'!$I:$I,MATCH($C2659,'Paramètres'!$D:$D,0))&amp;"","")="Les deux",IFERROR(INDEX('Paramètres'!$I:$I,MATCH($C2659,'Paramètres'!$D:$D,0))&amp;"","")=IF($P2659=1,"Débit",$L2659)),-IF($P2659=1,-$K2659,$K2659),0))))</f>
        <v/>
      </c>
      <c r="U2659" s="6" t="str">
        <f>IF($K2659="","",IF(ISNUMBER(SEARCH("sortie-epargne",IFERROR(INDEX('Paramètres'!$N:$N,MATCH($D2659,'Paramètres'!$M:$M,0))&amp;"",""))),$K2659,0))</f>
        <v/>
      </c>
      <c r="V2659" s="6" t="str">
        <f>IF(AND($A2659&lt;&gt;"",$O2659=1,$L2659="Débit",N($Q2659)&gt;0,$A2659&gt;=Visualisation!$B$1,$A2659&lt;Visualisation!$D$1),MAX($V$1:V2658)+1,"")</f>
        <v/>
      </c>
    </row>
    <row r="2660" spans="1:22" x14ac:dyDescent="0.25">
      <c r="A2660" s="9"/>
      <c r="E2660" s="10"/>
      <c r="K2660" s="11" t="str">
        <f>IF($E2660="","",ROUND($E2660*IF(ISNA(MATCH($C2660,'Paramètres'!$D:$D,0)),1,IF(INDEX('Paramètres'!$J:$J,MATCH($C2660,'Paramètres'!$D:$D,0))="",1,INDEX('Paramètres'!$J:$J,MATCH($C2660,'Paramètres'!$D:$D,0)))),2))</f>
        <v/>
      </c>
      <c r="L2660" s="6" t="str">
        <f>IF($D2660="","",IF($F2660&lt;&gt;"",$F2660,IF(ISNA(MATCH($D2660,'Paramètres'!$M:$M,0)),"⚠ Type inconnu",IFERROR(INDEX('Paramètres'!$P:$P,MATCH($D2660,'Paramètres'!$M:$M,0))&amp;"",""))))</f>
        <v/>
      </c>
      <c r="M2660" s="6" t="str">
        <f>IF($D2660="","",IF(ISNA(MATCH($D2660,'Paramètres'!$M:$M,0)),"⚠ Type inconnu",IF($L2660="Crédit","",IFERROR(INDEX('Paramètres'!$O:$O,MATCH($D2660,'Paramètres'!$M:$M,0))&amp;"",""))))</f>
        <v/>
      </c>
      <c r="N2660" s="6" t="str">
        <f>IF($D2660="","",IFERROR(INDEX('Paramètres'!$Q:$Q,MATCH($D2660,'Paramètres'!$M:$M,0))&amp;"",""))</f>
        <v/>
      </c>
      <c r="O2660" s="6" t="str">
        <f>IF($A2660="","",IF(OR($J2660&lt;&gt;"x",$A2660&lt;=FinReleve),1,0))</f>
        <v/>
      </c>
      <c r="P2660" s="6" t="str">
        <f>IF($D2660="","",IF(AND($L2660="Crédit",OR(IFERROR(INDEX('Paramètres'!$O:$O,MATCH($D2660,'Paramètres'!$M:$M,0))&amp;"","")&lt;&gt;"",ISNUMBER(SEARCH("remboursement",IFERROR(INDEX('Paramètres'!$N:$N,MATCH($D2660,'Paramètres'!$M:$M,0))&amp;"",""))))),1,0))</f>
        <v/>
      </c>
      <c r="Q2660" s="6" t="str">
        <f>IF($K2660="","",IF(ISNUMBER(SEARCH("transfert-interne",IFERROR(INDEX('Paramètres'!$N:$N,MATCH($D2660,'Paramètres'!$M:$M,0))&amp;"",""))),0,IF($L2660="Débit",$K2660,IF($P2660=1,-$K2660,0))))</f>
        <v/>
      </c>
      <c r="R2660" s="6" t="str">
        <f>IF($K2660="","",IF($L2660="Crédit",$K2660,-$K2660))</f>
        <v/>
      </c>
      <c r="S2660" s="6" t="str">
        <f>IF($C2660="","",IFERROR(INDEX('Paramètres'!$H:$H,MATCH($C2660,'Paramètres'!$D:$D,0))&amp;"",""))</f>
        <v/>
      </c>
      <c r="T2660" s="6" t="str">
        <f>IF($K2660="","",IF($S2660="",0,IF(ISNUMBER(SEARCH("apport-exterieur",IFERROR(INDEX('Paramètres'!$N:$N,MATCH($D2660,'Paramètres'!$M:$M,0))&amp;"",""))),0,IF(OR(IFERROR(INDEX('Paramètres'!$I:$I,MATCH($C2660,'Paramètres'!$D:$D,0))&amp;"","")="Les deux",IFERROR(INDEX('Paramètres'!$I:$I,MATCH($C2660,'Paramètres'!$D:$D,0))&amp;"","")=IF($P2660=1,"Débit",$L2660)),-IF($P2660=1,-$K2660,$K2660),0))))</f>
        <v/>
      </c>
      <c r="U2660" s="6" t="str">
        <f>IF($K2660="","",IF(ISNUMBER(SEARCH("sortie-epargne",IFERROR(INDEX('Paramètres'!$N:$N,MATCH($D2660,'Paramètres'!$M:$M,0))&amp;"",""))),$K2660,0))</f>
        <v/>
      </c>
      <c r="V2660" s="6" t="str">
        <f>IF(AND($A2660&lt;&gt;"",$O2660=1,$L2660="Débit",N($Q2660)&gt;0,$A2660&gt;=Visualisation!$B$1,$A2660&lt;Visualisation!$D$1),MAX($V$1:V2659)+1,"")</f>
        <v/>
      </c>
    </row>
    <row r="2661" spans="1:22" x14ac:dyDescent="0.25">
      <c r="A2661" s="9"/>
      <c r="E2661" s="10"/>
      <c r="K2661" s="11" t="str">
        <f>IF($E2661="","",ROUND($E2661*IF(ISNA(MATCH($C2661,'Paramètres'!$D:$D,0)),1,IF(INDEX('Paramètres'!$J:$J,MATCH($C2661,'Paramètres'!$D:$D,0))="",1,INDEX('Paramètres'!$J:$J,MATCH($C2661,'Paramètres'!$D:$D,0)))),2))</f>
        <v/>
      </c>
      <c r="L2661" s="6" t="str">
        <f>IF($D2661="","",IF($F2661&lt;&gt;"",$F2661,IF(ISNA(MATCH($D2661,'Paramètres'!$M:$M,0)),"⚠ Type inconnu",IFERROR(INDEX('Paramètres'!$P:$P,MATCH($D2661,'Paramètres'!$M:$M,0))&amp;"",""))))</f>
        <v/>
      </c>
      <c r="M2661" s="6" t="str">
        <f>IF($D2661="","",IF(ISNA(MATCH($D2661,'Paramètres'!$M:$M,0)),"⚠ Type inconnu",IF($L2661="Crédit","",IFERROR(INDEX('Paramètres'!$O:$O,MATCH($D2661,'Paramètres'!$M:$M,0))&amp;"",""))))</f>
        <v/>
      </c>
      <c r="N2661" s="6" t="str">
        <f>IF($D2661="","",IFERROR(INDEX('Paramètres'!$Q:$Q,MATCH($D2661,'Paramètres'!$M:$M,0))&amp;"",""))</f>
        <v/>
      </c>
      <c r="O2661" s="6" t="str">
        <f>IF($A2661="","",IF(OR($J2661&lt;&gt;"x",$A2661&lt;=FinReleve),1,0))</f>
        <v/>
      </c>
      <c r="P2661" s="6" t="str">
        <f>IF($D2661="","",IF(AND($L2661="Crédit",OR(IFERROR(INDEX('Paramètres'!$O:$O,MATCH($D2661,'Paramètres'!$M:$M,0))&amp;"","")&lt;&gt;"",ISNUMBER(SEARCH("remboursement",IFERROR(INDEX('Paramètres'!$N:$N,MATCH($D2661,'Paramètres'!$M:$M,0))&amp;"",""))))),1,0))</f>
        <v/>
      </c>
      <c r="Q2661" s="6" t="str">
        <f>IF($K2661="","",IF(ISNUMBER(SEARCH("transfert-interne",IFERROR(INDEX('Paramètres'!$N:$N,MATCH($D2661,'Paramètres'!$M:$M,0))&amp;"",""))),0,IF($L2661="Débit",$K2661,IF($P2661=1,-$K2661,0))))</f>
        <v/>
      </c>
      <c r="R2661" s="6" t="str">
        <f>IF($K2661="","",IF($L2661="Crédit",$K2661,-$K2661))</f>
        <v/>
      </c>
      <c r="S2661" s="6" t="str">
        <f>IF($C2661="","",IFERROR(INDEX('Paramètres'!$H:$H,MATCH($C2661,'Paramètres'!$D:$D,0))&amp;"",""))</f>
        <v/>
      </c>
      <c r="T2661" s="6" t="str">
        <f>IF($K2661="","",IF($S2661="",0,IF(ISNUMBER(SEARCH("apport-exterieur",IFERROR(INDEX('Paramètres'!$N:$N,MATCH($D2661,'Paramètres'!$M:$M,0))&amp;"",""))),0,IF(OR(IFERROR(INDEX('Paramètres'!$I:$I,MATCH($C2661,'Paramètres'!$D:$D,0))&amp;"","")="Les deux",IFERROR(INDEX('Paramètres'!$I:$I,MATCH($C2661,'Paramètres'!$D:$D,0))&amp;"","")=IF($P2661=1,"Débit",$L2661)),-IF($P2661=1,-$K2661,$K2661),0))))</f>
        <v/>
      </c>
      <c r="U2661" s="6" t="str">
        <f>IF($K2661="","",IF(ISNUMBER(SEARCH("sortie-epargne",IFERROR(INDEX('Paramètres'!$N:$N,MATCH($D2661,'Paramètres'!$M:$M,0))&amp;"",""))),$K2661,0))</f>
        <v/>
      </c>
      <c r="V2661" s="6" t="str">
        <f>IF(AND($A2661&lt;&gt;"",$O2661=1,$L2661="Débit",N($Q2661)&gt;0,$A2661&gt;=Visualisation!$B$1,$A2661&lt;Visualisation!$D$1),MAX($V$1:V2660)+1,"")</f>
        <v/>
      </c>
    </row>
    <row r="2662" spans="1:22" x14ac:dyDescent="0.25">
      <c r="A2662" s="9"/>
      <c r="E2662" s="10"/>
      <c r="K2662" s="11" t="str">
        <f>IF($E2662="","",ROUND($E2662*IF(ISNA(MATCH($C2662,'Paramètres'!$D:$D,0)),1,IF(INDEX('Paramètres'!$J:$J,MATCH($C2662,'Paramètres'!$D:$D,0))="",1,INDEX('Paramètres'!$J:$J,MATCH($C2662,'Paramètres'!$D:$D,0)))),2))</f>
        <v/>
      </c>
      <c r="L2662" s="6" t="str">
        <f>IF($D2662="","",IF($F2662&lt;&gt;"",$F2662,IF(ISNA(MATCH($D2662,'Paramètres'!$M:$M,0)),"⚠ Type inconnu",IFERROR(INDEX('Paramètres'!$P:$P,MATCH($D2662,'Paramètres'!$M:$M,0))&amp;"",""))))</f>
        <v/>
      </c>
      <c r="M2662" s="6" t="str">
        <f>IF($D2662="","",IF(ISNA(MATCH($D2662,'Paramètres'!$M:$M,0)),"⚠ Type inconnu",IF($L2662="Crédit","",IFERROR(INDEX('Paramètres'!$O:$O,MATCH($D2662,'Paramètres'!$M:$M,0))&amp;"",""))))</f>
        <v/>
      </c>
      <c r="N2662" s="6" t="str">
        <f>IF($D2662="","",IFERROR(INDEX('Paramètres'!$Q:$Q,MATCH($D2662,'Paramètres'!$M:$M,0))&amp;"",""))</f>
        <v/>
      </c>
      <c r="O2662" s="6" t="str">
        <f>IF($A2662="","",IF(OR($J2662&lt;&gt;"x",$A2662&lt;=FinReleve),1,0))</f>
        <v/>
      </c>
      <c r="P2662" s="6" t="str">
        <f>IF($D2662="","",IF(AND($L2662="Crédit",OR(IFERROR(INDEX('Paramètres'!$O:$O,MATCH($D2662,'Paramètres'!$M:$M,0))&amp;"","")&lt;&gt;"",ISNUMBER(SEARCH("remboursement",IFERROR(INDEX('Paramètres'!$N:$N,MATCH($D2662,'Paramètres'!$M:$M,0))&amp;"",""))))),1,0))</f>
        <v/>
      </c>
      <c r="Q2662" s="6" t="str">
        <f>IF($K2662="","",IF(ISNUMBER(SEARCH("transfert-interne",IFERROR(INDEX('Paramètres'!$N:$N,MATCH($D2662,'Paramètres'!$M:$M,0))&amp;"",""))),0,IF($L2662="Débit",$K2662,IF($P2662=1,-$K2662,0))))</f>
        <v/>
      </c>
      <c r="R2662" s="6" t="str">
        <f>IF($K2662="","",IF($L2662="Crédit",$K2662,-$K2662))</f>
        <v/>
      </c>
      <c r="S2662" s="6" t="str">
        <f>IF($C2662="","",IFERROR(INDEX('Paramètres'!$H:$H,MATCH($C2662,'Paramètres'!$D:$D,0))&amp;"",""))</f>
        <v/>
      </c>
      <c r="T2662" s="6" t="str">
        <f>IF($K2662="","",IF($S2662="",0,IF(ISNUMBER(SEARCH("apport-exterieur",IFERROR(INDEX('Paramètres'!$N:$N,MATCH($D2662,'Paramètres'!$M:$M,0))&amp;"",""))),0,IF(OR(IFERROR(INDEX('Paramètres'!$I:$I,MATCH($C2662,'Paramètres'!$D:$D,0))&amp;"","")="Les deux",IFERROR(INDEX('Paramètres'!$I:$I,MATCH($C2662,'Paramètres'!$D:$D,0))&amp;"","")=IF($P2662=1,"Débit",$L2662)),-IF($P2662=1,-$K2662,$K2662),0))))</f>
        <v/>
      </c>
      <c r="U2662" s="6" t="str">
        <f>IF($K2662="","",IF(ISNUMBER(SEARCH("sortie-epargne",IFERROR(INDEX('Paramètres'!$N:$N,MATCH($D2662,'Paramètres'!$M:$M,0))&amp;"",""))),$K2662,0))</f>
        <v/>
      </c>
      <c r="V2662" s="6" t="str">
        <f>IF(AND($A2662&lt;&gt;"",$O2662=1,$L2662="Débit",N($Q2662)&gt;0,$A2662&gt;=Visualisation!$B$1,$A2662&lt;Visualisation!$D$1),MAX($V$1:V2661)+1,"")</f>
        <v/>
      </c>
    </row>
    <row r="2663" spans="1:22" x14ac:dyDescent="0.25">
      <c r="A2663" s="9"/>
      <c r="E2663" s="10"/>
      <c r="K2663" s="11" t="str">
        <f>IF($E2663="","",ROUND($E2663*IF(ISNA(MATCH($C2663,'Paramètres'!$D:$D,0)),1,IF(INDEX('Paramètres'!$J:$J,MATCH($C2663,'Paramètres'!$D:$D,0))="",1,INDEX('Paramètres'!$J:$J,MATCH($C2663,'Paramètres'!$D:$D,0)))),2))</f>
        <v/>
      </c>
      <c r="L2663" s="6" t="str">
        <f>IF($D2663="","",IF($F2663&lt;&gt;"",$F2663,IF(ISNA(MATCH($D2663,'Paramètres'!$M:$M,0)),"⚠ Type inconnu",IFERROR(INDEX('Paramètres'!$P:$P,MATCH($D2663,'Paramètres'!$M:$M,0))&amp;"",""))))</f>
        <v/>
      </c>
      <c r="M2663" s="6" t="str">
        <f>IF($D2663="","",IF(ISNA(MATCH($D2663,'Paramètres'!$M:$M,0)),"⚠ Type inconnu",IF($L2663="Crédit","",IFERROR(INDEX('Paramètres'!$O:$O,MATCH($D2663,'Paramètres'!$M:$M,0))&amp;"",""))))</f>
        <v/>
      </c>
      <c r="N2663" s="6" t="str">
        <f>IF($D2663="","",IFERROR(INDEX('Paramètres'!$Q:$Q,MATCH($D2663,'Paramètres'!$M:$M,0))&amp;"",""))</f>
        <v/>
      </c>
      <c r="O2663" s="6" t="str">
        <f>IF($A2663="","",IF(OR($J2663&lt;&gt;"x",$A2663&lt;=FinReleve),1,0))</f>
        <v/>
      </c>
      <c r="P2663" s="6" t="str">
        <f>IF($D2663="","",IF(AND($L2663="Crédit",OR(IFERROR(INDEX('Paramètres'!$O:$O,MATCH($D2663,'Paramètres'!$M:$M,0))&amp;"","")&lt;&gt;"",ISNUMBER(SEARCH("remboursement",IFERROR(INDEX('Paramètres'!$N:$N,MATCH($D2663,'Paramètres'!$M:$M,0))&amp;"",""))))),1,0))</f>
        <v/>
      </c>
      <c r="Q2663" s="6" t="str">
        <f>IF($K2663="","",IF(ISNUMBER(SEARCH("transfert-interne",IFERROR(INDEX('Paramètres'!$N:$N,MATCH($D2663,'Paramètres'!$M:$M,0))&amp;"",""))),0,IF($L2663="Débit",$K2663,IF($P2663=1,-$K2663,0))))</f>
        <v/>
      </c>
      <c r="R2663" s="6" t="str">
        <f>IF($K2663="","",IF($L2663="Crédit",$K2663,-$K2663))</f>
        <v/>
      </c>
      <c r="S2663" s="6" t="str">
        <f>IF($C2663="","",IFERROR(INDEX('Paramètres'!$H:$H,MATCH($C2663,'Paramètres'!$D:$D,0))&amp;"",""))</f>
        <v/>
      </c>
      <c r="T2663" s="6" t="str">
        <f>IF($K2663="","",IF($S2663="",0,IF(ISNUMBER(SEARCH("apport-exterieur",IFERROR(INDEX('Paramètres'!$N:$N,MATCH($D2663,'Paramètres'!$M:$M,0))&amp;"",""))),0,IF(OR(IFERROR(INDEX('Paramètres'!$I:$I,MATCH($C2663,'Paramètres'!$D:$D,0))&amp;"","")="Les deux",IFERROR(INDEX('Paramètres'!$I:$I,MATCH($C2663,'Paramètres'!$D:$D,0))&amp;"","")=IF($P2663=1,"Débit",$L2663)),-IF($P2663=1,-$K2663,$K2663),0))))</f>
        <v/>
      </c>
      <c r="U2663" s="6" t="str">
        <f>IF($K2663="","",IF(ISNUMBER(SEARCH("sortie-epargne",IFERROR(INDEX('Paramètres'!$N:$N,MATCH($D2663,'Paramètres'!$M:$M,0))&amp;"",""))),$K2663,0))</f>
        <v/>
      </c>
      <c r="V2663" s="6" t="str">
        <f>IF(AND($A2663&lt;&gt;"",$O2663=1,$L2663="Débit",N($Q2663)&gt;0,$A2663&gt;=Visualisation!$B$1,$A2663&lt;Visualisation!$D$1),MAX($V$1:V2662)+1,"")</f>
        <v/>
      </c>
    </row>
    <row r="2664" spans="1:22" x14ac:dyDescent="0.25">
      <c r="A2664" s="9"/>
      <c r="E2664" s="10"/>
      <c r="K2664" s="11" t="str">
        <f>IF($E2664="","",ROUND($E2664*IF(ISNA(MATCH($C2664,'Paramètres'!$D:$D,0)),1,IF(INDEX('Paramètres'!$J:$J,MATCH($C2664,'Paramètres'!$D:$D,0))="",1,INDEX('Paramètres'!$J:$J,MATCH($C2664,'Paramètres'!$D:$D,0)))),2))</f>
        <v/>
      </c>
      <c r="L2664" s="6" t="str">
        <f>IF($D2664="","",IF($F2664&lt;&gt;"",$F2664,IF(ISNA(MATCH($D2664,'Paramètres'!$M:$M,0)),"⚠ Type inconnu",IFERROR(INDEX('Paramètres'!$P:$P,MATCH($D2664,'Paramètres'!$M:$M,0))&amp;"",""))))</f>
        <v/>
      </c>
      <c r="M2664" s="6" t="str">
        <f>IF($D2664="","",IF(ISNA(MATCH($D2664,'Paramètres'!$M:$M,0)),"⚠ Type inconnu",IF($L2664="Crédit","",IFERROR(INDEX('Paramètres'!$O:$O,MATCH($D2664,'Paramètres'!$M:$M,0))&amp;"",""))))</f>
        <v/>
      </c>
      <c r="N2664" s="6" t="str">
        <f>IF($D2664="","",IFERROR(INDEX('Paramètres'!$Q:$Q,MATCH($D2664,'Paramètres'!$M:$M,0))&amp;"",""))</f>
        <v/>
      </c>
      <c r="O2664" s="6" t="str">
        <f>IF($A2664="","",IF(OR($J2664&lt;&gt;"x",$A2664&lt;=FinReleve),1,0))</f>
        <v/>
      </c>
      <c r="P2664" s="6" t="str">
        <f>IF($D2664="","",IF(AND($L2664="Crédit",OR(IFERROR(INDEX('Paramètres'!$O:$O,MATCH($D2664,'Paramètres'!$M:$M,0))&amp;"","")&lt;&gt;"",ISNUMBER(SEARCH("remboursement",IFERROR(INDEX('Paramètres'!$N:$N,MATCH($D2664,'Paramètres'!$M:$M,0))&amp;"",""))))),1,0))</f>
        <v/>
      </c>
      <c r="Q2664" s="6" t="str">
        <f>IF($K2664="","",IF(ISNUMBER(SEARCH("transfert-interne",IFERROR(INDEX('Paramètres'!$N:$N,MATCH($D2664,'Paramètres'!$M:$M,0))&amp;"",""))),0,IF($L2664="Débit",$K2664,IF($P2664=1,-$K2664,0))))</f>
        <v/>
      </c>
      <c r="R2664" s="6" t="str">
        <f>IF($K2664="","",IF($L2664="Crédit",$K2664,-$K2664))</f>
        <v/>
      </c>
      <c r="S2664" s="6" t="str">
        <f>IF($C2664="","",IFERROR(INDEX('Paramètres'!$H:$H,MATCH($C2664,'Paramètres'!$D:$D,0))&amp;"",""))</f>
        <v/>
      </c>
      <c r="T2664" s="6" t="str">
        <f>IF($K2664="","",IF($S2664="",0,IF(ISNUMBER(SEARCH("apport-exterieur",IFERROR(INDEX('Paramètres'!$N:$N,MATCH($D2664,'Paramètres'!$M:$M,0))&amp;"",""))),0,IF(OR(IFERROR(INDEX('Paramètres'!$I:$I,MATCH($C2664,'Paramètres'!$D:$D,0))&amp;"","")="Les deux",IFERROR(INDEX('Paramètres'!$I:$I,MATCH($C2664,'Paramètres'!$D:$D,0))&amp;"","")=IF($P2664=1,"Débit",$L2664)),-IF($P2664=1,-$K2664,$K2664),0))))</f>
        <v/>
      </c>
      <c r="U2664" s="6" t="str">
        <f>IF($K2664="","",IF(ISNUMBER(SEARCH("sortie-epargne",IFERROR(INDEX('Paramètres'!$N:$N,MATCH($D2664,'Paramètres'!$M:$M,0))&amp;"",""))),$K2664,0))</f>
        <v/>
      </c>
      <c r="V2664" s="6" t="str">
        <f>IF(AND($A2664&lt;&gt;"",$O2664=1,$L2664="Débit",N($Q2664)&gt;0,$A2664&gt;=Visualisation!$B$1,$A2664&lt;Visualisation!$D$1),MAX($V$1:V2663)+1,"")</f>
        <v/>
      </c>
    </row>
    <row r="2665" spans="1:22" x14ac:dyDescent="0.25">
      <c r="A2665" s="9"/>
      <c r="E2665" s="10"/>
      <c r="K2665" s="11" t="str">
        <f>IF($E2665="","",ROUND($E2665*IF(ISNA(MATCH($C2665,'Paramètres'!$D:$D,0)),1,IF(INDEX('Paramètres'!$J:$J,MATCH($C2665,'Paramètres'!$D:$D,0))="",1,INDEX('Paramètres'!$J:$J,MATCH($C2665,'Paramètres'!$D:$D,0)))),2))</f>
        <v/>
      </c>
      <c r="L2665" s="6" t="str">
        <f>IF($D2665="","",IF($F2665&lt;&gt;"",$F2665,IF(ISNA(MATCH($D2665,'Paramètres'!$M:$M,0)),"⚠ Type inconnu",IFERROR(INDEX('Paramètres'!$P:$P,MATCH($D2665,'Paramètres'!$M:$M,0))&amp;"",""))))</f>
        <v/>
      </c>
      <c r="M2665" s="6" t="str">
        <f>IF($D2665="","",IF(ISNA(MATCH($D2665,'Paramètres'!$M:$M,0)),"⚠ Type inconnu",IF($L2665="Crédit","",IFERROR(INDEX('Paramètres'!$O:$O,MATCH($D2665,'Paramètres'!$M:$M,0))&amp;"",""))))</f>
        <v/>
      </c>
      <c r="N2665" s="6" t="str">
        <f>IF($D2665="","",IFERROR(INDEX('Paramètres'!$Q:$Q,MATCH($D2665,'Paramètres'!$M:$M,0))&amp;"",""))</f>
        <v/>
      </c>
      <c r="O2665" s="6" t="str">
        <f>IF($A2665="","",IF(OR($J2665&lt;&gt;"x",$A2665&lt;=FinReleve),1,0))</f>
        <v/>
      </c>
      <c r="P2665" s="6" t="str">
        <f>IF($D2665="","",IF(AND($L2665="Crédit",OR(IFERROR(INDEX('Paramètres'!$O:$O,MATCH($D2665,'Paramètres'!$M:$M,0))&amp;"","")&lt;&gt;"",ISNUMBER(SEARCH("remboursement",IFERROR(INDEX('Paramètres'!$N:$N,MATCH($D2665,'Paramètres'!$M:$M,0))&amp;"",""))))),1,0))</f>
        <v/>
      </c>
      <c r="Q2665" s="6" t="str">
        <f>IF($K2665="","",IF(ISNUMBER(SEARCH("transfert-interne",IFERROR(INDEX('Paramètres'!$N:$N,MATCH($D2665,'Paramètres'!$M:$M,0))&amp;"",""))),0,IF($L2665="Débit",$K2665,IF($P2665=1,-$K2665,0))))</f>
        <v/>
      </c>
      <c r="R2665" s="6" t="str">
        <f>IF($K2665="","",IF($L2665="Crédit",$K2665,-$K2665))</f>
        <v/>
      </c>
      <c r="S2665" s="6" t="str">
        <f>IF($C2665="","",IFERROR(INDEX('Paramètres'!$H:$H,MATCH($C2665,'Paramètres'!$D:$D,0))&amp;"",""))</f>
        <v/>
      </c>
      <c r="T2665" s="6" t="str">
        <f>IF($K2665="","",IF($S2665="",0,IF(ISNUMBER(SEARCH("apport-exterieur",IFERROR(INDEX('Paramètres'!$N:$N,MATCH($D2665,'Paramètres'!$M:$M,0))&amp;"",""))),0,IF(OR(IFERROR(INDEX('Paramètres'!$I:$I,MATCH($C2665,'Paramètres'!$D:$D,0))&amp;"","")="Les deux",IFERROR(INDEX('Paramètres'!$I:$I,MATCH($C2665,'Paramètres'!$D:$D,0))&amp;"","")=IF($P2665=1,"Débit",$L2665)),-IF($P2665=1,-$K2665,$K2665),0))))</f>
        <v/>
      </c>
      <c r="U2665" s="6" t="str">
        <f>IF($K2665="","",IF(ISNUMBER(SEARCH("sortie-epargne",IFERROR(INDEX('Paramètres'!$N:$N,MATCH($D2665,'Paramètres'!$M:$M,0))&amp;"",""))),$K2665,0))</f>
        <v/>
      </c>
      <c r="V2665" s="6" t="str">
        <f>IF(AND($A2665&lt;&gt;"",$O2665=1,$L2665="Débit",N($Q2665)&gt;0,$A2665&gt;=Visualisation!$B$1,$A2665&lt;Visualisation!$D$1),MAX($V$1:V2664)+1,"")</f>
        <v/>
      </c>
    </row>
    <row r="2666" spans="1:22" x14ac:dyDescent="0.25">
      <c r="A2666" s="9"/>
      <c r="E2666" s="10"/>
      <c r="K2666" s="11" t="str">
        <f>IF($E2666="","",ROUND($E2666*IF(ISNA(MATCH($C2666,'Paramètres'!$D:$D,0)),1,IF(INDEX('Paramètres'!$J:$J,MATCH($C2666,'Paramètres'!$D:$D,0))="",1,INDEX('Paramètres'!$J:$J,MATCH($C2666,'Paramètres'!$D:$D,0)))),2))</f>
        <v/>
      </c>
      <c r="L2666" s="6" t="str">
        <f>IF($D2666="","",IF($F2666&lt;&gt;"",$F2666,IF(ISNA(MATCH($D2666,'Paramètres'!$M:$M,0)),"⚠ Type inconnu",IFERROR(INDEX('Paramètres'!$P:$P,MATCH($D2666,'Paramètres'!$M:$M,0))&amp;"",""))))</f>
        <v/>
      </c>
      <c r="M2666" s="6" t="str">
        <f>IF($D2666="","",IF(ISNA(MATCH($D2666,'Paramètres'!$M:$M,0)),"⚠ Type inconnu",IF($L2666="Crédit","",IFERROR(INDEX('Paramètres'!$O:$O,MATCH($D2666,'Paramètres'!$M:$M,0))&amp;"",""))))</f>
        <v/>
      </c>
      <c r="N2666" s="6" t="str">
        <f>IF($D2666="","",IFERROR(INDEX('Paramètres'!$Q:$Q,MATCH($D2666,'Paramètres'!$M:$M,0))&amp;"",""))</f>
        <v/>
      </c>
      <c r="O2666" s="6" t="str">
        <f>IF($A2666="","",IF(OR($J2666&lt;&gt;"x",$A2666&lt;=FinReleve),1,0))</f>
        <v/>
      </c>
      <c r="P2666" s="6" t="str">
        <f>IF($D2666="","",IF(AND($L2666="Crédit",OR(IFERROR(INDEX('Paramètres'!$O:$O,MATCH($D2666,'Paramètres'!$M:$M,0))&amp;"","")&lt;&gt;"",ISNUMBER(SEARCH("remboursement",IFERROR(INDEX('Paramètres'!$N:$N,MATCH($D2666,'Paramètres'!$M:$M,0))&amp;"",""))))),1,0))</f>
        <v/>
      </c>
      <c r="Q2666" s="6" t="str">
        <f>IF($K2666="","",IF(ISNUMBER(SEARCH("transfert-interne",IFERROR(INDEX('Paramètres'!$N:$N,MATCH($D2666,'Paramètres'!$M:$M,0))&amp;"",""))),0,IF($L2666="Débit",$K2666,IF($P2666=1,-$K2666,0))))</f>
        <v/>
      </c>
      <c r="R2666" s="6" t="str">
        <f>IF($K2666="","",IF($L2666="Crédit",$K2666,-$K2666))</f>
        <v/>
      </c>
      <c r="S2666" s="6" t="str">
        <f>IF($C2666="","",IFERROR(INDEX('Paramètres'!$H:$H,MATCH($C2666,'Paramètres'!$D:$D,0))&amp;"",""))</f>
        <v/>
      </c>
      <c r="T2666" s="6" t="str">
        <f>IF($K2666="","",IF($S2666="",0,IF(ISNUMBER(SEARCH("apport-exterieur",IFERROR(INDEX('Paramètres'!$N:$N,MATCH($D2666,'Paramètres'!$M:$M,0))&amp;"",""))),0,IF(OR(IFERROR(INDEX('Paramètres'!$I:$I,MATCH($C2666,'Paramètres'!$D:$D,0))&amp;"","")="Les deux",IFERROR(INDEX('Paramètres'!$I:$I,MATCH($C2666,'Paramètres'!$D:$D,0))&amp;"","")=IF($P2666=1,"Débit",$L2666)),-IF($P2666=1,-$K2666,$K2666),0))))</f>
        <v/>
      </c>
      <c r="U2666" s="6" t="str">
        <f>IF($K2666="","",IF(ISNUMBER(SEARCH("sortie-epargne",IFERROR(INDEX('Paramètres'!$N:$N,MATCH($D2666,'Paramètres'!$M:$M,0))&amp;"",""))),$K2666,0))</f>
        <v/>
      </c>
      <c r="V2666" s="6" t="str">
        <f>IF(AND($A2666&lt;&gt;"",$O2666=1,$L2666="Débit",N($Q2666)&gt;0,$A2666&gt;=Visualisation!$B$1,$A2666&lt;Visualisation!$D$1),MAX($V$1:V2665)+1,"")</f>
        <v/>
      </c>
    </row>
    <row r="2667" spans="1:22" x14ac:dyDescent="0.25">
      <c r="A2667" s="9"/>
      <c r="E2667" s="10"/>
      <c r="K2667" s="11" t="str">
        <f>IF($E2667="","",ROUND($E2667*IF(ISNA(MATCH($C2667,'Paramètres'!$D:$D,0)),1,IF(INDEX('Paramètres'!$J:$J,MATCH($C2667,'Paramètres'!$D:$D,0))="",1,INDEX('Paramètres'!$J:$J,MATCH($C2667,'Paramètres'!$D:$D,0)))),2))</f>
        <v/>
      </c>
      <c r="L2667" s="6" t="str">
        <f>IF($D2667="","",IF($F2667&lt;&gt;"",$F2667,IF(ISNA(MATCH($D2667,'Paramètres'!$M:$M,0)),"⚠ Type inconnu",IFERROR(INDEX('Paramètres'!$P:$P,MATCH($D2667,'Paramètres'!$M:$M,0))&amp;"",""))))</f>
        <v/>
      </c>
      <c r="M2667" s="6" t="str">
        <f>IF($D2667="","",IF(ISNA(MATCH($D2667,'Paramètres'!$M:$M,0)),"⚠ Type inconnu",IF($L2667="Crédit","",IFERROR(INDEX('Paramètres'!$O:$O,MATCH($D2667,'Paramètres'!$M:$M,0))&amp;"",""))))</f>
        <v/>
      </c>
      <c r="N2667" s="6" t="str">
        <f>IF($D2667="","",IFERROR(INDEX('Paramètres'!$Q:$Q,MATCH($D2667,'Paramètres'!$M:$M,0))&amp;"",""))</f>
        <v/>
      </c>
      <c r="O2667" s="6" t="str">
        <f>IF($A2667="","",IF(OR($J2667&lt;&gt;"x",$A2667&lt;=FinReleve),1,0))</f>
        <v/>
      </c>
      <c r="P2667" s="6" t="str">
        <f>IF($D2667="","",IF(AND($L2667="Crédit",OR(IFERROR(INDEX('Paramètres'!$O:$O,MATCH($D2667,'Paramètres'!$M:$M,0))&amp;"","")&lt;&gt;"",ISNUMBER(SEARCH("remboursement",IFERROR(INDEX('Paramètres'!$N:$N,MATCH($D2667,'Paramètres'!$M:$M,0))&amp;"",""))))),1,0))</f>
        <v/>
      </c>
      <c r="Q2667" s="6" t="str">
        <f>IF($K2667="","",IF(ISNUMBER(SEARCH("transfert-interne",IFERROR(INDEX('Paramètres'!$N:$N,MATCH($D2667,'Paramètres'!$M:$M,0))&amp;"",""))),0,IF($L2667="Débit",$K2667,IF($P2667=1,-$K2667,0))))</f>
        <v/>
      </c>
      <c r="R2667" s="6" t="str">
        <f>IF($K2667="","",IF($L2667="Crédit",$K2667,-$K2667))</f>
        <v/>
      </c>
      <c r="S2667" s="6" t="str">
        <f>IF($C2667="","",IFERROR(INDEX('Paramètres'!$H:$H,MATCH($C2667,'Paramètres'!$D:$D,0))&amp;"",""))</f>
        <v/>
      </c>
      <c r="T2667" s="6" t="str">
        <f>IF($K2667="","",IF($S2667="",0,IF(ISNUMBER(SEARCH("apport-exterieur",IFERROR(INDEX('Paramètres'!$N:$N,MATCH($D2667,'Paramètres'!$M:$M,0))&amp;"",""))),0,IF(OR(IFERROR(INDEX('Paramètres'!$I:$I,MATCH($C2667,'Paramètres'!$D:$D,0))&amp;"","")="Les deux",IFERROR(INDEX('Paramètres'!$I:$I,MATCH($C2667,'Paramètres'!$D:$D,0))&amp;"","")=IF($P2667=1,"Débit",$L2667)),-IF($P2667=1,-$K2667,$K2667),0))))</f>
        <v/>
      </c>
      <c r="U2667" s="6" t="str">
        <f>IF($K2667="","",IF(ISNUMBER(SEARCH("sortie-epargne",IFERROR(INDEX('Paramètres'!$N:$N,MATCH($D2667,'Paramètres'!$M:$M,0))&amp;"",""))),$K2667,0))</f>
        <v/>
      </c>
      <c r="V2667" s="6" t="str">
        <f>IF(AND($A2667&lt;&gt;"",$O2667=1,$L2667="Débit",N($Q2667)&gt;0,$A2667&gt;=Visualisation!$B$1,$A2667&lt;Visualisation!$D$1),MAX($V$1:V2666)+1,"")</f>
        <v/>
      </c>
    </row>
    <row r="2668" spans="1:22" x14ac:dyDescent="0.25">
      <c r="A2668" s="9"/>
      <c r="E2668" s="10"/>
      <c r="K2668" s="11" t="str">
        <f>IF($E2668="","",ROUND($E2668*IF(ISNA(MATCH($C2668,'Paramètres'!$D:$D,0)),1,IF(INDEX('Paramètres'!$J:$J,MATCH($C2668,'Paramètres'!$D:$D,0))="",1,INDEX('Paramètres'!$J:$J,MATCH($C2668,'Paramètres'!$D:$D,0)))),2))</f>
        <v/>
      </c>
      <c r="L2668" s="6" t="str">
        <f>IF($D2668="","",IF($F2668&lt;&gt;"",$F2668,IF(ISNA(MATCH($D2668,'Paramètres'!$M:$M,0)),"⚠ Type inconnu",IFERROR(INDEX('Paramètres'!$P:$P,MATCH($D2668,'Paramètres'!$M:$M,0))&amp;"",""))))</f>
        <v/>
      </c>
      <c r="M2668" s="6" t="str">
        <f>IF($D2668="","",IF(ISNA(MATCH($D2668,'Paramètres'!$M:$M,0)),"⚠ Type inconnu",IF($L2668="Crédit","",IFERROR(INDEX('Paramètres'!$O:$O,MATCH($D2668,'Paramètres'!$M:$M,0))&amp;"",""))))</f>
        <v/>
      </c>
      <c r="N2668" s="6" t="str">
        <f>IF($D2668="","",IFERROR(INDEX('Paramètres'!$Q:$Q,MATCH($D2668,'Paramètres'!$M:$M,0))&amp;"",""))</f>
        <v/>
      </c>
      <c r="O2668" s="6" t="str">
        <f>IF($A2668="","",IF(OR($J2668&lt;&gt;"x",$A2668&lt;=FinReleve),1,0))</f>
        <v/>
      </c>
      <c r="P2668" s="6" t="str">
        <f>IF($D2668="","",IF(AND($L2668="Crédit",OR(IFERROR(INDEX('Paramètres'!$O:$O,MATCH($D2668,'Paramètres'!$M:$M,0))&amp;"","")&lt;&gt;"",ISNUMBER(SEARCH("remboursement",IFERROR(INDEX('Paramètres'!$N:$N,MATCH($D2668,'Paramètres'!$M:$M,0))&amp;"",""))))),1,0))</f>
        <v/>
      </c>
      <c r="Q2668" s="6" t="str">
        <f>IF($K2668="","",IF(ISNUMBER(SEARCH("transfert-interne",IFERROR(INDEX('Paramètres'!$N:$N,MATCH($D2668,'Paramètres'!$M:$M,0))&amp;"",""))),0,IF($L2668="Débit",$K2668,IF($P2668=1,-$K2668,0))))</f>
        <v/>
      </c>
      <c r="R2668" s="6" t="str">
        <f>IF($K2668="","",IF($L2668="Crédit",$K2668,-$K2668))</f>
        <v/>
      </c>
      <c r="S2668" s="6" t="str">
        <f>IF($C2668="","",IFERROR(INDEX('Paramètres'!$H:$H,MATCH($C2668,'Paramètres'!$D:$D,0))&amp;"",""))</f>
        <v/>
      </c>
      <c r="T2668" s="6" t="str">
        <f>IF($K2668="","",IF($S2668="",0,IF(ISNUMBER(SEARCH("apport-exterieur",IFERROR(INDEX('Paramètres'!$N:$N,MATCH($D2668,'Paramètres'!$M:$M,0))&amp;"",""))),0,IF(OR(IFERROR(INDEX('Paramètres'!$I:$I,MATCH($C2668,'Paramètres'!$D:$D,0))&amp;"","")="Les deux",IFERROR(INDEX('Paramètres'!$I:$I,MATCH($C2668,'Paramètres'!$D:$D,0))&amp;"","")=IF($P2668=1,"Débit",$L2668)),-IF($P2668=1,-$K2668,$K2668),0))))</f>
        <v/>
      </c>
      <c r="U2668" s="6" t="str">
        <f>IF($K2668="","",IF(ISNUMBER(SEARCH("sortie-epargne",IFERROR(INDEX('Paramètres'!$N:$N,MATCH($D2668,'Paramètres'!$M:$M,0))&amp;"",""))),$K2668,0))</f>
        <v/>
      </c>
      <c r="V2668" s="6" t="str">
        <f>IF(AND($A2668&lt;&gt;"",$O2668=1,$L2668="Débit",N($Q2668)&gt;0,$A2668&gt;=Visualisation!$B$1,$A2668&lt;Visualisation!$D$1),MAX($V$1:V2667)+1,"")</f>
        <v/>
      </c>
    </row>
    <row r="2669" spans="1:22" x14ac:dyDescent="0.25">
      <c r="A2669" s="9"/>
      <c r="E2669" s="10"/>
      <c r="K2669" s="11" t="str">
        <f>IF($E2669="","",ROUND($E2669*IF(ISNA(MATCH($C2669,'Paramètres'!$D:$D,0)),1,IF(INDEX('Paramètres'!$J:$J,MATCH($C2669,'Paramètres'!$D:$D,0))="",1,INDEX('Paramètres'!$J:$J,MATCH($C2669,'Paramètres'!$D:$D,0)))),2))</f>
        <v/>
      </c>
      <c r="L2669" s="6" t="str">
        <f>IF($D2669="","",IF($F2669&lt;&gt;"",$F2669,IF(ISNA(MATCH($D2669,'Paramètres'!$M:$M,0)),"⚠ Type inconnu",IFERROR(INDEX('Paramètres'!$P:$P,MATCH($D2669,'Paramètres'!$M:$M,0))&amp;"",""))))</f>
        <v/>
      </c>
      <c r="M2669" s="6" t="str">
        <f>IF($D2669="","",IF(ISNA(MATCH($D2669,'Paramètres'!$M:$M,0)),"⚠ Type inconnu",IF($L2669="Crédit","",IFERROR(INDEX('Paramètres'!$O:$O,MATCH($D2669,'Paramètres'!$M:$M,0))&amp;"",""))))</f>
        <v/>
      </c>
      <c r="N2669" s="6" t="str">
        <f>IF($D2669="","",IFERROR(INDEX('Paramètres'!$Q:$Q,MATCH($D2669,'Paramètres'!$M:$M,0))&amp;"",""))</f>
        <v/>
      </c>
      <c r="O2669" s="6" t="str">
        <f>IF($A2669="","",IF(OR($J2669&lt;&gt;"x",$A2669&lt;=FinReleve),1,0))</f>
        <v/>
      </c>
      <c r="P2669" s="6" t="str">
        <f>IF($D2669="","",IF(AND($L2669="Crédit",OR(IFERROR(INDEX('Paramètres'!$O:$O,MATCH($D2669,'Paramètres'!$M:$M,0))&amp;"","")&lt;&gt;"",ISNUMBER(SEARCH("remboursement",IFERROR(INDEX('Paramètres'!$N:$N,MATCH($D2669,'Paramètres'!$M:$M,0))&amp;"",""))))),1,0))</f>
        <v/>
      </c>
      <c r="Q2669" s="6" t="str">
        <f>IF($K2669="","",IF(ISNUMBER(SEARCH("transfert-interne",IFERROR(INDEX('Paramètres'!$N:$N,MATCH($D2669,'Paramètres'!$M:$M,0))&amp;"",""))),0,IF($L2669="Débit",$K2669,IF($P2669=1,-$K2669,0))))</f>
        <v/>
      </c>
      <c r="R2669" s="6" t="str">
        <f>IF($K2669="","",IF($L2669="Crédit",$K2669,-$K2669))</f>
        <v/>
      </c>
      <c r="S2669" s="6" t="str">
        <f>IF($C2669="","",IFERROR(INDEX('Paramètres'!$H:$H,MATCH($C2669,'Paramètres'!$D:$D,0))&amp;"",""))</f>
        <v/>
      </c>
      <c r="T2669" s="6" t="str">
        <f>IF($K2669="","",IF($S2669="",0,IF(ISNUMBER(SEARCH("apport-exterieur",IFERROR(INDEX('Paramètres'!$N:$N,MATCH($D2669,'Paramètres'!$M:$M,0))&amp;"",""))),0,IF(OR(IFERROR(INDEX('Paramètres'!$I:$I,MATCH($C2669,'Paramètres'!$D:$D,0))&amp;"","")="Les deux",IFERROR(INDEX('Paramètres'!$I:$I,MATCH($C2669,'Paramètres'!$D:$D,0))&amp;"","")=IF($P2669=1,"Débit",$L2669)),-IF($P2669=1,-$K2669,$K2669),0))))</f>
        <v/>
      </c>
      <c r="U2669" s="6" t="str">
        <f>IF($K2669="","",IF(ISNUMBER(SEARCH("sortie-epargne",IFERROR(INDEX('Paramètres'!$N:$N,MATCH($D2669,'Paramètres'!$M:$M,0))&amp;"",""))),$K2669,0))</f>
        <v/>
      </c>
      <c r="V2669" s="6" t="str">
        <f>IF(AND($A2669&lt;&gt;"",$O2669=1,$L2669="Débit",N($Q2669)&gt;0,$A2669&gt;=Visualisation!$B$1,$A2669&lt;Visualisation!$D$1),MAX($V$1:V2668)+1,"")</f>
        <v/>
      </c>
    </row>
    <row r="2670" spans="1:22" x14ac:dyDescent="0.25">
      <c r="A2670" s="9"/>
      <c r="E2670" s="10"/>
      <c r="K2670" s="11" t="str">
        <f>IF($E2670="","",ROUND($E2670*IF(ISNA(MATCH($C2670,'Paramètres'!$D:$D,0)),1,IF(INDEX('Paramètres'!$J:$J,MATCH($C2670,'Paramètres'!$D:$D,0))="",1,INDEX('Paramètres'!$J:$J,MATCH($C2670,'Paramètres'!$D:$D,0)))),2))</f>
        <v/>
      </c>
      <c r="L2670" s="6" t="str">
        <f>IF($D2670="","",IF($F2670&lt;&gt;"",$F2670,IF(ISNA(MATCH($D2670,'Paramètres'!$M:$M,0)),"⚠ Type inconnu",IFERROR(INDEX('Paramètres'!$P:$P,MATCH($D2670,'Paramètres'!$M:$M,0))&amp;"",""))))</f>
        <v/>
      </c>
      <c r="M2670" s="6" t="str">
        <f>IF($D2670="","",IF(ISNA(MATCH($D2670,'Paramètres'!$M:$M,0)),"⚠ Type inconnu",IF($L2670="Crédit","",IFERROR(INDEX('Paramètres'!$O:$O,MATCH($D2670,'Paramètres'!$M:$M,0))&amp;"",""))))</f>
        <v/>
      </c>
      <c r="N2670" s="6" t="str">
        <f>IF($D2670="","",IFERROR(INDEX('Paramètres'!$Q:$Q,MATCH($D2670,'Paramètres'!$M:$M,0))&amp;"",""))</f>
        <v/>
      </c>
      <c r="O2670" s="6" t="str">
        <f>IF($A2670="","",IF(OR($J2670&lt;&gt;"x",$A2670&lt;=FinReleve),1,0))</f>
        <v/>
      </c>
      <c r="P2670" s="6" t="str">
        <f>IF($D2670="","",IF(AND($L2670="Crédit",OR(IFERROR(INDEX('Paramètres'!$O:$O,MATCH($D2670,'Paramètres'!$M:$M,0))&amp;"","")&lt;&gt;"",ISNUMBER(SEARCH("remboursement",IFERROR(INDEX('Paramètres'!$N:$N,MATCH($D2670,'Paramètres'!$M:$M,0))&amp;"",""))))),1,0))</f>
        <v/>
      </c>
      <c r="Q2670" s="6" t="str">
        <f>IF($K2670="","",IF(ISNUMBER(SEARCH("transfert-interne",IFERROR(INDEX('Paramètres'!$N:$N,MATCH($D2670,'Paramètres'!$M:$M,0))&amp;"",""))),0,IF($L2670="Débit",$K2670,IF($P2670=1,-$K2670,0))))</f>
        <v/>
      </c>
      <c r="R2670" s="6" t="str">
        <f>IF($K2670="","",IF($L2670="Crédit",$K2670,-$K2670))</f>
        <v/>
      </c>
      <c r="S2670" s="6" t="str">
        <f>IF($C2670="","",IFERROR(INDEX('Paramètres'!$H:$H,MATCH($C2670,'Paramètres'!$D:$D,0))&amp;"",""))</f>
        <v/>
      </c>
      <c r="T2670" s="6" t="str">
        <f>IF($K2670="","",IF($S2670="",0,IF(ISNUMBER(SEARCH("apport-exterieur",IFERROR(INDEX('Paramètres'!$N:$N,MATCH($D2670,'Paramètres'!$M:$M,0))&amp;"",""))),0,IF(OR(IFERROR(INDEX('Paramètres'!$I:$I,MATCH($C2670,'Paramètres'!$D:$D,0))&amp;"","")="Les deux",IFERROR(INDEX('Paramètres'!$I:$I,MATCH($C2670,'Paramètres'!$D:$D,0))&amp;"","")=IF($P2670=1,"Débit",$L2670)),-IF($P2670=1,-$K2670,$K2670),0))))</f>
        <v/>
      </c>
      <c r="U2670" s="6" t="str">
        <f>IF($K2670="","",IF(ISNUMBER(SEARCH("sortie-epargne",IFERROR(INDEX('Paramètres'!$N:$N,MATCH($D2670,'Paramètres'!$M:$M,0))&amp;"",""))),$K2670,0))</f>
        <v/>
      </c>
      <c r="V2670" s="6" t="str">
        <f>IF(AND($A2670&lt;&gt;"",$O2670=1,$L2670="Débit",N($Q2670)&gt;0,$A2670&gt;=Visualisation!$B$1,$A2670&lt;Visualisation!$D$1),MAX($V$1:V2669)+1,"")</f>
        <v/>
      </c>
    </row>
    <row r="2671" spans="1:22" x14ac:dyDescent="0.25">
      <c r="A2671" s="9"/>
      <c r="E2671" s="10"/>
      <c r="K2671" s="11" t="str">
        <f>IF($E2671="","",ROUND($E2671*IF(ISNA(MATCH($C2671,'Paramètres'!$D:$D,0)),1,IF(INDEX('Paramètres'!$J:$J,MATCH($C2671,'Paramètres'!$D:$D,0))="",1,INDEX('Paramètres'!$J:$J,MATCH($C2671,'Paramètres'!$D:$D,0)))),2))</f>
        <v/>
      </c>
      <c r="L2671" s="6" t="str">
        <f>IF($D2671="","",IF($F2671&lt;&gt;"",$F2671,IF(ISNA(MATCH($D2671,'Paramètres'!$M:$M,0)),"⚠ Type inconnu",IFERROR(INDEX('Paramètres'!$P:$P,MATCH($D2671,'Paramètres'!$M:$M,0))&amp;"",""))))</f>
        <v/>
      </c>
      <c r="M2671" s="6" t="str">
        <f>IF($D2671="","",IF(ISNA(MATCH($D2671,'Paramètres'!$M:$M,0)),"⚠ Type inconnu",IF($L2671="Crédit","",IFERROR(INDEX('Paramètres'!$O:$O,MATCH($D2671,'Paramètres'!$M:$M,0))&amp;"",""))))</f>
        <v/>
      </c>
      <c r="N2671" s="6" t="str">
        <f>IF($D2671="","",IFERROR(INDEX('Paramètres'!$Q:$Q,MATCH($D2671,'Paramètres'!$M:$M,0))&amp;"",""))</f>
        <v/>
      </c>
      <c r="O2671" s="6" t="str">
        <f>IF($A2671="","",IF(OR($J2671&lt;&gt;"x",$A2671&lt;=FinReleve),1,0))</f>
        <v/>
      </c>
      <c r="P2671" s="6" t="str">
        <f>IF($D2671="","",IF(AND($L2671="Crédit",OR(IFERROR(INDEX('Paramètres'!$O:$O,MATCH($D2671,'Paramètres'!$M:$M,0))&amp;"","")&lt;&gt;"",ISNUMBER(SEARCH("remboursement",IFERROR(INDEX('Paramètres'!$N:$N,MATCH($D2671,'Paramètres'!$M:$M,0))&amp;"",""))))),1,0))</f>
        <v/>
      </c>
      <c r="Q2671" s="6" t="str">
        <f>IF($K2671="","",IF(ISNUMBER(SEARCH("transfert-interne",IFERROR(INDEX('Paramètres'!$N:$N,MATCH($D2671,'Paramètres'!$M:$M,0))&amp;"",""))),0,IF($L2671="Débit",$K2671,IF($P2671=1,-$K2671,0))))</f>
        <v/>
      </c>
      <c r="R2671" s="6" t="str">
        <f>IF($K2671="","",IF($L2671="Crédit",$K2671,-$K2671))</f>
        <v/>
      </c>
      <c r="S2671" s="6" t="str">
        <f>IF($C2671="","",IFERROR(INDEX('Paramètres'!$H:$H,MATCH($C2671,'Paramètres'!$D:$D,0))&amp;"",""))</f>
        <v/>
      </c>
      <c r="T2671" s="6" t="str">
        <f>IF($K2671="","",IF($S2671="",0,IF(ISNUMBER(SEARCH("apport-exterieur",IFERROR(INDEX('Paramètres'!$N:$N,MATCH($D2671,'Paramètres'!$M:$M,0))&amp;"",""))),0,IF(OR(IFERROR(INDEX('Paramètres'!$I:$I,MATCH($C2671,'Paramètres'!$D:$D,0))&amp;"","")="Les deux",IFERROR(INDEX('Paramètres'!$I:$I,MATCH($C2671,'Paramètres'!$D:$D,0))&amp;"","")=IF($P2671=1,"Débit",$L2671)),-IF($P2671=1,-$K2671,$K2671),0))))</f>
        <v/>
      </c>
      <c r="U2671" s="6" t="str">
        <f>IF($K2671="","",IF(ISNUMBER(SEARCH("sortie-epargne",IFERROR(INDEX('Paramètres'!$N:$N,MATCH($D2671,'Paramètres'!$M:$M,0))&amp;"",""))),$K2671,0))</f>
        <v/>
      </c>
      <c r="V2671" s="6" t="str">
        <f>IF(AND($A2671&lt;&gt;"",$O2671=1,$L2671="Débit",N($Q2671)&gt;0,$A2671&gt;=Visualisation!$B$1,$A2671&lt;Visualisation!$D$1),MAX($V$1:V2670)+1,"")</f>
        <v/>
      </c>
    </row>
    <row r="2672" spans="1:22" x14ac:dyDescent="0.25">
      <c r="A2672" s="9"/>
      <c r="E2672" s="10"/>
      <c r="K2672" s="11" t="str">
        <f>IF($E2672="","",ROUND($E2672*IF(ISNA(MATCH($C2672,'Paramètres'!$D:$D,0)),1,IF(INDEX('Paramètres'!$J:$J,MATCH($C2672,'Paramètres'!$D:$D,0))="",1,INDEX('Paramètres'!$J:$J,MATCH($C2672,'Paramètres'!$D:$D,0)))),2))</f>
        <v/>
      </c>
      <c r="L2672" s="6" t="str">
        <f>IF($D2672="","",IF($F2672&lt;&gt;"",$F2672,IF(ISNA(MATCH($D2672,'Paramètres'!$M:$M,0)),"⚠ Type inconnu",IFERROR(INDEX('Paramètres'!$P:$P,MATCH($D2672,'Paramètres'!$M:$M,0))&amp;"",""))))</f>
        <v/>
      </c>
      <c r="M2672" s="6" t="str">
        <f>IF($D2672="","",IF(ISNA(MATCH($D2672,'Paramètres'!$M:$M,0)),"⚠ Type inconnu",IF($L2672="Crédit","",IFERROR(INDEX('Paramètres'!$O:$O,MATCH($D2672,'Paramètres'!$M:$M,0))&amp;"",""))))</f>
        <v/>
      </c>
      <c r="N2672" s="6" t="str">
        <f>IF($D2672="","",IFERROR(INDEX('Paramètres'!$Q:$Q,MATCH($D2672,'Paramètres'!$M:$M,0))&amp;"",""))</f>
        <v/>
      </c>
      <c r="O2672" s="6" t="str">
        <f>IF($A2672="","",IF(OR($J2672&lt;&gt;"x",$A2672&lt;=FinReleve),1,0))</f>
        <v/>
      </c>
      <c r="P2672" s="6" t="str">
        <f>IF($D2672="","",IF(AND($L2672="Crédit",OR(IFERROR(INDEX('Paramètres'!$O:$O,MATCH($D2672,'Paramètres'!$M:$M,0))&amp;"","")&lt;&gt;"",ISNUMBER(SEARCH("remboursement",IFERROR(INDEX('Paramètres'!$N:$N,MATCH($D2672,'Paramètres'!$M:$M,0))&amp;"",""))))),1,0))</f>
        <v/>
      </c>
      <c r="Q2672" s="6" t="str">
        <f>IF($K2672="","",IF(ISNUMBER(SEARCH("transfert-interne",IFERROR(INDEX('Paramètres'!$N:$N,MATCH($D2672,'Paramètres'!$M:$M,0))&amp;"",""))),0,IF($L2672="Débit",$K2672,IF($P2672=1,-$K2672,0))))</f>
        <v/>
      </c>
      <c r="R2672" s="6" t="str">
        <f>IF($K2672="","",IF($L2672="Crédit",$K2672,-$K2672))</f>
        <v/>
      </c>
      <c r="S2672" s="6" t="str">
        <f>IF($C2672="","",IFERROR(INDEX('Paramètres'!$H:$H,MATCH($C2672,'Paramètres'!$D:$D,0))&amp;"",""))</f>
        <v/>
      </c>
      <c r="T2672" s="6" t="str">
        <f>IF($K2672="","",IF($S2672="",0,IF(ISNUMBER(SEARCH("apport-exterieur",IFERROR(INDEX('Paramètres'!$N:$N,MATCH($D2672,'Paramètres'!$M:$M,0))&amp;"",""))),0,IF(OR(IFERROR(INDEX('Paramètres'!$I:$I,MATCH($C2672,'Paramètres'!$D:$D,0))&amp;"","")="Les deux",IFERROR(INDEX('Paramètres'!$I:$I,MATCH($C2672,'Paramètres'!$D:$D,0))&amp;"","")=IF($P2672=1,"Débit",$L2672)),-IF($P2672=1,-$K2672,$K2672),0))))</f>
        <v/>
      </c>
      <c r="U2672" s="6" t="str">
        <f>IF($K2672="","",IF(ISNUMBER(SEARCH("sortie-epargne",IFERROR(INDEX('Paramètres'!$N:$N,MATCH($D2672,'Paramètres'!$M:$M,0))&amp;"",""))),$K2672,0))</f>
        <v/>
      </c>
      <c r="V2672" s="6" t="str">
        <f>IF(AND($A2672&lt;&gt;"",$O2672=1,$L2672="Débit",N($Q2672)&gt;0,$A2672&gt;=Visualisation!$B$1,$A2672&lt;Visualisation!$D$1),MAX($V$1:V2671)+1,"")</f>
        <v/>
      </c>
    </row>
    <row r="2673" spans="1:22" x14ac:dyDescent="0.25">
      <c r="A2673" s="9"/>
      <c r="E2673" s="10"/>
      <c r="K2673" s="11" t="str">
        <f>IF($E2673="","",ROUND($E2673*IF(ISNA(MATCH($C2673,'Paramètres'!$D:$D,0)),1,IF(INDEX('Paramètres'!$J:$J,MATCH($C2673,'Paramètres'!$D:$D,0))="",1,INDEX('Paramètres'!$J:$J,MATCH($C2673,'Paramètres'!$D:$D,0)))),2))</f>
        <v/>
      </c>
      <c r="L2673" s="6" t="str">
        <f>IF($D2673="","",IF($F2673&lt;&gt;"",$F2673,IF(ISNA(MATCH($D2673,'Paramètres'!$M:$M,0)),"⚠ Type inconnu",IFERROR(INDEX('Paramètres'!$P:$P,MATCH($D2673,'Paramètres'!$M:$M,0))&amp;"",""))))</f>
        <v/>
      </c>
      <c r="M2673" s="6" t="str">
        <f>IF($D2673="","",IF(ISNA(MATCH($D2673,'Paramètres'!$M:$M,0)),"⚠ Type inconnu",IF($L2673="Crédit","",IFERROR(INDEX('Paramètres'!$O:$O,MATCH($D2673,'Paramètres'!$M:$M,0))&amp;"",""))))</f>
        <v/>
      </c>
      <c r="N2673" s="6" t="str">
        <f>IF($D2673="","",IFERROR(INDEX('Paramètres'!$Q:$Q,MATCH($D2673,'Paramètres'!$M:$M,0))&amp;"",""))</f>
        <v/>
      </c>
      <c r="O2673" s="6" t="str">
        <f>IF($A2673="","",IF(OR($J2673&lt;&gt;"x",$A2673&lt;=FinReleve),1,0))</f>
        <v/>
      </c>
      <c r="P2673" s="6" t="str">
        <f>IF($D2673="","",IF(AND($L2673="Crédit",OR(IFERROR(INDEX('Paramètres'!$O:$O,MATCH($D2673,'Paramètres'!$M:$M,0))&amp;"","")&lt;&gt;"",ISNUMBER(SEARCH("remboursement",IFERROR(INDEX('Paramètres'!$N:$N,MATCH($D2673,'Paramètres'!$M:$M,0))&amp;"",""))))),1,0))</f>
        <v/>
      </c>
      <c r="Q2673" s="6" t="str">
        <f>IF($K2673="","",IF(ISNUMBER(SEARCH("transfert-interne",IFERROR(INDEX('Paramètres'!$N:$N,MATCH($D2673,'Paramètres'!$M:$M,0))&amp;"",""))),0,IF($L2673="Débit",$K2673,IF($P2673=1,-$K2673,0))))</f>
        <v/>
      </c>
      <c r="R2673" s="6" t="str">
        <f>IF($K2673="","",IF($L2673="Crédit",$K2673,-$K2673))</f>
        <v/>
      </c>
      <c r="S2673" s="6" t="str">
        <f>IF($C2673="","",IFERROR(INDEX('Paramètres'!$H:$H,MATCH($C2673,'Paramètres'!$D:$D,0))&amp;"",""))</f>
        <v/>
      </c>
      <c r="T2673" s="6" t="str">
        <f>IF($K2673="","",IF($S2673="",0,IF(ISNUMBER(SEARCH("apport-exterieur",IFERROR(INDEX('Paramètres'!$N:$N,MATCH($D2673,'Paramètres'!$M:$M,0))&amp;"",""))),0,IF(OR(IFERROR(INDEX('Paramètres'!$I:$I,MATCH($C2673,'Paramètres'!$D:$D,0))&amp;"","")="Les deux",IFERROR(INDEX('Paramètres'!$I:$I,MATCH($C2673,'Paramètres'!$D:$D,0))&amp;"","")=IF($P2673=1,"Débit",$L2673)),-IF($P2673=1,-$K2673,$K2673),0))))</f>
        <v/>
      </c>
      <c r="U2673" s="6" t="str">
        <f>IF($K2673="","",IF(ISNUMBER(SEARCH("sortie-epargne",IFERROR(INDEX('Paramètres'!$N:$N,MATCH($D2673,'Paramètres'!$M:$M,0))&amp;"",""))),$K2673,0))</f>
        <v/>
      </c>
      <c r="V2673" s="6" t="str">
        <f>IF(AND($A2673&lt;&gt;"",$O2673=1,$L2673="Débit",N($Q2673)&gt;0,$A2673&gt;=Visualisation!$B$1,$A2673&lt;Visualisation!$D$1),MAX($V$1:V2672)+1,"")</f>
        <v/>
      </c>
    </row>
    <row r="2674" spans="1:22" x14ac:dyDescent="0.25">
      <c r="A2674" s="9"/>
      <c r="E2674" s="10"/>
      <c r="K2674" s="11" t="str">
        <f>IF($E2674="","",ROUND($E2674*IF(ISNA(MATCH($C2674,'Paramètres'!$D:$D,0)),1,IF(INDEX('Paramètres'!$J:$J,MATCH($C2674,'Paramètres'!$D:$D,0))="",1,INDEX('Paramètres'!$J:$J,MATCH($C2674,'Paramètres'!$D:$D,0)))),2))</f>
        <v/>
      </c>
      <c r="L2674" s="6" t="str">
        <f>IF($D2674="","",IF($F2674&lt;&gt;"",$F2674,IF(ISNA(MATCH($D2674,'Paramètres'!$M:$M,0)),"⚠ Type inconnu",IFERROR(INDEX('Paramètres'!$P:$P,MATCH($D2674,'Paramètres'!$M:$M,0))&amp;"",""))))</f>
        <v/>
      </c>
      <c r="M2674" s="6" t="str">
        <f>IF($D2674="","",IF(ISNA(MATCH($D2674,'Paramètres'!$M:$M,0)),"⚠ Type inconnu",IF($L2674="Crédit","",IFERROR(INDEX('Paramètres'!$O:$O,MATCH($D2674,'Paramètres'!$M:$M,0))&amp;"",""))))</f>
        <v/>
      </c>
      <c r="N2674" s="6" t="str">
        <f>IF($D2674="","",IFERROR(INDEX('Paramètres'!$Q:$Q,MATCH($D2674,'Paramètres'!$M:$M,0))&amp;"",""))</f>
        <v/>
      </c>
      <c r="O2674" s="6" t="str">
        <f>IF($A2674="","",IF(OR($J2674&lt;&gt;"x",$A2674&lt;=FinReleve),1,0))</f>
        <v/>
      </c>
      <c r="P2674" s="6" t="str">
        <f>IF($D2674="","",IF(AND($L2674="Crédit",OR(IFERROR(INDEX('Paramètres'!$O:$O,MATCH($D2674,'Paramètres'!$M:$M,0))&amp;"","")&lt;&gt;"",ISNUMBER(SEARCH("remboursement",IFERROR(INDEX('Paramètres'!$N:$N,MATCH($D2674,'Paramètres'!$M:$M,0))&amp;"",""))))),1,0))</f>
        <v/>
      </c>
      <c r="Q2674" s="6" t="str">
        <f>IF($K2674="","",IF(ISNUMBER(SEARCH("transfert-interne",IFERROR(INDEX('Paramètres'!$N:$N,MATCH($D2674,'Paramètres'!$M:$M,0))&amp;"",""))),0,IF($L2674="Débit",$K2674,IF($P2674=1,-$K2674,0))))</f>
        <v/>
      </c>
      <c r="R2674" s="6" t="str">
        <f>IF($K2674="","",IF($L2674="Crédit",$K2674,-$K2674))</f>
        <v/>
      </c>
      <c r="S2674" s="6" t="str">
        <f>IF($C2674="","",IFERROR(INDEX('Paramètres'!$H:$H,MATCH($C2674,'Paramètres'!$D:$D,0))&amp;"",""))</f>
        <v/>
      </c>
      <c r="T2674" s="6" t="str">
        <f>IF($K2674="","",IF($S2674="",0,IF(ISNUMBER(SEARCH("apport-exterieur",IFERROR(INDEX('Paramètres'!$N:$N,MATCH($D2674,'Paramètres'!$M:$M,0))&amp;"",""))),0,IF(OR(IFERROR(INDEX('Paramètres'!$I:$I,MATCH($C2674,'Paramètres'!$D:$D,0))&amp;"","")="Les deux",IFERROR(INDEX('Paramètres'!$I:$I,MATCH($C2674,'Paramètres'!$D:$D,0))&amp;"","")=IF($P2674=1,"Débit",$L2674)),-IF($P2674=1,-$K2674,$K2674),0))))</f>
        <v/>
      </c>
      <c r="U2674" s="6" t="str">
        <f>IF($K2674="","",IF(ISNUMBER(SEARCH("sortie-epargne",IFERROR(INDEX('Paramètres'!$N:$N,MATCH($D2674,'Paramètres'!$M:$M,0))&amp;"",""))),$K2674,0))</f>
        <v/>
      </c>
      <c r="V2674" s="6" t="str">
        <f>IF(AND($A2674&lt;&gt;"",$O2674=1,$L2674="Débit",N($Q2674)&gt;0,$A2674&gt;=Visualisation!$B$1,$A2674&lt;Visualisation!$D$1),MAX($V$1:V2673)+1,"")</f>
        <v/>
      </c>
    </row>
    <row r="2675" spans="1:22" x14ac:dyDescent="0.25">
      <c r="A2675" s="9"/>
      <c r="E2675" s="10"/>
      <c r="K2675" s="11" t="str">
        <f>IF($E2675="","",ROUND($E2675*IF(ISNA(MATCH($C2675,'Paramètres'!$D:$D,0)),1,IF(INDEX('Paramètres'!$J:$J,MATCH($C2675,'Paramètres'!$D:$D,0))="",1,INDEX('Paramètres'!$J:$J,MATCH($C2675,'Paramètres'!$D:$D,0)))),2))</f>
        <v/>
      </c>
      <c r="L2675" s="6" t="str">
        <f>IF($D2675="","",IF($F2675&lt;&gt;"",$F2675,IF(ISNA(MATCH($D2675,'Paramètres'!$M:$M,0)),"⚠ Type inconnu",IFERROR(INDEX('Paramètres'!$P:$P,MATCH($D2675,'Paramètres'!$M:$M,0))&amp;"",""))))</f>
        <v/>
      </c>
      <c r="M2675" s="6" t="str">
        <f>IF($D2675="","",IF(ISNA(MATCH($D2675,'Paramètres'!$M:$M,0)),"⚠ Type inconnu",IF($L2675="Crédit","",IFERROR(INDEX('Paramètres'!$O:$O,MATCH($D2675,'Paramètres'!$M:$M,0))&amp;"",""))))</f>
        <v/>
      </c>
      <c r="N2675" s="6" t="str">
        <f>IF($D2675="","",IFERROR(INDEX('Paramètres'!$Q:$Q,MATCH($D2675,'Paramètres'!$M:$M,0))&amp;"",""))</f>
        <v/>
      </c>
      <c r="O2675" s="6" t="str">
        <f>IF($A2675="","",IF(OR($J2675&lt;&gt;"x",$A2675&lt;=FinReleve),1,0))</f>
        <v/>
      </c>
      <c r="P2675" s="6" t="str">
        <f>IF($D2675="","",IF(AND($L2675="Crédit",OR(IFERROR(INDEX('Paramètres'!$O:$O,MATCH($D2675,'Paramètres'!$M:$M,0))&amp;"","")&lt;&gt;"",ISNUMBER(SEARCH("remboursement",IFERROR(INDEX('Paramètres'!$N:$N,MATCH($D2675,'Paramètres'!$M:$M,0))&amp;"",""))))),1,0))</f>
        <v/>
      </c>
      <c r="Q2675" s="6" t="str">
        <f>IF($K2675="","",IF(ISNUMBER(SEARCH("transfert-interne",IFERROR(INDEX('Paramètres'!$N:$N,MATCH($D2675,'Paramètres'!$M:$M,0))&amp;"",""))),0,IF($L2675="Débit",$K2675,IF($P2675=1,-$K2675,0))))</f>
        <v/>
      </c>
      <c r="R2675" s="6" t="str">
        <f>IF($K2675="","",IF($L2675="Crédit",$K2675,-$K2675))</f>
        <v/>
      </c>
      <c r="S2675" s="6" t="str">
        <f>IF($C2675="","",IFERROR(INDEX('Paramètres'!$H:$H,MATCH($C2675,'Paramètres'!$D:$D,0))&amp;"",""))</f>
        <v/>
      </c>
      <c r="T2675" s="6" t="str">
        <f>IF($K2675="","",IF($S2675="",0,IF(ISNUMBER(SEARCH("apport-exterieur",IFERROR(INDEX('Paramètres'!$N:$N,MATCH($D2675,'Paramètres'!$M:$M,0))&amp;"",""))),0,IF(OR(IFERROR(INDEX('Paramètres'!$I:$I,MATCH($C2675,'Paramètres'!$D:$D,0))&amp;"","")="Les deux",IFERROR(INDEX('Paramètres'!$I:$I,MATCH($C2675,'Paramètres'!$D:$D,0))&amp;"","")=IF($P2675=1,"Débit",$L2675)),-IF($P2675=1,-$K2675,$K2675),0))))</f>
        <v/>
      </c>
      <c r="U2675" s="6" t="str">
        <f>IF($K2675="","",IF(ISNUMBER(SEARCH("sortie-epargne",IFERROR(INDEX('Paramètres'!$N:$N,MATCH($D2675,'Paramètres'!$M:$M,0))&amp;"",""))),$K2675,0))</f>
        <v/>
      </c>
      <c r="V2675" s="6" t="str">
        <f>IF(AND($A2675&lt;&gt;"",$O2675=1,$L2675="Débit",N($Q2675)&gt;0,$A2675&gt;=Visualisation!$B$1,$A2675&lt;Visualisation!$D$1),MAX($V$1:V2674)+1,"")</f>
        <v/>
      </c>
    </row>
    <row r="2676" spans="1:22" x14ac:dyDescent="0.25">
      <c r="A2676" s="9"/>
      <c r="E2676" s="10"/>
      <c r="K2676" s="11" t="str">
        <f>IF($E2676="","",ROUND($E2676*IF(ISNA(MATCH($C2676,'Paramètres'!$D:$D,0)),1,IF(INDEX('Paramètres'!$J:$J,MATCH($C2676,'Paramètres'!$D:$D,0))="",1,INDEX('Paramètres'!$J:$J,MATCH($C2676,'Paramètres'!$D:$D,0)))),2))</f>
        <v/>
      </c>
      <c r="L2676" s="6" t="str">
        <f>IF($D2676="","",IF($F2676&lt;&gt;"",$F2676,IF(ISNA(MATCH($D2676,'Paramètres'!$M:$M,0)),"⚠ Type inconnu",IFERROR(INDEX('Paramètres'!$P:$P,MATCH($D2676,'Paramètres'!$M:$M,0))&amp;"",""))))</f>
        <v/>
      </c>
      <c r="M2676" s="6" t="str">
        <f>IF($D2676="","",IF(ISNA(MATCH($D2676,'Paramètres'!$M:$M,0)),"⚠ Type inconnu",IF($L2676="Crédit","",IFERROR(INDEX('Paramètres'!$O:$O,MATCH($D2676,'Paramètres'!$M:$M,0))&amp;"",""))))</f>
        <v/>
      </c>
      <c r="N2676" s="6" t="str">
        <f>IF($D2676="","",IFERROR(INDEX('Paramètres'!$Q:$Q,MATCH($D2676,'Paramètres'!$M:$M,0))&amp;"",""))</f>
        <v/>
      </c>
      <c r="O2676" s="6" t="str">
        <f>IF($A2676="","",IF(OR($J2676&lt;&gt;"x",$A2676&lt;=FinReleve),1,0))</f>
        <v/>
      </c>
      <c r="P2676" s="6" t="str">
        <f>IF($D2676="","",IF(AND($L2676="Crédit",OR(IFERROR(INDEX('Paramètres'!$O:$O,MATCH($D2676,'Paramètres'!$M:$M,0))&amp;"","")&lt;&gt;"",ISNUMBER(SEARCH("remboursement",IFERROR(INDEX('Paramètres'!$N:$N,MATCH($D2676,'Paramètres'!$M:$M,0))&amp;"",""))))),1,0))</f>
        <v/>
      </c>
      <c r="Q2676" s="6" t="str">
        <f>IF($K2676="","",IF(ISNUMBER(SEARCH("transfert-interne",IFERROR(INDEX('Paramètres'!$N:$N,MATCH($D2676,'Paramètres'!$M:$M,0))&amp;"",""))),0,IF($L2676="Débit",$K2676,IF($P2676=1,-$K2676,0))))</f>
        <v/>
      </c>
      <c r="R2676" s="6" t="str">
        <f>IF($K2676="","",IF($L2676="Crédit",$K2676,-$K2676))</f>
        <v/>
      </c>
      <c r="S2676" s="6" t="str">
        <f>IF($C2676="","",IFERROR(INDEX('Paramètres'!$H:$H,MATCH($C2676,'Paramètres'!$D:$D,0))&amp;"",""))</f>
        <v/>
      </c>
      <c r="T2676" s="6" t="str">
        <f>IF($K2676="","",IF($S2676="",0,IF(ISNUMBER(SEARCH("apport-exterieur",IFERROR(INDEX('Paramètres'!$N:$N,MATCH($D2676,'Paramètres'!$M:$M,0))&amp;"",""))),0,IF(OR(IFERROR(INDEX('Paramètres'!$I:$I,MATCH($C2676,'Paramètres'!$D:$D,0))&amp;"","")="Les deux",IFERROR(INDEX('Paramètres'!$I:$I,MATCH($C2676,'Paramètres'!$D:$D,0))&amp;"","")=IF($P2676=1,"Débit",$L2676)),-IF($P2676=1,-$K2676,$K2676),0))))</f>
        <v/>
      </c>
      <c r="U2676" s="6" t="str">
        <f>IF($K2676="","",IF(ISNUMBER(SEARCH("sortie-epargne",IFERROR(INDEX('Paramètres'!$N:$N,MATCH($D2676,'Paramètres'!$M:$M,0))&amp;"",""))),$K2676,0))</f>
        <v/>
      </c>
      <c r="V2676" s="6" t="str">
        <f>IF(AND($A2676&lt;&gt;"",$O2676=1,$L2676="Débit",N($Q2676)&gt;0,$A2676&gt;=Visualisation!$B$1,$A2676&lt;Visualisation!$D$1),MAX($V$1:V2675)+1,"")</f>
        <v/>
      </c>
    </row>
    <row r="2677" spans="1:22" x14ac:dyDescent="0.25">
      <c r="A2677" s="9"/>
      <c r="E2677" s="10"/>
      <c r="K2677" s="11" t="str">
        <f>IF($E2677="","",ROUND($E2677*IF(ISNA(MATCH($C2677,'Paramètres'!$D:$D,0)),1,IF(INDEX('Paramètres'!$J:$J,MATCH($C2677,'Paramètres'!$D:$D,0))="",1,INDEX('Paramètres'!$J:$J,MATCH($C2677,'Paramètres'!$D:$D,0)))),2))</f>
        <v/>
      </c>
      <c r="L2677" s="6" t="str">
        <f>IF($D2677="","",IF($F2677&lt;&gt;"",$F2677,IF(ISNA(MATCH($D2677,'Paramètres'!$M:$M,0)),"⚠ Type inconnu",IFERROR(INDEX('Paramètres'!$P:$P,MATCH($D2677,'Paramètres'!$M:$M,0))&amp;"",""))))</f>
        <v/>
      </c>
      <c r="M2677" s="6" t="str">
        <f>IF($D2677="","",IF(ISNA(MATCH($D2677,'Paramètres'!$M:$M,0)),"⚠ Type inconnu",IF($L2677="Crédit","",IFERROR(INDEX('Paramètres'!$O:$O,MATCH($D2677,'Paramètres'!$M:$M,0))&amp;"",""))))</f>
        <v/>
      </c>
      <c r="N2677" s="6" t="str">
        <f>IF($D2677="","",IFERROR(INDEX('Paramètres'!$Q:$Q,MATCH($D2677,'Paramètres'!$M:$M,0))&amp;"",""))</f>
        <v/>
      </c>
      <c r="O2677" s="6" t="str">
        <f>IF($A2677="","",IF(OR($J2677&lt;&gt;"x",$A2677&lt;=FinReleve),1,0))</f>
        <v/>
      </c>
      <c r="P2677" s="6" t="str">
        <f>IF($D2677="","",IF(AND($L2677="Crédit",OR(IFERROR(INDEX('Paramètres'!$O:$O,MATCH($D2677,'Paramètres'!$M:$M,0))&amp;"","")&lt;&gt;"",ISNUMBER(SEARCH("remboursement",IFERROR(INDEX('Paramètres'!$N:$N,MATCH($D2677,'Paramètres'!$M:$M,0))&amp;"",""))))),1,0))</f>
        <v/>
      </c>
      <c r="Q2677" s="6" t="str">
        <f>IF($K2677="","",IF(ISNUMBER(SEARCH("transfert-interne",IFERROR(INDEX('Paramètres'!$N:$N,MATCH($D2677,'Paramètres'!$M:$M,0))&amp;"",""))),0,IF($L2677="Débit",$K2677,IF($P2677=1,-$K2677,0))))</f>
        <v/>
      </c>
      <c r="R2677" s="6" t="str">
        <f>IF($K2677="","",IF($L2677="Crédit",$K2677,-$K2677))</f>
        <v/>
      </c>
      <c r="S2677" s="6" t="str">
        <f>IF($C2677="","",IFERROR(INDEX('Paramètres'!$H:$H,MATCH($C2677,'Paramètres'!$D:$D,0))&amp;"",""))</f>
        <v/>
      </c>
      <c r="T2677" s="6" t="str">
        <f>IF($K2677="","",IF($S2677="",0,IF(ISNUMBER(SEARCH("apport-exterieur",IFERROR(INDEX('Paramètres'!$N:$N,MATCH($D2677,'Paramètres'!$M:$M,0))&amp;"",""))),0,IF(OR(IFERROR(INDEX('Paramètres'!$I:$I,MATCH($C2677,'Paramètres'!$D:$D,0))&amp;"","")="Les deux",IFERROR(INDEX('Paramètres'!$I:$I,MATCH($C2677,'Paramètres'!$D:$D,0))&amp;"","")=IF($P2677=1,"Débit",$L2677)),-IF($P2677=1,-$K2677,$K2677),0))))</f>
        <v/>
      </c>
      <c r="U2677" s="6" t="str">
        <f>IF($K2677="","",IF(ISNUMBER(SEARCH("sortie-epargne",IFERROR(INDEX('Paramètres'!$N:$N,MATCH($D2677,'Paramètres'!$M:$M,0))&amp;"",""))),$K2677,0))</f>
        <v/>
      </c>
      <c r="V2677" s="6" t="str">
        <f>IF(AND($A2677&lt;&gt;"",$O2677=1,$L2677="Débit",N($Q2677)&gt;0,$A2677&gt;=Visualisation!$B$1,$A2677&lt;Visualisation!$D$1),MAX($V$1:V2676)+1,"")</f>
        <v/>
      </c>
    </row>
    <row r="2678" spans="1:22" x14ac:dyDescent="0.25">
      <c r="A2678" s="9"/>
      <c r="E2678" s="10"/>
      <c r="K2678" s="11" t="str">
        <f>IF($E2678="","",ROUND($E2678*IF(ISNA(MATCH($C2678,'Paramètres'!$D:$D,0)),1,IF(INDEX('Paramètres'!$J:$J,MATCH($C2678,'Paramètres'!$D:$D,0))="",1,INDEX('Paramètres'!$J:$J,MATCH($C2678,'Paramètres'!$D:$D,0)))),2))</f>
        <v/>
      </c>
      <c r="L2678" s="6" t="str">
        <f>IF($D2678="","",IF($F2678&lt;&gt;"",$F2678,IF(ISNA(MATCH($D2678,'Paramètres'!$M:$M,0)),"⚠ Type inconnu",IFERROR(INDEX('Paramètres'!$P:$P,MATCH($D2678,'Paramètres'!$M:$M,0))&amp;"",""))))</f>
        <v/>
      </c>
      <c r="M2678" s="6" t="str">
        <f>IF($D2678="","",IF(ISNA(MATCH($D2678,'Paramètres'!$M:$M,0)),"⚠ Type inconnu",IF($L2678="Crédit","",IFERROR(INDEX('Paramètres'!$O:$O,MATCH($D2678,'Paramètres'!$M:$M,0))&amp;"",""))))</f>
        <v/>
      </c>
      <c r="N2678" s="6" t="str">
        <f>IF($D2678="","",IFERROR(INDEX('Paramètres'!$Q:$Q,MATCH($D2678,'Paramètres'!$M:$M,0))&amp;"",""))</f>
        <v/>
      </c>
      <c r="O2678" s="6" t="str">
        <f>IF($A2678="","",IF(OR($J2678&lt;&gt;"x",$A2678&lt;=FinReleve),1,0))</f>
        <v/>
      </c>
      <c r="P2678" s="6" t="str">
        <f>IF($D2678="","",IF(AND($L2678="Crédit",OR(IFERROR(INDEX('Paramètres'!$O:$O,MATCH($D2678,'Paramètres'!$M:$M,0))&amp;"","")&lt;&gt;"",ISNUMBER(SEARCH("remboursement",IFERROR(INDEX('Paramètres'!$N:$N,MATCH($D2678,'Paramètres'!$M:$M,0))&amp;"",""))))),1,0))</f>
        <v/>
      </c>
      <c r="Q2678" s="6" t="str">
        <f>IF($K2678="","",IF(ISNUMBER(SEARCH("transfert-interne",IFERROR(INDEX('Paramètres'!$N:$N,MATCH($D2678,'Paramètres'!$M:$M,0))&amp;"",""))),0,IF($L2678="Débit",$K2678,IF($P2678=1,-$K2678,0))))</f>
        <v/>
      </c>
      <c r="R2678" s="6" t="str">
        <f>IF($K2678="","",IF($L2678="Crédit",$K2678,-$K2678))</f>
        <v/>
      </c>
      <c r="S2678" s="6" t="str">
        <f>IF($C2678="","",IFERROR(INDEX('Paramètres'!$H:$H,MATCH($C2678,'Paramètres'!$D:$D,0))&amp;"",""))</f>
        <v/>
      </c>
      <c r="T2678" s="6" t="str">
        <f>IF($K2678="","",IF($S2678="",0,IF(ISNUMBER(SEARCH("apport-exterieur",IFERROR(INDEX('Paramètres'!$N:$N,MATCH($D2678,'Paramètres'!$M:$M,0))&amp;"",""))),0,IF(OR(IFERROR(INDEX('Paramètres'!$I:$I,MATCH($C2678,'Paramètres'!$D:$D,0))&amp;"","")="Les deux",IFERROR(INDEX('Paramètres'!$I:$I,MATCH($C2678,'Paramètres'!$D:$D,0))&amp;"","")=IF($P2678=1,"Débit",$L2678)),-IF($P2678=1,-$K2678,$K2678),0))))</f>
        <v/>
      </c>
      <c r="U2678" s="6" t="str">
        <f>IF($K2678="","",IF(ISNUMBER(SEARCH("sortie-epargne",IFERROR(INDEX('Paramètres'!$N:$N,MATCH($D2678,'Paramètres'!$M:$M,0))&amp;"",""))),$K2678,0))</f>
        <v/>
      </c>
      <c r="V2678" s="6" t="str">
        <f>IF(AND($A2678&lt;&gt;"",$O2678=1,$L2678="Débit",N($Q2678)&gt;0,$A2678&gt;=Visualisation!$B$1,$A2678&lt;Visualisation!$D$1),MAX($V$1:V2677)+1,"")</f>
        <v/>
      </c>
    </row>
    <row r="2679" spans="1:22" x14ac:dyDescent="0.25">
      <c r="A2679" s="9"/>
      <c r="E2679" s="10"/>
      <c r="K2679" s="11" t="str">
        <f>IF($E2679="","",ROUND($E2679*IF(ISNA(MATCH($C2679,'Paramètres'!$D:$D,0)),1,IF(INDEX('Paramètres'!$J:$J,MATCH($C2679,'Paramètres'!$D:$D,0))="",1,INDEX('Paramètres'!$J:$J,MATCH($C2679,'Paramètres'!$D:$D,0)))),2))</f>
        <v/>
      </c>
      <c r="L2679" s="6" t="str">
        <f>IF($D2679="","",IF($F2679&lt;&gt;"",$F2679,IF(ISNA(MATCH($D2679,'Paramètres'!$M:$M,0)),"⚠ Type inconnu",IFERROR(INDEX('Paramètres'!$P:$P,MATCH($D2679,'Paramètres'!$M:$M,0))&amp;"",""))))</f>
        <v/>
      </c>
      <c r="M2679" s="6" t="str">
        <f>IF($D2679="","",IF(ISNA(MATCH($D2679,'Paramètres'!$M:$M,0)),"⚠ Type inconnu",IF($L2679="Crédit","",IFERROR(INDEX('Paramètres'!$O:$O,MATCH($D2679,'Paramètres'!$M:$M,0))&amp;"",""))))</f>
        <v/>
      </c>
      <c r="N2679" s="6" t="str">
        <f>IF($D2679="","",IFERROR(INDEX('Paramètres'!$Q:$Q,MATCH($D2679,'Paramètres'!$M:$M,0))&amp;"",""))</f>
        <v/>
      </c>
      <c r="O2679" s="6" t="str">
        <f>IF($A2679="","",IF(OR($J2679&lt;&gt;"x",$A2679&lt;=FinReleve),1,0))</f>
        <v/>
      </c>
      <c r="P2679" s="6" t="str">
        <f>IF($D2679="","",IF(AND($L2679="Crédit",OR(IFERROR(INDEX('Paramètres'!$O:$O,MATCH($D2679,'Paramètres'!$M:$M,0))&amp;"","")&lt;&gt;"",ISNUMBER(SEARCH("remboursement",IFERROR(INDEX('Paramètres'!$N:$N,MATCH($D2679,'Paramètres'!$M:$M,0))&amp;"",""))))),1,0))</f>
        <v/>
      </c>
      <c r="Q2679" s="6" t="str">
        <f>IF($K2679="","",IF(ISNUMBER(SEARCH("transfert-interne",IFERROR(INDEX('Paramètres'!$N:$N,MATCH($D2679,'Paramètres'!$M:$M,0))&amp;"",""))),0,IF($L2679="Débit",$K2679,IF($P2679=1,-$K2679,0))))</f>
        <v/>
      </c>
      <c r="R2679" s="6" t="str">
        <f>IF($K2679="","",IF($L2679="Crédit",$K2679,-$K2679))</f>
        <v/>
      </c>
      <c r="S2679" s="6" t="str">
        <f>IF($C2679="","",IFERROR(INDEX('Paramètres'!$H:$H,MATCH($C2679,'Paramètres'!$D:$D,0))&amp;"",""))</f>
        <v/>
      </c>
      <c r="T2679" s="6" t="str">
        <f>IF($K2679="","",IF($S2679="",0,IF(ISNUMBER(SEARCH("apport-exterieur",IFERROR(INDEX('Paramètres'!$N:$N,MATCH($D2679,'Paramètres'!$M:$M,0))&amp;"",""))),0,IF(OR(IFERROR(INDEX('Paramètres'!$I:$I,MATCH($C2679,'Paramètres'!$D:$D,0))&amp;"","")="Les deux",IFERROR(INDEX('Paramètres'!$I:$I,MATCH($C2679,'Paramètres'!$D:$D,0))&amp;"","")=IF($P2679=1,"Débit",$L2679)),-IF($P2679=1,-$K2679,$K2679),0))))</f>
        <v/>
      </c>
      <c r="U2679" s="6" t="str">
        <f>IF($K2679="","",IF(ISNUMBER(SEARCH("sortie-epargne",IFERROR(INDEX('Paramètres'!$N:$N,MATCH($D2679,'Paramètres'!$M:$M,0))&amp;"",""))),$K2679,0))</f>
        <v/>
      </c>
      <c r="V2679" s="6" t="str">
        <f>IF(AND($A2679&lt;&gt;"",$O2679=1,$L2679="Débit",N($Q2679)&gt;0,$A2679&gt;=Visualisation!$B$1,$A2679&lt;Visualisation!$D$1),MAX($V$1:V2678)+1,"")</f>
        <v/>
      </c>
    </row>
    <row r="2680" spans="1:22" x14ac:dyDescent="0.25">
      <c r="A2680" s="9"/>
      <c r="E2680" s="10"/>
      <c r="K2680" s="11" t="str">
        <f>IF($E2680="","",ROUND($E2680*IF(ISNA(MATCH($C2680,'Paramètres'!$D:$D,0)),1,IF(INDEX('Paramètres'!$J:$J,MATCH($C2680,'Paramètres'!$D:$D,0))="",1,INDEX('Paramètres'!$J:$J,MATCH($C2680,'Paramètres'!$D:$D,0)))),2))</f>
        <v/>
      </c>
      <c r="L2680" s="6" t="str">
        <f>IF($D2680="","",IF($F2680&lt;&gt;"",$F2680,IF(ISNA(MATCH($D2680,'Paramètres'!$M:$M,0)),"⚠ Type inconnu",IFERROR(INDEX('Paramètres'!$P:$P,MATCH($D2680,'Paramètres'!$M:$M,0))&amp;"",""))))</f>
        <v/>
      </c>
      <c r="M2680" s="6" t="str">
        <f>IF($D2680="","",IF(ISNA(MATCH($D2680,'Paramètres'!$M:$M,0)),"⚠ Type inconnu",IF($L2680="Crédit","",IFERROR(INDEX('Paramètres'!$O:$O,MATCH($D2680,'Paramètres'!$M:$M,0))&amp;"",""))))</f>
        <v/>
      </c>
      <c r="N2680" s="6" t="str">
        <f>IF($D2680="","",IFERROR(INDEX('Paramètres'!$Q:$Q,MATCH($D2680,'Paramètres'!$M:$M,0))&amp;"",""))</f>
        <v/>
      </c>
      <c r="O2680" s="6" t="str">
        <f>IF($A2680="","",IF(OR($J2680&lt;&gt;"x",$A2680&lt;=FinReleve),1,0))</f>
        <v/>
      </c>
      <c r="P2680" s="6" t="str">
        <f>IF($D2680="","",IF(AND($L2680="Crédit",OR(IFERROR(INDEX('Paramètres'!$O:$O,MATCH($D2680,'Paramètres'!$M:$M,0))&amp;"","")&lt;&gt;"",ISNUMBER(SEARCH("remboursement",IFERROR(INDEX('Paramètres'!$N:$N,MATCH($D2680,'Paramètres'!$M:$M,0))&amp;"",""))))),1,0))</f>
        <v/>
      </c>
      <c r="Q2680" s="6" t="str">
        <f>IF($K2680="","",IF(ISNUMBER(SEARCH("transfert-interne",IFERROR(INDEX('Paramètres'!$N:$N,MATCH($D2680,'Paramètres'!$M:$M,0))&amp;"",""))),0,IF($L2680="Débit",$K2680,IF($P2680=1,-$K2680,0))))</f>
        <v/>
      </c>
      <c r="R2680" s="6" t="str">
        <f>IF($K2680="","",IF($L2680="Crédit",$K2680,-$K2680))</f>
        <v/>
      </c>
      <c r="S2680" s="6" t="str">
        <f>IF($C2680="","",IFERROR(INDEX('Paramètres'!$H:$H,MATCH($C2680,'Paramètres'!$D:$D,0))&amp;"",""))</f>
        <v/>
      </c>
      <c r="T2680" s="6" t="str">
        <f>IF($K2680="","",IF($S2680="",0,IF(ISNUMBER(SEARCH("apport-exterieur",IFERROR(INDEX('Paramètres'!$N:$N,MATCH($D2680,'Paramètres'!$M:$M,0))&amp;"",""))),0,IF(OR(IFERROR(INDEX('Paramètres'!$I:$I,MATCH($C2680,'Paramètres'!$D:$D,0))&amp;"","")="Les deux",IFERROR(INDEX('Paramètres'!$I:$I,MATCH($C2680,'Paramètres'!$D:$D,0))&amp;"","")=IF($P2680=1,"Débit",$L2680)),-IF($P2680=1,-$K2680,$K2680),0))))</f>
        <v/>
      </c>
      <c r="U2680" s="6" t="str">
        <f>IF($K2680="","",IF(ISNUMBER(SEARCH("sortie-epargne",IFERROR(INDEX('Paramètres'!$N:$N,MATCH($D2680,'Paramètres'!$M:$M,0))&amp;"",""))),$K2680,0))</f>
        <v/>
      </c>
      <c r="V2680" s="6" t="str">
        <f>IF(AND($A2680&lt;&gt;"",$O2680=1,$L2680="Débit",N($Q2680)&gt;0,$A2680&gt;=Visualisation!$B$1,$A2680&lt;Visualisation!$D$1),MAX($V$1:V2679)+1,"")</f>
        <v/>
      </c>
    </row>
    <row r="2681" spans="1:22" x14ac:dyDescent="0.25">
      <c r="A2681" s="9"/>
      <c r="E2681" s="10"/>
      <c r="K2681" s="11" t="str">
        <f>IF($E2681="","",ROUND($E2681*IF(ISNA(MATCH($C2681,'Paramètres'!$D:$D,0)),1,IF(INDEX('Paramètres'!$J:$J,MATCH($C2681,'Paramètres'!$D:$D,0))="",1,INDEX('Paramètres'!$J:$J,MATCH($C2681,'Paramètres'!$D:$D,0)))),2))</f>
        <v/>
      </c>
      <c r="L2681" s="6" t="str">
        <f>IF($D2681="","",IF($F2681&lt;&gt;"",$F2681,IF(ISNA(MATCH($D2681,'Paramètres'!$M:$M,0)),"⚠ Type inconnu",IFERROR(INDEX('Paramètres'!$P:$P,MATCH($D2681,'Paramètres'!$M:$M,0))&amp;"",""))))</f>
        <v/>
      </c>
      <c r="M2681" s="6" t="str">
        <f>IF($D2681="","",IF(ISNA(MATCH($D2681,'Paramètres'!$M:$M,0)),"⚠ Type inconnu",IF($L2681="Crédit","",IFERROR(INDEX('Paramètres'!$O:$O,MATCH($D2681,'Paramètres'!$M:$M,0))&amp;"",""))))</f>
        <v/>
      </c>
      <c r="N2681" s="6" t="str">
        <f>IF($D2681="","",IFERROR(INDEX('Paramètres'!$Q:$Q,MATCH($D2681,'Paramètres'!$M:$M,0))&amp;"",""))</f>
        <v/>
      </c>
      <c r="O2681" s="6" t="str">
        <f>IF($A2681="","",IF(OR($J2681&lt;&gt;"x",$A2681&lt;=FinReleve),1,0))</f>
        <v/>
      </c>
      <c r="P2681" s="6" t="str">
        <f>IF($D2681="","",IF(AND($L2681="Crédit",OR(IFERROR(INDEX('Paramètres'!$O:$O,MATCH($D2681,'Paramètres'!$M:$M,0))&amp;"","")&lt;&gt;"",ISNUMBER(SEARCH("remboursement",IFERROR(INDEX('Paramètres'!$N:$N,MATCH($D2681,'Paramètres'!$M:$M,0))&amp;"",""))))),1,0))</f>
        <v/>
      </c>
      <c r="Q2681" s="6" t="str">
        <f>IF($K2681="","",IF(ISNUMBER(SEARCH("transfert-interne",IFERROR(INDEX('Paramètres'!$N:$N,MATCH($D2681,'Paramètres'!$M:$M,0))&amp;"",""))),0,IF($L2681="Débit",$K2681,IF($P2681=1,-$K2681,0))))</f>
        <v/>
      </c>
      <c r="R2681" s="6" t="str">
        <f>IF($K2681="","",IF($L2681="Crédit",$K2681,-$K2681))</f>
        <v/>
      </c>
      <c r="S2681" s="6" t="str">
        <f>IF($C2681="","",IFERROR(INDEX('Paramètres'!$H:$H,MATCH($C2681,'Paramètres'!$D:$D,0))&amp;"",""))</f>
        <v/>
      </c>
      <c r="T2681" s="6" t="str">
        <f>IF($K2681="","",IF($S2681="",0,IF(ISNUMBER(SEARCH("apport-exterieur",IFERROR(INDEX('Paramètres'!$N:$N,MATCH($D2681,'Paramètres'!$M:$M,0))&amp;"",""))),0,IF(OR(IFERROR(INDEX('Paramètres'!$I:$I,MATCH($C2681,'Paramètres'!$D:$D,0))&amp;"","")="Les deux",IFERROR(INDEX('Paramètres'!$I:$I,MATCH($C2681,'Paramètres'!$D:$D,0))&amp;"","")=IF($P2681=1,"Débit",$L2681)),-IF($P2681=1,-$K2681,$K2681),0))))</f>
        <v/>
      </c>
      <c r="U2681" s="6" t="str">
        <f>IF($K2681="","",IF(ISNUMBER(SEARCH("sortie-epargne",IFERROR(INDEX('Paramètres'!$N:$N,MATCH($D2681,'Paramètres'!$M:$M,0))&amp;"",""))),$K2681,0))</f>
        <v/>
      </c>
      <c r="V2681" s="6" t="str">
        <f>IF(AND($A2681&lt;&gt;"",$O2681=1,$L2681="Débit",N($Q2681)&gt;0,$A2681&gt;=Visualisation!$B$1,$A2681&lt;Visualisation!$D$1),MAX($V$1:V2680)+1,"")</f>
        <v/>
      </c>
    </row>
    <row r="2682" spans="1:22" x14ac:dyDescent="0.25">
      <c r="A2682" s="9"/>
      <c r="E2682" s="10"/>
      <c r="K2682" s="11" t="str">
        <f>IF($E2682="","",ROUND($E2682*IF(ISNA(MATCH($C2682,'Paramètres'!$D:$D,0)),1,IF(INDEX('Paramètres'!$J:$J,MATCH($C2682,'Paramètres'!$D:$D,0))="",1,INDEX('Paramètres'!$J:$J,MATCH($C2682,'Paramètres'!$D:$D,0)))),2))</f>
        <v/>
      </c>
      <c r="L2682" s="6" t="str">
        <f>IF($D2682="","",IF($F2682&lt;&gt;"",$F2682,IF(ISNA(MATCH($D2682,'Paramètres'!$M:$M,0)),"⚠ Type inconnu",IFERROR(INDEX('Paramètres'!$P:$P,MATCH($D2682,'Paramètres'!$M:$M,0))&amp;"",""))))</f>
        <v/>
      </c>
      <c r="M2682" s="6" t="str">
        <f>IF($D2682="","",IF(ISNA(MATCH($D2682,'Paramètres'!$M:$M,0)),"⚠ Type inconnu",IF($L2682="Crédit","",IFERROR(INDEX('Paramètres'!$O:$O,MATCH($D2682,'Paramètres'!$M:$M,0))&amp;"",""))))</f>
        <v/>
      </c>
      <c r="N2682" s="6" t="str">
        <f>IF($D2682="","",IFERROR(INDEX('Paramètres'!$Q:$Q,MATCH($D2682,'Paramètres'!$M:$M,0))&amp;"",""))</f>
        <v/>
      </c>
      <c r="O2682" s="6" t="str">
        <f>IF($A2682="","",IF(OR($J2682&lt;&gt;"x",$A2682&lt;=FinReleve),1,0))</f>
        <v/>
      </c>
      <c r="P2682" s="6" t="str">
        <f>IF($D2682="","",IF(AND($L2682="Crédit",OR(IFERROR(INDEX('Paramètres'!$O:$O,MATCH($D2682,'Paramètres'!$M:$M,0))&amp;"","")&lt;&gt;"",ISNUMBER(SEARCH("remboursement",IFERROR(INDEX('Paramètres'!$N:$N,MATCH($D2682,'Paramètres'!$M:$M,0))&amp;"",""))))),1,0))</f>
        <v/>
      </c>
      <c r="Q2682" s="6" t="str">
        <f>IF($K2682="","",IF(ISNUMBER(SEARCH("transfert-interne",IFERROR(INDEX('Paramètres'!$N:$N,MATCH($D2682,'Paramètres'!$M:$M,0))&amp;"",""))),0,IF($L2682="Débit",$K2682,IF($P2682=1,-$K2682,0))))</f>
        <v/>
      </c>
      <c r="R2682" s="6" t="str">
        <f>IF($K2682="","",IF($L2682="Crédit",$K2682,-$K2682))</f>
        <v/>
      </c>
      <c r="S2682" s="6" t="str">
        <f>IF($C2682="","",IFERROR(INDEX('Paramètres'!$H:$H,MATCH($C2682,'Paramètres'!$D:$D,0))&amp;"",""))</f>
        <v/>
      </c>
      <c r="T2682" s="6" t="str">
        <f>IF($K2682="","",IF($S2682="",0,IF(ISNUMBER(SEARCH("apport-exterieur",IFERROR(INDEX('Paramètres'!$N:$N,MATCH($D2682,'Paramètres'!$M:$M,0))&amp;"",""))),0,IF(OR(IFERROR(INDEX('Paramètres'!$I:$I,MATCH($C2682,'Paramètres'!$D:$D,0))&amp;"","")="Les deux",IFERROR(INDEX('Paramètres'!$I:$I,MATCH($C2682,'Paramètres'!$D:$D,0))&amp;"","")=IF($P2682=1,"Débit",$L2682)),-IF($P2682=1,-$K2682,$K2682),0))))</f>
        <v/>
      </c>
      <c r="U2682" s="6" t="str">
        <f>IF($K2682="","",IF(ISNUMBER(SEARCH("sortie-epargne",IFERROR(INDEX('Paramètres'!$N:$N,MATCH($D2682,'Paramètres'!$M:$M,0))&amp;"",""))),$K2682,0))</f>
        <v/>
      </c>
      <c r="V2682" s="6" t="str">
        <f>IF(AND($A2682&lt;&gt;"",$O2682=1,$L2682="Débit",N($Q2682)&gt;0,$A2682&gt;=Visualisation!$B$1,$A2682&lt;Visualisation!$D$1),MAX($V$1:V2681)+1,"")</f>
        <v/>
      </c>
    </row>
    <row r="2683" spans="1:22" x14ac:dyDescent="0.25">
      <c r="A2683" s="9"/>
      <c r="E2683" s="10"/>
      <c r="K2683" s="11" t="str">
        <f>IF($E2683="","",ROUND($E2683*IF(ISNA(MATCH($C2683,'Paramètres'!$D:$D,0)),1,IF(INDEX('Paramètres'!$J:$J,MATCH($C2683,'Paramètres'!$D:$D,0))="",1,INDEX('Paramètres'!$J:$J,MATCH($C2683,'Paramètres'!$D:$D,0)))),2))</f>
        <v/>
      </c>
      <c r="L2683" s="6" t="str">
        <f>IF($D2683="","",IF($F2683&lt;&gt;"",$F2683,IF(ISNA(MATCH($D2683,'Paramètres'!$M:$M,0)),"⚠ Type inconnu",IFERROR(INDEX('Paramètres'!$P:$P,MATCH($D2683,'Paramètres'!$M:$M,0))&amp;"",""))))</f>
        <v/>
      </c>
      <c r="M2683" s="6" t="str">
        <f>IF($D2683="","",IF(ISNA(MATCH($D2683,'Paramètres'!$M:$M,0)),"⚠ Type inconnu",IF($L2683="Crédit","",IFERROR(INDEX('Paramètres'!$O:$O,MATCH($D2683,'Paramètres'!$M:$M,0))&amp;"",""))))</f>
        <v/>
      </c>
      <c r="N2683" s="6" t="str">
        <f>IF($D2683="","",IFERROR(INDEX('Paramètres'!$Q:$Q,MATCH($D2683,'Paramètres'!$M:$M,0))&amp;"",""))</f>
        <v/>
      </c>
      <c r="O2683" s="6" t="str">
        <f>IF($A2683="","",IF(OR($J2683&lt;&gt;"x",$A2683&lt;=FinReleve),1,0))</f>
        <v/>
      </c>
      <c r="P2683" s="6" t="str">
        <f>IF($D2683="","",IF(AND($L2683="Crédit",OR(IFERROR(INDEX('Paramètres'!$O:$O,MATCH($D2683,'Paramètres'!$M:$M,0))&amp;"","")&lt;&gt;"",ISNUMBER(SEARCH("remboursement",IFERROR(INDEX('Paramètres'!$N:$N,MATCH($D2683,'Paramètres'!$M:$M,0))&amp;"",""))))),1,0))</f>
        <v/>
      </c>
      <c r="Q2683" s="6" t="str">
        <f>IF($K2683="","",IF(ISNUMBER(SEARCH("transfert-interne",IFERROR(INDEX('Paramètres'!$N:$N,MATCH($D2683,'Paramètres'!$M:$M,0))&amp;"",""))),0,IF($L2683="Débit",$K2683,IF($P2683=1,-$K2683,0))))</f>
        <v/>
      </c>
      <c r="R2683" s="6" t="str">
        <f>IF($K2683="","",IF($L2683="Crédit",$K2683,-$K2683))</f>
        <v/>
      </c>
      <c r="S2683" s="6" t="str">
        <f>IF($C2683="","",IFERROR(INDEX('Paramètres'!$H:$H,MATCH($C2683,'Paramètres'!$D:$D,0))&amp;"",""))</f>
        <v/>
      </c>
      <c r="T2683" s="6" t="str">
        <f>IF($K2683="","",IF($S2683="",0,IF(ISNUMBER(SEARCH("apport-exterieur",IFERROR(INDEX('Paramètres'!$N:$N,MATCH($D2683,'Paramètres'!$M:$M,0))&amp;"",""))),0,IF(OR(IFERROR(INDEX('Paramètres'!$I:$I,MATCH($C2683,'Paramètres'!$D:$D,0))&amp;"","")="Les deux",IFERROR(INDEX('Paramètres'!$I:$I,MATCH($C2683,'Paramètres'!$D:$D,0))&amp;"","")=IF($P2683=1,"Débit",$L2683)),-IF($P2683=1,-$K2683,$K2683),0))))</f>
        <v/>
      </c>
      <c r="U2683" s="6" t="str">
        <f>IF($K2683="","",IF(ISNUMBER(SEARCH("sortie-epargne",IFERROR(INDEX('Paramètres'!$N:$N,MATCH($D2683,'Paramètres'!$M:$M,0))&amp;"",""))),$K2683,0))</f>
        <v/>
      </c>
      <c r="V2683" s="6" t="str">
        <f>IF(AND($A2683&lt;&gt;"",$O2683=1,$L2683="Débit",N($Q2683)&gt;0,$A2683&gt;=Visualisation!$B$1,$A2683&lt;Visualisation!$D$1),MAX($V$1:V2682)+1,"")</f>
        <v/>
      </c>
    </row>
    <row r="2684" spans="1:22" x14ac:dyDescent="0.25">
      <c r="A2684" s="9"/>
      <c r="E2684" s="10"/>
      <c r="K2684" s="11" t="str">
        <f>IF($E2684="","",ROUND($E2684*IF(ISNA(MATCH($C2684,'Paramètres'!$D:$D,0)),1,IF(INDEX('Paramètres'!$J:$J,MATCH($C2684,'Paramètres'!$D:$D,0))="",1,INDEX('Paramètres'!$J:$J,MATCH($C2684,'Paramètres'!$D:$D,0)))),2))</f>
        <v/>
      </c>
      <c r="L2684" s="6" t="str">
        <f>IF($D2684="","",IF($F2684&lt;&gt;"",$F2684,IF(ISNA(MATCH($D2684,'Paramètres'!$M:$M,0)),"⚠ Type inconnu",IFERROR(INDEX('Paramètres'!$P:$P,MATCH($D2684,'Paramètres'!$M:$M,0))&amp;"",""))))</f>
        <v/>
      </c>
      <c r="M2684" s="6" t="str">
        <f>IF($D2684="","",IF(ISNA(MATCH($D2684,'Paramètres'!$M:$M,0)),"⚠ Type inconnu",IF($L2684="Crédit","",IFERROR(INDEX('Paramètres'!$O:$O,MATCH($D2684,'Paramètres'!$M:$M,0))&amp;"",""))))</f>
        <v/>
      </c>
      <c r="N2684" s="6" t="str">
        <f>IF($D2684="","",IFERROR(INDEX('Paramètres'!$Q:$Q,MATCH($D2684,'Paramètres'!$M:$M,0))&amp;"",""))</f>
        <v/>
      </c>
      <c r="O2684" s="6" t="str">
        <f>IF($A2684="","",IF(OR($J2684&lt;&gt;"x",$A2684&lt;=FinReleve),1,0))</f>
        <v/>
      </c>
      <c r="P2684" s="6" t="str">
        <f>IF($D2684="","",IF(AND($L2684="Crédit",OR(IFERROR(INDEX('Paramètres'!$O:$O,MATCH($D2684,'Paramètres'!$M:$M,0))&amp;"","")&lt;&gt;"",ISNUMBER(SEARCH("remboursement",IFERROR(INDEX('Paramètres'!$N:$N,MATCH($D2684,'Paramètres'!$M:$M,0))&amp;"",""))))),1,0))</f>
        <v/>
      </c>
      <c r="Q2684" s="6" t="str">
        <f>IF($K2684="","",IF(ISNUMBER(SEARCH("transfert-interne",IFERROR(INDEX('Paramètres'!$N:$N,MATCH($D2684,'Paramètres'!$M:$M,0))&amp;"",""))),0,IF($L2684="Débit",$K2684,IF($P2684=1,-$K2684,0))))</f>
        <v/>
      </c>
      <c r="R2684" s="6" t="str">
        <f>IF($K2684="","",IF($L2684="Crédit",$K2684,-$K2684))</f>
        <v/>
      </c>
      <c r="S2684" s="6" t="str">
        <f>IF($C2684="","",IFERROR(INDEX('Paramètres'!$H:$H,MATCH($C2684,'Paramètres'!$D:$D,0))&amp;"",""))</f>
        <v/>
      </c>
      <c r="T2684" s="6" t="str">
        <f>IF($K2684="","",IF($S2684="",0,IF(ISNUMBER(SEARCH("apport-exterieur",IFERROR(INDEX('Paramètres'!$N:$N,MATCH($D2684,'Paramètres'!$M:$M,0))&amp;"",""))),0,IF(OR(IFERROR(INDEX('Paramètres'!$I:$I,MATCH($C2684,'Paramètres'!$D:$D,0))&amp;"","")="Les deux",IFERROR(INDEX('Paramètres'!$I:$I,MATCH($C2684,'Paramètres'!$D:$D,0))&amp;"","")=IF($P2684=1,"Débit",$L2684)),-IF($P2684=1,-$K2684,$K2684),0))))</f>
        <v/>
      </c>
      <c r="U2684" s="6" t="str">
        <f>IF($K2684="","",IF(ISNUMBER(SEARCH("sortie-epargne",IFERROR(INDEX('Paramètres'!$N:$N,MATCH($D2684,'Paramètres'!$M:$M,0))&amp;"",""))),$K2684,0))</f>
        <v/>
      </c>
      <c r="V2684" s="6" t="str">
        <f>IF(AND($A2684&lt;&gt;"",$O2684=1,$L2684="Débit",N($Q2684)&gt;0,$A2684&gt;=Visualisation!$B$1,$A2684&lt;Visualisation!$D$1),MAX($V$1:V2683)+1,"")</f>
        <v/>
      </c>
    </row>
    <row r="2685" spans="1:22" x14ac:dyDescent="0.25">
      <c r="A2685" s="9"/>
      <c r="E2685" s="10"/>
      <c r="K2685" s="11" t="str">
        <f>IF($E2685="","",ROUND($E2685*IF(ISNA(MATCH($C2685,'Paramètres'!$D:$D,0)),1,IF(INDEX('Paramètres'!$J:$J,MATCH($C2685,'Paramètres'!$D:$D,0))="",1,INDEX('Paramètres'!$J:$J,MATCH($C2685,'Paramètres'!$D:$D,0)))),2))</f>
        <v/>
      </c>
      <c r="L2685" s="6" t="str">
        <f>IF($D2685="","",IF($F2685&lt;&gt;"",$F2685,IF(ISNA(MATCH($D2685,'Paramètres'!$M:$M,0)),"⚠ Type inconnu",IFERROR(INDEX('Paramètres'!$P:$P,MATCH($D2685,'Paramètres'!$M:$M,0))&amp;"",""))))</f>
        <v/>
      </c>
      <c r="M2685" s="6" t="str">
        <f>IF($D2685="","",IF(ISNA(MATCH($D2685,'Paramètres'!$M:$M,0)),"⚠ Type inconnu",IF($L2685="Crédit","",IFERROR(INDEX('Paramètres'!$O:$O,MATCH($D2685,'Paramètres'!$M:$M,0))&amp;"",""))))</f>
        <v/>
      </c>
      <c r="N2685" s="6" t="str">
        <f>IF($D2685="","",IFERROR(INDEX('Paramètres'!$Q:$Q,MATCH($D2685,'Paramètres'!$M:$M,0))&amp;"",""))</f>
        <v/>
      </c>
      <c r="O2685" s="6" t="str">
        <f>IF($A2685="","",IF(OR($J2685&lt;&gt;"x",$A2685&lt;=FinReleve),1,0))</f>
        <v/>
      </c>
      <c r="P2685" s="6" t="str">
        <f>IF($D2685="","",IF(AND($L2685="Crédit",OR(IFERROR(INDEX('Paramètres'!$O:$O,MATCH($D2685,'Paramètres'!$M:$M,0))&amp;"","")&lt;&gt;"",ISNUMBER(SEARCH("remboursement",IFERROR(INDEX('Paramètres'!$N:$N,MATCH($D2685,'Paramètres'!$M:$M,0))&amp;"",""))))),1,0))</f>
        <v/>
      </c>
      <c r="Q2685" s="6" t="str">
        <f>IF($K2685="","",IF(ISNUMBER(SEARCH("transfert-interne",IFERROR(INDEX('Paramètres'!$N:$N,MATCH($D2685,'Paramètres'!$M:$M,0))&amp;"",""))),0,IF($L2685="Débit",$K2685,IF($P2685=1,-$K2685,0))))</f>
        <v/>
      </c>
      <c r="R2685" s="6" t="str">
        <f>IF($K2685="","",IF($L2685="Crédit",$K2685,-$K2685))</f>
        <v/>
      </c>
      <c r="S2685" s="6" t="str">
        <f>IF($C2685="","",IFERROR(INDEX('Paramètres'!$H:$H,MATCH($C2685,'Paramètres'!$D:$D,0))&amp;"",""))</f>
        <v/>
      </c>
      <c r="T2685" s="6" t="str">
        <f>IF($K2685="","",IF($S2685="",0,IF(ISNUMBER(SEARCH("apport-exterieur",IFERROR(INDEX('Paramètres'!$N:$N,MATCH($D2685,'Paramètres'!$M:$M,0))&amp;"",""))),0,IF(OR(IFERROR(INDEX('Paramètres'!$I:$I,MATCH($C2685,'Paramètres'!$D:$D,0))&amp;"","")="Les deux",IFERROR(INDEX('Paramètres'!$I:$I,MATCH($C2685,'Paramètres'!$D:$D,0))&amp;"","")=IF($P2685=1,"Débit",$L2685)),-IF($P2685=1,-$K2685,$K2685),0))))</f>
        <v/>
      </c>
      <c r="U2685" s="6" t="str">
        <f>IF($K2685="","",IF(ISNUMBER(SEARCH("sortie-epargne",IFERROR(INDEX('Paramètres'!$N:$N,MATCH($D2685,'Paramètres'!$M:$M,0))&amp;"",""))),$K2685,0))</f>
        <v/>
      </c>
      <c r="V2685" s="6" t="str">
        <f>IF(AND($A2685&lt;&gt;"",$O2685=1,$L2685="Débit",N($Q2685)&gt;0,$A2685&gt;=Visualisation!$B$1,$A2685&lt;Visualisation!$D$1),MAX($V$1:V2684)+1,"")</f>
        <v/>
      </c>
    </row>
    <row r="2686" spans="1:22" x14ac:dyDescent="0.25">
      <c r="A2686" s="9"/>
      <c r="E2686" s="10"/>
      <c r="K2686" s="11" t="str">
        <f>IF($E2686="","",ROUND($E2686*IF(ISNA(MATCH($C2686,'Paramètres'!$D:$D,0)),1,IF(INDEX('Paramètres'!$J:$J,MATCH($C2686,'Paramètres'!$D:$D,0))="",1,INDEX('Paramètres'!$J:$J,MATCH($C2686,'Paramètres'!$D:$D,0)))),2))</f>
        <v/>
      </c>
      <c r="L2686" s="6" t="str">
        <f>IF($D2686="","",IF($F2686&lt;&gt;"",$F2686,IF(ISNA(MATCH($D2686,'Paramètres'!$M:$M,0)),"⚠ Type inconnu",IFERROR(INDEX('Paramètres'!$P:$P,MATCH($D2686,'Paramètres'!$M:$M,0))&amp;"",""))))</f>
        <v/>
      </c>
      <c r="M2686" s="6" t="str">
        <f>IF($D2686="","",IF(ISNA(MATCH($D2686,'Paramètres'!$M:$M,0)),"⚠ Type inconnu",IF($L2686="Crédit","",IFERROR(INDEX('Paramètres'!$O:$O,MATCH($D2686,'Paramètres'!$M:$M,0))&amp;"",""))))</f>
        <v/>
      </c>
      <c r="N2686" s="6" t="str">
        <f>IF($D2686="","",IFERROR(INDEX('Paramètres'!$Q:$Q,MATCH($D2686,'Paramètres'!$M:$M,0))&amp;"",""))</f>
        <v/>
      </c>
      <c r="O2686" s="6" t="str">
        <f>IF($A2686="","",IF(OR($J2686&lt;&gt;"x",$A2686&lt;=FinReleve),1,0))</f>
        <v/>
      </c>
      <c r="P2686" s="6" t="str">
        <f>IF($D2686="","",IF(AND($L2686="Crédit",OR(IFERROR(INDEX('Paramètres'!$O:$O,MATCH($D2686,'Paramètres'!$M:$M,0))&amp;"","")&lt;&gt;"",ISNUMBER(SEARCH("remboursement",IFERROR(INDEX('Paramètres'!$N:$N,MATCH($D2686,'Paramètres'!$M:$M,0))&amp;"",""))))),1,0))</f>
        <v/>
      </c>
      <c r="Q2686" s="6" t="str">
        <f>IF($K2686="","",IF(ISNUMBER(SEARCH("transfert-interne",IFERROR(INDEX('Paramètres'!$N:$N,MATCH($D2686,'Paramètres'!$M:$M,0))&amp;"",""))),0,IF($L2686="Débit",$K2686,IF($P2686=1,-$K2686,0))))</f>
        <v/>
      </c>
      <c r="R2686" s="6" t="str">
        <f>IF($K2686="","",IF($L2686="Crédit",$K2686,-$K2686))</f>
        <v/>
      </c>
      <c r="S2686" s="6" t="str">
        <f>IF($C2686="","",IFERROR(INDEX('Paramètres'!$H:$H,MATCH($C2686,'Paramètres'!$D:$D,0))&amp;"",""))</f>
        <v/>
      </c>
      <c r="T2686" s="6" t="str">
        <f>IF($K2686="","",IF($S2686="",0,IF(ISNUMBER(SEARCH("apport-exterieur",IFERROR(INDEX('Paramètres'!$N:$N,MATCH($D2686,'Paramètres'!$M:$M,0))&amp;"",""))),0,IF(OR(IFERROR(INDEX('Paramètres'!$I:$I,MATCH($C2686,'Paramètres'!$D:$D,0))&amp;"","")="Les deux",IFERROR(INDEX('Paramètres'!$I:$I,MATCH($C2686,'Paramètres'!$D:$D,0))&amp;"","")=IF($P2686=1,"Débit",$L2686)),-IF($P2686=1,-$K2686,$K2686),0))))</f>
        <v/>
      </c>
      <c r="U2686" s="6" t="str">
        <f>IF($K2686="","",IF(ISNUMBER(SEARCH("sortie-epargne",IFERROR(INDEX('Paramètres'!$N:$N,MATCH($D2686,'Paramètres'!$M:$M,0))&amp;"",""))),$K2686,0))</f>
        <v/>
      </c>
      <c r="V2686" s="6" t="str">
        <f>IF(AND($A2686&lt;&gt;"",$O2686=1,$L2686="Débit",N($Q2686)&gt;0,$A2686&gt;=Visualisation!$B$1,$A2686&lt;Visualisation!$D$1),MAX($V$1:V2685)+1,"")</f>
        <v/>
      </c>
    </row>
    <row r="2687" spans="1:22" x14ac:dyDescent="0.25">
      <c r="A2687" s="9"/>
      <c r="E2687" s="10"/>
      <c r="K2687" s="11" t="str">
        <f>IF($E2687="","",ROUND($E2687*IF(ISNA(MATCH($C2687,'Paramètres'!$D:$D,0)),1,IF(INDEX('Paramètres'!$J:$J,MATCH($C2687,'Paramètres'!$D:$D,0))="",1,INDEX('Paramètres'!$J:$J,MATCH($C2687,'Paramètres'!$D:$D,0)))),2))</f>
        <v/>
      </c>
      <c r="L2687" s="6" t="str">
        <f>IF($D2687="","",IF($F2687&lt;&gt;"",$F2687,IF(ISNA(MATCH($D2687,'Paramètres'!$M:$M,0)),"⚠ Type inconnu",IFERROR(INDEX('Paramètres'!$P:$P,MATCH($D2687,'Paramètres'!$M:$M,0))&amp;"",""))))</f>
        <v/>
      </c>
      <c r="M2687" s="6" t="str">
        <f>IF($D2687="","",IF(ISNA(MATCH($D2687,'Paramètres'!$M:$M,0)),"⚠ Type inconnu",IF($L2687="Crédit","",IFERROR(INDEX('Paramètres'!$O:$O,MATCH($D2687,'Paramètres'!$M:$M,0))&amp;"",""))))</f>
        <v/>
      </c>
      <c r="N2687" s="6" t="str">
        <f>IF($D2687="","",IFERROR(INDEX('Paramètres'!$Q:$Q,MATCH($D2687,'Paramètres'!$M:$M,0))&amp;"",""))</f>
        <v/>
      </c>
      <c r="O2687" s="6" t="str">
        <f>IF($A2687="","",IF(OR($J2687&lt;&gt;"x",$A2687&lt;=FinReleve),1,0))</f>
        <v/>
      </c>
      <c r="P2687" s="6" t="str">
        <f>IF($D2687="","",IF(AND($L2687="Crédit",OR(IFERROR(INDEX('Paramètres'!$O:$O,MATCH($D2687,'Paramètres'!$M:$M,0))&amp;"","")&lt;&gt;"",ISNUMBER(SEARCH("remboursement",IFERROR(INDEX('Paramètres'!$N:$N,MATCH($D2687,'Paramètres'!$M:$M,0))&amp;"",""))))),1,0))</f>
        <v/>
      </c>
      <c r="Q2687" s="6" t="str">
        <f>IF($K2687="","",IF(ISNUMBER(SEARCH("transfert-interne",IFERROR(INDEX('Paramètres'!$N:$N,MATCH($D2687,'Paramètres'!$M:$M,0))&amp;"",""))),0,IF($L2687="Débit",$K2687,IF($P2687=1,-$K2687,0))))</f>
        <v/>
      </c>
      <c r="R2687" s="6" t="str">
        <f>IF($K2687="","",IF($L2687="Crédit",$K2687,-$K2687))</f>
        <v/>
      </c>
      <c r="S2687" s="6" t="str">
        <f>IF($C2687="","",IFERROR(INDEX('Paramètres'!$H:$H,MATCH($C2687,'Paramètres'!$D:$D,0))&amp;"",""))</f>
        <v/>
      </c>
      <c r="T2687" s="6" t="str">
        <f>IF($K2687="","",IF($S2687="",0,IF(ISNUMBER(SEARCH("apport-exterieur",IFERROR(INDEX('Paramètres'!$N:$N,MATCH($D2687,'Paramètres'!$M:$M,0))&amp;"",""))),0,IF(OR(IFERROR(INDEX('Paramètres'!$I:$I,MATCH($C2687,'Paramètres'!$D:$D,0))&amp;"","")="Les deux",IFERROR(INDEX('Paramètres'!$I:$I,MATCH($C2687,'Paramètres'!$D:$D,0))&amp;"","")=IF($P2687=1,"Débit",$L2687)),-IF($P2687=1,-$K2687,$K2687),0))))</f>
        <v/>
      </c>
      <c r="U2687" s="6" t="str">
        <f>IF($K2687="","",IF(ISNUMBER(SEARCH("sortie-epargne",IFERROR(INDEX('Paramètres'!$N:$N,MATCH($D2687,'Paramètres'!$M:$M,0))&amp;"",""))),$K2687,0))</f>
        <v/>
      </c>
      <c r="V2687" s="6" t="str">
        <f>IF(AND($A2687&lt;&gt;"",$O2687=1,$L2687="Débit",N($Q2687)&gt;0,$A2687&gt;=Visualisation!$B$1,$A2687&lt;Visualisation!$D$1),MAX($V$1:V2686)+1,"")</f>
        <v/>
      </c>
    </row>
    <row r="2688" spans="1:22" x14ac:dyDescent="0.25">
      <c r="A2688" s="9"/>
      <c r="E2688" s="10"/>
      <c r="K2688" s="11" t="str">
        <f>IF($E2688="","",ROUND($E2688*IF(ISNA(MATCH($C2688,'Paramètres'!$D:$D,0)),1,IF(INDEX('Paramètres'!$J:$J,MATCH($C2688,'Paramètres'!$D:$D,0))="",1,INDEX('Paramètres'!$J:$J,MATCH($C2688,'Paramètres'!$D:$D,0)))),2))</f>
        <v/>
      </c>
      <c r="L2688" s="6" t="str">
        <f>IF($D2688="","",IF($F2688&lt;&gt;"",$F2688,IF(ISNA(MATCH($D2688,'Paramètres'!$M:$M,0)),"⚠ Type inconnu",IFERROR(INDEX('Paramètres'!$P:$P,MATCH($D2688,'Paramètres'!$M:$M,0))&amp;"",""))))</f>
        <v/>
      </c>
      <c r="M2688" s="6" t="str">
        <f>IF($D2688="","",IF(ISNA(MATCH($D2688,'Paramètres'!$M:$M,0)),"⚠ Type inconnu",IF($L2688="Crédit","",IFERROR(INDEX('Paramètres'!$O:$O,MATCH($D2688,'Paramètres'!$M:$M,0))&amp;"",""))))</f>
        <v/>
      </c>
      <c r="N2688" s="6" t="str">
        <f>IF($D2688="","",IFERROR(INDEX('Paramètres'!$Q:$Q,MATCH($D2688,'Paramètres'!$M:$M,0))&amp;"",""))</f>
        <v/>
      </c>
      <c r="O2688" s="6" t="str">
        <f>IF($A2688="","",IF(OR($J2688&lt;&gt;"x",$A2688&lt;=FinReleve),1,0))</f>
        <v/>
      </c>
      <c r="P2688" s="6" t="str">
        <f>IF($D2688="","",IF(AND($L2688="Crédit",OR(IFERROR(INDEX('Paramètres'!$O:$O,MATCH($D2688,'Paramètres'!$M:$M,0))&amp;"","")&lt;&gt;"",ISNUMBER(SEARCH("remboursement",IFERROR(INDEX('Paramètres'!$N:$N,MATCH($D2688,'Paramètres'!$M:$M,0))&amp;"",""))))),1,0))</f>
        <v/>
      </c>
      <c r="Q2688" s="6" t="str">
        <f>IF($K2688="","",IF(ISNUMBER(SEARCH("transfert-interne",IFERROR(INDEX('Paramètres'!$N:$N,MATCH($D2688,'Paramètres'!$M:$M,0))&amp;"",""))),0,IF($L2688="Débit",$K2688,IF($P2688=1,-$K2688,0))))</f>
        <v/>
      </c>
      <c r="R2688" s="6" t="str">
        <f>IF($K2688="","",IF($L2688="Crédit",$K2688,-$K2688))</f>
        <v/>
      </c>
      <c r="S2688" s="6" t="str">
        <f>IF($C2688="","",IFERROR(INDEX('Paramètres'!$H:$H,MATCH($C2688,'Paramètres'!$D:$D,0))&amp;"",""))</f>
        <v/>
      </c>
      <c r="T2688" s="6" t="str">
        <f>IF($K2688="","",IF($S2688="",0,IF(ISNUMBER(SEARCH("apport-exterieur",IFERROR(INDEX('Paramètres'!$N:$N,MATCH($D2688,'Paramètres'!$M:$M,0))&amp;"",""))),0,IF(OR(IFERROR(INDEX('Paramètres'!$I:$I,MATCH($C2688,'Paramètres'!$D:$D,0))&amp;"","")="Les deux",IFERROR(INDEX('Paramètres'!$I:$I,MATCH($C2688,'Paramètres'!$D:$D,0))&amp;"","")=IF($P2688=1,"Débit",$L2688)),-IF($P2688=1,-$K2688,$K2688),0))))</f>
        <v/>
      </c>
      <c r="U2688" s="6" t="str">
        <f>IF($K2688="","",IF(ISNUMBER(SEARCH("sortie-epargne",IFERROR(INDEX('Paramètres'!$N:$N,MATCH($D2688,'Paramètres'!$M:$M,0))&amp;"",""))),$K2688,0))</f>
        <v/>
      </c>
      <c r="V2688" s="6" t="str">
        <f>IF(AND($A2688&lt;&gt;"",$O2688=1,$L2688="Débit",N($Q2688)&gt;0,$A2688&gt;=Visualisation!$B$1,$A2688&lt;Visualisation!$D$1),MAX($V$1:V2687)+1,"")</f>
        <v/>
      </c>
    </row>
    <row r="2689" spans="1:22" x14ac:dyDescent="0.25">
      <c r="A2689" s="9"/>
      <c r="E2689" s="10"/>
      <c r="K2689" s="11" t="str">
        <f>IF($E2689="","",ROUND($E2689*IF(ISNA(MATCH($C2689,'Paramètres'!$D:$D,0)),1,IF(INDEX('Paramètres'!$J:$J,MATCH($C2689,'Paramètres'!$D:$D,0))="",1,INDEX('Paramètres'!$J:$J,MATCH($C2689,'Paramètres'!$D:$D,0)))),2))</f>
        <v/>
      </c>
      <c r="L2689" s="6" t="str">
        <f>IF($D2689="","",IF($F2689&lt;&gt;"",$F2689,IF(ISNA(MATCH($D2689,'Paramètres'!$M:$M,0)),"⚠ Type inconnu",IFERROR(INDEX('Paramètres'!$P:$P,MATCH($D2689,'Paramètres'!$M:$M,0))&amp;"",""))))</f>
        <v/>
      </c>
      <c r="M2689" s="6" t="str">
        <f>IF($D2689="","",IF(ISNA(MATCH($D2689,'Paramètres'!$M:$M,0)),"⚠ Type inconnu",IF($L2689="Crédit","",IFERROR(INDEX('Paramètres'!$O:$O,MATCH($D2689,'Paramètres'!$M:$M,0))&amp;"",""))))</f>
        <v/>
      </c>
      <c r="N2689" s="6" t="str">
        <f>IF($D2689="","",IFERROR(INDEX('Paramètres'!$Q:$Q,MATCH($D2689,'Paramètres'!$M:$M,0))&amp;"",""))</f>
        <v/>
      </c>
      <c r="O2689" s="6" t="str">
        <f>IF($A2689="","",IF(OR($J2689&lt;&gt;"x",$A2689&lt;=FinReleve),1,0))</f>
        <v/>
      </c>
      <c r="P2689" s="6" t="str">
        <f>IF($D2689="","",IF(AND($L2689="Crédit",OR(IFERROR(INDEX('Paramètres'!$O:$O,MATCH($D2689,'Paramètres'!$M:$M,0))&amp;"","")&lt;&gt;"",ISNUMBER(SEARCH("remboursement",IFERROR(INDEX('Paramètres'!$N:$N,MATCH($D2689,'Paramètres'!$M:$M,0))&amp;"",""))))),1,0))</f>
        <v/>
      </c>
      <c r="Q2689" s="6" t="str">
        <f>IF($K2689="","",IF(ISNUMBER(SEARCH("transfert-interne",IFERROR(INDEX('Paramètres'!$N:$N,MATCH($D2689,'Paramètres'!$M:$M,0))&amp;"",""))),0,IF($L2689="Débit",$K2689,IF($P2689=1,-$K2689,0))))</f>
        <v/>
      </c>
      <c r="R2689" s="6" t="str">
        <f>IF($K2689="","",IF($L2689="Crédit",$K2689,-$K2689))</f>
        <v/>
      </c>
      <c r="S2689" s="6" t="str">
        <f>IF($C2689="","",IFERROR(INDEX('Paramètres'!$H:$H,MATCH($C2689,'Paramètres'!$D:$D,0))&amp;"",""))</f>
        <v/>
      </c>
      <c r="T2689" s="6" t="str">
        <f>IF($K2689="","",IF($S2689="",0,IF(ISNUMBER(SEARCH("apport-exterieur",IFERROR(INDEX('Paramètres'!$N:$N,MATCH($D2689,'Paramètres'!$M:$M,0))&amp;"",""))),0,IF(OR(IFERROR(INDEX('Paramètres'!$I:$I,MATCH($C2689,'Paramètres'!$D:$D,0))&amp;"","")="Les deux",IFERROR(INDEX('Paramètres'!$I:$I,MATCH($C2689,'Paramètres'!$D:$D,0))&amp;"","")=IF($P2689=1,"Débit",$L2689)),-IF($P2689=1,-$K2689,$K2689),0))))</f>
        <v/>
      </c>
      <c r="U2689" s="6" t="str">
        <f>IF($K2689="","",IF(ISNUMBER(SEARCH("sortie-epargne",IFERROR(INDEX('Paramètres'!$N:$N,MATCH($D2689,'Paramètres'!$M:$M,0))&amp;"",""))),$K2689,0))</f>
        <v/>
      </c>
      <c r="V2689" s="6" t="str">
        <f>IF(AND($A2689&lt;&gt;"",$O2689=1,$L2689="Débit",N($Q2689)&gt;0,$A2689&gt;=Visualisation!$B$1,$A2689&lt;Visualisation!$D$1),MAX($V$1:V2688)+1,"")</f>
        <v/>
      </c>
    </row>
    <row r="2690" spans="1:22" x14ac:dyDescent="0.25">
      <c r="A2690" s="9"/>
      <c r="E2690" s="10"/>
      <c r="K2690" s="11" t="str">
        <f>IF($E2690="","",ROUND($E2690*IF(ISNA(MATCH($C2690,'Paramètres'!$D:$D,0)),1,IF(INDEX('Paramètres'!$J:$J,MATCH($C2690,'Paramètres'!$D:$D,0))="",1,INDEX('Paramètres'!$J:$J,MATCH($C2690,'Paramètres'!$D:$D,0)))),2))</f>
        <v/>
      </c>
      <c r="L2690" s="6" t="str">
        <f>IF($D2690="","",IF($F2690&lt;&gt;"",$F2690,IF(ISNA(MATCH($D2690,'Paramètres'!$M:$M,0)),"⚠ Type inconnu",IFERROR(INDEX('Paramètres'!$P:$P,MATCH($D2690,'Paramètres'!$M:$M,0))&amp;"",""))))</f>
        <v/>
      </c>
      <c r="M2690" s="6" t="str">
        <f>IF($D2690="","",IF(ISNA(MATCH($D2690,'Paramètres'!$M:$M,0)),"⚠ Type inconnu",IF($L2690="Crédit","",IFERROR(INDEX('Paramètres'!$O:$O,MATCH($D2690,'Paramètres'!$M:$M,0))&amp;"",""))))</f>
        <v/>
      </c>
      <c r="N2690" s="6" t="str">
        <f>IF($D2690="","",IFERROR(INDEX('Paramètres'!$Q:$Q,MATCH($D2690,'Paramètres'!$M:$M,0))&amp;"",""))</f>
        <v/>
      </c>
      <c r="O2690" s="6" t="str">
        <f>IF($A2690="","",IF(OR($J2690&lt;&gt;"x",$A2690&lt;=FinReleve),1,0))</f>
        <v/>
      </c>
      <c r="P2690" s="6" t="str">
        <f>IF($D2690="","",IF(AND($L2690="Crédit",OR(IFERROR(INDEX('Paramètres'!$O:$O,MATCH($D2690,'Paramètres'!$M:$M,0))&amp;"","")&lt;&gt;"",ISNUMBER(SEARCH("remboursement",IFERROR(INDEX('Paramètres'!$N:$N,MATCH($D2690,'Paramètres'!$M:$M,0))&amp;"",""))))),1,0))</f>
        <v/>
      </c>
      <c r="Q2690" s="6" t="str">
        <f>IF($K2690="","",IF(ISNUMBER(SEARCH("transfert-interne",IFERROR(INDEX('Paramètres'!$N:$N,MATCH($D2690,'Paramètres'!$M:$M,0))&amp;"",""))),0,IF($L2690="Débit",$K2690,IF($P2690=1,-$K2690,0))))</f>
        <v/>
      </c>
      <c r="R2690" s="6" t="str">
        <f>IF($K2690="","",IF($L2690="Crédit",$K2690,-$K2690))</f>
        <v/>
      </c>
      <c r="S2690" s="6" t="str">
        <f>IF($C2690="","",IFERROR(INDEX('Paramètres'!$H:$H,MATCH($C2690,'Paramètres'!$D:$D,0))&amp;"",""))</f>
        <v/>
      </c>
      <c r="T2690" s="6" t="str">
        <f>IF($K2690="","",IF($S2690="",0,IF(ISNUMBER(SEARCH("apport-exterieur",IFERROR(INDEX('Paramètres'!$N:$N,MATCH($D2690,'Paramètres'!$M:$M,0))&amp;"",""))),0,IF(OR(IFERROR(INDEX('Paramètres'!$I:$I,MATCH($C2690,'Paramètres'!$D:$D,0))&amp;"","")="Les deux",IFERROR(INDEX('Paramètres'!$I:$I,MATCH($C2690,'Paramètres'!$D:$D,0))&amp;"","")=IF($P2690=1,"Débit",$L2690)),-IF($P2690=1,-$K2690,$K2690),0))))</f>
        <v/>
      </c>
      <c r="U2690" s="6" t="str">
        <f>IF($K2690="","",IF(ISNUMBER(SEARCH("sortie-epargne",IFERROR(INDEX('Paramètres'!$N:$N,MATCH($D2690,'Paramètres'!$M:$M,0))&amp;"",""))),$K2690,0))</f>
        <v/>
      </c>
      <c r="V2690" s="6" t="str">
        <f>IF(AND($A2690&lt;&gt;"",$O2690=1,$L2690="Débit",N($Q2690)&gt;0,$A2690&gt;=Visualisation!$B$1,$A2690&lt;Visualisation!$D$1),MAX($V$1:V2689)+1,"")</f>
        <v/>
      </c>
    </row>
    <row r="2691" spans="1:22" x14ac:dyDescent="0.25">
      <c r="A2691" s="9"/>
      <c r="E2691" s="10"/>
      <c r="K2691" s="11" t="str">
        <f>IF($E2691="","",ROUND($E2691*IF(ISNA(MATCH($C2691,'Paramètres'!$D:$D,0)),1,IF(INDEX('Paramètres'!$J:$J,MATCH($C2691,'Paramètres'!$D:$D,0))="",1,INDEX('Paramètres'!$J:$J,MATCH($C2691,'Paramètres'!$D:$D,0)))),2))</f>
        <v/>
      </c>
      <c r="L2691" s="6" t="str">
        <f>IF($D2691="","",IF($F2691&lt;&gt;"",$F2691,IF(ISNA(MATCH($D2691,'Paramètres'!$M:$M,0)),"⚠ Type inconnu",IFERROR(INDEX('Paramètres'!$P:$P,MATCH($D2691,'Paramètres'!$M:$M,0))&amp;"",""))))</f>
        <v/>
      </c>
      <c r="M2691" s="6" t="str">
        <f>IF($D2691="","",IF(ISNA(MATCH($D2691,'Paramètres'!$M:$M,0)),"⚠ Type inconnu",IF($L2691="Crédit","",IFERROR(INDEX('Paramètres'!$O:$O,MATCH($D2691,'Paramètres'!$M:$M,0))&amp;"",""))))</f>
        <v/>
      </c>
      <c r="N2691" s="6" t="str">
        <f>IF($D2691="","",IFERROR(INDEX('Paramètres'!$Q:$Q,MATCH($D2691,'Paramètres'!$M:$M,0))&amp;"",""))</f>
        <v/>
      </c>
      <c r="O2691" s="6" t="str">
        <f>IF($A2691="","",IF(OR($J2691&lt;&gt;"x",$A2691&lt;=FinReleve),1,0))</f>
        <v/>
      </c>
      <c r="P2691" s="6" t="str">
        <f>IF($D2691="","",IF(AND($L2691="Crédit",OR(IFERROR(INDEX('Paramètres'!$O:$O,MATCH($D2691,'Paramètres'!$M:$M,0))&amp;"","")&lt;&gt;"",ISNUMBER(SEARCH("remboursement",IFERROR(INDEX('Paramètres'!$N:$N,MATCH($D2691,'Paramètres'!$M:$M,0))&amp;"",""))))),1,0))</f>
        <v/>
      </c>
      <c r="Q2691" s="6" t="str">
        <f>IF($K2691="","",IF(ISNUMBER(SEARCH("transfert-interne",IFERROR(INDEX('Paramètres'!$N:$N,MATCH($D2691,'Paramètres'!$M:$M,0))&amp;"",""))),0,IF($L2691="Débit",$K2691,IF($P2691=1,-$K2691,0))))</f>
        <v/>
      </c>
      <c r="R2691" s="6" t="str">
        <f>IF($K2691="","",IF($L2691="Crédit",$K2691,-$K2691))</f>
        <v/>
      </c>
      <c r="S2691" s="6" t="str">
        <f>IF($C2691="","",IFERROR(INDEX('Paramètres'!$H:$H,MATCH($C2691,'Paramètres'!$D:$D,0))&amp;"",""))</f>
        <v/>
      </c>
      <c r="T2691" s="6" t="str">
        <f>IF($K2691="","",IF($S2691="",0,IF(ISNUMBER(SEARCH("apport-exterieur",IFERROR(INDEX('Paramètres'!$N:$N,MATCH($D2691,'Paramètres'!$M:$M,0))&amp;"",""))),0,IF(OR(IFERROR(INDEX('Paramètres'!$I:$I,MATCH($C2691,'Paramètres'!$D:$D,0))&amp;"","")="Les deux",IFERROR(INDEX('Paramètres'!$I:$I,MATCH($C2691,'Paramètres'!$D:$D,0))&amp;"","")=IF($P2691=1,"Débit",$L2691)),-IF($P2691=1,-$K2691,$K2691),0))))</f>
        <v/>
      </c>
      <c r="U2691" s="6" t="str">
        <f>IF($K2691="","",IF(ISNUMBER(SEARCH("sortie-epargne",IFERROR(INDEX('Paramètres'!$N:$N,MATCH($D2691,'Paramètres'!$M:$M,0))&amp;"",""))),$K2691,0))</f>
        <v/>
      </c>
      <c r="V2691" s="6" t="str">
        <f>IF(AND($A2691&lt;&gt;"",$O2691=1,$L2691="Débit",N($Q2691)&gt;0,$A2691&gt;=Visualisation!$B$1,$A2691&lt;Visualisation!$D$1),MAX($V$1:V2690)+1,"")</f>
        <v/>
      </c>
    </row>
    <row r="2692" spans="1:22" x14ac:dyDescent="0.25">
      <c r="A2692" s="9"/>
      <c r="E2692" s="10"/>
      <c r="K2692" s="11" t="str">
        <f>IF($E2692="","",ROUND($E2692*IF(ISNA(MATCH($C2692,'Paramètres'!$D:$D,0)),1,IF(INDEX('Paramètres'!$J:$J,MATCH($C2692,'Paramètres'!$D:$D,0))="",1,INDEX('Paramètres'!$J:$J,MATCH($C2692,'Paramètres'!$D:$D,0)))),2))</f>
        <v/>
      </c>
      <c r="L2692" s="6" t="str">
        <f>IF($D2692="","",IF($F2692&lt;&gt;"",$F2692,IF(ISNA(MATCH($D2692,'Paramètres'!$M:$M,0)),"⚠ Type inconnu",IFERROR(INDEX('Paramètres'!$P:$P,MATCH($D2692,'Paramètres'!$M:$M,0))&amp;"",""))))</f>
        <v/>
      </c>
      <c r="M2692" s="6" t="str">
        <f>IF($D2692="","",IF(ISNA(MATCH($D2692,'Paramètres'!$M:$M,0)),"⚠ Type inconnu",IF($L2692="Crédit","",IFERROR(INDEX('Paramètres'!$O:$O,MATCH($D2692,'Paramètres'!$M:$M,0))&amp;"",""))))</f>
        <v/>
      </c>
      <c r="N2692" s="6" t="str">
        <f>IF($D2692="","",IFERROR(INDEX('Paramètres'!$Q:$Q,MATCH($D2692,'Paramètres'!$M:$M,0))&amp;"",""))</f>
        <v/>
      </c>
      <c r="O2692" s="6" t="str">
        <f>IF($A2692="","",IF(OR($J2692&lt;&gt;"x",$A2692&lt;=FinReleve),1,0))</f>
        <v/>
      </c>
      <c r="P2692" s="6" t="str">
        <f>IF($D2692="","",IF(AND($L2692="Crédit",OR(IFERROR(INDEX('Paramètres'!$O:$O,MATCH($D2692,'Paramètres'!$M:$M,0))&amp;"","")&lt;&gt;"",ISNUMBER(SEARCH("remboursement",IFERROR(INDEX('Paramètres'!$N:$N,MATCH($D2692,'Paramètres'!$M:$M,0))&amp;"",""))))),1,0))</f>
        <v/>
      </c>
      <c r="Q2692" s="6" t="str">
        <f>IF($K2692="","",IF(ISNUMBER(SEARCH("transfert-interne",IFERROR(INDEX('Paramètres'!$N:$N,MATCH($D2692,'Paramètres'!$M:$M,0))&amp;"",""))),0,IF($L2692="Débit",$K2692,IF($P2692=1,-$K2692,0))))</f>
        <v/>
      </c>
      <c r="R2692" s="6" t="str">
        <f>IF($K2692="","",IF($L2692="Crédit",$K2692,-$K2692))</f>
        <v/>
      </c>
      <c r="S2692" s="6" t="str">
        <f>IF($C2692="","",IFERROR(INDEX('Paramètres'!$H:$H,MATCH($C2692,'Paramètres'!$D:$D,0))&amp;"",""))</f>
        <v/>
      </c>
      <c r="T2692" s="6" t="str">
        <f>IF($K2692="","",IF($S2692="",0,IF(ISNUMBER(SEARCH("apport-exterieur",IFERROR(INDEX('Paramètres'!$N:$N,MATCH($D2692,'Paramètres'!$M:$M,0))&amp;"",""))),0,IF(OR(IFERROR(INDEX('Paramètres'!$I:$I,MATCH($C2692,'Paramètres'!$D:$D,0))&amp;"","")="Les deux",IFERROR(INDEX('Paramètres'!$I:$I,MATCH($C2692,'Paramètres'!$D:$D,0))&amp;"","")=IF($P2692=1,"Débit",$L2692)),-IF($P2692=1,-$K2692,$K2692),0))))</f>
        <v/>
      </c>
      <c r="U2692" s="6" t="str">
        <f>IF($K2692="","",IF(ISNUMBER(SEARCH("sortie-epargne",IFERROR(INDEX('Paramètres'!$N:$N,MATCH($D2692,'Paramètres'!$M:$M,0))&amp;"",""))),$K2692,0))</f>
        <v/>
      </c>
      <c r="V2692" s="6" t="str">
        <f>IF(AND($A2692&lt;&gt;"",$O2692=1,$L2692="Débit",N($Q2692)&gt;0,$A2692&gt;=Visualisation!$B$1,$A2692&lt;Visualisation!$D$1),MAX($V$1:V2691)+1,"")</f>
        <v/>
      </c>
    </row>
    <row r="2693" spans="1:22" x14ac:dyDescent="0.25">
      <c r="A2693" s="9"/>
      <c r="E2693" s="10"/>
      <c r="K2693" s="11" t="str">
        <f>IF($E2693="","",ROUND($E2693*IF(ISNA(MATCH($C2693,'Paramètres'!$D:$D,0)),1,IF(INDEX('Paramètres'!$J:$J,MATCH($C2693,'Paramètres'!$D:$D,0))="",1,INDEX('Paramètres'!$J:$J,MATCH($C2693,'Paramètres'!$D:$D,0)))),2))</f>
        <v/>
      </c>
      <c r="L2693" s="6" t="str">
        <f>IF($D2693="","",IF($F2693&lt;&gt;"",$F2693,IF(ISNA(MATCH($D2693,'Paramètres'!$M:$M,0)),"⚠ Type inconnu",IFERROR(INDEX('Paramètres'!$P:$P,MATCH($D2693,'Paramètres'!$M:$M,0))&amp;"",""))))</f>
        <v/>
      </c>
      <c r="M2693" s="6" t="str">
        <f>IF($D2693="","",IF(ISNA(MATCH($D2693,'Paramètres'!$M:$M,0)),"⚠ Type inconnu",IF($L2693="Crédit","",IFERROR(INDEX('Paramètres'!$O:$O,MATCH($D2693,'Paramètres'!$M:$M,0))&amp;"",""))))</f>
        <v/>
      </c>
      <c r="N2693" s="6" t="str">
        <f>IF($D2693="","",IFERROR(INDEX('Paramètres'!$Q:$Q,MATCH($D2693,'Paramètres'!$M:$M,0))&amp;"",""))</f>
        <v/>
      </c>
      <c r="O2693" s="6" t="str">
        <f>IF($A2693="","",IF(OR($J2693&lt;&gt;"x",$A2693&lt;=FinReleve),1,0))</f>
        <v/>
      </c>
      <c r="P2693" s="6" t="str">
        <f>IF($D2693="","",IF(AND($L2693="Crédit",OR(IFERROR(INDEX('Paramètres'!$O:$O,MATCH($D2693,'Paramètres'!$M:$M,0))&amp;"","")&lt;&gt;"",ISNUMBER(SEARCH("remboursement",IFERROR(INDEX('Paramètres'!$N:$N,MATCH($D2693,'Paramètres'!$M:$M,0))&amp;"",""))))),1,0))</f>
        <v/>
      </c>
      <c r="Q2693" s="6" t="str">
        <f>IF($K2693="","",IF(ISNUMBER(SEARCH("transfert-interne",IFERROR(INDEX('Paramètres'!$N:$N,MATCH($D2693,'Paramètres'!$M:$M,0))&amp;"",""))),0,IF($L2693="Débit",$K2693,IF($P2693=1,-$K2693,0))))</f>
        <v/>
      </c>
      <c r="R2693" s="6" t="str">
        <f>IF($K2693="","",IF($L2693="Crédit",$K2693,-$K2693))</f>
        <v/>
      </c>
      <c r="S2693" s="6" t="str">
        <f>IF($C2693="","",IFERROR(INDEX('Paramètres'!$H:$H,MATCH($C2693,'Paramètres'!$D:$D,0))&amp;"",""))</f>
        <v/>
      </c>
      <c r="T2693" s="6" t="str">
        <f>IF($K2693="","",IF($S2693="",0,IF(ISNUMBER(SEARCH("apport-exterieur",IFERROR(INDEX('Paramètres'!$N:$N,MATCH($D2693,'Paramètres'!$M:$M,0))&amp;"",""))),0,IF(OR(IFERROR(INDEX('Paramètres'!$I:$I,MATCH($C2693,'Paramètres'!$D:$D,0))&amp;"","")="Les deux",IFERROR(INDEX('Paramètres'!$I:$I,MATCH($C2693,'Paramètres'!$D:$D,0))&amp;"","")=IF($P2693=1,"Débit",$L2693)),-IF($P2693=1,-$K2693,$K2693),0))))</f>
        <v/>
      </c>
      <c r="U2693" s="6" t="str">
        <f>IF($K2693="","",IF(ISNUMBER(SEARCH("sortie-epargne",IFERROR(INDEX('Paramètres'!$N:$N,MATCH($D2693,'Paramètres'!$M:$M,0))&amp;"",""))),$K2693,0))</f>
        <v/>
      </c>
      <c r="V2693" s="6" t="str">
        <f>IF(AND($A2693&lt;&gt;"",$O2693=1,$L2693="Débit",N($Q2693)&gt;0,$A2693&gt;=Visualisation!$B$1,$A2693&lt;Visualisation!$D$1),MAX($V$1:V2692)+1,"")</f>
        <v/>
      </c>
    </row>
    <row r="2694" spans="1:22" x14ac:dyDescent="0.25">
      <c r="A2694" s="9"/>
      <c r="E2694" s="10"/>
      <c r="K2694" s="11" t="str">
        <f>IF($E2694="","",ROUND($E2694*IF(ISNA(MATCH($C2694,'Paramètres'!$D:$D,0)),1,IF(INDEX('Paramètres'!$J:$J,MATCH($C2694,'Paramètres'!$D:$D,0))="",1,INDEX('Paramètres'!$J:$J,MATCH($C2694,'Paramètres'!$D:$D,0)))),2))</f>
        <v/>
      </c>
      <c r="L2694" s="6" t="str">
        <f>IF($D2694="","",IF($F2694&lt;&gt;"",$F2694,IF(ISNA(MATCH($D2694,'Paramètres'!$M:$M,0)),"⚠ Type inconnu",IFERROR(INDEX('Paramètres'!$P:$P,MATCH($D2694,'Paramètres'!$M:$M,0))&amp;"",""))))</f>
        <v/>
      </c>
      <c r="M2694" s="6" t="str">
        <f>IF($D2694="","",IF(ISNA(MATCH($D2694,'Paramètres'!$M:$M,0)),"⚠ Type inconnu",IF($L2694="Crédit","",IFERROR(INDEX('Paramètres'!$O:$O,MATCH($D2694,'Paramètres'!$M:$M,0))&amp;"",""))))</f>
        <v/>
      </c>
      <c r="N2694" s="6" t="str">
        <f>IF($D2694="","",IFERROR(INDEX('Paramètres'!$Q:$Q,MATCH($D2694,'Paramètres'!$M:$M,0))&amp;"",""))</f>
        <v/>
      </c>
      <c r="O2694" s="6" t="str">
        <f>IF($A2694="","",IF(OR($J2694&lt;&gt;"x",$A2694&lt;=FinReleve),1,0))</f>
        <v/>
      </c>
      <c r="P2694" s="6" t="str">
        <f>IF($D2694="","",IF(AND($L2694="Crédit",OR(IFERROR(INDEX('Paramètres'!$O:$O,MATCH($D2694,'Paramètres'!$M:$M,0))&amp;"","")&lt;&gt;"",ISNUMBER(SEARCH("remboursement",IFERROR(INDEX('Paramètres'!$N:$N,MATCH($D2694,'Paramètres'!$M:$M,0))&amp;"",""))))),1,0))</f>
        <v/>
      </c>
      <c r="Q2694" s="6" t="str">
        <f>IF($K2694="","",IF(ISNUMBER(SEARCH("transfert-interne",IFERROR(INDEX('Paramètres'!$N:$N,MATCH($D2694,'Paramètres'!$M:$M,0))&amp;"",""))),0,IF($L2694="Débit",$K2694,IF($P2694=1,-$K2694,0))))</f>
        <v/>
      </c>
      <c r="R2694" s="6" t="str">
        <f>IF($K2694="","",IF($L2694="Crédit",$K2694,-$K2694))</f>
        <v/>
      </c>
      <c r="S2694" s="6" t="str">
        <f>IF($C2694="","",IFERROR(INDEX('Paramètres'!$H:$H,MATCH($C2694,'Paramètres'!$D:$D,0))&amp;"",""))</f>
        <v/>
      </c>
      <c r="T2694" s="6" t="str">
        <f>IF($K2694="","",IF($S2694="",0,IF(ISNUMBER(SEARCH("apport-exterieur",IFERROR(INDEX('Paramètres'!$N:$N,MATCH($D2694,'Paramètres'!$M:$M,0))&amp;"",""))),0,IF(OR(IFERROR(INDEX('Paramètres'!$I:$I,MATCH($C2694,'Paramètres'!$D:$D,0))&amp;"","")="Les deux",IFERROR(INDEX('Paramètres'!$I:$I,MATCH($C2694,'Paramètres'!$D:$D,0))&amp;"","")=IF($P2694=1,"Débit",$L2694)),-IF($P2694=1,-$K2694,$K2694),0))))</f>
        <v/>
      </c>
      <c r="U2694" s="6" t="str">
        <f>IF($K2694="","",IF(ISNUMBER(SEARCH("sortie-epargne",IFERROR(INDEX('Paramètres'!$N:$N,MATCH($D2694,'Paramètres'!$M:$M,0))&amp;"",""))),$K2694,0))</f>
        <v/>
      </c>
      <c r="V2694" s="6" t="str">
        <f>IF(AND($A2694&lt;&gt;"",$O2694=1,$L2694="Débit",N($Q2694)&gt;0,$A2694&gt;=Visualisation!$B$1,$A2694&lt;Visualisation!$D$1),MAX($V$1:V2693)+1,"")</f>
        <v/>
      </c>
    </row>
    <row r="2695" spans="1:22" x14ac:dyDescent="0.25">
      <c r="A2695" s="9"/>
      <c r="E2695" s="10"/>
      <c r="K2695" s="11" t="str">
        <f>IF($E2695="","",ROUND($E2695*IF(ISNA(MATCH($C2695,'Paramètres'!$D:$D,0)),1,IF(INDEX('Paramètres'!$J:$J,MATCH($C2695,'Paramètres'!$D:$D,0))="",1,INDEX('Paramètres'!$J:$J,MATCH($C2695,'Paramètres'!$D:$D,0)))),2))</f>
        <v/>
      </c>
      <c r="L2695" s="6" t="str">
        <f>IF($D2695="","",IF($F2695&lt;&gt;"",$F2695,IF(ISNA(MATCH($D2695,'Paramètres'!$M:$M,0)),"⚠ Type inconnu",IFERROR(INDEX('Paramètres'!$P:$P,MATCH($D2695,'Paramètres'!$M:$M,0))&amp;"",""))))</f>
        <v/>
      </c>
      <c r="M2695" s="6" t="str">
        <f>IF($D2695="","",IF(ISNA(MATCH($D2695,'Paramètres'!$M:$M,0)),"⚠ Type inconnu",IF($L2695="Crédit","",IFERROR(INDEX('Paramètres'!$O:$O,MATCH($D2695,'Paramètres'!$M:$M,0))&amp;"",""))))</f>
        <v/>
      </c>
      <c r="N2695" s="6" t="str">
        <f>IF($D2695="","",IFERROR(INDEX('Paramètres'!$Q:$Q,MATCH($D2695,'Paramètres'!$M:$M,0))&amp;"",""))</f>
        <v/>
      </c>
      <c r="O2695" s="6" t="str">
        <f>IF($A2695="","",IF(OR($J2695&lt;&gt;"x",$A2695&lt;=FinReleve),1,0))</f>
        <v/>
      </c>
      <c r="P2695" s="6" t="str">
        <f>IF($D2695="","",IF(AND($L2695="Crédit",OR(IFERROR(INDEX('Paramètres'!$O:$O,MATCH($D2695,'Paramètres'!$M:$M,0))&amp;"","")&lt;&gt;"",ISNUMBER(SEARCH("remboursement",IFERROR(INDEX('Paramètres'!$N:$N,MATCH($D2695,'Paramètres'!$M:$M,0))&amp;"",""))))),1,0))</f>
        <v/>
      </c>
      <c r="Q2695" s="6" t="str">
        <f>IF($K2695="","",IF(ISNUMBER(SEARCH("transfert-interne",IFERROR(INDEX('Paramètres'!$N:$N,MATCH($D2695,'Paramètres'!$M:$M,0))&amp;"",""))),0,IF($L2695="Débit",$K2695,IF($P2695=1,-$K2695,0))))</f>
        <v/>
      </c>
      <c r="R2695" s="6" t="str">
        <f>IF($K2695="","",IF($L2695="Crédit",$K2695,-$K2695))</f>
        <v/>
      </c>
      <c r="S2695" s="6" t="str">
        <f>IF($C2695="","",IFERROR(INDEX('Paramètres'!$H:$H,MATCH($C2695,'Paramètres'!$D:$D,0))&amp;"",""))</f>
        <v/>
      </c>
      <c r="T2695" s="6" t="str">
        <f>IF($K2695="","",IF($S2695="",0,IF(ISNUMBER(SEARCH("apport-exterieur",IFERROR(INDEX('Paramètres'!$N:$N,MATCH($D2695,'Paramètres'!$M:$M,0))&amp;"",""))),0,IF(OR(IFERROR(INDEX('Paramètres'!$I:$I,MATCH($C2695,'Paramètres'!$D:$D,0))&amp;"","")="Les deux",IFERROR(INDEX('Paramètres'!$I:$I,MATCH($C2695,'Paramètres'!$D:$D,0))&amp;"","")=IF($P2695=1,"Débit",$L2695)),-IF($P2695=1,-$K2695,$K2695),0))))</f>
        <v/>
      </c>
      <c r="U2695" s="6" t="str">
        <f>IF($K2695="","",IF(ISNUMBER(SEARCH("sortie-epargne",IFERROR(INDEX('Paramètres'!$N:$N,MATCH($D2695,'Paramètres'!$M:$M,0))&amp;"",""))),$K2695,0))</f>
        <v/>
      </c>
      <c r="V2695" s="6" t="str">
        <f>IF(AND($A2695&lt;&gt;"",$O2695=1,$L2695="Débit",N($Q2695)&gt;0,$A2695&gt;=Visualisation!$B$1,$A2695&lt;Visualisation!$D$1),MAX($V$1:V2694)+1,"")</f>
        <v/>
      </c>
    </row>
    <row r="2696" spans="1:22" x14ac:dyDescent="0.25">
      <c r="A2696" s="9"/>
      <c r="E2696" s="10"/>
      <c r="K2696" s="11" t="str">
        <f>IF($E2696="","",ROUND($E2696*IF(ISNA(MATCH($C2696,'Paramètres'!$D:$D,0)),1,IF(INDEX('Paramètres'!$J:$J,MATCH($C2696,'Paramètres'!$D:$D,0))="",1,INDEX('Paramètres'!$J:$J,MATCH($C2696,'Paramètres'!$D:$D,0)))),2))</f>
        <v/>
      </c>
      <c r="L2696" s="6" t="str">
        <f>IF($D2696="","",IF($F2696&lt;&gt;"",$F2696,IF(ISNA(MATCH($D2696,'Paramètres'!$M:$M,0)),"⚠ Type inconnu",IFERROR(INDEX('Paramètres'!$P:$P,MATCH($D2696,'Paramètres'!$M:$M,0))&amp;"",""))))</f>
        <v/>
      </c>
      <c r="M2696" s="6" t="str">
        <f>IF($D2696="","",IF(ISNA(MATCH($D2696,'Paramètres'!$M:$M,0)),"⚠ Type inconnu",IF($L2696="Crédit","",IFERROR(INDEX('Paramètres'!$O:$O,MATCH($D2696,'Paramètres'!$M:$M,0))&amp;"",""))))</f>
        <v/>
      </c>
      <c r="N2696" s="6" t="str">
        <f>IF($D2696="","",IFERROR(INDEX('Paramètres'!$Q:$Q,MATCH($D2696,'Paramètres'!$M:$M,0))&amp;"",""))</f>
        <v/>
      </c>
      <c r="O2696" s="6" t="str">
        <f>IF($A2696="","",IF(OR($J2696&lt;&gt;"x",$A2696&lt;=FinReleve),1,0))</f>
        <v/>
      </c>
      <c r="P2696" s="6" t="str">
        <f>IF($D2696="","",IF(AND($L2696="Crédit",OR(IFERROR(INDEX('Paramètres'!$O:$O,MATCH($D2696,'Paramètres'!$M:$M,0))&amp;"","")&lt;&gt;"",ISNUMBER(SEARCH("remboursement",IFERROR(INDEX('Paramètres'!$N:$N,MATCH($D2696,'Paramètres'!$M:$M,0))&amp;"",""))))),1,0))</f>
        <v/>
      </c>
      <c r="Q2696" s="6" t="str">
        <f>IF($K2696="","",IF(ISNUMBER(SEARCH("transfert-interne",IFERROR(INDEX('Paramètres'!$N:$N,MATCH($D2696,'Paramètres'!$M:$M,0))&amp;"",""))),0,IF($L2696="Débit",$K2696,IF($P2696=1,-$K2696,0))))</f>
        <v/>
      </c>
      <c r="R2696" s="6" t="str">
        <f>IF($K2696="","",IF($L2696="Crédit",$K2696,-$K2696))</f>
        <v/>
      </c>
      <c r="S2696" s="6" t="str">
        <f>IF($C2696="","",IFERROR(INDEX('Paramètres'!$H:$H,MATCH($C2696,'Paramètres'!$D:$D,0))&amp;"",""))</f>
        <v/>
      </c>
      <c r="T2696" s="6" t="str">
        <f>IF($K2696="","",IF($S2696="",0,IF(ISNUMBER(SEARCH("apport-exterieur",IFERROR(INDEX('Paramètres'!$N:$N,MATCH($D2696,'Paramètres'!$M:$M,0))&amp;"",""))),0,IF(OR(IFERROR(INDEX('Paramètres'!$I:$I,MATCH($C2696,'Paramètres'!$D:$D,0))&amp;"","")="Les deux",IFERROR(INDEX('Paramètres'!$I:$I,MATCH($C2696,'Paramètres'!$D:$D,0))&amp;"","")=IF($P2696=1,"Débit",$L2696)),-IF($P2696=1,-$K2696,$K2696),0))))</f>
        <v/>
      </c>
      <c r="U2696" s="6" t="str">
        <f>IF($K2696="","",IF(ISNUMBER(SEARCH("sortie-epargne",IFERROR(INDEX('Paramètres'!$N:$N,MATCH($D2696,'Paramètres'!$M:$M,0))&amp;"",""))),$K2696,0))</f>
        <v/>
      </c>
      <c r="V2696" s="6" t="str">
        <f>IF(AND($A2696&lt;&gt;"",$O2696=1,$L2696="Débit",N($Q2696)&gt;0,$A2696&gt;=Visualisation!$B$1,$A2696&lt;Visualisation!$D$1),MAX($V$1:V2695)+1,"")</f>
        <v/>
      </c>
    </row>
    <row r="2697" spans="1:22" x14ac:dyDescent="0.25">
      <c r="A2697" s="9"/>
      <c r="E2697" s="10"/>
      <c r="K2697" s="11" t="str">
        <f>IF($E2697="","",ROUND($E2697*IF(ISNA(MATCH($C2697,'Paramètres'!$D:$D,0)),1,IF(INDEX('Paramètres'!$J:$J,MATCH($C2697,'Paramètres'!$D:$D,0))="",1,INDEX('Paramètres'!$J:$J,MATCH($C2697,'Paramètres'!$D:$D,0)))),2))</f>
        <v/>
      </c>
      <c r="L2697" s="6" t="str">
        <f>IF($D2697="","",IF($F2697&lt;&gt;"",$F2697,IF(ISNA(MATCH($D2697,'Paramètres'!$M:$M,0)),"⚠ Type inconnu",IFERROR(INDEX('Paramètres'!$P:$P,MATCH($D2697,'Paramètres'!$M:$M,0))&amp;"",""))))</f>
        <v/>
      </c>
      <c r="M2697" s="6" t="str">
        <f>IF($D2697="","",IF(ISNA(MATCH($D2697,'Paramètres'!$M:$M,0)),"⚠ Type inconnu",IF($L2697="Crédit","",IFERROR(INDEX('Paramètres'!$O:$O,MATCH($D2697,'Paramètres'!$M:$M,0))&amp;"",""))))</f>
        <v/>
      </c>
      <c r="N2697" s="6" t="str">
        <f>IF($D2697="","",IFERROR(INDEX('Paramètres'!$Q:$Q,MATCH($D2697,'Paramètres'!$M:$M,0))&amp;"",""))</f>
        <v/>
      </c>
      <c r="O2697" s="6" t="str">
        <f>IF($A2697="","",IF(OR($J2697&lt;&gt;"x",$A2697&lt;=FinReleve),1,0))</f>
        <v/>
      </c>
      <c r="P2697" s="6" t="str">
        <f>IF($D2697="","",IF(AND($L2697="Crédit",OR(IFERROR(INDEX('Paramètres'!$O:$O,MATCH($D2697,'Paramètres'!$M:$M,0))&amp;"","")&lt;&gt;"",ISNUMBER(SEARCH("remboursement",IFERROR(INDEX('Paramètres'!$N:$N,MATCH($D2697,'Paramètres'!$M:$M,0))&amp;"",""))))),1,0))</f>
        <v/>
      </c>
      <c r="Q2697" s="6" t="str">
        <f>IF($K2697="","",IF(ISNUMBER(SEARCH("transfert-interne",IFERROR(INDEX('Paramètres'!$N:$N,MATCH($D2697,'Paramètres'!$M:$M,0))&amp;"",""))),0,IF($L2697="Débit",$K2697,IF($P2697=1,-$K2697,0))))</f>
        <v/>
      </c>
      <c r="R2697" s="6" t="str">
        <f>IF($K2697="","",IF($L2697="Crédit",$K2697,-$K2697))</f>
        <v/>
      </c>
      <c r="S2697" s="6" t="str">
        <f>IF($C2697="","",IFERROR(INDEX('Paramètres'!$H:$H,MATCH($C2697,'Paramètres'!$D:$D,0))&amp;"",""))</f>
        <v/>
      </c>
      <c r="T2697" s="6" t="str">
        <f>IF($K2697="","",IF($S2697="",0,IF(ISNUMBER(SEARCH("apport-exterieur",IFERROR(INDEX('Paramètres'!$N:$N,MATCH($D2697,'Paramètres'!$M:$M,0))&amp;"",""))),0,IF(OR(IFERROR(INDEX('Paramètres'!$I:$I,MATCH($C2697,'Paramètres'!$D:$D,0))&amp;"","")="Les deux",IFERROR(INDEX('Paramètres'!$I:$I,MATCH($C2697,'Paramètres'!$D:$D,0))&amp;"","")=IF($P2697=1,"Débit",$L2697)),-IF($P2697=1,-$K2697,$K2697),0))))</f>
        <v/>
      </c>
      <c r="U2697" s="6" t="str">
        <f>IF($K2697="","",IF(ISNUMBER(SEARCH("sortie-epargne",IFERROR(INDEX('Paramètres'!$N:$N,MATCH($D2697,'Paramètres'!$M:$M,0))&amp;"",""))),$K2697,0))</f>
        <v/>
      </c>
      <c r="V2697" s="6" t="str">
        <f>IF(AND($A2697&lt;&gt;"",$O2697=1,$L2697="Débit",N($Q2697)&gt;0,$A2697&gt;=Visualisation!$B$1,$A2697&lt;Visualisation!$D$1),MAX($V$1:V2696)+1,"")</f>
        <v/>
      </c>
    </row>
    <row r="2698" spans="1:22" x14ac:dyDescent="0.25">
      <c r="A2698" s="9"/>
      <c r="E2698" s="10"/>
      <c r="K2698" s="11" t="str">
        <f>IF($E2698="","",ROUND($E2698*IF(ISNA(MATCH($C2698,'Paramètres'!$D:$D,0)),1,IF(INDEX('Paramètres'!$J:$J,MATCH($C2698,'Paramètres'!$D:$D,0))="",1,INDEX('Paramètres'!$J:$J,MATCH($C2698,'Paramètres'!$D:$D,0)))),2))</f>
        <v/>
      </c>
      <c r="L2698" s="6" t="str">
        <f>IF($D2698="","",IF($F2698&lt;&gt;"",$F2698,IF(ISNA(MATCH($D2698,'Paramètres'!$M:$M,0)),"⚠ Type inconnu",IFERROR(INDEX('Paramètres'!$P:$P,MATCH($D2698,'Paramètres'!$M:$M,0))&amp;"",""))))</f>
        <v/>
      </c>
      <c r="M2698" s="6" t="str">
        <f>IF($D2698="","",IF(ISNA(MATCH($D2698,'Paramètres'!$M:$M,0)),"⚠ Type inconnu",IF($L2698="Crédit","",IFERROR(INDEX('Paramètres'!$O:$O,MATCH($D2698,'Paramètres'!$M:$M,0))&amp;"",""))))</f>
        <v/>
      </c>
      <c r="N2698" s="6" t="str">
        <f>IF($D2698="","",IFERROR(INDEX('Paramètres'!$Q:$Q,MATCH($D2698,'Paramètres'!$M:$M,0))&amp;"",""))</f>
        <v/>
      </c>
      <c r="O2698" s="6" t="str">
        <f>IF($A2698="","",IF(OR($J2698&lt;&gt;"x",$A2698&lt;=FinReleve),1,0))</f>
        <v/>
      </c>
      <c r="P2698" s="6" t="str">
        <f>IF($D2698="","",IF(AND($L2698="Crédit",OR(IFERROR(INDEX('Paramètres'!$O:$O,MATCH($D2698,'Paramètres'!$M:$M,0))&amp;"","")&lt;&gt;"",ISNUMBER(SEARCH("remboursement",IFERROR(INDEX('Paramètres'!$N:$N,MATCH($D2698,'Paramètres'!$M:$M,0))&amp;"",""))))),1,0))</f>
        <v/>
      </c>
      <c r="Q2698" s="6" t="str">
        <f>IF($K2698="","",IF(ISNUMBER(SEARCH("transfert-interne",IFERROR(INDEX('Paramètres'!$N:$N,MATCH($D2698,'Paramètres'!$M:$M,0))&amp;"",""))),0,IF($L2698="Débit",$K2698,IF($P2698=1,-$K2698,0))))</f>
        <v/>
      </c>
      <c r="R2698" s="6" t="str">
        <f>IF($K2698="","",IF($L2698="Crédit",$K2698,-$K2698))</f>
        <v/>
      </c>
      <c r="S2698" s="6" t="str">
        <f>IF($C2698="","",IFERROR(INDEX('Paramètres'!$H:$H,MATCH($C2698,'Paramètres'!$D:$D,0))&amp;"",""))</f>
        <v/>
      </c>
      <c r="T2698" s="6" t="str">
        <f>IF($K2698="","",IF($S2698="",0,IF(ISNUMBER(SEARCH("apport-exterieur",IFERROR(INDEX('Paramètres'!$N:$N,MATCH($D2698,'Paramètres'!$M:$M,0))&amp;"",""))),0,IF(OR(IFERROR(INDEX('Paramètres'!$I:$I,MATCH($C2698,'Paramètres'!$D:$D,0))&amp;"","")="Les deux",IFERROR(INDEX('Paramètres'!$I:$I,MATCH($C2698,'Paramètres'!$D:$D,0))&amp;"","")=IF($P2698=1,"Débit",$L2698)),-IF($P2698=1,-$K2698,$K2698),0))))</f>
        <v/>
      </c>
      <c r="U2698" s="6" t="str">
        <f>IF($K2698="","",IF(ISNUMBER(SEARCH("sortie-epargne",IFERROR(INDEX('Paramètres'!$N:$N,MATCH($D2698,'Paramètres'!$M:$M,0))&amp;"",""))),$K2698,0))</f>
        <v/>
      </c>
      <c r="V2698" s="6" t="str">
        <f>IF(AND($A2698&lt;&gt;"",$O2698=1,$L2698="Débit",N($Q2698)&gt;0,$A2698&gt;=Visualisation!$B$1,$A2698&lt;Visualisation!$D$1),MAX($V$1:V2697)+1,"")</f>
        <v/>
      </c>
    </row>
    <row r="2699" spans="1:22" x14ac:dyDescent="0.25">
      <c r="A2699" s="9"/>
      <c r="E2699" s="10"/>
      <c r="K2699" s="11" t="str">
        <f>IF($E2699="","",ROUND($E2699*IF(ISNA(MATCH($C2699,'Paramètres'!$D:$D,0)),1,IF(INDEX('Paramètres'!$J:$J,MATCH($C2699,'Paramètres'!$D:$D,0))="",1,INDEX('Paramètres'!$J:$J,MATCH($C2699,'Paramètres'!$D:$D,0)))),2))</f>
        <v/>
      </c>
      <c r="L2699" s="6" t="str">
        <f>IF($D2699="","",IF($F2699&lt;&gt;"",$F2699,IF(ISNA(MATCH($D2699,'Paramètres'!$M:$M,0)),"⚠ Type inconnu",IFERROR(INDEX('Paramètres'!$P:$P,MATCH($D2699,'Paramètres'!$M:$M,0))&amp;"",""))))</f>
        <v/>
      </c>
      <c r="M2699" s="6" t="str">
        <f>IF($D2699="","",IF(ISNA(MATCH($D2699,'Paramètres'!$M:$M,0)),"⚠ Type inconnu",IF($L2699="Crédit","",IFERROR(INDEX('Paramètres'!$O:$O,MATCH($D2699,'Paramètres'!$M:$M,0))&amp;"",""))))</f>
        <v/>
      </c>
      <c r="N2699" s="6" t="str">
        <f>IF($D2699="","",IFERROR(INDEX('Paramètres'!$Q:$Q,MATCH($D2699,'Paramètres'!$M:$M,0))&amp;"",""))</f>
        <v/>
      </c>
      <c r="O2699" s="6" t="str">
        <f>IF($A2699="","",IF(OR($J2699&lt;&gt;"x",$A2699&lt;=FinReleve),1,0))</f>
        <v/>
      </c>
      <c r="P2699" s="6" t="str">
        <f>IF($D2699="","",IF(AND($L2699="Crédit",OR(IFERROR(INDEX('Paramètres'!$O:$O,MATCH($D2699,'Paramètres'!$M:$M,0))&amp;"","")&lt;&gt;"",ISNUMBER(SEARCH("remboursement",IFERROR(INDEX('Paramètres'!$N:$N,MATCH($D2699,'Paramètres'!$M:$M,0))&amp;"",""))))),1,0))</f>
        <v/>
      </c>
      <c r="Q2699" s="6" t="str">
        <f>IF($K2699="","",IF(ISNUMBER(SEARCH("transfert-interne",IFERROR(INDEX('Paramètres'!$N:$N,MATCH($D2699,'Paramètres'!$M:$M,0))&amp;"",""))),0,IF($L2699="Débit",$K2699,IF($P2699=1,-$K2699,0))))</f>
        <v/>
      </c>
      <c r="R2699" s="6" t="str">
        <f>IF($K2699="","",IF($L2699="Crédit",$K2699,-$K2699))</f>
        <v/>
      </c>
      <c r="S2699" s="6" t="str">
        <f>IF($C2699="","",IFERROR(INDEX('Paramètres'!$H:$H,MATCH($C2699,'Paramètres'!$D:$D,0))&amp;"",""))</f>
        <v/>
      </c>
      <c r="T2699" s="6" t="str">
        <f>IF($K2699="","",IF($S2699="",0,IF(ISNUMBER(SEARCH("apport-exterieur",IFERROR(INDEX('Paramètres'!$N:$N,MATCH($D2699,'Paramètres'!$M:$M,0))&amp;"",""))),0,IF(OR(IFERROR(INDEX('Paramètres'!$I:$I,MATCH($C2699,'Paramètres'!$D:$D,0))&amp;"","")="Les deux",IFERROR(INDEX('Paramètres'!$I:$I,MATCH($C2699,'Paramètres'!$D:$D,0))&amp;"","")=IF($P2699=1,"Débit",$L2699)),-IF($P2699=1,-$K2699,$K2699),0))))</f>
        <v/>
      </c>
      <c r="U2699" s="6" t="str">
        <f>IF($K2699="","",IF(ISNUMBER(SEARCH("sortie-epargne",IFERROR(INDEX('Paramètres'!$N:$N,MATCH($D2699,'Paramètres'!$M:$M,0))&amp;"",""))),$K2699,0))</f>
        <v/>
      </c>
      <c r="V2699" s="6" t="str">
        <f>IF(AND($A2699&lt;&gt;"",$O2699=1,$L2699="Débit",N($Q2699)&gt;0,$A2699&gt;=Visualisation!$B$1,$A2699&lt;Visualisation!$D$1),MAX($V$1:V2698)+1,"")</f>
        <v/>
      </c>
    </row>
    <row r="2700" spans="1:22" x14ac:dyDescent="0.25">
      <c r="A2700" s="9"/>
      <c r="E2700" s="10"/>
      <c r="K2700" s="11" t="str">
        <f>IF($E2700="","",ROUND($E2700*IF(ISNA(MATCH($C2700,'Paramètres'!$D:$D,0)),1,IF(INDEX('Paramètres'!$J:$J,MATCH($C2700,'Paramètres'!$D:$D,0))="",1,INDEX('Paramètres'!$J:$J,MATCH($C2700,'Paramètres'!$D:$D,0)))),2))</f>
        <v/>
      </c>
      <c r="L2700" s="6" t="str">
        <f>IF($D2700="","",IF($F2700&lt;&gt;"",$F2700,IF(ISNA(MATCH($D2700,'Paramètres'!$M:$M,0)),"⚠ Type inconnu",IFERROR(INDEX('Paramètres'!$P:$P,MATCH($D2700,'Paramètres'!$M:$M,0))&amp;"",""))))</f>
        <v/>
      </c>
      <c r="M2700" s="6" t="str">
        <f>IF($D2700="","",IF(ISNA(MATCH($D2700,'Paramètres'!$M:$M,0)),"⚠ Type inconnu",IF($L2700="Crédit","",IFERROR(INDEX('Paramètres'!$O:$O,MATCH($D2700,'Paramètres'!$M:$M,0))&amp;"",""))))</f>
        <v/>
      </c>
      <c r="N2700" s="6" t="str">
        <f>IF($D2700="","",IFERROR(INDEX('Paramètres'!$Q:$Q,MATCH($D2700,'Paramètres'!$M:$M,0))&amp;"",""))</f>
        <v/>
      </c>
      <c r="O2700" s="6" t="str">
        <f>IF($A2700="","",IF(OR($J2700&lt;&gt;"x",$A2700&lt;=FinReleve),1,0))</f>
        <v/>
      </c>
      <c r="P2700" s="6" t="str">
        <f>IF($D2700="","",IF(AND($L2700="Crédit",OR(IFERROR(INDEX('Paramètres'!$O:$O,MATCH($D2700,'Paramètres'!$M:$M,0))&amp;"","")&lt;&gt;"",ISNUMBER(SEARCH("remboursement",IFERROR(INDEX('Paramètres'!$N:$N,MATCH($D2700,'Paramètres'!$M:$M,0))&amp;"",""))))),1,0))</f>
        <v/>
      </c>
      <c r="Q2700" s="6" t="str">
        <f>IF($K2700="","",IF(ISNUMBER(SEARCH("transfert-interne",IFERROR(INDEX('Paramètres'!$N:$N,MATCH($D2700,'Paramètres'!$M:$M,0))&amp;"",""))),0,IF($L2700="Débit",$K2700,IF($P2700=1,-$K2700,0))))</f>
        <v/>
      </c>
      <c r="R2700" s="6" t="str">
        <f>IF($K2700="","",IF($L2700="Crédit",$K2700,-$K2700))</f>
        <v/>
      </c>
      <c r="S2700" s="6" t="str">
        <f>IF($C2700="","",IFERROR(INDEX('Paramètres'!$H:$H,MATCH($C2700,'Paramètres'!$D:$D,0))&amp;"",""))</f>
        <v/>
      </c>
      <c r="T2700" s="6" t="str">
        <f>IF($K2700="","",IF($S2700="",0,IF(ISNUMBER(SEARCH("apport-exterieur",IFERROR(INDEX('Paramètres'!$N:$N,MATCH($D2700,'Paramètres'!$M:$M,0))&amp;"",""))),0,IF(OR(IFERROR(INDEX('Paramètres'!$I:$I,MATCH($C2700,'Paramètres'!$D:$D,0))&amp;"","")="Les deux",IFERROR(INDEX('Paramètres'!$I:$I,MATCH($C2700,'Paramètres'!$D:$D,0))&amp;"","")=IF($P2700=1,"Débit",$L2700)),-IF($P2700=1,-$K2700,$K2700),0))))</f>
        <v/>
      </c>
      <c r="U2700" s="6" t="str">
        <f>IF($K2700="","",IF(ISNUMBER(SEARCH("sortie-epargne",IFERROR(INDEX('Paramètres'!$N:$N,MATCH($D2700,'Paramètres'!$M:$M,0))&amp;"",""))),$K2700,0))</f>
        <v/>
      </c>
      <c r="V2700" s="6" t="str">
        <f>IF(AND($A2700&lt;&gt;"",$O2700=1,$L2700="Débit",N($Q2700)&gt;0,$A2700&gt;=Visualisation!$B$1,$A2700&lt;Visualisation!$D$1),MAX($V$1:V2699)+1,"")</f>
        <v/>
      </c>
    </row>
    <row r="2701" spans="1:22" x14ac:dyDescent="0.25">
      <c r="A2701" s="9"/>
      <c r="E2701" s="10"/>
      <c r="K2701" s="11" t="str">
        <f>IF($E2701="","",ROUND($E2701*IF(ISNA(MATCH($C2701,'Paramètres'!$D:$D,0)),1,IF(INDEX('Paramètres'!$J:$J,MATCH($C2701,'Paramètres'!$D:$D,0))="",1,INDEX('Paramètres'!$J:$J,MATCH($C2701,'Paramètres'!$D:$D,0)))),2))</f>
        <v/>
      </c>
      <c r="L2701" s="6" t="str">
        <f>IF($D2701="","",IF($F2701&lt;&gt;"",$F2701,IF(ISNA(MATCH($D2701,'Paramètres'!$M:$M,0)),"⚠ Type inconnu",IFERROR(INDEX('Paramètres'!$P:$P,MATCH($D2701,'Paramètres'!$M:$M,0))&amp;"",""))))</f>
        <v/>
      </c>
      <c r="M2701" s="6" t="str">
        <f>IF($D2701="","",IF(ISNA(MATCH($D2701,'Paramètres'!$M:$M,0)),"⚠ Type inconnu",IF($L2701="Crédit","",IFERROR(INDEX('Paramètres'!$O:$O,MATCH($D2701,'Paramètres'!$M:$M,0))&amp;"",""))))</f>
        <v/>
      </c>
      <c r="N2701" s="6" t="str">
        <f>IF($D2701="","",IFERROR(INDEX('Paramètres'!$Q:$Q,MATCH($D2701,'Paramètres'!$M:$M,0))&amp;"",""))</f>
        <v/>
      </c>
      <c r="O2701" s="6" t="str">
        <f>IF($A2701="","",IF(OR($J2701&lt;&gt;"x",$A2701&lt;=FinReleve),1,0))</f>
        <v/>
      </c>
      <c r="P2701" s="6" t="str">
        <f>IF($D2701="","",IF(AND($L2701="Crédit",OR(IFERROR(INDEX('Paramètres'!$O:$O,MATCH($D2701,'Paramètres'!$M:$M,0))&amp;"","")&lt;&gt;"",ISNUMBER(SEARCH("remboursement",IFERROR(INDEX('Paramètres'!$N:$N,MATCH($D2701,'Paramètres'!$M:$M,0))&amp;"",""))))),1,0))</f>
        <v/>
      </c>
      <c r="Q2701" s="6" t="str">
        <f>IF($K2701="","",IF(ISNUMBER(SEARCH("transfert-interne",IFERROR(INDEX('Paramètres'!$N:$N,MATCH($D2701,'Paramètres'!$M:$M,0))&amp;"",""))),0,IF($L2701="Débit",$K2701,IF($P2701=1,-$K2701,0))))</f>
        <v/>
      </c>
      <c r="R2701" s="6" t="str">
        <f>IF($K2701="","",IF($L2701="Crédit",$K2701,-$K2701))</f>
        <v/>
      </c>
      <c r="S2701" s="6" t="str">
        <f>IF($C2701="","",IFERROR(INDEX('Paramètres'!$H:$H,MATCH($C2701,'Paramètres'!$D:$D,0))&amp;"",""))</f>
        <v/>
      </c>
      <c r="T2701" s="6" t="str">
        <f>IF($K2701="","",IF($S2701="",0,IF(ISNUMBER(SEARCH("apport-exterieur",IFERROR(INDEX('Paramètres'!$N:$N,MATCH($D2701,'Paramètres'!$M:$M,0))&amp;"",""))),0,IF(OR(IFERROR(INDEX('Paramètres'!$I:$I,MATCH($C2701,'Paramètres'!$D:$D,0))&amp;"","")="Les deux",IFERROR(INDEX('Paramètres'!$I:$I,MATCH($C2701,'Paramètres'!$D:$D,0))&amp;"","")=IF($P2701=1,"Débit",$L2701)),-IF($P2701=1,-$K2701,$K2701),0))))</f>
        <v/>
      </c>
      <c r="U2701" s="6" t="str">
        <f>IF($K2701="","",IF(ISNUMBER(SEARCH("sortie-epargne",IFERROR(INDEX('Paramètres'!$N:$N,MATCH($D2701,'Paramètres'!$M:$M,0))&amp;"",""))),$K2701,0))</f>
        <v/>
      </c>
      <c r="V2701" s="6" t="str">
        <f>IF(AND($A2701&lt;&gt;"",$O2701=1,$L2701="Débit",N($Q2701)&gt;0,$A2701&gt;=Visualisation!$B$1,$A2701&lt;Visualisation!$D$1),MAX($V$1:V2700)+1,"")</f>
        <v/>
      </c>
    </row>
    <row r="2702" spans="1:22" x14ac:dyDescent="0.25">
      <c r="A2702" s="9"/>
      <c r="E2702" s="10"/>
      <c r="K2702" s="11" t="str">
        <f>IF($E2702="","",ROUND($E2702*IF(ISNA(MATCH($C2702,'Paramètres'!$D:$D,0)),1,IF(INDEX('Paramètres'!$J:$J,MATCH($C2702,'Paramètres'!$D:$D,0))="",1,INDEX('Paramètres'!$J:$J,MATCH($C2702,'Paramètres'!$D:$D,0)))),2))</f>
        <v/>
      </c>
      <c r="L2702" s="6" t="str">
        <f>IF($D2702="","",IF($F2702&lt;&gt;"",$F2702,IF(ISNA(MATCH($D2702,'Paramètres'!$M:$M,0)),"⚠ Type inconnu",IFERROR(INDEX('Paramètres'!$P:$P,MATCH($D2702,'Paramètres'!$M:$M,0))&amp;"",""))))</f>
        <v/>
      </c>
      <c r="M2702" s="6" t="str">
        <f>IF($D2702="","",IF(ISNA(MATCH($D2702,'Paramètres'!$M:$M,0)),"⚠ Type inconnu",IF($L2702="Crédit","",IFERROR(INDEX('Paramètres'!$O:$O,MATCH($D2702,'Paramètres'!$M:$M,0))&amp;"",""))))</f>
        <v/>
      </c>
      <c r="N2702" s="6" t="str">
        <f>IF($D2702="","",IFERROR(INDEX('Paramètres'!$Q:$Q,MATCH($D2702,'Paramètres'!$M:$M,0))&amp;"",""))</f>
        <v/>
      </c>
      <c r="O2702" s="6" t="str">
        <f>IF($A2702="","",IF(OR($J2702&lt;&gt;"x",$A2702&lt;=FinReleve),1,0))</f>
        <v/>
      </c>
      <c r="P2702" s="6" t="str">
        <f>IF($D2702="","",IF(AND($L2702="Crédit",OR(IFERROR(INDEX('Paramètres'!$O:$O,MATCH($D2702,'Paramètres'!$M:$M,0))&amp;"","")&lt;&gt;"",ISNUMBER(SEARCH("remboursement",IFERROR(INDEX('Paramètres'!$N:$N,MATCH($D2702,'Paramètres'!$M:$M,0))&amp;"",""))))),1,0))</f>
        <v/>
      </c>
      <c r="Q2702" s="6" t="str">
        <f>IF($K2702="","",IF(ISNUMBER(SEARCH("transfert-interne",IFERROR(INDEX('Paramètres'!$N:$N,MATCH($D2702,'Paramètres'!$M:$M,0))&amp;"",""))),0,IF($L2702="Débit",$K2702,IF($P2702=1,-$K2702,0))))</f>
        <v/>
      </c>
      <c r="R2702" s="6" t="str">
        <f>IF($K2702="","",IF($L2702="Crédit",$K2702,-$K2702))</f>
        <v/>
      </c>
      <c r="S2702" s="6" t="str">
        <f>IF($C2702="","",IFERROR(INDEX('Paramètres'!$H:$H,MATCH($C2702,'Paramètres'!$D:$D,0))&amp;"",""))</f>
        <v/>
      </c>
      <c r="T2702" s="6" t="str">
        <f>IF($K2702="","",IF($S2702="",0,IF(ISNUMBER(SEARCH("apport-exterieur",IFERROR(INDEX('Paramètres'!$N:$N,MATCH($D2702,'Paramètres'!$M:$M,0))&amp;"",""))),0,IF(OR(IFERROR(INDEX('Paramètres'!$I:$I,MATCH($C2702,'Paramètres'!$D:$D,0))&amp;"","")="Les deux",IFERROR(INDEX('Paramètres'!$I:$I,MATCH($C2702,'Paramètres'!$D:$D,0))&amp;"","")=IF($P2702=1,"Débit",$L2702)),-IF($P2702=1,-$K2702,$K2702),0))))</f>
        <v/>
      </c>
      <c r="U2702" s="6" t="str">
        <f>IF($K2702="","",IF(ISNUMBER(SEARCH("sortie-epargne",IFERROR(INDEX('Paramètres'!$N:$N,MATCH($D2702,'Paramètres'!$M:$M,0))&amp;"",""))),$K2702,0))</f>
        <v/>
      </c>
      <c r="V2702" s="6" t="str">
        <f>IF(AND($A2702&lt;&gt;"",$O2702=1,$L2702="Débit",N($Q2702)&gt;0,$A2702&gt;=Visualisation!$B$1,$A2702&lt;Visualisation!$D$1),MAX($V$1:V2701)+1,"")</f>
        <v/>
      </c>
    </row>
    <row r="2703" spans="1:22" x14ac:dyDescent="0.25">
      <c r="A2703" s="9"/>
      <c r="E2703" s="10"/>
      <c r="K2703" s="11" t="str">
        <f>IF($E2703="","",ROUND($E2703*IF(ISNA(MATCH($C2703,'Paramètres'!$D:$D,0)),1,IF(INDEX('Paramètres'!$J:$J,MATCH($C2703,'Paramètres'!$D:$D,0))="",1,INDEX('Paramètres'!$J:$J,MATCH($C2703,'Paramètres'!$D:$D,0)))),2))</f>
        <v/>
      </c>
      <c r="L2703" s="6" t="str">
        <f>IF($D2703="","",IF($F2703&lt;&gt;"",$F2703,IF(ISNA(MATCH($D2703,'Paramètres'!$M:$M,0)),"⚠ Type inconnu",IFERROR(INDEX('Paramètres'!$P:$P,MATCH($D2703,'Paramètres'!$M:$M,0))&amp;"",""))))</f>
        <v/>
      </c>
      <c r="M2703" s="6" t="str">
        <f>IF($D2703="","",IF(ISNA(MATCH($D2703,'Paramètres'!$M:$M,0)),"⚠ Type inconnu",IF($L2703="Crédit","",IFERROR(INDEX('Paramètres'!$O:$O,MATCH($D2703,'Paramètres'!$M:$M,0))&amp;"",""))))</f>
        <v/>
      </c>
      <c r="N2703" s="6" t="str">
        <f>IF($D2703="","",IFERROR(INDEX('Paramètres'!$Q:$Q,MATCH($D2703,'Paramètres'!$M:$M,0))&amp;"",""))</f>
        <v/>
      </c>
      <c r="O2703" s="6" t="str">
        <f>IF($A2703="","",IF(OR($J2703&lt;&gt;"x",$A2703&lt;=FinReleve),1,0))</f>
        <v/>
      </c>
      <c r="P2703" s="6" t="str">
        <f>IF($D2703="","",IF(AND($L2703="Crédit",OR(IFERROR(INDEX('Paramètres'!$O:$O,MATCH($D2703,'Paramètres'!$M:$M,0))&amp;"","")&lt;&gt;"",ISNUMBER(SEARCH("remboursement",IFERROR(INDEX('Paramètres'!$N:$N,MATCH($D2703,'Paramètres'!$M:$M,0))&amp;"",""))))),1,0))</f>
        <v/>
      </c>
      <c r="Q2703" s="6" t="str">
        <f>IF($K2703="","",IF(ISNUMBER(SEARCH("transfert-interne",IFERROR(INDEX('Paramètres'!$N:$N,MATCH($D2703,'Paramètres'!$M:$M,0))&amp;"",""))),0,IF($L2703="Débit",$K2703,IF($P2703=1,-$K2703,0))))</f>
        <v/>
      </c>
      <c r="R2703" s="6" t="str">
        <f>IF($K2703="","",IF($L2703="Crédit",$K2703,-$K2703))</f>
        <v/>
      </c>
      <c r="S2703" s="6" t="str">
        <f>IF($C2703="","",IFERROR(INDEX('Paramètres'!$H:$H,MATCH($C2703,'Paramètres'!$D:$D,0))&amp;"",""))</f>
        <v/>
      </c>
      <c r="T2703" s="6" t="str">
        <f>IF($K2703="","",IF($S2703="",0,IF(ISNUMBER(SEARCH("apport-exterieur",IFERROR(INDEX('Paramètres'!$N:$N,MATCH($D2703,'Paramètres'!$M:$M,0))&amp;"",""))),0,IF(OR(IFERROR(INDEX('Paramètres'!$I:$I,MATCH($C2703,'Paramètres'!$D:$D,0))&amp;"","")="Les deux",IFERROR(INDEX('Paramètres'!$I:$I,MATCH($C2703,'Paramètres'!$D:$D,0))&amp;"","")=IF($P2703=1,"Débit",$L2703)),-IF($P2703=1,-$K2703,$K2703),0))))</f>
        <v/>
      </c>
      <c r="U2703" s="6" t="str">
        <f>IF($K2703="","",IF(ISNUMBER(SEARCH("sortie-epargne",IFERROR(INDEX('Paramètres'!$N:$N,MATCH($D2703,'Paramètres'!$M:$M,0))&amp;"",""))),$K2703,0))</f>
        <v/>
      </c>
      <c r="V2703" s="6" t="str">
        <f>IF(AND($A2703&lt;&gt;"",$O2703=1,$L2703="Débit",N($Q2703)&gt;0,$A2703&gt;=Visualisation!$B$1,$A2703&lt;Visualisation!$D$1),MAX($V$1:V2702)+1,"")</f>
        <v/>
      </c>
    </row>
    <row r="2704" spans="1:22" x14ac:dyDescent="0.25">
      <c r="A2704" s="9"/>
      <c r="E2704" s="10"/>
      <c r="K2704" s="11" t="str">
        <f>IF($E2704="","",ROUND($E2704*IF(ISNA(MATCH($C2704,'Paramètres'!$D:$D,0)),1,IF(INDEX('Paramètres'!$J:$J,MATCH($C2704,'Paramètres'!$D:$D,0))="",1,INDEX('Paramètres'!$J:$J,MATCH($C2704,'Paramètres'!$D:$D,0)))),2))</f>
        <v/>
      </c>
      <c r="L2704" s="6" t="str">
        <f>IF($D2704="","",IF($F2704&lt;&gt;"",$F2704,IF(ISNA(MATCH($D2704,'Paramètres'!$M:$M,0)),"⚠ Type inconnu",IFERROR(INDEX('Paramètres'!$P:$P,MATCH($D2704,'Paramètres'!$M:$M,0))&amp;"",""))))</f>
        <v/>
      </c>
      <c r="M2704" s="6" t="str">
        <f>IF($D2704="","",IF(ISNA(MATCH($D2704,'Paramètres'!$M:$M,0)),"⚠ Type inconnu",IF($L2704="Crédit","",IFERROR(INDEX('Paramètres'!$O:$O,MATCH($D2704,'Paramètres'!$M:$M,0))&amp;"",""))))</f>
        <v/>
      </c>
      <c r="N2704" s="6" t="str">
        <f>IF($D2704="","",IFERROR(INDEX('Paramètres'!$Q:$Q,MATCH($D2704,'Paramètres'!$M:$M,0))&amp;"",""))</f>
        <v/>
      </c>
      <c r="O2704" s="6" t="str">
        <f>IF($A2704="","",IF(OR($J2704&lt;&gt;"x",$A2704&lt;=FinReleve),1,0))</f>
        <v/>
      </c>
      <c r="P2704" s="6" t="str">
        <f>IF($D2704="","",IF(AND($L2704="Crédit",OR(IFERROR(INDEX('Paramètres'!$O:$O,MATCH($D2704,'Paramètres'!$M:$M,0))&amp;"","")&lt;&gt;"",ISNUMBER(SEARCH("remboursement",IFERROR(INDEX('Paramètres'!$N:$N,MATCH($D2704,'Paramètres'!$M:$M,0))&amp;"",""))))),1,0))</f>
        <v/>
      </c>
      <c r="Q2704" s="6" t="str">
        <f>IF($K2704="","",IF(ISNUMBER(SEARCH("transfert-interne",IFERROR(INDEX('Paramètres'!$N:$N,MATCH($D2704,'Paramètres'!$M:$M,0))&amp;"",""))),0,IF($L2704="Débit",$K2704,IF($P2704=1,-$K2704,0))))</f>
        <v/>
      </c>
      <c r="R2704" s="6" t="str">
        <f>IF($K2704="","",IF($L2704="Crédit",$K2704,-$K2704))</f>
        <v/>
      </c>
      <c r="S2704" s="6" t="str">
        <f>IF($C2704="","",IFERROR(INDEX('Paramètres'!$H:$H,MATCH($C2704,'Paramètres'!$D:$D,0))&amp;"",""))</f>
        <v/>
      </c>
      <c r="T2704" s="6" t="str">
        <f>IF($K2704="","",IF($S2704="",0,IF(ISNUMBER(SEARCH("apport-exterieur",IFERROR(INDEX('Paramètres'!$N:$N,MATCH($D2704,'Paramètres'!$M:$M,0))&amp;"",""))),0,IF(OR(IFERROR(INDEX('Paramètres'!$I:$I,MATCH($C2704,'Paramètres'!$D:$D,0))&amp;"","")="Les deux",IFERROR(INDEX('Paramètres'!$I:$I,MATCH($C2704,'Paramètres'!$D:$D,0))&amp;"","")=IF($P2704=1,"Débit",$L2704)),-IF($P2704=1,-$K2704,$K2704),0))))</f>
        <v/>
      </c>
      <c r="U2704" s="6" t="str">
        <f>IF($K2704="","",IF(ISNUMBER(SEARCH("sortie-epargne",IFERROR(INDEX('Paramètres'!$N:$N,MATCH($D2704,'Paramètres'!$M:$M,0))&amp;"",""))),$K2704,0))</f>
        <v/>
      </c>
      <c r="V2704" s="6" t="str">
        <f>IF(AND($A2704&lt;&gt;"",$O2704=1,$L2704="Débit",N($Q2704)&gt;0,$A2704&gt;=Visualisation!$B$1,$A2704&lt;Visualisation!$D$1),MAX($V$1:V2703)+1,"")</f>
        <v/>
      </c>
    </row>
    <row r="2705" spans="1:22" x14ac:dyDescent="0.25">
      <c r="A2705" s="9"/>
      <c r="E2705" s="10"/>
      <c r="K2705" s="11" t="str">
        <f>IF($E2705="","",ROUND($E2705*IF(ISNA(MATCH($C2705,'Paramètres'!$D:$D,0)),1,IF(INDEX('Paramètres'!$J:$J,MATCH($C2705,'Paramètres'!$D:$D,0))="",1,INDEX('Paramètres'!$J:$J,MATCH($C2705,'Paramètres'!$D:$D,0)))),2))</f>
        <v/>
      </c>
      <c r="L2705" s="6" t="str">
        <f>IF($D2705="","",IF($F2705&lt;&gt;"",$F2705,IF(ISNA(MATCH($D2705,'Paramètres'!$M:$M,0)),"⚠ Type inconnu",IFERROR(INDEX('Paramètres'!$P:$P,MATCH($D2705,'Paramètres'!$M:$M,0))&amp;"",""))))</f>
        <v/>
      </c>
      <c r="M2705" s="6" t="str">
        <f>IF($D2705="","",IF(ISNA(MATCH($D2705,'Paramètres'!$M:$M,0)),"⚠ Type inconnu",IF($L2705="Crédit","",IFERROR(INDEX('Paramètres'!$O:$O,MATCH($D2705,'Paramètres'!$M:$M,0))&amp;"",""))))</f>
        <v/>
      </c>
      <c r="N2705" s="6" t="str">
        <f>IF($D2705="","",IFERROR(INDEX('Paramètres'!$Q:$Q,MATCH($D2705,'Paramètres'!$M:$M,0))&amp;"",""))</f>
        <v/>
      </c>
      <c r="O2705" s="6" t="str">
        <f>IF($A2705="","",IF(OR($J2705&lt;&gt;"x",$A2705&lt;=FinReleve),1,0))</f>
        <v/>
      </c>
      <c r="P2705" s="6" t="str">
        <f>IF($D2705="","",IF(AND($L2705="Crédit",OR(IFERROR(INDEX('Paramètres'!$O:$O,MATCH($D2705,'Paramètres'!$M:$M,0))&amp;"","")&lt;&gt;"",ISNUMBER(SEARCH("remboursement",IFERROR(INDEX('Paramètres'!$N:$N,MATCH($D2705,'Paramètres'!$M:$M,0))&amp;"",""))))),1,0))</f>
        <v/>
      </c>
      <c r="Q2705" s="6" t="str">
        <f>IF($K2705="","",IF(ISNUMBER(SEARCH("transfert-interne",IFERROR(INDEX('Paramètres'!$N:$N,MATCH($D2705,'Paramètres'!$M:$M,0))&amp;"",""))),0,IF($L2705="Débit",$K2705,IF($P2705=1,-$K2705,0))))</f>
        <v/>
      </c>
      <c r="R2705" s="6" t="str">
        <f>IF($K2705="","",IF($L2705="Crédit",$K2705,-$K2705))</f>
        <v/>
      </c>
      <c r="S2705" s="6" t="str">
        <f>IF($C2705="","",IFERROR(INDEX('Paramètres'!$H:$H,MATCH($C2705,'Paramètres'!$D:$D,0))&amp;"",""))</f>
        <v/>
      </c>
      <c r="T2705" s="6" t="str">
        <f>IF($K2705="","",IF($S2705="",0,IF(ISNUMBER(SEARCH("apport-exterieur",IFERROR(INDEX('Paramètres'!$N:$N,MATCH($D2705,'Paramètres'!$M:$M,0))&amp;"",""))),0,IF(OR(IFERROR(INDEX('Paramètres'!$I:$I,MATCH($C2705,'Paramètres'!$D:$D,0))&amp;"","")="Les deux",IFERROR(INDEX('Paramètres'!$I:$I,MATCH($C2705,'Paramètres'!$D:$D,0))&amp;"","")=IF($P2705=1,"Débit",$L2705)),-IF($P2705=1,-$K2705,$K2705),0))))</f>
        <v/>
      </c>
      <c r="U2705" s="6" t="str">
        <f>IF($K2705="","",IF(ISNUMBER(SEARCH("sortie-epargne",IFERROR(INDEX('Paramètres'!$N:$N,MATCH($D2705,'Paramètres'!$M:$M,0))&amp;"",""))),$K2705,0))</f>
        <v/>
      </c>
      <c r="V2705" s="6" t="str">
        <f>IF(AND($A2705&lt;&gt;"",$O2705=1,$L2705="Débit",N($Q2705)&gt;0,$A2705&gt;=Visualisation!$B$1,$A2705&lt;Visualisation!$D$1),MAX($V$1:V2704)+1,"")</f>
        <v/>
      </c>
    </row>
    <row r="2706" spans="1:22" x14ac:dyDescent="0.25">
      <c r="A2706" s="9"/>
      <c r="E2706" s="10"/>
      <c r="K2706" s="11" t="str">
        <f>IF($E2706="","",ROUND($E2706*IF(ISNA(MATCH($C2706,'Paramètres'!$D:$D,0)),1,IF(INDEX('Paramètres'!$J:$J,MATCH($C2706,'Paramètres'!$D:$D,0))="",1,INDEX('Paramètres'!$J:$J,MATCH($C2706,'Paramètres'!$D:$D,0)))),2))</f>
        <v/>
      </c>
      <c r="L2706" s="6" t="str">
        <f>IF($D2706="","",IF($F2706&lt;&gt;"",$F2706,IF(ISNA(MATCH($D2706,'Paramètres'!$M:$M,0)),"⚠ Type inconnu",IFERROR(INDEX('Paramètres'!$P:$P,MATCH($D2706,'Paramètres'!$M:$M,0))&amp;"",""))))</f>
        <v/>
      </c>
      <c r="M2706" s="6" t="str">
        <f>IF($D2706="","",IF(ISNA(MATCH($D2706,'Paramètres'!$M:$M,0)),"⚠ Type inconnu",IF($L2706="Crédit","",IFERROR(INDEX('Paramètres'!$O:$O,MATCH($D2706,'Paramètres'!$M:$M,0))&amp;"",""))))</f>
        <v/>
      </c>
      <c r="N2706" s="6" t="str">
        <f>IF($D2706="","",IFERROR(INDEX('Paramètres'!$Q:$Q,MATCH($D2706,'Paramètres'!$M:$M,0))&amp;"",""))</f>
        <v/>
      </c>
      <c r="O2706" s="6" t="str">
        <f>IF($A2706="","",IF(OR($J2706&lt;&gt;"x",$A2706&lt;=FinReleve),1,0))</f>
        <v/>
      </c>
      <c r="P2706" s="6" t="str">
        <f>IF($D2706="","",IF(AND($L2706="Crédit",OR(IFERROR(INDEX('Paramètres'!$O:$O,MATCH($D2706,'Paramètres'!$M:$M,0))&amp;"","")&lt;&gt;"",ISNUMBER(SEARCH("remboursement",IFERROR(INDEX('Paramètres'!$N:$N,MATCH($D2706,'Paramètres'!$M:$M,0))&amp;"",""))))),1,0))</f>
        <v/>
      </c>
      <c r="Q2706" s="6" t="str">
        <f>IF($K2706="","",IF(ISNUMBER(SEARCH("transfert-interne",IFERROR(INDEX('Paramètres'!$N:$N,MATCH($D2706,'Paramètres'!$M:$M,0))&amp;"",""))),0,IF($L2706="Débit",$K2706,IF($P2706=1,-$K2706,0))))</f>
        <v/>
      </c>
      <c r="R2706" s="6" t="str">
        <f>IF($K2706="","",IF($L2706="Crédit",$K2706,-$K2706))</f>
        <v/>
      </c>
      <c r="S2706" s="6" t="str">
        <f>IF($C2706="","",IFERROR(INDEX('Paramètres'!$H:$H,MATCH($C2706,'Paramètres'!$D:$D,0))&amp;"",""))</f>
        <v/>
      </c>
      <c r="T2706" s="6" t="str">
        <f>IF($K2706="","",IF($S2706="",0,IF(ISNUMBER(SEARCH("apport-exterieur",IFERROR(INDEX('Paramètres'!$N:$N,MATCH($D2706,'Paramètres'!$M:$M,0))&amp;"",""))),0,IF(OR(IFERROR(INDEX('Paramètres'!$I:$I,MATCH($C2706,'Paramètres'!$D:$D,0))&amp;"","")="Les deux",IFERROR(INDEX('Paramètres'!$I:$I,MATCH($C2706,'Paramètres'!$D:$D,0))&amp;"","")=IF($P2706=1,"Débit",$L2706)),-IF($P2706=1,-$K2706,$K2706),0))))</f>
        <v/>
      </c>
      <c r="U2706" s="6" t="str">
        <f>IF($K2706="","",IF(ISNUMBER(SEARCH("sortie-epargne",IFERROR(INDEX('Paramètres'!$N:$N,MATCH($D2706,'Paramètres'!$M:$M,0))&amp;"",""))),$K2706,0))</f>
        <v/>
      </c>
      <c r="V2706" s="6" t="str">
        <f>IF(AND($A2706&lt;&gt;"",$O2706=1,$L2706="Débit",N($Q2706)&gt;0,$A2706&gt;=Visualisation!$B$1,$A2706&lt;Visualisation!$D$1),MAX($V$1:V2705)+1,"")</f>
        <v/>
      </c>
    </row>
    <row r="2707" spans="1:22" x14ac:dyDescent="0.25">
      <c r="A2707" s="9"/>
      <c r="E2707" s="10"/>
      <c r="K2707" s="11" t="str">
        <f>IF($E2707="","",ROUND($E2707*IF(ISNA(MATCH($C2707,'Paramètres'!$D:$D,0)),1,IF(INDEX('Paramètres'!$J:$J,MATCH($C2707,'Paramètres'!$D:$D,0))="",1,INDEX('Paramètres'!$J:$J,MATCH($C2707,'Paramètres'!$D:$D,0)))),2))</f>
        <v/>
      </c>
      <c r="L2707" s="6" t="str">
        <f>IF($D2707="","",IF($F2707&lt;&gt;"",$F2707,IF(ISNA(MATCH($D2707,'Paramètres'!$M:$M,0)),"⚠ Type inconnu",IFERROR(INDEX('Paramètres'!$P:$P,MATCH($D2707,'Paramètres'!$M:$M,0))&amp;"",""))))</f>
        <v/>
      </c>
      <c r="M2707" s="6" t="str">
        <f>IF($D2707="","",IF(ISNA(MATCH($D2707,'Paramètres'!$M:$M,0)),"⚠ Type inconnu",IF($L2707="Crédit","",IFERROR(INDEX('Paramètres'!$O:$O,MATCH($D2707,'Paramètres'!$M:$M,0))&amp;"",""))))</f>
        <v/>
      </c>
      <c r="N2707" s="6" t="str">
        <f>IF($D2707="","",IFERROR(INDEX('Paramètres'!$Q:$Q,MATCH($D2707,'Paramètres'!$M:$M,0))&amp;"",""))</f>
        <v/>
      </c>
      <c r="O2707" s="6" t="str">
        <f>IF($A2707="","",IF(OR($J2707&lt;&gt;"x",$A2707&lt;=FinReleve),1,0))</f>
        <v/>
      </c>
      <c r="P2707" s="6" t="str">
        <f>IF($D2707="","",IF(AND($L2707="Crédit",OR(IFERROR(INDEX('Paramètres'!$O:$O,MATCH($D2707,'Paramètres'!$M:$M,0))&amp;"","")&lt;&gt;"",ISNUMBER(SEARCH("remboursement",IFERROR(INDEX('Paramètres'!$N:$N,MATCH($D2707,'Paramètres'!$M:$M,0))&amp;"",""))))),1,0))</f>
        <v/>
      </c>
      <c r="Q2707" s="6" t="str">
        <f>IF($K2707="","",IF(ISNUMBER(SEARCH("transfert-interne",IFERROR(INDEX('Paramètres'!$N:$N,MATCH($D2707,'Paramètres'!$M:$M,0))&amp;"",""))),0,IF($L2707="Débit",$K2707,IF($P2707=1,-$K2707,0))))</f>
        <v/>
      </c>
      <c r="R2707" s="6" t="str">
        <f>IF($K2707="","",IF($L2707="Crédit",$K2707,-$K2707))</f>
        <v/>
      </c>
      <c r="S2707" s="6" t="str">
        <f>IF($C2707="","",IFERROR(INDEX('Paramètres'!$H:$H,MATCH($C2707,'Paramètres'!$D:$D,0))&amp;"",""))</f>
        <v/>
      </c>
      <c r="T2707" s="6" t="str">
        <f>IF($K2707="","",IF($S2707="",0,IF(ISNUMBER(SEARCH("apport-exterieur",IFERROR(INDEX('Paramètres'!$N:$N,MATCH($D2707,'Paramètres'!$M:$M,0))&amp;"",""))),0,IF(OR(IFERROR(INDEX('Paramètres'!$I:$I,MATCH($C2707,'Paramètres'!$D:$D,0))&amp;"","")="Les deux",IFERROR(INDEX('Paramètres'!$I:$I,MATCH($C2707,'Paramètres'!$D:$D,0))&amp;"","")=IF($P2707=1,"Débit",$L2707)),-IF($P2707=1,-$K2707,$K2707),0))))</f>
        <v/>
      </c>
      <c r="U2707" s="6" t="str">
        <f>IF($K2707="","",IF(ISNUMBER(SEARCH("sortie-epargne",IFERROR(INDEX('Paramètres'!$N:$N,MATCH($D2707,'Paramètres'!$M:$M,0))&amp;"",""))),$K2707,0))</f>
        <v/>
      </c>
      <c r="V2707" s="6" t="str">
        <f>IF(AND($A2707&lt;&gt;"",$O2707=1,$L2707="Débit",N($Q2707)&gt;0,$A2707&gt;=Visualisation!$B$1,$A2707&lt;Visualisation!$D$1),MAX($V$1:V2706)+1,"")</f>
        <v/>
      </c>
    </row>
    <row r="2708" spans="1:22" x14ac:dyDescent="0.25">
      <c r="A2708" s="9"/>
      <c r="E2708" s="10"/>
      <c r="K2708" s="11" t="str">
        <f>IF($E2708="","",ROUND($E2708*IF(ISNA(MATCH($C2708,'Paramètres'!$D:$D,0)),1,IF(INDEX('Paramètres'!$J:$J,MATCH($C2708,'Paramètres'!$D:$D,0))="",1,INDEX('Paramètres'!$J:$J,MATCH($C2708,'Paramètres'!$D:$D,0)))),2))</f>
        <v/>
      </c>
      <c r="L2708" s="6" t="str">
        <f>IF($D2708="","",IF($F2708&lt;&gt;"",$F2708,IF(ISNA(MATCH($D2708,'Paramètres'!$M:$M,0)),"⚠ Type inconnu",IFERROR(INDEX('Paramètres'!$P:$P,MATCH($D2708,'Paramètres'!$M:$M,0))&amp;"",""))))</f>
        <v/>
      </c>
      <c r="M2708" s="6" t="str">
        <f>IF($D2708="","",IF(ISNA(MATCH($D2708,'Paramètres'!$M:$M,0)),"⚠ Type inconnu",IF($L2708="Crédit","",IFERROR(INDEX('Paramètres'!$O:$O,MATCH($D2708,'Paramètres'!$M:$M,0))&amp;"",""))))</f>
        <v/>
      </c>
      <c r="N2708" s="6" t="str">
        <f>IF($D2708="","",IFERROR(INDEX('Paramètres'!$Q:$Q,MATCH($D2708,'Paramètres'!$M:$M,0))&amp;"",""))</f>
        <v/>
      </c>
      <c r="O2708" s="6" t="str">
        <f>IF($A2708="","",IF(OR($J2708&lt;&gt;"x",$A2708&lt;=FinReleve),1,0))</f>
        <v/>
      </c>
      <c r="P2708" s="6" t="str">
        <f>IF($D2708="","",IF(AND($L2708="Crédit",OR(IFERROR(INDEX('Paramètres'!$O:$O,MATCH($D2708,'Paramètres'!$M:$M,0))&amp;"","")&lt;&gt;"",ISNUMBER(SEARCH("remboursement",IFERROR(INDEX('Paramètres'!$N:$N,MATCH($D2708,'Paramètres'!$M:$M,0))&amp;"",""))))),1,0))</f>
        <v/>
      </c>
      <c r="Q2708" s="6" t="str">
        <f>IF($K2708="","",IF(ISNUMBER(SEARCH("transfert-interne",IFERROR(INDEX('Paramètres'!$N:$N,MATCH($D2708,'Paramètres'!$M:$M,0))&amp;"",""))),0,IF($L2708="Débit",$K2708,IF($P2708=1,-$K2708,0))))</f>
        <v/>
      </c>
      <c r="R2708" s="6" t="str">
        <f>IF($K2708="","",IF($L2708="Crédit",$K2708,-$K2708))</f>
        <v/>
      </c>
      <c r="S2708" s="6" t="str">
        <f>IF($C2708="","",IFERROR(INDEX('Paramètres'!$H:$H,MATCH($C2708,'Paramètres'!$D:$D,0))&amp;"",""))</f>
        <v/>
      </c>
      <c r="T2708" s="6" t="str">
        <f>IF($K2708="","",IF($S2708="",0,IF(ISNUMBER(SEARCH("apport-exterieur",IFERROR(INDEX('Paramètres'!$N:$N,MATCH($D2708,'Paramètres'!$M:$M,0))&amp;"",""))),0,IF(OR(IFERROR(INDEX('Paramètres'!$I:$I,MATCH($C2708,'Paramètres'!$D:$D,0))&amp;"","")="Les deux",IFERROR(INDEX('Paramètres'!$I:$I,MATCH($C2708,'Paramètres'!$D:$D,0))&amp;"","")=IF($P2708=1,"Débit",$L2708)),-IF($P2708=1,-$K2708,$K2708),0))))</f>
        <v/>
      </c>
      <c r="U2708" s="6" t="str">
        <f>IF($K2708="","",IF(ISNUMBER(SEARCH("sortie-epargne",IFERROR(INDEX('Paramètres'!$N:$N,MATCH($D2708,'Paramètres'!$M:$M,0))&amp;"",""))),$K2708,0))</f>
        <v/>
      </c>
      <c r="V2708" s="6" t="str">
        <f>IF(AND($A2708&lt;&gt;"",$O2708=1,$L2708="Débit",N($Q2708)&gt;0,$A2708&gt;=Visualisation!$B$1,$A2708&lt;Visualisation!$D$1),MAX($V$1:V2707)+1,"")</f>
        <v/>
      </c>
    </row>
    <row r="2709" spans="1:22" x14ac:dyDescent="0.25">
      <c r="A2709" s="9"/>
      <c r="E2709" s="10"/>
      <c r="K2709" s="11" t="str">
        <f>IF($E2709="","",ROUND($E2709*IF(ISNA(MATCH($C2709,'Paramètres'!$D:$D,0)),1,IF(INDEX('Paramètres'!$J:$J,MATCH($C2709,'Paramètres'!$D:$D,0))="",1,INDEX('Paramètres'!$J:$J,MATCH($C2709,'Paramètres'!$D:$D,0)))),2))</f>
        <v/>
      </c>
      <c r="L2709" s="6" t="str">
        <f>IF($D2709="","",IF($F2709&lt;&gt;"",$F2709,IF(ISNA(MATCH($D2709,'Paramètres'!$M:$M,0)),"⚠ Type inconnu",IFERROR(INDEX('Paramètres'!$P:$P,MATCH($D2709,'Paramètres'!$M:$M,0))&amp;"",""))))</f>
        <v/>
      </c>
      <c r="M2709" s="6" t="str">
        <f>IF($D2709="","",IF(ISNA(MATCH($D2709,'Paramètres'!$M:$M,0)),"⚠ Type inconnu",IF($L2709="Crédit","",IFERROR(INDEX('Paramètres'!$O:$O,MATCH($D2709,'Paramètres'!$M:$M,0))&amp;"",""))))</f>
        <v/>
      </c>
      <c r="N2709" s="6" t="str">
        <f>IF($D2709="","",IFERROR(INDEX('Paramètres'!$Q:$Q,MATCH($D2709,'Paramètres'!$M:$M,0))&amp;"",""))</f>
        <v/>
      </c>
      <c r="O2709" s="6" t="str">
        <f>IF($A2709="","",IF(OR($J2709&lt;&gt;"x",$A2709&lt;=FinReleve),1,0))</f>
        <v/>
      </c>
      <c r="P2709" s="6" t="str">
        <f>IF($D2709="","",IF(AND($L2709="Crédit",OR(IFERROR(INDEX('Paramètres'!$O:$O,MATCH($D2709,'Paramètres'!$M:$M,0))&amp;"","")&lt;&gt;"",ISNUMBER(SEARCH("remboursement",IFERROR(INDEX('Paramètres'!$N:$N,MATCH($D2709,'Paramètres'!$M:$M,0))&amp;"",""))))),1,0))</f>
        <v/>
      </c>
      <c r="Q2709" s="6" t="str">
        <f>IF($K2709="","",IF(ISNUMBER(SEARCH("transfert-interne",IFERROR(INDEX('Paramètres'!$N:$N,MATCH($D2709,'Paramètres'!$M:$M,0))&amp;"",""))),0,IF($L2709="Débit",$K2709,IF($P2709=1,-$K2709,0))))</f>
        <v/>
      </c>
      <c r="R2709" s="6" t="str">
        <f>IF($K2709="","",IF($L2709="Crédit",$K2709,-$K2709))</f>
        <v/>
      </c>
      <c r="S2709" s="6" t="str">
        <f>IF($C2709="","",IFERROR(INDEX('Paramètres'!$H:$H,MATCH($C2709,'Paramètres'!$D:$D,0))&amp;"",""))</f>
        <v/>
      </c>
      <c r="T2709" s="6" t="str">
        <f>IF($K2709="","",IF($S2709="",0,IF(ISNUMBER(SEARCH("apport-exterieur",IFERROR(INDEX('Paramètres'!$N:$N,MATCH($D2709,'Paramètres'!$M:$M,0))&amp;"",""))),0,IF(OR(IFERROR(INDEX('Paramètres'!$I:$I,MATCH($C2709,'Paramètres'!$D:$D,0))&amp;"","")="Les deux",IFERROR(INDEX('Paramètres'!$I:$I,MATCH($C2709,'Paramètres'!$D:$D,0))&amp;"","")=IF($P2709=1,"Débit",$L2709)),-IF($P2709=1,-$K2709,$K2709),0))))</f>
        <v/>
      </c>
      <c r="U2709" s="6" t="str">
        <f>IF($K2709="","",IF(ISNUMBER(SEARCH("sortie-epargne",IFERROR(INDEX('Paramètres'!$N:$N,MATCH($D2709,'Paramètres'!$M:$M,0))&amp;"",""))),$K2709,0))</f>
        <v/>
      </c>
      <c r="V2709" s="6" t="str">
        <f>IF(AND($A2709&lt;&gt;"",$O2709=1,$L2709="Débit",N($Q2709)&gt;0,$A2709&gt;=Visualisation!$B$1,$A2709&lt;Visualisation!$D$1),MAX($V$1:V2708)+1,"")</f>
        <v/>
      </c>
    </row>
    <row r="2710" spans="1:22" x14ac:dyDescent="0.25">
      <c r="A2710" s="9"/>
      <c r="E2710" s="10"/>
      <c r="K2710" s="11" t="str">
        <f>IF($E2710="","",ROUND($E2710*IF(ISNA(MATCH($C2710,'Paramètres'!$D:$D,0)),1,IF(INDEX('Paramètres'!$J:$J,MATCH($C2710,'Paramètres'!$D:$D,0))="",1,INDEX('Paramètres'!$J:$J,MATCH($C2710,'Paramètres'!$D:$D,0)))),2))</f>
        <v/>
      </c>
      <c r="L2710" s="6" t="str">
        <f>IF($D2710="","",IF($F2710&lt;&gt;"",$F2710,IF(ISNA(MATCH($D2710,'Paramètres'!$M:$M,0)),"⚠ Type inconnu",IFERROR(INDEX('Paramètres'!$P:$P,MATCH($D2710,'Paramètres'!$M:$M,0))&amp;"",""))))</f>
        <v/>
      </c>
      <c r="M2710" s="6" t="str">
        <f>IF($D2710="","",IF(ISNA(MATCH($D2710,'Paramètres'!$M:$M,0)),"⚠ Type inconnu",IF($L2710="Crédit","",IFERROR(INDEX('Paramètres'!$O:$O,MATCH($D2710,'Paramètres'!$M:$M,0))&amp;"",""))))</f>
        <v/>
      </c>
      <c r="N2710" s="6" t="str">
        <f>IF($D2710="","",IFERROR(INDEX('Paramètres'!$Q:$Q,MATCH($D2710,'Paramètres'!$M:$M,0))&amp;"",""))</f>
        <v/>
      </c>
      <c r="O2710" s="6" t="str">
        <f>IF($A2710="","",IF(OR($J2710&lt;&gt;"x",$A2710&lt;=FinReleve),1,0))</f>
        <v/>
      </c>
      <c r="P2710" s="6" t="str">
        <f>IF($D2710="","",IF(AND($L2710="Crédit",OR(IFERROR(INDEX('Paramètres'!$O:$O,MATCH($D2710,'Paramètres'!$M:$M,0))&amp;"","")&lt;&gt;"",ISNUMBER(SEARCH("remboursement",IFERROR(INDEX('Paramètres'!$N:$N,MATCH($D2710,'Paramètres'!$M:$M,0))&amp;"",""))))),1,0))</f>
        <v/>
      </c>
      <c r="Q2710" s="6" t="str">
        <f>IF($K2710="","",IF(ISNUMBER(SEARCH("transfert-interne",IFERROR(INDEX('Paramètres'!$N:$N,MATCH($D2710,'Paramètres'!$M:$M,0))&amp;"",""))),0,IF($L2710="Débit",$K2710,IF($P2710=1,-$K2710,0))))</f>
        <v/>
      </c>
      <c r="R2710" s="6" t="str">
        <f>IF($K2710="","",IF($L2710="Crédit",$K2710,-$K2710))</f>
        <v/>
      </c>
      <c r="S2710" s="6" t="str">
        <f>IF($C2710="","",IFERROR(INDEX('Paramètres'!$H:$H,MATCH($C2710,'Paramètres'!$D:$D,0))&amp;"",""))</f>
        <v/>
      </c>
      <c r="T2710" s="6" t="str">
        <f>IF($K2710="","",IF($S2710="",0,IF(ISNUMBER(SEARCH("apport-exterieur",IFERROR(INDEX('Paramètres'!$N:$N,MATCH($D2710,'Paramètres'!$M:$M,0))&amp;"",""))),0,IF(OR(IFERROR(INDEX('Paramètres'!$I:$I,MATCH($C2710,'Paramètres'!$D:$D,0))&amp;"","")="Les deux",IFERROR(INDEX('Paramètres'!$I:$I,MATCH($C2710,'Paramètres'!$D:$D,0))&amp;"","")=IF($P2710=1,"Débit",$L2710)),-IF($P2710=1,-$K2710,$K2710),0))))</f>
        <v/>
      </c>
      <c r="U2710" s="6" t="str">
        <f>IF($K2710="","",IF(ISNUMBER(SEARCH("sortie-epargne",IFERROR(INDEX('Paramètres'!$N:$N,MATCH($D2710,'Paramètres'!$M:$M,0))&amp;"",""))),$K2710,0))</f>
        <v/>
      </c>
      <c r="V2710" s="6" t="str">
        <f>IF(AND($A2710&lt;&gt;"",$O2710=1,$L2710="Débit",N($Q2710)&gt;0,$A2710&gt;=Visualisation!$B$1,$A2710&lt;Visualisation!$D$1),MAX($V$1:V2709)+1,"")</f>
        <v/>
      </c>
    </row>
    <row r="2711" spans="1:22" x14ac:dyDescent="0.25">
      <c r="A2711" s="9"/>
      <c r="E2711" s="10"/>
      <c r="K2711" s="11" t="str">
        <f>IF($E2711="","",ROUND($E2711*IF(ISNA(MATCH($C2711,'Paramètres'!$D:$D,0)),1,IF(INDEX('Paramètres'!$J:$J,MATCH($C2711,'Paramètres'!$D:$D,0))="",1,INDEX('Paramètres'!$J:$J,MATCH($C2711,'Paramètres'!$D:$D,0)))),2))</f>
        <v/>
      </c>
      <c r="L2711" s="6" t="str">
        <f>IF($D2711="","",IF($F2711&lt;&gt;"",$F2711,IF(ISNA(MATCH($D2711,'Paramètres'!$M:$M,0)),"⚠ Type inconnu",IFERROR(INDEX('Paramètres'!$P:$P,MATCH($D2711,'Paramètres'!$M:$M,0))&amp;"",""))))</f>
        <v/>
      </c>
      <c r="M2711" s="6" t="str">
        <f>IF($D2711="","",IF(ISNA(MATCH($D2711,'Paramètres'!$M:$M,0)),"⚠ Type inconnu",IF($L2711="Crédit","",IFERROR(INDEX('Paramètres'!$O:$O,MATCH($D2711,'Paramètres'!$M:$M,0))&amp;"",""))))</f>
        <v/>
      </c>
      <c r="N2711" s="6" t="str">
        <f>IF($D2711="","",IFERROR(INDEX('Paramètres'!$Q:$Q,MATCH($D2711,'Paramètres'!$M:$M,0))&amp;"",""))</f>
        <v/>
      </c>
      <c r="O2711" s="6" t="str">
        <f>IF($A2711="","",IF(OR($J2711&lt;&gt;"x",$A2711&lt;=FinReleve),1,0))</f>
        <v/>
      </c>
      <c r="P2711" s="6" t="str">
        <f>IF($D2711="","",IF(AND($L2711="Crédit",OR(IFERROR(INDEX('Paramètres'!$O:$O,MATCH($D2711,'Paramètres'!$M:$M,0))&amp;"","")&lt;&gt;"",ISNUMBER(SEARCH("remboursement",IFERROR(INDEX('Paramètres'!$N:$N,MATCH($D2711,'Paramètres'!$M:$M,0))&amp;"",""))))),1,0))</f>
        <v/>
      </c>
      <c r="Q2711" s="6" t="str">
        <f>IF($K2711="","",IF(ISNUMBER(SEARCH("transfert-interne",IFERROR(INDEX('Paramètres'!$N:$N,MATCH($D2711,'Paramètres'!$M:$M,0))&amp;"",""))),0,IF($L2711="Débit",$K2711,IF($P2711=1,-$K2711,0))))</f>
        <v/>
      </c>
      <c r="R2711" s="6" t="str">
        <f>IF($K2711="","",IF($L2711="Crédit",$K2711,-$K2711))</f>
        <v/>
      </c>
      <c r="S2711" s="6" t="str">
        <f>IF($C2711="","",IFERROR(INDEX('Paramètres'!$H:$H,MATCH($C2711,'Paramètres'!$D:$D,0))&amp;"",""))</f>
        <v/>
      </c>
      <c r="T2711" s="6" t="str">
        <f>IF($K2711="","",IF($S2711="",0,IF(ISNUMBER(SEARCH("apport-exterieur",IFERROR(INDEX('Paramètres'!$N:$N,MATCH($D2711,'Paramètres'!$M:$M,0))&amp;"",""))),0,IF(OR(IFERROR(INDEX('Paramètres'!$I:$I,MATCH($C2711,'Paramètres'!$D:$D,0))&amp;"","")="Les deux",IFERROR(INDEX('Paramètres'!$I:$I,MATCH($C2711,'Paramètres'!$D:$D,0))&amp;"","")=IF($P2711=1,"Débit",$L2711)),-IF($P2711=1,-$K2711,$K2711),0))))</f>
        <v/>
      </c>
      <c r="U2711" s="6" t="str">
        <f>IF($K2711="","",IF(ISNUMBER(SEARCH("sortie-epargne",IFERROR(INDEX('Paramètres'!$N:$N,MATCH($D2711,'Paramètres'!$M:$M,0))&amp;"",""))),$K2711,0))</f>
        <v/>
      </c>
      <c r="V2711" s="6" t="str">
        <f>IF(AND($A2711&lt;&gt;"",$O2711=1,$L2711="Débit",N($Q2711)&gt;0,$A2711&gt;=Visualisation!$B$1,$A2711&lt;Visualisation!$D$1),MAX($V$1:V2710)+1,"")</f>
        <v/>
      </c>
    </row>
    <row r="2712" spans="1:22" x14ac:dyDescent="0.25">
      <c r="A2712" s="9"/>
      <c r="E2712" s="10"/>
      <c r="K2712" s="11" t="str">
        <f>IF($E2712="","",ROUND($E2712*IF(ISNA(MATCH($C2712,'Paramètres'!$D:$D,0)),1,IF(INDEX('Paramètres'!$J:$J,MATCH($C2712,'Paramètres'!$D:$D,0))="",1,INDEX('Paramètres'!$J:$J,MATCH($C2712,'Paramètres'!$D:$D,0)))),2))</f>
        <v/>
      </c>
      <c r="L2712" s="6" t="str">
        <f>IF($D2712="","",IF($F2712&lt;&gt;"",$F2712,IF(ISNA(MATCH($D2712,'Paramètres'!$M:$M,0)),"⚠ Type inconnu",IFERROR(INDEX('Paramètres'!$P:$P,MATCH($D2712,'Paramètres'!$M:$M,0))&amp;"",""))))</f>
        <v/>
      </c>
      <c r="M2712" s="6" t="str">
        <f>IF($D2712="","",IF(ISNA(MATCH($D2712,'Paramètres'!$M:$M,0)),"⚠ Type inconnu",IF($L2712="Crédit","",IFERROR(INDEX('Paramètres'!$O:$O,MATCH($D2712,'Paramètres'!$M:$M,0))&amp;"",""))))</f>
        <v/>
      </c>
      <c r="N2712" s="6" t="str">
        <f>IF($D2712="","",IFERROR(INDEX('Paramètres'!$Q:$Q,MATCH($D2712,'Paramètres'!$M:$M,0))&amp;"",""))</f>
        <v/>
      </c>
      <c r="O2712" s="6" t="str">
        <f>IF($A2712="","",IF(OR($J2712&lt;&gt;"x",$A2712&lt;=FinReleve),1,0))</f>
        <v/>
      </c>
      <c r="P2712" s="6" t="str">
        <f>IF($D2712="","",IF(AND($L2712="Crédit",OR(IFERROR(INDEX('Paramètres'!$O:$O,MATCH($D2712,'Paramètres'!$M:$M,0))&amp;"","")&lt;&gt;"",ISNUMBER(SEARCH("remboursement",IFERROR(INDEX('Paramètres'!$N:$N,MATCH($D2712,'Paramètres'!$M:$M,0))&amp;"",""))))),1,0))</f>
        <v/>
      </c>
      <c r="Q2712" s="6" t="str">
        <f>IF($K2712="","",IF(ISNUMBER(SEARCH("transfert-interne",IFERROR(INDEX('Paramètres'!$N:$N,MATCH($D2712,'Paramètres'!$M:$M,0))&amp;"",""))),0,IF($L2712="Débit",$K2712,IF($P2712=1,-$K2712,0))))</f>
        <v/>
      </c>
      <c r="R2712" s="6" t="str">
        <f>IF($K2712="","",IF($L2712="Crédit",$K2712,-$K2712))</f>
        <v/>
      </c>
      <c r="S2712" s="6" t="str">
        <f>IF($C2712="","",IFERROR(INDEX('Paramètres'!$H:$H,MATCH($C2712,'Paramètres'!$D:$D,0))&amp;"",""))</f>
        <v/>
      </c>
      <c r="T2712" s="6" t="str">
        <f>IF($K2712="","",IF($S2712="",0,IF(ISNUMBER(SEARCH("apport-exterieur",IFERROR(INDEX('Paramètres'!$N:$N,MATCH($D2712,'Paramètres'!$M:$M,0))&amp;"",""))),0,IF(OR(IFERROR(INDEX('Paramètres'!$I:$I,MATCH($C2712,'Paramètres'!$D:$D,0))&amp;"","")="Les deux",IFERROR(INDEX('Paramètres'!$I:$I,MATCH($C2712,'Paramètres'!$D:$D,0))&amp;"","")=IF($P2712=1,"Débit",$L2712)),-IF($P2712=1,-$K2712,$K2712),0))))</f>
        <v/>
      </c>
      <c r="U2712" s="6" t="str">
        <f>IF($K2712="","",IF(ISNUMBER(SEARCH("sortie-epargne",IFERROR(INDEX('Paramètres'!$N:$N,MATCH($D2712,'Paramètres'!$M:$M,0))&amp;"",""))),$K2712,0))</f>
        <v/>
      </c>
      <c r="V2712" s="6" t="str">
        <f>IF(AND($A2712&lt;&gt;"",$O2712=1,$L2712="Débit",N($Q2712)&gt;0,$A2712&gt;=Visualisation!$B$1,$A2712&lt;Visualisation!$D$1),MAX($V$1:V2711)+1,"")</f>
        <v/>
      </c>
    </row>
    <row r="2713" spans="1:22" x14ac:dyDescent="0.25">
      <c r="A2713" s="9"/>
      <c r="E2713" s="10"/>
      <c r="K2713" s="11" t="str">
        <f>IF($E2713="","",ROUND($E2713*IF(ISNA(MATCH($C2713,'Paramètres'!$D:$D,0)),1,IF(INDEX('Paramètres'!$J:$J,MATCH($C2713,'Paramètres'!$D:$D,0))="",1,INDEX('Paramètres'!$J:$J,MATCH($C2713,'Paramètres'!$D:$D,0)))),2))</f>
        <v/>
      </c>
      <c r="L2713" s="6" t="str">
        <f>IF($D2713="","",IF($F2713&lt;&gt;"",$F2713,IF(ISNA(MATCH($D2713,'Paramètres'!$M:$M,0)),"⚠ Type inconnu",IFERROR(INDEX('Paramètres'!$P:$P,MATCH($D2713,'Paramètres'!$M:$M,0))&amp;"",""))))</f>
        <v/>
      </c>
      <c r="M2713" s="6" t="str">
        <f>IF($D2713="","",IF(ISNA(MATCH($D2713,'Paramètres'!$M:$M,0)),"⚠ Type inconnu",IF($L2713="Crédit","",IFERROR(INDEX('Paramètres'!$O:$O,MATCH($D2713,'Paramètres'!$M:$M,0))&amp;"",""))))</f>
        <v/>
      </c>
      <c r="N2713" s="6" t="str">
        <f>IF($D2713="","",IFERROR(INDEX('Paramètres'!$Q:$Q,MATCH($D2713,'Paramètres'!$M:$M,0))&amp;"",""))</f>
        <v/>
      </c>
      <c r="O2713" s="6" t="str">
        <f>IF($A2713="","",IF(OR($J2713&lt;&gt;"x",$A2713&lt;=FinReleve),1,0))</f>
        <v/>
      </c>
      <c r="P2713" s="6" t="str">
        <f>IF($D2713="","",IF(AND($L2713="Crédit",OR(IFERROR(INDEX('Paramètres'!$O:$O,MATCH($D2713,'Paramètres'!$M:$M,0))&amp;"","")&lt;&gt;"",ISNUMBER(SEARCH("remboursement",IFERROR(INDEX('Paramètres'!$N:$N,MATCH($D2713,'Paramètres'!$M:$M,0))&amp;"",""))))),1,0))</f>
        <v/>
      </c>
      <c r="Q2713" s="6" t="str">
        <f>IF($K2713="","",IF(ISNUMBER(SEARCH("transfert-interne",IFERROR(INDEX('Paramètres'!$N:$N,MATCH($D2713,'Paramètres'!$M:$M,0))&amp;"",""))),0,IF($L2713="Débit",$K2713,IF($P2713=1,-$K2713,0))))</f>
        <v/>
      </c>
      <c r="R2713" s="6" t="str">
        <f>IF($K2713="","",IF($L2713="Crédit",$K2713,-$K2713))</f>
        <v/>
      </c>
      <c r="S2713" s="6" t="str">
        <f>IF($C2713="","",IFERROR(INDEX('Paramètres'!$H:$H,MATCH($C2713,'Paramètres'!$D:$D,0))&amp;"",""))</f>
        <v/>
      </c>
      <c r="T2713" s="6" t="str">
        <f>IF($K2713="","",IF($S2713="",0,IF(ISNUMBER(SEARCH("apport-exterieur",IFERROR(INDEX('Paramètres'!$N:$N,MATCH($D2713,'Paramètres'!$M:$M,0))&amp;"",""))),0,IF(OR(IFERROR(INDEX('Paramètres'!$I:$I,MATCH($C2713,'Paramètres'!$D:$D,0))&amp;"","")="Les deux",IFERROR(INDEX('Paramètres'!$I:$I,MATCH($C2713,'Paramètres'!$D:$D,0))&amp;"","")=IF($P2713=1,"Débit",$L2713)),-IF($P2713=1,-$K2713,$K2713),0))))</f>
        <v/>
      </c>
      <c r="U2713" s="6" t="str">
        <f>IF($K2713="","",IF(ISNUMBER(SEARCH("sortie-epargne",IFERROR(INDEX('Paramètres'!$N:$N,MATCH($D2713,'Paramètres'!$M:$M,0))&amp;"",""))),$K2713,0))</f>
        <v/>
      </c>
      <c r="V2713" s="6" t="str">
        <f>IF(AND($A2713&lt;&gt;"",$O2713=1,$L2713="Débit",N($Q2713)&gt;0,$A2713&gt;=Visualisation!$B$1,$A2713&lt;Visualisation!$D$1),MAX($V$1:V2712)+1,"")</f>
        <v/>
      </c>
    </row>
    <row r="2714" spans="1:22" x14ac:dyDescent="0.25">
      <c r="A2714" s="9"/>
      <c r="E2714" s="10"/>
      <c r="K2714" s="11" t="str">
        <f>IF($E2714="","",ROUND($E2714*IF(ISNA(MATCH($C2714,'Paramètres'!$D:$D,0)),1,IF(INDEX('Paramètres'!$J:$J,MATCH($C2714,'Paramètres'!$D:$D,0))="",1,INDEX('Paramètres'!$J:$J,MATCH($C2714,'Paramètres'!$D:$D,0)))),2))</f>
        <v/>
      </c>
      <c r="L2714" s="6" t="str">
        <f>IF($D2714="","",IF($F2714&lt;&gt;"",$F2714,IF(ISNA(MATCH($D2714,'Paramètres'!$M:$M,0)),"⚠ Type inconnu",IFERROR(INDEX('Paramètres'!$P:$P,MATCH($D2714,'Paramètres'!$M:$M,0))&amp;"",""))))</f>
        <v/>
      </c>
      <c r="M2714" s="6" t="str">
        <f>IF($D2714="","",IF(ISNA(MATCH($D2714,'Paramètres'!$M:$M,0)),"⚠ Type inconnu",IF($L2714="Crédit","",IFERROR(INDEX('Paramètres'!$O:$O,MATCH($D2714,'Paramètres'!$M:$M,0))&amp;"",""))))</f>
        <v/>
      </c>
      <c r="N2714" s="6" t="str">
        <f>IF($D2714="","",IFERROR(INDEX('Paramètres'!$Q:$Q,MATCH($D2714,'Paramètres'!$M:$M,0))&amp;"",""))</f>
        <v/>
      </c>
      <c r="O2714" s="6" t="str">
        <f>IF($A2714="","",IF(OR($J2714&lt;&gt;"x",$A2714&lt;=FinReleve),1,0))</f>
        <v/>
      </c>
      <c r="P2714" s="6" t="str">
        <f>IF($D2714="","",IF(AND($L2714="Crédit",OR(IFERROR(INDEX('Paramètres'!$O:$O,MATCH($D2714,'Paramètres'!$M:$M,0))&amp;"","")&lt;&gt;"",ISNUMBER(SEARCH("remboursement",IFERROR(INDEX('Paramètres'!$N:$N,MATCH($D2714,'Paramètres'!$M:$M,0))&amp;"",""))))),1,0))</f>
        <v/>
      </c>
      <c r="Q2714" s="6" t="str">
        <f>IF($K2714="","",IF(ISNUMBER(SEARCH("transfert-interne",IFERROR(INDEX('Paramètres'!$N:$N,MATCH($D2714,'Paramètres'!$M:$M,0))&amp;"",""))),0,IF($L2714="Débit",$K2714,IF($P2714=1,-$K2714,0))))</f>
        <v/>
      </c>
      <c r="R2714" s="6" t="str">
        <f>IF($K2714="","",IF($L2714="Crédit",$K2714,-$K2714))</f>
        <v/>
      </c>
      <c r="S2714" s="6" t="str">
        <f>IF($C2714="","",IFERROR(INDEX('Paramètres'!$H:$H,MATCH($C2714,'Paramètres'!$D:$D,0))&amp;"",""))</f>
        <v/>
      </c>
      <c r="T2714" s="6" t="str">
        <f>IF($K2714="","",IF($S2714="",0,IF(ISNUMBER(SEARCH("apport-exterieur",IFERROR(INDEX('Paramètres'!$N:$N,MATCH($D2714,'Paramètres'!$M:$M,0))&amp;"",""))),0,IF(OR(IFERROR(INDEX('Paramètres'!$I:$I,MATCH($C2714,'Paramètres'!$D:$D,0))&amp;"","")="Les deux",IFERROR(INDEX('Paramètres'!$I:$I,MATCH($C2714,'Paramètres'!$D:$D,0))&amp;"","")=IF($P2714=1,"Débit",$L2714)),-IF($P2714=1,-$K2714,$K2714),0))))</f>
        <v/>
      </c>
      <c r="U2714" s="6" t="str">
        <f>IF($K2714="","",IF(ISNUMBER(SEARCH("sortie-epargne",IFERROR(INDEX('Paramètres'!$N:$N,MATCH($D2714,'Paramètres'!$M:$M,0))&amp;"",""))),$K2714,0))</f>
        <v/>
      </c>
      <c r="V2714" s="6" t="str">
        <f>IF(AND($A2714&lt;&gt;"",$O2714=1,$L2714="Débit",N($Q2714)&gt;0,$A2714&gt;=Visualisation!$B$1,$A2714&lt;Visualisation!$D$1),MAX($V$1:V2713)+1,"")</f>
        <v/>
      </c>
    </row>
    <row r="2715" spans="1:22" x14ac:dyDescent="0.25">
      <c r="A2715" s="9"/>
      <c r="E2715" s="10"/>
      <c r="K2715" s="11" t="str">
        <f>IF($E2715="","",ROUND($E2715*IF(ISNA(MATCH($C2715,'Paramètres'!$D:$D,0)),1,IF(INDEX('Paramètres'!$J:$J,MATCH($C2715,'Paramètres'!$D:$D,0))="",1,INDEX('Paramètres'!$J:$J,MATCH($C2715,'Paramètres'!$D:$D,0)))),2))</f>
        <v/>
      </c>
      <c r="L2715" s="6" t="str">
        <f>IF($D2715="","",IF($F2715&lt;&gt;"",$F2715,IF(ISNA(MATCH($D2715,'Paramètres'!$M:$M,0)),"⚠ Type inconnu",IFERROR(INDEX('Paramètres'!$P:$P,MATCH($D2715,'Paramètres'!$M:$M,0))&amp;"",""))))</f>
        <v/>
      </c>
      <c r="M2715" s="6" t="str">
        <f>IF($D2715="","",IF(ISNA(MATCH($D2715,'Paramètres'!$M:$M,0)),"⚠ Type inconnu",IF($L2715="Crédit","",IFERROR(INDEX('Paramètres'!$O:$O,MATCH($D2715,'Paramètres'!$M:$M,0))&amp;"",""))))</f>
        <v/>
      </c>
      <c r="N2715" s="6" t="str">
        <f>IF($D2715="","",IFERROR(INDEX('Paramètres'!$Q:$Q,MATCH($D2715,'Paramètres'!$M:$M,0))&amp;"",""))</f>
        <v/>
      </c>
      <c r="O2715" s="6" t="str">
        <f>IF($A2715="","",IF(OR($J2715&lt;&gt;"x",$A2715&lt;=FinReleve),1,0))</f>
        <v/>
      </c>
      <c r="P2715" s="6" t="str">
        <f>IF($D2715="","",IF(AND($L2715="Crédit",OR(IFERROR(INDEX('Paramètres'!$O:$O,MATCH($D2715,'Paramètres'!$M:$M,0))&amp;"","")&lt;&gt;"",ISNUMBER(SEARCH("remboursement",IFERROR(INDEX('Paramètres'!$N:$N,MATCH($D2715,'Paramètres'!$M:$M,0))&amp;"",""))))),1,0))</f>
        <v/>
      </c>
      <c r="Q2715" s="6" t="str">
        <f>IF($K2715="","",IF(ISNUMBER(SEARCH("transfert-interne",IFERROR(INDEX('Paramètres'!$N:$N,MATCH($D2715,'Paramètres'!$M:$M,0))&amp;"",""))),0,IF($L2715="Débit",$K2715,IF($P2715=1,-$K2715,0))))</f>
        <v/>
      </c>
      <c r="R2715" s="6" t="str">
        <f>IF($K2715="","",IF($L2715="Crédit",$K2715,-$K2715))</f>
        <v/>
      </c>
      <c r="S2715" s="6" t="str">
        <f>IF($C2715="","",IFERROR(INDEX('Paramètres'!$H:$H,MATCH($C2715,'Paramètres'!$D:$D,0))&amp;"",""))</f>
        <v/>
      </c>
      <c r="T2715" s="6" t="str">
        <f>IF($K2715="","",IF($S2715="",0,IF(ISNUMBER(SEARCH("apport-exterieur",IFERROR(INDEX('Paramètres'!$N:$N,MATCH($D2715,'Paramètres'!$M:$M,0))&amp;"",""))),0,IF(OR(IFERROR(INDEX('Paramètres'!$I:$I,MATCH($C2715,'Paramètres'!$D:$D,0))&amp;"","")="Les deux",IFERROR(INDEX('Paramètres'!$I:$I,MATCH($C2715,'Paramètres'!$D:$D,0))&amp;"","")=IF($P2715=1,"Débit",$L2715)),-IF($P2715=1,-$K2715,$K2715),0))))</f>
        <v/>
      </c>
      <c r="U2715" s="6" t="str">
        <f>IF($K2715="","",IF(ISNUMBER(SEARCH("sortie-epargne",IFERROR(INDEX('Paramètres'!$N:$N,MATCH($D2715,'Paramètres'!$M:$M,0))&amp;"",""))),$K2715,0))</f>
        <v/>
      </c>
      <c r="V2715" s="6" t="str">
        <f>IF(AND($A2715&lt;&gt;"",$O2715=1,$L2715="Débit",N($Q2715)&gt;0,$A2715&gt;=Visualisation!$B$1,$A2715&lt;Visualisation!$D$1),MAX($V$1:V2714)+1,"")</f>
        <v/>
      </c>
    </row>
    <row r="2716" spans="1:22" x14ac:dyDescent="0.25">
      <c r="A2716" s="9"/>
      <c r="E2716" s="10"/>
      <c r="K2716" s="11" t="str">
        <f>IF($E2716="","",ROUND($E2716*IF(ISNA(MATCH($C2716,'Paramètres'!$D:$D,0)),1,IF(INDEX('Paramètres'!$J:$J,MATCH($C2716,'Paramètres'!$D:$D,0))="",1,INDEX('Paramètres'!$J:$J,MATCH($C2716,'Paramètres'!$D:$D,0)))),2))</f>
        <v/>
      </c>
      <c r="L2716" s="6" t="str">
        <f>IF($D2716="","",IF($F2716&lt;&gt;"",$F2716,IF(ISNA(MATCH($D2716,'Paramètres'!$M:$M,0)),"⚠ Type inconnu",IFERROR(INDEX('Paramètres'!$P:$P,MATCH($D2716,'Paramètres'!$M:$M,0))&amp;"",""))))</f>
        <v/>
      </c>
      <c r="M2716" s="6" t="str">
        <f>IF($D2716="","",IF(ISNA(MATCH($D2716,'Paramètres'!$M:$M,0)),"⚠ Type inconnu",IF($L2716="Crédit","",IFERROR(INDEX('Paramètres'!$O:$O,MATCH($D2716,'Paramètres'!$M:$M,0))&amp;"",""))))</f>
        <v/>
      </c>
      <c r="N2716" s="6" t="str">
        <f>IF($D2716="","",IFERROR(INDEX('Paramètres'!$Q:$Q,MATCH($D2716,'Paramètres'!$M:$M,0))&amp;"",""))</f>
        <v/>
      </c>
      <c r="O2716" s="6" t="str">
        <f>IF($A2716="","",IF(OR($J2716&lt;&gt;"x",$A2716&lt;=FinReleve),1,0))</f>
        <v/>
      </c>
      <c r="P2716" s="6" t="str">
        <f>IF($D2716="","",IF(AND($L2716="Crédit",OR(IFERROR(INDEX('Paramètres'!$O:$O,MATCH($D2716,'Paramètres'!$M:$M,0))&amp;"","")&lt;&gt;"",ISNUMBER(SEARCH("remboursement",IFERROR(INDEX('Paramètres'!$N:$N,MATCH($D2716,'Paramètres'!$M:$M,0))&amp;"",""))))),1,0))</f>
        <v/>
      </c>
      <c r="Q2716" s="6" t="str">
        <f>IF($K2716="","",IF(ISNUMBER(SEARCH("transfert-interne",IFERROR(INDEX('Paramètres'!$N:$N,MATCH($D2716,'Paramètres'!$M:$M,0))&amp;"",""))),0,IF($L2716="Débit",$K2716,IF($P2716=1,-$K2716,0))))</f>
        <v/>
      </c>
      <c r="R2716" s="6" t="str">
        <f>IF($K2716="","",IF($L2716="Crédit",$K2716,-$K2716))</f>
        <v/>
      </c>
      <c r="S2716" s="6" t="str">
        <f>IF($C2716="","",IFERROR(INDEX('Paramètres'!$H:$H,MATCH($C2716,'Paramètres'!$D:$D,0))&amp;"",""))</f>
        <v/>
      </c>
      <c r="T2716" s="6" t="str">
        <f>IF($K2716="","",IF($S2716="",0,IF(ISNUMBER(SEARCH("apport-exterieur",IFERROR(INDEX('Paramètres'!$N:$N,MATCH($D2716,'Paramètres'!$M:$M,0))&amp;"",""))),0,IF(OR(IFERROR(INDEX('Paramètres'!$I:$I,MATCH($C2716,'Paramètres'!$D:$D,0))&amp;"","")="Les deux",IFERROR(INDEX('Paramètres'!$I:$I,MATCH($C2716,'Paramètres'!$D:$D,0))&amp;"","")=IF($P2716=1,"Débit",$L2716)),-IF($P2716=1,-$K2716,$K2716),0))))</f>
        <v/>
      </c>
      <c r="U2716" s="6" t="str">
        <f>IF($K2716="","",IF(ISNUMBER(SEARCH("sortie-epargne",IFERROR(INDEX('Paramètres'!$N:$N,MATCH($D2716,'Paramètres'!$M:$M,0))&amp;"",""))),$K2716,0))</f>
        <v/>
      </c>
      <c r="V2716" s="6" t="str">
        <f>IF(AND($A2716&lt;&gt;"",$O2716=1,$L2716="Débit",N($Q2716)&gt;0,$A2716&gt;=Visualisation!$B$1,$A2716&lt;Visualisation!$D$1),MAX($V$1:V2715)+1,"")</f>
        <v/>
      </c>
    </row>
    <row r="2717" spans="1:22" x14ac:dyDescent="0.25">
      <c r="A2717" s="9"/>
      <c r="E2717" s="10"/>
      <c r="K2717" s="11" t="str">
        <f>IF($E2717="","",ROUND($E2717*IF(ISNA(MATCH($C2717,'Paramètres'!$D:$D,0)),1,IF(INDEX('Paramètres'!$J:$J,MATCH($C2717,'Paramètres'!$D:$D,0))="",1,INDEX('Paramètres'!$J:$J,MATCH($C2717,'Paramètres'!$D:$D,0)))),2))</f>
        <v/>
      </c>
      <c r="L2717" s="6" t="str">
        <f>IF($D2717="","",IF($F2717&lt;&gt;"",$F2717,IF(ISNA(MATCH($D2717,'Paramètres'!$M:$M,0)),"⚠ Type inconnu",IFERROR(INDEX('Paramètres'!$P:$P,MATCH($D2717,'Paramètres'!$M:$M,0))&amp;"",""))))</f>
        <v/>
      </c>
      <c r="M2717" s="6" t="str">
        <f>IF($D2717="","",IF(ISNA(MATCH($D2717,'Paramètres'!$M:$M,0)),"⚠ Type inconnu",IF($L2717="Crédit","",IFERROR(INDEX('Paramètres'!$O:$O,MATCH($D2717,'Paramètres'!$M:$M,0))&amp;"",""))))</f>
        <v/>
      </c>
      <c r="N2717" s="6" t="str">
        <f>IF($D2717="","",IFERROR(INDEX('Paramètres'!$Q:$Q,MATCH($D2717,'Paramètres'!$M:$M,0))&amp;"",""))</f>
        <v/>
      </c>
      <c r="O2717" s="6" t="str">
        <f>IF($A2717="","",IF(OR($J2717&lt;&gt;"x",$A2717&lt;=FinReleve),1,0))</f>
        <v/>
      </c>
      <c r="P2717" s="6" t="str">
        <f>IF($D2717="","",IF(AND($L2717="Crédit",OR(IFERROR(INDEX('Paramètres'!$O:$O,MATCH($D2717,'Paramètres'!$M:$M,0))&amp;"","")&lt;&gt;"",ISNUMBER(SEARCH("remboursement",IFERROR(INDEX('Paramètres'!$N:$N,MATCH($D2717,'Paramètres'!$M:$M,0))&amp;"",""))))),1,0))</f>
        <v/>
      </c>
      <c r="Q2717" s="6" t="str">
        <f>IF($K2717="","",IF(ISNUMBER(SEARCH("transfert-interne",IFERROR(INDEX('Paramètres'!$N:$N,MATCH($D2717,'Paramètres'!$M:$M,0))&amp;"",""))),0,IF($L2717="Débit",$K2717,IF($P2717=1,-$K2717,0))))</f>
        <v/>
      </c>
      <c r="R2717" s="6" t="str">
        <f>IF($K2717="","",IF($L2717="Crédit",$K2717,-$K2717))</f>
        <v/>
      </c>
      <c r="S2717" s="6" t="str">
        <f>IF($C2717="","",IFERROR(INDEX('Paramètres'!$H:$H,MATCH($C2717,'Paramètres'!$D:$D,0))&amp;"",""))</f>
        <v/>
      </c>
      <c r="T2717" s="6" t="str">
        <f>IF($K2717="","",IF($S2717="",0,IF(ISNUMBER(SEARCH("apport-exterieur",IFERROR(INDEX('Paramètres'!$N:$N,MATCH($D2717,'Paramètres'!$M:$M,0))&amp;"",""))),0,IF(OR(IFERROR(INDEX('Paramètres'!$I:$I,MATCH($C2717,'Paramètres'!$D:$D,0))&amp;"","")="Les deux",IFERROR(INDEX('Paramètres'!$I:$I,MATCH($C2717,'Paramètres'!$D:$D,0))&amp;"","")=IF($P2717=1,"Débit",$L2717)),-IF($P2717=1,-$K2717,$K2717),0))))</f>
        <v/>
      </c>
      <c r="U2717" s="6" t="str">
        <f>IF($K2717="","",IF(ISNUMBER(SEARCH("sortie-epargne",IFERROR(INDEX('Paramètres'!$N:$N,MATCH($D2717,'Paramètres'!$M:$M,0))&amp;"",""))),$K2717,0))</f>
        <v/>
      </c>
      <c r="V2717" s="6" t="str">
        <f>IF(AND($A2717&lt;&gt;"",$O2717=1,$L2717="Débit",N($Q2717)&gt;0,$A2717&gt;=Visualisation!$B$1,$A2717&lt;Visualisation!$D$1),MAX($V$1:V2716)+1,"")</f>
        <v/>
      </c>
    </row>
    <row r="2718" spans="1:22" x14ac:dyDescent="0.25">
      <c r="A2718" s="9"/>
      <c r="E2718" s="10"/>
      <c r="K2718" s="11" t="str">
        <f>IF($E2718="","",ROUND($E2718*IF(ISNA(MATCH($C2718,'Paramètres'!$D:$D,0)),1,IF(INDEX('Paramètres'!$J:$J,MATCH($C2718,'Paramètres'!$D:$D,0))="",1,INDEX('Paramètres'!$J:$J,MATCH($C2718,'Paramètres'!$D:$D,0)))),2))</f>
        <v/>
      </c>
      <c r="L2718" s="6" t="str">
        <f>IF($D2718="","",IF($F2718&lt;&gt;"",$F2718,IF(ISNA(MATCH($D2718,'Paramètres'!$M:$M,0)),"⚠ Type inconnu",IFERROR(INDEX('Paramètres'!$P:$P,MATCH($D2718,'Paramètres'!$M:$M,0))&amp;"",""))))</f>
        <v/>
      </c>
      <c r="M2718" s="6" t="str">
        <f>IF($D2718="","",IF(ISNA(MATCH($D2718,'Paramètres'!$M:$M,0)),"⚠ Type inconnu",IF($L2718="Crédit","",IFERROR(INDEX('Paramètres'!$O:$O,MATCH($D2718,'Paramètres'!$M:$M,0))&amp;"",""))))</f>
        <v/>
      </c>
      <c r="N2718" s="6" t="str">
        <f>IF($D2718="","",IFERROR(INDEX('Paramètres'!$Q:$Q,MATCH($D2718,'Paramètres'!$M:$M,0))&amp;"",""))</f>
        <v/>
      </c>
      <c r="O2718" s="6" t="str">
        <f>IF($A2718="","",IF(OR($J2718&lt;&gt;"x",$A2718&lt;=FinReleve),1,0))</f>
        <v/>
      </c>
      <c r="P2718" s="6" t="str">
        <f>IF($D2718="","",IF(AND($L2718="Crédit",OR(IFERROR(INDEX('Paramètres'!$O:$O,MATCH($D2718,'Paramètres'!$M:$M,0))&amp;"","")&lt;&gt;"",ISNUMBER(SEARCH("remboursement",IFERROR(INDEX('Paramètres'!$N:$N,MATCH($D2718,'Paramètres'!$M:$M,0))&amp;"",""))))),1,0))</f>
        <v/>
      </c>
      <c r="Q2718" s="6" t="str">
        <f>IF($K2718="","",IF(ISNUMBER(SEARCH("transfert-interne",IFERROR(INDEX('Paramètres'!$N:$N,MATCH($D2718,'Paramètres'!$M:$M,0))&amp;"",""))),0,IF($L2718="Débit",$K2718,IF($P2718=1,-$K2718,0))))</f>
        <v/>
      </c>
      <c r="R2718" s="6" t="str">
        <f>IF($K2718="","",IF($L2718="Crédit",$K2718,-$K2718))</f>
        <v/>
      </c>
      <c r="S2718" s="6" t="str">
        <f>IF($C2718="","",IFERROR(INDEX('Paramètres'!$H:$H,MATCH($C2718,'Paramètres'!$D:$D,0))&amp;"",""))</f>
        <v/>
      </c>
      <c r="T2718" s="6" t="str">
        <f>IF($K2718="","",IF($S2718="",0,IF(ISNUMBER(SEARCH("apport-exterieur",IFERROR(INDEX('Paramètres'!$N:$N,MATCH($D2718,'Paramètres'!$M:$M,0))&amp;"",""))),0,IF(OR(IFERROR(INDEX('Paramètres'!$I:$I,MATCH($C2718,'Paramètres'!$D:$D,0))&amp;"","")="Les deux",IFERROR(INDEX('Paramètres'!$I:$I,MATCH($C2718,'Paramètres'!$D:$D,0))&amp;"","")=IF($P2718=1,"Débit",$L2718)),-IF($P2718=1,-$K2718,$K2718),0))))</f>
        <v/>
      </c>
      <c r="U2718" s="6" t="str">
        <f>IF($K2718="","",IF(ISNUMBER(SEARCH("sortie-epargne",IFERROR(INDEX('Paramètres'!$N:$N,MATCH($D2718,'Paramètres'!$M:$M,0))&amp;"",""))),$K2718,0))</f>
        <v/>
      </c>
      <c r="V2718" s="6" t="str">
        <f>IF(AND($A2718&lt;&gt;"",$O2718=1,$L2718="Débit",N($Q2718)&gt;0,$A2718&gt;=Visualisation!$B$1,$A2718&lt;Visualisation!$D$1),MAX($V$1:V2717)+1,"")</f>
        <v/>
      </c>
    </row>
    <row r="2719" spans="1:22" x14ac:dyDescent="0.25">
      <c r="A2719" s="9"/>
      <c r="E2719" s="10"/>
      <c r="K2719" s="11" t="str">
        <f>IF($E2719="","",ROUND($E2719*IF(ISNA(MATCH($C2719,'Paramètres'!$D:$D,0)),1,IF(INDEX('Paramètres'!$J:$J,MATCH($C2719,'Paramètres'!$D:$D,0))="",1,INDEX('Paramètres'!$J:$J,MATCH($C2719,'Paramètres'!$D:$D,0)))),2))</f>
        <v/>
      </c>
      <c r="L2719" s="6" t="str">
        <f>IF($D2719="","",IF($F2719&lt;&gt;"",$F2719,IF(ISNA(MATCH($D2719,'Paramètres'!$M:$M,0)),"⚠ Type inconnu",IFERROR(INDEX('Paramètres'!$P:$P,MATCH($D2719,'Paramètres'!$M:$M,0))&amp;"",""))))</f>
        <v/>
      </c>
      <c r="M2719" s="6" t="str">
        <f>IF($D2719="","",IF(ISNA(MATCH($D2719,'Paramètres'!$M:$M,0)),"⚠ Type inconnu",IF($L2719="Crédit","",IFERROR(INDEX('Paramètres'!$O:$O,MATCH($D2719,'Paramètres'!$M:$M,0))&amp;"",""))))</f>
        <v/>
      </c>
      <c r="N2719" s="6" t="str">
        <f>IF($D2719="","",IFERROR(INDEX('Paramètres'!$Q:$Q,MATCH($D2719,'Paramètres'!$M:$M,0))&amp;"",""))</f>
        <v/>
      </c>
      <c r="O2719" s="6" t="str">
        <f>IF($A2719="","",IF(OR($J2719&lt;&gt;"x",$A2719&lt;=FinReleve),1,0))</f>
        <v/>
      </c>
      <c r="P2719" s="6" t="str">
        <f>IF($D2719="","",IF(AND($L2719="Crédit",OR(IFERROR(INDEX('Paramètres'!$O:$O,MATCH($D2719,'Paramètres'!$M:$M,0))&amp;"","")&lt;&gt;"",ISNUMBER(SEARCH("remboursement",IFERROR(INDEX('Paramètres'!$N:$N,MATCH($D2719,'Paramètres'!$M:$M,0))&amp;"",""))))),1,0))</f>
        <v/>
      </c>
      <c r="Q2719" s="6" t="str">
        <f>IF($K2719="","",IF(ISNUMBER(SEARCH("transfert-interne",IFERROR(INDEX('Paramètres'!$N:$N,MATCH($D2719,'Paramètres'!$M:$M,0))&amp;"",""))),0,IF($L2719="Débit",$K2719,IF($P2719=1,-$K2719,0))))</f>
        <v/>
      </c>
      <c r="R2719" s="6" t="str">
        <f>IF($K2719="","",IF($L2719="Crédit",$K2719,-$K2719))</f>
        <v/>
      </c>
      <c r="S2719" s="6" t="str">
        <f>IF($C2719="","",IFERROR(INDEX('Paramètres'!$H:$H,MATCH($C2719,'Paramètres'!$D:$D,0))&amp;"",""))</f>
        <v/>
      </c>
      <c r="T2719" s="6" t="str">
        <f>IF($K2719="","",IF($S2719="",0,IF(ISNUMBER(SEARCH("apport-exterieur",IFERROR(INDEX('Paramètres'!$N:$N,MATCH($D2719,'Paramètres'!$M:$M,0))&amp;"",""))),0,IF(OR(IFERROR(INDEX('Paramètres'!$I:$I,MATCH($C2719,'Paramètres'!$D:$D,0))&amp;"","")="Les deux",IFERROR(INDEX('Paramètres'!$I:$I,MATCH($C2719,'Paramètres'!$D:$D,0))&amp;"","")=IF($P2719=1,"Débit",$L2719)),-IF($P2719=1,-$K2719,$K2719),0))))</f>
        <v/>
      </c>
      <c r="U2719" s="6" t="str">
        <f>IF($K2719="","",IF(ISNUMBER(SEARCH("sortie-epargne",IFERROR(INDEX('Paramètres'!$N:$N,MATCH($D2719,'Paramètres'!$M:$M,0))&amp;"",""))),$K2719,0))</f>
        <v/>
      </c>
      <c r="V2719" s="6" t="str">
        <f>IF(AND($A2719&lt;&gt;"",$O2719=1,$L2719="Débit",N($Q2719)&gt;0,$A2719&gt;=Visualisation!$B$1,$A2719&lt;Visualisation!$D$1),MAX($V$1:V2718)+1,"")</f>
        <v/>
      </c>
    </row>
    <row r="2720" spans="1:22" x14ac:dyDescent="0.25">
      <c r="A2720" s="9"/>
      <c r="E2720" s="10"/>
      <c r="K2720" s="11" t="str">
        <f>IF($E2720="","",ROUND($E2720*IF(ISNA(MATCH($C2720,'Paramètres'!$D:$D,0)),1,IF(INDEX('Paramètres'!$J:$J,MATCH($C2720,'Paramètres'!$D:$D,0))="",1,INDEX('Paramètres'!$J:$J,MATCH($C2720,'Paramètres'!$D:$D,0)))),2))</f>
        <v/>
      </c>
      <c r="L2720" s="6" t="str">
        <f>IF($D2720="","",IF($F2720&lt;&gt;"",$F2720,IF(ISNA(MATCH($D2720,'Paramètres'!$M:$M,0)),"⚠ Type inconnu",IFERROR(INDEX('Paramètres'!$P:$P,MATCH($D2720,'Paramètres'!$M:$M,0))&amp;"",""))))</f>
        <v/>
      </c>
      <c r="M2720" s="6" t="str">
        <f>IF($D2720="","",IF(ISNA(MATCH($D2720,'Paramètres'!$M:$M,0)),"⚠ Type inconnu",IF($L2720="Crédit","",IFERROR(INDEX('Paramètres'!$O:$O,MATCH($D2720,'Paramètres'!$M:$M,0))&amp;"",""))))</f>
        <v/>
      </c>
      <c r="N2720" s="6" t="str">
        <f>IF($D2720="","",IFERROR(INDEX('Paramètres'!$Q:$Q,MATCH($D2720,'Paramètres'!$M:$M,0))&amp;"",""))</f>
        <v/>
      </c>
      <c r="O2720" s="6" t="str">
        <f>IF($A2720="","",IF(OR($J2720&lt;&gt;"x",$A2720&lt;=FinReleve),1,0))</f>
        <v/>
      </c>
      <c r="P2720" s="6" t="str">
        <f>IF($D2720="","",IF(AND($L2720="Crédit",OR(IFERROR(INDEX('Paramètres'!$O:$O,MATCH($D2720,'Paramètres'!$M:$M,0))&amp;"","")&lt;&gt;"",ISNUMBER(SEARCH("remboursement",IFERROR(INDEX('Paramètres'!$N:$N,MATCH($D2720,'Paramètres'!$M:$M,0))&amp;"",""))))),1,0))</f>
        <v/>
      </c>
      <c r="Q2720" s="6" t="str">
        <f>IF($K2720="","",IF(ISNUMBER(SEARCH("transfert-interne",IFERROR(INDEX('Paramètres'!$N:$N,MATCH($D2720,'Paramètres'!$M:$M,0))&amp;"",""))),0,IF($L2720="Débit",$K2720,IF($P2720=1,-$K2720,0))))</f>
        <v/>
      </c>
      <c r="R2720" s="6" t="str">
        <f>IF($K2720="","",IF($L2720="Crédit",$K2720,-$K2720))</f>
        <v/>
      </c>
      <c r="S2720" s="6" t="str">
        <f>IF($C2720="","",IFERROR(INDEX('Paramètres'!$H:$H,MATCH($C2720,'Paramètres'!$D:$D,0))&amp;"",""))</f>
        <v/>
      </c>
      <c r="T2720" s="6" t="str">
        <f>IF($K2720="","",IF($S2720="",0,IF(ISNUMBER(SEARCH("apport-exterieur",IFERROR(INDEX('Paramètres'!$N:$N,MATCH($D2720,'Paramètres'!$M:$M,0))&amp;"",""))),0,IF(OR(IFERROR(INDEX('Paramètres'!$I:$I,MATCH($C2720,'Paramètres'!$D:$D,0))&amp;"","")="Les deux",IFERROR(INDEX('Paramètres'!$I:$I,MATCH($C2720,'Paramètres'!$D:$D,0))&amp;"","")=IF($P2720=1,"Débit",$L2720)),-IF($P2720=1,-$K2720,$K2720),0))))</f>
        <v/>
      </c>
      <c r="U2720" s="6" t="str">
        <f>IF($K2720="","",IF(ISNUMBER(SEARCH("sortie-epargne",IFERROR(INDEX('Paramètres'!$N:$N,MATCH($D2720,'Paramètres'!$M:$M,0))&amp;"",""))),$K2720,0))</f>
        <v/>
      </c>
      <c r="V2720" s="6" t="str">
        <f>IF(AND($A2720&lt;&gt;"",$O2720=1,$L2720="Débit",N($Q2720)&gt;0,$A2720&gt;=Visualisation!$B$1,$A2720&lt;Visualisation!$D$1),MAX($V$1:V2719)+1,"")</f>
        <v/>
      </c>
    </row>
    <row r="2721" spans="1:22" x14ac:dyDescent="0.25">
      <c r="A2721" s="9"/>
      <c r="E2721" s="10"/>
      <c r="K2721" s="11" t="str">
        <f>IF($E2721="","",ROUND($E2721*IF(ISNA(MATCH($C2721,'Paramètres'!$D:$D,0)),1,IF(INDEX('Paramètres'!$J:$J,MATCH($C2721,'Paramètres'!$D:$D,0))="",1,INDEX('Paramètres'!$J:$J,MATCH($C2721,'Paramètres'!$D:$D,0)))),2))</f>
        <v/>
      </c>
      <c r="L2721" s="6" t="str">
        <f>IF($D2721="","",IF($F2721&lt;&gt;"",$F2721,IF(ISNA(MATCH($D2721,'Paramètres'!$M:$M,0)),"⚠ Type inconnu",IFERROR(INDEX('Paramètres'!$P:$P,MATCH($D2721,'Paramètres'!$M:$M,0))&amp;"",""))))</f>
        <v/>
      </c>
      <c r="M2721" s="6" t="str">
        <f>IF($D2721="","",IF(ISNA(MATCH($D2721,'Paramètres'!$M:$M,0)),"⚠ Type inconnu",IF($L2721="Crédit","",IFERROR(INDEX('Paramètres'!$O:$O,MATCH($D2721,'Paramètres'!$M:$M,0))&amp;"",""))))</f>
        <v/>
      </c>
      <c r="N2721" s="6" t="str">
        <f>IF($D2721="","",IFERROR(INDEX('Paramètres'!$Q:$Q,MATCH($D2721,'Paramètres'!$M:$M,0))&amp;"",""))</f>
        <v/>
      </c>
      <c r="O2721" s="6" t="str">
        <f>IF($A2721="","",IF(OR($J2721&lt;&gt;"x",$A2721&lt;=FinReleve),1,0))</f>
        <v/>
      </c>
      <c r="P2721" s="6" t="str">
        <f>IF($D2721="","",IF(AND($L2721="Crédit",OR(IFERROR(INDEX('Paramètres'!$O:$O,MATCH($D2721,'Paramètres'!$M:$M,0))&amp;"","")&lt;&gt;"",ISNUMBER(SEARCH("remboursement",IFERROR(INDEX('Paramètres'!$N:$N,MATCH($D2721,'Paramètres'!$M:$M,0))&amp;"",""))))),1,0))</f>
        <v/>
      </c>
      <c r="Q2721" s="6" t="str">
        <f>IF($K2721="","",IF(ISNUMBER(SEARCH("transfert-interne",IFERROR(INDEX('Paramètres'!$N:$N,MATCH($D2721,'Paramètres'!$M:$M,0))&amp;"",""))),0,IF($L2721="Débit",$K2721,IF($P2721=1,-$K2721,0))))</f>
        <v/>
      </c>
      <c r="R2721" s="6" t="str">
        <f>IF($K2721="","",IF($L2721="Crédit",$K2721,-$K2721))</f>
        <v/>
      </c>
      <c r="S2721" s="6" t="str">
        <f>IF($C2721="","",IFERROR(INDEX('Paramètres'!$H:$H,MATCH($C2721,'Paramètres'!$D:$D,0))&amp;"",""))</f>
        <v/>
      </c>
      <c r="T2721" s="6" t="str">
        <f>IF($K2721="","",IF($S2721="",0,IF(ISNUMBER(SEARCH("apport-exterieur",IFERROR(INDEX('Paramètres'!$N:$N,MATCH($D2721,'Paramètres'!$M:$M,0))&amp;"",""))),0,IF(OR(IFERROR(INDEX('Paramètres'!$I:$I,MATCH($C2721,'Paramètres'!$D:$D,0))&amp;"","")="Les deux",IFERROR(INDEX('Paramètres'!$I:$I,MATCH($C2721,'Paramètres'!$D:$D,0))&amp;"","")=IF($P2721=1,"Débit",$L2721)),-IF($P2721=1,-$K2721,$K2721),0))))</f>
        <v/>
      </c>
      <c r="U2721" s="6" t="str">
        <f>IF($K2721="","",IF(ISNUMBER(SEARCH("sortie-epargne",IFERROR(INDEX('Paramètres'!$N:$N,MATCH($D2721,'Paramètres'!$M:$M,0))&amp;"",""))),$K2721,0))</f>
        <v/>
      </c>
      <c r="V2721" s="6" t="str">
        <f>IF(AND($A2721&lt;&gt;"",$O2721=1,$L2721="Débit",N($Q2721)&gt;0,$A2721&gt;=Visualisation!$B$1,$A2721&lt;Visualisation!$D$1),MAX($V$1:V2720)+1,"")</f>
        <v/>
      </c>
    </row>
    <row r="2722" spans="1:22" x14ac:dyDescent="0.25">
      <c r="A2722" s="9"/>
      <c r="E2722" s="10"/>
      <c r="K2722" s="11" t="str">
        <f>IF($E2722="","",ROUND($E2722*IF(ISNA(MATCH($C2722,'Paramètres'!$D:$D,0)),1,IF(INDEX('Paramètres'!$J:$J,MATCH($C2722,'Paramètres'!$D:$D,0))="",1,INDEX('Paramètres'!$J:$J,MATCH($C2722,'Paramètres'!$D:$D,0)))),2))</f>
        <v/>
      </c>
      <c r="L2722" s="6" t="str">
        <f>IF($D2722="","",IF($F2722&lt;&gt;"",$F2722,IF(ISNA(MATCH($D2722,'Paramètres'!$M:$M,0)),"⚠ Type inconnu",IFERROR(INDEX('Paramètres'!$P:$P,MATCH($D2722,'Paramètres'!$M:$M,0))&amp;"",""))))</f>
        <v/>
      </c>
      <c r="M2722" s="6" t="str">
        <f>IF($D2722="","",IF(ISNA(MATCH($D2722,'Paramètres'!$M:$M,0)),"⚠ Type inconnu",IF($L2722="Crédit","",IFERROR(INDEX('Paramètres'!$O:$O,MATCH($D2722,'Paramètres'!$M:$M,0))&amp;"",""))))</f>
        <v/>
      </c>
      <c r="N2722" s="6" t="str">
        <f>IF($D2722="","",IFERROR(INDEX('Paramètres'!$Q:$Q,MATCH($D2722,'Paramètres'!$M:$M,0))&amp;"",""))</f>
        <v/>
      </c>
      <c r="O2722" s="6" t="str">
        <f>IF($A2722="","",IF(OR($J2722&lt;&gt;"x",$A2722&lt;=FinReleve),1,0))</f>
        <v/>
      </c>
      <c r="P2722" s="6" t="str">
        <f>IF($D2722="","",IF(AND($L2722="Crédit",OR(IFERROR(INDEX('Paramètres'!$O:$O,MATCH($D2722,'Paramètres'!$M:$M,0))&amp;"","")&lt;&gt;"",ISNUMBER(SEARCH("remboursement",IFERROR(INDEX('Paramètres'!$N:$N,MATCH($D2722,'Paramètres'!$M:$M,0))&amp;"",""))))),1,0))</f>
        <v/>
      </c>
      <c r="Q2722" s="6" t="str">
        <f>IF($K2722="","",IF(ISNUMBER(SEARCH("transfert-interne",IFERROR(INDEX('Paramètres'!$N:$N,MATCH($D2722,'Paramètres'!$M:$M,0))&amp;"",""))),0,IF($L2722="Débit",$K2722,IF($P2722=1,-$K2722,0))))</f>
        <v/>
      </c>
      <c r="R2722" s="6" t="str">
        <f>IF($K2722="","",IF($L2722="Crédit",$K2722,-$K2722))</f>
        <v/>
      </c>
      <c r="S2722" s="6" t="str">
        <f>IF($C2722="","",IFERROR(INDEX('Paramètres'!$H:$H,MATCH($C2722,'Paramètres'!$D:$D,0))&amp;"",""))</f>
        <v/>
      </c>
      <c r="T2722" s="6" t="str">
        <f>IF($K2722="","",IF($S2722="",0,IF(ISNUMBER(SEARCH("apport-exterieur",IFERROR(INDEX('Paramètres'!$N:$N,MATCH($D2722,'Paramètres'!$M:$M,0))&amp;"",""))),0,IF(OR(IFERROR(INDEX('Paramètres'!$I:$I,MATCH($C2722,'Paramètres'!$D:$D,0))&amp;"","")="Les deux",IFERROR(INDEX('Paramètres'!$I:$I,MATCH($C2722,'Paramètres'!$D:$D,0))&amp;"","")=IF($P2722=1,"Débit",$L2722)),-IF($P2722=1,-$K2722,$K2722),0))))</f>
        <v/>
      </c>
      <c r="U2722" s="6" t="str">
        <f>IF($K2722="","",IF(ISNUMBER(SEARCH("sortie-epargne",IFERROR(INDEX('Paramètres'!$N:$N,MATCH($D2722,'Paramètres'!$M:$M,0))&amp;"",""))),$K2722,0))</f>
        <v/>
      </c>
      <c r="V2722" s="6" t="str">
        <f>IF(AND($A2722&lt;&gt;"",$O2722=1,$L2722="Débit",N($Q2722)&gt;0,$A2722&gt;=Visualisation!$B$1,$A2722&lt;Visualisation!$D$1),MAX($V$1:V2721)+1,"")</f>
        <v/>
      </c>
    </row>
    <row r="2723" spans="1:22" x14ac:dyDescent="0.25">
      <c r="A2723" s="9"/>
      <c r="E2723" s="10"/>
      <c r="K2723" s="11" t="str">
        <f>IF($E2723="","",ROUND($E2723*IF(ISNA(MATCH($C2723,'Paramètres'!$D:$D,0)),1,IF(INDEX('Paramètres'!$J:$J,MATCH($C2723,'Paramètres'!$D:$D,0))="",1,INDEX('Paramètres'!$J:$J,MATCH($C2723,'Paramètres'!$D:$D,0)))),2))</f>
        <v/>
      </c>
      <c r="L2723" s="6" t="str">
        <f>IF($D2723="","",IF($F2723&lt;&gt;"",$F2723,IF(ISNA(MATCH($D2723,'Paramètres'!$M:$M,0)),"⚠ Type inconnu",IFERROR(INDEX('Paramètres'!$P:$P,MATCH($D2723,'Paramètres'!$M:$M,0))&amp;"",""))))</f>
        <v/>
      </c>
      <c r="M2723" s="6" t="str">
        <f>IF($D2723="","",IF(ISNA(MATCH($D2723,'Paramètres'!$M:$M,0)),"⚠ Type inconnu",IF($L2723="Crédit","",IFERROR(INDEX('Paramètres'!$O:$O,MATCH($D2723,'Paramètres'!$M:$M,0))&amp;"",""))))</f>
        <v/>
      </c>
      <c r="N2723" s="6" t="str">
        <f>IF($D2723="","",IFERROR(INDEX('Paramètres'!$Q:$Q,MATCH($D2723,'Paramètres'!$M:$M,0))&amp;"",""))</f>
        <v/>
      </c>
      <c r="O2723" s="6" t="str">
        <f>IF($A2723="","",IF(OR($J2723&lt;&gt;"x",$A2723&lt;=FinReleve),1,0))</f>
        <v/>
      </c>
      <c r="P2723" s="6" t="str">
        <f>IF($D2723="","",IF(AND($L2723="Crédit",OR(IFERROR(INDEX('Paramètres'!$O:$O,MATCH($D2723,'Paramètres'!$M:$M,0))&amp;"","")&lt;&gt;"",ISNUMBER(SEARCH("remboursement",IFERROR(INDEX('Paramètres'!$N:$N,MATCH($D2723,'Paramètres'!$M:$M,0))&amp;"",""))))),1,0))</f>
        <v/>
      </c>
      <c r="Q2723" s="6" t="str">
        <f>IF($K2723="","",IF(ISNUMBER(SEARCH("transfert-interne",IFERROR(INDEX('Paramètres'!$N:$N,MATCH($D2723,'Paramètres'!$M:$M,0))&amp;"",""))),0,IF($L2723="Débit",$K2723,IF($P2723=1,-$K2723,0))))</f>
        <v/>
      </c>
      <c r="R2723" s="6" t="str">
        <f>IF($K2723="","",IF($L2723="Crédit",$K2723,-$K2723))</f>
        <v/>
      </c>
      <c r="S2723" s="6" t="str">
        <f>IF($C2723="","",IFERROR(INDEX('Paramètres'!$H:$H,MATCH($C2723,'Paramètres'!$D:$D,0))&amp;"",""))</f>
        <v/>
      </c>
      <c r="T2723" s="6" t="str">
        <f>IF($K2723="","",IF($S2723="",0,IF(ISNUMBER(SEARCH("apport-exterieur",IFERROR(INDEX('Paramètres'!$N:$N,MATCH($D2723,'Paramètres'!$M:$M,0))&amp;"",""))),0,IF(OR(IFERROR(INDEX('Paramètres'!$I:$I,MATCH($C2723,'Paramètres'!$D:$D,0))&amp;"","")="Les deux",IFERROR(INDEX('Paramètres'!$I:$I,MATCH($C2723,'Paramètres'!$D:$D,0))&amp;"","")=IF($P2723=1,"Débit",$L2723)),-IF($P2723=1,-$K2723,$K2723),0))))</f>
        <v/>
      </c>
      <c r="U2723" s="6" t="str">
        <f>IF($K2723="","",IF(ISNUMBER(SEARCH("sortie-epargne",IFERROR(INDEX('Paramètres'!$N:$N,MATCH($D2723,'Paramètres'!$M:$M,0))&amp;"",""))),$K2723,0))</f>
        <v/>
      </c>
      <c r="V2723" s="6" t="str">
        <f>IF(AND($A2723&lt;&gt;"",$O2723=1,$L2723="Débit",N($Q2723)&gt;0,$A2723&gt;=Visualisation!$B$1,$A2723&lt;Visualisation!$D$1),MAX($V$1:V2722)+1,"")</f>
        <v/>
      </c>
    </row>
    <row r="2724" spans="1:22" x14ac:dyDescent="0.25">
      <c r="A2724" s="9"/>
      <c r="E2724" s="10"/>
      <c r="K2724" s="11" t="str">
        <f>IF($E2724="","",ROUND($E2724*IF(ISNA(MATCH($C2724,'Paramètres'!$D:$D,0)),1,IF(INDEX('Paramètres'!$J:$J,MATCH($C2724,'Paramètres'!$D:$D,0))="",1,INDEX('Paramètres'!$J:$J,MATCH($C2724,'Paramètres'!$D:$D,0)))),2))</f>
        <v/>
      </c>
      <c r="L2724" s="6" t="str">
        <f>IF($D2724="","",IF($F2724&lt;&gt;"",$F2724,IF(ISNA(MATCH($D2724,'Paramètres'!$M:$M,0)),"⚠ Type inconnu",IFERROR(INDEX('Paramètres'!$P:$P,MATCH($D2724,'Paramètres'!$M:$M,0))&amp;"",""))))</f>
        <v/>
      </c>
      <c r="M2724" s="6" t="str">
        <f>IF($D2724="","",IF(ISNA(MATCH($D2724,'Paramètres'!$M:$M,0)),"⚠ Type inconnu",IF($L2724="Crédit","",IFERROR(INDEX('Paramètres'!$O:$O,MATCH($D2724,'Paramètres'!$M:$M,0))&amp;"",""))))</f>
        <v/>
      </c>
      <c r="N2724" s="6" t="str">
        <f>IF($D2724="","",IFERROR(INDEX('Paramètres'!$Q:$Q,MATCH($D2724,'Paramètres'!$M:$M,0))&amp;"",""))</f>
        <v/>
      </c>
      <c r="O2724" s="6" t="str">
        <f>IF($A2724="","",IF(OR($J2724&lt;&gt;"x",$A2724&lt;=FinReleve),1,0))</f>
        <v/>
      </c>
      <c r="P2724" s="6" t="str">
        <f>IF($D2724="","",IF(AND($L2724="Crédit",OR(IFERROR(INDEX('Paramètres'!$O:$O,MATCH($D2724,'Paramètres'!$M:$M,0))&amp;"","")&lt;&gt;"",ISNUMBER(SEARCH("remboursement",IFERROR(INDEX('Paramètres'!$N:$N,MATCH($D2724,'Paramètres'!$M:$M,0))&amp;"",""))))),1,0))</f>
        <v/>
      </c>
      <c r="Q2724" s="6" t="str">
        <f>IF($K2724="","",IF(ISNUMBER(SEARCH("transfert-interne",IFERROR(INDEX('Paramètres'!$N:$N,MATCH($D2724,'Paramètres'!$M:$M,0))&amp;"",""))),0,IF($L2724="Débit",$K2724,IF($P2724=1,-$K2724,0))))</f>
        <v/>
      </c>
      <c r="R2724" s="6" t="str">
        <f>IF($K2724="","",IF($L2724="Crédit",$K2724,-$K2724))</f>
        <v/>
      </c>
      <c r="S2724" s="6" t="str">
        <f>IF($C2724="","",IFERROR(INDEX('Paramètres'!$H:$H,MATCH($C2724,'Paramètres'!$D:$D,0))&amp;"",""))</f>
        <v/>
      </c>
      <c r="T2724" s="6" t="str">
        <f>IF($K2724="","",IF($S2724="",0,IF(ISNUMBER(SEARCH("apport-exterieur",IFERROR(INDEX('Paramètres'!$N:$N,MATCH($D2724,'Paramètres'!$M:$M,0))&amp;"",""))),0,IF(OR(IFERROR(INDEX('Paramètres'!$I:$I,MATCH($C2724,'Paramètres'!$D:$D,0))&amp;"","")="Les deux",IFERROR(INDEX('Paramètres'!$I:$I,MATCH($C2724,'Paramètres'!$D:$D,0))&amp;"","")=IF($P2724=1,"Débit",$L2724)),-IF($P2724=1,-$K2724,$K2724),0))))</f>
        <v/>
      </c>
      <c r="U2724" s="6" t="str">
        <f>IF($K2724="","",IF(ISNUMBER(SEARCH("sortie-epargne",IFERROR(INDEX('Paramètres'!$N:$N,MATCH($D2724,'Paramètres'!$M:$M,0))&amp;"",""))),$K2724,0))</f>
        <v/>
      </c>
      <c r="V2724" s="6" t="str">
        <f>IF(AND($A2724&lt;&gt;"",$O2724=1,$L2724="Débit",N($Q2724)&gt;0,$A2724&gt;=Visualisation!$B$1,$A2724&lt;Visualisation!$D$1),MAX($V$1:V2723)+1,"")</f>
        <v/>
      </c>
    </row>
    <row r="2725" spans="1:22" x14ac:dyDescent="0.25">
      <c r="A2725" s="9"/>
      <c r="E2725" s="10"/>
      <c r="K2725" s="11" t="str">
        <f>IF($E2725="","",ROUND($E2725*IF(ISNA(MATCH($C2725,'Paramètres'!$D:$D,0)),1,IF(INDEX('Paramètres'!$J:$J,MATCH($C2725,'Paramètres'!$D:$D,0))="",1,INDEX('Paramètres'!$J:$J,MATCH($C2725,'Paramètres'!$D:$D,0)))),2))</f>
        <v/>
      </c>
      <c r="L2725" s="6" t="str">
        <f>IF($D2725="","",IF($F2725&lt;&gt;"",$F2725,IF(ISNA(MATCH($D2725,'Paramètres'!$M:$M,0)),"⚠ Type inconnu",IFERROR(INDEX('Paramètres'!$P:$P,MATCH($D2725,'Paramètres'!$M:$M,0))&amp;"",""))))</f>
        <v/>
      </c>
      <c r="M2725" s="6" t="str">
        <f>IF($D2725="","",IF(ISNA(MATCH($D2725,'Paramètres'!$M:$M,0)),"⚠ Type inconnu",IF($L2725="Crédit","",IFERROR(INDEX('Paramètres'!$O:$O,MATCH($D2725,'Paramètres'!$M:$M,0))&amp;"",""))))</f>
        <v/>
      </c>
      <c r="N2725" s="6" t="str">
        <f>IF($D2725="","",IFERROR(INDEX('Paramètres'!$Q:$Q,MATCH($D2725,'Paramètres'!$M:$M,0))&amp;"",""))</f>
        <v/>
      </c>
      <c r="O2725" s="6" t="str">
        <f>IF($A2725="","",IF(OR($J2725&lt;&gt;"x",$A2725&lt;=FinReleve),1,0))</f>
        <v/>
      </c>
      <c r="P2725" s="6" t="str">
        <f>IF($D2725="","",IF(AND($L2725="Crédit",OR(IFERROR(INDEX('Paramètres'!$O:$O,MATCH($D2725,'Paramètres'!$M:$M,0))&amp;"","")&lt;&gt;"",ISNUMBER(SEARCH("remboursement",IFERROR(INDEX('Paramètres'!$N:$N,MATCH($D2725,'Paramètres'!$M:$M,0))&amp;"",""))))),1,0))</f>
        <v/>
      </c>
      <c r="Q2725" s="6" t="str">
        <f>IF($K2725="","",IF(ISNUMBER(SEARCH("transfert-interne",IFERROR(INDEX('Paramètres'!$N:$N,MATCH($D2725,'Paramètres'!$M:$M,0))&amp;"",""))),0,IF($L2725="Débit",$K2725,IF($P2725=1,-$K2725,0))))</f>
        <v/>
      </c>
      <c r="R2725" s="6" t="str">
        <f>IF($K2725="","",IF($L2725="Crédit",$K2725,-$K2725))</f>
        <v/>
      </c>
      <c r="S2725" s="6" t="str">
        <f>IF($C2725="","",IFERROR(INDEX('Paramètres'!$H:$H,MATCH($C2725,'Paramètres'!$D:$D,0))&amp;"",""))</f>
        <v/>
      </c>
      <c r="T2725" s="6" t="str">
        <f>IF($K2725="","",IF($S2725="",0,IF(ISNUMBER(SEARCH("apport-exterieur",IFERROR(INDEX('Paramètres'!$N:$N,MATCH($D2725,'Paramètres'!$M:$M,0))&amp;"",""))),0,IF(OR(IFERROR(INDEX('Paramètres'!$I:$I,MATCH($C2725,'Paramètres'!$D:$D,0))&amp;"","")="Les deux",IFERROR(INDEX('Paramètres'!$I:$I,MATCH($C2725,'Paramètres'!$D:$D,0))&amp;"","")=IF($P2725=1,"Débit",$L2725)),-IF($P2725=1,-$K2725,$K2725),0))))</f>
        <v/>
      </c>
      <c r="U2725" s="6" t="str">
        <f>IF($K2725="","",IF(ISNUMBER(SEARCH("sortie-epargne",IFERROR(INDEX('Paramètres'!$N:$N,MATCH($D2725,'Paramètres'!$M:$M,0))&amp;"",""))),$K2725,0))</f>
        <v/>
      </c>
      <c r="V2725" s="6" t="str">
        <f>IF(AND($A2725&lt;&gt;"",$O2725=1,$L2725="Débit",N($Q2725)&gt;0,$A2725&gt;=Visualisation!$B$1,$A2725&lt;Visualisation!$D$1),MAX($V$1:V2724)+1,"")</f>
        <v/>
      </c>
    </row>
    <row r="2726" spans="1:22" x14ac:dyDescent="0.25">
      <c r="A2726" s="9"/>
      <c r="E2726" s="10"/>
      <c r="K2726" s="11" t="str">
        <f>IF($E2726="","",ROUND($E2726*IF(ISNA(MATCH($C2726,'Paramètres'!$D:$D,0)),1,IF(INDEX('Paramètres'!$J:$J,MATCH($C2726,'Paramètres'!$D:$D,0))="",1,INDEX('Paramètres'!$J:$J,MATCH($C2726,'Paramètres'!$D:$D,0)))),2))</f>
        <v/>
      </c>
      <c r="L2726" s="6" t="str">
        <f>IF($D2726="","",IF($F2726&lt;&gt;"",$F2726,IF(ISNA(MATCH($D2726,'Paramètres'!$M:$M,0)),"⚠ Type inconnu",IFERROR(INDEX('Paramètres'!$P:$P,MATCH($D2726,'Paramètres'!$M:$M,0))&amp;"",""))))</f>
        <v/>
      </c>
      <c r="M2726" s="6" t="str">
        <f>IF($D2726="","",IF(ISNA(MATCH($D2726,'Paramètres'!$M:$M,0)),"⚠ Type inconnu",IF($L2726="Crédit","",IFERROR(INDEX('Paramètres'!$O:$O,MATCH($D2726,'Paramètres'!$M:$M,0))&amp;"",""))))</f>
        <v/>
      </c>
      <c r="N2726" s="6" t="str">
        <f>IF($D2726="","",IFERROR(INDEX('Paramètres'!$Q:$Q,MATCH($D2726,'Paramètres'!$M:$M,0))&amp;"",""))</f>
        <v/>
      </c>
      <c r="O2726" s="6" t="str">
        <f>IF($A2726="","",IF(OR($J2726&lt;&gt;"x",$A2726&lt;=FinReleve),1,0))</f>
        <v/>
      </c>
      <c r="P2726" s="6" t="str">
        <f>IF($D2726="","",IF(AND($L2726="Crédit",OR(IFERROR(INDEX('Paramètres'!$O:$O,MATCH($D2726,'Paramètres'!$M:$M,0))&amp;"","")&lt;&gt;"",ISNUMBER(SEARCH("remboursement",IFERROR(INDEX('Paramètres'!$N:$N,MATCH($D2726,'Paramètres'!$M:$M,0))&amp;"",""))))),1,0))</f>
        <v/>
      </c>
      <c r="Q2726" s="6" t="str">
        <f>IF($K2726="","",IF(ISNUMBER(SEARCH("transfert-interne",IFERROR(INDEX('Paramètres'!$N:$N,MATCH($D2726,'Paramètres'!$M:$M,0))&amp;"",""))),0,IF($L2726="Débit",$K2726,IF($P2726=1,-$K2726,0))))</f>
        <v/>
      </c>
      <c r="R2726" s="6" t="str">
        <f>IF($K2726="","",IF($L2726="Crédit",$K2726,-$K2726))</f>
        <v/>
      </c>
      <c r="S2726" s="6" t="str">
        <f>IF($C2726="","",IFERROR(INDEX('Paramètres'!$H:$H,MATCH($C2726,'Paramètres'!$D:$D,0))&amp;"",""))</f>
        <v/>
      </c>
      <c r="T2726" s="6" t="str">
        <f>IF($K2726="","",IF($S2726="",0,IF(ISNUMBER(SEARCH("apport-exterieur",IFERROR(INDEX('Paramètres'!$N:$N,MATCH($D2726,'Paramètres'!$M:$M,0))&amp;"",""))),0,IF(OR(IFERROR(INDEX('Paramètres'!$I:$I,MATCH($C2726,'Paramètres'!$D:$D,0))&amp;"","")="Les deux",IFERROR(INDEX('Paramètres'!$I:$I,MATCH($C2726,'Paramètres'!$D:$D,0))&amp;"","")=IF($P2726=1,"Débit",$L2726)),-IF($P2726=1,-$K2726,$K2726),0))))</f>
        <v/>
      </c>
      <c r="U2726" s="6" t="str">
        <f>IF($K2726="","",IF(ISNUMBER(SEARCH("sortie-epargne",IFERROR(INDEX('Paramètres'!$N:$N,MATCH($D2726,'Paramètres'!$M:$M,0))&amp;"",""))),$K2726,0))</f>
        <v/>
      </c>
      <c r="V2726" s="6" t="str">
        <f>IF(AND($A2726&lt;&gt;"",$O2726=1,$L2726="Débit",N($Q2726)&gt;0,$A2726&gt;=Visualisation!$B$1,$A2726&lt;Visualisation!$D$1),MAX($V$1:V2725)+1,"")</f>
        <v/>
      </c>
    </row>
    <row r="2727" spans="1:22" x14ac:dyDescent="0.25">
      <c r="A2727" s="9"/>
      <c r="E2727" s="10"/>
      <c r="K2727" s="11" t="str">
        <f>IF($E2727="","",ROUND($E2727*IF(ISNA(MATCH($C2727,'Paramètres'!$D:$D,0)),1,IF(INDEX('Paramètres'!$J:$J,MATCH($C2727,'Paramètres'!$D:$D,0))="",1,INDEX('Paramètres'!$J:$J,MATCH($C2727,'Paramètres'!$D:$D,0)))),2))</f>
        <v/>
      </c>
      <c r="L2727" s="6" t="str">
        <f>IF($D2727="","",IF($F2727&lt;&gt;"",$F2727,IF(ISNA(MATCH($D2727,'Paramètres'!$M:$M,0)),"⚠ Type inconnu",IFERROR(INDEX('Paramètres'!$P:$P,MATCH($D2727,'Paramètres'!$M:$M,0))&amp;"",""))))</f>
        <v/>
      </c>
      <c r="M2727" s="6" t="str">
        <f>IF($D2727="","",IF(ISNA(MATCH($D2727,'Paramètres'!$M:$M,0)),"⚠ Type inconnu",IF($L2727="Crédit","",IFERROR(INDEX('Paramètres'!$O:$O,MATCH($D2727,'Paramètres'!$M:$M,0))&amp;"",""))))</f>
        <v/>
      </c>
      <c r="N2727" s="6" t="str">
        <f>IF($D2727="","",IFERROR(INDEX('Paramètres'!$Q:$Q,MATCH($D2727,'Paramètres'!$M:$M,0))&amp;"",""))</f>
        <v/>
      </c>
      <c r="O2727" s="6" t="str">
        <f>IF($A2727="","",IF(OR($J2727&lt;&gt;"x",$A2727&lt;=FinReleve),1,0))</f>
        <v/>
      </c>
      <c r="P2727" s="6" t="str">
        <f>IF($D2727="","",IF(AND($L2727="Crédit",OR(IFERROR(INDEX('Paramètres'!$O:$O,MATCH($D2727,'Paramètres'!$M:$M,0))&amp;"","")&lt;&gt;"",ISNUMBER(SEARCH("remboursement",IFERROR(INDEX('Paramètres'!$N:$N,MATCH($D2727,'Paramètres'!$M:$M,0))&amp;"",""))))),1,0))</f>
        <v/>
      </c>
      <c r="Q2727" s="6" t="str">
        <f>IF($K2727="","",IF(ISNUMBER(SEARCH("transfert-interne",IFERROR(INDEX('Paramètres'!$N:$N,MATCH($D2727,'Paramètres'!$M:$M,0))&amp;"",""))),0,IF($L2727="Débit",$K2727,IF($P2727=1,-$K2727,0))))</f>
        <v/>
      </c>
      <c r="R2727" s="6" t="str">
        <f>IF($K2727="","",IF($L2727="Crédit",$K2727,-$K2727))</f>
        <v/>
      </c>
      <c r="S2727" s="6" t="str">
        <f>IF($C2727="","",IFERROR(INDEX('Paramètres'!$H:$H,MATCH($C2727,'Paramètres'!$D:$D,0))&amp;"",""))</f>
        <v/>
      </c>
      <c r="T2727" s="6" t="str">
        <f>IF($K2727="","",IF($S2727="",0,IF(ISNUMBER(SEARCH("apport-exterieur",IFERROR(INDEX('Paramètres'!$N:$N,MATCH($D2727,'Paramètres'!$M:$M,0))&amp;"",""))),0,IF(OR(IFERROR(INDEX('Paramètres'!$I:$I,MATCH($C2727,'Paramètres'!$D:$D,0))&amp;"","")="Les deux",IFERROR(INDEX('Paramètres'!$I:$I,MATCH($C2727,'Paramètres'!$D:$D,0))&amp;"","")=IF($P2727=1,"Débit",$L2727)),-IF($P2727=1,-$K2727,$K2727),0))))</f>
        <v/>
      </c>
      <c r="U2727" s="6" t="str">
        <f>IF($K2727="","",IF(ISNUMBER(SEARCH("sortie-epargne",IFERROR(INDEX('Paramètres'!$N:$N,MATCH($D2727,'Paramètres'!$M:$M,0))&amp;"",""))),$K2727,0))</f>
        <v/>
      </c>
      <c r="V2727" s="6" t="str">
        <f>IF(AND($A2727&lt;&gt;"",$O2727=1,$L2727="Débit",N($Q2727)&gt;0,$A2727&gt;=Visualisation!$B$1,$A2727&lt;Visualisation!$D$1),MAX($V$1:V2726)+1,"")</f>
        <v/>
      </c>
    </row>
    <row r="2728" spans="1:22" x14ac:dyDescent="0.25">
      <c r="A2728" s="9"/>
      <c r="E2728" s="10"/>
      <c r="K2728" s="11" t="str">
        <f>IF($E2728="","",ROUND($E2728*IF(ISNA(MATCH($C2728,'Paramètres'!$D:$D,0)),1,IF(INDEX('Paramètres'!$J:$J,MATCH($C2728,'Paramètres'!$D:$D,0))="",1,INDEX('Paramètres'!$J:$J,MATCH($C2728,'Paramètres'!$D:$D,0)))),2))</f>
        <v/>
      </c>
      <c r="L2728" s="6" t="str">
        <f>IF($D2728="","",IF($F2728&lt;&gt;"",$F2728,IF(ISNA(MATCH($D2728,'Paramètres'!$M:$M,0)),"⚠ Type inconnu",IFERROR(INDEX('Paramètres'!$P:$P,MATCH($D2728,'Paramètres'!$M:$M,0))&amp;"",""))))</f>
        <v/>
      </c>
      <c r="M2728" s="6" t="str">
        <f>IF($D2728="","",IF(ISNA(MATCH($D2728,'Paramètres'!$M:$M,0)),"⚠ Type inconnu",IF($L2728="Crédit","",IFERROR(INDEX('Paramètres'!$O:$O,MATCH($D2728,'Paramètres'!$M:$M,0))&amp;"",""))))</f>
        <v/>
      </c>
      <c r="N2728" s="6" t="str">
        <f>IF($D2728="","",IFERROR(INDEX('Paramètres'!$Q:$Q,MATCH($D2728,'Paramètres'!$M:$M,0))&amp;"",""))</f>
        <v/>
      </c>
      <c r="O2728" s="6" t="str">
        <f>IF($A2728="","",IF(OR($J2728&lt;&gt;"x",$A2728&lt;=FinReleve),1,0))</f>
        <v/>
      </c>
      <c r="P2728" s="6" t="str">
        <f>IF($D2728="","",IF(AND($L2728="Crédit",OR(IFERROR(INDEX('Paramètres'!$O:$O,MATCH($D2728,'Paramètres'!$M:$M,0))&amp;"","")&lt;&gt;"",ISNUMBER(SEARCH("remboursement",IFERROR(INDEX('Paramètres'!$N:$N,MATCH($D2728,'Paramètres'!$M:$M,0))&amp;"",""))))),1,0))</f>
        <v/>
      </c>
      <c r="Q2728" s="6" t="str">
        <f>IF($K2728="","",IF(ISNUMBER(SEARCH("transfert-interne",IFERROR(INDEX('Paramètres'!$N:$N,MATCH($D2728,'Paramètres'!$M:$M,0))&amp;"",""))),0,IF($L2728="Débit",$K2728,IF($P2728=1,-$K2728,0))))</f>
        <v/>
      </c>
      <c r="R2728" s="6" t="str">
        <f>IF($K2728="","",IF($L2728="Crédit",$K2728,-$K2728))</f>
        <v/>
      </c>
      <c r="S2728" s="6" t="str">
        <f>IF($C2728="","",IFERROR(INDEX('Paramètres'!$H:$H,MATCH($C2728,'Paramètres'!$D:$D,0))&amp;"",""))</f>
        <v/>
      </c>
      <c r="T2728" s="6" t="str">
        <f>IF($K2728="","",IF($S2728="",0,IF(ISNUMBER(SEARCH("apport-exterieur",IFERROR(INDEX('Paramètres'!$N:$N,MATCH($D2728,'Paramètres'!$M:$M,0))&amp;"",""))),0,IF(OR(IFERROR(INDEX('Paramètres'!$I:$I,MATCH($C2728,'Paramètres'!$D:$D,0))&amp;"","")="Les deux",IFERROR(INDEX('Paramètres'!$I:$I,MATCH($C2728,'Paramètres'!$D:$D,0))&amp;"","")=IF($P2728=1,"Débit",$L2728)),-IF($P2728=1,-$K2728,$K2728),0))))</f>
        <v/>
      </c>
      <c r="U2728" s="6" t="str">
        <f>IF($K2728="","",IF(ISNUMBER(SEARCH("sortie-epargne",IFERROR(INDEX('Paramètres'!$N:$N,MATCH($D2728,'Paramètres'!$M:$M,0))&amp;"",""))),$K2728,0))</f>
        <v/>
      </c>
      <c r="V2728" s="6" t="str">
        <f>IF(AND($A2728&lt;&gt;"",$O2728=1,$L2728="Débit",N($Q2728)&gt;0,$A2728&gt;=Visualisation!$B$1,$A2728&lt;Visualisation!$D$1),MAX($V$1:V2727)+1,"")</f>
        <v/>
      </c>
    </row>
    <row r="2729" spans="1:22" x14ac:dyDescent="0.25">
      <c r="A2729" s="9"/>
      <c r="E2729" s="10"/>
      <c r="K2729" s="11" t="str">
        <f>IF($E2729="","",ROUND($E2729*IF(ISNA(MATCH($C2729,'Paramètres'!$D:$D,0)),1,IF(INDEX('Paramètres'!$J:$J,MATCH($C2729,'Paramètres'!$D:$D,0))="",1,INDEX('Paramètres'!$J:$J,MATCH($C2729,'Paramètres'!$D:$D,0)))),2))</f>
        <v/>
      </c>
      <c r="L2729" s="6" t="str">
        <f>IF($D2729="","",IF($F2729&lt;&gt;"",$F2729,IF(ISNA(MATCH($D2729,'Paramètres'!$M:$M,0)),"⚠ Type inconnu",IFERROR(INDEX('Paramètres'!$P:$P,MATCH($D2729,'Paramètres'!$M:$M,0))&amp;"",""))))</f>
        <v/>
      </c>
      <c r="M2729" s="6" t="str">
        <f>IF($D2729="","",IF(ISNA(MATCH($D2729,'Paramètres'!$M:$M,0)),"⚠ Type inconnu",IF($L2729="Crédit","",IFERROR(INDEX('Paramètres'!$O:$O,MATCH($D2729,'Paramètres'!$M:$M,0))&amp;"",""))))</f>
        <v/>
      </c>
      <c r="N2729" s="6" t="str">
        <f>IF($D2729="","",IFERROR(INDEX('Paramètres'!$Q:$Q,MATCH($D2729,'Paramètres'!$M:$M,0))&amp;"",""))</f>
        <v/>
      </c>
      <c r="O2729" s="6" t="str">
        <f>IF($A2729="","",IF(OR($J2729&lt;&gt;"x",$A2729&lt;=FinReleve),1,0))</f>
        <v/>
      </c>
      <c r="P2729" s="6" t="str">
        <f>IF($D2729="","",IF(AND($L2729="Crédit",OR(IFERROR(INDEX('Paramètres'!$O:$O,MATCH($D2729,'Paramètres'!$M:$M,0))&amp;"","")&lt;&gt;"",ISNUMBER(SEARCH("remboursement",IFERROR(INDEX('Paramètres'!$N:$N,MATCH($D2729,'Paramètres'!$M:$M,0))&amp;"",""))))),1,0))</f>
        <v/>
      </c>
      <c r="Q2729" s="6" t="str">
        <f>IF($K2729="","",IF(ISNUMBER(SEARCH("transfert-interne",IFERROR(INDEX('Paramètres'!$N:$N,MATCH($D2729,'Paramètres'!$M:$M,0))&amp;"",""))),0,IF($L2729="Débit",$K2729,IF($P2729=1,-$K2729,0))))</f>
        <v/>
      </c>
      <c r="R2729" s="6" t="str">
        <f>IF($K2729="","",IF($L2729="Crédit",$K2729,-$K2729))</f>
        <v/>
      </c>
      <c r="S2729" s="6" t="str">
        <f>IF($C2729="","",IFERROR(INDEX('Paramètres'!$H:$H,MATCH($C2729,'Paramètres'!$D:$D,0))&amp;"",""))</f>
        <v/>
      </c>
      <c r="T2729" s="6" t="str">
        <f>IF($K2729="","",IF($S2729="",0,IF(ISNUMBER(SEARCH("apport-exterieur",IFERROR(INDEX('Paramètres'!$N:$N,MATCH($D2729,'Paramètres'!$M:$M,0))&amp;"",""))),0,IF(OR(IFERROR(INDEX('Paramètres'!$I:$I,MATCH($C2729,'Paramètres'!$D:$D,0))&amp;"","")="Les deux",IFERROR(INDEX('Paramètres'!$I:$I,MATCH($C2729,'Paramètres'!$D:$D,0))&amp;"","")=IF($P2729=1,"Débit",$L2729)),-IF($P2729=1,-$K2729,$K2729),0))))</f>
        <v/>
      </c>
      <c r="U2729" s="6" t="str">
        <f>IF($K2729="","",IF(ISNUMBER(SEARCH("sortie-epargne",IFERROR(INDEX('Paramètres'!$N:$N,MATCH($D2729,'Paramètres'!$M:$M,0))&amp;"",""))),$K2729,0))</f>
        <v/>
      </c>
      <c r="V2729" s="6" t="str">
        <f>IF(AND($A2729&lt;&gt;"",$O2729=1,$L2729="Débit",N($Q2729)&gt;0,$A2729&gt;=Visualisation!$B$1,$A2729&lt;Visualisation!$D$1),MAX($V$1:V2728)+1,"")</f>
        <v/>
      </c>
    </row>
    <row r="2730" spans="1:22" x14ac:dyDescent="0.25">
      <c r="A2730" s="9"/>
      <c r="E2730" s="10"/>
      <c r="K2730" s="11" t="str">
        <f>IF($E2730="","",ROUND($E2730*IF(ISNA(MATCH($C2730,'Paramètres'!$D:$D,0)),1,IF(INDEX('Paramètres'!$J:$J,MATCH($C2730,'Paramètres'!$D:$D,0))="",1,INDEX('Paramètres'!$J:$J,MATCH($C2730,'Paramètres'!$D:$D,0)))),2))</f>
        <v/>
      </c>
      <c r="L2730" s="6" t="str">
        <f>IF($D2730="","",IF($F2730&lt;&gt;"",$F2730,IF(ISNA(MATCH($D2730,'Paramètres'!$M:$M,0)),"⚠ Type inconnu",IFERROR(INDEX('Paramètres'!$P:$P,MATCH($D2730,'Paramètres'!$M:$M,0))&amp;"",""))))</f>
        <v/>
      </c>
      <c r="M2730" s="6" t="str">
        <f>IF($D2730="","",IF(ISNA(MATCH($D2730,'Paramètres'!$M:$M,0)),"⚠ Type inconnu",IF($L2730="Crédit","",IFERROR(INDEX('Paramètres'!$O:$O,MATCH($D2730,'Paramètres'!$M:$M,0))&amp;"",""))))</f>
        <v/>
      </c>
      <c r="N2730" s="6" t="str">
        <f>IF($D2730="","",IFERROR(INDEX('Paramètres'!$Q:$Q,MATCH($D2730,'Paramètres'!$M:$M,0))&amp;"",""))</f>
        <v/>
      </c>
      <c r="O2730" s="6" t="str">
        <f>IF($A2730="","",IF(OR($J2730&lt;&gt;"x",$A2730&lt;=FinReleve),1,0))</f>
        <v/>
      </c>
      <c r="P2730" s="6" t="str">
        <f>IF($D2730="","",IF(AND($L2730="Crédit",OR(IFERROR(INDEX('Paramètres'!$O:$O,MATCH($D2730,'Paramètres'!$M:$M,0))&amp;"","")&lt;&gt;"",ISNUMBER(SEARCH("remboursement",IFERROR(INDEX('Paramètres'!$N:$N,MATCH($D2730,'Paramètres'!$M:$M,0))&amp;"",""))))),1,0))</f>
        <v/>
      </c>
      <c r="Q2730" s="6" t="str">
        <f>IF($K2730="","",IF(ISNUMBER(SEARCH("transfert-interne",IFERROR(INDEX('Paramètres'!$N:$N,MATCH($D2730,'Paramètres'!$M:$M,0))&amp;"",""))),0,IF($L2730="Débit",$K2730,IF($P2730=1,-$K2730,0))))</f>
        <v/>
      </c>
      <c r="R2730" s="6" t="str">
        <f>IF($K2730="","",IF($L2730="Crédit",$K2730,-$K2730))</f>
        <v/>
      </c>
      <c r="S2730" s="6" t="str">
        <f>IF($C2730="","",IFERROR(INDEX('Paramètres'!$H:$H,MATCH($C2730,'Paramètres'!$D:$D,0))&amp;"",""))</f>
        <v/>
      </c>
      <c r="T2730" s="6" t="str">
        <f>IF($K2730="","",IF($S2730="",0,IF(ISNUMBER(SEARCH("apport-exterieur",IFERROR(INDEX('Paramètres'!$N:$N,MATCH($D2730,'Paramètres'!$M:$M,0))&amp;"",""))),0,IF(OR(IFERROR(INDEX('Paramètres'!$I:$I,MATCH($C2730,'Paramètres'!$D:$D,0))&amp;"","")="Les deux",IFERROR(INDEX('Paramètres'!$I:$I,MATCH($C2730,'Paramètres'!$D:$D,0))&amp;"","")=IF($P2730=1,"Débit",$L2730)),-IF($P2730=1,-$K2730,$K2730),0))))</f>
        <v/>
      </c>
      <c r="U2730" s="6" t="str">
        <f>IF($K2730="","",IF(ISNUMBER(SEARCH("sortie-epargne",IFERROR(INDEX('Paramètres'!$N:$N,MATCH($D2730,'Paramètres'!$M:$M,0))&amp;"",""))),$K2730,0))</f>
        <v/>
      </c>
      <c r="V2730" s="6" t="str">
        <f>IF(AND($A2730&lt;&gt;"",$O2730=1,$L2730="Débit",N($Q2730)&gt;0,$A2730&gt;=Visualisation!$B$1,$A2730&lt;Visualisation!$D$1),MAX($V$1:V2729)+1,"")</f>
        <v/>
      </c>
    </row>
    <row r="2731" spans="1:22" x14ac:dyDescent="0.25">
      <c r="A2731" s="9"/>
      <c r="E2731" s="10"/>
      <c r="K2731" s="11" t="str">
        <f>IF($E2731="","",ROUND($E2731*IF(ISNA(MATCH($C2731,'Paramètres'!$D:$D,0)),1,IF(INDEX('Paramètres'!$J:$J,MATCH($C2731,'Paramètres'!$D:$D,0))="",1,INDEX('Paramètres'!$J:$J,MATCH($C2731,'Paramètres'!$D:$D,0)))),2))</f>
        <v/>
      </c>
      <c r="L2731" s="6" t="str">
        <f>IF($D2731="","",IF($F2731&lt;&gt;"",$F2731,IF(ISNA(MATCH($D2731,'Paramètres'!$M:$M,0)),"⚠ Type inconnu",IFERROR(INDEX('Paramètres'!$P:$P,MATCH($D2731,'Paramètres'!$M:$M,0))&amp;"",""))))</f>
        <v/>
      </c>
      <c r="M2731" s="6" t="str">
        <f>IF($D2731="","",IF(ISNA(MATCH($D2731,'Paramètres'!$M:$M,0)),"⚠ Type inconnu",IF($L2731="Crédit","",IFERROR(INDEX('Paramètres'!$O:$O,MATCH($D2731,'Paramètres'!$M:$M,0))&amp;"",""))))</f>
        <v/>
      </c>
      <c r="N2731" s="6" t="str">
        <f>IF($D2731="","",IFERROR(INDEX('Paramètres'!$Q:$Q,MATCH($D2731,'Paramètres'!$M:$M,0))&amp;"",""))</f>
        <v/>
      </c>
      <c r="O2731" s="6" t="str">
        <f>IF($A2731="","",IF(OR($J2731&lt;&gt;"x",$A2731&lt;=FinReleve),1,0))</f>
        <v/>
      </c>
      <c r="P2731" s="6" t="str">
        <f>IF($D2731="","",IF(AND($L2731="Crédit",OR(IFERROR(INDEX('Paramètres'!$O:$O,MATCH($D2731,'Paramètres'!$M:$M,0))&amp;"","")&lt;&gt;"",ISNUMBER(SEARCH("remboursement",IFERROR(INDEX('Paramètres'!$N:$N,MATCH($D2731,'Paramètres'!$M:$M,0))&amp;"",""))))),1,0))</f>
        <v/>
      </c>
      <c r="Q2731" s="6" t="str">
        <f>IF($K2731="","",IF(ISNUMBER(SEARCH("transfert-interne",IFERROR(INDEX('Paramètres'!$N:$N,MATCH($D2731,'Paramètres'!$M:$M,0))&amp;"",""))),0,IF($L2731="Débit",$K2731,IF($P2731=1,-$K2731,0))))</f>
        <v/>
      </c>
      <c r="R2731" s="6" t="str">
        <f>IF($K2731="","",IF($L2731="Crédit",$K2731,-$K2731))</f>
        <v/>
      </c>
      <c r="S2731" s="6" t="str">
        <f>IF($C2731="","",IFERROR(INDEX('Paramètres'!$H:$H,MATCH($C2731,'Paramètres'!$D:$D,0))&amp;"",""))</f>
        <v/>
      </c>
      <c r="T2731" s="6" t="str">
        <f>IF($K2731="","",IF($S2731="",0,IF(ISNUMBER(SEARCH("apport-exterieur",IFERROR(INDEX('Paramètres'!$N:$N,MATCH($D2731,'Paramètres'!$M:$M,0))&amp;"",""))),0,IF(OR(IFERROR(INDEX('Paramètres'!$I:$I,MATCH($C2731,'Paramètres'!$D:$D,0))&amp;"","")="Les deux",IFERROR(INDEX('Paramètres'!$I:$I,MATCH($C2731,'Paramètres'!$D:$D,0))&amp;"","")=IF($P2731=1,"Débit",$L2731)),-IF($P2731=1,-$K2731,$K2731),0))))</f>
        <v/>
      </c>
      <c r="U2731" s="6" t="str">
        <f>IF($K2731="","",IF(ISNUMBER(SEARCH("sortie-epargne",IFERROR(INDEX('Paramètres'!$N:$N,MATCH($D2731,'Paramètres'!$M:$M,0))&amp;"",""))),$K2731,0))</f>
        <v/>
      </c>
      <c r="V2731" s="6" t="str">
        <f>IF(AND($A2731&lt;&gt;"",$O2731=1,$L2731="Débit",N($Q2731)&gt;0,$A2731&gt;=Visualisation!$B$1,$A2731&lt;Visualisation!$D$1),MAX($V$1:V2730)+1,"")</f>
        <v/>
      </c>
    </row>
    <row r="2732" spans="1:22" x14ac:dyDescent="0.25">
      <c r="A2732" s="9"/>
      <c r="E2732" s="10"/>
      <c r="K2732" s="11" t="str">
        <f>IF($E2732="","",ROUND($E2732*IF(ISNA(MATCH($C2732,'Paramètres'!$D:$D,0)),1,IF(INDEX('Paramètres'!$J:$J,MATCH($C2732,'Paramètres'!$D:$D,0))="",1,INDEX('Paramètres'!$J:$J,MATCH($C2732,'Paramètres'!$D:$D,0)))),2))</f>
        <v/>
      </c>
      <c r="L2732" s="6" t="str">
        <f>IF($D2732="","",IF($F2732&lt;&gt;"",$F2732,IF(ISNA(MATCH($D2732,'Paramètres'!$M:$M,0)),"⚠ Type inconnu",IFERROR(INDEX('Paramètres'!$P:$P,MATCH($D2732,'Paramètres'!$M:$M,0))&amp;"",""))))</f>
        <v/>
      </c>
      <c r="M2732" s="6" t="str">
        <f>IF($D2732="","",IF(ISNA(MATCH($D2732,'Paramètres'!$M:$M,0)),"⚠ Type inconnu",IF($L2732="Crédit","",IFERROR(INDEX('Paramètres'!$O:$O,MATCH($D2732,'Paramètres'!$M:$M,0))&amp;"",""))))</f>
        <v/>
      </c>
      <c r="N2732" s="6" t="str">
        <f>IF($D2732="","",IFERROR(INDEX('Paramètres'!$Q:$Q,MATCH($D2732,'Paramètres'!$M:$M,0))&amp;"",""))</f>
        <v/>
      </c>
      <c r="O2732" s="6" t="str">
        <f>IF($A2732="","",IF(OR($J2732&lt;&gt;"x",$A2732&lt;=FinReleve),1,0))</f>
        <v/>
      </c>
      <c r="P2732" s="6" t="str">
        <f>IF($D2732="","",IF(AND($L2732="Crédit",OR(IFERROR(INDEX('Paramètres'!$O:$O,MATCH($D2732,'Paramètres'!$M:$M,0))&amp;"","")&lt;&gt;"",ISNUMBER(SEARCH("remboursement",IFERROR(INDEX('Paramètres'!$N:$N,MATCH($D2732,'Paramètres'!$M:$M,0))&amp;"",""))))),1,0))</f>
        <v/>
      </c>
      <c r="Q2732" s="6" t="str">
        <f>IF($K2732="","",IF(ISNUMBER(SEARCH("transfert-interne",IFERROR(INDEX('Paramètres'!$N:$N,MATCH($D2732,'Paramètres'!$M:$M,0))&amp;"",""))),0,IF($L2732="Débit",$K2732,IF($P2732=1,-$K2732,0))))</f>
        <v/>
      </c>
      <c r="R2732" s="6" t="str">
        <f>IF($K2732="","",IF($L2732="Crédit",$K2732,-$K2732))</f>
        <v/>
      </c>
      <c r="S2732" s="6" t="str">
        <f>IF($C2732="","",IFERROR(INDEX('Paramètres'!$H:$H,MATCH($C2732,'Paramètres'!$D:$D,0))&amp;"",""))</f>
        <v/>
      </c>
      <c r="T2732" s="6" t="str">
        <f>IF($K2732="","",IF($S2732="",0,IF(ISNUMBER(SEARCH("apport-exterieur",IFERROR(INDEX('Paramètres'!$N:$N,MATCH($D2732,'Paramètres'!$M:$M,0))&amp;"",""))),0,IF(OR(IFERROR(INDEX('Paramètres'!$I:$I,MATCH($C2732,'Paramètres'!$D:$D,0))&amp;"","")="Les deux",IFERROR(INDEX('Paramètres'!$I:$I,MATCH($C2732,'Paramètres'!$D:$D,0))&amp;"","")=IF($P2732=1,"Débit",$L2732)),-IF($P2732=1,-$K2732,$K2732),0))))</f>
        <v/>
      </c>
      <c r="U2732" s="6" t="str">
        <f>IF($K2732="","",IF(ISNUMBER(SEARCH("sortie-epargne",IFERROR(INDEX('Paramètres'!$N:$N,MATCH($D2732,'Paramètres'!$M:$M,0))&amp;"",""))),$K2732,0))</f>
        <v/>
      </c>
      <c r="V2732" s="6" t="str">
        <f>IF(AND($A2732&lt;&gt;"",$O2732=1,$L2732="Débit",N($Q2732)&gt;0,$A2732&gt;=Visualisation!$B$1,$A2732&lt;Visualisation!$D$1),MAX($V$1:V2731)+1,"")</f>
        <v/>
      </c>
    </row>
    <row r="2733" spans="1:22" x14ac:dyDescent="0.25">
      <c r="A2733" s="9"/>
      <c r="E2733" s="10"/>
      <c r="K2733" s="11" t="str">
        <f>IF($E2733="","",ROUND($E2733*IF(ISNA(MATCH($C2733,'Paramètres'!$D:$D,0)),1,IF(INDEX('Paramètres'!$J:$J,MATCH($C2733,'Paramètres'!$D:$D,0))="",1,INDEX('Paramètres'!$J:$J,MATCH($C2733,'Paramètres'!$D:$D,0)))),2))</f>
        <v/>
      </c>
      <c r="L2733" s="6" t="str">
        <f>IF($D2733="","",IF($F2733&lt;&gt;"",$F2733,IF(ISNA(MATCH($D2733,'Paramètres'!$M:$M,0)),"⚠ Type inconnu",IFERROR(INDEX('Paramètres'!$P:$P,MATCH($D2733,'Paramètres'!$M:$M,0))&amp;"",""))))</f>
        <v/>
      </c>
      <c r="M2733" s="6" t="str">
        <f>IF($D2733="","",IF(ISNA(MATCH($D2733,'Paramètres'!$M:$M,0)),"⚠ Type inconnu",IF($L2733="Crédit","",IFERROR(INDEX('Paramètres'!$O:$O,MATCH($D2733,'Paramètres'!$M:$M,0))&amp;"",""))))</f>
        <v/>
      </c>
      <c r="N2733" s="6" t="str">
        <f>IF($D2733="","",IFERROR(INDEX('Paramètres'!$Q:$Q,MATCH($D2733,'Paramètres'!$M:$M,0))&amp;"",""))</f>
        <v/>
      </c>
      <c r="O2733" s="6" t="str">
        <f>IF($A2733="","",IF(OR($J2733&lt;&gt;"x",$A2733&lt;=FinReleve),1,0))</f>
        <v/>
      </c>
      <c r="P2733" s="6" t="str">
        <f>IF($D2733="","",IF(AND($L2733="Crédit",OR(IFERROR(INDEX('Paramètres'!$O:$O,MATCH($D2733,'Paramètres'!$M:$M,0))&amp;"","")&lt;&gt;"",ISNUMBER(SEARCH("remboursement",IFERROR(INDEX('Paramètres'!$N:$N,MATCH($D2733,'Paramètres'!$M:$M,0))&amp;"",""))))),1,0))</f>
        <v/>
      </c>
      <c r="Q2733" s="6" t="str">
        <f>IF($K2733="","",IF(ISNUMBER(SEARCH("transfert-interne",IFERROR(INDEX('Paramètres'!$N:$N,MATCH($D2733,'Paramètres'!$M:$M,0))&amp;"",""))),0,IF($L2733="Débit",$K2733,IF($P2733=1,-$K2733,0))))</f>
        <v/>
      </c>
      <c r="R2733" s="6" t="str">
        <f>IF($K2733="","",IF($L2733="Crédit",$K2733,-$K2733))</f>
        <v/>
      </c>
      <c r="S2733" s="6" t="str">
        <f>IF($C2733="","",IFERROR(INDEX('Paramètres'!$H:$H,MATCH($C2733,'Paramètres'!$D:$D,0))&amp;"",""))</f>
        <v/>
      </c>
      <c r="T2733" s="6" t="str">
        <f>IF($K2733="","",IF($S2733="",0,IF(ISNUMBER(SEARCH("apport-exterieur",IFERROR(INDEX('Paramètres'!$N:$N,MATCH($D2733,'Paramètres'!$M:$M,0))&amp;"",""))),0,IF(OR(IFERROR(INDEX('Paramètres'!$I:$I,MATCH($C2733,'Paramètres'!$D:$D,0))&amp;"","")="Les deux",IFERROR(INDEX('Paramètres'!$I:$I,MATCH($C2733,'Paramètres'!$D:$D,0))&amp;"","")=IF($P2733=1,"Débit",$L2733)),-IF($P2733=1,-$K2733,$K2733),0))))</f>
        <v/>
      </c>
      <c r="U2733" s="6" t="str">
        <f>IF($K2733="","",IF(ISNUMBER(SEARCH("sortie-epargne",IFERROR(INDEX('Paramètres'!$N:$N,MATCH($D2733,'Paramètres'!$M:$M,0))&amp;"",""))),$K2733,0))</f>
        <v/>
      </c>
      <c r="V2733" s="6" t="str">
        <f>IF(AND($A2733&lt;&gt;"",$O2733=1,$L2733="Débit",N($Q2733)&gt;0,$A2733&gt;=Visualisation!$B$1,$A2733&lt;Visualisation!$D$1),MAX($V$1:V2732)+1,"")</f>
        <v/>
      </c>
    </row>
    <row r="2734" spans="1:22" x14ac:dyDescent="0.25">
      <c r="A2734" s="9"/>
      <c r="E2734" s="10"/>
      <c r="K2734" s="11" t="str">
        <f>IF($E2734="","",ROUND($E2734*IF(ISNA(MATCH($C2734,'Paramètres'!$D:$D,0)),1,IF(INDEX('Paramètres'!$J:$J,MATCH($C2734,'Paramètres'!$D:$D,0))="",1,INDEX('Paramètres'!$J:$J,MATCH($C2734,'Paramètres'!$D:$D,0)))),2))</f>
        <v/>
      </c>
      <c r="L2734" s="6" t="str">
        <f>IF($D2734="","",IF($F2734&lt;&gt;"",$F2734,IF(ISNA(MATCH($D2734,'Paramètres'!$M:$M,0)),"⚠ Type inconnu",IFERROR(INDEX('Paramètres'!$P:$P,MATCH($D2734,'Paramètres'!$M:$M,0))&amp;"",""))))</f>
        <v/>
      </c>
      <c r="M2734" s="6" t="str">
        <f>IF($D2734="","",IF(ISNA(MATCH($D2734,'Paramètres'!$M:$M,0)),"⚠ Type inconnu",IF($L2734="Crédit","",IFERROR(INDEX('Paramètres'!$O:$O,MATCH($D2734,'Paramètres'!$M:$M,0))&amp;"",""))))</f>
        <v/>
      </c>
      <c r="N2734" s="6" t="str">
        <f>IF($D2734="","",IFERROR(INDEX('Paramètres'!$Q:$Q,MATCH($D2734,'Paramètres'!$M:$M,0))&amp;"",""))</f>
        <v/>
      </c>
      <c r="O2734" s="6" t="str">
        <f>IF($A2734="","",IF(OR($J2734&lt;&gt;"x",$A2734&lt;=FinReleve),1,0))</f>
        <v/>
      </c>
      <c r="P2734" s="6" t="str">
        <f>IF($D2734="","",IF(AND($L2734="Crédit",OR(IFERROR(INDEX('Paramètres'!$O:$O,MATCH($D2734,'Paramètres'!$M:$M,0))&amp;"","")&lt;&gt;"",ISNUMBER(SEARCH("remboursement",IFERROR(INDEX('Paramètres'!$N:$N,MATCH($D2734,'Paramètres'!$M:$M,0))&amp;"",""))))),1,0))</f>
        <v/>
      </c>
      <c r="Q2734" s="6" t="str">
        <f>IF($K2734="","",IF(ISNUMBER(SEARCH("transfert-interne",IFERROR(INDEX('Paramètres'!$N:$N,MATCH($D2734,'Paramètres'!$M:$M,0))&amp;"",""))),0,IF($L2734="Débit",$K2734,IF($P2734=1,-$K2734,0))))</f>
        <v/>
      </c>
      <c r="R2734" s="6" t="str">
        <f>IF($K2734="","",IF($L2734="Crédit",$K2734,-$K2734))</f>
        <v/>
      </c>
      <c r="S2734" s="6" t="str">
        <f>IF($C2734="","",IFERROR(INDEX('Paramètres'!$H:$H,MATCH($C2734,'Paramètres'!$D:$D,0))&amp;"",""))</f>
        <v/>
      </c>
      <c r="T2734" s="6" t="str">
        <f>IF($K2734="","",IF($S2734="",0,IF(ISNUMBER(SEARCH("apport-exterieur",IFERROR(INDEX('Paramètres'!$N:$N,MATCH($D2734,'Paramètres'!$M:$M,0))&amp;"",""))),0,IF(OR(IFERROR(INDEX('Paramètres'!$I:$I,MATCH($C2734,'Paramètres'!$D:$D,0))&amp;"","")="Les deux",IFERROR(INDEX('Paramètres'!$I:$I,MATCH($C2734,'Paramètres'!$D:$D,0))&amp;"","")=IF($P2734=1,"Débit",$L2734)),-IF($P2734=1,-$K2734,$K2734),0))))</f>
        <v/>
      </c>
      <c r="U2734" s="6" t="str">
        <f>IF($K2734="","",IF(ISNUMBER(SEARCH("sortie-epargne",IFERROR(INDEX('Paramètres'!$N:$N,MATCH($D2734,'Paramètres'!$M:$M,0))&amp;"",""))),$K2734,0))</f>
        <v/>
      </c>
      <c r="V2734" s="6" t="str">
        <f>IF(AND($A2734&lt;&gt;"",$O2734=1,$L2734="Débit",N($Q2734)&gt;0,$A2734&gt;=Visualisation!$B$1,$A2734&lt;Visualisation!$D$1),MAX($V$1:V2733)+1,"")</f>
        <v/>
      </c>
    </row>
    <row r="2735" spans="1:22" x14ac:dyDescent="0.25">
      <c r="A2735" s="9"/>
      <c r="E2735" s="10"/>
      <c r="K2735" s="11" t="str">
        <f>IF($E2735="","",ROUND($E2735*IF(ISNA(MATCH($C2735,'Paramètres'!$D:$D,0)),1,IF(INDEX('Paramètres'!$J:$J,MATCH($C2735,'Paramètres'!$D:$D,0))="",1,INDEX('Paramètres'!$J:$J,MATCH($C2735,'Paramètres'!$D:$D,0)))),2))</f>
        <v/>
      </c>
      <c r="L2735" s="6" t="str">
        <f>IF($D2735="","",IF($F2735&lt;&gt;"",$F2735,IF(ISNA(MATCH($D2735,'Paramètres'!$M:$M,0)),"⚠ Type inconnu",IFERROR(INDEX('Paramètres'!$P:$P,MATCH($D2735,'Paramètres'!$M:$M,0))&amp;"",""))))</f>
        <v/>
      </c>
      <c r="M2735" s="6" t="str">
        <f>IF($D2735="","",IF(ISNA(MATCH($D2735,'Paramètres'!$M:$M,0)),"⚠ Type inconnu",IF($L2735="Crédit","",IFERROR(INDEX('Paramètres'!$O:$O,MATCH($D2735,'Paramètres'!$M:$M,0))&amp;"",""))))</f>
        <v/>
      </c>
      <c r="N2735" s="6" t="str">
        <f>IF($D2735="","",IFERROR(INDEX('Paramètres'!$Q:$Q,MATCH($D2735,'Paramètres'!$M:$M,0))&amp;"",""))</f>
        <v/>
      </c>
      <c r="O2735" s="6" t="str">
        <f>IF($A2735="","",IF(OR($J2735&lt;&gt;"x",$A2735&lt;=FinReleve),1,0))</f>
        <v/>
      </c>
      <c r="P2735" s="6" t="str">
        <f>IF($D2735="","",IF(AND($L2735="Crédit",OR(IFERROR(INDEX('Paramètres'!$O:$O,MATCH($D2735,'Paramètres'!$M:$M,0))&amp;"","")&lt;&gt;"",ISNUMBER(SEARCH("remboursement",IFERROR(INDEX('Paramètres'!$N:$N,MATCH($D2735,'Paramètres'!$M:$M,0))&amp;"",""))))),1,0))</f>
        <v/>
      </c>
      <c r="Q2735" s="6" t="str">
        <f>IF($K2735="","",IF(ISNUMBER(SEARCH("transfert-interne",IFERROR(INDEX('Paramètres'!$N:$N,MATCH($D2735,'Paramètres'!$M:$M,0))&amp;"",""))),0,IF($L2735="Débit",$K2735,IF($P2735=1,-$K2735,0))))</f>
        <v/>
      </c>
      <c r="R2735" s="6" t="str">
        <f>IF($K2735="","",IF($L2735="Crédit",$K2735,-$K2735))</f>
        <v/>
      </c>
      <c r="S2735" s="6" t="str">
        <f>IF($C2735="","",IFERROR(INDEX('Paramètres'!$H:$H,MATCH($C2735,'Paramètres'!$D:$D,0))&amp;"",""))</f>
        <v/>
      </c>
      <c r="T2735" s="6" t="str">
        <f>IF($K2735="","",IF($S2735="",0,IF(ISNUMBER(SEARCH("apport-exterieur",IFERROR(INDEX('Paramètres'!$N:$N,MATCH($D2735,'Paramètres'!$M:$M,0))&amp;"",""))),0,IF(OR(IFERROR(INDEX('Paramètres'!$I:$I,MATCH($C2735,'Paramètres'!$D:$D,0))&amp;"","")="Les deux",IFERROR(INDEX('Paramètres'!$I:$I,MATCH($C2735,'Paramètres'!$D:$D,0))&amp;"","")=IF($P2735=1,"Débit",$L2735)),-IF($P2735=1,-$K2735,$K2735),0))))</f>
        <v/>
      </c>
      <c r="U2735" s="6" t="str">
        <f>IF($K2735="","",IF(ISNUMBER(SEARCH("sortie-epargne",IFERROR(INDEX('Paramètres'!$N:$N,MATCH($D2735,'Paramètres'!$M:$M,0))&amp;"",""))),$K2735,0))</f>
        <v/>
      </c>
      <c r="V2735" s="6" t="str">
        <f>IF(AND($A2735&lt;&gt;"",$O2735=1,$L2735="Débit",N($Q2735)&gt;0,$A2735&gt;=Visualisation!$B$1,$A2735&lt;Visualisation!$D$1),MAX($V$1:V2734)+1,"")</f>
        <v/>
      </c>
    </row>
    <row r="2736" spans="1:22" x14ac:dyDescent="0.25">
      <c r="A2736" s="9"/>
      <c r="E2736" s="10"/>
      <c r="K2736" s="11" t="str">
        <f>IF($E2736="","",ROUND($E2736*IF(ISNA(MATCH($C2736,'Paramètres'!$D:$D,0)),1,IF(INDEX('Paramètres'!$J:$J,MATCH($C2736,'Paramètres'!$D:$D,0))="",1,INDEX('Paramètres'!$J:$J,MATCH($C2736,'Paramètres'!$D:$D,0)))),2))</f>
        <v/>
      </c>
      <c r="L2736" s="6" t="str">
        <f>IF($D2736="","",IF($F2736&lt;&gt;"",$F2736,IF(ISNA(MATCH($D2736,'Paramètres'!$M:$M,0)),"⚠ Type inconnu",IFERROR(INDEX('Paramètres'!$P:$P,MATCH($D2736,'Paramètres'!$M:$M,0))&amp;"",""))))</f>
        <v/>
      </c>
      <c r="M2736" s="6" t="str">
        <f>IF($D2736="","",IF(ISNA(MATCH($D2736,'Paramètres'!$M:$M,0)),"⚠ Type inconnu",IF($L2736="Crédit","",IFERROR(INDEX('Paramètres'!$O:$O,MATCH($D2736,'Paramètres'!$M:$M,0))&amp;"",""))))</f>
        <v/>
      </c>
      <c r="N2736" s="6" t="str">
        <f>IF($D2736="","",IFERROR(INDEX('Paramètres'!$Q:$Q,MATCH($D2736,'Paramètres'!$M:$M,0))&amp;"",""))</f>
        <v/>
      </c>
      <c r="O2736" s="6" t="str">
        <f>IF($A2736="","",IF(OR($J2736&lt;&gt;"x",$A2736&lt;=FinReleve),1,0))</f>
        <v/>
      </c>
      <c r="P2736" s="6" t="str">
        <f>IF($D2736="","",IF(AND($L2736="Crédit",OR(IFERROR(INDEX('Paramètres'!$O:$O,MATCH($D2736,'Paramètres'!$M:$M,0))&amp;"","")&lt;&gt;"",ISNUMBER(SEARCH("remboursement",IFERROR(INDEX('Paramètres'!$N:$N,MATCH($D2736,'Paramètres'!$M:$M,0))&amp;"",""))))),1,0))</f>
        <v/>
      </c>
      <c r="Q2736" s="6" t="str">
        <f>IF($K2736="","",IF(ISNUMBER(SEARCH("transfert-interne",IFERROR(INDEX('Paramètres'!$N:$N,MATCH($D2736,'Paramètres'!$M:$M,0))&amp;"",""))),0,IF($L2736="Débit",$K2736,IF($P2736=1,-$K2736,0))))</f>
        <v/>
      </c>
      <c r="R2736" s="6" t="str">
        <f>IF($K2736="","",IF($L2736="Crédit",$K2736,-$K2736))</f>
        <v/>
      </c>
      <c r="S2736" s="6" t="str">
        <f>IF($C2736="","",IFERROR(INDEX('Paramètres'!$H:$H,MATCH($C2736,'Paramètres'!$D:$D,0))&amp;"",""))</f>
        <v/>
      </c>
      <c r="T2736" s="6" t="str">
        <f>IF($K2736="","",IF($S2736="",0,IF(ISNUMBER(SEARCH("apport-exterieur",IFERROR(INDEX('Paramètres'!$N:$N,MATCH($D2736,'Paramètres'!$M:$M,0))&amp;"",""))),0,IF(OR(IFERROR(INDEX('Paramètres'!$I:$I,MATCH($C2736,'Paramètres'!$D:$D,0))&amp;"","")="Les deux",IFERROR(INDEX('Paramètres'!$I:$I,MATCH($C2736,'Paramètres'!$D:$D,0))&amp;"","")=IF($P2736=1,"Débit",$L2736)),-IF($P2736=1,-$K2736,$K2736),0))))</f>
        <v/>
      </c>
      <c r="U2736" s="6" t="str">
        <f>IF($K2736="","",IF(ISNUMBER(SEARCH("sortie-epargne",IFERROR(INDEX('Paramètres'!$N:$N,MATCH($D2736,'Paramètres'!$M:$M,0))&amp;"",""))),$K2736,0))</f>
        <v/>
      </c>
      <c r="V2736" s="6" t="str">
        <f>IF(AND($A2736&lt;&gt;"",$O2736=1,$L2736="Débit",N($Q2736)&gt;0,$A2736&gt;=Visualisation!$B$1,$A2736&lt;Visualisation!$D$1),MAX($V$1:V2735)+1,"")</f>
        <v/>
      </c>
    </row>
    <row r="2737" spans="1:22" x14ac:dyDescent="0.25">
      <c r="A2737" s="9"/>
      <c r="E2737" s="10"/>
      <c r="K2737" s="11" t="str">
        <f>IF($E2737="","",ROUND($E2737*IF(ISNA(MATCH($C2737,'Paramètres'!$D:$D,0)),1,IF(INDEX('Paramètres'!$J:$J,MATCH($C2737,'Paramètres'!$D:$D,0))="",1,INDEX('Paramètres'!$J:$J,MATCH($C2737,'Paramètres'!$D:$D,0)))),2))</f>
        <v/>
      </c>
      <c r="L2737" s="6" t="str">
        <f>IF($D2737="","",IF($F2737&lt;&gt;"",$F2737,IF(ISNA(MATCH($D2737,'Paramètres'!$M:$M,0)),"⚠ Type inconnu",IFERROR(INDEX('Paramètres'!$P:$P,MATCH($D2737,'Paramètres'!$M:$M,0))&amp;"",""))))</f>
        <v/>
      </c>
      <c r="M2737" s="6" t="str">
        <f>IF($D2737="","",IF(ISNA(MATCH($D2737,'Paramètres'!$M:$M,0)),"⚠ Type inconnu",IF($L2737="Crédit","",IFERROR(INDEX('Paramètres'!$O:$O,MATCH($D2737,'Paramètres'!$M:$M,0))&amp;"",""))))</f>
        <v/>
      </c>
      <c r="N2737" s="6" t="str">
        <f>IF($D2737="","",IFERROR(INDEX('Paramètres'!$Q:$Q,MATCH($D2737,'Paramètres'!$M:$M,0))&amp;"",""))</f>
        <v/>
      </c>
      <c r="O2737" s="6" t="str">
        <f>IF($A2737="","",IF(OR($J2737&lt;&gt;"x",$A2737&lt;=FinReleve),1,0))</f>
        <v/>
      </c>
      <c r="P2737" s="6" t="str">
        <f>IF($D2737="","",IF(AND($L2737="Crédit",OR(IFERROR(INDEX('Paramètres'!$O:$O,MATCH($D2737,'Paramètres'!$M:$M,0))&amp;"","")&lt;&gt;"",ISNUMBER(SEARCH("remboursement",IFERROR(INDEX('Paramètres'!$N:$N,MATCH($D2737,'Paramètres'!$M:$M,0))&amp;"",""))))),1,0))</f>
        <v/>
      </c>
      <c r="Q2737" s="6" t="str">
        <f>IF($K2737="","",IF(ISNUMBER(SEARCH("transfert-interne",IFERROR(INDEX('Paramètres'!$N:$N,MATCH($D2737,'Paramètres'!$M:$M,0))&amp;"",""))),0,IF($L2737="Débit",$K2737,IF($P2737=1,-$K2737,0))))</f>
        <v/>
      </c>
      <c r="R2737" s="6" t="str">
        <f>IF($K2737="","",IF($L2737="Crédit",$K2737,-$K2737))</f>
        <v/>
      </c>
      <c r="S2737" s="6" t="str">
        <f>IF($C2737="","",IFERROR(INDEX('Paramètres'!$H:$H,MATCH($C2737,'Paramètres'!$D:$D,0))&amp;"",""))</f>
        <v/>
      </c>
      <c r="T2737" s="6" t="str">
        <f>IF($K2737="","",IF($S2737="",0,IF(ISNUMBER(SEARCH("apport-exterieur",IFERROR(INDEX('Paramètres'!$N:$N,MATCH($D2737,'Paramètres'!$M:$M,0))&amp;"",""))),0,IF(OR(IFERROR(INDEX('Paramètres'!$I:$I,MATCH($C2737,'Paramètres'!$D:$D,0))&amp;"","")="Les deux",IFERROR(INDEX('Paramètres'!$I:$I,MATCH($C2737,'Paramètres'!$D:$D,0))&amp;"","")=IF($P2737=1,"Débit",$L2737)),-IF($P2737=1,-$K2737,$K2737),0))))</f>
        <v/>
      </c>
      <c r="U2737" s="6" t="str">
        <f>IF($K2737="","",IF(ISNUMBER(SEARCH("sortie-epargne",IFERROR(INDEX('Paramètres'!$N:$N,MATCH($D2737,'Paramètres'!$M:$M,0))&amp;"",""))),$K2737,0))</f>
        <v/>
      </c>
      <c r="V2737" s="6" t="str">
        <f>IF(AND($A2737&lt;&gt;"",$O2737=1,$L2737="Débit",N($Q2737)&gt;0,$A2737&gt;=Visualisation!$B$1,$A2737&lt;Visualisation!$D$1),MAX($V$1:V2736)+1,"")</f>
        <v/>
      </c>
    </row>
    <row r="2738" spans="1:22" x14ac:dyDescent="0.25">
      <c r="A2738" s="9"/>
      <c r="E2738" s="10"/>
      <c r="K2738" s="11" t="str">
        <f>IF($E2738="","",ROUND($E2738*IF(ISNA(MATCH($C2738,'Paramètres'!$D:$D,0)),1,IF(INDEX('Paramètres'!$J:$J,MATCH($C2738,'Paramètres'!$D:$D,0))="",1,INDEX('Paramètres'!$J:$J,MATCH($C2738,'Paramètres'!$D:$D,0)))),2))</f>
        <v/>
      </c>
      <c r="L2738" s="6" t="str">
        <f>IF($D2738="","",IF($F2738&lt;&gt;"",$F2738,IF(ISNA(MATCH($D2738,'Paramètres'!$M:$M,0)),"⚠ Type inconnu",IFERROR(INDEX('Paramètres'!$P:$P,MATCH($D2738,'Paramètres'!$M:$M,0))&amp;"",""))))</f>
        <v/>
      </c>
      <c r="M2738" s="6" t="str">
        <f>IF($D2738="","",IF(ISNA(MATCH($D2738,'Paramètres'!$M:$M,0)),"⚠ Type inconnu",IF($L2738="Crédit","",IFERROR(INDEX('Paramètres'!$O:$O,MATCH($D2738,'Paramètres'!$M:$M,0))&amp;"",""))))</f>
        <v/>
      </c>
      <c r="N2738" s="6" t="str">
        <f>IF($D2738="","",IFERROR(INDEX('Paramètres'!$Q:$Q,MATCH($D2738,'Paramètres'!$M:$M,0))&amp;"",""))</f>
        <v/>
      </c>
      <c r="O2738" s="6" t="str">
        <f>IF($A2738="","",IF(OR($J2738&lt;&gt;"x",$A2738&lt;=FinReleve),1,0))</f>
        <v/>
      </c>
      <c r="P2738" s="6" t="str">
        <f>IF($D2738="","",IF(AND($L2738="Crédit",OR(IFERROR(INDEX('Paramètres'!$O:$O,MATCH($D2738,'Paramètres'!$M:$M,0))&amp;"","")&lt;&gt;"",ISNUMBER(SEARCH("remboursement",IFERROR(INDEX('Paramètres'!$N:$N,MATCH($D2738,'Paramètres'!$M:$M,0))&amp;"",""))))),1,0))</f>
        <v/>
      </c>
      <c r="Q2738" s="6" t="str">
        <f>IF($K2738="","",IF(ISNUMBER(SEARCH("transfert-interne",IFERROR(INDEX('Paramètres'!$N:$N,MATCH($D2738,'Paramètres'!$M:$M,0))&amp;"",""))),0,IF($L2738="Débit",$K2738,IF($P2738=1,-$K2738,0))))</f>
        <v/>
      </c>
      <c r="R2738" s="6" t="str">
        <f>IF($K2738="","",IF($L2738="Crédit",$K2738,-$K2738))</f>
        <v/>
      </c>
      <c r="S2738" s="6" t="str">
        <f>IF($C2738="","",IFERROR(INDEX('Paramètres'!$H:$H,MATCH($C2738,'Paramètres'!$D:$D,0))&amp;"",""))</f>
        <v/>
      </c>
      <c r="T2738" s="6" t="str">
        <f>IF($K2738="","",IF($S2738="",0,IF(ISNUMBER(SEARCH("apport-exterieur",IFERROR(INDEX('Paramètres'!$N:$N,MATCH($D2738,'Paramètres'!$M:$M,0))&amp;"",""))),0,IF(OR(IFERROR(INDEX('Paramètres'!$I:$I,MATCH($C2738,'Paramètres'!$D:$D,0))&amp;"","")="Les deux",IFERROR(INDEX('Paramètres'!$I:$I,MATCH($C2738,'Paramètres'!$D:$D,0))&amp;"","")=IF($P2738=1,"Débit",$L2738)),-IF($P2738=1,-$K2738,$K2738),0))))</f>
        <v/>
      </c>
      <c r="U2738" s="6" t="str">
        <f>IF($K2738="","",IF(ISNUMBER(SEARCH("sortie-epargne",IFERROR(INDEX('Paramètres'!$N:$N,MATCH($D2738,'Paramètres'!$M:$M,0))&amp;"",""))),$K2738,0))</f>
        <v/>
      </c>
      <c r="V2738" s="6" t="str">
        <f>IF(AND($A2738&lt;&gt;"",$O2738=1,$L2738="Débit",N($Q2738)&gt;0,$A2738&gt;=Visualisation!$B$1,$A2738&lt;Visualisation!$D$1),MAX($V$1:V2737)+1,"")</f>
        <v/>
      </c>
    </row>
    <row r="2739" spans="1:22" x14ac:dyDescent="0.25">
      <c r="A2739" s="9"/>
      <c r="E2739" s="10"/>
      <c r="K2739" s="11" t="str">
        <f>IF($E2739="","",ROUND($E2739*IF(ISNA(MATCH($C2739,'Paramètres'!$D:$D,0)),1,IF(INDEX('Paramètres'!$J:$J,MATCH($C2739,'Paramètres'!$D:$D,0))="",1,INDEX('Paramètres'!$J:$J,MATCH($C2739,'Paramètres'!$D:$D,0)))),2))</f>
        <v/>
      </c>
      <c r="L2739" s="6" t="str">
        <f>IF($D2739="","",IF($F2739&lt;&gt;"",$F2739,IF(ISNA(MATCH($D2739,'Paramètres'!$M:$M,0)),"⚠ Type inconnu",IFERROR(INDEX('Paramètres'!$P:$P,MATCH($D2739,'Paramètres'!$M:$M,0))&amp;"",""))))</f>
        <v/>
      </c>
      <c r="M2739" s="6" t="str">
        <f>IF($D2739="","",IF(ISNA(MATCH($D2739,'Paramètres'!$M:$M,0)),"⚠ Type inconnu",IF($L2739="Crédit","",IFERROR(INDEX('Paramètres'!$O:$O,MATCH($D2739,'Paramètres'!$M:$M,0))&amp;"",""))))</f>
        <v/>
      </c>
      <c r="N2739" s="6" t="str">
        <f>IF($D2739="","",IFERROR(INDEX('Paramètres'!$Q:$Q,MATCH($D2739,'Paramètres'!$M:$M,0))&amp;"",""))</f>
        <v/>
      </c>
      <c r="O2739" s="6" t="str">
        <f>IF($A2739="","",IF(OR($J2739&lt;&gt;"x",$A2739&lt;=FinReleve),1,0))</f>
        <v/>
      </c>
      <c r="P2739" s="6" t="str">
        <f>IF($D2739="","",IF(AND($L2739="Crédit",OR(IFERROR(INDEX('Paramètres'!$O:$O,MATCH($D2739,'Paramètres'!$M:$M,0))&amp;"","")&lt;&gt;"",ISNUMBER(SEARCH("remboursement",IFERROR(INDEX('Paramètres'!$N:$N,MATCH($D2739,'Paramètres'!$M:$M,0))&amp;"",""))))),1,0))</f>
        <v/>
      </c>
      <c r="Q2739" s="6" t="str">
        <f>IF($K2739="","",IF(ISNUMBER(SEARCH("transfert-interne",IFERROR(INDEX('Paramètres'!$N:$N,MATCH($D2739,'Paramètres'!$M:$M,0))&amp;"",""))),0,IF($L2739="Débit",$K2739,IF($P2739=1,-$K2739,0))))</f>
        <v/>
      </c>
      <c r="R2739" s="6" t="str">
        <f>IF($K2739="","",IF($L2739="Crédit",$K2739,-$K2739))</f>
        <v/>
      </c>
      <c r="S2739" s="6" t="str">
        <f>IF($C2739="","",IFERROR(INDEX('Paramètres'!$H:$H,MATCH($C2739,'Paramètres'!$D:$D,0))&amp;"",""))</f>
        <v/>
      </c>
      <c r="T2739" s="6" t="str">
        <f>IF($K2739="","",IF($S2739="",0,IF(ISNUMBER(SEARCH("apport-exterieur",IFERROR(INDEX('Paramètres'!$N:$N,MATCH($D2739,'Paramètres'!$M:$M,0))&amp;"",""))),0,IF(OR(IFERROR(INDEX('Paramètres'!$I:$I,MATCH($C2739,'Paramètres'!$D:$D,0))&amp;"","")="Les deux",IFERROR(INDEX('Paramètres'!$I:$I,MATCH($C2739,'Paramètres'!$D:$D,0))&amp;"","")=IF($P2739=1,"Débit",$L2739)),-IF($P2739=1,-$K2739,$K2739),0))))</f>
        <v/>
      </c>
      <c r="U2739" s="6" t="str">
        <f>IF($K2739="","",IF(ISNUMBER(SEARCH("sortie-epargne",IFERROR(INDEX('Paramètres'!$N:$N,MATCH($D2739,'Paramètres'!$M:$M,0))&amp;"",""))),$K2739,0))</f>
        <v/>
      </c>
      <c r="V2739" s="6" t="str">
        <f>IF(AND($A2739&lt;&gt;"",$O2739=1,$L2739="Débit",N($Q2739)&gt;0,$A2739&gt;=Visualisation!$B$1,$A2739&lt;Visualisation!$D$1),MAX($V$1:V2738)+1,"")</f>
        <v/>
      </c>
    </row>
    <row r="2740" spans="1:22" x14ac:dyDescent="0.25">
      <c r="A2740" s="9"/>
      <c r="E2740" s="10"/>
      <c r="K2740" s="11" t="str">
        <f>IF($E2740="","",ROUND($E2740*IF(ISNA(MATCH($C2740,'Paramètres'!$D:$D,0)),1,IF(INDEX('Paramètres'!$J:$J,MATCH($C2740,'Paramètres'!$D:$D,0))="",1,INDEX('Paramètres'!$J:$J,MATCH($C2740,'Paramètres'!$D:$D,0)))),2))</f>
        <v/>
      </c>
      <c r="L2740" s="6" t="str">
        <f>IF($D2740="","",IF($F2740&lt;&gt;"",$F2740,IF(ISNA(MATCH($D2740,'Paramètres'!$M:$M,0)),"⚠ Type inconnu",IFERROR(INDEX('Paramètres'!$P:$P,MATCH($D2740,'Paramètres'!$M:$M,0))&amp;"",""))))</f>
        <v/>
      </c>
      <c r="M2740" s="6" t="str">
        <f>IF($D2740="","",IF(ISNA(MATCH($D2740,'Paramètres'!$M:$M,0)),"⚠ Type inconnu",IF($L2740="Crédit","",IFERROR(INDEX('Paramètres'!$O:$O,MATCH($D2740,'Paramètres'!$M:$M,0))&amp;"",""))))</f>
        <v/>
      </c>
      <c r="N2740" s="6" t="str">
        <f>IF($D2740="","",IFERROR(INDEX('Paramètres'!$Q:$Q,MATCH($D2740,'Paramètres'!$M:$M,0))&amp;"",""))</f>
        <v/>
      </c>
      <c r="O2740" s="6" t="str">
        <f>IF($A2740="","",IF(OR($J2740&lt;&gt;"x",$A2740&lt;=FinReleve),1,0))</f>
        <v/>
      </c>
      <c r="P2740" s="6" t="str">
        <f>IF($D2740="","",IF(AND($L2740="Crédit",OR(IFERROR(INDEX('Paramètres'!$O:$O,MATCH($D2740,'Paramètres'!$M:$M,0))&amp;"","")&lt;&gt;"",ISNUMBER(SEARCH("remboursement",IFERROR(INDEX('Paramètres'!$N:$N,MATCH($D2740,'Paramètres'!$M:$M,0))&amp;"",""))))),1,0))</f>
        <v/>
      </c>
      <c r="Q2740" s="6" t="str">
        <f>IF($K2740="","",IF(ISNUMBER(SEARCH("transfert-interne",IFERROR(INDEX('Paramètres'!$N:$N,MATCH($D2740,'Paramètres'!$M:$M,0))&amp;"",""))),0,IF($L2740="Débit",$K2740,IF($P2740=1,-$K2740,0))))</f>
        <v/>
      </c>
      <c r="R2740" s="6" t="str">
        <f>IF($K2740="","",IF($L2740="Crédit",$K2740,-$K2740))</f>
        <v/>
      </c>
      <c r="S2740" s="6" t="str">
        <f>IF($C2740="","",IFERROR(INDEX('Paramètres'!$H:$H,MATCH($C2740,'Paramètres'!$D:$D,0))&amp;"",""))</f>
        <v/>
      </c>
      <c r="T2740" s="6" t="str">
        <f>IF($K2740="","",IF($S2740="",0,IF(ISNUMBER(SEARCH("apport-exterieur",IFERROR(INDEX('Paramètres'!$N:$N,MATCH($D2740,'Paramètres'!$M:$M,0))&amp;"",""))),0,IF(OR(IFERROR(INDEX('Paramètres'!$I:$I,MATCH($C2740,'Paramètres'!$D:$D,0))&amp;"","")="Les deux",IFERROR(INDEX('Paramètres'!$I:$I,MATCH($C2740,'Paramètres'!$D:$D,0))&amp;"","")=IF($P2740=1,"Débit",$L2740)),-IF($P2740=1,-$K2740,$K2740),0))))</f>
        <v/>
      </c>
      <c r="U2740" s="6" t="str">
        <f>IF($K2740="","",IF(ISNUMBER(SEARCH("sortie-epargne",IFERROR(INDEX('Paramètres'!$N:$N,MATCH($D2740,'Paramètres'!$M:$M,0))&amp;"",""))),$K2740,0))</f>
        <v/>
      </c>
      <c r="V2740" s="6" t="str">
        <f>IF(AND($A2740&lt;&gt;"",$O2740=1,$L2740="Débit",N($Q2740)&gt;0,$A2740&gt;=Visualisation!$B$1,$A2740&lt;Visualisation!$D$1),MAX($V$1:V2739)+1,"")</f>
        <v/>
      </c>
    </row>
    <row r="2741" spans="1:22" x14ac:dyDescent="0.25">
      <c r="A2741" s="9"/>
      <c r="E2741" s="10"/>
      <c r="K2741" s="11" t="str">
        <f>IF($E2741="","",ROUND($E2741*IF(ISNA(MATCH($C2741,'Paramètres'!$D:$D,0)),1,IF(INDEX('Paramètres'!$J:$J,MATCH($C2741,'Paramètres'!$D:$D,0))="",1,INDEX('Paramètres'!$J:$J,MATCH($C2741,'Paramètres'!$D:$D,0)))),2))</f>
        <v/>
      </c>
      <c r="L2741" s="6" t="str">
        <f>IF($D2741="","",IF($F2741&lt;&gt;"",$F2741,IF(ISNA(MATCH($D2741,'Paramètres'!$M:$M,0)),"⚠ Type inconnu",IFERROR(INDEX('Paramètres'!$P:$P,MATCH($D2741,'Paramètres'!$M:$M,0))&amp;"",""))))</f>
        <v/>
      </c>
      <c r="M2741" s="6" t="str">
        <f>IF($D2741="","",IF(ISNA(MATCH($D2741,'Paramètres'!$M:$M,0)),"⚠ Type inconnu",IF($L2741="Crédit","",IFERROR(INDEX('Paramètres'!$O:$O,MATCH($D2741,'Paramètres'!$M:$M,0))&amp;"",""))))</f>
        <v/>
      </c>
      <c r="N2741" s="6" t="str">
        <f>IF($D2741="","",IFERROR(INDEX('Paramètres'!$Q:$Q,MATCH($D2741,'Paramètres'!$M:$M,0))&amp;"",""))</f>
        <v/>
      </c>
      <c r="O2741" s="6" t="str">
        <f>IF($A2741="","",IF(OR($J2741&lt;&gt;"x",$A2741&lt;=FinReleve),1,0))</f>
        <v/>
      </c>
      <c r="P2741" s="6" t="str">
        <f>IF($D2741="","",IF(AND($L2741="Crédit",OR(IFERROR(INDEX('Paramètres'!$O:$O,MATCH($D2741,'Paramètres'!$M:$M,0))&amp;"","")&lt;&gt;"",ISNUMBER(SEARCH("remboursement",IFERROR(INDEX('Paramètres'!$N:$N,MATCH($D2741,'Paramètres'!$M:$M,0))&amp;"",""))))),1,0))</f>
        <v/>
      </c>
      <c r="Q2741" s="6" t="str">
        <f>IF($K2741="","",IF(ISNUMBER(SEARCH("transfert-interne",IFERROR(INDEX('Paramètres'!$N:$N,MATCH($D2741,'Paramètres'!$M:$M,0))&amp;"",""))),0,IF($L2741="Débit",$K2741,IF($P2741=1,-$K2741,0))))</f>
        <v/>
      </c>
      <c r="R2741" s="6" t="str">
        <f>IF($K2741="","",IF($L2741="Crédit",$K2741,-$K2741))</f>
        <v/>
      </c>
      <c r="S2741" s="6" t="str">
        <f>IF($C2741="","",IFERROR(INDEX('Paramètres'!$H:$H,MATCH($C2741,'Paramètres'!$D:$D,0))&amp;"",""))</f>
        <v/>
      </c>
      <c r="T2741" s="6" t="str">
        <f>IF($K2741="","",IF($S2741="",0,IF(ISNUMBER(SEARCH("apport-exterieur",IFERROR(INDEX('Paramètres'!$N:$N,MATCH($D2741,'Paramètres'!$M:$M,0))&amp;"",""))),0,IF(OR(IFERROR(INDEX('Paramètres'!$I:$I,MATCH($C2741,'Paramètres'!$D:$D,0))&amp;"","")="Les deux",IFERROR(INDEX('Paramètres'!$I:$I,MATCH($C2741,'Paramètres'!$D:$D,0))&amp;"","")=IF($P2741=1,"Débit",$L2741)),-IF($P2741=1,-$K2741,$K2741),0))))</f>
        <v/>
      </c>
      <c r="U2741" s="6" t="str">
        <f>IF($K2741="","",IF(ISNUMBER(SEARCH("sortie-epargne",IFERROR(INDEX('Paramètres'!$N:$N,MATCH($D2741,'Paramètres'!$M:$M,0))&amp;"",""))),$K2741,0))</f>
        <v/>
      </c>
      <c r="V2741" s="6" t="str">
        <f>IF(AND($A2741&lt;&gt;"",$O2741=1,$L2741="Débit",N($Q2741)&gt;0,$A2741&gt;=Visualisation!$B$1,$A2741&lt;Visualisation!$D$1),MAX($V$1:V2740)+1,"")</f>
        <v/>
      </c>
    </row>
    <row r="2742" spans="1:22" x14ac:dyDescent="0.25">
      <c r="A2742" s="9"/>
      <c r="E2742" s="10"/>
      <c r="K2742" s="11" t="str">
        <f>IF($E2742="","",ROUND($E2742*IF(ISNA(MATCH($C2742,'Paramètres'!$D:$D,0)),1,IF(INDEX('Paramètres'!$J:$J,MATCH($C2742,'Paramètres'!$D:$D,0))="",1,INDEX('Paramètres'!$J:$J,MATCH($C2742,'Paramètres'!$D:$D,0)))),2))</f>
        <v/>
      </c>
      <c r="L2742" s="6" t="str">
        <f>IF($D2742="","",IF($F2742&lt;&gt;"",$F2742,IF(ISNA(MATCH($D2742,'Paramètres'!$M:$M,0)),"⚠ Type inconnu",IFERROR(INDEX('Paramètres'!$P:$P,MATCH($D2742,'Paramètres'!$M:$M,0))&amp;"",""))))</f>
        <v/>
      </c>
      <c r="M2742" s="6" t="str">
        <f>IF($D2742="","",IF(ISNA(MATCH($D2742,'Paramètres'!$M:$M,0)),"⚠ Type inconnu",IF($L2742="Crédit","",IFERROR(INDEX('Paramètres'!$O:$O,MATCH($D2742,'Paramètres'!$M:$M,0))&amp;"",""))))</f>
        <v/>
      </c>
      <c r="N2742" s="6" t="str">
        <f>IF($D2742="","",IFERROR(INDEX('Paramètres'!$Q:$Q,MATCH($D2742,'Paramètres'!$M:$M,0))&amp;"",""))</f>
        <v/>
      </c>
      <c r="O2742" s="6" t="str">
        <f>IF($A2742="","",IF(OR($J2742&lt;&gt;"x",$A2742&lt;=FinReleve),1,0))</f>
        <v/>
      </c>
      <c r="P2742" s="6" t="str">
        <f>IF($D2742="","",IF(AND($L2742="Crédit",OR(IFERROR(INDEX('Paramètres'!$O:$O,MATCH($D2742,'Paramètres'!$M:$M,0))&amp;"","")&lt;&gt;"",ISNUMBER(SEARCH("remboursement",IFERROR(INDEX('Paramètres'!$N:$N,MATCH($D2742,'Paramètres'!$M:$M,0))&amp;"",""))))),1,0))</f>
        <v/>
      </c>
      <c r="Q2742" s="6" t="str">
        <f>IF($K2742="","",IF(ISNUMBER(SEARCH("transfert-interne",IFERROR(INDEX('Paramètres'!$N:$N,MATCH($D2742,'Paramètres'!$M:$M,0))&amp;"",""))),0,IF($L2742="Débit",$K2742,IF($P2742=1,-$K2742,0))))</f>
        <v/>
      </c>
      <c r="R2742" s="6" t="str">
        <f>IF($K2742="","",IF($L2742="Crédit",$K2742,-$K2742))</f>
        <v/>
      </c>
      <c r="S2742" s="6" t="str">
        <f>IF($C2742="","",IFERROR(INDEX('Paramètres'!$H:$H,MATCH($C2742,'Paramètres'!$D:$D,0))&amp;"",""))</f>
        <v/>
      </c>
      <c r="T2742" s="6" t="str">
        <f>IF($K2742="","",IF($S2742="",0,IF(ISNUMBER(SEARCH("apport-exterieur",IFERROR(INDEX('Paramètres'!$N:$N,MATCH($D2742,'Paramètres'!$M:$M,0))&amp;"",""))),0,IF(OR(IFERROR(INDEX('Paramètres'!$I:$I,MATCH($C2742,'Paramètres'!$D:$D,0))&amp;"","")="Les deux",IFERROR(INDEX('Paramètres'!$I:$I,MATCH($C2742,'Paramètres'!$D:$D,0))&amp;"","")=IF($P2742=1,"Débit",$L2742)),-IF($P2742=1,-$K2742,$K2742),0))))</f>
        <v/>
      </c>
      <c r="U2742" s="6" t="str">
        <f>IF($K2742="","",IF(ISNUMBER(SEARCH("sortie-epargne",IFERROR(INDEX('Paramètres'!$N:$N,MATCH($D2742,'Paramètres'!$M:$M,0))&amp;"",""))),$K2742,0))</f>
        <v/>
      </c>
      <c r="V2742" s="6" t="str">
        <f>IF(AND($A2742&lt;&gt;"",$O2742=1,$L2742="Débit",N($Q2742)&gt;0,$A2742&gt;=Visualisation!$B$1,$A2742&lt;Visualisation!$D$1),MAX($V$1:V2741)+1,"")</f>
        <v/>
      </c>
    </row>
    <row r="2743" spans="1:22" x14ac:dyDescent="0.25">
      <c r="A2743" s="9"/>
      <c r="E2743" s="10"/>
      <c r="K2743" s="11" t="str">
        <f>IF($E2743="","",ROUND($E2743*IF(ISNA(MATCH($C2743,'Paramètres'!$D:$D,0)),1,IF(INDEX('Paramètres'!$J:$J,MATCH($C2743,'Paramètres'!$D:$D,0))="",1,INDEX('Paramètres'!$J:$J,MATCH($C2743,'Paramètres'!$D:$D,0)))),2))</f>
        <v/>
      </c>
      <c r="L2743" s="6" t="str">
        <f>IF($D2743="","",IF($F2743&lt;&gt;"",$F2743,IF(ISNA(MATCH($D2743,'Paramètres'!$M:$M,0)),"⚠ Type inconnu",IFERROR(INDEX('Paramètres'!$P:$P,MATCH($D2743,'Paramètres'!$M:$M,0))&amp;"",""))))</f>
        <v/>
      </c>
      <c r="M2743" s="6" t="str">
        <f>IF($D2743="","",IF(ISNA(MATCH($D2743,'Paramètres'!$M:$M,0)),"⚠ Type inconnu",IF($L2743="Crédit","",IFERROR(INDEX('Paramètres'!$O:$O,MATCH($D2743,'Paramètres'!$M:$M,0))&amp;"",""))))</f>
        <v/>
      </c>
      <c r="N2743" s="6" t="str">
        <f>IF($D2743="","",IFERROR(INDEX('Paramètres'!$Q:$Q,MATCH($D2743,'Paramètres'!$M:$M,0))&amp;"",""))</f>
        <v/>
      </c>
      <c r="O2743" s="6" t="str">
        <f>IF($A2743="","",IF(OR($J2743&lt;&gt;"x",$A2743&lt;=FinReleve),1,0))</f>
        <v/>
      </c>
      <c r="P2743" s="6" t="str">
        <f>IF($D2743="","",IF(AND($L2743="Crédit",OR(IFERROR(INDEX('Paramètres'!$O:$O,MATCH($D2743,'Paramètres'!$M:$M,0))&amp;"","")&lt;&gt;"",ISNUMBER(SEARCH("remboursement",IFERROR(INDEX('Paramètres'!$N:$N,MATCH($D2743,'Paramètres'!$M:$M,0))&amp;"",""))))),1,0))</f>
        <v/>
      </c>
      <c r="Q2743" s="6" t="str">
        <f>IF($K2743="","",IF(ISNUMBER(SEARCH("transfert-interne",IFERROR(INDEX('Paramètres'!$N:$N,MATCH($D2743,'Paramètres'!$M:$M,0))&amp;"",""))),0,IF($L2743="Débit",$K2743,IF($P2743=1,-$K2743,0))))</f>
        <v/>
      </c>
      <c r="R2743" s="6" t="str">
        <f>IF($K2743="","",IF($L2743="Crédit",$K2743,-$K2743))</f>
        <v/>
      </c>
      <c r="S2743" s="6" t="str">
        <f>IF($C2743="","",IFERROR(INDEX('Paramètres'!$H:$H,MATCH($C2743,'Paramètres'!$D:$D,0))&amp;"",""))</f>
        <v/>
      </c>
      <c r="T2743" s="6" t="str">
        <f>IF($K2743="","",IF($S2743="",0,IF(ISNUMBER(SEARCH("apport-exterieur",IFERROR(INDEX('Paramètres'!$N:$N,MATCH($D2743,'Paramètres'!$M:$M,0))&amp;"",""))),0,IF(OR(IFERROR(INDEX('Paramètres'!$I:$I,MATCH($C2743,'Paramètres'!$D:$D,0))&amp;"","")="Les deux",IFERROR(INDEX('Paramètres'!$I:$I,MATCH($C2743,'Paramètres'!$D:$D,0))&amp;"","")=IF($P2743=1,"Débit",$L2743)),-IF($P2743=1,-$K2743,$K2743),0))))</f>
        <v/>
      </c>
      <c r="U2743" s="6" t="str">
        <f>IF($K2743="","",IF(ISNUMBER(SEARCH("sortie-epargne",IFERROR(INDEX('Paramètres'!$N:$N,MATCH($D2743,'Paramètres'!$M:$M,0))&amp;"",""))),$K2743,0))</f>
        <v/>
      </c>
      <c r="V2743" s="6" t="str">
        <f>IF(AND($A2743&lt;&gt;"",$O2743=1,$L2743="Débit",N($Q2743)&gt;0,$A2743&gt;=Visualisation!$B$1,$A2743&lt;Visualisation!$D$1),MAX($V$1:V2742)+1,"")</f>
        <v/>
      </c>
    </row>
    <row r="2744" spans="1:22" x14ac:dyDescent="0.25">
      <c r="A2744" s="9"/>
      <c r="E2744" s="10"/>
      <c r="K2744" s="11" t="str">
        <f>IF($E2744="","",ROUND($E2744*IF(ISNA(MATCH($C2744,'Paramètres'!$D:$D,0)),1,IF(INDEX('Paramètres'!$J:$J,MATCH($C2744,'Paramètres'!$D:$D,0))="",1,INDEX('Paramètres'!$J:$J,MATCH($C2744,'Paramètres'!$D:$D,0)))),2))</f>
        <v/>
      </c>
      <c r="L2744" s="6" t="str">
        <f>IF($D2744="","",IF($F2744&lt;&gt;"",$F2744,IF(ISNA(MATCH($D2744,'Paramètres'!$M:$M,0)),"⚠ Type inconnu",IFERROR(INDEX('Paramètres'!$P:$P,MATCH($D2744,'Paramètres'!$M:$M,0))&amp;"",""))))</f>
        <v/>
      </c>
      <c r="M2744" s="6" t="str">
        <f>IF($D2744="","",IF(ISNA(MATCH($D2744,'Paramètres'!$M:$M,0)),"⚠ Type inconnu",IF($L2744="Crédit","",IFERROR(INDEX('Paramètres'!$O:$O,MATCH($D2744,'Paramètres'!$M:$M,0))&amp;"",""))))</f>
        <v/>
      </c>
      <c r="N2744" s="6" t="str">
        <f>IF($D2744="","",IFERROR(INDEX('Paramètres'!$Q:$Q,MATCH($D2744,'Paramètres'!$M:$M,0))&amp;"",""))</f>
        <v/>
      </c>
      <c r="O2744" s="6" t="str">
        <f>IF($A2744="","",IF(OR($J2744&lt;&gt;"x",$A2744&lt;=FinReleve),1,0))</f>
        <v/>
      </c>
      <c r="P2744" s="6" t="str">
        <f>IF($D2744="","",IF(AND($L2744="Crédit",OR(IFERROR(INDEX('Paramètres'!$O:$O,MATCH($D2744,'Paramètres'!$M:$M,0))&amp;"","")&lt;&gt;"",ISNUMBER(SEARCH("remboursement",IFERROR(INDEX('Paramètres'!$N:$N,MATCH($D2744,'Paramètres'!$M:$M,0))&amp;"",""))))),1,0))</f>
        <v/>
      </c>
      <c r="Q2744" s="6" t="str">
        <f>IF($K2744="","",IF(ISNUMBER(SEARCH("transfert-interne",IFERROR(INDEX('Paramètres'!$N:$N,MATCH($D2744,'Paramètres'!$M:$M,0))&amp;"",""))),0,IF($L2744="Débit",$K2744,IF($P2744=1,-$K2744,0))))</f>
        <v/>
      </c>
      <c r="R2744" s="6" t="str">
        <f>IF($K2744="","",IF($L2744="Crédit",$K2744,-$K2744))</f>
        <v/>
      </c>
      <c r="S2744" s="6" t="str">
        <f>IF($C2744="","",IFERROR(INDEX('Paramètres'!$H:$H,MATCH($C2744,'Paramètres'!$D:$D,0))&amp;"",""))</f>
        <v/>
      </c>
      <c r="T2744" s="6" t="str">
        <f>IF($K2744="","",IF($S2744="",0,IF(ISNUMBER(SEARCH("apport-exterieur",IFERROR(INDEX('Paramètres'!$N:$N,MATCH($D2744,'Paramètres'!$M:$M,0))&amp;"",""))),0,IF(OR(IFERROR(INDEX('Paramètres'!$I:$I,MATCH($C2744,'Paramètres'!$D:$D,0))&amp;"","")="Les deux",IFERROR(INDEX('Paramètres'!$I:$I,MATCH($C2744,'Paramètres'!$D:$D,0))&amp;"","")=IF($P2744=1,"Débit",$L2744)),-IF($P2744=1,-$K2744,$K2744),0))))</f>
        <v/>
      </c>
      <c r="U2744" s="6" t="str">
        <f>IF($K2744="","",IF(ISNUMBER(SEARCH("sortie-epargne",IFERROR(INDEX('Paramètres'!$N:$N,MATCH($D2744,'Paramètres'!$M:$M,0))&amp;"",""))),$K2744,0))</f>
        <v/>
      </c>
      <c r="V2744" s="6" t="str">
        <f>IF(AND($A2744&lt;&gt;"",$O2744=1,$L2744="Débit",N($Q2744)&gt;0,$A2744&gt;=Visualisation!$B$1,$A2744&lt;Visualisation!$D$1),MAX($V$1:V2743)+1,"")</f>
        <v/>
      </c>
    </row>
    <row r="2745" spans="1:22" x14ac:dyDescent="0.25">
      <c r="A2745" s="9"/>
      <c r="E2745" s="10"/>
      <c r="K2745" s="11" t="str">
        <f>IF($E2745="","",ROUND($E2745*IF(ISNA(MATCH($C2745,'Paramètres'!$D:$D,0)),1,IF(INDEX('Paramètres'!$J:$J,MATCH($C2745,'Paramètres'!$D:$D,0))="",1,INDEX('Paramètres'!$J:$J,MATCH($C2745,'Paramètres'!$D:$D,0)))),2))</f>
        <v/>
      </c>
      <c r="L2745" s="6" t="str">
        <f>IF($D2745="","",IF($F2745&lt;&gt;"",$F2745,IF(ISNA(MATCH($D2745,'Paramètres'!$M:$M,0)),"⚠ Type inconnu",IFERROR(INDEX('Paramètres'!$P:$P,MATCH($D2745,'Paramètres'!$M:$M,0))&amp;"",""))))</f>
        <v/>
      </c>
      <c r="M2745" s="6" t="str">
        <f>IF($D2745="","",IF(ISNA(MATCH($D2745,'Paramètres'!$M:$M,0)),"⚠ Type inconnu",IF($L2745="Crédit","",IFERROR(INDEX('Paramètres'!$O:$O,MATCH($D2745,'Paramètres'!$M:$M,0))&amp;"",""))))</f>
        <v/>
      </c>
      <c r="N2745" s="6" t="str">
        <f>IF($D2745="","",IFERROR(INDEX('Paramètres'!$Q:$Q,MATCH($D2745,'Paramètres'!$M:$M,0))&amp;"",""))</f>
        <v/>
      </c>
      <c r="O2745" s="6" t="str">
        <f>IF($A2745="","",IF(OR($J2745&lt;&gt;"x",$A2745&lt;=FinReleve),1,0))</f>
        <v/>
      </c>
      <c r="P2745" s="6" t="str">
        <f>IF($D2745="","",IF(AND($L2745="Crédit",OR(IFERROR(INDEX('Paramètres'!$O:$O,MATCH($D2745,'Paramètres'!$M:$M,0))&amp;"","")&lt;&gt;"",ISNUMBER(SEARCH("remboursement",IFERROR(INDEX('Paramètres'!$N:$N,MATCH($D2745,'Paramètres'!$M:$M,0))&amp;"",""))))),1,0))</f>
        <v/>
      </c>
      <c r="Q2745" s="6" t="str">
        <f>IF($K2745="","",IF(ISNUMBER(SEARCH("transfert-interne",IFERROR(INDEX('Paramètres'!$N:$N,MATCH($D2745,'Paramètres'!$M:$M,0))&amp;"",""))),0,IF($L2745="Débit",$K2745,IF($P2745=1,-$K2745,0))))</f>
        <v/>
      </c>
      <c r="R2745" s="6" t="str">
        <f>IF($K2745="","",IF($L2745="Crédit",$K2745,-$K2745))</f>
        <v/>
      </c>
      <c r="S2745" s="6" t="str">
        <f>IF($C2745="","",IFERROR(INDEX('Paramètres'!$H:$H,MATCH($C2745,'Paramètres'!$D:$D,0))&amp;"",""))</f>
        <v/>
      </c>
      <c r="T2745" s="6" t="str">
        <f>IF($K2745="","",IF($S2745="",0,IF(ISNUMBER(SEARCH("apport-exterieur",IFERROR(INDEX('Paramètres'!$N:$N,MATCH($D2745,'Paramètres'!$M:$M,0))&amp;"",""))),0,IF(OR(IFERROR(INDEX('Paramètres'!$I:$I,MATCH($C2745,'Paramètres'!$D:$D,0))&amp;"","")="Les deux",IFERROR(INDEX('Paramètres'!$I:$I,MATCH($C2745,'Paramètres'!$D:$D,0))&amp;"","")=IF($P2745=1,"Débit",$L2745)),-IF($P2745=1,-$K2745,$K2745),0))))</f>
        <v/>
      </c>
      <c r="U2745" s="6" t="str">
        <f>IF($K2745="","",IF(ISNUMBER(SEARCH("sortie-epargne",IFERROR(INDEX('Paramètres'!$N:$N,MATCH($D2745,'Paramètres'!$M:$M,0))&amp;"",""))),$K2745,0))</f>
        <v/>
      </c>
      <c r="V2745" s="6" t="str">
        <f>IF(AND($A2745&lt;&gt;"",$O2745=1,$L2745="Débit",N($Q2745)&gt;0,$A2745&gt;=Visualisation!$B$1,$A2745&lt;Visualisation!$D$1),MAX($V$1:V2744)+1,"")</f>
        <v/>
      </c>
    </row>
    <row r="2746" spans="1:22" x14ac:dyDescent="0.25">
      <c r="A2746" s="9"/>
      <c r="E2746" s="10"/>
      <c r="K2746" s="11" t="str">
        <f>IF($E2746="","",ROUND($E2746*IF(ISNA(MATCH($C2746,'Paramètres'!$D:$D,0)),1,IF(INDEX('Paramètres'!$J:$J,MATCH($C2746,'Paramètres'!$D:$D,0))="",1,INDEX('Paramètres'!$J:$J,MATCH($C2746,'Paramètres'!$D:$D,0)))),2))</f>
        <v/>
      </c>
      <c r="L2746" s="6" t="str">
        <f>IF($D2746="","",IF($F2746&lt;&gt;"",$F2746,IF(ISNA(MATCH($D2746,'Paramètres'!$M:$M,0)),"⚠ Type inconnu",IFERROR(INDEX('Paramètres'!$P:$P,MATCH($D2746,'Paramètres'!$M:$M,0))&amp;"",""))))</f>
        <v/>
      </c>
      <c r="M2746" s="6" t="str">
        <f>IF($D2746="","",IF(ISNA(MATCH($D2746,'Paramètres'!$M:$M,0)),"⚠ Type inconnu",IF($L2746="Crédit","",IFERROR(INDEX('Paramètres'!$O:$O,MATCH($D2746,'Paramètres'!$M:$M,0))&amp;"",""))))</f>
        <v/>
      </c>
      <c r="N2746" s="6" t="str">
        <f>IF($D2746="","",IFERROR(INDEX('Paramètres'!$Q:$Q,MATCH($D2746,'Paramètres'!$M:$M,0))&amp;"",""))</f>
        <v/>
      </c>
      <c r="O2746" s="6" t="str">
        <f>IF($A2746="","",IF(OR($J2746&lt;&gt;"x",$A2746&lt;=FinReleve),1,0))</f>
        <v/>
      </c>
      <c r="P2746" s="6" t="str">
        <f>IF($D2746="","",IF(AND($L2746="Crédit",OR(IFERROR(INDEX('Paramètres'!$O:$O,MATCH($D2746,'Paramètres'!$M:$M,0))&amp;"","")&lt;&gt;"",ISNUMBER(SEARCH("remboursement",IFERROR(INDEX('Paramètres'!$N:$N,MATCH($D2746,'Paramètres'!$M:$M,0))&amp;"",""))))),1,0))</f>
        <v/>
      </c>
      <c r="Q2746" s="6" t="str">
        <f>IF($K2746="","",IF(ISNUMBER(SEARCH("transfert-interne",IFERROR(INDEX('Paramètres'!$N:$N,MATCH($D2746,'Paramètres'!$M:$M,0))&amp;"",""))),0,IF($L2746="Débit",$K2746,IF($P2746=1,-$K2746,0))))</f>
        <v/>
      </c>
      <c r="R2746" s="6" t="str">
        <f>IF($K2746="","",IF($L2746="Crédit",$K2746,-$K2746))</f>
        <v/>
      </c>
      <c r="S2746" s="6" t="str">
        <f>IF($C2746="","",IFERROR(INDEX('Paramètres'!$H:$H,MATCH($C2746,'Paramètres'!$D:$D,0))&amp;"",""))</f>
        <v/>
      </c>
      <c r="T2746" s="6" t="str">
        <f>IF($K2746="","",IF($S2746="",0,IF(ISNUMBER(SEARCH("apport-exterieur",IFERROR(INDEX('Paramètres'!$N:$N,MATCH($D2746,'Paramètres'!$M:$M,0))&amp;"",""))),0,IF(OR(IFERROR(INDEX('Paramètres'!$I:$I,MATCH($C2746,'Paramètres'!$D:$D,0))&amp;"","")="Les deux",IFERROR(INDEX('Paramètres'!$I:$I,MATCH($C2746,'Paramètres'!$D:$D,0))&amp;"","")=IF($P2746=1,"Débit",$L2746)),-IF($P2746=1,-$K2746,$K2746),0))))</f>
        <v/>
      </c>
      <c r="U2746" s="6" t="str">
        <f>IF($K2746="","",IF(ISNUMBER(SEARCH("sortie-epargne",IFERROR(INDEX('Paramètres'!$N:$N,MATCH($D2746,'Paramètres'!$M:$M,0))&amp;"",""))),$K2746,0))</f>
        <v/>
      </c>
      <c r="V2746" s="6" t="str">
        <f>IF(AND($A2746&lt;&gt;"",$O2746=1,$L2746="Débit",N($Q2746)&gt;0,$A2746&gt;=Visualisation!$B$1,$A2746&lt;Visualisation!$D$1),MAX($V$1:V2745)+1,"")</f>
        <v/>
      </c>
    </row>
    <row r="2747" spans="1:22" x14ac:dyDescent="0.25">
      <c r="A2747" s="9"/>
      <c r="E2747" s="10"/>
      <c r="K2747" s="11" t="str">
        <f>IF($E2747="","",ROUND($E2747*IF(ISNA(MATCH($C2747,'Paramètres'!$D:$D,0)),1,IF(INDEX('Paramètres'!$J:$J,MATCH($C2747,'Paramètres'!$D:$D,0))="",1,INDEX('Paramètres'!$J:$J,MATCH($C2747,'Paramètres'!$D:$D,0)))),2))</f>
        <v/>
      </c>
      <c r="L2747" s="6" t="str">
        <f>IF($D2747="","",IF($F2747&lt;&gt;"",$F2747,IF(ISNA(MATCH($D2747,'Paramètres'!$M:$M,0)),"⚠ Type inconnu",IFERROR(INDEX('Paramètres'!$P:$P,MATCH($D2747,'Paramètres'!$M:$M,0))&amp;"",""))))</f>
        <v/>
      </c>
      <c r="M2747" s="6" t="str">
        <f>IF($D2747="","",IF(ISNA(MATCH($D2747,'Paramètres'!$M:$M,0)),"⚠ Type inconnu",IF($L2747="Crédit","",IFERROR(INDEX('Paramètres'!$O:$O,MATCH($D2747,'Paramètres'!$M:$M,0))&amp;"",""))))</f>
        <v/>
      </c>
      <c r="N2747" s="6" t="str">
        <f>IF($D2747="","",IFERROR(INDEX('Paramètres'!$Q:$Q,MATCH($D2747,'Paramètres'!$M:$M,0))&amp;"",""))</f>
        <v/>
      </c>
      <c r="O2747" s="6" t="str">
        <f>IF($A2747="","",IF(OR($J2747&lt;&gt;"x",$A2747&lt;=FinReleve),1,0))</f>
        <v/>
      </c>
      <c r="P2747" s="6" t="str">
        <f>IF($D2747="","",IF(AND($L2747="Crédit",OR(IFERROR(INDEX('Paramètres'!$O:$O,MATCH($D2747,'Paramètres'!$M:$M,0))&amp;"","")&lt;&gt;"",ISNUMBER(SEARCH("remboursement",IFERROR(INDEX('Paramètres'!$N:$N,MATCH($D2747,'Paramètres'!$M:$M,0))&amp;"",""))))),1,0))</f>
        <v/>
      </c>
      <c r="Q2747" s="6" t="str">
        <f>IF($K2747="","",IF(ISNUMBER(SEARCH("transfert-interne",IFERROR(INDEX('Paramètres'!$N:$N,MATCH($D2747,'Paramètres'!$M:$M,0))&amp;"",""))),0,IF($L2747="Débit",$K2747,IF($P2747=1,-$K2747,0))))</f>
        <v/>
      </c>
      <c r="R2747" s="6" t="str">
        <f>IF($K2747="","",IF($L2747="Crédit",$K2747,-$K2747))</f>
        <v/>
      </c>
      <c r="S2747" s="6" t="str">
        <f>IF($C2747="","",IFERROR(INDEX('Paramètres'!$H:$H,MATCH($C2747,'Paramètres'!$D:$D,0))&amp;"",""))</f>
        <v/>
      </c>
      <c r="T2747" s="6" t="str">
        <f>IF($K2747="","",IF($S2747="",0,IF(ISNUMBER(SEARCH("apport-exterieur",IFERROR(INDEX('Paramètres'!$N:$N,MATCH($D2747,'Paramètres'!$M:$M,0))&amp;"",""))),0,IF(OR(IFERROR(INDEX('Paramètres'!$I:$I,MATCH($C2747,'Paramètres'!$D:$D,0))&amp;"","")="Les deux",IFERROR(INDEX('Paramètres'!$I:$I,MATCH($C2747,'Paramètres'!$D:$D,0))&amp;"","")=IF($P2747=1,"Débit",$L2747)),-IF($P2747=1,-$K2747,$K2747),0))))</f>
        <v/>
      </c>
      <c r="U2747" s="6" t="str">
        <f>IF($K2747="","",IF(ISNUMBER(SEARCH("sortie-epargne",IFERROR(INDEX('Paramètres'!$N:$N,MATCH($D2747,'Paramètres'!$M:$M,0))&amp;"",""))),$K2747,0))</f>
        <v/>
      </c>
      <c r="V2747" s="6" t="str">
        <f>IF(AND($A2747&lt;&gt;"",$O2747=1,$L2747="Débit",N($Q2747)&gt;0,$A2747&gt;=Visualisation!$B$1,$A2747&lt;Visualisation!$D$1),MAX($V$1:V2746)+1,"")</f>
        <v/>
      </c>
    </row>
    <row r="2748" spans="1:22" x14ac:dyDescent="0.25">
      <c r="A2748" s="9"/>
      <c r="E2748" s="10"/>
      <c r="K2748" s="11" t="str">
        <f>IF($E2748="","",ROUND($E2748*IF(ISNA(MATCH($C2748,'Paramètres'!$D:$D,0)),1,IF(INDEX('Paramètres'!$J:$J,MATCH($C2748,'Paramètres'!$D:$D,0))="",1,INDEX('Paramètres'!$J:$J,MATCH($C2748,'Paramètres'!$D:$D,0)))),2))</f>
        <v/>
      </c>
      <c r="L2748" s="6" t="str">
        <f>IF($D2748="","",IF($F2748&lt;&gt;"",$F2748,IF(ISNA(MATCH($D2748,'Paramètres'!$M:$M,0)),"⚠ Type inconnu",IFERROR(INDEX('Paramètres'!$P:$P,MATCH($D2748,'Paramètres'!$M:$M,0))&amp;"",""))))</f>
        <v/>
      </c>
      <c r="M2748" s="6" t="str">
        <f>IF($D2748="","",IF(ISNA(MATCH($D2748,'Paramètres'!$M:$M,0)),"⚠ Type inconnu",IF($L2748="Crédit","",IFERROR(INDEX('Paramètres'!$O:$O,MATCH($D2748,'Paramètres'!$M:$M,0))&amp;"",""))))</f>
        <v/>
      </c>
      <c r="N2748" s="6" t="str">
        <f>IF($D2748="","",IFERROR(INDEX('Paramètres'!$Q:$Q,MATCH($D2748,'Paramètres'!$M:$M,0))&amp;"",""))</f>
        <v/>
      </c>
      <c r="O2748" s="6" t="str">
        <f>IF($A2748="","",IF(OR($J2748&lt;&gt;"x",$A2748&lt;=FinReleve),1,0))</f>
        <v/>
      </c>
      <c r="P2748" s="6" t="str">
        <f>IF($D2748="","",IF(AND($L2748="Crédit",OR(IFERROR(INDEX('Paramètres'!$O:$O,MATCH($D2748,'Paramètres'!$M:$M,0))&amp;"","")&lt;&gt;"",ISNUMBER(SEARCH("remboursement",IFERROR(INDEX('Paramètres'!$N:$N,MATCH($D2748,'Paramètres'!$M:$M,0))&amp;"",""))))),1,0))</f>
        <v/>
      </c>
      <c r="Q2748" s="6" t="str">
        <f>IF($K2748="","",IF(ISNUMBER(SEARCH("transfert-interne",IFERROR(INDEX('Paramètres'!$N:$N,MATCH($D2748,'Paramètres'!$M:$M,0))&amp;"",""))),0,IF($L2748="Débit",$K2748,IF($P2748=1,-$K2748,0))))</f>
        <v/>
      </c>
      <c r="R2748" s="6" t="str">
        <f>IF($K2748="","",IF($L2748="Crédit",$K2748,-$K2748))</f>
        <v/>
      </c>
      <c r="S2748" s="6" t="str">
        <f>IF($C2748="","",IFERROR(INDEX('Paramètres'!$H:$H,MATCH($C2748,'Paramètres'!$D:$D,0))&amp;"",""))</f>
        <v/>
      </c>
      <c r="T2748" s="6" t="str">
        <f>IF($K2748="","",IF($S2748="",0,IF(ISNUMBER(SEARCH("apport-exterieur",IFERROR(INDEX('Paramètres'!$N:$N,MATCH($D2748,'Paramètres'!$M:$M,0))&amp;"",""))),0,IF(OR(IFERROR(INDEX('Paramètres'!$I:$I,MATCH($C2748,'Paramètres'!$D:$D,0))&amp;"","")="Les deux",IFERROR(INDEX('Paramètres'!$I:$I,MATCH($C2748,'Paramètres'!$D:$D,0))&amp;"","")=IF($P2748=1,"Débit",$L2748)),-IF($P2748=1,-$K2748,$K2748),0))))</f>
        <v/>
      </c>
      <c r="U2748" s="6" t="str">
        <f>IF($K2748="","",IF(ISNUMBER(SEARCH("sortie-epargne",IFERROR(INDEX('Paramètres'!$N:$N,MATCH($D2748,'Paramètres'!$M:$M,0))&amp;"",""))),$K2748,0))</f>
        <v/>
      </c>
      <c r="V2748" s="6" t="str">
        <f>IF(AND($A2748&lt;&gt;"",$O2748=1,$L2748="Débit",N($Q2748)&gt;0,$A2748&gt;=Visualisation!$B$1,$A2748&lt;Visualisation!$D$1),MAX($V$1:V2747)+1,"")</f>
        <v/>
      </c>
    </row>
    <row r="2749" spans="1:22" x14ac:dyDescent="0.25">
      <c r="A2749" s="9"/>
      <c r="E2749" s="10"/>
      <c r="K2749" s="11" t="str">
        <f>IF($E2749="","",ROUND($E2749*IF(ISNA(MATCH($C2749,'Paramètres'!$D:$D,0)),1,IF(INDEX('Paramètres'!$J:$J,MATCH($C2749,'Paramètres'!$D:$D,0))="",1,INDEX('Paramètres'!$J:$J,MATCH($C2749,'Paramètres'!$D:$D,0)))),2))</f>
        <v/>
      </c>
      <c r="L2749" s="6" t="str">
        <f>IF($D2749="","",IF($F2749&lt;&gt;"",$F2749,IF(ISNA(MATCH($D2749,'Paramètres'!$M:$M,0)),"⚠ Type inconnu",IFERROR(INDEX('Paramètres'!$P:$P,MATCH($D2749,'Paramètres'!$M:$M,0))&amp;"",""))))</f>
        <v/>
      </c>
      <c r="M2749" s="6" t="str">
        <f>IF($D2749="","",IF(ISNA(MATCH($D2749,'Paramètres'!$M:$M,0)),"⚠ Type inconnu",IF($L2749="Crédit","",IFERROR(INDEX('Paramètres'!$O:$O,MATCH($D2749,'Paramètres'!$M:$M,0))&amp;"",""))))</f>
        <v/>
      </c>
      <c r="N2749" s="6" t="str">
        <f>IF($D2749="","",IFERROR(INDEX('Paramètres'!$Q:$Q,MATCH($D2749,'Paramètres'!$M:$M,0))&amp;"",""))</f>
        <v/>
      </c>
      <c r="O2749" s="6" t="str">
        <f>IF($A2749="","",IF(OR($J2749&lt;&gt;"x",$A2749&lt;=FinReleve),1,0))</f>
        <v/>
      </c>
      <c r="P2749" s="6" t="str">
        <f>IF($D2749="","",IF(AND($L2749="Crédit",OR(IFERROR(INDEX('Paramètres'!$O:$O,MATCH($D2749,'Paramètres'!$M:$M,0))&amp;"","")&lt;&gt;"",ISNUMBER(SEARCH("remboursement",IFERROR(INDEX('Paramètres'!$N:$N,MATCH($D2749,'Paramètres'!$M:$M,0))&amp;"",""))))),1,0))</f>
        <v/>
      </c>
      <c r="Q2749" s="6" t="str">
        <f>IF($K2749="","",IF(ISNUMBER(SEARCH("transfert-interne",IFERROR(INDEX('Paramètres'!$N:$N,MATCH($D2749,'Paramètres'!$M:$M,0))&amp;"",""))),0,IF($L2749="Débit",$K2749,IF($P2749=1,-$K2749,0))))</f>
        <v/>
      </c>
      <c r="R2749" s="6" t="str">
        <f>IF($K2749="","",IF($L2749="Crédit",$K2749,-$K2749))</f>
        <v/>
      </c>
      <c r="S2749" s="6" t="str">
        <f>IF($C2749="","",IFERROR(INDEX('Paramètres'!$H:$H,MATCH($C2749,'Paramètres'!$D:$D,0))&amp;"",""))</f>
        <v/>
      </c>
      <c r="T2749" s="6" t="str">
        <f>IF($K2749="","",IF($S2749="",0,IF(ISNUMBER(SEARCH("apport-exterieur",IFERROR(INDEX('Paramètres'!$N:$N,MATCH($D2749,'Paramètres'!$M:$M,0))&amp;"",""))),0,IF(OR(IFERROR(INDEX('Paramètres'!$I:$I,MATCH($C2749,'Paramètres'!$D:$D,0))&amp;"","")="Les deux",IFERROR(INDEX('Paramètres'!$I:$I,MATCH($C2749,'Paramètres'!$D:$D,0))&amp;"","")=IF($P2749=1,"Débit",$L2749)),-IF($P2749=1,-$K2749,$K2749),0))))</f>
        <v/>
      </c>
      <c r="U2749" s="6" t="str">
        <f>IF($K2749="","",IF(ISNUMBER(SEARCH("sortie-epargne",IFERROR(INDEX('Paramètres'!$N:$N,MATCH($D2749,'Paramètres'!$M:$M,0))&amp;"",""))),$K2749,0))</f>
        <v/>
      </c>
      <c r="V2749" s="6" t="str">
        <f>IF(AND($A2749&lt;&gt;"",$O2749=1,$L2749="Débit",N($Q2749)&gt;0,$A2749&gt;=Visualisation!$B$1,$A2749&lt;Visualisation!$D$1),MAX($V$1:V2748)+1,"")</f>
        <v/>
      </c>
    </row>
    <row r="2750" spans="1:22" x14ac:dyDescent="0.25">
      <c r="A2750" s="9"/>
      <c r="E2750" s="10"/>
      <c r="K2750" s="11" t="str">
        <f>IF($E2750="","",ROUND($E2750*IF(ISNA(MATCH($C2750,'Paramètres'!$D:$D,0)),1,IF(INDEX('Paramètres'!$J:$J,MATCH($C2750,'Paramètres'!$D:$D,0))="",1,INDEX('Paramètres'!$J:$J,MATCH($C2750,'Paramètres'!$D:$D,0)))),2))</f>
        <v/>
      </c>
      <c r="L2750" s="6" t="str">
        <f>IF($D2750="","",IF($F2750&lt;&gt;"",$F2750,IF(ISNA(MATCH($D2750,'Paramètres'!$M:$M,0)),"⚠ Type inconnu",IFERROR(INDEX('Paramètres'!$P:$P,MATCH($D2750,'Paramètres'!$M:$M,0))&amp;"",""))))</f>
        <v/>
      </c>
      <c r="M2750" s="6" t="str">
        <f>IF($D2750="","",IF(ISNA(MATCH($D2750,'Paramètres'!$M:$M,0)),"⚠ Type inconnu",IF($L2750="Crédit","",IFERROR(INDEX('Paramètres'!$O:$O,MATCH($D2750,'Paramètres'!$M:$M,0))&amp;"",""))))</f>
        <v/>
      </c>
      <c r="N2750" s="6" t="str">
        <f>IF($D2750="","",IFERROR(INDEX('Paramètres'!$Q:$Q,MATCH($D2750,'Paramètres'!$M:$M,0))&amp;"",""))</f>
        <v/>
      </c>
      <c r="O2750" s="6" t="str">
        <f>IF($A2750="","",IF(OR($J2750&lt;&gt;"x",$A2750&lt;=FinReleve),1,0))</f>
        <v/>
      </c>
      <c r="P2750" s="6" t="str">
        <f>IF($D2750="","",IF(AND($L2750="Crédit",OR(IFERROR(INDEX('Paramètres'!$O:$O,MATCH($D2750,'Paramètres'!$M:$M,0))&amp;"","")&lt;&gt;"",ISNUMBER(SEARCH("remboursement",IFERROR(INDEX('Paramètres'!$N:$N,MATCH($D2750,'Paramètres'!$M:$M,0))&amp;"",""))))),1,0))</f>
        <v/>
      </c>
      <c r="Q2750" s="6" t="str">
        <f>IF($K2750="","",IF(ISNUMBER(SEARCH("transfert-interne",IFERROR(INDEX('Paramètres'!$N:$N,MATCH($D2750,'Paramètres'!$M:$M,0))&amp;"",""))),0,IF($L2750="Débit",$K2750,IF($P2750=1,-$K2750,0))))</f>
        <v/>
      </c>
      <c r="R2750" s="6" t="str">
        <f>IF($K2750="","",IF($L2750="Crédit",$K2750,-$K2750))</f>
        <v/>
      </c>
      <c r="S2750" s="6" t="str">
        <f>IF($C2750="","",IFERROR(INDEX('Paramètres'!$H:$H,MATCH($C2750,'Paramètres'!$D:$D,0))&amp;"",""))</f>
        <v/>
      </c>
      <c r="T2750" s="6" t="str">
        <f>IF($K2750="","",IF($S2750="",0,IF(ISNUMBER(SEARCH("apport-exterieur",IFERROR(INDEX('Paramètres'!$N:$N,MATCH($D2750,'Paramètres'!$M:$M,0))&amp;"",""))),0,IF(OR(IFERROR(INDEX('Paramètres'!$I:$I,MATCH($C2750,'Paramètres'!$D:$D,0))&amp;"","")="Les deux",IFERROR(INDEX('Paramètres'!$I:$I,MATCH($C2750,'Paramètres'!$D:$D,0))&amp;"","")=IF($P2750=1,"Débit",$L2750)),-IF($P2750=1,-$K2750,$K2750),0))))</f>
        <v/>
      </c>
      <c r="U2750" s="6" t="str">
        <f>IF($K2750="","",IF(ISNUMBER(SEARCH("sortie-epargne",IFERROR(INDEX('Paramètres'!$N:$N,MATCH($D2750,'Paramètres'!$M:$M,0))&amp;"",""))),$K2750,0))</f>
        <v/>
      </c>
      <c r="V2750" s="6" t="str">
        <f>IF(AND($A2750&lt;&gt;"",$O2750=1,$L2750="Débit",N($Q2750)&gt;0,$A2750&gt;=Visualisation!$B$1,$A2750&lt;Visualisation!$D$1),MAX($V$1:V2749)+1,"")</f>
        <v/>
      </c>
    </row>
    <row r="2751" spans="1:22" x14ac:dyDescent="0.25">
      <c r="A2751" s="9"/>
      <c r="E2751" s="10"/>
      <c r="K2751" s="11" t="str">
        <f>IF($E2751="","",ROUND($E2751*IF(ISNA(MATCH($C2751,'Paramètres'!$D:$D,0)),1,IF(INDEX('Paramètres'!$J:$J,MATCH($C2751,'Paramètres'!$D:$D,0))="",1,INDEX('Paramètres'!$J:$J,MATCH($C2751,'Paramètres'!$D:$D,0)))),2))</f>
        <v/>
      </c>
      <c r="L2751" s="6" t="str">
        <f>IF($D2751="","",IF($F2751&lt;&gt;"",$F2751,IF(ISNA(MATCH($D2751,'Paramètres'!$M:$M,0)),"⚠ Type inconnu",IFERROR(INDEX('Paramètres'!$P:$P,MATCH($D2751,'Paramètres'!$M:$M,0))&amp;"",""))))</f>
        <v/>
      </c>
      <c r="M2751" s="6" t="str">
        <f>IF($D2751="","",IF(ISNA(MATCH($D2751,'Paramètres'!$M:$M,0)),"⚠ Type inconnu",IF($L2751="Crédit","",IFERROR(INDEX('Paramètres'!$O:$O,MATCH($D2751,'Paramètres'!$M:$M,0))&amp;"",""))))</f>
        <v/>
      </c>
      <c r="N2751" s="6" t="str">
        <f>IF($D2751="","",IFERROR(INDEX('Paramètres'!$Q:$Q,MATCH($D2751,'Paramètres'!$M:$M,0))&amp;"",""))</f>
        <v/>
      </c>
      <c r="O2751" s="6" t="str">
        <f>IF($A2751="","",IF(OR($J2751&lt;&gt;"x",$A2751&lt;=FinReleve),1,0))</f>
        <v/>
      </c>
      <c r="P2751" s="6" t="str">
        <f>IF($D2751="","",IF(AND($L2751="Crédit",OR(IFERROR(INDEX('Paramètres'!$O:$O,MATCH($D2751,'Paramètres'!$M:$M,0))&amp;"","")&lt;&gt;"",ISNUMBER(SEARCH("remboursement",IFERROR(INDEX('Paramètres'!$N:$N,MATCH($D2751,'Paramètres'!$M:$M,0))&amp;"",""))))),1,0))</f>
        <v/>
      </c>
      <c r="Q2751" s="6" t="str">
        <f>IF($K2751="","",IF(ISNUMBER(SEARCH("transfert-interne",IFERROR(INDEX('Paramètres'!$N:$N,MATCH($D2751,'Paramètres'!$M:$M,0))&amp;"",""))),0,IF($L2751="Débit",$K2751,IF($P2751=1,-$K2751,0))))</f>
        <v/>
      </c>
      <c r="R2751" s="6" t="str">
        <f>IF($K2751="","",IF($L2751="Crédit",$K2751,-$K2751))</f>
        <v/>
      </c>
      <c r="S2751" s="6" t="str">
        <f>IF($C2751="","",IFERROR(INDEX('Paramètres'!$H:$H,MATCH($C2751,'Paramètres'!$D:$D,0))&amp;"",""))</f>
        <v/>
      </c>
      <c r="T2751" s="6" t="str">
        <f>IF($K2751="","",IF($S2751="",0,IF(ISNUMBER(SEARCH("apport-exterieur",IFERROR(INDEX('Paramètres'!$N:$N,MATCH($D2751,'Paramètres'!$M:$M,0))&amp;"",""))),0,IF(OR(IFERROR(INDEX('Paramètres'!$I:$I,MATCH($C2751,'Paramètres'!$D:$D,0))&amp;"","")="Les deux",IFERROR(INDEX('Paramètres'!$I:$I,MATCH($C2751,'Paramètres'!$D:$D,0))&amp;"","")=IF($P2751=1,"Débit",$L2751)),-IF($P2751=1,-$K2751,$K2751),0))))</f>
        <v/>
      </c>
      <c r="U2751" s="6" t="str">
        <f>IF($K2751="","",IF(ISNUMBER(SEARCH("sortie-epargne",IFERROR(INDEX('Paramètres'!$N:$N,MATCH($D2751,'Paramètres'!$M:$M,0))&amp;"",""))),$K2751,0))</f>
        <v/>
      </c>
      <c r="V2751" s="6" t="str">
        <f>IF(AND($A2751&lt;&gt;"",$O2751=1,$L2751="Débit",N($Q2751)&gt;0,$A2751&gt;=Visualisation!$B$1,$A2751&lt;Visualisation!$D$1),MAX($V$1:V2750)+1,"")</f>
        <v/>
      </c>
    </row>
    <row r="2752" spans="1:22" x14ac:dyDescent="0.25">
      <c r="A2752" s="9"/>
      <c r="E2752" s="10"/>
      <c r="K2752" s="11" t="str">
        <f>IF($E2752="","",ROUND($E2752*IF(ISNA(MATCH($C2752,'Paramètres'!$D:$D,0)),1,IF(INDEX('Paramètres'!$J:$J,MATCH($C2752,'Paramètres'!$D:$D,0))="",1,INDEX('Paramètres'!$J:$J,MATCH($C2752,'Paramètres'!$D:$D,0)))),2))</f>
        <v/>
      </c>
      <c r="L2752" s="6" t="str">
        <f>IF($D2752="","",IF($F2752&lt;&gt;"",$F2752,IF(ISNA(MATCH($D2752,'Paramètres'!$M:$M,0)),"⚠ Type inconnu",IFERROR(INDEX('Paramètres'!$P:$P,MATCH($D2752,'Paramètres'!$M:$M,0))&amp;"",""))))</f>
        <v/>
      </c>
      <c r="M2752" s="6" t="str">
        <f>IF($D2752="","",IF(ISNA(MATCH($D2752,'Paramètres'!$M:$M,0)),"⚠ Type inconnu",IF($L2752="Crédit","",IFERROR(INDEX('Paramètres'!$O:$O,MATCH($D2752,'Paramètres'!$M:$M,0))&amp;"",""))))</f>
        <v/>
      </c>
      <c r="N2752" s="6" t="str">
        <f>IF($D2752="","",IFERROR(INDEX('Paramètres'!$Q:$Q,MATCH($D2752,'Paramètres'!$M:$M,0))&amp;"",""))</f>
        <v/>
      </c>
      <c r="O2752" s="6" t="str">
        <f>IF($A2752="","",IF(OR($J2752&lt;&gt;"x",$A2752&lt;=FinReleve),1,0))</f>
        <v/>
      </c>
      <c r="P2752" s="6" t="str">
        <f>IF($D2752="","",IF(AND($L2752="Crédit",OR(IFERROR(INDEX('Paramètres'!$O:$O,MATCH($D2752,'Paramètres'!$M:$M,0))&amp;"","")&lt;&gt;"",ISNUMBER(SEARCH("remboursement",IFERROR(INDEX('Paramètres'!$N:$N,MATCH($D2752,'Paramètres'!$M:$M,0))&amp;"",""))))),1,0))</f>
        <v/>
      </c>
      <c r="Q2752" s="6" t="str">
        <f>IF($K2752="","",IF(ISNUMBER(SEARCH("transfert-interne",IFERROR(INDEX('Paramètres'!$N:$N,MATCH($D2752,'Paramètres'!$M:$M,0))&amp;"",""))),0,IF($L2752="Débit",$K2752,IF($P2752=1,-$K2752,0))))</f>
        <v/>
      </c>
      <c r="R2752" s="6" t="str">
        <f>IF($K2752="","",IF($L2752="Crédit",$K2752,-$K2752))</f>
        <v/>
      </c>
      <c r="S2752" s="6" t="str">
        <f>IF($C2752="","",IFERROR(INDEX('Paramètres'!$H:$H,MATCH($C2752,'Paramètres'!$D:$D,0))&amp;"",""))</f>
        <v/>
      </c>
      <c r="T2752" s="6" t="str">
        <f>IF($K2752="","",IF($S2752="",0,IF(ISNUMBER(SEARCH("apport-exterieur",IFERROR(INDEX('Paramètres'!$N:$N,MATCH($D2752,'Paramètres'!$M:$M,0))&amp;"",""))),0,IF(OR(IFERROR(INDEX('Paramètres'!$I:$I,MATCH($C2752,'Paramètres'!$D:$D,0))&amp;"","")="Les deux",IFERROR(INDEX('Paramètres'!$I:$I,MATCH($C2752,'Paramètres'!$D:$D,0))&amp;"","")=IF($P2752=1,"Débit",$L2752)),-IF($P2752=1,-$K2752,$K2752),0))))</f>
        <v/>
      </c>
      <c r="U2752" s="6" t="str">
        <f>IF($K2752="","",IF(ISNUMBER(SEARCH("sortie-epargne",IFERROR(INDEX('Paramètres'!$N:$N,MATCH($D2752,'Paramètres'!$M:$M,0))&amp;"",""))),$K2752,0))</f>
        <v/>
      </c>
      <c r="V2752" s="6" t="str">
        <f>IF(AND($A2752&lt;&gt;"",$O2752=1,$L2752="Débit",N($Q2752)&gt;0,$A2752&gt;=Visualisation!$B$1,$A2752&lt;Visualisation!$D$1),MAX($V$1:V2751)+1,"")</f>
        <v/>
      </c>
    </row>
    <row r="2753" spans="1:22" x14ac:dyDescent="0.25">
      <c r="A2753" s="9"/>
      <c r="E2753" s="10"/>
      <c r="K2753" s="11" t="str">
        <f>IF($E2753="","",ROUND($E2753*IF(ISNA(MATCH($C2753,'Paramètres'!$D:$D,0)),1,IF(INDEX('Paramètres'!$J:$J,MATCH($C2753,'Paramètres'!$D:$D,0))="",1,INDEX('Paramètres'!$J:$J,MATCH($C2753,'Paramètres'!$D:$D,0)))),2))</f>
        <v/>
      </c>
      <c r="L2753" s="6" t="str">
        <f>IF($D2753="","",IF($F2753&lt;&gt;"",$F2753,IF(ISNA(MATCH($D2753,'Paramètres'!$M:$M,0)),"⚠ Type inconnu",IFERROR(INDEX('Paramètres'!$P:$P,MATCH($D2753,'Paramètres'!$M:$M,0))&amp;"",""))))</f>
        <v/>
      </c>
      <c r="M2753" s="6" t="str">
        <f>IF($D2753="","",IF(ISNA(MATCH($D2753,'Paramètres'!$M:$M,0)),"⚠ Type inconnu",IF($L2753="Crédit","",IFERROR(INDEX('Paramètres'!$O:$O,MATCH($D2753,'Paramètres'!$M:$M,0))&amp;"",""))))</f>
        <v/>
      </c>
      <c r="N2753" s="6" t="str">
        <f>IF($D2753="","",IFERROR(INDEX('Paramètres'!$Q:$Q,MATCH($D2753,'Paramètres'!$M:$M,0))&amp;"",""))</f>
        <v/>
      </c>
      <c r="O2753" s="6" t="str">
        <f>IF($A2753="","",IF(OR($J2753&lt;&gt;"x",$A2753&lt;=FinReleve),1,0))</f>
        <v/>
      </c>
      <c r="P2753" s="6" t="str">
        <f>IF($D2753="","",IF(AND($L2753="Crédit",OR(IFERROR(INDEX('Paramètres'!$O:$O,MATCH($D2753,'Paramètres'!$M:$M,0))&amp;"","")&lt;&gt;"",ISNUMBER(SEARCH("remboursement",IFERROR(INDEX('Paramètres'!$N:$N,MATCH($D2753,'Paramètres'!$M:$M,0))&amp;"",""))))),1,0))</f>
        <v/>
      </c>
      <c r="Q2753" s="6" t="str">
        <f>IF($K2753="","",IF(ISNUMBER(SEARCH("transfert-interne",IFERROR(INDEX('Paramètres'!$N:$N,MATCH($D2753,'Paramètres'!$M:$M,0))&amp;"",""))),0,IF($L2753="Débit",$K2753,IF($P2753=1,-$K2753,0))))</f>
        <v/>
      </c>
      <c r="R2753" s="6" t="str">
        <f>IF($K2753="","",IF($L2753="Crédit",$K2753,-$K2753))</f>
        <v/>
      </c>
      <c r="S2753" s="6" t="str">
        <f>IF($C2753="","",IFERROR(INDEX('Paramètres'!$H:$H,MATCH($C2753,'Paramètres'!$D:$D,0))&amp;"",""))</f>
        <v/>
      </c>
      <c r="T2753" s="6" t="str">
        <f>IF($K2753="","",IF($S2753="",0,IF(ISNUMBER(SEARCH("apport-exterieur",IFERROR(INDEX('Paramètres'!$N:$N,MATCH($D2753,'Paramètres'!$M:$M,0))&amp;"",""))),0,IF(OR(IFERROR(INDEX('Paramètres'!$I:$I,MATCH($C2753,'Paramètres'!$D:$D,0))&amp;"","")="Les deux",IFERROR(INDEX('Paramètres'!$I:$I,MATCH($C2753,'Paramètres'!$D:$D,0))&amp;"","")=IF($P2753=1,"Débit",$L2753)),-IF($P2753=1,-$K2753,$K2753),0))))</f>
        <v/>
      </c>
      <c r="U2753" s="6" t="str">
        <f>IF($K2753="","",IF(ISNUMBER(SEARCH("sortie-epargne",IFERROR(INDEX('Paramètres'!$N:$N,MATCH($D2753,'Paramètres'!$M:$M,0))&amp;"",""))),$K2753,0))</f>
        <v/>
      </c>
      <c r="V2753" s="6" t="str">
        <f>IF(AND($A2753&lt;&gt;"",$O2753=1,$L2753="Débit",N($Q2753)&gt;0,$A2753&gt;=Visualisation!$B$1,$A2753&lt;Visualisation!$D$1),MAX($V$1:V2752)+1,"")</f>
        <v/>
      </c>
    </row>
    <row r="2754" spans="1:22" x14ac:dyDescent="0.25">
      <c r="A2754" s="9"/>
      <c r="E2754" s="10"/>
      <c r="K2754" s="11" t="str">
        <f>IF($E2754="","",ROUND($E2754*IF(ISNA(MATCH($C2754,'Paramètres'!$D:$D,0)),1,IF(INDEX('Paramètres'!$J:$J,MATCH($C2754,'Paramètres'!$D:$D,0))="",1,INDEX('Paramètres'!$J:$J,MATCH($C2754,'Paramètres'!$D:$D,0)))),2))</f>
        <v/>
      </c>
      <c r="L2754" s="6" t="str">
        <f>IF($D2754="","",IF($F2754&lt;&gt;"",$F2754,IF(ISNA(MATCH($D2754,'Paramètres'!$M:$M,0)),"⚠ Type inconnu",IFERROR(INDEX('Paramètres'!$P:$P,MATCH($D2754,'Paramètres'!$M:$M,0))&amp;"",""))))</f>
        <v/>
      </c>
      <c r="M2754" s="6" t="str">
        <f>IF($D2754="","",IF(ISNA(MATCH($D2754,'Paramètres'!$M:$M,0)),"⚠ Type inconnu",IF($L2754="Crédit","",IFERROR(INDEX('Paramètres'!$O:$O,MATCH($D2754,'Paramètres'!$M:$M,0))&amp;"",""))))</f>
        <v/>
      </c>
      <c r="N2754" s="6" t="str">
        <f>IF($D2754="","",IFERROR(INDEX('Paramètres'!$Q:$Q,MATCH($D2754,'Paramètres'!$M:$M,0))&amp;"",""))</f>
        <v/>
      </c>
      <c r="O2754" s="6" t="str">
        <f>IF($A2754="","",IF(OR($J2754&lt;&gt;"x",$A2754&lt;=FinReleve),1,0))</f>
        <v/>
      </c>
      <c r="P2754" s="6" t="str">
        <f>IF($D2754="","",IF(AND($L2754="Crédit",OR(IFERROR(INDEX('Paramètres'!$O:$O,MATCH($D2754,'Paramètres'!$M:$M,0))&amp;"","")&lt;&gt;"",ISNUMBER(SEARCH("remboursement",IFERROR(INDEX('Paramètres'!$N:$N,MATCH($D2754,'Paramètres'!$M:$M,0))&amp;"",""))))),1,0))</f>
        <v/>
      </c>
      <c r="Q2754" s="6" t="str">
        <f>IF($K2754="","",IF(ISNUMBER(SEARCH("transfert-interne",IFERROR(INDEX('Paramètres'!$N:$N,MATCH($D2754,'Paramètres'!$M:$M,0))&amp;"",""))),0,IF($L2754="Débit",$K2754,IF($P2754=1,-$K2754,0))))</f>
        <v/>
      </c>
      <c r="R2754" s="6" t="str">
        <f>IF($K2754="","",IF($L2754="Crédit",$K2754,-$K2754))</f>
        <v/>
      </c>
      <c r="S2754" s="6" t="str">
        <f>IF($C2754="","",IFERROR(INDEX('Paramètres'!$H:$H,MATCH($C2754,'Paramètres'!$D:$D,0))&amp;"",""))</f>
        <v/>
      </c>
      <c r="T2754" s="6" t="str">
        <f>IF($K2754="","",IF($S2754="",0,IF(ISNUMBER(SEARCH("apport-exterieur",IFERROR(INDEX('Paramètres'!$N:$N,MATCH($D2754,'Paramètres'!$M:$M,0))&amp;"",""))),0,IF(OR(IFERROR(INDEX('Paramètres'!$I:$I,MATCH($C2754,'Paramètres'!$D:$D,0))&amp;"","")="Les deux",IFERROR(INDEX('Paramètres'!$I:$I,MATCH($C2754,'Paramètres'!$D:$D,0))&amp;"","")=IF($P2754=1,"Débit",$L2754)),-IF($P2754=1,-$K2754,$K2754),0))))</f>
        <v/>
      </c>
      <c r="U2754" s="6" t="str">
        <f>IF($K2754="","",IF(ISNUMBER(SEARCH("sortie-epargne",IFERROR(INDEX('Paramètres'!$N:$N,MATCH($D2754,'Paramètres'!$M:$M,0))&amp;"",""))),$K2754,0))</f>
        <v/>
      </c>
      <c r="V2754" s="6" t="str">
        <f>IF(AND($A2754&lt;&gt;"",$O2754=1,$L2754="Débit",N($Q2754)&gt;0,$A2754&gt;=Visualisation!$B$1,$A2754&lt;Visualisation!$D$1),MAX($V$1:V2753)+1,"")</f>
        <v/>
      </c>
    </row>
    <row r="2755" spans="1:22" x14ac:dyDescent="0.25">
      <c r="A2755" s="9"/>
      <c r="E2755" s="10"/>
      <c r="K2755" s="11" t="str">
        <f>IF($E2755="","",ROUND($E2755*IF(ISNA(MATCH($C2755,'Paramètres'!$D:$D,0)),1,IF(INDEX('Paramètres'!$J:$J,MATCH($C2755,'Paramètres'!$D:$D,0))="",1,INDEX('Paramètres'!$J:$J,MATCH($C2755,'Paramètres'!$D:$D,0)))),2))</f>
        <v/>
      </c>
      <c r="L2755" s="6" t="str">
        <f>IF($D2755="","",IF($F2755&lt;&gt;"",$F2755,IF(ISNA(MATCH($D2755,'Paramètres'!$M:$M,0)),"⚠ Type inconnu",IFERROR(INDEX('Paramètres'!$P:$P,MATCH($D2755,'Paramètres'!$M:$M,0))&amp;"",""))))</f>
        <v/>
      </c>
      <c r="M2755" s="6" t="str">
        <f>IF($D2755="","",IF(ISNA(MATCH($D2755,'Paramètres'!$M:$M,0)),"⚠ Type inconnu",IF($L2755="Crédit","",IFERROR(INDEX('Paramètres'!$O:$O,MATCH($D2755,'Paramètres'!$M:$M,0))&amp;"",""))))</f>
        <v/>
      </c>
      <c r="N2755" s="6" t="str">
        <f>IF($D2755="","",IFERROR(INDEX('Paramètres'!$Q:$Q,MATCH($D2755,'Paramètres'!$M:$M,0))&amp;"",""))</f>
        <v/>
      </c>
      <c r="O2755" s="6" t="str">
        <f>IF($A2755="","",IF(OR($J2755&lt;&gt;"x",$A2755&lt;=FinReleve),1,0))</f>
        <v/>
      </c>
      <c r="P2755" s="6" t="str">
        <f>IF($D2755="","",IF(AND($L2755="Crédit",OR(IFERROR(INDEX('Paramètres'!$O:$O,MATCH($D2755,'Paramètres'!$M:$M,0))&amp;"","")&lt;&gt;"",ISNUMBER(SEARCH("remboursement",IFERROR(INDEX('Paramètres'!$N:$N,MATCH($D2755,'Paramètres'!$M:$M,0))&amp;"",""))))),1,0))</f>
        <v/>
      </c>
      <c r="Q2755" s="6" t="str">
        <f>IF($K2755="","",IF(ISNUMBER(SEARCH("transfert-interne",IFERROR(INDEX('Paramètres'!$N:$N,MATCH($D2755,'Paramètres'!$M:$M,0))&amp;"",""))),0,IF($L2755="Débit",$K2755,IF($P2755=1,-$K2755,0))))</f>
        <v/>
      </c>
      <c r="R2755" s="6" t="str">
        <f>IF($K2755="","",IF($L2755="Crédit",$K2755,-$K2755))</f>
        <v/>
      </c>
      <c r="S2755" s="6" t="str">
        <f>IF($C2755="","",IFERROR(INDEX('Paramètres'!$H:$H,MATCH($C2755,'Paramètres'!$D:$D,0))&amp;"",""))</f>
        <v/>
      </c>
      <c r="T2755" s="6" t="str">
        <f>IF($K2755="","",IF($S2755="",0,IF(ISNUMBER(SEARCH("apport-exterieur",IFERROR(INDEX('Paramètres'!$N:$N,MATCH($D2755,'Paramètres'!$M:$M,0))&amp;"",""))),0,IF(OR(IFERROR(INDEX('Paramètres'!$I:$I,MATCH($C2755,'Paramètres'!$D:$D,0))&amp;"","")="Les deux",IFERROR(INDEX('Paramètres'!$I:$I,MATCH($C2755,'Paramètres'!$D:$D,0))&amp;"","")=IF($P2755=1,"Débit",$L2755)),-IF($P2755=1,-$K2755,$K2755),0))))</f>
        <v/>
      </c>
      <c r="U2755" s="6" t="str">
        <f>IF($K2755="","",IF(ISNUMBER(SEARCH("sortie-epargne",IFERROR(INDEX('Paramètres'!$N:$N,MATCH($D2755,'Paramètres'!$M:$M,0))&amp;"",""))),$K2755,0))</f>
        <v/>
      </c>
      <c r="V2755" s="6" t="str">
        <f>IF(AND($A2755&lt;&gt;"",$O2755=1,$L2755="Débit",N($Q2755)&gt;0,$A2755&gt;=Visualisation!$B$1,$A2755&lt;Visualisation!$D$1),MAX($V$1:V2754)+1,"")</f>
        <v/>
      </c>
    </row>
    <row r="2756" spans="1:22" x14ac:dyDescent="0.25">
      <c r="A2756" s="9"/>
      <c r="E2756" s="10"/>
      <c r="K2756" s="11" t="str">
        <f>IF($E2756="","",ROUND($E2756*IF(ISNA(MATCH($C2756,'Paramètres'!$D:$D,0)),1,IF(INDEX('Paramètres'!$J:$J,MATCH($C2756,'Paramètres'!$D:$D,0))="",1,INDEX('Paramètres'!$J:$J,MATCH($C2756,'Paramètres'!$D:$D,0)))),2))</f>
        <v/>
      </c>
      <c r="L2756" s="6" t="str">
        <f>IF($D2756="","",IF($F2756&lt;&gt;"",$F2756,IF(ISNA(MATCH($D2756,'Paramètres'!$M:$M,0)),"⚠ Type inconnu",IFERROR(INDEX('Paramètres'!$P:$P,MATCH($D2756,'Paramètres'!$M:$M,0))&amp;"",""))))</f>
        <v/>
      </c>
      <c r="M2756" s="6" t="str">
        <f>IF($D2756="","",IF(ISNA(MATCH($D2756,'Paramètres'!$M:$M,0)),"⚠ Type inconnu",IF($L2756="Crédit","",IFERROR(INDEX('Paramètres'!$O:$O,MATCH($D2756,'Paramètres'!$M:$M,0))&amp;"",""))))</f>
        <v/>
      </c>
      <c r="N2756" s="6" t="str">
        <f>IF($D2756="","",IFERROR(INDEX('Paramètres'!$Q:$Q,MATCH($D2756,'Paramètres'!$M:$M,0))&amp;"",""))</f>
        <v/>
      </c>
      <c r="O2756" s="6" t="str">
        <f>IF($A2756="","",IF(OR($J2756&lt;&gt;"x",$A2756&lt;=FinReleve),1,0))</f>
        <v/>
      </c>
      <c r="P2756" s="6" t="str">
        <f>IF($D2756="","",IF(AND($L2756="Crédit",OR(IFERROR(INDEX('Paramètres'!$O:$O,MATCH($D2756,'Paramètres'!$M:$M,0))&amp;"","")&lt;&gt;"",ISNUMBER(SEARCH("remboursement",IFERROR(INDEX('Paramètres'!$N:$N,MATCH($D2756,'Paramètres'!$M:$M,0))&amp;"",""))))),1,0))</f>
        <v/>
      </c>
      <c r="Q2756" s="6" t="str">
        <f>IF($K2756="","",IF(ISNUMBER(SEARCH("transfert-interne",IFERROR(INDEX('Paramètres'!$N:$N,MATCH($D2756,'Paramètres'!$M:$M,0))&amp;"",""))),0,IF($L2756="Débit",$K2756,IF($P2756=1,-$K2756,0))))</f>
        <v/>
      </c>
      <c r="R2756" s="6" t="str">
        <f>IF($K2756="","",IF($L2756="Crédit",$K2756,-$K2756))</f>
        <v/>
      </c>
      <c r="S2756" s="6" t="str">
        <f>IF($C2756="","",IFERROR(INDEX('Paramètres'!$H:$H,MATCH($C2756,'Paramètres'!$D:$D,0))&amp;"",""))</f>
        <v/>
      </c>
      <c r="T2756" s="6" t="str">
        <f>IF($K2756="","",IF($S2756="",0,IF(ISNUMBER(SEARCH("apport-exterieur",IFERROR(INDEX('Paramètres'!$N:$N,MATCH($D2756,'Paramètres'!$M:$M,0))&amp;"",""))),0,IF(OR(IFERROR(INDEX('Paramètres'!$I:$I,MATCH($C2756,'Paramètres'!$D:$D,0))&amp;"","")="Les deux",IFERROR(INDEX('Paramètres'!$I:$I,MATCH($C2756,'Paramètres'!$D:$D,0))&amp;"","")=IF($P2756=1,"Débit",$L2756)),-IF($P2756=1,-$K2756,$K2756),0))))</f>
        <v/>
      </c>
      <c r="U2756" s="6" t="str">
        <f>IF($K2756="","",IF(ISNUMBER(SEARCH("sortie-epargne",IFERROR(INDEX('Paramètres'!$N:$N,MATCH($D2756,'Paramètres'!$M:$M,0))&amp;"",""))),$K2756,0))</f>
        <v/>
      </c>
      <c r="V2756" s="6" t="str">
        <f>IF(AND($A2756&lt;&gt;"",$O2756=1,$L2756="Débit",N($Q2756)&gt;0,$A2756&gt;=Visualisation!$B$1,$A2756&lt;Visualisation!$D$1),MAX($V$1:V2755)+1,"")</f>
        <v/>
      </c>
    </row>
    <row r="2757" spans="1:22" x14ac:dyDescent="0.25">
      <c r="A2757" s="9"/>
      <c r="E2757" s="10"/>
      <c r="K2757" s="11" t="str">
        <f>IF($E2757="","",ROUND($E2757*IF(ISNA(MATCH($C2757,'Paramètres'!$D:$D,0)),1,IF(INDEX('Paramètres'!$J:$J,MATCH($C2757,'Paramètres'!$D:$D,0))="",1,INDEX('Paramètres'!$J:$J,MATCH($C2757,'Paramètres'!$D:$D,0)))),2))</f>
        <v/>
      </c>
      <c r="L2757" s="6" t="str">
        <f>IF($D2757="","",IF($F2757&lt;&gt;"",$F2757,IF(ISNA(MATCH($D2757,'Paramètres'!$M:$M,0)),"⚠ Type inconnu",IFERROR(INDEX('Paramètres'!$P:$P,MATCH($D2757,'Paramètres'!$M:$M,0))&amp;"",""))))</f>
        <v/>
      </c>
      <c r="M2757" s="6" t="str">
        <f>IF($D2757="","",IF(ISNA(MATCH($D2757,'Paramètres'!$M:$M,0)),"⚠ Type inconnu",IF($L2757="Crédit","",IFERROR(INDEX('Paramètres'!$O:$O,MATCH($D2757,'Paramètres'!$M:$M,0))&amp;"",""))))</f>
        <v/>
      </c>
      <c r="N2757" s="6" t="str">
        <f>IF($D2757="","",IFERROR(INDEX('Paramètres'!$Q:$Q,MATCH($D2757,'Paramètres'!$M:$M,0))&amp;"",""))</f>
        <v/>
      </c>
      <c r="O2757" s="6" t="str">
        <f>IF($A2757="","",IF(OR($J2757&lt;&gt;"x",$A2757&lt;=FinReleve),1,0))</f>
        <v/>
      </c>
      <c r="P2757" s="6" t="str">
        <f>IF($D2757="","",IF(AND($L2757="Crédit",OR(IFERROR(INDEX('Paramètres'!$O:$O,MATCH($D2757,'Paramètres'!$M:$M,0))&amp;"","")&lt;&gt;"",ISNUMBER(SEARCH("remboursement",IFERROR(INDEX('Paramètres'!$N:$N,MATCH($D2757,'Paramètres'!$M:$M,0))&amp;"",""))))),1,0))</f>
        <v/>
      </c>
      <c r="Q2757" s="6" t="str">
        <f>IF($K2757="","",IF(ISNUMBER(SEARCH("transfert-interne",IFERROR(INDEX('Paramètres'!$N:$N,MATCH($D2757,'Paramètres'!$M:$M,0))&amp;"",""))),0,IF($L2757="Débit",$K2757,IF($P2757=1,-$K2757,0))))</f>
        <v/>
      </c>
      <c r="R2757" s="6" t="str">
        <f>IF($K2757="","",IF($L2757="Crédit",$K2757,-$K2757))</f>
        <v/>
      </c>
      <c r="S2757" s="6" t="str">
        <f>IF($C2757="","",IFERROR(INDEX('Paramètres'!$H:$H,MATCH($C2757,'Paramètres'!$D:$D,0))&amp;"",""))</f>
        <v/>
      </c>
      <c r="T2757" s="6" t="str">
        <f>IF($K2757="","",IF($S2757="",0,IF(ISNUMBER(SEARCH("apport-exterieur",IFERROR(INDEX('Paramètres'!$N:$N,MATCH($D2757,'Paramètres'!$M:$M,0))&amp;"",""))),0,IF(OR(IFERROR(INDEX('Paramètres'!$I:$I,MATCH($C2757,'Paramètres'!$D:$D,0))&amp;"","")="Les deux",IFERROR(INDEX('Paramètres'!$I:$I,MATCH($C2757,'Paramètres'!$D:$D,0))&amp;"","")=IF($P2757=1,"Débit",$L2757)),-IF($P2757=1,-$K2757,$K2757),0))))</f>
        <v/>
      </c>
      <c r="U2757" s="6" t="str">
        <f>IF($K2757="","",IF(ISNUMBER(SEARCH("sortie-epargne",IFERROR(INDEX('Paramètres'!$N:$N,MATCH($D2757,'Paramètres'!$M:$M,0))&amp;"",""))),$K2757,0))</f>
        <v/>
      </c>
      <c r="V2757" s="6" t="str">
        <f>IF(AND($A2757&lt;&gt;"",$O2757=1,$L2757="Débit",N($Q2757)&gt;0,$A2757&gt;=Visualisation!$B$1,$A2757&lt;Visualisation!$D$1),MAX($V$1:V2756)+1,"")</f>
        <v/>
      </c>
    </row>
    <row r="2758" spans="1:22" x14ac:dyDescent="0.25">
      <c r="A2758" s="9"/>
      <c r="E2758" s="10"/>
      <c r="K2758" s="11" t="str">
        <f>IF($E2758="","",ROUND($E2758*IF(ISNA(MATCH($C2758,'Paramètres'!$D:$D,0)),1,IF(INDEX('Paramètres'!$J:$J,MATCH($C2758,'Paramètres'!$D:$D,0))="",1,INDEX('Paramètres'!$J:$J,MATCH($C2758,'Paramètres'!$D:$D,0)))),2))</f>
        <v/>
      </c>
      <c r="L2758" s="6" t="str">
        <f>IF($D2758="","",IF($F2758&lt;&gt;"",$F2758,IF(ISNA(MATCH($D2758,'Paramètres'!$M:$M,0)),"⚠ Type inconnu",IFERROR(INDEX('Paramètres'!$P:$P,MATCH($D2758,'Paramètres'!$M:$M,0))&amp;"",""))))</f>
        <v/>
      </c>
      <c r="M2758" s="6" t="str">
        <f>IF($D2758="","",IF(ISNA(MATCH($D2758,'Paramètres'!$M:$M,0)),"⚠ Type inconnu",IF($L2758="Crédit","",IFERROR(INDEX('Paramètres'!$O:$O,MATCH($D2758,'Paramètres'!$M:$M,0))&amp;"",""))))</f>
        <v/>
      </c>
      <c r="N2758" s="6" t="str">
        <f>IF($D2758="","",IFERROR(INDEX('Paramètres'!$Q:$Q,MATCH($D2758,'Paramètres'!$M:$M,0))&amp;"",""))</f>
        <v/>
      </c>
      <c r="O2758" s="6" t="str">
        <f>IF($A2758="","",IF(OR($J2758&lt;&gt;"x",$A2758&lt;=FinReleve),1,0))</f>
        <v/>
      </c>
      <c r="P2758" s="6" t="str">
        <f>IF($D2758="","",IF(AND($L2758="Crédit",OR(IFERROR(INDEX('Paramètres'!$O:$O,MATCH($D2758,'Paramètres'!$M:$M,0))&amp;"","")&lt;&gt;"",ISNUMBER(SEARCH("remboursement",IFERROR(INDEX('Paramètres'!$N:$N,MATCH($D2758,'Paramètres'!$M:$M,0))&amp;"",""))))),1,0))</f>
        <v/>
      </c>
      <c r="Q2758" s="6" t="str">
        <f>IF($K2758="","",IF(ISNUMBER(SEARCH("transfert-interne",IFERROR(INDEX('Paramètres'!$N:$N,MATCH($D2758,'Paramètres'!$M:$M,0))&amp;"",""))),0,IF($L2758="Débit",$K2758,IF($P2758=1,-$K2758,0))))</f>
        <v/>
      </c>
      <c r="R2758" s="6" t="str">
        <f>IF($K2758="","",IF($L2758="Crédit",$K2758,-$K2758))</f>
        <v/>
      </c>
      <c r="S2758" s="6" t="str">
        <f>IF($C2758="","",IFERROR(INDEX('Paramètres'!$H:$H,MATCH($C2758,'Paramètres'!$D:$D,0))&amp;"",""))</f>
        <v/>
      </c>
      <c r="T2758" s="6" t="str">
        <f>IF($K2758="","",IF($S2758="",0,IF(ISNUMBER(SEARCH("apport-exterieur",IFERROR(INDEX('Paramètres'!$N:$N,MATCH($D2758,'Paramètres'!$M:$M,0))&amp;"",""))),0,IF(OR(IFERROR(INDEX('Paramètres'!$I:$I,MATCH($C2758,'Paramètres'!$D:$D,0))&amp;"","")="Les deux",IFERROR(INDEX('Paramètres'!$I:$I,MATCH($C2758,'Paramètres'!$D:$D,0))&amp;"","")=IF($P2758=1,"Débit",$L2758)),-IF($P2758=1,-$K2758,$K2758),0))))</f>
        <v/>
      </c>
      <c r="U2758" s="6" t="str">
        <f>IF($K2758="","",IF(ISNUMBER(SEARCH("sortie-epargne",IFERROR(INDEX('Paramètres'!$N:$N,MATCH($D2758,'Paramètres'!$M:$M,0))&amp;"",""))),$K2758,0))</f>
        <v/>
      </c>
      <c r="V2758" s="6" t="str">
        <f>IF(AND($A2758&lt;&gt;"",$O2758=1,$L2758="Débit",N($Q2758)&gt;0,$A2758&gt;=Visualisation!$B$1,$A2758&lt;Visualisation!$D$1),MAX($V$1:V2757)+1,"")</f>
        <v/>
      </c>
    </row>
    <row r="2759" spans="1:22" x14ac:dyDescent="0.25">
      <c r="A2759" s="9"/>
      <c r="E2759" s="10"/>
      <c r="K2759" s="11" t="str">
        <f>IF($E2759="","",ROUND($E2759*IF(ISNA(MATCH($C2759,'Paramètres'!$D:$D,0)),1,IF(INDEX('Paramètres'!$J:$J,MATCH($C2759,'Paramètres'!$D:$D,0))="",1,INDEX('Paramètres'!$J:$J,MATCH($C2759,'Paramètres'!$D:$D,0)))),2))</f>
        <v/>
      </c>
      <c r="L2759" s="6" t="str">
        <f>IF($D2759="","",IF($F2759&lt;&gt;"",$F2759,IF(ISNA(MATCH($D2759,'Paramètres'!$M:$M,0)),"⚠ Type inconnu",IFERROR(INDEX('Paramètres'!$P:$P,MATCH($D2759,'Paramètres'!$M:$M,0))&amp;"",""))))</f>
        <v/>
      </c>
      <c r="M2759" s="6" t="str">
        <f>IF($D2759="","",IF(ISNA(MATCH($D2759,'Paramètres'!$M:$M,0)),"⚠ Type inconnu",IF($L2759="Crédit","",IFERROR(INDEX('Paramètres'!$O:$O,MATCH($D2759,'Paramètres'!$M:$M,0))&amp;"",""))))</f>
        <v/>
      </c>
      <c r="N2759" s="6" t="str">
        <f>IF($D2759="","",IFERROR(INDEX('Paramètres'!$Q:$Q,MATCH($D2759,'Paramètres'!$M:$M,0))&amp;"",""))</f>
        <v/>
      </c>
      <c r="O2759" s="6" t="str">
        <f>IF($A2759="","",IF(OR($J2759&lt;&gt;"x",$A2759&lt;=FinReleve),1,0))</f>
        <v/>
      </c>
      <c r="P2759" s="6" t="str">
        <f>IF($D2759="","",IF(AND($L2759="Crédit",OR(IFERROR(INDEX('Paramètres'!$O:$O,MATCH($D2759,'Paramètres'!$M:$M,0))&amp;"","")&lt;&gt;"",ISNUMBER(SEARCH("remboursement",IFERROR(INDEX('Paramètres'!$N:$N,MATCH($D2759,'Paramètres'!$M:$M,0))&amp;"",""))))),1,0))</f>
        <v/>
      </c>
      <c r="Q2759" s="6" t="str">
        <f>IF($K2759="","",IF(ISNUMBER(SEARCH("transfert-interne",IFERROR(INDEX('Paramètres'!$N:$N,MATCH($D2759,'Paramètres'!$M:$M,0))&amp;"",""))),0,IF($L2759="Débit",$K2759,IF($P2759=1,-$K2759,0))))</f>
        <v/>
      </c>
      <c r="R2759" s="6" t="str">
        <f>IF($K2759="","",IF($L2759="Crédit",$K2759,-$K2759))</f>
        <v/>
      </c>
      <c r="S2759" s="6" t="str">
        <f>IF($C2759="","",IFERROR(INDEX('Paramètres'!$H:$H,MATCH($C2759,'Paramètres'!$D:$D,0))&amp;"",""))</f>
        <v/>
      </c>
      <c r="T2759" s="6" t="str">
        <f>IF($K2759="","",IF($S2759="",0,IF(ISNUMBER(SEARCH("apport-exterieur",IFERROR(INDEX('Paramètres'!$N:$N,MATCH($D2759,'Paramètres'!$M:$M,0))&amp;"",""))),0,IF(OR(IFERROR(INDEX('Paramètres'!$I:$I,MATCH($C2759,'Paramètres'!$D:$D,0))&amp;"","")="Les deux",IFERROR(INDEX('Paramètres'!$I:$I,MATCH($C2759,'Paramètres'!$D:$D,0))&amp;"","")=IF($P2759=1,"Débit",$L2759)),-IF($P2759=1,-$K2759,$K2759),0))))</f>
        <v/>
      </c>
      <c r="U2759" s="6" t="str">
        <f>IF($K2759="","",IF(ISNUMBER(SEARCH("sortie-epargne",IFERROR(INDEX('Paramètres'!$N:$N,MATCH($D2759,'Paramètres'!$M:$M,0))&amp;"",""))),$K2759,0))</f>
        <v/>
      </c>
      <c r="V2759" s="6" t="str">
        <f>IF(AND($A2759&lt;&gt;"",$O2759=1,$L2759="Débit",N($Q2759)&gt;0,$A2759&gt;=Visualisation!$B$1,$A2759&lt;Visualisation!$D$1),MAX($V$1:V2758)+1,"")</f>
        <v/>
      </c>
    </row>
    <row r="2760" spans="1:22" x14ac:dyDescent="0.25">
      <c r="A2760" s="9"/>
      <c r="E2760" s="10"/>
      <c r="K2760" s="11" t="str">
        <f>IF($E2760="","",ROUND($E2760*IF(ISNA(MATCH($C2760,'Paramètres'!$D:$D,0)),1,IF(INDEX('Paramètres'!$J:$J,MATCH($C2760,'Paramètres'!$D:$D,0))="",1,INDEX('Paramètres'!$J:$J,MATCH($C2760,'Paramètres'!$D:$D,0)))),2))</f>
        <v/>
      </c>
      <c r="L2760" s="6" t="str">
        <f>IF($D2760="","",IF($F2760&lt;&gt;"",$F2760,IF(ISNA(MATCH($D2760,'Paramètres'!$M:$M,0)),"⚠ Type inconnu",IFERROR(INDEX('Paramètres'!$P:$P,MATCH($D2760,'Paramètres'!$M:$M,0))&amp;"",""))))</f>
        <v/>
      </c>
      <c r="M2760" s="6" t="str">
        <f>IF($D2760="","",IF(ISNA(MATCH($D2760,'Paramètres'!$M:$M,0)),"⚠ Type inconnu",IF($L2760="Crédit","",IFERROR(INDEX('Paramètres'!$O:$O,MATCH($D2760,'Paramètres'!$M:$M,0))&amp;"",""))))</f>
        <v/>
      </c>
      <c r="N2760" s="6" t="str">
        <f>IF($D2760="","",IFERROR(INDEX('Paramètres'!$Q:$Q,MATCH($D2760,'Paramètres'!$M:$M,0))&amp;"",""))</f>
        <v/>
      </c>
      <c r="O2760" s="6" t="str">
        <f>IF($A2760="","",IF(OR($J2760&lt;&gt;"x",$A2760&lt;=FinReleve),1,0))</f>
        <v/>
      </c>
      <c r="P2760" s="6" t="str">
        <f>IF($D2760="","",IF(AND($L2760="Crédit",OR(IFERROR(INDEX('Paramètres'!$O:$O,MATCH($D2760,'Paramètres'!$M:$M,0))&amp;"","")&lt;&gt;"",ISNUMBER(SEARCH("remboursement",IFERROR(INDEX('Paramètres'!$N:$N,MATCH($D2760,'Paramètres'!$M:$M,0))&amp;"",""))))),1,0))</f>
        <v/>
      </c>
      <c r="Q2760" s="6" t="str">
        <f>IF($K2760="","",IF(ISNUMBER(SEARCH("transfert-interne",IFERROR(INDEX('Paramètres'!$N:$N,MATCH($D2760,'Paramètres'!$M:$M,0))&amp;"",""))),0,IF($L2760="Débit",$K2760,IF($P2760=1,-$K2760,0))))</f>
        <v/>
      </c>
      <c r="R2760" s="6" t="str">
        <f>IF($K2760="","",IF($L2760="Crédit",$K2760,-$K2760))</f>
        <v/>
      </c>
      <c r="S2760" s="6" t="str">
        <f>IF($C2760="","",IFERROR(INDEX('Paramètres'!$H:$H,MATCH($C2760,'Paramètres'!$D:$D,0))&amp;"",""))</f>
        <v/>
      </c>
      <c r="T2760" s="6" t="str">
        <f>IF($K2760="","",IF($S2760="",0,IF(ISNUMBER(SEARCH("apport-exterieur",IFERROR(INDEX('Paramètres'!$N:$N,MATCH($D2760,'Paramètres'!$M:$M,0))&amp;"",""))),0,IF(OR(IFERROR(INDEX('Paramètres'!$I:$I,MATCH($C2760,'Paramètres'!$D:$D,0))&amp;"","")="Les deux",IFERROR(INDEX('Paramètres'!$I:$I,MATCH($C2760,'Paramètres'!$D:$D,0))&amp;"","")=IF($P2760=1,"Débit",$L2760)),-IF($P2760=1,-$K2760,$K2760),0))))</f>
        <v/>
      </c>
      <c r="U2760" s="6" t="str">
        <f>IF($K2760="","",IF(ISNUMBER(SEARCH("sortie-epargne",IFERROR(INDEX('Paramètres'!$N:$N,MATCH($D2760,'Paramètres'!$M:$M,0))&amp;"",""))),$K2760,0))</f>
        <v/>
      </c>
      <c r="V2760" s="6" t="str">
        <f>IF(AND($A2760&lt;&gt;"",$O2760=1,$L2760="Débit",N($Q2760)&gt;0,$A2760&gt;=Visualisation!$B$1,$A2760&lt;Visualisation!$D$1),MAX($V$1:V2759)+1,"")</f>
        <v/>
      </c>
    </row>
    <row r="2761" spans="1:22" x14ac:dyDescent="0.25">
      <c r="A2761" s="9"/>
      <c r="E2761" s="10"/>
      <c r="K2761" s="11" t="str">
        <f>IF($E2761="","",ROUND($E2761*IF(ISNA(MATCH($C2761,'Paramètres'!$D:$D,0)),1,IF(INDEX('Paramètres'!$J:$J,MATCH($C2761,'Paramètres'!$D:$D,0))="",1,INDEX('Paramètres'!$J:$J,MATCH($C2761,'Paramètres'!$D:$D,0)))),2))</f>
        <v/>
      </c>
      <c r="L2761" s="6" t="str">
        <f>IF($D2761="","",IF($F2761&lt;&gt;"",$F2761,IF(ISNA(MATCH($D2761,'Paramètres'!$M:$M,0)),"⚠ Type inconnu",IFERROR(INDEX('Paramètres'!$P:$P,MATCH($D2761,'Paramètres'!$M:$M,0))&amp;"",""))))</f>
        <v/>
      </c>
      <c r="M2761" s="6" t="str">
        <f>IF($D2761="","",IF(ISNA(MATCH($D2761,'Paramètres'!$M:$M,0)),"⚠ Type inconnu",IF($L2761="Crédit","",IFERROR(INDEX('Paramètres'!$O:$O,MATCH($D2761,'Paramètres'!$M:$M,0))&amp;"",""))))</f>
        <v/>
      </c>
      <c r="N2761" s="6" t="str">
        <f>IF($D2761="","",IFERROR(INDEX('Paramètres'!$Q:$Q,MATCH($D2761,'Paramètres'!$M:$M,0))&amp;"",""))</f>
        <v/>
      </c>
      <c r="O2761" s="6" t="str">
        <f>IF($A2761="","",IF(OR($J2761&lt;&gt;"x",$A2761&lt;=FinReleve),1,0))</f>
        <v/>
      </c>
      <c r="P2761" s="6" t="str">
        <f>IF($D2761="","",IF(AND($L2761="Crédit",OR(IFERROR(INDEX('Paramètres'!$O:$O,MATCH($D2761,'Paramètres'!$M:$M,0))&amp;"","")&lt;&gt;"",ISNUMBER(SEARCH("remboursement",IFERROR(INDEX('Paramètres'!$N:$N,MATCH($D2761,'Paramètres'!$M:$M,0))&amp;"",""))))),1,0))</f>
        <v/>
      </c>
      <c r="Q2761" s="6" t="str">
        <f>IF($K2761="","",IF(ISNUMBER(SEARCH("transfert-interne",IFERROR(INDEX('Paramètres'!$N:$N,MATCH($D2761,'Paramètres'!$M:$M,0))&amp;"",""))),0,IF($L2761="Débit",$K2761,IF($P2761=1,-$K2761,0))))</f>
        <v/>
      </c>
      <c r="R2761" s="6" t="str">
        <f>IF($K2761="","",IF($L2761="Crédit",$K2761,-$K2761))</f>
        <v/>
      </c>
      <c r="S2761" s="6" t="str">
        <f>IF($C2761="","",IFERROR(INDEX('Paramètres'!$H:$H,MATCH($C2761,'Paramètres'!$D:$D,0))&amp;"",""))</f>
        <v/>
      </c>
      <c r="T2761" s="6" t="str">
        <f>IF($K2761="","",IF($S2761="",0,IF(ISNUMBER(SEARCH("apport-exterieur",IFERROR(INDEX('Paramètres'!$N:$N,MATCH($D2761,'Paramètres'!$M:$M,0))&amp;"",""))),0,IF(OR(IFERROR(INDEX('Paramètres'!$I:$I,MATCH($C2761,'Paramètres'!$D:$D,0))&amp;"","")="Les deux",IFERROR(INDEX('Paramètres'!$I:$I,MATCH($C2761,'Paramètres'!$D:$D,0))&amp;"","")=IF($P2761=1,"Débit",$L2761)),-IF($P2761=1,-$K2761,$K2761),0))))</f>
        <v/>
      </c>
      <c r="U2761" s="6" t="str">
        <f>IF($K2761="","",IF(ISNUMBER(SEARCH("sortie-epargne",IFERROR(INDEX('Paramètres'!$N:$N,MATCH($D2761,'Paramètres'!$M:$M,0))&amp;"",""))),$K2761,0))</f>
        <v/>
      </c>
      <c r="V2761" s="6" t="str">
        <f>IF(AND($A2761&lt;&gt;"",$O2761=1,$L2761="Débit",N($Q2761)&gt;0,$A2761&gt;=Visualisation!$B$1,$A2761&lt;Visualisation!$D$1),MAX($V$1:V2760)+1,"")</f>
        <v/>
      </c>
    </row>
    <row r="2762" spans="1:22" x14ac:dyDescent="0.25">
      <c r="A2762" s="9"/>
      <c r="E2762" s="10"/>
      <c r="K2762" s="11" t="str">
        <f>IF($E2762="","",ROUND($E2762*IF(ISNA(MATCH($C2762,'Paramètres'!$D:$D,0)),1,IF(INDEX('Paramètres'!$J:$J,MATCH($C2762,'Paramètres'!$D:$D,0))="",1,INDEX('Paramètres'!$J:$J,MATCH($C2762,'Paramètres'!$D:$D,0)))),2))</f>
        <v/>
      </c>
      <c r="L2762" s="6" t="str">
        <f>IF($D2762="","",IF($F2762&lt;&gt;"",$F2762,IF(ISNA(MATCH($D2762,'Paramètres'!$M:$M,0)),"⚠ Type inconnu",IFERROR(INDEX('Paramètres'!$P:$P,MATCH($D2762,'Paramètres'!$M:$M,0))&amp;"",""))))</f>
        <v/>
      </c>
      <c r="M2762" s="6" t="str">
        <f>IF($D2762="","",IF(ISNA(MATCH($D2762,'Paramètres'!$M:$M,0)),"⚠ Type inconnu",IF($L2762="Crédit","",IFERROR(INDEX('Paramètres'!$O:$O,MATCH($D2762,'Paramètres'!$M:$M,0))&amp;"",""))))</f>
        <v/>
      </c>
      <c r="N2762" s="6" t="str">
        <f>IF($D2762="","",IFERROR(INDEX('Paramètres'!$Q:$Q,MATCH($D2762,'Paramètres'!$M:$M,0))&amp;"",""))</f>
        <v/>
      </c>
      <c r="O2762" s="6" t="str">
        <f>IF($A2762="","",IF(OR($J2762&lt;&gt;"x",$A2762&lt;=FinReleve),1,0))</f>
        <v/>
      </c>
      <c r="P2762" s="6" t="str">
        <f>IF($D2762="","",IF(AND($L2762="Crédit",OR(IFERROR(INDEX('Paramètres'!$O:$O,MATCH($D2762,'Paramètres'!$M:$M,0))&amp;"","")&lt;&gt;"",ISNUMBER(SEARCH("remboursement",IFERROR(INDEX('Paramètres'!$N:$N,MATCH($D2762,'Paramètres'!$M:$M,0))&amp;"",""))))),1,0))</f>
        <v/>
      </c>
      <c r="Q2762" s="6" t="str">
        <f>IF($K2762="","",IF(ISNUMBER(SEARCH("transfert-interne",IFERROR(INDEX('Paramètres'!$N:$N,MATCH($D2762,'Paramètres'!$M:$M,0))&amp;"",""))),0,IF($L2762="Débit",$K2762,IF($P2762=1,-$K2762,0))))</f>
        <v/>
      </c>
      <c r="R2762" s="6" t="str">
        <f>IF($K2762="","",IF($L2762="Crédit",$K2762,-$K2762))</f>
        <v/>
      </c>
      <c r="S2762" s="6" t="str">
        <f>IF($C2762="","",IFERROR(INDEX('Paramètres'!$H:$H,MATCH($C2762,'Paramètres'!$D:$D,0))&amp;"",""))</f>
        <v/>
      </c>
      <c r="T2762" s="6" t="str">
        <f>IF($K2762="","",IF($S2762="",0,IF(ISNUMBER(SEARCH("apport-exterieur",IFERROR(INDEX('Paramètres'!$N:$N,MATCH($D2762,'Paramètres'!$M:$M,0))&amp;"",""))),0,IF(OR(IFERROR(INDEX('Paramètres'!$I:$I,MATCH($C2762,'Paramètres'!$D:$D,0))&amp;"","")="Les deux",IFERROR(INDEX('Paramètres'!$I:$I,MATCH($C2762,'Paramètres'!$D:$D,0))&amp;"","")=IF($P2762=1,"Débit",$L2762)),-IF($P2762=1,-$K2762,$K2762),0))))</f>
        <v/>
      </c>
      <c r="U2762" s="6" t="str">
        <f>IF($K2762="","",IF(ISNUMBER(SEARCH("sortie-epargne",IFERROR(INDEX('Paramètres'!$N:$N,MATCH($D2762,'Paramètres'!$M:$M,0))&amp;"",""))),$K2762,0))</f>
        <v/>
      </c>
      <c r="V2762" s="6" t="str">
        <f>IF(AND($A2762&lt;&gt;"",$O2762=1,$L2762="Débit",N($Q2762)&gt;0,$A2762&gt;=Visualisation!$B$1,$A2762&lt;Visualisation!$D$1),MAX($V$1:V2761)+1,"")</f>
        <v/>
      </c>
    </row>
    <row r="2763" spans="1:22" x14ac:dyDescent="0.25">
      <c r="A2763" s="9"/>
      <c r="E2763" s="10"/>
      <c r="K2763" s="11" t="str">
        <f>IF($E2763="","",ROUND($E2763*IF(ISNA(MATCH($C2763,'Paramètres'!$D:$D,0)),1,IF(INDEX('Paramètres'!$J:$J,MATCH($C2763,'Paramètres'!$D:$D,0))="",1,INDEX('Paramètres'!$J:$J,MATCH($C2763,'Paramètres'!$D:$D,0)))),2))</f>
        <v/>
      </c>
      <c r="L2763" s="6" t="str">
        <f>IF($D2763="","",IF($F2763&lt;&gt;"",$F2763,IF(ISNA(MATCH($D2763,'Paramètres'!$M:$M,0)),"⚠ Type inconnu",IFERROR(INDEX('Paramètres'!$P:$P,MATCH($D2763,'Paramètres'!$M:$M,0))&amp;"",""))))</f>
        <v/>
      </c>
      <c r="M2763" s="6" t="str">
        <f>IF($D2763="","",IF(ISNA(MATCH($D2763,'Paramètres'!$M:$M,0)),"⚠ Type inconnu",IF($L2763="Crédit","",IFERROR(INDEX('Paramètres'!$O:$O,MATCH($D2763,'Paramètres'!$M:$M,0))&amp;"",""))))</f>
        <v/>
      </c>
      <c r="N2763" s="6" t="str">
        <f>IF($D2763="","",IFERROR(INDEX('Paramètres'!$Q:$Q,MATCH($D2763,'Paramètres'!$M:$M,0))&amp;"",""))</f>
        <v/>
      </c>
      <c r="O2763" s="6" t="str">
        <f>IF($A2763="","",IF(OR($J2763&lt;&gt;"x",$A2763&lt;=FinReleve),1,0))</f>
        <v/>
      </c>
      <c r="P2763" s="6" t="str">
        <f>IF($D2763="","",IF(AND($L2763="Crédit",OR(IFERROR(INDEX('Paramètres'!$O:$O,MATCH($D2763,'Paramètres'!$M:$M,0))&amp;"","")&lt;&gt;"",ISNUMBER(SEARCH("remboursement",IFERROR(INDEX('Paramètres'!$N:$N,MATCH($D2763,'Paramètres'!$M:$M,0))&amp;"",""))))),1,0))</f>
        <v/>
      </c>
      <c r="Q2763" s="6" t="str">
        <f>IF($K2763="","",IF(ISNUMBER(SEARCH("transfert-interne",IFERROR(INDEX('Paramètres'!$N:$N,MATCH($D2763,'Paramètres'!$M:$M,0))&amp;"",""))),0,IF($L2763="Débit",$K2763,IF($P2763=1,-$K2763,0))))</f>
        <v/>
      </c>
      <c r="R2763" s="6" t="str">
        <f>IF($K2763="","",IF($L2763="Crédit",$K2763,-$K2763))</f>
        <v/>
      </c>
      <c r="S2763" s="6" t="str">
        <f>IF($C2763="","",IFERROR(INDEX('Paramètres'!$H:$H,MATCH($C2763,'Paramètres'!$D:$D,0))&amp;"",""))</f>
        <v/>
      </c>
      <c r="T2763" s="6" t="str">
        <f>IF($K2763="","",IF($S2763="",0,IF(ISNUMBER(SEARCH("apport-exterieur",IFERROR(INDEX('Paramètres'!$N:$N,MATCH($D2763,'Paramètres'!$M:$M,0))&amp;"",""))),0,IF(OR(IFERROR(INDEX('Paramètres'!$I:$I,MATCH($C2763,'Paramètres'!$D:$D,0))&amp;"","")="Les deux",IFERROR(INDEX('Paramètres'!$I:$I,MATCH($C2763,'Paramètres'!$D:$D,0))&amp;"","")=IF($P2763=1,"Débit",$L2763)),-IF($P2763=1,-$K2763,$K2763),0))))</f>
        <v/>
      </c>
      <c r="U2763" s="6" t="str">
        <f>IF($K2763="","",IF(ISNUMBER(SEARCH("sortie-epargne",IFERROR(INDEX('Paramètres'!$N:$N,MATCH($D2763,'Paramètres'!$M:$M,0))&amp;"",""))),$K2763,0))</f>
        <v/>
      </c>
      <c r="V2763" s="6" t="str">
        <f>IF(AND($A2763&lt;&gt;"",$O2763=1,$L2763="Débit",N($Q2763)&gt;0,$A2763&gt;=Visualisation!$B$1,$A2763&lt;Visualisation!$D$1),MAX($V$1:V2762)+1,"")</f>
        <v/>
      </c>
    </row>
    <row r="2764" spans="1:22" x14ac:dyDescent="0.25">
      <c r="A2764" s="9"/>
      <c r="E2764" s="10"/>
      <c r="K2764" s="11" t="str">
        <f>IF($E2764="","",ROUND($E2764*IF(ISNA(MATCH($C2764,'Paramètres'!$D:$D,0)),1,IF(INDEX('Paramètres'!$J:$J,MATCH($C2764,'Paramètres'!$D:$D,0))="",1,INDEX('Paramètres'!$J:$J,MATCH($C2764,'Paramètres'!$D:$D,0)))),2))</f>
        <v/>
      </c>
      <c r="L2764" s="6" t="str">
        <f>IF($D2764="","",IF($F2764&lt;&gt;"",$F2764,IF(ISNA(MATCH($D2764,'Paramètres'!$M:$M,0)),"⚠ Type inconnu",IFERROR(INDEX('Paramètres'!$P:$P,MATCH($D2764,'Paramètres'!$M:$M,0))&amp;"",""))))</f>
        <v/>
      </c>
      <c r="M2764" s="6" t="str">
        <f>IF($D2764="","",IF(ISNA(MATCH($D2764,'Paramètres'!$M:$M,0)),"⚠ Type inconnu",IF($L2764="Crédit","",IFERROR(INDEX('Paramètres'!$O:$O,MATCH($D2764,'Paramètres'!$M:$M,0))&amp;"",""))))</f>
        <v/>
      </c>
      <c r="N2764" s="6" t="str">
        <f>IF($D2764="","",IFERROR(INDEX('Paramètres'!$Q:$Q,MATCH($D2764,'Paramètres'!$M:$M,0))&amp;"",""))</f>
        <v/>
      </c>
      <c r="O2764" s="6" t="str">
        <f>IF($A2764="","",IF(OR($J2764&lt;&gt;"x",$A2764&lt;=FinReleve),1,0))</f>
        <v/>
      </c>
      <c r="P2764" s="6" t="str">
        <f>IF($D2764="","",IF(AND($L2764="Crédit",OR(IFERROR(INDEX('Paramètres'!$O:$O,MATCH($D2764,'Paramètres'!$M:$M,0))&amp;"","")&lt;&gt;"",ISNUMBER(SEARCH("remboursement",IFERROR(INDEX('Paramètres'!$N:$N,MATCH($D2764,'Paramètres'!$M:$M,0))&amp;"",""))))),1,0))</f>
        <v/>
      </c>
      <c r="Q2764" s="6" t="str">
        <f>IF($K2764="","",IF(ISNUMBER(SEARCH("transfert-interne",IFERROR(INDEX('Paramètres'!$N:$N,MATCH($D2764,'Paramètres'!$M:$M,0))&amp;"",""))),0,IF($L2764="Débit",$K2764,IF($P2764=1,-$K2764,0))))</f>
        <v/>
      </c>
      <c r="R2764" s="6" t="str">
        <f>IF($K2764="","",IF($L2764="Crédit",$K2764,-$K2764))</f>
        <v/>
      </c>
      <c r="S2764" s="6" t="str">
        <f>IF($C2764="","",IFERROR(INDEX('Paramètres'!$H:$H,MATCH($C2764,'Paramètres'!$D:$D,0))&amp;"",""))</f>
        <v/>
      </c>
      <c r="T2764" s="6" t="str">
        <f>IF($K2764="","",IF($S2764="",0,IF(ISNUMBER(SEARCH("apport-exterieur",IFERROR(INDEX('Paramètres'!$N:$N,MATCH($D2764,'Paramètres'!$M:$M,0))&amp;"",""))),0,IF(OR(IFERROR(INDEX('Paramètres'!$I:$I,MATCH($C2764,'Paramètres'!$D:$D,0))&amp;"","")="Les deux",IFERROR(INDEX('Paramètres'!$I:$I,MATCH($C2764,'Paramètres'!$D:$D,0))&amp;"","")=IF($P2764=1,"Débit",$L2764)),-IF($P2764=1,-$K2764,$K2764),0))))</f>
        <v/>
      </c>
      <c r="U2764" s="6" t="str">
        <f>IF($K2764="","",IF(ISNUMBER(SEARCH("sortie-epargne",IFERROR(INDEX('Paramètres'!$N:$N,MATCH($D2764,'Paramètres'!$M:$M,0))&amp;"",""))),$K2764,0))</f>
        <v/>
      </c>
      <c r="V2764" s="6" t="str">
        <f>IF(AND($A2764&lt;&gt;"",$O2764=1,$L2764="Débit",N($Q2764)&gt;0,$A2764&gt;=Visualisation!$B$1,$A2764&lt;Visualisation!$D$1),MAX($V$1:V2763)+1,"")</f>
        <v/>
      </c>
    </row>
    <row r="2765" spans="1:22" x14ac:dyDescent="0.25">
      <c r="A2765" s="9"/>
      <c r="E2765" s="10"/>
      <c r="K2765" s="11" t="str">
        <f>IF($E2765="","",ROUND($E2765*IF(ISNA(MATCH($C2765,'Paramètres'!$D:$D,0)),1,IF(INDEX('Paramètres'!$J:$J,MATCH($C2765,'Paramètres'!$D:$D,0))="",1,INDEX('Paramètres'!$J:$J,MATCH($C2765,'Paramètres'!$D:$D,0)))),2))</f>
        <v/>
      </c>
      <c r="L2765" s="6" t="str">
        <f>IF($D2765="","",IF($F2765&lt;&gt;"",$F2765,IF(ISNA(MATCH($D2765,'Paramètres'!$M:$M,0)),"⚠ Type inconnu",IFERROR(INDEX('Paramètres'!$P:$P,MATCH($D2765,'Paramètres'!$M:$M,0))&amp;"",""))))</f>
        <v/>
      </c>
      <c r="M2765" s="6" t="str">
        <f>IF($D2765="","",IF(ISNA(MATCH($D2765,'Paramètres'!$M:$M,0)),"⚠ Type inconnu",IF($L2765="Crédit","",IFERROR(INDEX('Paramètres'!$O:$O,MATCH($D2765,'Paramètres'!$M:$M,0))&amp;"",""))))</f>
        <v/>
      </c>
      <c r="N2765" s="6" t="str">
        <f>IF($D2765="","",IFERROR(INDEX('Paramètres'!$Q:$Q,MATCH($D2765,'Paramètres'!$M:$M,0))&amp;"",""))</f>
        <v/>
      </c>
      <c r="O2765" s="6" t="str">
        <f>IF($A2765="","",IF(OR($J2765&lt;&gt;"x",$A2765&lt;=FinReleve),1,0))</f>
        <v/>
      </c>
      <c r="P2765" s="6" t="str">
        <f>IF($D2765="","",IF(AND($L2765="Crédit",OR(IFERROR(INDEX('Paramètres'!$O:$O,MATCH($D2765,'Paramètres'!$M:$M,0))&amp;"","")&lt;&gt;"",ISNUMBER(SEARCH("remboursement",IFERROR(INDEX('Paramètres'!$N:$N,MATCH($D2765,'Paramètres'!$M:$M,0))&amp;"",""))))),1,0))</f>
        <v/>
      </c>
      <c r="Q2765" s="6" t="str">
        <f>IF($K2765="","",IF(ISNUMBER(SEARCH("transfert-interne",IFERROR(INDEX('Paramètres'!$N:$N,MATCH($D2765,'Paramètres'!$M:$M,0))&amp;"",""))),0,IF($L2765="Débit",$K2765,IF($P2765=1,-$K2765,0))))</f>
        <v/>
      </c>
      <c r="R2765" s="6" t="str">
        <f>IF($K2765="","",IF($L2765="Crédit",$K2765,-$K2765))</f>
        <v/>
      </c>
      <c r="S2765" s="6" t="str">
        <f>IF($C2765="","",IFERROR(INDEX('Paramètres'!$H:$H,MATCH($C2765,'Paramètres'!$D:$D,0))&amp;"",""))</f>
        <v/>
      </c>
      <c r="T2765" s="6" t="str">
        <f>IF($K2765="","",IF($S2765="",0,IF(ISNUMBER(SEARCH("apport-exterieur",IFERROR(INDEX('Paramètres'!$N:$N,MATCH($D2765,'Paramètres'!$M:$M,0))&amp;"",""))),0,IF(OR(IFERROR(INDEX('Paramètres'!$I:$I,MATCH($C2765,'Paramètres'!$D:$D,0))&amp;"","")="Les deux",IFERROR(INDEX('Paramètres'!$I:$I,MATCH($C2765,'Paramètres'!$D:$D,0))&amp;"","")=IF($P2765=1,"Débit",$L2765)),-IF($P2765=1,-$K2765,$K2765),0))))</f>
        <v/>
      </c>
      <c r="U2765" s="6" t="str">
        <f>IF($K2765="","",IF(ISNUMBER(SEARCH("sortie-epargne",IFERROR(INDEX('Paramètres'!$N:$N,MATCH($D2765,'Paramètres'!$M:$M,0))&amp;"",""))),$K2765,0))</f>
        <v/>
      </c>
      <c r="V2765" s="6" t="str">
        <f>IF(AND($A2765&lt;&gt;"",$O2765=1,$L2765="Débit",N($Q2765)&gt;0,$A2765&gt;=Visualisation!$B$1,$A2765&lt;Visualisation!$D$1),MAX($V$1:V2764)+1,"")</f>
        <v/>
      </c>
    </row>
    <row r="2766" spans="1:22" x14ac:dyDescent="0.25">
      <c r="A2766" s="9"/>
      <c r="E2766" s="10"/>
      <c r="K2766" s="11" t="str">
        <f>IF($E2766="","",ROUND($E2766*IF(ISNA(MATCH($C2766,'Paramètres'!$D:$D,0)),1,IF(INDEX('Paramètres'!$J:$J,MATCH($C2766,'Paramètres'!$D:$D,0))="",1,INDEX('Paramètres'!$J:$J,MATCH($C2766,'Paramètres'!$D:$D,0)))),2))</f>
        <v/>
      </c>
      <c r="L2766" s="6" t="str">
        <f>IF($D2766="","",IF($F2766&lt;&gt;"",$F2766,IF(ISNA(MATCH($D2766,'Paramètres'!$M:$M,0)),"⚠ Type inconnu",IFERROR(INDEX('Paramètres'!$P:$P,MATCH($D2766,'Paramètres'!$M:$M,0))&amp;"",""))))</f>
        <v/>
      </c>
      <c r="M2766" s="6" t="str">
        <f>IF($D2766="","",IF(ISNA(MATCH($D2766,'Paramètres'!$M:$M,0)),"⚠ Type inconnu",IF($L2766="Crédit","",IFERROR(INDEX('Paramètres'!$O:$O,MATCH($D2766,'Paramètres'!$M:$M,0))&amp;"",""))))</f>
        <v/>
      </c>
      <c r="N2766" s="6" t="str">
        <f>IF($D2766="","",IFERROR(INDEX('Paramètres'!$Q:$Q,MATCH($D2766,'Paramètres'!$M:$M,0))&amp;"",""))</f>
        <v/>
      </c>
      <c r="O2766" s="6" t="str">
        <f>IF($A2766="","",IF(OR($J2766&lt;&gt;"x",$A2766&lt;=FinReleve),1,0))</f>
        <v/>
      </c>
      <c r="P2766" s="6" t="str">
        <f>IF($D2766="","",IF(AND($L2766="Crédit",OR(IFERROR(INDEX('Paramètres'!$O:$O,MATCH($D2766,'Paramètres'!$M:$M,0))&amp;"","")&lt;&gt;"",ISNUMBER(SEARCH("remboursement",IFERROR(INDEX('Paramètres'!$N:$N,MATCH($D2766,'Paramètres'!$M:$M,0))&amp;"",""))))),1,0))</f>
        <v/>
      </c>
      <c r="Q2766" s="6" t="str">
        <f>IF($K2766="","",IF(ISNUMBER(SEARCH("transfert-interne",IFERROR(INDEX('Paramètres'!$N:$N,MATCH($D2766,'Paramètres'!$M:$M,0))&amp;"",""))),0,IF($L2766="Débit",$K2766,IF($P2766=1,-$K2766,0))))</f>
        <v/>
      </c>
      <c r="R2766" s="6" t="str">
        <f>IF($K2766="","",IF($L2766="Crédit",$K2766,-$K2766))</f>
        <v/>
      </c>
      <c r="S2766" s="6" t="str">
        <f>IF($C2766="","",IFERROR(INDEX('Paramètres'!$H:$H,MATCH($C2766,'Paramètres'!$D:$D,0))&amp;"",""))</f>
        <v/>
      </c>
      <c r="T2766" s="6" t="str">
        <f>IF($K2766="","",IF($S2766="",0,IF(ISNUMBER(SEARCH("apport-exterieur",IFERROR(INDEX('Paramètres'!$N:$N,MATCH($D2766,'Paramètres'!$M:$M,0))&amp;"",""))),0,IF(OR(IFERROR(INDEX('Paramètres'!$I:$I,MATCH($C2766,'Paramètres'!$D:$D,0))&amp;"","")="Les deux",IFERROR(INDEX('Paramètres'!$I:$I,MATCH($C2766,'Paramètres'!$D:$D,0))&amp;"","")=IF($P2766=1,"Débit",$L2766)),-IF($P2766=1,-$K2766,$K2766),0))))</f>
        <v/>
      </c>
      <c r="U2766" s="6" t="str">
        <f>IF($K2766="","",IF(ISNUMBER(SEARCH("sortie-epargne",IFERROR(INDEX('Paramètres'!$N:$N,MATCH($D2766,'Paramètres'!$M:$M,0))&amp;"",""))),$K2766,0))</f>
        <v/>
      </c>
      <c r="V2766" s="6" t="str">
        <f>IF(AND($A2766&lt;&gt;"",$O2766=1,$L2766="Débit",N($Q2766)&gt;0,$A2766&gt;=Visualisation!$B$1,$A2766&lt;Visualisation!$D$1),MAX($V$1:V2765)+1,"")</f>
        <v/>
      </c>
    </row>
    <row r="2767" spans="1:22" x14ac:dyDescent="0.25">
      <c r="A2767" s="9"/>
      <c r="E2767" s="10"/>
      <c r="K2767" s="11" t="str">
        <f>IF($E2767="","",ROUND($E2767*IF(ISNA(MATCH($C2767,'Paramètres'!$D:$D,0)),1,IF(INDEX('Paramètres'!$J:$J,MATCH($C2767,'Paramètres'!$D:$D,0))="",1,INDEX('Paramètres'!$J:$J,MATCH($C2767,'Paramètres'!$D:$D,0)))),2))</f>
        <v/>
      </c>
      <c r="L2767" s="6" t="str">
        <f>IF($D2767="","",IF($F2767&lt;&gt;"",$F2767,IF(ISNA(MATCH($D2767,'Paramètres'!$M:$M,0)),"⚠ Type inconnu",IFERROR(INDEX('Paramètres'!$P:$P,MATCH($D2767,'Paramètres'!$M:$M,0))&amp;"",""))))</f>
        <v/>
      </c>
      <c r="M2767" s="6" t="str">
        <f>IF($D2767="","",IF(ISNA(MATCH($D2767,'Paramètres'!$M:$M,0)),"⚠ Type inconnu",IF($L2767="Crédit","",IFERROR(INDEX('Paramètres'!$O:$O,MATCH($D2767,'Paramètres'!$M:$M,0))&amp;"",""))))</f>
        <v/>
      </c>
      <c r="N2767" s="6" t="str">
        <f>IF($D2767="","",IFERROR(INDEX('Paramètres'!$Q:$Q,MATCH($D2767,'Paramètres'!$M:$M,0))&amp;"",""))</f>
        <v/>
      </c>
      <c r="O2767" s="6" t="str">
        <f>IF($A2767="","",IF(OR($J2767&lt;&gt;"x",$A2767&lt;=FinReleve),1,0))</f>
        <v/>
      </c>
      <c r="P2767" s="6" t="str">
        <f>IF($D2767="","",IF(AND($L2767="Crédit",OR(IFERROR(INDEX('Paramètres'!$O:$O,MATCH($D2767,'Paramètres'!$M:$M,0))&amp;"","")&lt;&gt;"",ISNUMBER(SEARCH("remboursement",IFERROR(INDEX('Paramètres'!$N:$N,MATCH($D2767,'Paramètres'!$M:$M,0))&amp;"",""))))),1,0))</f>
        <v/>
      </c>
      <c r="Q2767" s="6" t="str">
        <f>IF($K2767="","",IF(ISNUMBER(SEARCH("transfert-interne",IFERROR(INDEX('Paramètres'!$N:$N,MATCH($D2767,'Paramètres'!$M:$M,0))&amp;"",""))),0,IF($L2767="Débit",$K2767,IF($P2767=1,-$K2767,0))))</f>
        <v/>
      </c>
      <c r="R2767" s="6" t="str">
        <f>IF($K2767="","",IF($L2767="Crédit",$K2767,-$K2767))</f>
        <v/>
      </c>
      <c r="S2767" s="6" t="str">
        <f>IF($C2767="","",IFERROR(INDEX('Paramètres'!$H:$H,MATCH($C2767,'Paramètres'!$D:$D,0))&amp;"",""))</f>
        <v/>
      </c>
      <c r="T2767" s="6" t="str">
        <f>IF($K2767="","",IF($S2767="",0,IF(ISNUMBER(SEARCH("apport-exterieur",IFERROR(INDEX('Paramètres'!$N:$N,MATCH($D2767,'Paramètres'!$M:$M,0))&amp;"",""))),0,IF(OR(IFERROR(INDEX('Paramètres'!$I:$I,MATCH($C2767,'Paramètres'!$D:$D,0))&amp;"","")="Les deux",IFERROR(INDEX('Paramètres'!$I:$I,MATCH($C2767,'Paramètres'!$D:$D,0))&amp;"","")=IF($P2767=1,"Débit",$L2767)),-IF($P2767=1,-$K2767,$K2767),0))))</f>
        <v/>
      </c>
      <c r="U2767" s="6" t="str">
        <f>IF($K2767="","",IF(ISNUMBER(SEARCH("sortie-epargne",IFERROR(INDEX('Paramètres'!$N:$N,MATCH($D2767,'Paramètres'!$M:$M,0))&amp;"",""))),$K2767,0))</f>
        <v/>
      </c>
      <c r="V2767" s="6" t="str">
        <f>IF(AND($A2767&lt;&gt;"",$O2767=1,$L2767="Débit",N($Q2767)&gt;0,$A2767&gt;=Visualisation!$B$1,$A2767&lt;Visualisation!$D$1),MAX($V$1:V2766)+1,"")</f>
        <v/>
      </c>
    </row>
    <row r="2768" spans="1:22" x14ac:dyDescent="0.25">
      <c r="A2768" s="9"/>
      <c r="E2768" s="10"/>
      <c r="K2768" s="11" t="str">
        <f>IF($E2768="","",ROUND($E2768*IF(ISNA(MATCH($C2768,'Paramètres'!$D:$D,0)),1,IF(INDEX('Paramètres'!$J:$J,MATCH($C2768,'Paramètres'!$D:$D,0))="",1,INDEX('Paramètres'!$J:$J,MATCH($C2768,'Paramètres'!$D:$D,0)))),2))</f>
        <v/>
      </c>
      <c r="L2768" s="6" t="str">
        <f>IF($D2768="","",IF($F2768&lt;&gt;"",$F2768,IF(ISNA(MATCH($D2768,'Paramètres'!$M:$M,0)),"⚠ Type inconnu",IFERROR(INDEX('Paramètres'!$P:$P,MATCH($D2768,'Paramètres'!$M:$M,0))&amp;"",""))))</f>
        <v/>
      </c>
      <c r="M2768" s="6" t="str">
        <f>IF($D2768="","",IF(ISNA(MATCH($D2768,'Paramètres'!$M:$M,0)),"⚠ Type inconnu",IF($L2768="Crédit","",IFERROR(INDEX('Paramètres'!$O:$O,MATCH($D2768,'Paramètres'!$M:$M,0))&amp;"",""))))</f>
        <v/>
      </c>
      <c r="N2768" s="6" t="str">
        <f>IF($D2768="","",IFERROR(INDEX('Paramètres'!$Q:$Q,MATCH($D2768,'Paramètres'!$M:$M,0))&amp;"",""))</f>
        <v/>
      </c>
      <c r="O2768" s="6" t="str">
        <f>IF($A2768="","",IF(OR($J2768&lt;&gt;"x",$A2768&lt;=FinReleve),1,0))</f>
        <v/>
      </c>
      <c r="P2768" s="6" t="str">
        <f>IF($D2768="","",IF(AND($L2768="Crédit",OR(IFERROR(INDEX('Paramètres'!$O:$O,MATCH($D2768,'Paramètres'!$M:$M,0))&amp;"","")&lt;&gt;"",ISNUMBER(SEARCH("remboursement",IFERROR(INDEX('Paramètres'!$N:$N,MATCH($D2768,'Paramètres'!$M:$M,0))&amp;"",""))))),1,0))</f>
        <v/>
      </c>
      <c r="Q2768" s="6" t="str">
        <f>IF($K2768="","",IF(ISNUMBER(SEARCH("transfert-interne",IFERROR(INDEX('Paramètres'!$N:$N,MATCH($D2768,'Paramètres'!$M:$M,0))&amp;"",""))),0,IF($L2768="Débit",$K2768,IF($P2768=1,-$K2768,0))))</f>
        <v/>
      </c>
      <c r="R2768" s="6" t="str">
        <f>IF($K2768="","",IF($L2768="Crédit",$K2768,-$K2768))</f>
        <v/>
      </c>
      <c r="S2768" s="6" t="str">
        <f>IF($C2768="","",IFERROR(INDEX('Paramètres'!$H:$H,MATCH($C2768,'Paramètres'!$D:$D,0))&amp;"",""))</f>
        <v/>
      </c>
      <c r="T2768" s="6" t="str">
        <f>IF($K2768="","",IF($S2768="",0,IF(ISNUMBER(SEARCH("apport-exterieur",IFERROR(INDEX('Paramètres'!$N:$N,MATCH($D2768,'Paramètres'!$M:$M,0))&amp;"",""))),0,IF(OR(IFERROR(INDEX('Paramètres'!$I:$I,MATCH($C2768,'Paramètres'!$D:$D,0))&amp;"","")="Les deux",IFERROR(INDEX('Paramètres'!$I:$I,MATCH($C2768,'Paramètres'!$D:$D,0))&amp;"","")=IF($P2768=1,"Débit",$L2768)),-IF($P2768=1,-$K2768,$K2768),0))))</f>
        <v/>
      </c>
      <c r="U2768" s="6" t="str">
        <f>IF($K2768="","",IF(ISNUMBER(SEARCH("sortie-epargne",IFERROR(INDEX('Paramètres'!$N:$N,MATCH($D2768,'Paramètres'!$M:$M,0))&amp;"",""))),$K2768,0))</f>
        <v/>
      </c>
      <c r="V2768" s="6" t="str">
        <f>IF(AND($A2768&lt;&gt;"",$O2768=1,$L2768="Débit",N($Q2768)&gt;0,$A2768&gt;=Visualisation!$B$1,$A2768&lt;Visualisation!$D$1),MAX($V$1:V2767)+1,"")</f>
        <v/>
      </c>
    </row>
    <row r="2769" spans="1:22" x14ac:dyDescent="0.25">
      <c r="A2769" s="9"/>
      <c r="E2769" s="10"/>
      <c r="K2769" s="11" t="str">
        <f>IF($E2769="","",ROUND($E2769*IF(ISNA(MATCH($C2769,'Paramètres'!$D:$D,0)),1,IF(INDEX('Paramètres'!$J:$J,MATCH($C2769,'Paramètres'!$D:$D,0))="",1,INDEX('Paramètres'!$J:$J,MATCH($C2769,'Paramètres'!$D:$D,0)))),2))</f>
        <v/>
      </c>
      <c r="L2769" s="6" t="str">
        <f>IF($D2769="","",IF($F2769&lt;&gt;"",$F2769,IF(ISNA(MATCH($D2769,'Paramètres'!$M:$M,0)),"⚠ Type inconnu",IFERROR(INDEX('Paramètres'!$P:$P,MATCH($D2769,'Paramètres'!$M:$M,0))&amp;"",""))))</f>
        <v/>
      </c>
      <c r="M2769" s="6" t="str">
        <f>IF($D2769="","",IF(ISNA(MATCH($D2769,'Paramètres'!$M:$M,0)),"⚠ Type inconnu",IF($L2769="Crédit","",IFERROR(INDEX('Paramètres'!$O:$O,MATCH($D2769,'Paramètres'!$M:$M,0))&amp;"",""))))</f>
        <v/>
      </c>
      <c r="N2769" s="6" t="str">
        <f>IF($D2769="","",IFERROR(INDEX('Paramètres'!$Q:$Q,MATCH($D2769,'Paramètres'!$M:$M,0))&amp;"",""))</f>
        <v/>
      </c>
      <c r="O2769" s="6" t="str">
        <f>IF($A2769="","",IF(OR($J2769&lt;&gt;"x",$A2769&lt;=FinReleve),1,0))</f>
        <v/>
      </c>
      <c r="P2769" s="6" t="str">
        <f>IF($D2769="","",IF(AND($L2769="Crédit",OR(IFERROR(INDEX('Paramètres'!$O:$O,MATCH($D2769,'Paramètres'!$M:$M,0))&amp;"","")&lt;&gt;"",ISNUMBER(SEARCH("remboursement",IFERROR(INDEX('Paramètres'!$N:$N,MATCH($D2769,'Paramètres'!$M:$M,0))&amp;"",""))))),1,0))</f>
        <v/>
      </c>
      <c r="Q2769" s="6" t="str">
        <f>IF($K2769="","",IF(ISNUMBER(SEARCH("transfert-interne",IFERROR(INDEX('Paramètres'!$N:$N,MATCH($D2769,'Paramètres'!$M:$M,0))&amp;"",""))),0,IF($L2769="Débit",$K2769,IF($P2769=1,-$K2769,0))))</f>
        <v/>
      </c>
      <c r="R2769" s="6" t="str">
        <f>IF($K2769="","",IF($L2769="Crédit",$K2769,-$K2769))</f>
        <v/>
      </c>
      <c r="S2769" s="6" t="str">
        <f>IF($C2769="","",IFERROR(INDEX('Paramètres'!$H:$H,MATCH($C2769,'Paramètres'!$D:$D,0))&amp;"",""))</f>
        <v/>
      </c>
      <c r="T2769" s="6" t="str">
        <f>IF($K2769="","",IF($S2769="",0,IF(ISNUMBER(SEARCH("apport-exterieur",IFERROR(INDEX('Paramètres'!$N:$N,MATCH($D2769,'Paramètres'!$M:$M,0))&amp;"",""))),0,IF(OR(IFERROR(INDEX('Paramètres'!$I:$I,MATCH($C2769,'Paramètres'!$D:$D,0))&amp;"","")="Les deux",IFERROR(INDEX('Paramètres'!$I:$I,MATCH($C2769,'Paramètres'!$D:$D,0))&amp;"","")=IF($P2769=1,"Débit",$L2769)),-IF($P2769=1,-$K2769,$K2769),0))))</f>
        <v/>
      </c>
      <c r="U2769" s="6" t="str">
        <f>IF($K2769="","",IF(ISNUMBER(SEARCH("sortie-epargne",IFERROR(INDEX('Paramètres'!$N:$N,MATCH($D2769,'Paramètres'!$M:$M,0))&amp;"",""))),$K2769,0))</f>
        <v/>
      </c>
      <c r="V2769" s="6" t="str">
        <f>IF(AND($A2769&lt;&gt;"",$O2769=1,$L2769="Débit",N($Q2769)&gt;0,$A2769&gt;=Visualisation!$B$1,$A2769&lt;Visualisation!$D$1),MAX($V$1:V2768)+1,"")</f>
        <v/>
      </c>
    </row>
    <row r="2770" spans="1:22" x14ac:dyDescent="0.25">
      <c r="A2770" s="9"/>
      <c r="E2770" s="10"/>
      <c r="K2770" s="11" t="str">
        <f>IF($E2770="","",ROUND($E2770*IF(ISNA(MATCH($C2770,'Paramètres'!$D:$D,0)),1,IF(INDEX('Paramètres'!$J:$J,MATCH($C2770,'Paramètres'!$D:$D,0))="",1,INDEX('Paramètres'!$J:$J,MATCH($C2770,'Paramètres'!$D:$D,0)))),2))</f>
        <v/>
      </c>
      <c r="L2770" s="6" t="str">
        <f>IF($D2770="","",IF($F2770&lt;&gt;"",$F2770,IF(ISNA(MATCH($D2770,'Paramètres'!$M:$M,0)),"⚠ Type inconnu",IFERROR(INDEX('Paramètres'!$P:$P,MATCH($D2770,'Paramètres'!$M:$M,0))&amp;"",""))))</f>
        <v/>
      </c>
      <c r="M2770" s="6" t="str">
        <f>IF($D2770="","",IF(ISNA(MATCH($D2770,'Paramètres'!$M:$M,0)),"⚠ Type inconnu",IF($L2770="Crédit","",IFERROR(INDEX('Paramètres'!$O:$O,MATCH($D2770,'Paramètres'!$M:$M,0))&amp;"",""))))</f>
        <v/>
      </c>
      <c r="N2770" s="6" t="str">
        <f>IF($D2770="","",IFERROR(INDEX('Paramètres'!$Q:$Q,MATCH($D2770,'Paramètres'!$M:$M,0))&amp;"",""))</f>
        <v/>
      </c>
      <c r="O2770" s="6" t="str">
        <f>IF($A2770="","",IF(OR($J2770&lt;&gt;"x",$A2770&lt;=FinReleve),1,0))</f>
        <v/>
      </c>
      <c r="P2770" s="6" t="str">
        <f>IF($D2770="","",IF(AND($L2770="Crédit",OR(IFERROR(INDEX('Paramètres'!$O:$O,MATCH($D2770,'Paramètres'!$M:$M,0))&amp;"","")&lt;&gt;"",ISNUMBER(SEARCH("remboursement",IFERROR(INDEX('Paramètres'!$N:$N,MATCH($D2770,'Paramètres'!$M:$M,0))&amp;"",""))))),1,0))</f>
        <v/>
      </c>
      <c r="Q2770" s="6" t="str">
        <f>IF($K2770="","",IF(ISNUMBER(SEARCH("transfert-interne",IFERROR(INDEX('Paramètres'!$N:$N,MATCH($D2770,'Paramètres'!$M:$M,0))&amp;"",""))),0,IF($L2770="Débit",$K2770,IF($P2770=1,-$K2770,0))))</f>
        <v/>
      </c>
      <c r="R2770" s="6" t="str">
        <f>IF($K2770="","",IF($L2770="Crédit",$K2770,-$K2770))</f>
        <v/>
      </c>
      <c r="S2770" s="6" t="str">
        <f>IF($C2770="","",IFERROR(INDEX('Paramètres'!$H:$H,MATCH($C2770,'Paramètres'!$D:$D,0))&amp;"",""))</f>
        <v/>
      </c>
      <c r="T2770" s="6" t="str">
        <f>IF($K2770="","",IF($S2770="",0,IF(ISNUMBER(SEARCH("apport-exterieur",IFERROR(INDEX('Paramètres'!$N:$N,MATCH($D2770,'Paramètres'!$M:$M,0))&amp;"",""))),0,IF(OR(IFERROR(INDEX('Paramètres'!$I:$I,MATCH($C2770,'Paramètres'!$D:$D,0))&amp;"","")="Les deux",IFERROR(INDEX('Paramètres'!$I:$I,MATCH($C2770,'Paramètres'!$D:$D,0))&amp;"","")=IF($P2770=1,"Débit",$L2770)),-IF($P2770=1,-$K2770,$K2770),0))))</f>
        <v/>
      </c>
      <c r="U2770" s="6" t="str">
        <f>IF($K2770="","",IF(ISNUMBER(SEARCH("sortie-epargne",IFERROR(INDEX('Paramètres'!$N:$N,MATCH($D2770,'Paramètres'!$M:$M,0))&amp;"",""))),$K2770,0))</f>
        <v/>
      </c>
      <c r="V2770" s="6" t="str">
        <f>IF(AND($A2770&lt;&gt;"",$O2770=1,$L2770="Débit",N($Q2770)&gt;0,$A2770&gt;=Visualisation!$B$1,$A2770&lt;Visualisation!$D$1),MAX($V$1:V2769)+1,"")</f>
        <v/>
      </c>
    </row>
    <row r="2771" spans="1:22" x14ac:dyDescent="0.25">
      <c r="A2771" s="9"/>
      <c r="E2771" s="10"/>
      <c r="K2771" s="11" t="str">
        <f>IF($E2771="","",ROUND($E2771*IF(ISNA(MATCH($C2771,'Paramètres'!$D:$D,0)),1,IF(INDEX('Paramètres'!$J:$J,MATCH($C2771,'Paramètres'!$D:$D,0))="",1,INDEX('Paramètres'!$J:$J,MATCH($C2771,'Paramètres'!$D:$D,0)))),2))</f>
        <v/>
      </c>
      <c r="L2771" s="6" t="str">
        <f>IF($D2771="","",IF($F2771&lt;&gt;"",$F2771,IF(ISNA(MATCH($D2771,'Paramètres'!$M:$M,0)),"⚠ Type inconnu",IFERROR(INDEX('Paramètres'!$P:$P,MATCH($D2771,'Paramètres'!$M:$M,0))&amp;"",""))))</f>
        <v/>
      </c>
      <c r="M2771" s="6" t="str">
        <f>IF($D2771="","",IF(ISNA(MATCH($D2771,'Paramètres'!$M:$M,0)),"⚠ Type inconnu",IF($L2771="Crédit","",IFERROR(INDEX('Paramètres'!$O:$O,MATCH($D2771,'Paramètres'!$M:$M,0))&amp;"",""))))</f>
        <v/>
      </c>
      <c r="N2771" s="6" t="str">
        <f>IF($D2771="","",IFERROR(INDEX('Paramètres'!$Q:$Q,MATCH($D2771,'Paramètres'!$M:$M,0))&amp;"",""))</f>
        <v/>
      </c>
      <c r="O2771" s="6" t="str">
        <f>IF($A2771="","",IF(OR($J2771&lt;&gt;"x",$A2771&lt;=FinReleve),1,0))</f>
        <v/>
      </c>
      <c r="P2771" s="6" t="str">
        <f>IF($D2771="","",IF(AND($L2771="Crédit",OR(IFERROR(INDEX('Paramètres'!$O:$O,MATCH($D2771,'Paramètres'!$M:$M,0))&amp;"","")&lt;&gt;"",ISNUMBER(SEARCH("remboursement",IFERROR(INDEX('Paramètres'!$N:$N,MATCH($D2771,'Paramètres'!$M:$M,0))&amp;"",""))))),1,0))</f>
        <v/>
      </c>
      <c r="Q2771" s="6" t="str">
        <f>IF($K2771="","",IF(ISNUMBER(SEARCH("transfert-interne",IFERROR(INDEX('Paramètres'!$N:$N,MATCH($D2771,'Paramètres'!$M:$M,0))&amp;"",""))),0,IF($L2771="Débit",$K2771,IF($P2771=1,-$K2771,0))))</f>
        <v/>
      </c>
      <c r="R2771" s="6" t="str">
        <f>IF($K2771="","",IF($L2771="Crédit",$K2771,-$K2771))</f>
        <v/>
      </c>
      <c r="S2771" s="6" t="str">
        <f>IF($C2771="","",IFERROR(INDEX('Paramètres'!$H:$H,MATCH($C2771,'Paramètres'!$D:$D,0))&amp;"",""))</f>
        <v/>
      </c>
      <c r="T2771" s="6" t="str">
        <f>IF($K2771="","",IF($S2771="",0,IF(ISNUMBER(SEARCH("apport-exterieur",IFERROR(INDEX('Paramètres'!$N:$N,MATCH($D2771,'Paramètres'!$M:$M,0))&amp;"",""))),0,IF(OR(IFERROR(INDEX('Paramètres'!$I:$I,MATCH($C2771,'Paramètres'!$D:$D,0))&amp;"","")="Les deux",IFERROR(INDEX('Paramètres'!$I:$I,MATCH($C2771,'Paramètres'!$D:$D,0))&amp;"","")=IF($P2771=1,"Débit",$L2771)),-IF($P2771=1,-$K2771,$K2771),0))))</f>
        <v/>
      </c>
      <c r="U2771" s="6" t="str">
        <f>IF($K2771="","",IF(ISNUMBER(SEARCH("sortie-epargne",IFERROR(INDEX('Paramètres'!$N:$N,MATCH($D2771,'Paramètres'!$M:$M,0))&amp;"",""))),$K2771,0))</f>
        <v/>
      </c>
      <c r="V2771" s="6" t="str">
        <f>IF(AND($A2771&lt;&gt;"",$O2771=1,$L2771="Débit",N($Q2771)&gt;0,$A2771&gt;=Visualisation!$B$1,$A2771&lt;Visualisation!$D$1),MAX($V$1:V2770)+1,"")</f>
        <v/>
      </c>
    </row>
    <row r="2772" spans="1:22" x14ac:dyDescent="0.25">
      <c r="A2772" s="9"/>
      <c r="E2772" s="10"/>
      <c r="K2772" s="11" t="str">
        <f>IF($E2772="","",ROUND($E2772*IF(ISNA(MATCH($C2772,'Paramètres'!$D:$D,0)),1,IF(INDEX('Paramètres'!$J:$J,MATCH($C2772,'Paramètres'!$D:$D,0))="",1,INDEX('Paramètres'!$J:$J,MATCH($C2772,'Paramètres'!$D:$D,0)))),2))</f>
        <v/>
      </c>
      <c r="L2772" s="6" t="str">
        <f>IF($D2772="","",IF($F2772&lt;&gt;"",$F2772,IF(ISNA(MATCH($D2772,'Paramètres'!$M:$M,0)),"⚠ Type inconnu",IFERROR(INDEX('Paramètres'!$P:$P,MATCH($D2772,'Paramètres'!$M:$M,0))&amp;"",""))))</f>
        <v/>
      </c>
      <c r="M2772" s="6" t="str">
        <f>IF($D2772="","",IF(ISNA(MATCH($D2772,'Paramètres'!$M:$M,0)),"⚠ Type inconnu",IF($L2772="Crédit","",IFERROR(INDEX('Paramètres'!$O:$O,MATCH($D2772,'Paramètres'!$M:$M,0))&amp;"",""))))</f>
        <v/>
      </c>
      <c r="N2772" s="6" t="str">
        <f>IF($D2772="","",IFERROR(INDEX('Paramètres'!$Q:$Q,MATCH($D2772,'Paramètres'!$M:$M,0))&amp;"",""))</f>
        <v/>
      </c>
      <c r="O2772" s="6" t="str">
        <f>IF($A2772="","",IF(OR($J2772&lt;&gt;"x",$A2772&lt;=FinReleve),1,0))</f>
        <v/>
      </c>
      <c r="P2772" s="6" t="str">
        <f>IF($D2772="","",IF(AND($L2772="Crédit",OR(IFERROR(INDEX('Paramètres'!$O:$O,MATCH($D2772,'Paramètres'!$M:$M,0))&amp;"","")&lt;&gt;"",ISNUMBER(SEARCH("remboursement",IFERROR(INDEX('Paramètres'!$N:$N,MATCH($D2772,'Paramètres'!$M:$M,0))&amp;"",""))))),1,0))</f>
        <v/>
      </c>
      <c r="Q2772" s="6" t="str">
        <f>IF($K2772="","",IF(ISNUMBER(SEARCH("transfert-interne",IFERROR(INDEX('Paramètres'!$N:$N,MATCH($D2772,'Paramètres'!$M:$M,0))&amp;"",""))),0,IF($L2772="Débit",$K2772,IF($P2772=1,-$K2772,0))))</f>
        <v/>
      </c>
      <c r="R2772" s="6" t="str">
        <f>IF($K2772="","",IF($L2772="Crédit",$K2772,-$K2772))</f>
        <v/>
      </c>
      <c r="S2772" s="6" t="str">
        <f>IF($C2772="","",IFERROR(INDEX('Paramètres'!$H:$H,MATCH($C2772,'Paramètres'!$D:$D,0))&amp;"",""))</f>
        <v/>
      </c>
      <c r="T2772" s="6" t="str">
        <f>IF($K2772="","",IF($S2772="",0,IF(ISNUMBER(SEARCH("apport-exterieur",IFERROR(INDEX('Paramètres'!$N:$N,MATCH($D2772,'Paramètres'!$M:$M,0))&amp;"",""))),0,IF(OR(IFERROR(INDEX('Paramètres'!$I:$I,MATCH($C2772,'Paramètres'!$D:$D,0))&amp;"","")="Les deux",IFERROR(INDEX('Paramètres'!$I:$I,MATCH($C2772,'Paramètres'!$D:$D,0))&amp;"","")=IF($P2772=1,"Débit",$L2772)),-IF($P2772=1,-$K2772,$K2772),0))))</f>
        <v/>
      </c>
      <c r="U2772" s="6" t="str">
        <f>IF($K2772="","",IF(ISNUMBER(SEARCH("sortie-epargne",IFERROR(INDEX('Paramètres'!$N:$N,MATCH($D2772,'Paramètres'!$M:$M,0))&amp;"",""))),$K2772,0))</f>
        <v/>
      </c>
      <c r="V2772" s="6" t="str">
        <f>IF(AND($A2772&lt;&gt;"",$O2772=1,$L2772="Débit",N($Q2772)&gt;0,$A2772&gt;=Visualisation!$B$1,$A2772&lt;Visualisation!$D$1),MAX($V$1:V2771)+1,"")</f>
        <v/>
      </c>
    </row>
    <row r="2773" spans="1:22" x14ac:dyDescent="0.25">
      <c r="A2773" s="9"/>
      <c r="E2773" s="10"/>
      <c r="K2773" s="11" t="str">
        <f>IF($E2773="","",ROUND($E2773*IF(ISNA(MATCH($C2773,'Paramètres'!$D:$D,0)),1,IF(INDEX('Paramètres'!$J:$J,MATCH($C2773,'Paramètres'!$D:$D,0))="",1,INDEX('Paramètres'!$J:$J,MATCH($C2773,'Paramètres'!$D:$D,0)))),2))</f>
        <v/>
      </c>
      <c r="L2773" s="6" t="str">
        <f>IF($D2773="","",IF($F2773&lt;&gt;"",$F2773,IF(ISNA(MATCH($D2773,'Paramètres'!$M:$M,0)),"⚠ Type inconnu",IFERROR(INDEX('Paramètres'!$P:$P,MATCH($D2773,'Paramètres'!$M:$M,0))&amp;"",""))))</f>
        <v/>
      </c>
      <c r="M2773" s="6" t="str">
        <f>IF($D2773="","",IF(ISNA(MATCH($D2773,'Paramètres'!$M:$M,0)),"⚠ Type inconnu",IF($L2773="Crédit","",IFERROR(INDEX('Paramètres'!$O:$O,MATCH($D2773,'Paramètres'!$M:$M,0))&amp;"",""))))</f>
        <v/>
      </c>
      <c r="N2773" s="6" t="str">
        <f>IF($D2773="","",IFERROR(INDEX('Paramètres'!$Q:$Q,MATCH($D2773,'Paramètres'!$M:$M,0))&amp;"",""))</f>
        <v/>
      </c>
      <c r="O2773" s="6" t="str">
        <f>IF($A2773="","",IF(OR($J2773&lt;&gt;"x",$A2773&lt;=FinReleve),1,0))</f>
        <v/>
      </c>
      <c r="P2773" s="6" t="str">
        <f>IF($D2773="","",IF(AND($L2773="Crédit",OR(IFERROR(INDEX('Paramètres'!$O:$O,MATCH($D2773,'Paramètres'!$M:$M,0))&amp;"","")&lt;&gt;"",ISNUMBER(SEARCH("remboursement",IFERROR(INDEX('Paramètres'!$N:$N,MATCH($D2773,'Paramètres'!$M:$M,0))&amp;"",""))))),1,0))</f>
        <v/>
      </c>
      <c r="Q2773" s="6" t="str">
        <f>IF($K2773="","",IF(ISNUMBER(SEARCH("transfert-interne",IFERROR(INDEX('Paramètres'!$N:$N,MATCH($D2773,'Paramètres'!$M:$M,0))&amp;"",""))),0,IF($L2773="Débit",$K2773,IF($P2773=1,-$K2773,0))))</f>
        <v/>
      </c>
      <c r="R2773" s="6" t="str">
        <f>IF($K2773="","",IF($L2773="Crédit",$K2773,-$K2773))</f>
        <v/>
      </c>
      <c r="S2773" s="6" t="str">
        <f>IF($C2773="","",IFERROR(INDEX('Paramètres'!$H:$H,MATCH($C2773,'Paramètres'!$D:$D,0))&amp;"",""))</f>
        <v/>
      </c>
      <c r="T2773" s="6" t="str">
        <f>IF($K2773="","",IF($S2773="",0,IF(ISNUMBER(SEARCH("apport-exterieur",IFERROR(INDEX('Paramètres'!$N:$N,MATCH($D2773,'Paramètres'!$M:$M,0))&amp;"",""))),0,IF(OR(IFERROR(INDEX('Paramètres'!$I:$I,MATCH($C2773,'Paramètres'!$D:$D,0))&amp;"","")="Les deux",IFERROR(INDEX('Paramètres'!$I:$I,MATCH($C2773,'Paramètres'!$D:$D,0))&amp;"","")=IF($P2773=1,"Débit",$L2773)),-IF($P2773=1,-$K2773,$K2773),0))))</f>
        <v/>
      </c>
      <c r="U2773" s="6" t="str">
        <f>IF($K2773="","",IF(ISNUMBER(SEARCH("sortie-epargne",IFERROR(INDEX('Paramètres'!$N:$N,MATCH($D2773,'Paramètres'!$M:$M,0))&amp;"",""))),$K2773,0))</f>
        <v/>
      </c>
      <c r="V2773" s="6" t="str">
        <f>IF(AND($A2773&lt;&gt;"",$O2773=1,$L2773="Débit",N($Q2773)&gt;0,$A2773&gt;=Visualisation!$B$1,$A2773&lt;Visualisation!$D$1),MAX($V$1:V2772)+1,"")</f>
        <v/>
      </c>
    </row>
    <row r="2774" spans="1:22" x14ac:dyDescent="0.25">
      <c r="A2774" s="9"/>
      <c r="E2774" s="10"/>
      <c r="K2774" s="11" t="str">
        <f>IF($E2774="","",ROUND($E2774*IF(ISNA(MATCH($C2774,'Paramètres'!$D:$D,0)),1,IF(INDEX('Paramètres'!$J:$J,MATCH($C2774,'Paramètres'!$D:$D,0))="",1,INDEX('Paramètres'!$J:$J,MATCH($C2774,'Paramètres'!$D:$D,0)))),2))</f>
        <v/>
      </c>
      <c r="L2774" s="6" t="str">
        <f>IF($D2774="","",IF($F2774&lt;&gt;"",$F2774,IF(ISNA(MATCH($D2774,'Paramètres'!$M:$M,0)),"⚠ Type inconnu",IFERROR(INDEX('Paramètres'!$P:$P,MATCH($D2774,'Paramètres'!$M:$M,0))&amp;"",""))))</f>
        <v/>
      </c>
      <c r="M2774" s="6" t="str">
        <f>IF($D2774="","",IF(ISNA(MATCH($D2774,'Paramètres'!$M:$M,0)),"⚠ Type inconnu",IF($L2774="Crédit","",IFERROR(INDEX('Paramètres'!$O:$O,MATCH($D2774,'Paramètres'!$M:$M,0))&amp;"",""))))</f>
        <v/>
      </c>
      <c r="N2774" s="6" t="str">
        <f>IF($D2774="","",IFERROR(INDEX('Paramètres'!$Q:$Q,MATCH($D2774,'Paramètres'!$M:$M,0))&amp;"",""))</f>
        <v/>
      </c>
      <c r="O2774" s="6" t="str">
        <f>IF($A2774="","",IF(OR($J2774&lt;&gt;"x",$A2774&lt;=FinReleve),1,0))</f>
        <v/>
      </c>
      <c r="P2774" s="6" t="str">
        <f>IF($D2774="","",IF(AND($L2774="Crédit",OR(IFERROR(INDEX('Paramètres'!$O:$O,MATCH($D2774,'Paramètres'!$M:$M,0))&amp;"","")&lt;&gt;"",ISNUMBER(SEARCH("remboursement",IFERROR(INDEX('Paramètres'!$N:$N,MATCH($D2774,'Paramètres'!$M:$M,0))&amp;"",""))))),1,0))</f>
        <v/>
      </c>
      <c r="Q2774" s="6" t="str">
        <f>IF($K2774="","",IF(ISNUMBER(SEARCH("transfert-interne",IFERROR(INDEX('Paramètres'!$N:$N,MATCH($D2774,'Paramètres'!$M:$M,0))&amp;"",""))),0,IF($L2774="Débit",$K2774,IF($P2774=1,-$K2774,0))))</f>
        <v/>
      </c>
      <c r="R2774" s="6" t="str">
        <f>IF($K2774="","",IF($L2774="Crédit",$K2774,-$K2774))</f>
        <v/>
      </c>
      <c r="S2774" s="6" t="str">
        <f>IF($C2774="","",IFERROR(INDEX('Paramètres'!$H:$H,MATCH($C2774,'Paramètres'!$D:$D,0))&amp;"",""))</f>
        <v/>
      </c>
      <c r="T2774" s="6" t="str">
        <f>IF($K2774="","",IF($S2774="",0,IF(ISNUMBER(SEARCH("apport-exterieur",IFERROR(INDEX('Paramètres'!$N:$N,MATCH($D2774,'Paramètres'!$M:$M,0))&amp;"",""))),0,IF(OR(IFERROR(INDEX('Paramètres'!$I:$I,MATCH($C2774,'Paramètres'!$D:$D,0))&amp;"","")="Les deux",IFERROR(INDEX('Paramètres'!$I:$I,MATCH($C2774,'Paramètres'!$D:$D,0))&amp;"","")=IF($P2774=1,"Débit",$L2774)),-IF($P2774=1,-$K2774,$K2774),0))))</f>
        <v/>
      </c>
      <c r="U2774" s="6" t="str">
        <f>IF($K2774="","",IF(ISNUMBER(SEARCH("sortie-epargne",IFERROR(INDEX('Paramètres'!$N:$N,MATCH($D2774,'Paramètres'!$M:$M,0))&amp;"",""))),$K2774,0))</f>
        <v/>
      </c>
      <c r="V2774" s="6" t="str">
        <f>IF(AND($A2774&lt;&gt;"",$O2774=1,$L2774="Débit",N($Q2774)&gt;0,$A2774&gt;=Visualisation!$B$1,$A2774&lt;Visualisation!$D$1),MAX($V$1:V2773)+1,"")</f>
        <v/>
      </c>
    </row>
    <row r="2775" spans="1:22" x14ac:dyDescent="0.25">
      <c r="A2775" s="9"/>
      <c r="E2775" s="10"/>
      <c r="K2775" s="11" t="str">
        <f>IF($E2775="","",ROUND($E2775*IF(ISNA(MATCH($C2775,'Paramètres'!$D:$D,0)),1,IF(INDEX('Paramètres'!$J:$J,MATCH($C2775,'Paramètres'!$D:$D,0))="",1,INDEX('Paramètres'!$J:$J,MATCH($C2775,'Paramètres'!$D:$D,0)))),2))</f>
        <v/>
      </c>
      <c r="L2775" s="6" t="str">
        <f>IF($D2775="","",IF($F2775&lt;&gt;"",$F2775,IF(ISNA(MATCH($D2775,'Paramètres'!$M:$M,0)),"⚠ Type inconnu",IFERROR(INDEX('Paramètres'!$P:$P,MATCH($D2775,'Paramètres'!$M:$M,0))&amp;"",""))))</f>
        <v/>
      </c>
      <c r="M2775" s="6" t="str">
        <f>IF($D2775="","",IF(ISNA(MATCH($D2775,'Paramètres'!$M:$M,0)),"⚠ Type inconnu",IF($L2775="Crédit","",IFERROR(INDEX('Paramètres'!$O:$O,MATCH($D2775,'Paramètres'!$M:$M,0))&amp;"",""))))</f>
        <v/>
      </c>
      <c r="N2775" s="6" t="str">
        <f>IF($D2775="","",IFERROR(INDEX('Paramètres'!$Q:$Q,MATCH($D2775,'Paramètres'!$M:$M,0))&amp;"",""))</f>
        <v/>
      </c>
      <c r="O2775" s="6" t="str">
        <f>IF($A2775="","",IF(OR($J2775&lt;&gt;"x",$A2775&lt;=FinReleve),1,0))</f>
        <v/>
      </c>
      <c r="P2775" s="6" t="str">
        <f>IF($D2775="","",IF(AND($L2775="Crédit",OR(IFERROR(INDEX('Paramètres'!$O:$O,MATCH($D2775,'Paramètres'!$M:$M,0))&amp;"","")&lt;&gt;"",ISNUMBER(SEARCH("remboursement",IFERROR(INDEX('Paramètres'!$N:$N,MATCH($D2775,'Paramètres'!$M:$M,0))&amp;"",""))))),1,0))</f>
        <v/>
      </c>
      <c r="Q2775" s="6" t="str">
        <f>IF($K2775="","",IF(ISNUMBER(SEARCH("transfert-interne",IFERROR(INDEX('Paramètres'!$N:$N,MATCH($D2775,'Paramètres'!$M:$M,0))&amp;"",""))),0,IF($L2775="Débit",$K2775,IF($P2775=1,-$K2775,0))))</f>
        <v/>
      </c>
      <c r="R2775" s="6" t="str">
        <f>IF($K2775="","",IF($L2775="Crédit",$K2775,-$K2775))</f>
        <v/>
      </c>
      <c r="S2775" s="6" t="str">
        <f>IF($C2775="","",IFERROR(INDEX('Paramètres'!$H:$H,MATCH($C2775,'Paramètres'!$D:$D,0))&amp;"",""))</f>
        <v/>
      </c>
      <c r="T2775" s="6" t="str">
        <f>IF($K2775="","",IF($S2775="",0,IF(ISNUMBER(SEARCH("apport-exterieur",IFERROR(INDEX('Paramètres'!$N:$N,MATCH($D2775,'Paramètres'!$M:$M,0))&amp;"",""))),0,IF(OR(IFERROR(INDEX('Paramètres'!$I:$I,MATCH($C2775,'Paramètres'!$D:$D,0))&amp;"","")="Les deux",IFERROR(INDEX('Paramètres'!$I:$I,MATCH($C2775,'Paramètres'!$D:$D,0))&amp;"","")=IF($P2775=1,"Débit",$L2775)),-IF($P2775=1,-$K2775,$K2775),0))))</f>
        <v/>
      </c>
      <c r="U2775" s="6" t="str">
        <f>IF($K2775="","",IF(ISNUMBER(SEARCH("sortie-epargne",IFERROR(INDEX('Paramètres'!$N:$N,MATCH($D2775,'Paramètres'!$M:$M,0))&amp;"",""))),$K2775,0))</f>
        <v/>
      </c>
      <c r="V2775" s="6" t="str">
        <f>IF(AND($A2775&lt;&gt;"",$O2775=1,$L2775="Débit",N($Q2775)&gt;0,$A2775&gt;=Visualisation!$B$1,$A2775&lt;Visualisation!$D$1),MAX($V$1:V2774)+1,"")</f>
        <v/>
      </c>
    </row>
    <row r="2776" spans="1:22" x14ac:dyDescent="0.25">
      <c r="A2776" s="9"/>
      <c r="E2776" s="10"/>
      <c r="K2776" s="11" t="str">
        <f>IF($E2776="","",ROUND($E2776*IF(ISNA(MATCH($C2776,'Paramètres'!$D:$D,0)),1,IF(INDEX('Paramètres'!$J:$J,MATCH($C2776,'Paramètres'!$D:$D,0))="",1,INDEX('Paramètres'!$J:$J,MATCH($C2776,'Paramètres'!$D:$D,0)))),2))</f>
        <v/>
      </c>
      <c r="L2776" s="6" t="str">
        <f>IF($D2776="","",IF($F2776&lt;&gt;"",$F2776,IF(ISNA(MATCH($D2776,'Paramètres'!$M:$M,0)),"⚠ Type inconnu",IFERROR(INDEX('Paramètres'!$P:$P,MATCH($D2776,'Paramètres'!$M:$M,0))&amp;"",""))))</f>
        <v/>
      </c>
      <c r="M2776" s="6" t="str">
        <f>IF($D2776="","",IF(ISNA(MATCH($D2776,'Paramètres'!$M:$M,0)),"⚠ Type inconnu",IF($L2776="Crédit","",IFERROR(INDEX('Paramètres'!$O:$O,MATCH($D2776,'Paramètres'!$M:$M,0))&amp;"",""))))</f>
        <v/>
      </c>
      <c r="N2776" s="6" t="str">
        <f>IF($D2776="","",IFERROR(INDEX('Paramètres'!$Q:$Q,MATCH($D2776,'Paramètres'!$M:$M,0))&amp;"",""))</f>
        <v/>
      </c>
      <c r="O2776" s="6" t="str">
        <f>IF($A2776="","",IF(OR($J2776&lt;&gt;"x",$A2776&lt;=FinReleve),1,0))</f>
        <v/>
      </c>
      <c r="P2776" s="6" t="str">
        <f>IF($D2776="","",IF(AND($L2776="Crédit",OR(IFERROR(INDEX('Paramètres'!$O:$O,MATCH($D2776,'Paramètres'!$M:$M,0))&amp;"","")&lt;&gt;"",ISNUMBER(SEARCH("remboursement",IFERROR(INDEX('Paramètres'!$N:$N,MATCH($D2776,'Paramètres'!$M:$M,0))&amp;"",""))))),1,0))</f>
        <v/>
      </c>
      <c r="Q2776" s="6" t="str">
        <f>IF($K2776="","",IF(ISNUMBER(SEARCH("transfert-interne",IFERROR(INDEX('Paramètres'!$N:$N,MATCH($D2776,'Paramètres'!$M:$M,0))&amp;"",""))),0,IF($L2776="Débit",$K2776,IF($P2776=1,-$K2776,0))))</f>
        <v/>
      </c>
      <c r="R2776" s="6" t="str">
        <f>IF($K2776="","",IF($L2776="Crédit",$K2776,-$K2776))</f>
        <v/>
      </c>
      <c r="S2776" s="6" t="str">
        <f>IF($C2776="","",IFERROR(INDEX('Paramètres'!$H:$H,MATCH($C2776,'Paramètres'!$D:$D,0))&amp;"",""))</f>
        <v/>
      </c>
      <c r="T2776" s="6" t="str">
        <f>IF($K2776="","",IF($S2776="",0,IF(ISNUMBER(SEARCH("apport-exterieur",IFERROR(INDEX('Paramètres'!$N:$N,MATCH($D2776,'Paramètres'!$M:$M,0))&amp;"",""))),0,IF(OR(IFERROR(INDEX('Paramètres'!$I:$I,MATCH($C2776,'Paramètres'!$D:$D,0))&amp;"","")="Les deux",IFERROR(INDEX('Paramètres'!$I:$I,MATCH($C2776,'Paramètres'!$D:$D,0))&amp;"","")=IF($P2776=1,"Débit",$L2776)),-IF($P2776=1,-$K2776,$K2776),0))))</f>
        <v/>
      </c>
      <c r="U2776" s="6" t="str">
        <f>IF($K2776="","",IF(ISNUMBER(SEARCH("sortie-epargne",IFERROR(INDEX('Paramètres'!$N:$N,MATCH($D2776,'Paramètres'!$M:$M,0))&amp;"",""))),$K2776,0))</f>
        <v/>
      </c>
      <c r="V2776" s="6" t="str">
        <f>IF(AND($A2776&lt;&gt;"",$O2776=1,$L2776="Débit",N($Q2776)&gt;0,$A2776&gt;=Visualisation!$B$1,$A2776&lt;Visualisation!$D$1),MAX($V$1:V2775)+1,"")</f>
        <v/>
      </c>
    </row>
    <row r="2777" spans="1:22" x14ac:dyDescent="0.25">
      <c r="A2777" s="9"/>
      <c r="E2777" s="10"/>
      <c r="K2777" s="11" t="str">
        <f>IF($E2777="","",ROUND($E2777*IF(ISNA(MATCH($C2777,'Paramètres'!$D:$D,0)),1,IF(INDEX('Paramètres'!$J:$J,MATCH($C2777,'Paramètres'!$D:$D,0))="",1,INDEX('Paramètres'!$J:$J,MATCH($C2777,'Paramètres'!$D:$D,0)))),2))</f>
        <v/>
      </c>
      <c r="L2777" s="6" t="str">
        <f>IF($D2777="","",IF($F2777&lt;&gt;"",$F2777,IF(ISNA(MATCH($D2777,'Paramètres'!$M:$M,0)),"⚠ Type inconnu",IFERROR(INDEX('Paramètres'!$P:$P,MATCH($D2777,'Paramètres'!$M:$M,0))&amp;"",""))))</f>
        <v/>
      </c>
      <c r="M2777" s="6" t="str">
        <f>IF($D2777="","",IF(ISNA(MATCH($D2777,'Paramètres'!$M:$M,0)),"⚠ Type inconnu",IF($L2777="Crédit","",IFERROR(INDEX('Paramètres'!$O:$O,MATCH($D2777,'Paramètres'!$M:$M,0))&amp;"",""))))</f>
        <v/>
      </c>
      <c r="N2777" s="6" t="str">
        <f>IF($D2777="","",IFERROR(INDEX('Paramètres'!$Q:$Q,MATCH($D2777,'Paramètres'!$M:$M,0))&amp;"",""))</f>
        <v/>
      </c>
      <c r="O2777" s="6" t="str">
        <f>IF($A2777="","",IF(OR($J2777&lt;&gt;"x",$A2777&lt;=FinReleve),1,0))</f>
        <v/>
      </c>
      <c r="P2777" s="6" t="str">
        <f>IF($D2777="","",IF(AND($L2777="Crédit",OR(IFERROR(INDEX('Paramètres'!$O:$O,MATCH($D2777,'Paramètres'!$M:$M,0))&amp;"","")&lt;&gt;"",ISNUMBER(SEARCH("remboursement",IFERROR(INDEX('Paramètres'!$N:$N,MATCH($D2777,'Paramètres'!$M:$M,0))&amp;"",""))))),1,0))</f>
        <v/>
      </c>
      <c r="Q2777" s="6" t="str">
        <f>IF($K2777="","",IF(ISNUMBER(SEARCH("transfert-interne",IFERROR(INDEX('Paramètres'!$N:$N,MATCH($D2777,'Paramètres'!$M:$M,0))&amp;"",""))),0,IF($L2777="Débit",$K2777,IF($P2777=1,-$K2777,0))))</f>
        <v/>
      </c>
      <c r="R2777" s="6" t="str">
        <f>IF($K2777="","",IF($L2777="Crédit",$K2777,-$K2777))</f>
        <v/>
      </c>
      <c r="S2777" s="6" t="str">
        <f>IF($C2777="","",IFERROR(INDEX('Paramètres'!$H:$H,MATCH($C2777,'Paramètres'!$D:$D,0))&amp;"",""))</f>
        <v/>
      </c>
      <c r="T2777" s="6" t="str">
        <f>IF($K2777="","",IF($S2777="",0,IF(ISNUMBER(SEARCH("apport-exterieur",IFERROR(INDEX('Paramètres'!$N:$N,MATCH($D2777,'Paramètres'!$M:$M,0))&amp;"",""))),0,IF(OR(IFERROR(INDEX('Paramètres'!$I:$I,MATCH($C2777,'Paramètres'!$D:$D,0))&amp;"","")="Les deux",IFERROR(INDEX('Paramètres'!$I:$I,MATCH($C2777,'Paramètres'!$D:$D,0))&amp;"","")=IF($P2777=1,"Débit",$L2777)),-IF($P2777=1,-$K2777,$K2777),0))))</f>
        <v/>
      </c>
      <c r="U2777" s="6" t="str">
        <f>IF($K2777="","",IF(ISNUMBER(SEARCH("sortie-epargne",IFERROR(INDEX('Paramètres'!$N:$N,MATCH($D2777,'Paramètres'!$M:$M,0))&amp;"",""))),$K2777,0))</f>
        <v/>
      </c>
      <c r="V2777" s="6" t="str">
        <f>IF(AND($A2777&lt;&gt;"",$O2777=1,$L2777="Débit",N($Q2777)&gt;0,$A2777&gt;=Visualisation!$B$1,$A2777&lt;Visualisation!$D$1),MAX($V$1:V2776)+1,"")</f>
        <v/>
      </c>
    </row>
    <row r="2778" spans="1:22" x14ac:dyDescent="0.25">
      <c r="A2778" s="9"/>
      <c r="E2778" s="10"/>
      <c r="K2778" s="11" t="str">
        <f>IF($E2778="","",ROUND($E2778*IF(ISNA(MATCH($C2778,'Paramètres'!$D:$D,0)),1,IF(INDEX('Paramètres'!$J:$J,MATCH($C2778,'Paramètres'!$D:$D,0))="",1,INDEX('Paramètres'!$J:$J,MATCH($C2778,'Paramètres'!$D:$D,0)))),2))</f>
        <v/>
      </c>
      <c r="L2778" s="6" t="str">
        <f>IF($D2778="","",IF($F2778&lt;&gt;"",$F2778,IF(ISNA(MATCH($D2778,'Paramètres'!$M:$M,0)),"⚠ Type inconnu",IFERROR(INDEX('Paramètres'!$P:$P,MATCH($D2778,'Paramètres'!$M:$M,0))&amp;"",""))))</f>
        <v/>
      </c>
      <c r="M2778" s="6" t="str">
        <f>IF($D2778="","",IF(ISNA(MATCH($D2778,'Paramètres'!$M:$M,0)),"⚠ Type inconnu",IF($L2778="Crédit","",IFERROR(INDEX('Paramètres'!$O:$O,MATCH($D2778,'Paramètres'!$M:$M,0))&amp;"",""))))</f>
        <v/>
      </c>
      <c r="N2778" s="6" t="str">
        <f>IF($D2778="","",IFERROR(INDEX('Paramètres'!$Q:$Q,MATCH($D2778,'Paramètres'!$M:$M,0))&amp;"",""))</f>
        <v/>
      </c>
      <c r="O2778" s="6" t="str">
        <f>IF($A2778="","",IF(OR($J2778&lt;&gt;"x",$A2778&lt;=FinReleve),1,0))</f>
        <v/>
      </c>
      <c r="P2778" s="6" t="str">
        <f>IF($D2778="","",IF(AND($L2778="Crédit",OR(IFERROR(INDEX('Paramètres'!$O:$O,MATCH($D2778,'Paramètres'!$M:$M,0))&amp;"","")&lt;&gt;"",ISNUMBER(SEARCH("remboursement",IFERROR(INDEX('Paramètres'!$N:$N,MATCH($D2778,'Paramètres'!$M:$M,0))&amp;"",""))))),1,0))</f>
        <v/>
      </c>
      <c r="Q2778" s="6" t="str">
        <f>IF($K2778="","",IF(ISNUMBER(SEARCH("transfert-interne",IFERROR(INDEX('Paramètres'!$N:$N,MATCH($D2778,'Paramètres'!$M:$M,0))&amp;"",""))),0,IF($L2778="Débit",$K2778,IF($P2778=1,-$K2778,0))))</f>
        <v/>
      </c>
      <c r="R2778" s="6" t="str">
        <f>IF($K2778="","",IF($L2778="Crédit",$K2778,-$K2778))</f>
        <v/>
      </c>
      <c r="S2778" s="6" t="str">
        <f>IF($C2778="","",IFERROR(INDEX('Paramètres'!$H:$H,MATCH($C2778,'Paramètres'!$D:$D,0))&amp;"",""))</f>
        <v/>
      </c>
      <c r="T2778" s="6" t="str">
        <f>IF($K2778="","",IF($S2778="",0,IF(ISNUMBER(SEARCH("apport-exterieur",IFERROR(INDEX('Paramètres'!$N:$N,MATCH($D2778,'Paramètres'!$M:$M,0))&amp;"",""))),0,IF(OR(IFERROR(INDEX('Paramètres'!$I:$I,MATCH($C2778,'Paramètres'!$D:$D,0))&amp;"","")="Les deux",IFERROR(INDEX('Paramètres'!$I:$I,MATCH($C2778,'Paramètres'!$D:$D,0))&amp;"","")=IF($P2778=1,"Débit",$L2778)),-IF($P2778=1,-$K2778,$K2778),0))))</f>
        <v/>
      </c>
      <c r="U2778" s="6" t="str">
        <f>IF($K2778="","",IF(ISNUMBER(SEARCH("sortie-epargne",IFERROR(INDEX('Paramètres'!$N:$N,MATCH($D2778,'Paramètres'!$M:$M,0))&amp;"",""))),$K2778,0))</f>
        <v/>
      </c>
      <c r="V2778" s="6" t="str">
        <f>IF(AND($A2778&lt;&gt;"",$O2778=1,$L2778="Débit",N($Q2778)&gt;0,$A2778&gt;=Visualisation!$B$1,$A2778&lt;Visualisation!$D$1),MAX($V$1:V2777)+1,"")</f>
        <v/>
      </c>
    </row>
    <row r="2779" spans="1:22" x14ac:dyDescent="0.25">
      <c r="A2779" s="9"/>
      <c r="E2779" s="10"/>
      <c r="K2779" s="11" t="str">
        <f>IF($E2779="","",ROUND($E2779*IF(ISNA(MATCH($C2779,'Paramètres'!$D:$D,0)),1,IF(INDEX('Paramètres'!$J:$J,MATCH($C2779,'Paramètres'!$D:$D,0))="",1,INDEX('Paramètres'!$J:$J,MATCH($C2779,'Paramètres'!$D:$D,0)))),2))</f>
        <v/>
      </c>
      <c r="L2779" s="6" t="str">
        <f>IF($D2779="","",IF($F2779&lt;&gt;"",$F2779,IF(ISNA(MATCH($D2779,'Paramètres'!$M:$M,0)),"⚠ Type inconnu",IFERROR(INDEX('Paramètres'!$P:$P,MATCH($D2779,'Paramètres'!$M:$M,0))&amp;"",""))))</f>
        <v/>
      </c>
      <c r="M2779" s="6" t="str">
        <f>IF($D2779="","",IF(ISNA(MATCH($D2779,'Paramètres'!$M:$M,0)),"⚠ Type inconnu",IF($L2779="Crédit","",IFERROR(INDEX('Paramètres'!$O:$O,MATCH($D2779,'Paramètres'!$M:$M,0))&amp;"",""))))</f>
        <v/>
      </c>
      <c r="N2779" s="6" t="str">
        <f>IF($D2779="","",IFERROR(INDEX('Paramètres'!$Q:$Q,MATCH($D2779,'Paramètres'!$M:$M,0))&amp;"",""))</f>
        <v/>
      </c>
      <c r="O2779" s="6" t="str">
        <f>IF($A2779="","",IF(OR($J2779&lt;&gt;"x",$A2779&lt;=FinReleve),1,0))</f>
        <v/>
      </c>
      <c r="P2779" s="6" t="str">
        <f>IF($D2779="","",IF(AND($L2779="Crédit",OR(IFERROR(INDEX('Paramètres'!$O:$O,MATCH($D2779,'Paramètres'!$M:$M,0))&amp;"","")&lt;&gt;"",ISNUMBER(SEARCH("remboursement",IFERROR(INDEX('Paramètres'!$N:$N,MATCH($D2779,'Paramètres'!$M:$M,0))&amp;"",""))))),1,0))</f>
        <v/>
      </c>
      <c r="Q2779" s="6" t="str">
        <f>IF($K2779="","",IF(ISNUMBER(SEARCH("transfert-interne",IFERROR(INDEX('Paramètres'!$N:$N,MATCH($D2779,'Paramètres'!$M:$M,0))&amp;"",""))),0,IF($L2779="Débit",$K2779,IF($P2779=1,-$K2779,0))))</f>
        <v/>
      </c>
      <c r="R2779" s="6" t="str">
        <f>IF($K2779="","",IF($L2779="Crédit",$K2779,-$K2779))</f>
        <v/>
      </c>
      <c r="S2779" s="6" t="str">
        <f>IF($C2779="","",IFERROR(INDEX('Paramètres'!$H:$H,MATCH($C2779,'Paramètres'!$D:$D,0))&amp;"",""))</f>
        <v/>
      </c>
      <c r="T2779" s="6" t="str">
        <f>IF($K2779="","",IF($S2779="",0,IF(ISNUMBER(SEARCH("apport-exterieur",IFERROR(INDEX('Paramètres'!$N:$N,MATCH($D2779,'Paramètres'!$M:$M,0))&amp;"",""))),0,IF(OR(IFERROR(INDEX('Paramètres'!$I:$I,MATCH($C2779,'Paramètres'!$D:$D,0))&amp;"","")="Les deux",IFERROR(INDEX('Paramètres'!$I:$I,MATCH($C2779,'Paramètres'!$D:$D,0))&amp;"","")=IF($P2779=1,"Débit",$L2779)),-IF($P2779=1,-$K2779,$K2779),0))))</f>
        <v/>
      </c>
      <c r="U2779" s="6" t="str">
        <f>IF($K2779="","",IF(ISNUMBER(SEARCH("sortie-epargne",IFERROR(INDEX('Paramètres'!$N:$N,MATCH($D2779,'Paramètres'!$M:$M,0))&amp;"",""))),$K2779,0))</f>
        <v/>
      </c>
      <c r="V2779" s="6" t="str">
        <f>IF(AND($A2779&lt;&gt;"",$O2779=1,$L2779="Débit",N($Q2779)&gt;0,$A2779&gt;=Visualisation!$B$1,$A2779&lt;Visualisation!$D$1),MAX($V$1:V2778)+1,"")</f>
        <v/>
      </c>
    </row>
    <row r="2780" spans="1:22" x14ac:dyDescent="0.25">
      <c r="A2780" s="9"/>
      <c r="E2780" s="10"/>
      <c r="K2780" s="11" t="str">
        <f>IF($E2780="","",ROUND($E2780*IF(ISNA(MATCH($C2780,'Paramètres'!$D:$D,0)),1,IF(INDEX('Paramètres'!$J:$J,MATCH($C2780,'Paramètres'!$D:$D,0))="",1,INDEX('Paramètres'!$J:$J,MATCH($C2780,'Paramètres'!$D:$D,0)))),2))</f>
        <v/>
      </c>
      <c r="L2780" s="6" t="str">
        <f>IF($D2780="","",IF($F2780&lt;&gt;"",$F2780,IF(ISNA(MATCH($D2780,'Paramètres'!$M:$M,0)),"⚠ Type inconnu",IFERROR(INDEX('Paramètres'!$P:$P,MATCH($D2780,'Paramètres'!$M:$M,0))&amp;"",""))))</f>
        <v/>
      </c>
      <c r="M2780" s="6" t="str">
        <f>IF($D2780="","",IF(ISNA(MATCH($D2780,'Paramètres'!$M:$M,0)),"⚠ Type inconnu",IF($L2780="Crédit","",IFERROR(INDEX('Paramètres'!$O:$O,MATCH($D2780,'Paramètres'!$M:$M,0))&amp;"",""))))</f>
        <v/>
      </c>
      <c r="N2780" s="6" t="str">
        <f>IF($D2780="","",IFERROR(INDEX('Paramètres'!$Q:$Q,MATCH($D2780,'Paramètres'!$M:$M,0))&amp;"",""))</f>
        <v/>
      </c>
      <c r="O2780" s="6" t="str">
        <f>IF($A2780="","",IF(OR($J2780&lt;&gt;"x",$A2780&lt;=FinReleve),1,0))</f>
        <v/>
      </c>
      <c r="P2780" s="6" t="str">
        <f>IF($D2780="","",IF(AND($L2780="Crédit",OR(IFERROR(INDEX('Paramètres'!$O:$O,MATCH($D2780,'Paramètres'!$M:$M,0))&amp;"","")&lt;&gt;"",ISNUMBER(SEARCH("remboursement",IFERROR(INDEX('Paramètres'!$N:$N,MATCH($D2780,'Paramètres'!$M:$M,0))&amp;"",""))))),1,0))</f>
        <v/>
      </c>
      <c r="Q2780" s="6" t="str">
        <f>IF($K2780="","",IF(ISNUMBER(SEARCH("transfert-interne",IFERROR(INDEX('Paramètres'!$N:$N,MATCH($D2780,'Paramètres'!$M:$M,0))&amp;"",""))),0,IF($L2780="Débit",$K2780,IF($P2780=1,-$K2780,0))))</f>
        <v/>
      </c>
      <c r="R2780" s="6" t="str">
        <f>IF($K2780="","",IF($L2780="Crédit",$K2780,-$K2780))</f>
        <v/>
      </c>
      <c r="S2780" s="6" t="str">
        <f>IF($C2780="","",IFERROR(INDEX('Paramètres'!$H:$H,MATCH($C2780,'Paramètres'!$D:$D,0))&amp;"",""))</f>
        <v/>
      </c>
      <c r="T2780" s="6" t="str">
        <f>IF($K2780="","",IF($S2780="",0,IF(ISNUMBER(SEARCH("apport-exterieur",IFERROR(INDEX('Paramètres'!$N:$N,MATCH($D2780,'Paramètres'!$M:$M,0))&amp;"",""))),0,IF(OR(IFERROR(INDEX('Paramètres'!$I:$I,MATCH($C2780,'Paramètres'!$D:$D,0))&amp;"","")="Les deux",IFERROR(INDEX('Paramètres'!$I:$I,MATCH($C2780,'Paramètres'!$D:$D,0))&amp;"","")=IF($P2780=1,"Débit",$L2780)),-IF($P2780=1,-$K2780,$K2780),0))))</f>
        <v/>
      </c>
      <c r="U2780" s="6" t="str">
        <f>IF($K2780="","",IF(ISNUMBER(SEARCH("sortie-epargne",IFERROR(INDEX('Paramètres'!$N:$N,MATCH($D2780,'Paramètres'!$M:$M,0))&amp;"",""))),$K2780,0))</f>
        <v/>
      </c>
      <c r="V2780" s="6" t="str">
        <f>IF(AND($A2780&lt;&gt;"",$O2780=1,$L2780="Débit",N($Q2780)&gt;0,$A2780&gt;=Visualisation!$B$1,$A2780&lt;Visualisation!$D$1),MAX($V$1:V2779)+1,"")</f>
        <v/>
      </c>
    </row>
    <row r="2781" spans="1:22" x14ac:dyDescent="0.25">
      <c r="A2781" s="9"/>
      <c r="E2781" s="10"/>
      <c r="K2781" s="11" t="str">
        <f>IF($E2781="","",ROUND($E2781*IF(ISNA(MATCH($C2781,'Paramètres'!$D:$D,0)),1,IF(INDEX('Paramètres'!$J:$J,MATCH($C2781,'Paramètres'!$D:$D,0))="",1,INDEX('Paramètres'!$J:$J,MATCH($C2781,'Paramètres'!$D:$D,0)))),2))</f>
        <v/>
      </c>
      <c r="L2781" s="6" t="str">
        <f>IF($D2781="","",IF($F2781&lt;&gt;"",$F2781,IF(ISNA(MATCH($D2781,'Paramètres'!$M:$M,0)),"⚠ Type inconnu",IFERROR(INDEX('Paramètres'!$P:$P,MATCH($D2781,'Paramètres'!$M:$M,0))&amp;"",""))))</f>
        <v/>
      </c>
      <c r="M2781" s="6" t="str">
        <f>IF($D2781="","",IF(ISNA(MATCH($D2781,'Paramètres'!$M:$M,0)),"⚠ Type inconnu",IF($L2781="Crédit","",IFERROR(INDEX('Paramètres'!$O:$O,MATCH($D2781,'Paramètres'!$M:$M,0))&amp;"",""))))</f>
        <v/>
      </c>
      <c r="N2781" s="6" t="str">
        <f>IF($D2781="","",IFERROR(INDEX('Paramètres'!$Q:$Q,MATCH($D2781,'Paramètres'!$M:$M,0))&amp;"",""))</f>
        <v/>
      </c>
      <c r="O2781" s="6" t="str">
        <f>IF($A2781="","",IF(OR($J2781&lt;&gt;"x",$A2781&lt;=FinReleve),1,0))</f>
        <v/>
      </c>
      <c r="P2781" s="6" t="str">
        <f>IF($D2781="","",IF(AND($L2781="Crédit",OR(IFERROR(INDEX('Paramètres'!$O:$O,MATCH($D2781,'Paramètres'!$M:$M,0))&amp;"","")&lt;&gt;"",ISNUMBER(SEARCH("remboursement",IFERROR(INDEX('Paramètres'!$N:$N,MATCH($D2781,'Paramètres'!$M:$M,0))&amp;"",""))))),1,0))</f>
        <v/>
      </c>
      <c r="Q2781" s="6" t="str">
        <f>IF($K2781="","",IF(ISNUMBER(SEARCH("transfert-interne",IFERROR(INDEX('Paramètres'!$N:$N,MATCH($D2781,'Paramètres'!$M:$M,0))&amp;"",""))),0,IF($L2781="Débit",$K2781,IF($P2781=1,-$K2781,0))))</f>
        <v/>
      </c>
      <c r="R2781" s="6" t="str">
        <f>IF($K2781="","",IF($L2781="Crédit",$K2781,-$K2781))</f>
        <v/>
      </c>
      <c r="S2781" s="6" t="str">
        <f>IF($C2781="","",IFERROR(INDEX('Paramètres'!$H:$H,MATCH($C2781,'Paramètres'!$D:$D,0))&amp;"",""))</f>
        <v/>
      </c>
      <c r="T2781" s="6" t="str">
        <f>IF($K2781="","",IF($S2781="",0,IF(ISNUMBER(SEARCH("apport-exterieur",IFERROR(INDEX('Paramètres'!$N:$N,MATCH($D2781,'Paramètres'!$M:$M,0))&amp;"",""))),0,IF(OR(IFERROR(INDEX('Paramètres'!$I:$I,MATCH($C2781,'Paramètres'!$D:$D,0))&amp;"","")="Les deux",IFERROR(INDEX('Paramètres'!$I:$I,MATCH($C2781,'Paramètres'!$D:$D,0))&amp;"","")=IF($P2781=1,"Débit",$L2781)),-IF($P2781=1,-$K2781,$K2781),0))))</f>
        <v/>
      </c>
      <c r="U2781" s="6" t="str">
        <f>IF($K2781="","",IF(ISNUMBER(SEARCH("sortie-epargne",IFERROR(INDEX('Paramètres'!$N:$N,MATCH($D2781,'Paramètres'!$M:$M,0))&amp;"",""))),$K2781,0))</f>
        <v/>
      </c>
      <c r="V2781" s="6" t="str">
        <f>IF(AND($A2781&lt;&gt;"",$O2781=1,$L2781="Débit",N($Q2781)&gt;0,$A2781&gt;=Visualisation!$B$1,$A2781&lt;Visualisation!$D$1),MAX($V$1:V2780)+1,"")</f>
        <v/>
      </c>
    </row>
    <row r="2782" spans="1:22" x14ac:dyDescent="0.25">
      <c r="A2782" s="9"/>
      <c r="E2782" s="10"/>
      <c r="K2782" s="11" t="str">
        <f>IF($E2782="","",ROUND($E2782*IF(ISNA(MATCH($C2782,'Paramètres'!$D:$D,0)),1,IF(INDEX('Paramètres'!$J:$J,MATCH($C2782,'Paramètres'!$D:$D,0))="",1,INDEX('Paramètres'!$J:$J,MATCH($C2782,'Paramètres'!$D:$D,0)))),2))</f>
        <v/>
      </c>
      <c r="L2782" s="6" t="str">
        <f>IF($D2782="","",IF($F2782&lt;&gt;"",$F2782,IF(ISNA(MATCH($D2782,'Paramètres'!$M:$M,0)),"⚠ Type inconnu",IFERROR(INDEX('Paramètres'!$P:$P,MATCH($D2782,'Paramètres'!$M:$M,0))&amp;"",""))))</f>
        <v/>
      </c>
      <c r="M2782" s="6" t="str">
        <f>IF($D2782="","",IF(ISNA(MATCH($D2782,'Paramètres'!$M:$M,0)),"⚠ Type inconnu",IF($L2782="Crédit","",IFERROR(INDEX('Paramètres'!$O:$O,MATCH($D2782,'Paramètres'!$M:$M,0))&amp;"",""))))</f>
        <v/>
      </c>
      <c r="N2782" s="6" t="str">
        <f>IF($D2782="","",IFERROR(INDEX('Paramètres'!$Q:$Q,MATCH($D2782,'Paramètres'!$M:$M,0))&amp;"",""))</f>
        <v/>
      </c>
      <c r="O2782" s="6" t="str">
        <f>IF($A2782="","",IF(OR($J2782&lt;&gt;"x",$A2782&lt;=FinReleve),1,0))</f>
        <v/>
      </c>
      <c r="P2782" s="6" t="str">
        <f>IF($D2782="","",IF(AND($L2782="Crédit",OR(IFERROR(INDEX('Paramètres'!$O:$O,MATCH($D2782,'Paramètres'!$M:$M,0))&amp;"","")&lt;&gt;"",ISNUMBER(SEARCH("remboursement",IFERROR(INDEX('Paramètres'!$N:$N,MATCH($D2782,'Paramètres'!$M:$M,0))&amp;"",""))))),1,0))</f>
        <v/>
      </c>
      <c r="Q2782" s="6" t="str">
        <f>IF($K2782="","",IF(ISNUMBER(SEARCH("transfert-interne",IFERROR(INDEX('Paramètres'!$N:$N,MATCH($D2782,'Paramètres'!$M:$M,0))&amp;"",""))),0,IF($L2782="Débit",$K2782,IF($P2782=1,-$K2782,0))))</f>
        <v/>
      </c>
      <c r="R2782" s="6" t="str">
        <f>IF($K2782="","",IF($L2782="Crédit",$K2782,-$K2782))</f>
        <v/>
      </c>
      <c r="S2782" s="6" t="str">
        <f>IF($C2782="","",IFERROR(INDEX('Paramètres'!$H:$H,MATCH($C2782,'Paramètres'!$D:$D,0))&amp;"",""))</f>
        <v/>
      </c>
      <c r="T2782" s="6" t="str">
        <f>IF($K2782="","",IF($S2782="",0,IF(ISNUMBER(SEARCH("apport-exterieur",IFERROR(INDEX('Paramètres'!$N:$N,MATCH($D2782,'Paramètres'!$M:$M,0))&amp;"",""))),0,IF(OR(IFERROR(INDEX('Paramètres'!$I:$I,MATCH($C2782,'Paramètres'!$D:$D,0))&amp;"","")="Les deux",IFERROR(INDEX('Paramètres'!$I:$I,MATCH($C2782,'Paramètres'!$D:$D,0))&amp;"","")=IF($P2782=1,"Débit",$L2782)),-IF($P2782=1,-$K2782,$K2782),0))))</f>
        <v/>
      </c>
      <c r="U2782" s="6" t="str">
        <f>IF($K2782="","",IF(ISNUMBER(SEARCH("sortie-epargne",IFERROR(INDEX('Paramètres'!$N:$N,MATCH($D2782,'Paramètres'!$M:$M,0))&amp;"",""))),$K2782,0))</f>
        <v/>
      </c>
      <c r="V2782" s="6" t="str">
        <f>IF(AND($A2782&lt;&gt;"",$O2782=1,$L2782="Débit",N($Q2782)&gt;0,$A2782&gt;=Visualisation!$B$1,$A2782&lt;Visualisation!$D$1),MAX($V$1:V2781)+1,"")</f>
        <v/>
      </c>
    </row>
    <row r="2783" spans="1:22" x14ac:dyDescent="0.25">
      <c r="A2783" s="9"/>
      <c r="E2783" s="10"/>
      <c r="K2783" s="11" t="str">
        <f>IF($E2783="","",ROUND($E2783*IF(ISNA(MATCH($C2783,'Paramètres'!$D:$D,0)),1,IF(INDEX('Paramètres'!$J:$J,MATCH($C2783,'Paramètres'!$D:$D,0))="",1,INDEX('Paramètres'!$J:$J,MATCH($C2783,'Paramètres'!$D:$D,0)))),2))</f>
        <v/>
      </c>
      <c r="L2783" s="6" t="str">
        <f>IF($D2783="","",IF($F2783&lt;&gt;"",$F2783,IF(ISNA(MATCH($D2783,'Paramètres'!$M:$M,0)),"⚠ Type inconnu",IFERROR(INDEX('Paramètres'!$P:$P,MATCH($D2783,'Paramètres'!$M:$M,0))&amp;"",""))))</f>
        <v/>
      </c>
      <c r="M2783" s="6" t="str">
        <f>IF($D2783="","",IF(ISNA(MATCH($D2783,'Paramètres'!$M:$M,0)),"⚠ Type inconnu",IF($L2783="Crédit","",IFERROR(INDEX('Paramètres'!$O:$O,MATCH($D2783,'Paramètres'!$M:$M,0))&amp;"",""))))</f>
        <v/>
      </c>
      <c r="N2783" s="6" t="str">
        <f>IF($D2783="","",IFERROR(INDEX('Paramètres'!$Q:$Q,MATCH($D2783,'Paramètres'!$M:$M,0))&amp;"",""))</f>
        <v/>
      </c>
      <c r="O2783" s="6" t="str">
        <f>IF($A2783="","",IF(OR($J2783&lt;&gt;"x",$A2783&lt;=FinReleve),1,0))</f>
        <v/>
      </c>
      <c r="P2783" s="6" t="str">
        <f>IF($D2783="","",IF(AND($L2783="Crédit",OR(IFERROR(INDEX('Paramètres'!$O:$O,MATCH($D2783,'Paramètres'!$M:$M,0))&amp;"","")&lt;&gt;"",ISNUMBER(SEARCH("remboursement",IFERROR(INDEX('Paramètres'!$N:$N,MATCH($D2783,'Paramètres'!$M:$M,0))&amp;"",""))))),1,0))</f>
        <v/>
      </c>
      <c r="Q2783" s="6" t="str">
        <f>IF($K2783="","",IF(ISNUMBER(SEARCH("transfert-interne",IFERROR(INDEX('Paramètres'!$N:$N,MATCH($D2783,'Paramètres'!$M:$M,0))&amp;"",""))),0,IF($L2783="Débit",$K2783,IF($P2783=1,-$K2783,0))))</f>
        <v/>
      </c>
      <c r="R2783" s="6" t="str">
        <f>IF($K2783="","",IF($L2783="Crédit",$K2783,-$K2783))</f>
        <v/>
      </c>
      <c r="S2783" s="6" t="str">
        <f>IF($C2783="","",IFERROR(INDEX('Paramètres'!$H:$H,MATCH($C2783,'Paramètres'!$D:$D,0))&amp;"",""))</f>
        <v/>
      </c>
      <c r="T2783" s="6" t="str">
        <f>IF($K2783="","",IF($S2783="",0,IF(ISNUMBER(SEARCH("apport-exterieur",IFERROR(INDEX('Paramètres'!$N:$N,MATCH($D2783,'Paramètres'!$M:$M,0))&amp;"",""))),0,IF(OR(IFERROR(INDEX('Paramètres'!$I:$I,MATCH($C2783,'Paramètres'!$D:$D,0))&amp;"","")="Les deux",IFERROR(INDEX('Paramètres'!$I:$I,MATCH($C2783,'Paramètres'!$D:$D,0))&amp;"","")=IF($P2783=1,"Débit",$L2783)),-IF($P2783=1,-$K2783,$K2783),0))))</f>
        <v/>
      </c>
      <c r="U2783" s="6" t="str">
        <f>IF($K2783="","",IF(ISNUMBER(SEARCH("sortie-epargne",IFERROR(INDEX('Paramètres'!$N:$N,MATCH($D2783,'Paramètres'!$M:$M,0))&amp;"",""))),$K2783,0))</f>
        <v/>
      </c>
      <c r="V2783" s="6" t="str">
        <f>IF(AND($A2783&lt;&gt;"",$O2783=1,$L2783="Débit",N($Q2783)&gt;0,$A2783&gt;=Visualisation!$B$1,$A2783&lt;Visualisation!$D$1),MAX($V$1:V2782)+1,"")</f>
        <v/>
      </c>
    </row>
    <row r="2784" spans="1:22" x14ac:dyDescent="0.25">
      <c r="A2784" s="9"/>
      <c r="E2784" s="10"/>
      <c r="K2784" s="11" t="str">
        <f>IF($E2784="","",ROUND($E2784*IF(ISNA(MATCH($C2784,'Paramètres'!$D:$D,0)),1,IF(INDEX('Paramètres'!$J:$J,MATCH($C2784,'Paramètres'!$D:$D,0))="",1,INDEX('Paramètres'!$J:$J,MATCH($C2784,'Paramètres'!$D:$D,0)))),2))</f>
        <v/>
      </c>
      <c r="L2784" s="6" t="str">
        <f>IF($D2784="","",IF($F2784&lt;&gt;"",$F2784,IF(ISNA(MATCH($D2784,'Paramètres'!$M:$M,0)),"⚠ Type inconnu",IFERROR(INDEX('Paramètres'!$P:$P,MATCH($D2784,'Paramètres'!$M:$M,0))&amp;"",""))))</f>
        <v/>
      </c>
      <c r="M2784" s="6" t="str">
        <f>IF($D2784="","",IF(ISNA(MATCH($D2784,'Paramètres'!$M:$M,0)),"⚠ Type inconnu",IF($L2784="Crédit","",IFERROR(INDEX('Paramètres'!$O:$O,MATCH($D2784,'Paramètres'!$M:$M,0))&amp;"",""))))</f>
        <v/>
      </c>
      <c r="N2784" s="6" t="str">
        <f>IF($D2784="","",IFERROR(INDEX('Paramètres'!$Q:$Q,MATCH($D2784,'Paramètres'!$M:$M,0))&amp;"",""))</f>
        <v/>
      </c>
      <c r="O2784" s="6" t="str">
        <f>IF($A2784="","",IF(OR($J2784&lt;&gt;"x",$A2784&lt;=FinReleve),1,0))</f>
        <v/>
      </c>
      <c r="P2784" s="6" t="str">
        <f>IF($D2784="","",IF(AND($L2784="Crédit",OR(IFERROR(INDEX('Paramètres'!$O:$O,MATCH($D2784,'Paramètres'!$M:$M,0))&amp;"","")&lt;&gt;"",ISNUMBER(SEARCH("remboursement",IFERROR(INDEX('Paramètres'!$N:$N,MATCH($D2784,'Paramètres'!$M:$M,0))&amp;"",""))))),1,0))</f>
        <v/>
      </c>
      <c r="Q2784" s="6" t="str">
        <f>IF($K2784="","",IF(ISNUMBER(SEARCH("transfert-interne",IFERROR(INDEX('Paramètres'!$N:$N,MATCH($D2784,'Paramètres'!$M:$M,0))&amp;"",""))),0,IF($L2784="Débit",$K2784,IF($P2784=1,-$K2784,0))))</f>
        <v/>
      </c>
      <c r="R2784" s="6" t="str">
        <f>IF($K2784="","",IF($L2784="Crédit",$K2784,-$K2784))</f>
        <v/>
      </c>
      <c r="S2784" s="6" t="str">
        <f>IF($C2784="","",IFERROR(INDEX('Paramètres'!$H:$H,MATCH($C2784,'Paramètres'!$D:$D,0))&amp;"",""))</f>
        <v/>
      </c>
      <c r="T2784" s="6" t="str">
        <f>IF($K2784="","",IF($S2784="",0,IF(ISNUMBER(SEARCH("apport-exterieur",IFERROR(INDEX('Paramètres'!$N:$N,MATCH($D2784,'Paramètres'!$M:$M,0))&amp;"",""))),0,IF(OR(IFERROR(INDEX('Paramètres'!$I:$I,MATCH($C2784,'Paramètres'!$D:$D,0))&amp;"","")="Les deux",IFERROR(INDEX('Paramètres'!$I:$I,MATCH($C2784,'Paramètres'!$D:$D,0))&amp;"","")=IF($P2784=1,"Débit",$L2784)),-IF($P2784=1,-$K2784,$K2784),0))))</f>
        <v/>
      </c>
      <c r="U2784" s="6" t="str">
        <f>IF($K2784="","",IF(ISNUMBER(SEARCH("sortie-epargne",IFERROR(INDEX('Paramètres'!$N:$N,MATCH($D2784,'Paramètres'!$M:$M,0))&amp;"",""))),$K2784,0))</f>
        <v/>
      </c>
      <c r="V2784" s="6" t="str">
        <f>IF(AND($A2784&lt;&gt;"",$O2784=1,$L2784="Débit",N($Q2784)&gt;0,$A2784&gt;=Visualisation!$B$1,$A2784&lt;Visualisation!$D$1),MAX($V$1:V2783)+1,"")</f>
        <v/>
      </c>
    </row>
    <row r="2785" spans="1:22" x14ac:dyDescent="0.25">
      <c r="A2785" s="9"/>
      <c r="E2785" s="10"/>
      <c r="K2785" s="11" t="str">
        <f>IF($E2785="","",ROUND($E2785*IF(ISNA(MATCH($C2785,'Paramètres'!$D:$D,0)),1,IF(INDEX('Paramètres'!$J:$J,MATCH($C2785,'Paramètres'!$D:$D,0))="",1,INDEX('Paramètres'!$J:$J,MATCH($C2785,'Paramètres'!$D:$D,0)))),2))</f>
        <v/>
      </c>
      <c r="L2785" s="6" t="str">
        <f>IF($D2785="","",IF($F2785&lt;&gt;"",$F2785,IF(ISNA(MATCH($D2785,'Paramètres'!$M:$M,0)),"⚠ Type inconnu",IFERROR(INDEX('Paramètres'!$P:$P,MATCH($D2785,'Paramètres'!$M:$M,0))&amp;"",""))))</f>
        <v/>
      </c>
      <c r="M2785" s="6" t="str">
        <f>IF($D2785="","",IF(ISNA(MATCH($D2785,'Paramètres'!$M:$M,0)),"⚠ Type inconnu",IF($L2785="Crédit","",IFERROR(INDEX('Paramètres'!$O:$O,MATCH($D2785,'Paramètres'!$M:$M,0))&amp;"",""))))</f>
        <v/>
      </c>
      <c r="N2785" s="6" t="str">
        <f>IF($D2785="","",IFERROR(INDEX('Paramètres'!$Q:$Q,MATCH($D2785,'Paramètres'!$M:$M,0))&amp;"",""))</f>
        <v/>
      </c>
      <c r="O2785" s="6" t="str">
        <f>IF($A2785="","",IF(OR($J2785&lt;&gt;"x",$A2785&lt;=FinReleve),1,0))</f>
        <v/>
      </c>
      <c r="P2785" s="6" t="str">
        <f>IF($D2785="","",IF(AND($L2785="Crédit",OR(IFERROR(INDEX('Paramètres'!$O:$O,MATCH($D2785,'Paramètres'!$M:$M,0))&amp;"","")&lt;&gt;"",ISNUMBER(SEARCH("remboursement",IFERROR(INDEX('Paramètres'!$N:$N,MATCH($D2785,'Paramètres'!$M:$M,0))&amp;"",""))))),1,0))</f>
        <v/>
      </c>
      <c r="Q2785" s="6" t="str">
        <f>IF($K2785="","",IF(ISNUMBER(SEARCH("transfert-interne",IFERROR(INDEX('Paramètres'!$N:$N,MATCH($D2785,'Paramètres'!$M:$M,0))&amp;"",""))),0,IF($L2785="Débit",$K2785,IF($P2785=1,-$K2785,0))))</f>
        <v/>
      </c>
      <c r="R2785" s="6" t="str">
        <f>IF($K2785="","",IF($L2785="Crédit",$K2785,-$K2785))</f>
        <v/>
      </c>
      <c r="S2785" s="6" t="str">
        <f>IF($C2785="","",IFERROR(INDEX('Paramètres'!$H:$H,MATCH($C2785,'Paramètres'!$D:$D,0))&amp;"",""))</f>
        <v/>
      </c>
      <c r="T2785" s="6" t="str">
        <f>IF($K2785="","",IF($S2785="",0,IF(ISNUMBER(SEARCH("apport-exterieur",IFERROR(INDEX('Paramètres'!$N:$N,MATCH($D2785,'Paramètres'!$M:$M,0))&amp;"",""))),0,IF(OR(IFERROR(INDEX('Paramètres'!$I:$I,MATCH($C2785,'Paramètres'!$D:$D,0))&amp;"","")="Les deux",IFERROR(INDEX('Paramètres'!$I:$I,MATCH($C2785,'Paramètres'!$D:$D,0))&amp;"","")=IF($P2785=1,"Débit",$L2785)),-IF($P2785=1,-$K2785,$K2785),0))))</f>
        <v/>
      </c>
      <c r="U2785" s="6" t="str">
        <f>IF($K2785="","",IF(ISNUMBER(SEARCH("sortie-epargne",IFERROR(INDEX('Paramètres'!$N:$N,MATCH($D2785,'Paramètres'!$M:$M,0))&amp;"",""))),$K2785,0))</f>
        <v/>
      </c>
      <c r="V2785" s="6" t="str">
        <f>IF(AND($A2785&lt;&gt;"",$O2785=1,$L2785="Débit",N($Q2785)&gt;0,$A2785&gt;=Visualisation!$B$1,$A2785&lt;Visualisation!$D$1),MAX($V$1:V2784)+1,"")</f>
        <v/>
      </c>
    </row>
    <row r="2786" spans="1:22" x14ac:dyDescent="0.25">
      <c r="A2786" s="9"/>
      <c r="E2786" s="10"/>
      <c r="K2786" s="11" t="str">
        <f>IF($E2786="","",ROUND($E2786*IF(ISNA(MATCH($C2786,'Paramètres'!$D:$D,0)),1,IF(INDEX('Paramètres'!$J:$J,MATCH($C2786,'Paramètres'!$D:$D,0))="",1,INDEX('Paramètres'!$J:$J,MATCH($C2786,'Paramètres'!$D:$D,0)))),2))</f>
        <v/>
      </c>
      <c r="L2786" s="6" t="str">
        <f>IF($D2786="","",IF($F2786&lt;&gt;"",$F2786,IF(ISNA(MATCH($D2786,'Paramètres'!$M:$M,0)),"⚠ Type inconnu",IFERROR(INDEX('Paramètres'!$P:$P,MATCH($D2786,'Paramètres'!$M:$M,0))&amp;"",""))))</f>
        <v/>
      </c>
      <c r="M2786" s="6" t="str">
        <f>IF($D2786="","",IF(ISNA(MATCH($D2786,'Paramètres'!$M:$M,0)),"⚠ Type inconnu",IF($L2786="Crédit","",IFERROR(INDEX('Paramètres'!$O:$O,MATCH($D2786,'Paramètres'!$M:$M,0))&amp;"",""))))</f>
        <v/>
      </c>
      <c r="N2786" s="6" t="str">
        <f>IF($D2786="","",IFERROR(INDEX('Paramètres'!$Q:$Q,MATCH($D2786,'Paramètres'!$M:$M,0))&amp;"",""))</f>
        <v/>
      </c>
      <c r="O2786" s="6" t="str">
        <f>IF($A2786="","",IF(OR($J2786&lt;&gt;"x",$A2786&lt;=FinReleve),1,0))</f>
        <v/>
      </c>
      <c r="P2786" s="6" t="str">
        <f>IF($D2786="","",IF(AND($L2786="Crédit",OR(IFERROR(INDEX('Paramètres'!$O:$O,MATCH($D2786,'Paramètres'!$M:$M,0))&amp;"","")&lt;&gt;"",ISNUMBER(SEARCH("remboursement",IFERROR(INDEX('Paramètres'!$N:$N,MATCH($D2786,'Paramètres'!$M:$M,0))&amp;"",""))))),1,0))</f>
        <v/>
      </c>
      <c r="Q2786" s="6" t="str">
        <f>IF($K2786="","",IF(ISNUMBER(SEARCH("transfert-interne",IFERROR(INDEX('Paramètres'!$N:$N,MATCH($D2786,'Paramètres'!$M:$M,0))&amp;"",""))),0,IF($L2786="Débit",$K2786,IF($P2786=1,-$K2786,0))))</f>
        <v/>
      </c>
      <c r="R2786" s="6" t="str">
        <f>IF($K2786="","",IF($L2786="Crédit",$K2786,-$K2786))</f>
        <v/>
      </c>
      <c r="S2786" s="6" t="str">
        <f>IF($C2786="","",IFERROR(INDEX('Paramètres'!$H:$H,MATCH($C2786,'Paramètres'!$D:$D,0))&amp;"",""))</f>
        <v/>
      </c>
      <c r="T2786" s="6" t="str">
        <f>IF($K2786="","",IF($S2786="",0,IF(ISNUMBER(SEARCH("apport-exterieur",IFERROR(INDEX('Paramètres'!$N:$N,MATCH($D2786,'Paramètres'!$M:$M,0))&amp;"",""))),0,IF(OR(IFERROR(INDEX('Paramètres'!$I:$I,MATCH($C2786,'Paramètres'!$D:$D,0))&amp;"","")="Les deux",IFERROR(INDEX('Paramètres'!$I:$I,MATCH($C2786,'Paramètres'!$D:$D,0))&amp;"","")=IF($P2786=1,"Débit",$L2786)),-IF($P2786=1,-$K2786,$K2786),0))))</f>
        <v/>
      </c>
      <c r="U2786" s="6" t="str">
        <f>IF($K2786="","",IF(ISNUMBER(SEARCH("sortie-epargne",IFERROR(INDEX('Paramètres'!$N:$N,MATCH($D2786,'Paramètres'!$M:$M,0))&amp;"",""))),$K2786,0))</f>
        <v/>
      </c>
      <c r="V2786" s="6" t="str">
        <f>IF(AND($A2786&lt;&gt;"",$O2786=1,$L2786="Débit",N($Q2786)&gt;0,$A2786&gt;=Visualisation!$B$1,$A2786&lt;Visualisation!$D$1),MAX($V$1:V2785)+1,"")</f>
        <v/>
      </c>
    </row>
    <row r="2787" spans="1:22" x14ac:dyDescent="0.25">
      <c r="A2787" s="9"/>
      <c r="E2787" s="10"/>
      <c r="K2787" s="11" t="str">
        <f>IF($E2787="","",ROUND($E2787*IF(ISNA(MATCH($C2787,'Paramètres'!$D:$D,0)),1,IF(INDEX('Paramètres'!$J:$J,MATCH($C2787,'Paramètres'!$D:$D,0))="",1,INDEX('Paramètres'!$J:$J,MATCH($C2787,'Paramètres'!$D:$D,0)))),2))</f>
        <v/>
      </c>
      <c r="L2787" s="6" t="str">
        <f>IF($D2787="","",IF($F2787&lt;&gt;"",$F2787,IF(ISNA(MATCH($D2787,'Paramètres'!$M:$M,0)),"⚠ Type inconnu",IFERROR(INDEX('Paramètres'!$P:$P,MATCH($D2787,'Paramètres'!$M:$M,0))&amp;"",""))))</f>
        <v/>
      </c>
      <c r="M2787" s="6" t="str">
        <f>IF($D2787="","",IF(ISNA(MATCH($D2787,'Paramètres'!$M:$M,0)),"⚠ Type inconnu",IF($L2787="Crédit","",IFERROR(INDEX('Paramètres'!$O:$O,MATCH($D2787,'Paramètres'!$M:$M,0))&amp;"",""))))</f>
        <v/>
      </c>
      <c r="N2787" s="6" t="str">
        <f>IF($D2787="","",IFERROR(INDEX('Paramètres'!$Q:$Q,MATCH($D2787,'Paramètres'!$M:$M,0))&amp;"",""))</f>
        <v/>
      </c>
      <c r="O2787" s="6" t="str">
        <f>IF($A2787="","",IF(OR($J2787&lt;&gt;"x",$A2787&lt;=FinReleve),1,0))</f>
        <v/>
      </c>
      <c r="P2787" s="6" t="str">
        <f>IF($D2787="","",IF(AND($L2787="Crédit",OR(IFERROR(INDEX('Paramètres'!$O:$O,MATCH($D2787,'Paramètres'!$M:$M,0))&amp;"","")&lt;&gt;"",ISNUMBER(SEARCH("remboursement",IFERROR(INDEX('Paramètres'!$N:$N,MATCH($D2787,'Paramètres'!$M:$M,0))&amp;"",""))))),1,0))</f>
        <v/>
      </c>
      <c r="Q2787" s="6" t="str">
        <f>IF($K2787="","",IF(ISNUMBER(SEARCH("transfert-interne",IFERROR(INDEX('Paramètres'!$N:$N,MATCH($D2787,'Paramètres'!$M:$M,0))&amp;"",""))),0,IF($L2787="Débit",$K2787,IF($P2787=1,-$K2787,0))))</f>
        <v/>
      </c>
      <c r="R2787" s="6" t="str">
        <f>IF($K2787="","",IF($L2787="Crédit",$K2787,-$K2787))</f>
        <v/>
      </c>
      <c r="S2787" s="6" t="str">
        <f>IF($C2787="","",IFERROR(INDEX('Paramètres'!$H:$H,MATCH($C2787,'Paramètres'!$D:$D,0))&amp;"",""))</f>
        <v/>
      </c>
      <c r="T2787" s="6" t="str">
        <f>IF($K2787="","",IF($S2787="",0,IF(ISNUMBER(SEARCH("apport-exterieur",IFERROR(INDEX('Paramètres'!$N:$N,MATCH($D2787,'Paramètres'!$M:$M,0))&amp;"",""))),0,IF(OR(IFERROR(INDEX('Paramètres'!$I:$I,MATCH($C2787,'Paramètres'!$D:$D,0))&amp;"","")="Les deux",IFERROR(INDEX('Paramètres'!$I:$I,MATCH($C2787,'Paramètres'!$D:$D,0))&amp;"","")=IF($P2787=1,"Débit",$L2787)),-IF($P2787=1,-$K2787,$K2787),0))))</f>
        <v/>
      </c>
      <c r="U2787" s="6" t="str">
        <f>IF($K2787="","",IF(ISNUMBER(SEARCH("sortie-epargne",IFERROR(INDEX('Paramètres'!$N:$N,MATCH($D2787,'Paramètres'!$M:$M,0))&amp;"",""))),$K2787,0))</f>
        <v/>
      </c>
      <c r="V2787" s="6" t="str">
        <f>IF(AND($A2787&lt;&gt;"",$O2787=1,$L2787="Débit",N($Q2787)&gt;0,$A2787&gt;=Visualisation!$B$1,$A2787&lt;Visualisation!$D$1),MAX($V$1:V2786)+1,"")</f>
        <v/>
      </c>
    </row>
    <row r="2788" spans="1:22" x14ac:dyDescent="0.25">
      <c r="A2788" s="9"/>
      <c r="E2788" s="10"/>
      <c r="K2788" s="11" t="str">
        <f>IF($E2788="","",ROUND($E2788*IF(ISNA(MATCH($C2788,'Paramètres'!$D:$D,0)),1,IF(INDEX('Paramètres'!$J:$J,MATCH($C2788,'Paramètres'!$D:$D,0))="",1,INDEX('Paramètres'!$J:$J,MATCH($C2788,'Paramètres'!$D:$D,0)))),2))</f>
        <v/>
      </c>
      <c r="L2788" s="6" t="str">
        <f>IF($D2788="","",IF($F2788&lt;&gt;"",$F2788,IF(ISNA(MATCH($D2788,'Paramètres'!$M:$M,0)),"⚠ Type inconnu",IFERROR(INDEX('Paramètres'!$P:$P,MATCH($D2788,'Paramètres'!$M:$M,0))&amp;"",""))))</f>
        <v/>
      </c>
      <c r="M2788" s="6" t="str">
        <f>IF($D2788="","",IF(ISNA(MATCH($D2788,'Paramètres'!$M:$M,0)),"⚠ Type inconnu",IF($L2788="Crédit","",IFERROR(INDEX('Paramètres'!$O:$O,MATCH($D2788,'Paramètres'!$M:$M,0))&amp;"",""))))</f>
        <v/>
      </c>
      <c r="N2788" s="6" t="str">
        <f>IF($D2788="","",IFERROR(INDEX('Paramètres'!$Q:$Q,MATCH($D2788,'Paramètres'!$M:$M,0))&amp;"",""))</f>
        <v/>
      </c>
      <c r="O2788" s="6" t="str">
        <f>IF($A2788="","",IF(OR($J2788&lt;&gt;"x",$A2788&lt;=FinReleve),1,0))</f>
        <v/>
      </c>
      <c r="P2788" s="6" t="str">
        <f>IF($D2788="","",IF(AND($L2788="Crédit",OR(IFERROR(INDEX('Paramètres'!$O:$O,MATCH($D2788,'Paramètres'!$M:$M,0))&amp;"","")&lt;&gt;"",ISNUMBER(SEARCH("remboursement",IFERROR(INDEX('Paramètres'!$N:$N,MATCH($D2788,'Paramètres'!$M:$M,0))&amp;"",""))))),1,0))</f>
        <v/>
      </c>
      <c r="Q2788" s="6" t="str">
        <f>IF($K2788="","",IF(ISNUMBER(SEARCH("transfert-interne",IFERROR(INDEX('Paramètres'!$N:$N,MATCH($D2788,'Paramètres'!$M:$M,0))&amp;"",""))),0,IF($L2788="Débit",$K2788,IF($P2788=1,-$K2788,0))))</f>
        <v/>
      </c>
      <c r="R2788" s="6" t="str">
        <f>IF($K2788="","",IF($L2788="Crédit",$K2788,-$K2788))</f>
        <v/>
      </c>
      <c r="S2788" s="6" t="str">
        <f>IF($C2788="","",IFERROR(INDEX('Paramètres'!$H:$H,MATCH($C2788,'Paramètres'!$D:$D,0))&amp;"",""))</f>
        <v/>
      </c>
      <c r="T2788" s="6" t="str">
        <f>IF($K2788="","",IF($S2788="",0,IF(ISNUMBER(SEARCH("apport-exterieur",IFERROR(INDEX('Paramètres'!$N:$N,MATCH($D2788,'Paramètres'!$M:$M,0))&amp;"",""))),0,IF(OR(IFERROR(INDEX('Paramètres'!$I:$I,MATCH($C2788,'Paramètres'!$D:$D,0))&amp;"","")="Les deux",IFERROR(INDEX('Paramètres'!$I:$I,MATCH($C2788,'Paramètres'!$D:$D,0))&amp;"","")=IF($P2788=1,"Débit",$L2788)),-IF($P2788=1,-$K2788,$K2788),0))))</f>
        <v/>
      </c>
      <c r="U2788" s="6" t="str">
        <f>IF($K2788="","",IF(ISNUMBER(SEARCH("sortie-epargne",IFERROR(INDEX('Paramètres'!$N:$N,MATCH($D2788,'Paramètres'!$M:$M,0))&amp;"",""))),$K2788,0))</f>
        <v/>
      </c>
      <c r="V2788" s="6" t="str">
        <f>IF(AND($A2788&lt;&gt;"",$O2788=1,$L2788="Débit",N($Q2788)&gt;0,$A2788&gt;=Visualisation!$B$1,$A2788&lt;Visualisation!$D$1),MAX($V$1:V2787)+1,"")</f>
        <v/>
      </c>
    </row>
    <row r="2789" spans="1:22" x14ac:dyDescent="0.25">
      <c r="A2789" s="9"/>
      <c r="E2789" s="10"/>
      <c r="K2789" s="11" t="str">
        <f>IF($E2789="","",ROUND($E2789*IF(ISNA(MATCH($C2789,'Paramètres'!$D:$D,0)),1,IF(INDEX('Paramètres'!$J:$J,MATCH($C2789,'Paramètres'!$D:$D,0))="",1,INDEX('Paramètres'!$J:$J,MATCH($C2789,'Paramètres'!$D:$D,0)))),2))</f>
        <v/>
      </c>
      <c r="L2789" s="6" t="str">
        <f>IF($D2789="","",IF($F2789&lt;&gt;"",$F2789,IF(ISNA(MATCH($D2789,'Paramètres'!$M:$M,0)),"⚠ Type inconnu",IFERROR(INDEX('Paramètres'!$P:$P,MATCH($D2789,'Paramètres'!$M:$M,0))&amp;"",""))))</f>
        <v/>
      </c>
      <c r="M2789" s="6" t="str">
        <f>IF($D2789="","",IF(ISNA(MATCH($D2789,'Paramètres'!$M:$M,0)),"⚠ Type inconnu",IF($L2789="Crédit","",IFERROR(INDEX('Paramètres'!$O:$O,MATCH($D2789,'Paramètres'!$M:$M,0))&amp;"",""))))</f>
        <v/>
      </c>
      <c r="N2789" s="6" t="str">
        <f>IF($D2789="","",IFERROR(INDEX('Paramètres'!$Q:$Q,MATCH($D2789,'Paramètres'!$M:$M,0))&amp;"",""))</f>
        <v/>
      </c>
      <c r="O2789" s="6" t="str">
        <f>IF($A2789="","",IF(OR($J2789&lt;&gt;"x",$A2789&lt;=FinReleve),1,0))</f>
        <v/>
      </c>
      <c r="P2789" s="6" t="str">
        <f>IF($D2789="","",IF(AND($L2789="Crédit",OR(IFERROR(INDEX('Paramètres'!$O:$O,MATCH($D2789,'Paramètres'!$M:$M,0))&amp;"","")&lt;&gt;"",ISNUMBER(SEARCH("remboursement",IFERROR(INDEX('Paramètres'!$N:$N,MATCH($D2789,'Paramètres'!$M:$M,0))&amp;"",""))))),1,0))</f>
        <v/>
      </c>
      <c r="Q2789" s="6" t="str">
        <f>IF($K2789="","",IF(ISNUMBER(SEARCH("transfert-interne",IFERROR(INDEX('Paramètres'!$N:$N,MATCH($D2789,'Paramètres'!$M:$M,0))&amp;"",""))),0,IF($L2789="Débit",$K2789,IF($P2789=1,-$K2789,0))))</f>
        <v/>
      </c>
      <c r="R2789" s="6" t="str">
        <f>IF($K2789="","",IF($L2789="Crédit",$K2789,-$K2789))</f>
        <v/>
      </c>
      <c r="S2789" s="6" t="str">
        <f>IF($C2789="","",IFERROR(INDEX('Paramètres'!$H:$H,MATCH($C2789,'Paramètres'!$D:$D,0))&amp;"",""))</f>
        <v/>
      </c>
      <c r="T2789" s="6" t="str">
        <f>IF($K2789="","",IF($S2789="",0,IF(ISNUMBER(SEARCH("apport-exterieur",IFERROR(INDEX('Paramètres'!$N:$N,MATCH($D2789,'Paramètres'!$M:$M,0))&amp;"",""))),0,IF(OR(IFERROR(INDEX('Paramètres'!$I:$I,MATCH($C2789,'Paramètres'!$D:$D,0))&amp;"","")="Les deux",IFERROR(INDEX('Paramètres'!$I:$I,MATCH($C2789,'Paramètres'!$D:$D,0))&amp;"","")=IF($P2789=1,"Débit",$L2789)),-IF($P2789=1,-$K2789,$K2789),0))))</f>
        <v/>
      </c>
      <c r="U2789" s="6" t="str">
        <f>IF($K2789="","",IF(ISNUMBER(SEARCH("sortie-epargne",IFERROR(INDEX('Paramètres'!$N:$N,MATCH($D2789,'Paramètres'!$M:$M,0))&amp;"",""))),$K2789,0))</f>
        <v/>
      </c>
      <c r="V2789" s="6" t="str">
        <f>IF(AND($A2789&lt;&gt;"",$O2789=1,$L2789="Débit",N($Q2789)&gt;0,$A2789&gt;=Visualisation!$B$1,$A2789&lt;Visualisation!$D$1),MAX($V$1:V2788)+1,"")</f>
        <v/>
      </c>
    </row>
    <row r="2790" spans="1:22" x14ac:dyDescent="0.25">
      <c r="A2790" s="9"/>
      <c r="E2790" s="10"/>
      <c r="K2790" s="11" t="str">
        <f>IF($E2790="","",ROUND($E2790*IF(ISNA(MATCH($C2790,'Paramètres'!$D:$D,0)),1,IF(INDEX('Paramètres'!$J:$J,MATCH($C2790,'Paramètres'!$D:$D,0))="",1,INDEX('Paramètres'!$J:$J,MATCH($C2790,'Paramètres'!$D:$D,0)))),2))</f>
        <v/>
      </c>
      <c r="L2790" s="6" t="str">
        <f>IF($D2790="","",IF($F2790&lt;&gt;"",$F2790,IF(ISNA(MATCH($D2790,'Paramètres'!$M:$M,0)),"⚠ Type inconnu",IFERROR(INDEX('Paramètres'!$P:$P,MATCH($D2790,'Paramètres'!$M:$M,0))&amp;"",""))))</f>
        <v/>
      </c>
      <c r="M2790" s="6" t="str">
        <f>IF($D2790="","",IF(ISNA(MATCH($D2790,'Paramètres'!$M:$M,0)),"⚠ Type inconnu",IF($L2790="Crédit","",IFERROR(INDEX('Paramètres'!$O:$O,MATCH($D2790,'Paramètres'!$M:$M,0))&amp;"",""))))</f>
        <v/>
      </c>
      <c r="N2790" s="6" t="str">
        <f>IF($D2790="","",IFERROR(INDEX('Paramètres'!$Q:$Q,MATCH($D2790,'Paramètres'!$M:$M,0))&amp;"",""))</f>
        <v/>
      </c>
      <c r="O2790" s="6" t="str">
        <f>IF($A2790="","",IF(OR($J2790&lt;&gt;"x",$A2790&lt;=FinReleve),1,0))</f>
        <v/>
      </c>
      <c r="P2790" s="6" t="str">
        <f>IF($D2790="","",IF(AND($L2790="Crédit",OR(IFERROR(INDEX('Paramètres'!$O:$O,MATCH($D2790,'Paramètres'!$M:$M,0))&amp;"","")&lt;&gt;"",ISNUMBER(SEARCH("remboursement",IFERROR(INDEX('Paramètres'!$N:$N,MATCH($D2790,'Paramètres'!$M:$M,0))&amp;"",""))))),1,0))</f>
        <v/>
      </c>
      <c r="Q2790" s="6" t="str">
        <f>IF($K2790="","",IF(ISNUMBER(SEARCH("transfert-interne",IFERROR(INDEX('Paramètres'!$N:$N,MATCH($D2790,'Paramètres'!$M:$M,0))&amp;"",""))),0,IF($L2790="Débit",$K2790,IF($P2790=1,-$K2790,0))))</f>
        <v/>
      </c>
      <c r="R2790" s="6" t="str">
        <f>IF($K2790="","",IF($L2790="Crédit",$K2790,-$K2790))</f>
        <v/>
      </c>
      <c r="S2790" s="6" t="str">
        <f>IF($C2790="","",IFERROR(INDEX('Paramètres'!$H:$H,MATCH($C2790,'Paramètres'!$D:$D,0))&amp;"",""))</f>
        <v/>
      </c>
      <c r="T2790" s="6" t="str">
        <f>IF($K2790="","",IF($S2790="",0,IF(ISNUMBER(SEARCH("apport-exterieur",IFERROR(INDEX('Paramètres'!$N:$N,MATCH($D2790,'Paramètres'!$M:$M,0))&amp;"",""))),0,IF(OR(IFERROR(INDEX('Paramètres'!$I:$I,MATCH($C2790,'Paramètres'!$D:$D,0))&amp;"","")="Les deux",IFERROR(INDEX('Paramètres'!$I:$I,MATCH($C2790,'Paramètres'!$D:$D,0))&amp;"","")=IF($P2790=1,"Débit",$L2790)),-IF($P2790=1,-$K2790,$K2790),0))))</f>
        <v/>
      </c>
      <c r="U2790" s="6" t="str">
        <f>IF($K2790="","",IF(ISNUMBER(SEARCH("sortie-epargne",IFERROR(INDEX('Paramètres'!$N:$N,MATCH($D2790,'Paramètres'!$M:$M,0))&amp;"",""))),$K2790,0))</f>
        <v/>
      </c>
      <c r="V2790" s="6" t="str">
        <f>IF(AND($A2790&lt;&gt;"",$O2790=1,$L2790="Débit",N($Q2790)&gt;0,$A2790&gt;=Visualisation!$B$1,$A2790&lt;Visualisation!$D$1),MAX($V$1:V2789)+1,"")</f>
        <v/>
      </c>
    </row>
    <row r="2791" spans="1:22" x14ac:dyDescent="0.25">
      <c r="A2791" s="9"/>
      <c r="E2791" s="10"/>
      <c r="K2791" s="11" t="str">
        <f>IF($E2791="","",ROUND($E2791*IF(ISNA(MATCH($C2791,'Paramètres'!$D:$D,0)),1,IF(INDEX('Paramètres'!$J:$J,MATCH($C2791,'Paramètres'!$D:$D,0))="",1,INDEX('Paramètres'!$J:$J,MATCH($C2791,'Paramètres'!$D:$D,0)))),2))</f>
        <v/>
      </c>
      <c r="L2791" s="6" t="str">
        <f>IF($D2791="","",IF($F2791&lt;&gt;"",$F2791,IF(ISNA(MATCH($D2791,'Paramètres'!$M:$M,0)),"⚠ Type inconnu",IFERROR(INDEX('Paramètres'!$P:$P,MATCH($D2791,'Paramètres'!$M:$M,0))&amp;"",""))))</f>
        <v/>
      </c>
      <c r="M2791" s="6" t="str">
        <f>IF($D2791="","",IF(ISNA(MATCH($D2791,'Paramètres'!$M:$M,0)),"⚠ Type inconnu",IF($L2791="Crédit","",IFERROR(INDEX('Paramètres'!$O:$O,MATCH($D2791,'Paramètres'!$M:$M,0))&amp;"",""))))</f>
        <v/>
      </c>
      <c r="N2791" s="6" t="str">
        <f>IF($D2791="","",IFERROR(INDEX('Paramètres'!$Q:$Q,MATCH($D2791,'Paramètres'!$M:$M,0))&amp;"",""))</f>
        <v/>
      </c>
      <c r="O2791" s="6" t="str">
        <f>IF($A2791="","",IF(OR($J2791&lt;&gt;"x",$A2791&lt;=FinReleve),1,0))</f>
        <v/>
      </c>
      <c r="P2791" s="6" t="str">
        <f>IF($D2791="","",IF(AND($L2791="Crédit",OR(IFERROR(INDEX('Paramètres'!$O:$O,MATCH($D2791,'Paramètres'!$M:$M,0))&amp;"","")&lt;&gt;"",ISNUMBER(SEARCH("remboursement",IFERROR(INDEX('Paramètres'!$N:$N,MATCH($D2791,'Paramètres'!$M:$M,0))&amp;"",""))))),1,0))</f>
        <v/>
      </c>
      <c r="Q2791" s="6" t="str">
        <f>IF($K2791="","",IF(ISNUMBER(SEARCH("transfert-interne",IFERROR(INDEX('Paramètres'!$N:$N,MATCH($D2791,'Paramètres'!$M:$M,0))&amp;"",""))),0,IF($L2791="Débit",$K2791,IF($P2791=1,-$K2791,0))))</f>
        <v/>
      </c>
      <c r="R2791" s="6" t="str">
        <f>IF($K2791="","",IF($L2791="Crédit",$K2791,-$K2791))</f>
        <v/>
      </c>
      <c r="S2791" s="6" t="str">
        <f>IF($C2791="","",IFERROR(INDEX('Paramètres'!$H:$H,MATCH($C2791,'Paramètres'!$D:$D,0))&amp;"",""))</f>
        <v/>
      </c>
      <c r="T2791" s="6" t="str">
        <f>IF($K2791="","",IF($S2791="",0,IF(ISNUMBER(SEARCH("apport-exterieur",IFERROR(INDEX('Paramètres'!$N:$N,MATCH($D2791,'Paramètres'!$M:$M,0))&amp;"",""))),0,IF(OR(IFERROR(INDEX('Paramètres'!$I:$I,MATCH($C2791,'Paramètres'!$D:$D,0))&amp;"","")="Les deux",IFERROR(INDEX('Paramètres'!$I:$I,MATCH($C2791,'Paramètres'!$D:$D,0))&amp;"","")=IF($P2791=1,"Débit",$L2791)),-IF($P2791=1,-$K2791,$K2791),0))))</f>
        <v/>
      </c>
      <c r="U2791" s="6" t="str">
        <f>IF($K2791="","",IF(ISNUMBER(SEARCH("sortie-epargne",IFERROR(INDEX('Paramètres'!$N:$N,MATCH($D2791,'Paramètres'!$M:$M,0))&amp;"",""))),$K2791,0))</f>
        <v/>
      </c>
      <c r="V2791" s="6" t="str">
        <f>IF(AND($A2791&lt;&gt;"",$O2791=1,$L2791="Débit",N($Q2791)&gt;0,$A2791&gt;=Visualisation!$B$1,$A2791&lt;Visualisation!$D$1),MAX($V$1:V2790)+1,"")</f>
        <v/>
      </c>
    </row>
    <row r="2792" spans="1:22" x14ac:dyDescent="0.25">
      <c r="A2792" s="9"/>
      <c r="E2792" s="10"/>
      <c r="K2792" s="11" t="str">
        <f>IF($E2792="","",ROUND($E2792*IF(ISNA(MATCH($C2792,'Paramètres'!$D:$D,0)),1,IF(INDEX('Paramètres'!$J:$J,MATCH($C2792,'Paramètres'!$D:$D,0))="",1,INDEX('Paramètres'!$J:$J,MATCH($C2792,'Paramètres'!$D:$D,0)))),2))</f>
        <v/>
      </c>
      <c r="L2792" s="6" t="str">
        <f>IF($D2792="","",IF($F2792&lt;&gt;"",$F2792,IF(ISNA(MATCH($D2792,'Paramètres'!$M:$M,0)),"⚠ Type inconnu",IFERROR(INDEX('Paramètres'!$P:$P,MATCH($D2792,'Paramètres'!$M:$M,0))&amp;"",""))))</f>
        <v/>
      </c>
      <c r="M2792" s="6" t="str">
        <f>IF($D2792="","",IF(ISNA(MATCH($D2792,'Paramètres'!$M:$M,0)),"⚠ Type inconnu",IF($L2792="Crédit","",IFERROR(INDEX('Paramètres'!$O:$O,MATCH($D2792,'Paramètres'!$M:$M,0))&amp;"",""))))</f>
        <v/>
      </c>
      <c r="N2792" s="6" t="str">
        <f>IF($D2792="","",IFERROR(INDEX('Paramètres'!$Q:$Q,MATCH($D2792,'Paramètres'!$M:$M,0))&amp;"",""))</f>
        <v/>
      </c>
      <c r="O2792" s="6" t="str">
        <f>IF($A2792="","",IF(OR($J2792&lt;&gt;"x",$A2792&lt;=FinReleve),1,0))</f>
        <v/>
      </c>
      <c r="P2792" s="6" t="str">
        <f>IF($D2792="","",IF(AND($L2792="Crédit",OR(IFERROR(INDEX('Paramètres'!$O:$O,MATCH($D2792,'Paramètres'!$M:$M,0))&amp;"","")&lt;&gt;"",ISNUMBER(SEARCH("remboursement",IFERROR(INDEX('Paramètres'!$N:$N,MATCH($D2792,'Paramètres'!$M:$M,0))&amp;"",""))))),1,0))</f>
        <v/>
      </c>
      <c r="Q2792" s="6" t="str">
        <f>IF($K2792="","",IF(ISNUMBER(SEARCH("transfert-interne",IFERROR(INDEX('Paramètres'!$N:$N,MATCH($D2792,'Paramètres'!$M:$M,0))&amp;"",""))),0,IF($L2792="Débit",$K2792,IF($P2792=1,-$K2792,0))))</f>
        <v/>
      </c>
      <c r="R2792" s="6" t="str">
        <f>IF($K2792="","",IF($L2792="Crédit",$K2792,-$K2792))</f>
        <v/>
      </c>
      <c r="S2792" s="6" t="str">
        <f>IF($C2792="","",IFERROR(INDEX('Paramètres'!$H:$H,MATCH($C2792,'Paramètres'!$D:$D,0))&amp;"",""))</f>
        <v/>
      </c>
      <c r="T2792" s="6" t="str">
        <f>IF($K2792="","",IF($S2792="",0,IF(ISNUMBER(SEARCH("apport-exterieur",IFERROR(INDEX('Paramètres'!$N:$N,MATCH($D2792,'Paramètres'!$M:$M,0))&amp;"",""))),0,IF(OR(IFERROR(INDEX('Paramètres'!$I:$I,MATCH($C2792,'Paramètres'!$D:$D,0))&amp;"","")="Les deux",IFERROR(INDEX('Paramètres'!$I:$I,MATCH($C2792,'Paramètres'!$D:$D,0))&amp;"","")=IF($P2792=1,"Débit",$L2792)),-IF($P2792=1,-$K2792,$K2792),0))))</f>
        <v/>
      </c>
      <c r="U2792" s="6" t="str">
        <f>IF($K2792="","",IF(ISNUMBER(SEARCH("sortie-epargne",IFERROR(INDEX('Paramètres'!$N:$N,MATCH($D2792,'Paramètres'!$M:$M,0))&amp;"",""))),$K2792,0))</f>
        <v/>
      </c>
      <c r="V2792" s="6" t="str">
        <f>IF(AND($A2792&lt;&gt;"",$O2792=1,$L2792="Débit",N($Q2792)&gt;0,$A2792&gt;=Visualisation!$B$1,$A2792&lt;Visualisation!$D$1),MAX($V$1:V2791)+1,"")</f>
        <v/>
      </c>
    </row>
    <row r="2793" spans="1:22" x14ac:dyDescent="0.25">
      <c r="A2793" s="9"/>
      <c r="E2793" s="10"/>
      <c r="K2793" s="11" t="str">
        <f>IF($E2793="","",ROUND($E2793*IF(ISNA(MATCH($C2793,'Paramètres'!$D:$D,0)),1,IF(INDEX('Paramètres'!$J:$J,MATCH($C2793,'Paramètres'!$D:$D,0))="",1,INDEX('Paramètres'!$J:$J,MATCH($C2793,'Paramètres'!$D:$D,0)))),2))</f>
        <v/>
      </c>
      <c r="L2793" s="6" t="str">
        <f>IF($D2793="","",IF($F2793&lt;&gt;"",$F2793,IF(ISNA(MATCH($D2793,'Paramètres'!$M:$M,0)),"⚠ Type inconnu",IFERROR(INDEX('Paramètres'!$P:$P,MATCH($D2793,'Paramètres'!$M:$M,0))&amp;"",""))))</f>
        <v/>
      </c>
      <c r="M2793" s="6" t="str">
        <f>IF($D2793="","",IF(ISNA(MATCH($D2793,'Paramètres'!$M:$M,0)),"⚠ Type inconnu",IF($L2793="Crédit","",IFERROR(INDEX('Paramètres'!$O:$O,MATCH($D2793,'Paramètres'!$M:$M,0))&amp;"",""))))</f>
        <v/>
      </c>
      <c r="N2793" s="6" t="str">
        <f>IF($D2793="","",IFERROR(INDEX('Paramètres'!$Q:$Q,MATCH($D2793,'Paramètres'!$M:$M,0))&amp;"",""))</f>
        <v/>
      </c>
      <c r="O2793" s="6" t="str">
        <f>IF($A2793="","",IF(OR($J2793&lt;&gt;"x",$A2793&lt;=FinReleve),1,0))</f>
        <v/>
      </c>
      <c r="P2793" s="6" t="str">
        <f>IF($D2793="","",IF(AND($L2793="Crédit",OR(IFERROR(INDEX('Paramètres'!$O:$O,MATCH($D2793,'Paramètres'!$M:$M,0))&amp;"","")&lt;&gt;"",ISNUMBER(SEARCH("remboursement",IFERROR(INDEX('Paramètres'!$N:$N,MATCH($D2793,'Paramètres'!$M:$M,0))&amp;"",""))))),1,0))</f>
        <v/>
      </c>
      <c r="Q2793" s="6" t="str">
        <f>IF($K2793="","",IF(ISNUMBER(SEARCH("transfert-interne",IFERROR(INDEX('Paramètres'!$N:$N,MATCH($D2793,'Paramètres'!$M:$M,0))&amp;"",""))),0,IF($L2793="Débit",$K2793,IF($P2793=1,-$K2793,0))))</f>
        <v/>
      </c>
      <c r="R2793" s="6" t="str">
        <f>IF($K2793="","",IF($L2793="Crédit",$K2793,-$K2793))</f>
        <v/>
      </c>
      <c r="S2793" s="6" t="str">
        <f>IF($C2793="","",IFERROR(INDEX('Paramètres'!$H:$H,MATCH($C2793,'Paramètres'!$D:$D,0))&amp;"",""))</f>
        <v/>
      </c>
      <c r="T2793" s="6" t="str">
        <f>IF($K2793="","",IF($S2793="",0,IF(ISNUMBER(SEARCH("apport-exterieur",IFERROR(INDEX('Paramètres'!$N:$N,MATCH($D2793,'Paramètres'!$M:$M,0))&amp;"",""))),0,IF(OR(IFERROR(INDEX('Paramètres'!$I:$I,MATCH($C2793,'Paramètres'!$D:$D,0))&amp;"","")="Les deux",IFERROR(INDEX('Paramètres'!$I:$I,MATCH($C2793,'Paramètres'!$D:$D,0))&amp;"","")=IF($P2793=1,"Débit",$L2793)),-IF($P2793=1,-$K2793,$K2793),0))))</f>
        <v/>
      </c>
      <c r="U2793" s="6" t="str">
        <f>IF($K2793="","",IF(ISNUMBER(SEARCH("sortie-epargne",IFERROR(INDEX('Paramètres'!$N:$N,MATCH($D2793,'Paramètres'!$M:$M,0))&amp;"",""))),$K2793,0))</f>
        <v/>
      </c>
      <c r="V2793" s="6" t="str">
        <f>IF(AND($A2793&lt;&gt;"",$O2793=1,$L2793="Débit",N($Q2793)&gt;0,$A2793&gt;=Visualisation!$B$1,$A2793&lt;Visualisation!$D$1),MAX($V$1:V2792)+1,"")</f>
        <v/>
      </c>
    </row>
    <row r="2794" spans="1:22" x14ac:dyDescent="0.25">
      <c r="A2794" s="9"/>
      <c r="E2794" s="10"/>
      <c r="K2794" s="11" t="str">
        <f>IF($E2794="","",ROUND($E2794*IF(ISNA(MATCH($C2794,'Paramètres'!$D:$D,0)),1,IF(INDEX('Paramètres'!$J:$J,MATCH($C2794,'Paramètres'!$D:$D,0))="",1,INDEX('Paramètres'!$J:$J,MATCH($C2794,'Paramètres'!$D:$D,0)))),2))</f>
        <v/>
      </c>
      <c r="L2794" s="6" t="str">
        <f>IF($D2794="","",IF($F2794&lt;&gt;"",$F2794,IF(ISNA(MATCH($D2794,'Paramètres'!$M:$M,0)),"⚠ Type inconnu",IFERROR(INDEX('Paramètres'!$P:$P,MATCH($D2794,'Paramètres'!$M:$M,0))&amp;"",""))))</f>
        <v/>
      </c>
      <c r="M2794" s="6" t="str">
        <f>IF($D2794="","",IF(ISNA(MATCH($D2794,'Paramètres'!$M:$M,0)),"⚠ Type inconnu",IF($L2794="Crédit","",IFERROR(INDEX('Paramètres'!$O:$O,MATCH($D2794,'Paramètres'!$M:$M,0))&amp;"",""))))</f>
        <v/>
      </c>
      <c r="N2794" s="6" t="str">
        <f>IF($D2794="","",IFERROR(INDEX('Paramètres'!$Q:$Q,MATCH($D2794,'Paramètres'!$M:$M,0))&amp;"",""))</f>
        <v/>
      </c>
      <c r="O2794" s="6" t="str">
        <f>IF($A2794="","",IF(OR($J2794&lt;&gt;"x",$A2794&lt;=FinReleve),1,0))</f>
        <v/>
      </c>
      <c r="P2794" s="6" t="str">
        <f>IF($D2794="","",IF(AND($L2794="Crédit",OR(IFERROR(INDEX('Paramètres'!$O:$O,MATCH($D2794,'Paramètres'!$M:$M,0))&amp;"","")&lt;&gt;"",ISNUMBER(SEARCH("remboursement",IFERROR(INDEX('Paramètres'!$N:$N,MATCH($D2794,'Paramètres'!$M:$M,0))&amp;"",""))))),1,0))</f>
        <v/>
      </c>
      <c r="Q2794" s="6" t="str">
        <f>IF($K2794="","",IF(ISNUMBER(SEARCH("transfert-interne",IFERROR(INDEX('Paramètres'!$N:$N,MATCH($D2794,'Paramètres'!$M:$M,0))&amp;"",""))),0,IF($L2794="Débit",$K2794,IF($P2794=1,-$K2794,0))))</f>
        <v/>
      </c>
      <c r="R2794" s="6" t="str">
        <f>IF($K2794="","",IF($L2794="Crédit",$K2794,-$K2794))</f>
        <v/>
      </c>
      <c r="S2794" s="6" t="str">
        <f>IF($C2794="","",IFERROR(INDEX('Paramètres'!$H:$H,MATCH($C2794,'Paramètres'!$D:$D,0))&amp;"",""))</f>
        <v/>
      </c>
      <c r="T2794" s="6" t="str">
        <f>IF($K2794="","",IF($S2794="",0,IF(ISNUMBER(SEARCH("apport-exterieur",IFERROR(INDEX('Paramètres'!$N:$N,MATCH($D2794,'Paramètres'!$M:$M,0))&amp;"",""))),0,IF(OR(IFERROR(INDEX('Paramètres'!$I:$I,MATCH($C2794,'Paramètres'!$D:$D,0))&amp;"","")="Les deux",IFERROR(INDEX('Paramètres'!$I:$I,MATCH($C2794,'Paramètres'!$D:$D,0))&amp;"","")=IF($P2794=1,"Débit",$L2794)),-IF($P2794=1,-$K2794,$K2794),0))))</f>
        <v/>
      </c>
      <c r="U2794" s="6" t="str">
        <f>IF($K2794="","",IF(ISNUMBER(SEARCH("sortie-epargne",IFERROR(INDEX('Paramètres'!$N:$N,MATCH($D2794,'Paramètres'!$M:$M,0))&amp;"",""))),$K2794,0))</f>
        <v/>
      </c>
      <c r="V2794" s="6" t="str">
        <f>IF(AND($A2794&lt;&gt;"",$O2794=1,$L2794="Débit",N($Q2794)&gt;0,$A2794&gt;=Visualisation!$B$1,$A2794&lt;Visualisation!$D$1),MAX($V$1:V2793)+1,"")</f>
        <v/>
      </c>
    </row>
    <row r="2795" spans="1:22" x14ac:dyDescent="0.25">
      <c r="A2795" s="9"/>
      <c r="E2795" s="10"/>
      <c r="K2795" s="11" t="str">
        <f>IF($E2795="","",ROUND($E2795*IF(ISNA(MATCH($C2795,'Paramètres'!$D:$D,0)),1,IF(INDEX('Paramètres'!$J:$J,MATCH($C2795,'Paramètres'!$D:$D,0))="",1,INDEX('Paramètres'!$J:$J,MATCH($C2795,'Paramètres'!$D:$D,0)))),2))</f>
        <v/>
      </c>
      <c r="L2795" s="6" t="str">
        <f>IF($D2795="","",IF($F2795&lt;&gt;"",$F2795,IF(ISNA(MATCH($D2795,'Paramètres'!$M:$M,0)),"⚠ Type inconnu",IFERROR(INDEX('Paramètres'!$P:$P,MATCH($D2795,'Paramètres'!$M:$M,0))&amp;"",""))))</f>
        <v/>
      </c>
      <c r="M2795" s="6" t="str">
        <f>IF($D2795="","",IF(ISNA(MATCH($D2795,'Paramètres'!$M:$M,0)),"⚠ Type inconnu",IF($L2795="Crédit","",IFERROR(INDEX('Paramètres'!$O:$O,MATCH($D2795,'Paramètres'!$M:$M,0))&amp;"",""))))</f>
        <v/>
      </c>
      <c r="N2795" s="6" t="str">
        <f>IF($D2795="","",IFERROR(INDEX('Paramètres'!$Q:$Q,MATCH($D2795,'Paramètres'!$M:$M,0))&amp;"",""))</f>
        <v/>
      </c>
      <c r="O2795" s="6" t="str">
        <f>IF($A2795="","",IF(OR($J2795&lt;&gt;"x",$A2795&lt;=FinReleve),1,0))</f>
        <v/>
      </c>
      <c r="P2795" s="6" t="str">
        <f>IF($D2795="","",IF(AND($L2795="Crédit",OR(IFERROR(INDEX('Paramètres'!$O:$O,MATCH($D2795,'Paramètres'!$M:$M,0))&amp;"","")&lt;&gt;"",ISNUMBER(SEARCH("remboursement",IFERROR(INDEX('Paramètres'!$N:$N,MATCH($D2795,'Paramètres'!$M:$M,0))&amp;"",""))))),1,0))</f>
        <v/>
      </c>
      <c r="Q2795" s="6" t="str">
        <f>IF($K2795="","",IF(ISNUMBER(SEARCH("transfert-interne",IFERROR(INDEX('Paramètres'!$N:$N,MATCH($D2795,'Paramètres'!$M:$M,0))&amp;"",""))),0,IF($L2795="Débit",$K2795,IF($P2795=1,-$K2795,0))))</f>
        <v/>
      </c>
      <c r="R2795" s="6" t="str">
        <f>IF($K2795="","",IF($L2795="Crédit",$K2795,-$K2795))</f>
        <v/>
      </c>
      <c r="S2795" s="6" t="str">
        <f>IF($C2795="","",IFERROR(INDEX('Paramètres'!$H:$H,MATCH($C2795,'Paramètres'!$D:$D,0))&amp;"",""))</f>
        <v/>
      </c>
      <c r="T2795" s="6" t="str">
        <f>IF($K2795="","",IF($S2795="",0,IF(ISNUMBER(SEARCH("apport-exterieur",IFERROR(INDEX('Paramètres'!$N:$N,MATCH($D2795,'Paramètres'!$M:$M,0))&amp;"",""))),0,IF(OR(IFERROR(INDEX('Paramètres'!$I:$I,MATCH($C2795,'Paramètres'!$D:$D,0))&amp;"","")="Les deux",IFERROR(INDEX('Paramètres'!$I:$I,MATCH($C2795,'Paramètres'!$D:$D,0))&amp;"","")=IF($P2795=1,"Débit",$L2795)),-IF($P2795=1,-$K2795,$K2795),0))))</f>
        <v/>
      </c>
      <c r="U2795" s="6" t="str">
        <f>IF($K2795="","",IF(ISNUMBER(SEARCH("sortie-epargne",IFERROR(INDEX('Paramètres'!$N:$N,MATCH($D2795,'Paramètres'!$M:$M,0))&amp;"",""))),$K2795,0))</f>
        <v/>
      </c>
      <c r="V2795" s="6" t="str">
        <f>IF(AND($A2795&lt;&gt;"",$O2795=1,$L2795="Débit",N($Q2795)&gt;0,$A2795&gt;=Visualisation!$B$1,$A2795&lt;Visualisation!$D$1),MAX($V$1:V2794)+1,"")</f>
        <v/>
      </c>
    </row>
    <row r="2796" spans="1:22" x14ac:dyDescent="0.25">
      <c r="A2796" s="9"/>
      <c r="E2796" s="10"/>
      <c r="K2796" s="11" t="str">
        <f>IF($E2796="","",ROUND($E2796*IF(ISNA(MATCH($C2796,'Paramètres'!$D:$D,0)),1,IF(INDEX('Paramètres'!$J:$J,MATCH($C2796,'Paramètres'!$D:$D,0))="",1,INDEX('Paramètres'!$J:$J,MATCH($C2796,'Paramètres'!$D:$D,0)))),2))</f>
        <v/>
      </c>
      <c r="L2796" s="6" t="str">
        <f>IF($D2796="","",IF($F2796&lt;&gt;"",$F2796,IF(ISNA(MATCH($D2796,'Paramètres'!$M:$M,0)),"⚠ Type inconnu",IFERROR(INDEX('Paramètres'!$P:$P,MATCH($D2796,'Paramètres'!$M:$M,0))&amp;"",""))))</f>
        <v/>
      </c>
      <c r="M2796" s="6" t="str">
        <f>IF($D2796="","",IF(ISNA(MATCH($D2796,'Paramètres'!$M:$M,0)),"⚠ Type inconnu",IF($L2796="Crédit","",IFERROR(INDEX('Paramètres'!$O:$O,MATCH($D2796,'Paramètres'!$M:$M,0))&amp;"",""))))</f>
        <v/>
      </c>
      <c r="N2796" s="6" t="str">
        <f>IF($D2796="","",IFERROR(INDEX('Paramètres'!$Q:$Q,MATCH($D2796,'Paramètres'!$M:$M,0))&amp;"",""))</f>
        <v/>
      </c>
      <c r="O2796" s="6" t="str">
        <f>IF($A2796="","",IF(OR($J2796&lt;&gt;"x",$A2796&lt;=FinReleve),1,0))</f>
        <v/>
      </c>
      <c r="P2796" s="6" t="str">
        <f>IF($D2796="","",IF(AND($L2796="Crédit",OR(IFERROR(INDEX('Paramètres'!$O:$O,MATCH($D2796,'Paramètres'!$M:$M,0))&amp;"","")&lt;&gt;"",ISNUMBER(SEARCH("remboursement",IFERROR(INDEX('Paramètres'!$N:$N,MATCH($D2796,'Paramètres'!$M:$M,0))&amp;"",""))))),1,0))</f>
        <v/>
      </c>
      <c r="Q2796" s="6" t="str">
        <f>IF($K2796="","",IF(ISNUMBER(SEARCH("transfert-interne",IFERROR(INDEX('Paramètres'!$N:$N,MATCH($D2796,'Paramètres'!$M:$M,0))&amp;"",""))),0,IF($L2796="Débit",$K2796,IF($P2796=1,-$K2796,0))))</f>
        <v/>
      </c>
      <c r="R2796" s="6" t="str">
        <f>IF($K2796="","",IF($L2796="Crédit",$K2796,-$K2796))</f>
        <v/>
      </c>
      <c r="S2796" s="6" t="str">
        <f>IF($C2796="","",IFERROR(INDEX('Paramètres'!$H:$H,MATCH($C2796,'Paramètres'!$D:$D,0))&amp;"",""))</f>
        <v/>
      </c>
      <c r="T2796" s="6" t="str">
        <f>IF($K2796="","",IF($S2796="",0,IF(ISNUMBER(SEARCH("apport-exterieur",IFERROR(INDEX('Paramètres'!$N:$N,MATCH($D2796,'Paramètres'!$M:$M,0))&amp;"",""))),0,IF(OR(IFERROR(INDEX('Paramètres'!$I:$I,MATCH($C2796,'Paramètres'!$D:$D,0))&amp;"","")="Les deux",IFERROR(INDEX('Paramètres'!$I:$I,MATCH($C2796,'Paramètres'!$D:$D,0))&amp;"","")=IF($P2796=1,"Débit",$L2796)),-IF($P2796=1,-$K2796,$K2796),0))))</f>
        <v/>
      </c>
      <c r="U2796" s="6" t="str">
        <f>IF($K2796="","",IF(ISNUMBER(SEARCH("sortie-epargne",IFERROR(INDEX('Paramètres'!$N:$N,MATCH($D2796,'Paramètres'!$M:$M,0))&amp;"",""))),$K2796,0))</f>
        <v/>
      </c>
      <c r="V2796" s="6" t="str">
        <f>IF(AND($A2796&lt;&gt;"",$O2796=1,$L2796="Débit",N($Q2796)&gt;0,$A2796&gt;=Visualisation!$B$1,$A2796&lt;Visualisation!$D$1),MAX($V$1:V2795)+1,"")</f>
        <v/>
      </c>
    </row>
    <row r="2797" spans="1:22" x14ac:dyDescent="0.25">
      <c r="A2797" s="9"/>
      <c r="E2797" s="10"/>
      <c r="K2797" s="11" t="str">
        <f>IF($E2797="","",ROUND($E2797*IF(ISNA(MATCH($C2797,'Paramètres'!$D:$D,0)),1,IF(INDEX('Paramètres'!$J:$J,MATCH($C2797,'Paramètres'!$D:$D,0))="",1,INDEX('Paramètres'!$J:$J,MATCH($C2797,'Paramètres'!$D:$D,0)))),2))</f>
        <v/>
      </c>
      <c r="L2797" s="6" t="str">
        <f>IF($D2797="","",IF($F2797&lt;&gt;"",$F2797,IF(ISNA(MATCH($D2797,'Paramètres'!$M:$M,0)),"⚠ Type inconnu",IFERROR(INDEX('Paramètres'!$P:$P,MATCH($D2797,'Paramètres'!$M:$M,0))&amp;"",""))))</f>
        <v/>
      </c>
      <c r="M2797" s="6" t="str">
        <f>IF($D2797="","",IF(ISNA(MATCH($D2797,'Paramètres'!$M:$M,0)),"⚠ Type inconnu",IF($L2797="Crédit","",IFERROR(INDEX('Paramètres'!$O:$O,MATCH($D2797,'Paramètres'!$M:$M,0))&amp;"",""))))</f>
        <v/>
      </c>
      <c r="N2797" s="6" t="str">
        <f>IF($D2797="","",IFERROR(INDEX('Paramètres'!$Q:$Q,MATCH($D2797,'Paramètres'!$M:$M,0))&amp;"",""))</f>
        <v/>
      </c>
      <c r="O2797" s="6" t="str">
        <f>IF($A2797="","",IF(OR($J2797&lt;&gt;"x",$A2797&lt;=FinReleve),1,0))</f>
        <v/>
      </c>
      <c r="P2797" s="6" t="str">
        <f>IF($D2797="","",IF(AND($L2797="Crédit",OR(IFERROR(INDEX('Paramètres'!$O:$O,MATCH($D2797,'Paramètres'!$M:$M,0))&amp;"","")&lt;&gt;"",ISNUMBER(SEARCH("remboursement",IFERROR(INDEX('Paramètres'!$N:$N,MATCH($D2797,'Paramètres'!$M:$M,0))&amp;"",""))))),1,0))</f>
        <v/>
      </c>
      <c r="Q2797" s="6" t="str">
        <f>IF($K2797="","",IF(ISNUMBER(SEARCH("transfert-interne",IFERROR(INDEX('Paramètres'!$N:$N,MATCH($D2797,'Paramètres'!$M:$M,0))&amp;"",""))),0,IF($L2797="Débit",$K2797,IF($P2797=1,-$K2797,0))))</f>
        <v/>
      </c>
      <c r="R2797" s="6" t="str">
        <f>IF($K2797="","",IF($L2797="Crédit",$K2797,-$K2797))</f>
        <v/>
      </c>
      <c r="S2797" s="6" t="str">
        <f>IF($C2797="","",IFERROR(INDEX('Paramètres'!$H:$H,MATCH($C2797,'Paramètres'!$D:$D,0))&amp;"",""))</f>
        <v/>
      </c>
      <c r="T2797" s="6" t="str">
        <f>IF($K2797="","",IF($S2797="",0,IF(ISNUMBER(SEARCH("apport-exterieur",IFERROR(INDEX('Paramètres'!$N:$N,MATCH($D2797,'Paramètres'!$M:$M,0))&amp;"",""))),0,IF(OR(IFERROR(INDEX('Paramètres'!$I:$I,MATCH($C2797,'Paramètres'!$D:$D,0))&amp;"","")="Les deux",IFERROR(INDEX('Paramètres'!$I:$I,MATCH($C2797,'Paramètres'!$D:$D,0))&amp;"","")=IF($P2797=1,"Débit",$L2797)),-IF($P2797=1,-$K2797,$K2797),0))))</f>
        <v/>
      </c>
      <c r="U2797" s="6" t="str">
        <f>IF($K2797="","",IF(ISNUMBER(SEARCH("sortie-epargne",IFERROR(INDEX('Paramètres'!$N:$N,MATCH($D2797,'Paramètres'!$M:$M,0))&amp;"",""))),$K2797,0))</f>
        <v/>
      </c>
      <c r="V2797" s="6" t="str">
        <f>IF(AND($A2797&lt;&gt;"",$O2797=1,$L2797="Débit",N($Q2797)&gt;0,$A2797&gt;=Visualisation!$B$1,$A2797&lt;Visualisation!$D$1),MAX($V$1:V2796)+1,"")</f>
        <v/>
      </c>
    </row>
    <row r="2798" spans="1:22" x14ac:dyDescent="0.25">
      <c r="A2798" s="9"/>
      <c r="E2798" s="10"/>
      <c r="K2798" s="11" t="str">
        <f>IF($E2798="","",ROUND($E2798*IF(ISNA(MATCH($C2798,'Paramètres'!$D:$D,0)),1,IF(INDEX('Paramètres'!$J:$J,MATCH($C2798,'Paramètres'!$D:$D,0))="",1,INDEX('Paramètres'!$J:$J,MATCH($C2798,'Paramètres'!$D:$D,0)))),2))</f>
        <v/>
      </c>
      <c r="L2798" s="6" t="str">
        <f>IF($D2798="","",IF($F2798&lt;&gt;"",$F2798,IF(ISNA(MATCH($D2798,'Paramètres'!$M:$M,0)),"⚠ Type inconnu",IFERROR(INDEX('Paramètres'!$P:$P,MATCH($D2798,'Paramètres'!$M:$M,0))&amp;"",""))))</f>
        <v/>
      </c>
      <c r="M2798" s="6" t="str">
        <f>IF($D2798="","",IF(ISNA(MATCH($D2798,'Paramètres'!$M:$M,0)),"⚠ Type inconnu",IF($L2798="Crédit","",IFERROR(INDEX('Paramètres'!$O:$O,MATCH($D2798,'Paramètres'!$M:$M,0))&amp;"",""))))</f>
        <v/>
      </c>
      <c r="N2798" s="6" t="str">
        <f>IF($D2798="","",IFERROR(INDEX('Paramètres'!$Q:$Q,MATCH($D2798,'Paramètres'!$M:$M,0))&amp;"",""))</f>
        <v/>
      </c>
      <c r="O2798" s="6" t="str">
        <f>IF($A2798="","",IF(OR($J2798&lt;&gt;"x",$A2798&lt;=FinReleve),1,0))</f>
        <v/>
      </c>
      <c r="P2798" s="6" t="str">
        <f>IF($D2798="","",IF(AND($L2798="Crédit",OR(IFERROR(INDEX('Paramètres'!$O:$O,MATCH($D2798,'Paramètres'!$M:$M,0))&amp;"","")&lt;&gt;"",ISNUMBER(SEARCH("remboursement",IFERROR(INDEX('Paramètres'!$N:$N,MATCH($D2798,'Paramètres'!$M:$M,0))&amp;"",""))))),1,0))</f>
        <v/>
      </c>
      <c r="Q2798" s="6" t="str">
        <f>IF($K2798="","",IF(ISNUMBER(SEARCH("transfert-interne",IFERROR(INDEX('Paramètres'!$N:$N,MATCH($D2798,'Paramètres'!$M:$M,0))&amp;"",""))),0,IF($L2798="Débit",$K2798,IF($P2798=1,-$K2798,0))))</f>
        <v/>
      </c>
      <c r="R2798" s="6" t="str">
        <f>IF($K2798="","",IF($L2798="Crédit",$K2798,-$K2798))</f>
        <v/>
      </c>
      <c r="S2798" s="6" t="str">
        <f>IF($C2798="","",IFERROR(INDEX('Paramètres'!$H:$H,MATCH($C2798,'Paramètres'!$D:$D,0))&amp;"",""))</f>
        <v/>
      </c>
      <c r="T2798" s="6" t="str">
        <f>IF($K2798="","",IF($S2798="",0,IF(ISNUMBER(SEARCH("apport-exterieur",IFERROR(INDEX('Paramètres'!$N:$N,MATCH($D2798,'Paramètres'!$M:$M,0))&amp;"",""))),0,IF(OR(IFERROR(INDEX('Paramètres'!$I:$I,MATCH($C2798,'Paramètres'!$D:$D,0))&amp;"","")="Les deux",IFERROR(INDEX('Paramètres'!$I:$I,MATCH($C2798,'Paramètres'!$D:$D,0))&amp;"","")=IF($P2798=1,"Débit",$L2798)),-IF($P2798=1,-$K2798,$K2798),0))))</f>
        <v/>
      </c>
      <c r="U2798" s="6" t="str">
        <f>IF($K2798="","",IF(ISNUMBER(SEARCH("sortie-epargne",IFERROR(INDEX('Paramètres'!$N:$N,MATCH($D2798,'Paramètres'!$M:$M,0))&amp;"",""))),$K2798,0))</f>
        <v/>
      </c>
      <c r="V2798" s="6" t="str">
        <f>IF(AND($A2798&lt;&gt;"",$O2798=1,$L2798="Débit",N($Q2798)&gt;0,$A2798&gt;=Visualisation!$B$1,$A2798&lt;Visualisation!$D$1),MAX($V$1:V2797)+1,"")</f>
        <v/>
      </c>
    </row>
    <row r="2799" spans="1:22" x14ac:dyDescent="0.25">
      <c r="A2799" s="9"/>
      <c r="E2799" s="10"/>
      <c r="K2799" s="11" t="str">
        <f>IF($E2799="","",ROUND($E2799*IF(ISNA(MATCH($C2799,'Paramètres'!$D:$D,0)),1,IF(INDEX('Paramètres'!$J:$J,MATCH($C2799,'Paramètres'!$D:$D,0))="",1,INDEX('Paramètres'!$J:$J,MATCH($C2799,'Paramètres'!$D:$D,0)))),2))</f>
        <v/>
      </c>
      <c r="L2799" s="6" t="str">
        <f>IF($D2799="","",IF($F2799&lt;&gt;"",$F2799,IF(ISNA(MATCH($D2799,'Paramètres'!$M:$M,0)),"⚠ Type inconnu",IFERROR(INDEX('Paramètres'!$P:$P,MATCH($D2799,'Paramètres'!$M:$M,0))&amp;"",""))))</f>
        <v/>
      </c>
      <c r="M2799" s="6" t="str">
        <f>IF($D2799="","",IF(ISNA(MATCH($D2799,'Paramètres'!$M:$M,0)),"⚠ Type inconnu",IF($L2799="Crédit","",IFERROR(INDEX('Paramètres'!$O:$O,MATCH($D2799,'Paramètres'!$M:$M,0))&amp;"",""))))</f>
        <v/>
      </c>
      <c r="N2799" s="6" t="str">
        <f>IF($D2799="","",IFERROR(INDEX('Paramètres'!$Q:$Q,MATCH($D2799,'Paramètres'!$M:$M,0))&amp;"",""))</f>
        <v/>
      </c>
      <c r="O2799" s="6" t="str">
        <f>IF($A2799="","",IF(OR($J2799&lt;&gt;"x",$A2799&lt;=FinReleve),1,0))</f>
        <v/>
      </c>
      <c r="P2799" s="6" t="str">
        <f>IF($D2799="","",IF(AND($L2799="Crédit",OR(IFERROR(INDEX('Paramètres'!$O:$O,MATCH($D2799,'Paramètres'!$M:$M,0))&amp;"","")&lt;&gt;"",ISNUMBER(SEARCH("remboursement",IFERROR(INDEX('Paramètres'!$N:$N,MATCH($D2799,'Paramètres'!$M:$M,0))&amp;"",""))))),1,0))</f>
        <v/>
      </c>
      <c r="Q2799" s="6" t="str">
        <f>IF($K2799="","",IF(ISNUMBER(SEARCH("transfert-interne",IFERROR(INDEX('Paramètres'!$N:$N,MATCH($D2799,'Paramètres'!$M:$M,0))&amp;"",""))),0,IF($L2799="Débit",$K2799,IF($P2799=1,-$K2799,0))))</f>
        <v/>
      </c>
      <c r="R2799" s="6" t="str">
        <f>IF($K2799="","",IF($L2799="Crédit",$K2799,-$K2799))</f>
        <v/>
      </c>
      <c r="S2799" s="6" t="str">
        <f>IF($C2799="","",IFERROR(INDEX('Paramètres'!$H:$H,MATCH($C2799,'Paramètres'!$D:$D,0))&amp;"",""))</f>
        <v/>
      </c>
      <c r="T2799" s="6" t="str">
        <f>IF($K2799="","",IF($S2799="",0,IF(ISNUMBER(SEARCH("apport-exterieur",IFERROR(INDEX('Paramètres'!$N:$N,MATCH($D2799,'Paramètres'!$M:$M,0))&amp;"",""))),0,IF(OR(IFERROR(INDEX('Paramètres'!$I:$I,MATCH($C2799,'Paramètres'!$D:$D,0))&amp;"","")="Les deux",IFERROR(INDEX('Paramètres'!$I:$I,MATCH($C2799,'Paramètres'!$D:$D,0))&amp;"","")=IF($P2799=1,"Débit",$L2799)),-IF($P2799=1,-$K2799,$K2799),0))))</f>
        <v/>
      </c>
      <c r="U2799" s="6" t="str">
        <f>IF($K2799="","",IF(ISNUMBER(SEARCH("sortie-epargne",IFERROR(INDEX('Paramètres'!$N:$N,MATCH($D2799,'Paramètres'!$M:$M,0))&amp;"",""))),$K2799,0))</f>
        <v/>
      </c>
      <c r="V2799" s="6" t="str">
        <f>IF(AND($A2799&lt;&gt;"",$O2799=1,$L2799="Débit",N($Q2799)&gt;0,$A2799&gt;=Visualisation!$B$1,$A2799&lt;Visualisation!$D$1),MAX($V$1:V2798)+1,"")</f>
        <v/>
      </c>
    </row>
    <row r="2800" spans="1:22" x14ac:dyDescent="0.25">
      <c r="A2800" s="9"/>
      <c r="E2800" s="10"/>
      <c r="K2800" s="11" t="str">
        <f>IF($E2800="","",ROUND($E2800*IF(ISNA(MATCH($C2800,'Paramètres'!$D:$D,0)),1,IF(INDEX('Paramètres'!$J:$J,MATCH($C2800,'Paramètres'!$D:$D,0))="",1,INDEX('Paramètres'!$J:$J,MATCH($C2800,'Paramètres'!$D:$D,0)))),2))</f>
        <v/>
      </c>
      <c r="L2800" s="6" t="str">
        <f>IF($D2800="","",IF($F2800&lt;&gt;"",$F2800,IF(ISNA(MATCH($D2800,'Paramètres'!$M:$M,0)),"⚠ Type inconnu",IFERROR(INDEX('Paramètres'!$P:$P,MATCH($D2800,'Paramètres'!$M:$M,0))&amp;"",""))))</f>
        <v/>
      </c>
      <c r="M2800" s="6" t="str">
        <f>IF($D2800="","",IF(ISNA(MATCH($D2800,'Paramètres'!$M:$M,0)),"⚠ Type inconnu",IF($L2800="Crédit","",IFERROR(INDEX('Paramètres'!$O:$O,MATCH($D2800,'Paramètres'!$M:$M,0))&amp;"",""))))</f>
        <v/>
      </c>
      <c r="N2800" s="6" t="str">
        <f>IF($D2800="","",IFERROR(INDEX('Paramètres'!$Q:$Q,MATCH($D2800,'Paramètres'!$M:$M,0))&amp;"",""))</f>
        <v/>
      </c>
      <c r="O2800" s="6" t="str">
        <f>IF($A2800="","",IF(OR($J2800&lt;&gt;"x",$A2800&lt;=FinReleve),1,0))</f>
        <v/>
      </c>
      <c r="P2800" s="6" t="str">
        <f>IF($D2800="","",IF(AND($L2800="Crédit",OR(IFERROR(INDEX('Paramètres'!$O:$O,MATCH($D2800,'Paramètres'!$M:$M,0))&amp;"","")&lt;&gt;"",ISNUMBER(SEARCH("remboursement",IFERROR(INDEX('Paramètres'!$N:$N,MATCH($D2800,'Paramètres'!$M:$M,0))&amp;"",""))))),1,0))</f>
        <v/>
      </c>
      <c r="Q2800" s="6" t="str">
        <f>IF($K2800="","",IF(ISNUMBER(SEARCH("transfert-interne",IFERROR(INDEX('Paramètres'!$N:$N,MATCH($D2800,'Paramètres'!$M:$M,0))&amp;"",""))),0,IF($L2800="Débit",$K2800,IF($P2800=1,-$K2800,0))))</f>
        <v/>
      </c>
      <c r="R2800" s="6" t="str">
        <f>IF($K2800="","",IF($L2800="Crédit",$K2800,-$K2800))</f>
        <v/>
      </c>
      <c r="S2800" s="6" t="str">
        <f>IF($C2800="","",IFERROR(INDEX('Paramètres'!$H:$H,MATCH($C2800,'Paramètres'!$D:$D,0))&amp;"",""))</f>
        <v/>
      </c>
      <c r="T2800" s="6" t="str">
        <f>IF($K2800="","",IF($S2800="",0,IF(ISNUMBER(SEARCH("apport-exterieur",IFERROR(INDEX('Paramètres'!$N:$N,MATCH($D2800,'Paramètres'!$M:$M,0))&amp;"",""))),0,IF(OR(IFERROR(INDEX('Paramètres'!$I:$I,MATCH($C2800,'Paramètres'!$D:$D,0))&amp;"","")="Les deux",IFERROR(INDEX('Paramètres'!$I:$I,MATCH($C2800,'Paramètres'!$D:$D,0))&amp;"","")=IF($P2800=1,"Débit",$L2800)),-IF($P2800=1,-$K2800,$K2800),0))))</f>
        <v/>
      </c>
      <c r="U2800" s="6" t="str">
        <f>IF($K2800="","",IF(ISNUMBER(SEARCH("sortie-epargne",IFERROR(INDEX('Paramètres'!$N:$N,MATCH($D2800,'Paramètres'!$M:$M,0))&amp;"",""))),$K2800,0))</f>
        <v/>
      </c>
      <c r="V2800" s="6" t="str">
        <f>IF(AND($A2800&lt;&gt;"",$O2800=1,$L2800="Débit",N($Q2800)&gt;0,$A2800&gt;=Visualisation!$B$1,$A2800&lt;Visualisation!$D$1),MAX($V$1:V2799)+1,"")</f>
        <v/>
      </c>
    </row>
    <row r="2801" spans="1:22" x14ac:dyDescent="0.25">
      <c r="A2801" s="9"/>
      <c r="E2801" s="10"/>
      <c r="K2801" s="11" t="str">
        <f>IF($E2801="","",ROUND($E2801*IF(ISNA(MATCH($C2801,'Paramètres'!$D:$D,0)),1,IF(INDEX('Paramètres'!$J:$J,MATCH($C2801,'Paramètres'!$D:$D,0))="",1,INDEX('Paramètres'!$J:$J,MATCH($C2801,'Paramètres'!$D:$D,0)))),2))</f>
        <v/>
      </c>
      <c r="L2801" s="6" t="str">
        <f>IF($D2801="","",IF($F2801&lt;&gt;"",$F2801,IF(ISNA(MATCH($D2801,'Paramètres'!$M:$M,0)),"⚠ Type inconnu",IFERROR(INDEX('Paramètres'!$P:$P,MATCH($D2801,'Paramètres'!$M:$M,0))&amp;"",""))))</f>
        <v/>
      </c>
      <c r="M2801" s="6" t="str">
        <f>IF($D2801="","",IF(ISNA(MATCH($D2801,'Paramètres'!$M:$M,0)),"⚠ Type inconnu",IF($L2801="Crédit","",IFERROR(INDEX('Paramètres'!$O:$O,MATCH($D2801,'Paramètres'!$M:$M,0))&amp;"",""))))</f>
        <v/>
      </c>
      <c r="N2801" s="6" t="str">
        <f>IF($D2801="","",IFERROR(INDEX('Paramètres'!$Q:$Q,MATCH($D2801,'Paramètres'!$M:$M,0))&amp;"",""))</f>
        <v/>
      </c>
      <c r="O2801" s="6" t="str">
        <f>IF($A2801="","",IF(OR($J2801&lt;&gt;"x",$A2801&lt;=FinReleve),1,0))</f>
        <v/>
      </c>
      <c r="P2801" s="6" t="str">
        <f>IF($D2801="","",IF(AND($L2801="Crédit",OR(IFERROR(INDEX('Paramètres'!$O:$O,MATCH($D2801,'Paramètres'!$M:$M,0))&amp;"","")&lt;&gt;"",ISNUMBER(SEARCH("remboursement",IFERROR(INDEX('Paramètres'!$N:$N,MATCH($D2801,'Paramètres'!$M:$M,0))&amp;"",""))))),1,0))</f>
        <v/>
      </c>
      <c r="Q2801" s="6" t="str">
        <f>IF($K2801="","",IF(ISNUMBER(SEARCH("transfert-interne",IFERROR(INDEX('Paramètres'!$N:$N,MATCH($D2801,'Paramètres'!$M:$M,0))&amp;"",""))),0,IF($L2801="Débit",$K2801,IF($P2801=1,-$K2801,0))))</f>
        <v/>
      </c>
      <c r="R2801" s="6" t="str">
        <f>IF($K2801="","",IF($L2801="Crédit",$K2801,-$K2801))</f>
        <v/>
      </c>
      <c r="S2801" s="6" t="str">
        <f>IF($C2801="","",IFERROR(INDEX('Paramètres'!$H:$H,MATCH($C2801,'Paramètres'!$D:$D,0))&amp;"",""))</f>
        <v/>
      </c>
      <c r="T2801" s="6" t="str">
        <f>IF($K2801="","",IF($S2801="",0,IF(ISNUMBER(SEARCH("apport-exterieur",IFERROR(INDEX('Paramètres'!$N:$N,MATCH($D2801,'Paramètres'!$M:$M,0))&amp;"",""))),0,IF(OR(IFERROR(INDEX('Paramètres'!$I:$I,MATCH($C2801,'Paramètres'!$D:$D,0))&amp;"","")="Les deux",IFERROR(INDEX('Paramètres'!$I:$I,MATCH($C2801,'Paramètres'!$D:$D,0))&amp;"","")=IF($P2801=1,"Débit",$L2801)),-IF($P2801=1,-$K2801,$K2801),0))))</f>
        <v/>
      </c>
      <c r="U2801" s="6" t="str">
        <f>IF($K2801="","",IF(ISNUMBER(SEARCH("sortie-epargne",IFERROR(INDEX('Paramètres'!$N:$N,MATCH($D2801,'Paramètres'!$M:$M,0))&amp;"",""))),$K2801,0))</f>
        <v/>
      </c>
      <c r="V2801" s="6" t="str">
        <f>IF(AND($A2801&lt;&gt;"",$O2801=1,$L2801="Débit",N($Q2801)&gt;0,$A2801&gt;=Visualisation!$B$1,$A2801&lt;Visualisation!$D$1),MAX($V$1:V2800)+1,"")</f>
        <v/>
      </c>
    </row>
    <row r="2802" spans="1:22" x14ac:dyDescent="0.25">
      <c r="A2802" s="9"/>
      <c r="E2802" s="10"/>
      <c r="K2802" s="11" t="str">
        <f>IF($E2802="","",ROUND($E2802*IF(ISNA(MATCH($C2802,'Paramètres'!$D:$D,0)),1,IF(INDEX('Paramètres'!$J:$J,MATCH($C2802,'Paramètres'!$D:$D,0))="",1,INDEX('Paramètres'!$J:$J,MATCH($C2802,'Paramètres'!$D:$D,0)))),2))</f>
        <v/>
      </c>
      <c r="L2802" s="6" t="str">
        <f>IF($D2802="","",IF($F2802&lt;&gt;"",$F2802,IF(ISNA(MATCH($D2802,'Paramètres'!$M:$M,0)),"⚠ Type inconnu",IFERROR(INDEX('Paramètres'!$P:$P,MATCH($D2802,'Paramètres'!$M:$M,0))&amp;"",""))))</f>
        <v/>
      </c>
      <c r="M2802" s="6" t="str">
        <f>IF($D2802="","",IF(ISNA(MATCH($D2802,'Paramètres'!$M:$M,0)),"⚠ Type inconnu",IF($L2802="Crédit","",IFERROR(INDEX('Paramètres'!$O:$O,MATCH($D2802,'Paramètres'!$M:$M,0))&amp;"",""))))</f>
        <v/>
      </c>
      <c r="N2802" s="6" t="str">
        <f>IF($D2802="","",IFERROR(INDEX('Paramètres'!$Q:$Q,MATCH($D2802,'Paramètres'!$M:$M,0))&amp;"",""))</f>
        <v/>
      </c>
      <c r="O2802" s="6" t="str">
        <f>IF($A2802="","",IF(OR($J2802&lt;&gt;"x",$A2802&lt;=FinReleve),1,0))</f>
        <v/>
      </c>
      <c r="P2802" s="6" t="str">
        <f>IF($D2802="","",IF(AND($L2802="Crédit",OR(IFERROR(INDEX('Paramètres'!$O:$O,MATCH($D2802,'Paramètres'!$M:$M,0))&amp;"","")&lt;&gt;"",ISNUMBER(SEARCH("remboursement",IFERROR(INDEX('Paramètres'!$N:$N,MATCH($D2802,'Paramètres'!$M:$M,0))&amp;"",""))))),1,0))</f>
        <v/>
      </c>
      <c r="Q2802" s="6" t="str">
        <f>IF($K2802="","",IF(ISNUMBER(SEARCH("transfert-interne",IFERROR(INDEX('Paramètres'!$N:$N,MATCH($D2802,'Paramètres'!$M:$M,0))&amp;"",""))),0,IF($L2802="Débit",$K2802,IF($P2802=1,-$K2802,0))))</f>
        <v/>
      </c>
      <c r="R2802" s="6" t="str">
        <f>IF($K2802="","",IF($L2802="Crédit",$K2802,-$K2802))</f>
        <v/>
      </c>
      <c r="S2802" s="6" t="str">
        <f>IF($C2802="","",IFERROR(INDEX('Paramètres'!$H:$H,MATCH($C2802,'Paramètres'!$D:$D,0))&amp;"",""))</f>
        <v/>
      </c>
      <c r="T2802" s="6" t="str">
        <f>IF($K2802="","",IF($S2802="",0,IF(ISNUMBER(SEARCH("apport-exterieur",IFERROR(INDEX('Paramètres'!$N:$N,MATCH($D2802,'Paramètres'!$M:$M,0))&amp;"",""))),0,IF(OR(IFERROR(INDEX('Paramètres'!$I:$I,MATCH($C2802,'Paramètres'!$D:$D,0))&amp;"","")="Les deux",IFERROR(INDEX('Paramètres'!$I:$I,MATCH($C2802,'Paramètres'!$D:$D,0))&amp;"","")=IF($P2802=1,"Débit",$L2802)),-IF($P2802=1,-$K2802,$K2802),0))))</f>
        <v/>
      </c>
      <c r="U2802" s="6" t="str">
        <f>IF($K2802="","",IF(ISNUMBER(SEARCH("sortie-epargne",IFERROR(INDEX('Paramètres'!$N:$N,MATCH($D2802,'Paramètres'!$M:$M,0))&amp;"",""))),$K2802,0))</f>
        <v/>
      </c>
      <c r="V2802" s="6" t="str">
        <f>IF(AND($A2802&lt;&gt;"",$O2802=1,$L2802="Débit",N($Q2802)&gt;0,$A2802&gt;=Visualisation!$B$1,$A2802&lt;Visualisation!$D$1),MAX($V$1:V2801)+1,"")</f>
        <v/>
      </c>
    </row>
    <row r="2803" spans="1:22" x14ac:dyDescent="0.25">
      <c r="A2803" s="9"/>
      <c r="E2803" s="10"/>
      <c r="K2803" s="11" t="str">
        <f>IF($E2803="","",ROUND($E2803*IF(ISNA(MATCH($C2803,'Paramètres'!$D:$D,0)),1,IF(INDEX('Paramètres'!$J:$J,MATCH($C2803,'Paramètres'!$D:$D,0))="",1,INDEX('Paramètres'!$J:$J,MATCH($C2803,'Paramètres'!$D:$D,0)))),2))</f>
        <v/>
      </c>
      <c r="L2803" s="6" t="str">
        <f>IF($D2803="","",IF($F2803&lt;&gt;"",$F2803,IF(ISNA(MATCH($D2803,'Paramètres'!$M:$M,0)),"⚠ Type inconnu",IFERROR(INDEX('Paramètres'!$P:$P,MATCH($D2803,'Paramètres'!$M:$M,0))&amp;"",""))))</f>
        <v/>
      </c>
      <c r="M2803" s="6" t="str">
        <f>IF($D2803="","",IF(ISNA(MATCH($D2803,'Paramètres'!$M:$M,0)),"⚠ Type inconnu",IF($L2803="Crédit","",IFERROR(INDEX('Paramètres'!$O:$O,MATCH($D2803,'Paramètres'!$M:$M,0))&amp;"",""))))</f>
        <v/>
      </c>
      <c r="N2803" s="6" t="str">
        <f>IF($D2803="","",IFERROR(INDEX('Paramètres'!$Q:$Q,MATCH($D2803,'Paramètres'!$M:$M,0))&amp;"",""))</f>
        <v/>
      </c>
      <c r="O2803" s="6" t="str">
        <f>IF($A2803="","",IF(OR($J2803&lt;&gt;"x",$A2803&lt;=FinReleve),1,0))</f>
        <v/>
      </c>
      <c r="P2803" s="6" t="str">
        <f>IF($D2803="","",IF(AND($L2803="Crédit",OR(IFERROR(INDEX('Paramètres'!$O:$O,MATCH($D2803,'Paramètres'!$M:$M,0))&amp;"","")&lt;&gt;"",ISNUMBER(SEARCH("remboursement",IFERROR(INDEX('Paramètres'!$N:$N,MATCH($D2803,'Paramètres'!$M:$M,0))&amp;"",""))))),1,0))</f>
        <v/>
      </c>
      <c r="Q2803" s="6" t="str">
        <f>IF($K2803="","",IF(ISNUMBER(SEARCH("transfert-interne",IFERROR(INDEX('Paramètres'!$N:$N,MATCH($D2803,'Paramètres'!$M:$M,0))&amp;"",""))),0,IF($L2803="Débit",$K2803,IF($P2803=1,-$K2803,0))))</f>
        <v/>
      </c>
      <c r="R2803" s="6" t="str">
        <f>IF($K2803="","",IF($L2803="Crédit",$K2803,-$K2803))</f>
        <v/>
      </c>
      <c r="S2803" s="6" t="str">
        <f>IF($C2803="","",IFERROR(INDEX('Paramètres'!$H:$H,MATCH($C2803,'Paramètres'!$D:$D,0))&amp;"",""))</f>
        <v/>
      </c>
      <c r="T2803" s="6" t="str">
        <f>IF($K2803="","",IF($S2803="",0,IF(ISNUMBER(SEARCH("apport-exterieur",IFERROR(INDEX('Paramètres'!$N:$N,MATCH($D2803,'Paramètres'!$M:$M,0))&amp;"",""))),0,IF(OR(IFERROR(INDEX('Paramètres'!$I:$I,MATCH($C2803,'Paramètres'!$D:$D,0))&amp;"","")="Les deux",IFERROR(INDEX('Paramètres'!$I:$I,MATCH($C2803,'Paramètres'!$D:$D,0))&amp;"","")=IF($P2803=1,"Débit",$L2803)),-IF($P2803=1,-$K2803,$K2803),0))))</f>
        <v/>
      </c>
      <c r="U2803" s="6" t="str">
        <f>IF($K2803="","",IF(ISNUMBER(SEARCH("sortie-epargne",IFERROR(INDEX('Paramètres'!$N:$N,MATCH($D2803,'Paramètres'!$M:$M,0))&amp;"",""))),$K2803,0))</f>
        <v/>
      </c>
      <c r="V2803" s="6" t="str">
        <f>IF(AND($A2803&lt;&gt;"",$O2803=1,$L2803="Débit",N($Q2803)&gt;0,$A2803&gt;=Visualisation!$B$1,$A2803&lt;Visualisation!$D$1),MAX($V$1:V2802)+1,"")</f>
        <v/>
      </c>
    </row>
    <row r="2804" spans="1:22" x14ac:dyDescent="0.25">
      <c r="A2804" s="9"/>
      <c r="E2804" s="10"/>
      <c r="K2804" s="11" t="str">
        <f>IF($E2804="","",ROUND($E2804*IF(ISNA(MATCH($C2804,'Paramètres'!$D:$D,0)),1,IF(INDEX('Paramètres'!$J:$J,MATCH($C2804,'Paramètres'!$D:$D,0))="",1,INDEX('Paramètres'!$J:$J,MATCH($C2804,'Paramètres'!$D:$D,0)))),2))</f>
        <v/>
      </c>
      <c r="L2804" s="6" t="str">
        <f>IF($D2804="","",IF($F2804&lt;&gt;"",$F2804,IF(ISNA(MATCH($D2804,'Paramètres'!$M:$M,0)),"⚠ Type inconnu",IFERROR(INDEX('Paramètres'!$P:$P,MATCH($D2804,'Paramètres'!$M:$M,0))&amp;"",""))))</f>
        <v/>
      </c>
      <c r="M2804" s="6" t="str">
        <f>IF($D2804="","",IF(ISNA(MATCH($D2804,'Paramètres'!$M:$M,0)),"⚠ Type inconnu",IF($L2804="Crédit","",IFERROR(INDEX('Paramètres'!$O:$O,MATCH($D2804,'Paramètres'!$M:$M,0))&amp;"",""))))</f>
        <v/>
      </c>
      <c r="N2804" s="6" t="str">
        <f>IF($D2804="","",IFERROR(INDEX('Paramètres'!$Q:$Q,MATCH($D2804,'Paramètres'!$M:$M,0))&amp;"",""))</f>
        <v/>
      </c>
      <c r="O2804" s="6" t="str">
        <f>IF($A2804="","",IF(OR($J2804&lt;&gt;"x",$A2804&lt;=FinReleve),1,0))</f>
        <v/>
      </c>
      <c r="P2804" s="6" t="str">
        <f>IF($D2804="","",IF(AND($L2804="Crédit",OR(IFERROR(INDEX('Paramètres'!$O:$O,MATCH($D2804,'Paramètres'!$M:$M,0))&amp;"","")&lt;&gt;"",ISNUMBER(SEARCH("remboursement",IFERROR(INDEX('Paramètres'!$N:$N,MATCH($D2804,'Paramètres'!$M:$M,0))&amp;"",""))))),1,0))</f>
        <v/>
      </c>
      <c r="Q2804" s="6" t="str">
        <f>IF($K2804="","",IF(ISNUMBER(SEARCH("transfert-interne",IFERROR(INDEX('Paramètres'!$N:$N,MATCH($D2804,'Paramètres'!$M:$M,0))&amp;"",""))),0,IF($L2804="Débit",$K2804,IF($P2804=1,-$K2804,0))))</f>
        <v/>
      </c>
      <c r="R2804" s="6" t="str">
        <f>IF($K2804="","",IF($L2804="Crédit",$K2804,-$K2804))</f>
        <v/>
      </c>
      <c r="S2804" s="6" t="str">
        <f>IF($C2804="","",IFERROR(INDEX('Paramètres'!$H:$H,MATCH($C2804,'Paramètres'!$D:$D,0))&amp;"",""))</f>
        <v/>
      </c>
      <c r="T2804" s="6" t="str">
        <f>IF($K2804="","",IF($S2804="",0,IF(ISNUMBER(SEARCH("apport-exterieur",IFERROR(INDEX('Paramètres'!$N:$N,MATCH($D2804,'Paramètres'!$M:$M,0))&amp;"",""))),0,IF(OR(IFERROR(INDEX('Paramètres'!$I:$I,MATCH($C2804,'Paramètres'!$D:$D,0))&amp;"","")="Les deux",IFERROR(INDEX('Paramètres'!$I:$I,MATCH($C2804,'Paramètres'!$D:$D,0))&amp;"","")=IF($P2804=1,"Débit",$L2804)),-IF($P2804=1,-$K2804,$K2804),0))))</f>
        <v/>
      </c>
      <c r="U2804" s="6" t="str">
        <f>IF($K2804="","",IF(ISNUMBER(SEARCH("sortie-epargne",IFERROR(INDEX('Paramètres'!$N:$N,MATCH($D2804,'Paramètres'!$M:$M,0))&amp;"",""))),$K2804,0))</f>
        <v/>
      </c>
      <c r="V2804" s="6" t="str">
        <f>IF(AND($A2804&lt;&gt;"",$O2804=1,$L2804="Débit",N($Q2804)&gt;0,$A2804&gt;=Visualisation!$B$1,$A2804&lt;Visualisation!$D$1),MAX($V$1:V2803)+1,"")</f>
        <v/>
      </c>
    </row>
    <row r="2805" spans="1:22" x14ac:dyDescent="0.25">
      <c r="A2805" s="9"/>
      <c r="E2805" s="10"/>
      <c r="K2805" s="11" t="str">
        <f>IF($E2805="","",ROUND($E2805*IF(ISNA(MATCH($C2805,'Paramètres'!$D:$D,0)),1,IF(INDEX('Paramètres'!$J:$J,MATCH($C2805,'Paramètres'!$D:$D,0))="",1,INDEX('Paramètres'!$J:$J,MATCH($C2805,'Paramètres'!$D:$D,0)))),2))</f>
        <v/>
      </c>
      <c r="L2805" s="6" t="str">
        <f>IF($D2805="","",IF($F2805&lt;&gt;"",$F2805,IF(ISNA(MATCH($D2805,'Paramètres'!$M:$M,0)),"⚠ Type inconnu",IFERROR(INDEX('Paramètres'!$P:$P,MATCH($D2805,'Paramètres'!$M:$M,0))&amp;"",""))))</f>
        <v/>
      </c>
      <c r="M2805" s="6" t="str">
        <f>IF($D2805="","",IF(ISNA(MATCH($D2805,'Paramètres'!$M:$M,0)),"⚠ Type inconnu",IF($L2805="Crédit","",IFERROR(INDEX('Paramètres'!$O:$O,MATCH($D2805,'Paramètres'!$M:$M,0))&amp;"",""))))</f>
        <v/>
      </c>
      <c r="N2805" s="6" t="str">
        <f>IF($D2805="","",IFERROR(INDEX('Paramètres'!$Q:$Q,MATCH($D2805,'Paramètres'!$M:$M,0))&amp;"",""))</f>
        <v/>
      </c>
      <c r="O2805" s="6" t="str">
        <f>IF($A2805="","",IF(OR($J2805&lt;&gt;"x",$A2805&lt;=FinReleve),1,0))</f>
        <v/>
      </c>
      <c r="P2805" s="6" t="str">
        <f>IF($D2805="","",IF(AND($L2805="Crédit",OR(IFERROR(INDEX('Paramètres'!$O:$O,MATCH($D2805,'Paramètres'!$M:$M,0))&amp;"","")&lt;&gt;"",ISNUMBER(SEARCH("remboursement",IFERROR(INDEX('Paramètres'!$N:$N,MATCH($D2805,'Paramètres'!$M:$M,0))&amp;"",""))))),1,0))</f>
        <v/>
      </c>
      <c r="Q2805" s="6" t="str">
        <f>IF($K2805="","",IF(ISNUMBER(SEARCH("transfert-interne",IFERROR(INDEX('Paramètres'!$N:$N,MATCH($D2805,'Paramètres'!$M:$M,0))&amp;"",""))),0,IF($L2805="Débit",$K2805,IF($P2805=1,-$K2805,0))))</f>
        <v/>
      </c>
      <c r="R2805" s="6" t="str">
        <f>IF($K2805="","",IF($L2805="Crédit",$K2805,-$K2805))</f>
        <v/>
      </c>
      <c r="S2805" s="6" t="str">
        <f>IF($C2805="","",IFERROR(INDEX('Paramètres'!$H:$H,MATCH($C2805,'Paramètres'!$D:$D,0))&amp;"",""))</f>
        <v/>
      </c>
      <c r="T2805" s="6" t="str">
        <f>IF($K2805="","",IF($S2805="",0,IF(ISNUMBER(SEARCH("apport-exterieur",IFERROR(INDEX('Paramètres'!$N:$N,MATCH($D2805,'Paramètres'!$M:$M,0))&amp;"",""))),0,IF(OR(IFERROR(INDEX('Paramètres'!$I:$I,MATCH($C2805,'Paramètres'!$D:$D,0))&amp;"","")="Les deux",IFERROR(INDEX('Paramètres'!$I:$I,MATCH($C2805,'Paramètres'!$D:$D,0))&amp;"","")=IF($P2805=1,"Débit",$L2805)),-IF($P2805=1,-$K2805,$K2805),0))))</f>
        <v/>
      </c>
      <c r="U2805" s="6" t="str">
        <f>IF($K2805="","",IF(ISNUMBER(SEARCH("sortie-epargne",IFERROR(INDEX('Paramètres'!$N:$N,MATCH($D2805,'Paramètres'!$M:$M,0))&amp;"",""))),$K2805,0))</f>
        <v/>
      </c>
      <c r="V2805" s="6" t="str">
        <f>IF(AND($A2805&lt;&gt;"",$O2805=1,$L2805="Débit",N($Q2805)&gt;0,$A2805&gt;=Visualisation!$B$1,$A2805&lt;Visualisation!$D$1),MAX($V$1:V2804)+1,"")</f>
        <v/>
      </c>
    </row>
    <row r="2806" spans="1:22" x14ac:dyDescent="0.25">
      <c r="A2806" s="9"/>
      <c r="E2806" s="10"/>
      <c r="K2806" s="11" t="str">
        <f>IF($E2806="","",ROUND($E2806*IF(ISNA(MATCH($C2806,'Paramètres'!$D:$D,0)),1,IF(INDEX('Paramètres'!$J:$J,MATCH($C2806,'Paramètres'!$D:$D,0))="",1,INDEX('Paramètres'!$J:$J,MATCH($C2806,'Paramètres'!$D:$D,0)))),2))</f>
        <v/>
      </c>
      <c r="L2806" s="6" t="str">
        <f>IF($D2806="","",IF($F2806&lt;&gt;"",$F2806,IF(ISNA(MATCH($D2806,'Paramètres'!$M:$M,0)),"⚠ Type inconnu",IFERROR(INDEX('Paramètres'!$P:$P,MATCH($D2806,'Paramètres'!$M:$M,0))&amp;"",""))))</f>
        <v/>
      </c>
      <c r="M2806" s="6" t="str">
        <f>IF($D2806="","",IF(ISNA(MATCH($D2806,'Paramètres'!$M:$M,0)),"⚠ Type inconnu",IF($L2806="Crédit","",IFERROR(INDEX('Paramètres'!$O:$O,MATCH($D2806,'Paramètres'!$M:$M,0))&amp;"",""))))</f>
        <v/>
      </c>
      <c r="N2806" s="6" t="str">
        <f>IF($D2806="","",IFERROR(INDEX('Paramètres'!$Q:$Q,MATCH($D2806,'Paramètres'!$M:$M,0))&amp;"",""))</f>
        <v/>
      </c>
      <c r="O2806" s="6" t="str">
        <f>IF($A2806="","",IF(OR($J2806&lt;&gt;"x",$A2806&lt;=FinReleve),1,0))</f>
        <v/>
      </c>
      <c r="P2806" s="6" t="str">
        <f>IF($D2806="","",IF(AND($L2806="Crédit",OR(IFERROR(INDEX('Paramètres'!$O:$O,MATCH($D2806,'Paramètres'!$M:$M,0))&amp;"","")&lt;&gt;"",ISNUMBER(SEARCH("remboursement",IFERROR(INDEX('Paramètres'!$N:$N,MATCH($D2806,'Paramètres'!$M:$M,0))&amp;"",""))))),1,0))</f>
        <v/>
      </c>
      <c r="Q2806" s="6" t="str">
        <f>IF($K2806="","",IF(ISNUMBER(SEARCH("transfert-interne",IFERROR(INDEX('Paramètres'!$N:$N,MATCH($D2806,'Paramètres'!$M:$M,0))&amp;"",""))),0,IF($L2806="Débit",$K2806,IF($P2806=1,-$K2806,0))))</f>
        <v/>
      </c>
      <c r="R2806" s="6" t="str">
        <f>IF($K2806="","",IF($L2806="Crédit",$K2806,-$K2806))</f>
        <v/>
      </c>
      <c r="S2806" s="6" t="str">
        <f>IF($C2806="","",IFERROR(INDEX('Paramètres'!$H:$H,MATCH($C2806,'Paramètres'!$D:$D,0))&amp;"",""))</f>
        <v/>
      </c>
      <c r="T2806" s="6" t="str">
        <f>IF($K2806="","",IF($S2806="",0,IF(ISNUMBER(SEARCH("apport-exterieur",IFERROR(INDEX('Paramètres'!$N:$N,MATCH($D2806,'Paramètres'!$M:$M,0))&amp;"",""))),0,IF(OR(IFERROR(INDEX('Paramètres'!$I:$I,MATCH($C2806,'Paramètres'!$D:$D,0))&amp;"","")="Les deux",IFERROR(INDEX('Paramètres'!$I:$I,MATCH($C2806,'Paramètres'!$D:$D,0))&amp;"","")=IF($P2806=1,"Débit",$L2806)),-IF($P2806=1,-$K2806,$K2806),0))))</f>
        <v/>
      </c>
      <c r="U2806" s="6" t="str">
        <f>IF($K2806="","",IF(ISNUMBER(SEARCH("sortie-epargne",IFERROR(INDEX('Paramètres'!$N:$N,MATCH($D2806,'Paramètres'!$M:$M,0))&amp;"",""))),$K2806,0))</f>
        <v/>
      </c>
      <c r="V2806" s="6" t="str">
        <f>IF(AND($A2806&lt;&gt;"",$O2806=1,$L2806="Débit",N($Q2806)&gt;0,$A2806&gt;=Visualisation!$B$1,$A2806&lt;Visualisation!$D$1),MAX($V$1:V2805)+1,"")</f>
        <v/>
      </c>
    </row>
    <row r="2807" spans="1:22" x14ac:dyDescent="0.25">
      <c r="A2807" s="9"/>
      <c r="E2807" s="10"/>
      <c r="K2807" s="11" t="str">
        <f>IF($E2807="","",ROUND($E2807*IF(ISNA(MATCH($C2807,'Paramètres'!$D:$D,0)),1,IF(INDEX('Paramètres'!$J:$J,MATCH($C2807,'Paramètres'!$D:$D,0))="",1,INDEX('Paramètres'!$J:$J,MATCH($C2807,'Paramètres'!$D:$D,0)))),2))</f>
        <v/>
      </c>
      <c r="L2807" s="6" t="str">
        <f>IF($D2807="","",IF($F2807&lt;&gt;"",$F2807,IF(ISNA(MATCH($D2807,'Paramètres'!$M:$M,0)),"⚠ Type inconnu",IFERROR(INDEX('Paramètres'!$P:$P,MATCH($D2807,'Paramètres'!$M:$M,0))&amp;"",""))))</f>
        <v/>
      </c>
      <c r="M2807" s="6" t="str">
        <f>IF($D2807="","",IF(ISNA(MATCH($D2807,'Paramètres'!$M:$M,0)),"⚠ Type inconnu",IF($L2807="Crédit","",IFERROR(INDEX('Paramètres'!$O:$O,MATCH($D2807,'Paramètres'!$M:$M,0))&amp;"",""))))</f>
        <v/>
      </c>
      <c r="N2807" s="6" t="str">
        <f>IF($D2807="","",IFERROR(INDEX('Paramètres'!$Q:$Q,MATCH($D2807,'Paramètres'!$M:$M,0))&amp;"",""))</f>
        <v/>
      </c>
      <c r="O2807" s="6" t="str">
        <f>IF($A2807="","",IF(OR($J2807&lt;&gt;"x",$A2807&lt;=FinReleve),1,0))</f>
        <v/>
      </c>
      <c r="P2807" s="6" t="str">
        <f>IF($D2807="","",IF(AND($L2807="Crédit",OR(IFERROR(INDEX('Paramètres'!$O:$O,MATCH($D2807,'Paramètres'!$M:$M,0))&amp;"","")&lt;&gt;"",ISNUMBER(SEARCH("remboursement",IFERROR(INDEX('Paramètres'!$N:$N,MATCH($D2807,'Paramètres'!$M:$M,0))&amp;"",""))))),1,0))</f>
        <v/>
      </c>
      <c r="Q2807" s="6" t="str">
        <f>IF($K2807="","",IF(ISNUMBER(SEARCH("transfert-interne",IFERROR(INDEX('Paramètres'!$N:$N,MATCH($D2807,'Paramètres'!$M:$M,0))&amp;"",""))),0,IF($L2807="Débit",$K2807,IF($P2807=1,-$K2807,0))))</f>
        <v/>
      </c>
      <c r="R2807" s="6" t="str">
        <f>IF($K2807="","",IF($L2807="Crédit",$K2807,-$K2807))</f>
        <v/>
      </c>
      <c r="S2807" s="6" t="str">
        <f>IF($C2807="","",IFERROR(INDEX('Paramètres'!$H:$H,MATCH($C2807,'Paramètres'!$D:$D,0))&amp;"",""))</f>
        <v/>
      </c>
      <c r="T2807" s="6" t="str">
        <f>IF($K2807="","",IF($S2807="",0,IF(ISNUMBER(SEARCH("apport-exterieur",IFERROR(INDEX('Paramètres'!$N:$N,MATCH($D2807,'Paramètres'!$M:$M,0))&amp;"",""))),0,IF(OR(IFERROR(INDEX('Paramètres'!$I:$I,MATCH($C2807,'Paramètres'!$D:$D,0))&amp;"","")="Les deux",IFERROR(INDEX('Paramètres'!$I:$I,MATCH($C2807,'Paramètres'!$D:$D,0))&amp;"","")=IF($P2807=1,"Débit",$L2807)),-IF($P2807=1,-$K2807,$K2807),0))))</f>
        <v/>
      </c>
      <c r="U2807" s="6" t="str">
        <f>IF($K2807="","",IF(ISNUMBER(SEARCH("sortie-epargne",IFERROR(INDEX('Paramètres'!$N:$N,MATCH($D2807,'Paramètres'!$M:$M,0))&amp;"",""))),$K2807,0))</f>
        <v/>
      </c>
      <c r="V2807" s="6" t="str">
        <f>IF(AND($A2807&lt;&gt;"",$O2807=1,$L2807="Débit",N($Q2807)&gt;0,$A2807&gt;=Visualisation!$B$1,$A2807&lt;Visualisation!$D$1),MAX($V$1:V2806)+1,"")</f>
        <v/>
      </c>
    </row>
    <row r="2808" spans="1:22" x14ac:dyDescent="0.25">
      <c r="A2808" s="9"/>
      <c r="E2808" s="10"/>
      <c r="K2808" s="11" t="str">
        <f>IF($E2808="","",ROUND($E2808*IF(ISNA(MATCH($C2808,'Paramètres'!$D:$D,0)),1,IF(INDEX('Paramètres'!$J:$J,MATCH($C2808,'Paramètres'!$D:$D,0))="",1,INDEX('Paramètres'!$J:$J,MATCH($C2808,'Paramètres'!$D:$D,0)))),2))</f>
        <v/>
      </c>
      <c r="L2808" s="6" t="str">
        <f>IF($D2808="","",IF($F2808&lt;&gt;"",$F2808,IF(ISNA(MATCH($D2808,'Paramètres'!$M:$M,0)),"⚠ Type inconnu",IFERROR(INDEX('Paramètres'!$P:$P,MATCH($D2808,'Paramètres'!$M:$M,0))&amp;"",""))))</f>
        <v/>
      </c>
      <c r="M2808" s="6" t="str">
        <f>IF($D2808="","",IF(ISNA(MATCH($D2808,'Paramètres'!$M:$M,0)),"⚠ Type inconnu",IF($L2808="Crédit","",IFERROR(INDEX('Paramètres'!$O:$O,MATCH($D2808,'Paramètres'!$M:$M,0))&amp;"",""))))</f>
        <v/>
      </c>
      <c r="N2808" s="6" t="str">
        <f>IF($D2808="","",IFERROR(INDEX('Paramètres'!$Q:$Q,MATCH($D2808,'Paramètres'!$M:$M,0))&amp;"",""))</f>
        <v/>
      </c>
      <c r="O2808" s="6" t="str">
        <f>IF($A2808="","",IF(OR($J2808&lt;&gt;"x",$A2808&lt;=FinReleve),1,0))</f>
        <v/>
      </c>
      <c r="P2808" s="6" t="str">
        <f>IF($D2808="","",IF(AND($L2808="Crédit",OR(IFERROR(INDEX('Paramètres'!$O:$O,MATCH($D2808,'Paramètres'!$M:$M,0))&amp;"","")&lt;&gt;"",ISNUMBER(SEARCH("remboursement",IFERROR(INDEX('Paramètres'!$N:$N,MATCH($D2808,'Paramètres'!$M:$M,0))&amp;"",""))))),1,0))</f>
        <v/>
      </c>
      <c r="Q2808" s="6" t="str">
        <f>IF($K2808="","",IF(ISNUMBER(SEARCH("transfert-interne",IFERROR(INDEX('Paramètres'!$N:$N,MATCH($D2808,'Paramètres'!$M:$M,0))&amp;"",""))),0,IF($L2808="Débit",$K2808,IF($P2808=1,-$K2808,0))))</f>
        <v/>
      </c>
      <c r="R2808" s="6" t="str">
        <f>IF($K2808="","",IF($L2808="Crédit",$K2808,-$K2808))</f>
        <v/>
      </c>
      <c r="S2808" s="6" t="str">
        <f>IF($C2808="","",IFERROR(INDEX('Paramètres'!$H:$H,MATCH($C2808,'Paramètres'!$D:$D,0))&amp;"",""))</f>
        <v/>
      </c>
      <c r="T2808" s="6" t="str">
        <f>IF($K2808="","",IF($S2808="",0,IF(ISNUMBER(SEARCH("apport-exterieur",IFERROR(INDEX('Paramètres'!$N:$N,MATCH($D2808,'Paramètres'!$M:$M,0))&amp;"",""))),0,IF(OR(IFERROR(INDEX('Paramètres'!$I:$I,MATCH($C2808,'Paramètres'!$D:$D,0))&amp;"","")="Les deux",IFERROR(INDEX('Paramètres'!$I:$I,MATCH($C2808,'Paramètres'!$D:$D,0))&amp;"","")=IF($P2808=1,"Débit",$L2808)),-IF($P2808=1,-$K2808,$K2808),0))))</f>
        <v/>
      </c>
      <c r="U2808" s="6" t="str">
        <f>IF($K2808="","",IF(ISNUMBER(SEARCH("sortie-epargne",IFERROR(INDEX('Paramètres'!$N:$N,MATCH($D2808,'Paramètres'!$M:$M,0))&amp;"",""))),$K2808,0))</f>
        <v/>
      </c>
      <c r="V2808" s="6" t="str">
        <f>IF(AND($A2808&lt;&gt;"",$O2808=1,$L2808="Débit",N($Q2808)&gt;0,$A2808&gt;=Visualisation!$B$1,$A2808&lt;Visualisation!$D$1),MAX($V$1:V2807)+1,"")</f>
        <v/>
      </c>
    </row>
    <row r="2809" spans="1:22" x14ac:dyDescent="0.25">
      <c r="A2809" s="9"/>
      <c r="E2809" s="10"/>
      <c r="K2809" s="11" t="str">
        <f>IF($E2809="","",ROUND($E2809*IF(ISNA(MATCH($C2809,'Paramètres'!$D:$D,0)),1,IF(INDEX('Paramètres'!$J:$J,MATCH($C2809,'Paramètres'!$D:$D,0))="",1,INDEX('Paramètres'!$J:$J,MATCH($C2809,'Paramètres'!$D:$D,0)))),2))</f>
        <v/>
      </c>
      <c r="L2809" s="6" t="str">
        <f>IF($D2809="","",IF($F2809&lt;&gt;"",$F2809,IF(ISNA(MATCH($D2809,'Paramètres'!$M:$M,0)),"⚠ Type inconnu",IFERROR(INDEX('Paramètres'!$P:$P,MATCH($D2809,'Paramètres'!$M:$M,0))&amp;"",""))))</f>
        <v/>
      </c>
      <c r="M2809" s="6" t="str">
        <f>IF($D2809="","",IF(ISNA(MATCH($D2809,'Paramètres'!$M:$M,0)),"⚠ Type inconnu",IF($L2809="Crédit","",IFERROR(INDEX('Paramètres'!$O:$O,MATCH($D2809,'Paramètres'!$M:$M,0))&amp;"",""))))</f>
        <v/>
      </c>
      <c r="N2809" s="6" t="str">
        <f>IF($D2809="","",IFERROR(INDEX('Paramètres'!$Q:$Q,MATCH($D2809,'Paramètres'!$M:$M,0))&amp;"",""))</f>
        <v/>
      </c>
      <c r="O2809" s="6" t="str">
        <f>IF($A2809="","",IF(OR($J2809&lt;&gt;"x",$A2809&lt;=FinReleve),1,0))</f>
        <v/>
      </c>
      <c r="P2809" s="6" t="str">
        <f>IF($D2809="","",IF(AND($L2809="Crédit",OR(IFERROR(INDEX('Paramètres'!$O:$O,MATCH($D2809,'Paramètres'!$M:$M,0))&amp;"","")&lt;&gt;"",ISNUMBER(SEARCH("remboursement",IFERROR(INDEX('Paramètres'!$N:$N,MATCH($D2809,'Paramètres'!$M:$M,0))&amp;"",""))))),1,0))</f>
        <v/>
      </c>
      <c r="Q2809" s="6" t="str">
        <f>IF($K2809="","",IF(ISNUMBER(SEARCH("transfert-interne",IFERROR(INDEX('Paramètres'!$N:$N,MATCH($D2809,'Paramètres'!$M:$M,0))&amp;"",""))),0,IF($L2809="Débit",$K2809,IF($P2809=1,-$K2809,0))))</f>
        <v/>
      </c>
      <c r="R2809" s="6" t="str">
        <f>IF($K2809="","",IF($L2809="Crédit",$K2809,-$K2809))</f>
        <v/>
      </c>
      <c r="S2809" s="6" t="str">
        <f>IF($C2809="","",IFERROR(INDEX('Paramètres'!$H:$H,MATCH($C2809,'Paramètres'!$D:$D,0))&amp;"",""))</f>
        <v/>
      </c>
      <c r="T2809" s="6" t="str">
        <f>IF($K2809="","",IF($S2809="",0,IF(ISNUMBER(SEARCH("apport-exterieur",IFERROR(INDEX('Paramètres'!$N:$N,MATCH($D2809,'Paramètres'!$M:$M,0))&amp;"",""))),0,IF(OR(IFERROR(INDEX('Paramètres'!$I:$I,MATCH($C2809,'Paramètres'!$D:$D,0))&amp;"","")="Les deux",IFERROR(INDEX('Paramètres'!$I:$I,MATCH($C2809,'Paramètres'!$D:$D,0))&amp;"","")=IF($P2809=1,"Débit",$L2809)),-IF($P2809=1,-$K2809,$K2809),0))))</f>
        <v/>
      </c>
      <c r="U2809" s="6" t="str">
        <f>IF($K2809="","",IF(ISNUMBER(SEARCH("sortie-epargne",IFERROR(INDEX('Paramètres'!$N:$N,MATCH($D2809,'Paramètres'!$M:$M,0))&amp;"",""))),$K2809,0))</f>
        <v/>
      </c>
      <c r="V2809" s="6" t="str">
        <f>IF(AND($A2809&lt;&gt;"",$O2809=1,$L2809="Débit",N($Q2809)&gt;0,$A2809&gt;=Visualisation!$B$1,$A2809&lt;Visualisation!$D$1),MAX($V$1:V2808)+1,"")</f>
        <v/>
      </c>
    </row>
    <row r="2810" spans="1:22" x14ac:dyDescent="0.25">
      <c r="A2810" s="9"/>
      <c r="E2810" s="10"/>
      <c r="K2810" s="11" t="str">
        <f>IF($E2810="","",ROUND($E2810*IF(ISNA(MATCH($C2810,'Paramètres'!$D:$D,0)),1,IF(INDEX('Paramètres'!$J:$J,MATCH($C2810,'Paramètres'!$D:$D,0))="",1,INDEX('Paramètres'!$J:$J,MATCH($C2810,'Paramètres'!$D:$D,0)))),2))</f>
        <v/>
      </c>
      <c r="L2810" s="6" t="str">
        <f>IF($D2810="","",IF($F2810&lt;&gt;"",$F2810,IF(ISNA(MATCH($D2810,'Paramètres'!$M:$M,0)),"⚠ Type inconnu",IFERROR(INDEX('Paramètres'!$P:$P,MATCH($D2810,'Paramètres'!$M:$M,0))&amp;"",""))))</f>
        <v/>
      </c>
      <c r="M2810" s="6" t="str">
        <f>IF($D2810="","",IF(ISNA(MATCH($D2810,'Paramètres'!$M:$M,0)),"⚠ Type inconnu",IF($L2810="Crédit","",IFERROR(INDEX('Paramètres'!$O:$O,MATCH($D2810,'Paramètres'!$M:$M,0))&amp;"",""))))</f>
        <v/>
      </c>
      <c r="N2810" s="6" t="str">
        <f>IF($D2810="","",IFERROR(INDEX('Paramètres'!$Q:$Q,MATCH($D2810,'Paramètres'!$M:$M,0))&amp;"",""))</f>
        <v/>
      </c>
      <c r="O2810" s="6" t="str">
        <f>IF($A2810="","",IF(OR($J2810&lt;&gt;"x",$A2810&lt;=FinReleve),1,0))</f>
        <v/>
      </c>
      <c r="P2810" s="6" t="str">
        <f>IF($D2810="","",IF(AND($L2810="Crédit",OR(IFERROR(INDEX('Paramètres'!$O:$O,MATCH($D2810,'Paramètres'!$M:$M,0))&amp;"","")&lt;&gt;"",ISNUMBER(SEARCH("remboursement",IFERROR(INDEX('Paramètres'!$N:$N,MATCH($D2810,'Paramètres'!$M:$M,0))&amp;"",""))))),1,0))</f>
        <v/>
      </c>
      <c r="Q2810" s="6" t="str">
        <f>IF($K2810="","",IF(ISNUMBER(SEARCH("transfert-interne",IFERROR(INDEX('Paramètres'!$N:$N,MATCH($D2810,'Paramètres'!$M:$M,0))&amp;"",""))),0,IF($L2810="Débit",$K2810,IF($P2810=1,-$K2810,0))))</f>
        <v/>
      </c>
      <c r="R2810" s="6" t="str">
        <f>IF($K2810="","",IF($L2810="Crédit",$K2810,-$K2810))</f>
        <v/>
      </c>
      <c r="S2810" s="6" t="str">
        <f>IF($C2810="","",IFERROR(INDEX('Paramètres'!$H:$H,MATCH($C2810,'Paramètres'!$D:$D,0))&amp;"",""))</f>
        <v/>
      </c>
      <c r="T2810" s="6" t="str">
        <f>IF($K2810="","",IF($S2810="",0,IF(ISNUMBER(SEARCH("apport-exterieur",IFERROR(INDEX('Paramètres'!$N:$N,MATCH($D2810,'Paramètres'!$M:$M,0))&amp;"",""))),0,IF(OR(IFERROR(INDEX('Paramètres'!$I:$I,MATCH($C2810,'Paramètres'!$D:$D,0))&amp;"","")="Les deux",IFERROR(INDEX('Paramètres'!$I:$I,MATCH($C2810,'Paramètres'!$D:$D,0))&amp;"","")=IF($P2810=1,"Débit",$L2810)),-IF($P2810=1,-$K2810,$K2810),0))))</f>
        <v/>
      </c>
      <c r="U2810" s="6" t="str">
        <f>IF($K2810="","",IF(ISNUMBER(SEARCH("sortie-epargne",IFERROR(INDEX('Paramètres'!$N:$N,MATCH($D2810,'Paramètres'!$M:$M,0))&amp;"",""))),$K2810,0))</f>
        <v/>
      </c>
      <c r="V2810" s="6" t="str">
        <f>IF(AND($A2810&lt;&gt;"",$O2810=1,$L2810="Débit",N($Q2810)&gt;0,$A2810&gt;=Visualisation!$B$1,$A2810&lt;Visualisation!$D$1),MAX($V$1:V2809)+1,"")</f>
        <v/>
      </c>
    </row>
    <row r="2811" spans="1:22" x14ac:dyDescent="0.25">
      <c r="A2811" s="9"/>
      <c r="E2811" s="10"/>
      <c r="K2811" s="11" t="str">
        <f>IF($E2811="","",ROUND($E2811*IF(ISNA(MATCH($C2811,'Paramètres'!$D:$D,0)),1,IF(INDEX('Paramètres'!$J:$J,MATCH($C2811,'Paramètres'!$D:$D,0))="",1,INDEX('Paramètres'!$J:$J,MATCH($C2811,'Paramètres'!$D:$D,0)))),2))</f>
        <v/>
      </c>
      <c r="L2811" s="6" t="str">
        <f>IF($D2811="","",IF($F2811&lt;&gt;"",$F2811,IF(ISNA(MATCH($D2811,'Paramètres'!$M:$M,0)),"⚠ Type inconnu",IFERROR(INDEX('Paramètres'!$P:$P,MATCH($D2811,'Paramètres'!$M:$M,0))&amp;"",""))))</f>
        <v/>
      </c>
      <c r="M2811" s="6" t="str">
        <f>IF($D2811="","",IF(ISNA(MATCH($D2811,'Paramètres'!$M:$M,0)),"⚠ Type inconnu",IF($L2811="Crédit","",IFERROR(INDEX('Paramètres'!$O:$O,MATCH($D2811,'Paramètres'!$M:$M,0))&amp;"",""))))</f>
        <v/>
      </c>
      <c r="N2811" s="6" t="str">
        <f>IF($D2811="","",IFERROR(INDEX('Paramètres'!$Q:$Q,MATCH($D2811,'Paramètres'!$M:$M,0))&amp;"",""))</f>
        <v/>
      </c>
      <c r="O2811" s="6" t="str">
        <f>IF($A2811="","",IF(OR($J2811&lt;&gt;"x",$A2811&lt;=FinReleve),1,0))</f>
        <v/>
      </c>
      <c r="P2811" s="6" t="str">
        <f>IF($D2811="","",IF(AND($L2811="Crédit",OR(IFERROR(INDEX('Paramètres'!$O:$O,MATCH($D2811,'Paramètres'!$M:$M,0))&amp;"","")&lt;&gt;"",ISNUMBER(SEARCH("remboursement",IFERROR(INDEX('Paramètres'!$N:$N,MATCH($D2811,'Paramètres'!$M:$M,0))&amp;"",""))))),1,0))</f>
        <v/>
      </c>
      <c r="Q2811" s="6" t="str">
        <f>IF($K2811="","",IF(ISNUMBER(SEARCH("transfert-interne",IFERROR(INDEX('Paramètres'!$N:$N,MATCH($D2811,'Paramètres'!$M:$M,0))&amp;"",""))),0,IF($L2811="Débit",$K2811,IF($P2811=1,-$K2811,0))))</f>
        <v/>
      </c>
      <c r="R2811" s="6" t="str">
        <f>IF($K2811="","",IF($L2811="Crédit",$K2811,-$K2811))</f>
        <v/>
      </c>
      <c r="S2811" s="6" t="str">
        <f>IF($C2811="","",IFERROR(INDEX('Paramètres'!$H:$H,MATCH($C2811,'Paramètres'!$D:$D,0))&amp;"",""))</f>
        <v/>
      </c>
      <c r="T2811" s="6" t="str">
        <f>IF($K2811="","",IF($S2811="",0,IF(ISNUMBER(SEARCH("apport-exterieur",IFERROR(INDEX('Paramètres'!$N:$N,MATCH($D2811,'Paramètres'!$M:$M,0))&amp;"",""))),0,IF(OR(IFERROR(INDEX('Paramètres'!$I:$I,MATCH($C2811,'Paramètres'!$D:$D,0))&amp;"","")="Les deux",IFERROR(INDEX('Paramètres'!$I:$I,MATCH($C2811,'Paramètres'!$D:$D,0))&amp;"","")=IF($P2811=1,"Débit",$L2811)),-IF($P2811=1,-$K2811,$K2811),0))))</f>
        <v/>
      </c>
      <c r="U2811" s="6" t="str">
        <f>IF($K2811="","",IF(ISNUMBER(SEARCH("sortie-epargne",IFERROR(INDEX('Paramètres'!$N:$N,MATCH($D2811,'Paramètres'!$M:$M,0))&amp;"",""))),$K2811,0))</f>
        <v/>
      </c>
      <c r="V2811" s="6" t="str">
        <f>IF(AND($A2811&lt;&gt;"",$O2811=1,$L2811="Débit",N($Q2811)&gt;0,$A2811&gt;=Visualisation!$B$1,$A2811&lt;Visualisation!$D$1),MAX($V$1:V2810)+1,"")</f>
        <v/>
      </c>
    </row>
    <row r="2812" spans="1:22" x14ac:dyDescent="0.25">
      <c r="A2812" s="9"/>
      <c r="E2812" s="10"/>
      <c r="K2812" s="11" t="str">
        <f>IF($E2812="","",ROUND($E2812*IF(ISNA(MATCH($C2812,'Paramètres'!$D:$D,0)),1,IF(INDEX('Paramètres'!$J:$J,MATCH($C2812,'Paramètres'!$D:$D,0))="",1,INDEX('Paramètres'!$J:$J,MATCH($C2812,'Paramètres'!$D:$D,0)))),2))</f>
        <v/>
      </c>
      <c r="L2812" s="6" t="str">
        <f>IF($D2812="","",IF($F2812&lt;&gt;"",$F2812,IF(ISNA(MATCH($D2812,'Paramètres'!$M:$M,0)),"⚠ Type inconnu",IFERROR(INDEX('Paramètres'!$P:$P,MATCH($D2812,'Paramètres'!$M:$M,0))&amp;"",""))))</f>
        <v/>
      </c>
      <c r="M2812" s="6" t="str">
        <f>IF($D2812="","",IF(ISNA(MATCH($D2812,'Paramètres'!$M:$M,0)),"⚠ Type inconnu",IF($L2812="Crédit","",IFERROR(INDEX('Paramètres'!$O:$O,MATCH($D2812,'Paramètres'!$M:$M,0))&amp;"",""))))</f>
        <v/>
      </c>
      <c r="N2812" s="6" t="str">
        <f>IF($D2812="","",IFERROR(INDEX('Paramètres'!$Q:$Q,MATCH($D2812,'Paramètres'!$M:$M,0))&amp;"",""))</f>
        <v/>
      </c>
      <c r="O2812" s="6" t="str">
        <f>IF($A2812="","",IF(OR($J2812&lt;&gt;"x",$A2812&lt;=FinReleve),1,0))</f>
        <v/>
      </c>
      <c r="P2812" s="6" t="str">
        <f>IF($D2812="","",IF(AND($L2812="Crédit",OR(IFERROR(INDEX('Paramètres'!$O:$O,MATCH($D2812,'Paramètres'!$M:$M,0))&amp;"","")&lt;&gt;"",ISNUMBER(SEARCH("remboursement",IFERROR(INDEX('Paramètres'!$N:$N,MATCH($D2812,'Paramètres'!$M:$M,0))&amp;"",""))))),1,0))</f>
        <v/>
      </c>
      <c r="Q2812" s="6" t="str">
        <f>IF($K2812="","",IF(ISNUMBER(SEARCH("transfert-interne",IFERROR(INDEX('Paramètres'!$N:$N,MATCH($D2812,'Paramètres'!$M:$M,0))&amp;"",""))),0,IF($L2812="Débit",$K2812,IF($P2812=1,-$K2812,0))))</f>
        <v/>
      </c>
      <c r="R2812" s="6" t="str">
        <f>IF($K2812="","",IF($L2812="Crédit",$K2812,-$K2812))</f>
        <v/>
      </c>
      <c r="S2812" s="6" t="str">
        <f>IF($C2812="","",IFERROR(INDEX('Paramètres'!$H:$H,MATCH($C2812,'Paramètres'!$D:$D,0))&amp;"",""))</f>
        <v/>
      </c>
      <c r="T2812" s="6" t="str">
        <f>IF($K2812="","",IF($S2812="",0,IF(ISNUMBER(SEARCH("apport-exterieur",IFERROR(INDEX('Paramètres'!$N:$N,MATCH($D2812,'Paramètres'!$M:$M,0))&amp;"",""))),0,IF(OR(IFERROR(INDEX('Paramètres'!$I:$I,MATCH($C2812,'Paramètres'!$D:$D,0))&amp;"","")="Les deux",IFERROR(INDEX('Paramètres'!$I:$I,MATCH($C2812,'Paramètres'!$D:$D,0))&amp;"","")=IF($P2812=1,"Débit",$L2812)),-IF($P2812=1,-$K2812,$K2812),0))))</f>
        <v/>
      </c>
      <c r="U2812" s="6" t="str">
        <f>IF($K2812="","",IF(ISNUMBER(SEARCH("sortie-epargne",IFERROR(INDEX('Paramètres'!$N:$N,MATCH($D2812,'Paramètres'!$M:$M,0))&amp;"",""))),$K2812,0))</f>
        <v/>
      </c>
      <c r="V2812" s="6" t="str">
        <f>IF(AND($A2812&lt;&gt;"",$O2812=1,$L2812="Débit",N($Q2812)&gt;0,$A2812&gt;=Visualisation!$B$1,$A2812&lt;Visualisation!$D$1),MAX($V$1:V2811)+1,"")</f>
        <v/>
      </c>
    </row>
    <row r="2813" spans="1:22" x14ac:dyDescent="0.25">
      <c r="A2813" s="9"/>
      <c r="E2813" s="10"/>
      <c r="K2813" s="11" t="str">
        <f>IF($E2813="","",ROUND($E2813*IF(ISNA(MATCH($C2813,'Paramètres'!$D:$D,0)),1,IF(INDEX('Paramètres'!$J:$J,MATCH($C2813,'Paramètres'!$D:$D,0))="",1,INDEX('Paramètres'!$J:$J,MATCH($C2813,'Paramètres'!$D:$D,0)))),2))</f>
        <v/>
      </c>
      <c r="L2813" s="6" t="str">
        <f>IF($D2813="","",IF($F2813&lt;&gt;"",$F2813,IF(ISNA(MATCH($D2813,'Paramètres'!$M:$M,0)),"⚠ Type inconnu",IFERROR(INDEX('Paramètres'!$P:$P,MATCH($D2813,'Paramètres'!$M:$M,0))&amp;"",""))))</f>
        <v/>
      </c>
      <c r="M2813" s="6" t="str">
        <f>IF($D2813="","",IF(ISNA(MATCH($D2813,'Paramètres'!$M:$M,0)),"⚠ Type inconnu",IF($L2813="Crédit","",IFERROR(INDEX('Paramètres'!$O:$O,MATCH($D2813,'Paramètres'!$M:$M,0))&amp;"",""))))</f>
        <v/>
      </c>
      <c r="N2813" s="6" t="str">
        <f>IF($D2813="","",IFERROR(INDEX('Paramètres'!$Q:$Q,MATCH($D2813,'Paramètres'!$M:$M,0))&amp;"",""))</f>
        <v/>
      </c>
      <c r="O2813" s="6" t="str">
        <f>IF($A2813="","",IF(OR($J2813&lt;&gt;"x",$A2813&lt;=FinReleve),1,0))</f>
        <v/>
      </c>
      <c r="P2813" s="6" t="str">
        <f>IF($D2813="","",IF(AND($L2813="Crédit",OR(IFERROR(INDEX('Paramètres'!$O:$O,MATCH($D2813,'Paramètres'!$M:$M,0))&amp;"","")&lt;&gt;"",ISNUMBER(SEARCH("remboursement",IFERROR(INDEX('Paramètres'!$N:$N,MATCH($D2813,'Paramètres'!$M:$M,0))&amp;"",""))))),1,0))</f>
        <v/>
      </c>
      <c r="Q2813" s="6" t="str">
        <f>IF($K2813="","",IF(ISNUMBER(SEARCH("transfert-interne",IFERROR(INDEX('Paramètres'!$N:$N,MATCH($D2813,'Paramètres'!$M:$M,0))&amp;"",""))),0,IF($L2813="Débit",$K2813,IF($P2813=1,-$K2813,0))))</f>
        <v/>
      </c>
      <c r="R2813" s="6" t="str">
        <f>IF($K2813="","",IF($L2813="Crédit",$K2813,-$K2813))</f>
        <v/>
      </c>
      <c r="S2813" s="6" t="str">
        <f>IF($C2813="","",IFERROR(INDEX('Paramètres'!$H:$H,MATCH($C2813,'Paramètres'!$D:$D,0))&amp;"",""))</f>
        <v/>
      </c>
      <c r="T2813" s="6" t="str">
        <f>IF($K2813="","",IF($S2813="",0,IF(ISNUMBER(SEARCH("apport-exterieur",IFERROR(INDEX('Paramètres'!$N:$N,MATCH($D2813,'Paramètres'!$M:$M,0))&amp;"",""))),0,IF(OR(IFERROR(INDEX('Paramètres'!$I:$I,MATCH($C2813,'Paramètres'!$D:$D,0))&amp;"","")="Les deux",IFERROR(INDEX('Paramètres'!$I:$I,MATCH($C2813,'Paramètres'!$D:$D,0))&amp;"","")=IF($P2813=1,"Débit",$L2813)),-IF($P2813=1,-$K2813,$K2813),0))))</f>
        <v/>
      </c>
      <c r="U2813" s="6" t="str">
        <f>IF($K2813="","",IF(ISNUMBER(SEARCH("sortie-epargne",IFERROR(INDEX('Paramètres'!$N:$N,MATCH($D2813,'Paramètres'!$M:$M,0))&amp;"",""))),$K2813,0))</f>
        <v/>
      </c>
      <c r="V2813" s="6" t="str">
        <f>IF(AND($A2813&lt;&gt;"",$O2813=1,$L2813="Débit",N($Q2813)&gt;0,$A2813&gt;=Visualisation!$B$1,$A2813&lt;Visualisation!$D$1),MAX($V$1:V2812)+1,"")</f>
        <v/>
      </c>
    </row>
    <row r="2814" spans="1:22" x14ac:dyDescent="0.25">
      <c r="A2814" s="9"/>
      <c r="E2814" s="10"/>
      <c r="K2814" s="11" t="str">
        <f>IF($E2814="","",ROUND($E2814*IF(ISNA(MATCH($C2814,'Paramètres'!$D:$D,0)),1,IF(INDEX('Paramètres'!$J:$J,MATCH($C2814,'Paramètres'!$D:$D,0))="",1,INDEX('Paramètres'!$J:$J,MATCH($C2814,'Paramètres'!$D:$D,0)))),2))</f>
        <v/>
      </c>
      <c r="L2814" s="6" t="str">
        <f>IF($D2814="","",IF($F2814&lt;&gt;"",$F2814,IF(ISNA(MATCH($D2814,'Paramètres'!$M:$M,0)),"⚠ Type inconnu",IFERROR(INDEX('Paramètres'!$P:$P,MATCH($D2814,'Paramètres'!$M:$M,0))&amp;"",""))))</f>
        <v/>
      </c>
      <c r="M2814" s="6" t="str">
        <f>IF($D2814="","",IF(ISNA(MATCH($D2814,'Paramètres'!$M:$M,0)),"⚠ Type inconnu",IF($L2814="Crédit","",IFERROR(INDEX('Paramètres'!$O:$O,MATCH($D2814,'Paramètres'!$M:$M,0))&amp;"",""))))</f>
        <v/>
      </c>
      <c r="N2814" s="6" t="str">
        <f>IF($D2814="","",IFERROR(INDEX('Paramètres'!$Q:$Q,MATCH($D2814,'Paramètres'!$M:$M,0))&amp;"",""))</f>
        <v/>
      </c>
      <c r="O2814" s="6" t="str">
        <f>IF($A2814="","",IF(OR($J2814&lt;&gt;"x",$A2814&lt;=FinReleve),1,0))</f>
        <v/>
      </c>
      <c r="P2814" s="6" t="str">
        <f>IF($D2814="","",IF(AND($L2814="Crédit",OR(IFERROR(INDEX('Paramètres'!$O:$O,MATCH($D2814,'Paramètres'!$M:$M,0))&amp;"","")&lt;&gt;"",ISNUMBER(SEARCH("remboursement",IFERROR(INDEX('Paramètres'!$N:$N,MATCH($D2814,'Paramètres'!$M:$M,0))&amp;"",""))))),1,0))</f>
        <v/>
      </c>
      <c r="Q2814" s="6" t="str">
        <f>IF($K2814="","",IF(ISNUMBER(SEARCH("transfert-interne",IFERROR(INDEX('Paramètres'!$N:$N,MATCH($D2814,'Paramètres'!$M:$M,0))&amp;"",""))),0,IF($L2814="Débit",$K2814,IF($P2814=1,-$K2814,0))))</f>
        <v/>
      </c>
      <c r="R2814" s="6" t="str">
        <f>IF($K2814="","",IF($L2814="Crédit",$K2814,-$K2814))</f>
        <v/>
      </c>
      <c r="S2814" s="6" t="str">
        <f>IF($C2814="","",IFERROR(INDEX('Paramètres'!$H:$H,MATCH($C2814,'Paramètres'!$D:$D,0))&amp;"",""))</f>
        <v/>
      </c>
      <c r="T2814" s="6" t="str">
        <f>IF($K2814="","",IF($S2814="",0,IF(ISNUMBER(SEARCH("apport-exterieur",IFERROR(INDEX('Paramètres'!$N:$N,MATCH($D2814,'Paramètres'!$M:$M,0))&amp;"",""))),0,IF(OR(IFERROR(INDEX('Paramètres'!$I:$I,MATCH($C2814,'Paramètres'!$D:$D,0))&amp;"","")="Les deux",IFERROR(INDEX('Paramètres'!$I:$I,MATCH($C2814,'Paramètres'!$D:$D,0))&amp;"","")=IF($P2814=1,"Débit",$L2814)),-IF($P2814=1,-$K2814,$K2814),0))))</f>
        <v/>
      </c>
      <c r="U2814" s="6" t="str">
        <f>IF($K2814="","",IF(ISNUMBER(SEARCH("sortie-epargne",IFERROR(INDEX('Paramètres'!$N:$N,MATCH($D2814,'Paramètres'!$M:$M,0))&amp;"",""))),$K2814,0))</f>
        <v/>
      </c>
      <c r="V2814" s="6" t="str">
        <f>IF(AND($A2814&lt;&gt;"",$O2814=1,$L2814="Débit",N($Q2814)&gt;0,$A2814&gt;=Visualisation!$B$1,$A2814&lt;Visualisation!$D$1),MAX($V$1:V2813)+1,"")</f>
        <v/>
      </c>
    </row>
    <row r="2815" spans="1:22" x14ac:dyDescent="0.25">
      <c r="A2815" s="9"/>
      <c r="E2815" s="10"/>
      <c r="K2815" s="11" t="str">
        <f>IF($E2815="","",ROUND($E2815*IF(ISNA(MATCH($C2815,'Paramètres'!$D:$D,0)),1,IF(INDEX('Paramètres'!$J:$J,MATCH($C2815,'Paramètres'!$D:$D,0))="",1,INDEX('Paramètres'!$J:$J,MATCH($C2815,'Paramètres'!$D:$D,0)))),2))</f>
        <v/>
      </c>
      <c r="L2815" s="6" t="str">
        <f>IF($D2815="","",IF($F2815&lt;&gt;"",$F2815,IF(ISNA(MATCH($D2815,'Paramètres'!$M:$M,0)),"⚠ Type inconnu",IFERROR(INDEX('Paramètres'!$P:$P,MATCH($D2815,'Paramètres'!$M:$M,0))&amp;"",""))))</f>
        <v/>
      </c>
      <c r="M2815" s="6" t="str">
        <f>IF($D2815="","",IF(ISNA(MATCH($D2815,'Paramètres'!$M:$M,0)),"⚠ Type inconnu",IF($L2815="Crédit","",IFERROR(INDEX('Paramètres'!$O:$O,MATCH($D2815,'Paramètres'!$M:$M,0))&amp;"",""))))</f>
        <v/>
      </c>
      <c r="N2815" s="6" t="str">
        <f>IF($D2815="","",IFERROR(INDEX('Paramètres'!$Q:$Q,MATCH($D2815,'Paramètres'!$M:$M,0))&amp;"",""))</f>
        <v/>
      </c>
      <c r="O2815" s="6" t="str">
        <f>IF($A2815="","",IF(OR($J2815&lt;&gt;"x",$A2815&lt;=FinReleve),1,0))</f>
        <v/>
      </c>
      <c r="P2815" s="6" t="str">
        <f>IF($D2815="","",IF(AND($L2815="Crédit",OR(IFERROR(INDEX('Paramètres'!$O:$O,MATCH($D2815,'Paramètres'!$M:$M,0))&amp;"","")&lt;&gt;"",ISNUMBER(SEARCH("remboursement",IFERROR(INDEX('Paramètres'!$N:$N,MATCH($D2815,'Paramètres'!$M:$M,0))&amp;"",""))))),1,0))</f>
        <v/>
      </c>
      <c r="Q2815" s="6" t="str">
        <f>IF($K2815="","",IF(ISNUMBER(SEARCH("transfert-interne",IFERROR(INDEX('Paramètres'!$N:$N,MATCH($D2815,'Paramètres'!$M:$M,0))&amp;"",""))),0,IF($L2815="Débit",$K2815,IF($P2815=1,-$K2815,0))))</f>
        <v/>
      </c>
      <c r="R2815" s="6" t="str">
        <f>IF($K2815="","",IF($L2815="Crédit",$K2815,-$K2815))</f>
        <v/>
      </c>
      <c r="S2815" s="6" t="str">
        <f>IF($C2815="","",IFERROR(INDEX('Paramètres'!$H:$H,MATCH($C2815,'Paramètres'!$D:$D,0))&amp;"",""))</f>
        <v/>
      </c>
      <c r="T2815" s="6" t="str">
        <f>IF($K2815="","",IF($S2815="",0,IF(ISNUMBER(SEARCH("apport-exterieur",IFERROR(INDEX('Paramètres'!$N:$N,MATCH($D2815,'Paramètres'!$M:$M,0))&amp;"",""))),0,IF(OR(IFERROR(INDEX('Paramètres'!$I:$I,MATCH($C2815,'Paramètres'!$D:$D,0))&amp;"","")="Les deux",IFERROR(INDEX('Paramètres'!$I:$I,MATCH($C2815,'Paramètres'!$D:$D,0))&amp;"","")=IF($P2815=1,"Débit",$L2815)),-IF($P2815=1,-$K2815,$K2815),0))))</f>
        <v/>
      </c>
      <c r="U2815" s="6" t="str">
        <f>IF($K2815="","",IF(ISNUMBER(SEARCH("sortie-epargne",IFERROR(INDEX('Paramètres'!$N:$N,MATCH($D2815,'Paramètres'!$M:$M,0))&amp;"",""))),$K2815,0))</f>
        <v/>
      </c>
      <c r="V2815" s="6" t="str">
        <f>IF(AND($A2815&lt;&gt;"",$O2815=1,$L2815="Débit",N($Q2815)&gt;0,$A2815&gt;=Visualisation!$B$1,$A2815&lt;Visualisation!$D$1),MAX($V$1:V2814)+1,"")</f>
        <v/>
      </c>
    </row>
    <row r="2816" spans="1:22" x14ac:dyDescent="0.25">
      <c r="A2816" s="9"/>
      <c r="E2816" s="10"/>
      <c r="K2816" s="11" t="str">
        <f>IF($E2816="","",ROUND($E2816*IF(ISNA(MATCH($C2816,'Paramètres'!$D:$D,0)),1,IF(INDEX('Paramètres'!$J:$J,MATCH($C2816,'Paramètres'!$D:$D,0))="",1,INDEX('Paramètres'!$J:$J,MATCH($C2816,'Paramètres'!$D:$D,0)))),2))</f>
        <v/>
      </c>
      <c r="L2816" s="6" t="str">
        <f>IF($D2816="","",IF($F2816&lt;&gt;"",$F2816,IF(ISNA(MATCH($D2816,'Paramètres'!$M:$M,0)),"⚠ Type inconnu",IFERROR(INDEX('Paramètres'!$P:$P,MATCH($D2816,'Paramètres'!$M:$M,0))&amp;"",""))))</f>
        <v/>
      </c>
      <c r="M2816" s="6" t="str">
        <f>IF($D2816="","",IF(ISNA(MATCH($D2816,'Paramètres'!$M:$M,0)),"⚠ Type inconnu",IF($L2816="Crédit","",IFERROR(INDEX('Paramètres'!$O:$O,MATCH($D2816,'Paramètres'!$M:$M,0))&amp;"",""))))</f>
        <v/>
      </c>
      <c r="N2816" s="6" t="str">
        <f>IF($D2816="","",IFERROR(INDEX('Paramètres'!$Q:$Q,MATCH($D2816,'Paramètres'!$M:$M,0))&amp;"",""))</f>
        <v/>
      </c>
      <c r="O2816" s="6" t="str">
        <f>IF($A2816="","",IF(OR($J2816&lt;&gt;"x",$A2816&lt;=FinReleve),1,0))</f>
        <v/>
      </c>
      <c r="P2816" s="6" t="str">
        <f>IF($D2816="","",IF(AND($L2816="Crédit",OR(IFERROR(INDEX('Paramètres'!$O:$O,MATCH($D2816,'Paramètres'!$M:$M,0))&amp;"","")&lt;&gt;"",ISNUMBER(SEARCH("remboursement",IFERROR(INDEX('Paramètres'!$N:$N,MATCH($D2816,'Paramètres'!$M:$M,0))&amp;"",""))))),1,0))</f>
        <v/>
      </c>
      <c r="Q2816" s="6" t="str">
        <f>IF($K2816="","",IF(ISNUMBER(SEARCH("transfert-interne",IFERROR(INDEX('Paramètres'!$N:$N,MATCH($D2816,'Paramètres'!$M:$M,0))&amp;"",""))),0,IF($L2816="Débit",$K2816,IF($P2816=1,-$K2816,0))))</f>
        <v/>
      </c>
      <c r="R2816" s="6" t="str">
        <f>IF($K2816="","",IF($L2816="Crédit",$K2816,-$K2816))</f>
        <v/>
      </c>
      <c r="S2816" s="6" t="str">
        <f>IF($C2816="","",IFERROR(INDEX('Paramètres'!$H:$H,MATCH($C2816,'Paramètres'!$D:$D,0))&amp;"",""))</f>
        <v/>
      </c>
      <c r="T2816" s="6" t="str">
        <f>IF($K2816="","",IF($S2816="",0,IF(ISNUMBER(SEARCH("apport-exterieur",IFERROR(INDEX('Paramètres'!$N:$N,MATCH($D2816,'Paramètres'!$M:$M,0))&amp;"",""))),0,IF(OR(IFERROR(INDEX('Paramètres'!$I:$I,MATCH($C2816,'Paramètres'!$D:$D,0))&amp;"","")="Les deux",IFERROR(INDEX('Paramètres'!$I:$I,MATCH($C2816,'Paramètres'!$D:$D,0))&amp;"","")=IF($P2816=1,"Débit",$L2816)),-IF($P2816=1,-$K2816,$K2816),0))))</f>
        <v/>
      </c>
      <c r="U2816" s="6" t="str">
        <f>IF($K2816="","",IF(ISNUMBER(SEARCH("sortie-epargne",IFERROR(INDEX('Paramètres'!$N:$N,MATCH($D2816,'Paramètres'!$M:$M,0))&amp;"",""))),$K2816,0))</f>
        <v/>
      </c>
      <c r="V2816" s="6" t="str">
        <f>IF(AND($A2816&lt;&gt;"",$O2816=1,$L2816="Débit",N($Q2816)&gt;0,$A2816&gt;=Visualisation!$B$1,$A2816&lt;Visualisation!$D$1),MAX($V$1:V2815)+1,"")</f>
        <v/>
      </c>
    </row>
    <row r="2817" spans="1:22" x14ac:dyDescent="0.25">
      <c r="A2817" s="9"/>
      <c r="E2817" s="10"/>
      <c r="K2817" s="11" t="str">
        <f>IF($E2817="","",ROUND($E2817*IF(ISNA(MATCH($C2817,'Paramètres'!$D:$D,0)),1,IF(INDEX('Paramètres'!$J:$J,MATCH($C2817,'Paramètres'!$D:$D,0))="",1,INDEX('Paramètres'!$J:$J,MATCH($C2817,'Paramètres'!$D:$D,0)))),2))</f>
        <v/>
      </c>
      <c r="L2817" s="6" t="str">
        <f>IF($D2817="","",IF($F2817&lt;&gt;"",$F2817,IF(ISNA(MATCH($D2817,'Paramètres'!$M:$M,0)),"⚠ Type inconnu",IFERROR(INDEX('Paramètres'!$P:$P,MATCH($D2817,'Paramètres'!$M:$M,0))&amp;"",""))))</f>
        <v/>
      </c>
      <c r="M2817" s="6" t="str">
        <f>IF($D2817="","",IF(ISNA(MATCH($D2817,'Paramètres'!$M:$M,0)),"⚠ Type inconnu",IF($L2817="Crédit","",IFERROR(INDEX('Paramètres'!$O:$O,MATCH($D2817,'Paramètres'!$M:$M,0))&amp;"",""))))</f>
        <v/>
      </c>
      <c r="N2817" s="6" t="str">
        <f>IF($D2817="","",IFERROR(INDEX('Paramètres'!$Q:$Q,MATCH($D2817,'Paramètres'!$M:$M,0))&amp;"",""))</f>
        <v/>
      </c>
      <c r="O2817" s="6" t="str">
        <f>IF($A2817="","",IF(OR($J2817&lt;&gt;"x",$A2817&lt;=FinReleve),1,0))</f>
        <v/>
      </c>
      <c r="P2817" s="6" t="str">
        <f>IF($D2817="","",IF(AND($L2817="Crédit",OR(IFERROR(INDEX('Paramètres'!$O:$O,MATCH($D2817,'Paramètres'!$M:$M,0))&amp;"","")&lt;&gt;"",ISNUMBER(SEARCH("remboursement",IFERROR(INDEX('Paramètres'!$N:$N,MATCH($D2817,'Paramètres'!$M:$M,0))&amp;"",""))))),1,0))</f>
        <v/>
      </c>
      <c r="Q2817" s="6" t="str">
        <f>IF($K2817="","",IF(ISNUMBER(SEARCH("transfert-interne",IFERROR(INDEX('Paramètres'!$N:$N,MATCH($D2817,'Paramètres'!$M:$M,0))&amp;"",""))),0,IF($L2817="Débit",$K2817,IF($P2817=1,-$K2817,0))))</f>
        <v/>
      </c>
      <c r="R2817" s="6" t="str">
        <f>IF($K2817="","",IF($L2817="Crédit",$K2817,-$K2817))</f>
        <v/>
      </c>
      <c r="S2817" s="6" t="str">
        <f>IF($C2817="","",IFERROR(INDEX('Paramètres'!$H:$H,MATCH($C2817,'Paramètres'!$D:$D,0))&amp;"",""))</f>
        <v/>
      </c>
      <c r="T2817" s="6" t="str">
        <f>IF($K2817="","",IF($S2817="",0,IF(ISNUMBER(SEARCH("apport-exterieur",IFERROR(INDEX('Paramètres'!$N:$N,MATCH($D2817,'Paramètres'!$M:$M,0))&amp;"",""))),0,IF(OR(IFERROR(INDEX('Paramètres'!$I:$I,MATCH($C2817,'Paramètres'!$D:$D,0))&amp;"","")="Les deux",IFERROR(INDEX('Paramètres'!$I:$I,MATCH($C2817,'Paramètres'!$D:$D,0))&amp;"","")=IF($P2817=1,"Débit",$L2817)),-IF($P2817=1,-$K2817,$K2817),0))))</f>
        <v/>
      </c>
      <c r="U2817" s="6" t="str">
        <f>IF($K2817="","",IF(ISNUMBER(SEARCH("sortie-epargne",IFERROR(INDEX('Paramètres'!$N:$N,MATCH($D2817,'Paramètres'!$M:$M,0))&amp;"",""))),$K2817,0))</f>
        <v/>
      </c>
      <c r="V2817" s="6" t="str">
        <f>IF(AND($A2817&lt;&gt;"",$O2817=1,$L2817="Débit",N($Q2817)&gt;0,$A2817&gt;=Visualisation!$B$1,$A2817&lt;Visualisation!$D$1),MAX($V$1:V2816)+1,"")</f>
        <v/>
      </c>
    </row>
    <row r="2818" spans="1:22" x14ac:dyDescent="0.25">
      <c r="A2818" s="9"/>
      <c r="E2818" s="10"/>
      <c r="K2818" s="11" t="str">
        <f>IF($E2818="","",ROUND($E2818*IF(ISNA(MATCH($C2818,'Paramètres'!$D:$D,0)),1,IF(INDEX('Paramètres'!$J:$J,MATCH($C2818,'Paramètres'!$D:$D,0))="",1,INDEX('Paramètres'!$J:$J,MATCH($C2818,'Paramètres'!$D:$D,0)))),2))</f>
        <v/>
      </c>
      <c r="L2818" s="6" t="str">
        <f>IF($D2818="","",IF($F2818&lt;&gt;"",$F2818,IF(ISNA(MATCH($D2818,'Paramètres'!$M:$M,0)),"⚠ Type inconnu",IFERROR(INDEX('Paramètres'!$P:$P,MATCH($D2818,'Paramètres'!$M:$M,0))&amp;"",""))))</f>
        <v/>
      </c>
      <c r="M2818" s="6" t="str">
        <f>IF($D2818="","",IF(ISNA(MATCH($D2818,'Paramètres'!$M:$M,0)),"⚠ Type inconnu",IF($L2818="Crédit","",IFERROR(INDEX('Paramètres'!$O:$O,MATCH($D2818,'Paramètres'!$M:$M,0))&amp;"",""))))</f>
        <v/>
      </c>
      <c r="N2818" s="6" t="str">
        <f>IF($D2818="","",IFERROR(INDEX('Paramètres'!$Q:$Q,MATCH($D2818,'Paramètres'!$M:$M,0))&amp;"",""))</f>
        <v/>
      </c>
      <c r="O2818" s="6" t="str">
        <f>IF($A2818="","",IF(OR($J2818&lt;&gt;"x",$A2818&lt;=FinReleve),1,0))</f>
        <v/>
      </c>
      <c r="P2818" s="6" t="str">
        <f>IF($D2818="","",IF(AND($L2818="Crédit",OR(IFERROR(INDEX('Paramètres'!$O:$O,MATCH($D2818,'Paramètres'!$M:$M,0))&amp;"","")&lt;&gt;"",ISNUMBER(SEARCH("remboursement",IFERROR(INDEX('Paramètres'!$N:$N,MATCH($D2818,'Paramètres'!$M:$M,0))&amp;"",""))))),1,0))</f>
        <v/>
      </c>
      <c r="Q2818" s="6" t="str">
        <f>IF($K2818="","",IF(ISNUMBER(SEARCH("transfert-interne",IFERROR(INDEX('Paramètres'!$N:$N,MATCH($D2818,'Paramètres'!$M:$M,0))&amp;"",""))),0,IF($L2818="Débit",$K2818,IF($P2818=1,-$K2818,0))))</f>
        <v/>
      </c>
      <c r="R2818" s="6" t="str">
        <f>IF($K2818="","",IF($L2818="Crédit",$K2818,-$K2818))</f>
        <v/>
      </c>
      <c r="S2818" s="6" t="str">
        <f>IF($C2818="","",IFERROR(INDEX('Paramètres'!$H:$H,MATCH($C2818,'Paramètres'!$D:$D,0))&amp;"",""))</f>
        <v/>
      </c>
      <c r="T2818" s="6" t="str">
        <f>IF($K2818="","",IF($S2818="",0,IF(ISNUMBER(SEARCH("apport-exterieur",IFERROR(INDEX('Paramètres'!$N:$N,MATCH($D2818,'Paramètres'!$M:$M,0))&amp;"",""))),0,IF(OR(IFERROR(INDEX('Paramètres'!$I:$I,MATCH($C2818,'Paramètres'!$D:$D,0))&amp;"","")="Les deux",IFERROR(INDEX('Paramètres'!$I:$I,MATCH($C2818,'Paramètres'!$D:$D,0))&amp;"","")=IF($P2818=1,"Débit",$L2818)),-IF($P2818=1,-$K2818,$K2818),0))))</f>
        <v/>
      </c>
      <c r="U2818" s="6" t="str">
        <f>IF($K2818="","",IF(ISNUMBER(SEARCH("sortie-epargne",IFERROR(INDEX('Paramètres'!$N:$N,MATCH($D2818,'Paramètres'!$M:$M,0))&amp;"",""))),$K2818,0))</f>
        <v/>
      </c>
      <c r="V2818" s="6" t="str">
        <f>IF(AND($A2818&lt;&gt;"",$O2818=1,$L2818="Débit",N($Q2818)&gt;0,$A2818&gt;=Visualisation!$B$1,$A2818&lt;Visualisation!$D$1),MAX($V$1:V2817)+1,"")</f>
        <v/>
      </c>
    </row>
    <row r="2819" spans="1:22" x14ac:dyDescent="0.25">
      <c r="A2819" s="9"/>
      <c r="E2819" s="10"/>
      <c r="K2819" s="11" t="str">
        <f>IF($E2819="","",ROUND($E2819*IF(ISNA(MATCH($C2819,'Paramètres'!$D:$D,0)),1,IF(INDEX('Paramètres'!$J:$J,MATCH($C2819,'Paramètres'!$D:$D,0))="",1,INDEX('Paramètres'!$J:$J,MATCH($C2819,'Paramètres'!$D:$D,0)))),2))</f>
        <v/>
      </c>
      <c r="L2819" s="6" t="str">
        <f>IF($D2819="","",IF($F2819&lt;&gt;"",$F2819,IF(ISNA(MATCH($D2819,'Paramètres'!$M:$M,0)),"⚠ Type inconnu",IFERROR(INDEX('Paramètres'!$P:$P,MATCH($D2819,'Paramètres'!$M:$M,0))&amp;"",""))))</f>
        <v/>
      </c>
      <c r="M2819" s="6" t="str">
        <f>IF($D2819="","",IF(ISNA(MATCH($D2819,'Paramètres'!$M:$M,0)),"⚠ Type inconnu",IF($L2819="Crédit","",IFERROR(INDEX('Paramètres'!$O:$O,MATCH($D2819,'Paramètres'!$M:$M,0))&amp;"",""))))</f>
        <v/>
      </c>
      <c r="N2819" s="6" t="str">
        <f>IF($D2819="","",IFERROR(INDEX('Paramètres'!$Q:$Q,MATCH($D2819,'Paramètres'!$M:$M,0))&amp;"",""))</f>
        <v/>
      </c>
      <c r="O2819" s="6" t="str">
        <f>IF($A2819="","",IF(OR($J2819&lt;&gt;"x",$A2819&lt;=FinReleve),1,0))</f>
        <v/>
      </c>
      <c r="P2819" s="6" t="str">
        <f>IF($D2819="","",IF(AND($L2819="Crédit",OR(IFERROR(INDEX('Paramètres'!$O:$O,MATCH($D2819,'Paramètres'!$M:$M,0))&amp;"","")&lt;&gt;"",ISNUMBER(SEARCH("remboursement",IFERROR(INDEX('Paramètres'!$N:$N,MATCH($D2819,'Paramètres'!$M:$M,0))&amp;"",""))))),1,0))</f>
        <v/>
      </c>
      <c r="Q2819" s="6" t="str">
        <f>IF($K2819="","",IF(ISNUMBER(SEARCH("transfert-interne",IFERROR(INDEX('Paramètres'!$N:$N,MATCH($D2819,'Paramètres'!$M:$M,0))&amp;"",""))),0,IF($L2819="Débit",$K2819,IF($P2819=1,-$K2819,0))))</f>
        <v/>
      </c>
      <c r="R2819" s="6" t="str">
        <f>IF($K2819="","",IF($L2819="Crédit",$K2819,-$K2819))</f>
        <v/>
      </c>
      <c r="S2819" s="6" t="str">
        <f>IF($C2819="","",IFERROR(INDEX('Paramètres'!$H:$H,MATCH($C2819,'Paramètres'!$D:$D,0))&amp;"",""))</f>
        <v/>
      </c>
      <c r="T2819" s="6" t="str">
        <f>IF($K2819="","",IF($S2819="",0,IF(ISNUMBER(SEARCH("apport-exterieur",IFERROR(INDEX('Paramètres'!$N:$N,MATCH($D2819,'Paramètres'!$M:$M,0))&amp;"",""))),0,IF(OR(IFERROR(INDEX('Paramètres'!$I:$I,MATCH($C2819,'Paramètres'!$D:$D,0))&amp;"","")="Les deux",IFERROR(INDEX('Paramètres'!$I:$I,MATCH($C2819,'Paramètres'!$D:$D,0))&amp;"","")=IF($P2819=1,"Débit",$L2819)),-IF($P2819=1,-$K2819,$K2819),0))))</f>
        <v/>
      </c>
      <c r="U2819" s="6" t="str">
        <f>IF($K2819="","",IF(ISNUMBER(SEARCH("sortie-epargne",IFERROR(INDEX('Paramètres'!$N:$N,MATCH($D2819,'Paramètres'!$M:$M,0))&amp;"",""))),$K2819,0))</f>
        <v/>
      </c>
      <c r="V2819" s="6" t="str">
        <f>IF(AND($A2819&lt;&gt;"",$O2819=1,$L2819="Débit",N($Q2819)&gt;0,$A2819&gt;=Visualisation!$B$1,$A2819&lt;Visualisation!$D$1),MAX($V$1:V2818)+1,"")</f>
        <v/>
      </c>
    </row>
    <row r="2820" spans="1:22" x14ac:dyDescent="0.25">
      <c r="A2820" s="9"/>
      <c r="E2820" s="10"/>
      <c r="K2820" s="11" t="str">
        <f>IF($E2820="","",ROUND($E2820*IF(ISNA(MATCH($C2820,'Paramètres'!$D:$D,0)),1,IF(INDEX('Paramètres'!$J:$J,MATCH($C2820,'Paramètres'!$D:$D,0))="",1,INDEX('Paramètres'!$J:$J,MATCH($C2820,'Paramètres'!$D:$D,0)))),2))</f>
        <v/>
      </c>
      <c r="L2820" s="6" t="str">
        <f>IF($D2820="","",IF($F2820&lt;&gt;"",$F2820,IF(ISNA(MATCH($D2820,'Paramètres'!$M:$M,0)),"⚠ Type inconnu",IFERROR(INDEX('Paramètres'!$P:$P,MATCH($D2820,'Paramètres'!$M:$M,0))&amp;"",""))))</f>
        <v/>
      </c>
      <c r="M2820" s="6" t="str">
        <f>IF($D2820="","",IF(ISNA(MATCH($D2820,'Paramètres'!$M:$M,0)),"⚠ Type inconnu",IF($L2820="Crédit","",IFERROR(INDEX('Paramètres'!$O:$O,MATCH($D2820,'Paramètres'!$M:$M,0))&amp;"",""))))</f>
        <v/>
      </c>
      <c r="N2820" s="6" t="str">
        <f>IF($D2820="","",IFERROR(INDEX('Paramètres'!$Q:$Q,MATCH($D2820,'Paramètres'!$M:$M,0))&amp;"",""))</f>
        <v/>
      </c>
      <c r="O2820" s="6" t="str">
        <f>IF($A2820="","",IF(OR($J2820&lt;&gt;"x",$A2820&lt;=FinReleve),1,0))</f>
        <v/>
      </c>
      <c r="P2820" s="6" t="str">
        <f>IF($D2820="","",IF(AND($L2820="Crédit",OR(IFERROR(INDEX('Paramètres'!$O:$O,MATCH($D2820,'Paramètres'!$M:$M,0))&amp;"","")&lt;&gt;"",ISNUMBER(SEARCH("remboursement",IFERROR(INDEX('Paramètres'!$N:$N,MATCH($D2820,'Paramètres'!$M:$M,0))&amp;"",""))))),1,0))</f>
        <v/>
      </c>
      <c r="Q2820" s="6" t="str">
        <f>IF($K2820="","",IF(ISNUMBER(SEARCH("transfert-interne",IFERROR(INDEX('Paramètres'!$N:$N,MATCH($D2820,'Paramètres'!$M:$M,0))&amp;"",""))),0,IF($L2820="Débit",$K2820,IF($P2820=1,-$K2820,0))))</f>
        <v/>
      </c>
      <c r="R2820" s="6" t="str">
        <f>IF($K2820="","",IF($L2820="Crédit",$K2820,-$K2820))</f>
        <v/>
      </c>
      <c r="S2820" s="6" t="str">
        <f>IF($C2820="","",IFERROR(INDEX('Paramètres'!$H:$H,MATCH($C2820,'Paramètres'!$D:$D,0))&amp;"",""))</f>
        <v/>
      </c>
      <c r="T2820" s="6" t="str">
        <f>IF($K2820="","",IF($S2820="",0,IF(ISNUMBER(SEARCH("apport-exterieur",IFERROR(INDEX('Paramètres'!$N:$N,MATCH($D2820,'Paramètres'!$M:$M,0))&amp;"",""))),0,IF(OR(IFERROR(INDEX('Paramètres'!$I:$I,MATCH($C2820,'Paramètres'!$D:$D,0))&amp;"","")="Les deux",IFERROR(INDEX('Paramètres'!$I:$I,MATCH($C2820,'Paramètres'!$D:$D,0))&amp;"","")=IF($P2820=1,"Débit",$L2820)),-IF($P2820=1,-$K2820,$K2820),0))))</f>
        <v/>
      </c>
      <c r="U2820" s="6" t="str">
        <f>IF($K2820="","",IF(ISNUMBER(SEARCH("sortie-epargne",IFERROR(INDEX('Paramètres'!$N:$N,MATCH($D2820,'Paramètres'!$M:$M,0))&amp;"",""))),$K2820,0))</f>
        <v/>
      </c>
      <c r="V2820" s="6" t="str">
        <f>IF(AND($A2820&lt;&gt;"",$O2820=1,$L2820="Débit",N($Q2820)&gt;0,$A2820&gt;=Visualisation!$B$1,$A2820&lt;Visualisation!$D$1),MAX($V$1:V2819)+1,"")</f>
        <v/>
      </c>
    </row>
    <row r="2821" spans="1:22" x14ac:dyDescent="0.25">
      <c r="A2821" s="9"/>
      <c r="E2821" s="10"/>
      <c r="K2821" s="11" t="str">
        <f>IF($E2821="","",ROUND($E2821*IF(ISNA(MATCH($C2821,'Paramètres'!$D:$D,0)),1,IF(INDEX('Paramètres'!$J:$J,MATCH($C2821,'Paramètres'!$D:$D,0))="",1,INDEX('Paramètres'!$J:$J,MATCH($C2821,'Paramètres'!$D:$D,0)))),2))</f>
        <v/>
      </c>
      <c r="L2821" s="6" t="str">
        <f>IF($D2821="","",IF($F2821&lt;&gt;"",$F2821,IF(ISNA(MATCH($D2821,'Paramètres'!$M:$M,0)),"⚠ Type inconnu",IFERROR(INDEX('Paramètres'!$P:$P,MATCH($D2821,'Paramètres'!$M:$M,0))&amp;"",""))))</f>
        <v/>
      </c>
      <c r="M2821" s="6" t="str">
        <f>IF($D2821="","",IF(ISNA(MATCH($D2821,'Paramètres'!$M:$M,0)),"⚠ Type inconnu",IF($L2821="Crédit","",IFERROR(INDEX('Paramètres'!$O:$O,MATCH($D2821,'Paramètres'!$M:$M,0))&amp;"",""))))</f>
        <v/>
      </c>
      <c r="N2821" s="6" t="str">
        <f>IF($D2821="","",IFERROR(INDEX('Paramètres'!$Q:$Q,MATCH($D2821,'Paramètres'!$M:$M,0))&amp;"",""))</f>
        <v/>
      </c>
      <c r="O2821" s="6" t="str">
        <f>IF($A2821="","",IF(OR($J2821&lt;&gt;"x",$A2821&lt;=FinReleve),1,0))</f>
        <v/>
      </c>
      <c r="P2821" s="6" t="str">
        <f>IF($D2821="","",IF(AND($L2821="Crédit",OR(IFERROR(INDEX('Paramètres'!$O:$O,MATCH($D2821,'Paramètres'!$M:$M,0))&amp;"","")&lt;&gt;"",ISNUMBER(SEARCH("remboursement",IFERROR(INDEX('Paramètres'!$N:$N,MATCH($D2821,'Paramètres'!$M:$M,0))&amp;"",""))))),1,0))</f>
        <v/>
      </c>
      <c r="Q2821" s="6" t="str">
        <f>IF($K2821="","",IF(ISNUMBER(SEARCH("transfert-interne",IFERROR(INDEX('Paramètres'!$N:$N,MATCH($D2821,'Paramètres'!$M:$M,0))&amp;"",""))),0,IF($L2821="Débit",$K2821,IF($P2821=1,-$K2821,0))))</f>
        <v/>
      </c>
      <c r="R2821" s="6" t="str">
        <f>IF($K2821="","",IF($L2821="Crédit",$K2821,-$K2821))</f>
        <v/>
      </c>
      <c r="S2821" s="6" t="str">
        <f>IF($C2821="","",IFERROR(INDEX('Paramètres'!$H:$H,MATCH($C2821,'Paramètres'!$D:$D,0))&amp;"",""))</f>
        <v/>
      </c>
      <c r="T2821" s="6" t="str">
        <f>IF($K2821="","",IF($S2821="",0,IF(ISNUMBER(SEARCH("apport-exterieur",IFERROR(INDEX('Paramètres'!$N:$N,MATCH($D2821,'Paramètres'!$M:$M,0))&amp;"",""))),0,IF(OR(IFERROR(INDEX('Paramètres'!$I:$I,MATCH($C2821,'Paramètres'!$D:$D,0))&amp;"","")="Les deux",IFERROR(INDEX('Paramètres'!$I:$I,MATCH($C2821,'Paramètres'!$D:$D,0))&amp;"","")=IF($P2821=1,"Débit",$L2821)),-IF($P2821=1,-$K2821,$K2821),0))))</f>
        <v/>
      </c>
      <c r="U2821" s="6" t="str">
        <f>IF($K2821="","",IF(ISNUMBER(SEARCH("sortie-epargne",IFERROR(INDEX('Paramètres'!$N:$N,MATCH($D2821,'Paramètres'!$M:$M,0))&amp;"",""))),$K2821,0))</f>
        <v/>
      </c>
      <c r="V2821" s="6" t="str">
        <f>IF(AND($A2821&lt;&gt;"",$O2821=1,$L2821="Débit",N($Q2821)&gt;0,$A2821&gt;=Visualisation!$B$1,$A2821&lt;Visualisation!$D$1),MAX($V$1:V2820)+1,"")</f>
        <v/>
      </c>
    </row>
    <row r="2822" spans="1:22" x14ac:dyDescent="0.25">
      <c r="A2822" s="9"/>
      <c r="E2822" s="10"/>
      <c r="K2822" s="11" t="str">
        <f>IF($E2822="","",ROUND($E2822*IF(ISNA(MATCH($C2822,'Paramètres'!$D:$D,0)),1,IF(INDEX('Paramètres'!$J:$J,MATCH($C2822,'Paramètres'!$D:$D,0))="",1,INDEX('Paramètres'!$J:$J,MATCH($C2822,'Paramètres'!$D:$D,0)))),2))</f>
        <v/>
      </c>
      <c r="L2822" s="6" t="str">
        <f>IF($D2822="","",IF($F2822&lt;&gt;"",$F2822,IF(ISNA(MATCH($D2822,'Paramètres'!$M:$M,0)),"⚠ Type inconnu",IFERROR(INDEX('Paramètres'!$P:$P,MATCH($D2822,'Paramètres'!$M:$M,0))&amp;"",""))))</f>
        <v/>
      </c>
      <c r="M2822" s="6" t="str">
        <f>IF($D2822="","",IF(ISNA(MATCH($D2822,'Paramètres'!$M:$M,0)),"⚠ Type inconnu",IF($L2822="Crédit","",IFERROR(INDEX('Paramètres'!$O:$O,MATCH($D2822,'Paramètres'!$M:$M,0))&amp;"",""))))</f>
        <v/>
      </c>
      <c r="N2822" s="6" t="str">
        <f>IF($D2822="","",IFERROR(INDEX('Paramètres'!$Q:$Q,MATCH($D2822,'Paramètres'!$M:$M,0))&amp;"",""))</f>
        <v/>
      </c>
      <c r="O2822" s="6" t="str">
        <f>IF($A2822="","",IF(OR($J2822&lt;&gt;"x",$A2822&lt;=FinReleve),1,0))</f>
        <v/>
      </c>
      <c r="P2822" s="6" t="str">
        <f>IF($D2822="","",IF(AND($L2822="Crédit",OR(IFERROR(INDEX('Paramètres'!$O:$O,MATCH($D2822,'Paramètres'!$M:$M,0))&amp;"","")&lt;&gt;"",ISNUMBER(SEARCH("remboursement",IFERROR(INDEX('Paramètres'!$N:$N,MATCH($D2822,'Paramètres'!$M:$M,0))&amp;"",""))))),1,0))</f>
        <v/>
      </c>
      <c r="Q2822" s="6" t="str">
        <f>IF($K2822="","",IF(ISNUMBER(SEARCH("transfert-interne",IFERROR(INDEX('Paramètres'!$N:$N,MATCH($D2822,'Paramètres'!$M:$M,0))&amp;"",""))),0,IF($L2822="Débit",$K2822,IF($P2822=1,-$K2822,0))))</f>
        <v/>
      </c>
      <c r="R2822" s="6" t="str">
        <f>IF($K2822="","",IF($L2822="Crédit",$K2822,-$K2822))</f>
        <v/>
      </c>
      <c r="S2822" s="6" t="str">
        <f>IF($C2822="","",IFERROR(INDEX('Paramètres'!$H:$H,MATCH($C2822,'Paramètres'!$D:$D,0))&amp;"",""))</f>
        <v/>
      </c>
      <c r="T2822" s="6" t="str">
        <f>IF($K2822="","",IF($S2822="",0,IF(ISNUMBER(SEARCH("apport-exterieur",IFERROR(INDEX('Paramètres'!$N:$N,MATCH($D2822,'Paramètres'!$M:$M,0))&amp;"",""))),0,IF(OR(IFERROR(INDEX('Paramètres'!$I:$I,MATCH($C2822,'Paramètres'!$D:$D,0))&amp;"","")="Les deux",IFERROR(INDEX('Paramètres'!$I:$I,MATCH($C2822,'Paramètres'!$D:$D,0))&amp;"","")=IF($P2822=1,"Débit",$L2822)),-IF($P2822=1,-$K2822,$K2822),0))))</f>
        <v/>
      </c>
      <c r="U2822" s="6" t="str">
        <f>IF($K2822="","",IF(ISNUMBER(SEARCH("sortie-epargne",IFERROR(INDEX('Paramètres'!$N:$N,MATCH($D2822,'Paramètres'!$M:$M,0))&amp;"",""))),$K2822,0))</f>
        <v/>
      </c>
      <c r="V2822" s="6" t="str">
        <f>IF(AND($A2822&lt;&gt;"",$O2822=1,$L2822="Débit",N($Q2822)&gt;0,$A2822&gt;=Visualisation!$B$1,$A2822&lt;Visualisation!$D$1),MAX($V$1:V2821)+1,"")</f>
        <v/>
      </c>
    </row>
    <row r="2823" spans="1:22" x14ac:dyDescent="0.25">
      <c r="A2823" s="9"/>
      <c r="E2823" s="10"/>
      <c r="K2823" s="11" t="str">
        <f>IF($E2823="","",ROUND($E2823*IF(ISNA(MATCH($C2823,'Paramètres'!$D:$D,0)),1,IF(INDEX('Paramètres'!$J:$J,MATCH($C2823,'Paramètres'!$D:$D,0))="",1,INDEX('Paramètres'!$J:$J,MATCH($C2823,'Paramètres'!$D:$D,0)))),2))</f>
        <v/>
      </c>
      <c r="L2823" s="6" t="str">
        <f>IF($D2823="","",IF($F2823&lt;&gt;"",$F2823,IF(ISNA(MATCH($D2823,'Paramètres'!$M:$M,0)),"⚠ Type inconnu",IFERROR(INDEX('Paramètres'!$P:$P,MATCH($D2823,'Paramètres'!$M:$M,0))&amp;"",""))))</f>
        <v/>
      </c>
      <c r="M2823" s="6" t="str">
        <f>IF($D2823="","",IF(ISNA(MATCH($D2823,'Paramètres'!$M:$M,0)),"⚠ Type inconnu",IF($L2823="Crédit","",IFERROR(INDEX('Paramètres'!$O:$O,MATCH($D2823,'Paramètres'!$M:$M,0))&amp;"",""))))</f>
        <v/>
      </c>
      <c r="N2823" s="6" t="str">
        <f>IF($D2823="","",IFERROR(INDEX('Paramètres'!$Q:$Q,MATCH($D2823,'Paramètres'!$M:$M,0))&amp;"",""))</f>
        <v/>
      </c>
      <c r="O2823" s="6" t="str">
        <f>IF($A2823="","",IF(OR($J2823&lt;&gt;"x",$A2823&lt;=FinReleve),1,0))</f>
        <v/>
      </c>
      <c r="P2823" s="6" t="str">
        <f>IF($D2823="","",IF(AND($L2823="Crédit",OR(IFERROR(INDEX('Paramètres'!$O:$O,MATCH($D2823,'Paramètres'!$M:$M,0))&amp;"","")&lt;&gt;"",ISNUMBER(SEARCH("remboursement",IFERROR(INDEX('Paramètres'!$N:$N,MATCH($D2823,'Paramètres'!$M:$M,0))&amp;"",""))))),1,0))</f>
        <v/>
      </c>
      <c r="Q2823" s="6" t="str">
        <f>IF($K2823="","",IF(ISNUMBER(SEARCH("transfert-interne",IFERROR(INDEX('Paramètres'!$N:$N,MATCH($D2823,'Paramètres'!$M:$M,0))&amp;"",""))),0,IF($L2823="Débit",$K2823,IF($P2823=1,-$K2823,0))))</f>
        <v/>
      </c>
      <c r="R2823" s="6" t="str">
        <f>IF($K2823="","",IF($L2823="Crédit",$K2823,-$K2823))</f>
        <v/>
      </c>
      <c r="S2823" s="6" t="str">
        <f>IF($C2823="","",IFERROR(INDEX('Paramètres'!$H:$H,MATCH($C2823,'Paramètres'!$D:$D,0))&amp;"",""))</f>
        <v/>
      </c>
      <c r="T2823" s="6" t="str">
        <f>IF($K2823="","",IF($S2823="",0,IF(ISNUMBER(SEARCH("apport-exterieur",IFERROR(INDEX('Paramètres'!$N:$N,MATCH($D2823,'Paramètres'!$M:$M,0))&amp;"",""))),0,IF(OR(IFERROR(INDEX('Paramètres'!$I:$I,MATCH($C2823,'Paramètres'!$D:$D,0))&amp;"","")="Les deux",IFERROR(INDEX('Paramètres'!$I:$I,MATCH($C2823,'Paramètres'!$D:$D,0))&amp;"","")=IF($P2823=1,"Débit",$L2823)),-IF($P2823=1,-$K2823,$K2823),0))))</f>
        <v/>
      </c>
      <c r="U2823" s="6" t="str">
        <f>IF($K2823="","",IF(ISNUMBER(SEARCH("sortie-epargne",IFERROR(INDEX('Paramètres'!$N:$N,MATCH($D2823,'Paramètres'!$M:$M,0))&amp;"",""))),$K2823,0))</f>
        <v/>
      </c>
      <c r="V2823" s="6" t="str">
        <f>IF(AND($A2823&lt;&gt;"",$O2823=1,$L2823="Débit",N($Q2823)&gt;0,$A2823&gt;=Visualisation!$B$1,$A2823&lt;Visualisation!$D$1),MAX($V$1:V2822)+1,"")</f>
        <v/>
      </c>
    </row>
    <row r="2824" spans="1:22" x14ac:dyDescent="0.25">
      <c r="A2824" s="9"/>
      <c r="E2824" s="10"/>
      <c r="K2824" s="11" t="str">
        <f>IF($E2824="","",ROUND($E2824*IF(ISNA(MATCH($C2824,'Paramètres'!$D:$D,0)),1,IF(INDEX('Paramètres'!$J:$J,MATCH($C2824,'Paramètres'!$D:$D,0))="",1,INDEX('Paramètres'!$J:$J,MATCH($C2824,'Paramètres'!$D:$D,0)))),2))</f>
        <v/>
      </c>
      <c r="L2824" s="6" t="str">
        <f>IF($D2824="","",IF($F2824&lt;&gt;"",$F2824,IF(ISNA(MATCH($D2824,'Paramètres'!$M:$M,0)),"⚠ Type inconnu",IFERROR(INDEX('Paramètres'!$P:$P,MATCH($D2824,'Paramètres'!$M:$M,0))&amp;"",""))))</f>
        <v/>
      </c>
      <c r="M2824" s="6" t="str">
        <f>IF($D2824="","",IF(ISNA(MATCH($D2824,'Paramètres'!$M:$M,0)),"⚠ Type inconnu",IF($L2824="Crédit","",IFERROR(INDEX('Paramètres'!$O:$O,MATCH($D2824,'Paramètres'!$M:$M,0))&amp;"",""))))</f>
        <v/>
      </c>
      <c r="N2824" s="6" t="str">
        <f>IF($D2824="","",IFERROR(INDEX('Paramètres'!$Q:$Q,MATCH($D2824,'Paramètres'!$M:$M,0))&amp;"",""))</f>
        <v/>
      </c>
      <c r="O2824" s="6" t="str">
        <f>IF($A2824="","",IF(OR($J2824&lt;&gt;"x",$A2824&lt;=FinReleve),1,0))</f>
        <v/>
      </c>
      <c r="P2824" s="6" t="str">
        <f>IF($D2824="","",IF(AND($L2824="Crédit",OR(IFERROR(INDEX('Paramètres'!$O:$O,MATCH($D2824,'Paramètres'!$M:$M,0))&amp;"","")&lt;&gt;"",ISNUMBER(SEARCH("remboursement",IFERROR(INDEX('Paramètres'!$N:$N,MATCH($D2824,'Paramètres'!$M:$M,0))&amp;"",""))))),1,0))</f>
        <v/>
      </c>
      <c r="Q2824" s="6" t="str">
        <f>IF($K2824="","",IF(ISNUMBER(SEARCH("transfert-interne",IFERROR(INDEX('Paramètres'!$N:$N,MATCH($D2824,'Paramètres'!$M:$M,0))&amp;"",""))),0,IF($L2824="Débit",$K2824,IF($P2824=1,-$K2824,0))))</f>
        <v/>
      </c>
      <c r="R2824" s="6" t="str">
        <f>IF($K2824="","",IF($L2824="Crédit",$K2824,-$K2824))</f>
        <v/>
      </c>
      <c r="S2824" s="6" t="str">
        <f>IF($C2824="","",IFERROR(INDEX('Paramètres'!$H:$H,MATCH($C2824,'Paramètres'!$D:$D,0))&amp;"",""))</f>
        <v/>
      </c>
      <c r="T2824" s="6" t="str">
        <f>IF($K2824="","",IF($S2824="",0,IF(ISNUMBER(SEARCH("apport-exterieur",IFERROR(INDEX('Paramètres'!$N:$N,MATCH($D2824,'Paramètres'!$M:$M,0))&amp;"",""))),0,IF(OR(IFERROR(INDEX('Paramètres'!$I:$I,MATCH($C2824,'Paramètres'!$D:$D,0))&amp;"","")="Les deux",IFERROR(INDEX('Paramètres'!$I:$I,MATCH($C2824,'Paramètres'!$D:$D,0))&amp;"","")=IF($P2824=1,"Débit",$L2824)),-IF($P2824=1,-$K2824,$K2824),0))))</f>
        <v/>
      </c>
      <c r="U2824" s="6" t="str">
        <f>IF($K2824="","",IF(ISNUMBER(SEARCH("sortie-epargne",IFERROR(INDEX('Paramètres'!$N:$N,MATCH($D2824,'Paramètres'!$M:$M,0))&amp;"",""))),$K2824,0))</f>
        <v/>
      </c>
      <c r="V2824" s="6" t="str">
        <f>IF(AND($A2824&lt;&gt;"",$O2824=1,$L2824="Débit",N($Q2824)&gt;0,$A2824&gt;=Visualisation!$B$1,$A2824&lt;Visualisation!$D$1),MAX($V$1:V2823)+1,"")</f>
        <v/>
      </c>
    </row>
    <row r="2825" spans="1:22" x14ac:dyDescent="0.25">
      <c r="A2825" s="9"/>
      <c r="E2825" s="10"/>
      <c r="K2825" s="11" t="str">
        <f>IF($E2825="","",ROUND($E2825*IF(ISNA(MATCH($C2825,'Paramètres'!$D:$D,0)),1,IF(INDEX('Paramètres'!$J:$J,MATCH($C2825,'Paramètres'!$D:$D,0))="",1,INDEX('Paramètres'!$J:$J,MATCH($C2825,'Paramètres'!$D:$D,0)))),2))</f>
        <v/>
      </c>
      <c r="L2825" s="6" t="str">
        <f>IF($D2825="","",IF($F2825&lt;&gt;"",$F2825,IF(ISNA(MATCH($D2825,'Paramètres'!$M:$M,0)),"⚠ Type inconnu",IFERROR(INDEX('Paramètres'!$P:$P,MATCH($D2825,'Paramètres'!$M:$M,0))&amp;"",""))))</f>
        <v/>
      </c>
      <c r="M2825" s="6" t="str">
        <f>IF($D2825="","",IF(ISNA(MATCH($D2825,'Paramètres'!$M:$M,0)),"⚠ Type inconnu",IF($L2825="Crédit","",IFERROR(INDEX('Paramètres'!$O:$O,MATCH($D2825,'Paramètres'!$M:$M,0))&amp;"",""))))</f>
        <v/>
      </c>
      <c r="N2825" s="6" t="str">
        <f>IF($D2825="","",IFERROR(INDEX('Paramètres'!$Q:$Q,MATCH($D2825,'Paramètres'!$M:$M,0))&amp;"",""))</f>
        <v/>
      </c>
      <c r="O2825" s="6" t="str">
        <f>IF($A2825="","",IF(OR($J2825&lt;&gt;"x",$A2825&lt;=FinReleve),1,0))</f>
        <v/>
      </c>
      <c r="P2825" s="6" t="str">
        <f>IF($D2825="","",IF(AND($L2825="Crédit",OR(IFERROR(INDEX('Paramètres'!$O:$O,MATCH($D2825,'Paramètres'!$M:$M,0))&amp;"","")&lt;&gt;"",ISNUMBER(SEARCH("remboursement",IFERROR(INDEX('Paramètres'!$N:$N,MATCH($D2825,'Paramètres'!$M:$M,0))&amp;"",""))))),1,0))</f>
        <v/>
      </c>
      <c r="Q2825" s="6" t="str">
        <f>IF($K2825="","",IF(ISNUMBER(SEARCH("transfert-interne",IFERROR(INDEX('Paramètres'!$N:$N,MATCH($D2825,'Paramètres'!$M:$M,0))&amp;"",""))),0,IF($L2825="Débit",$K2825,IF($P2825=1,-$K2825,0))))</f>
        <v/>
      </c>
      <c r="R2825" s="6" t="str">
        <f>IF($K2825="","",IF($L2825="Crédit",$K2825,-$K2825))</f>
        <v/>
      </c>
      <c r="S2825" s="6" t="str">
        <f>IF($C2825="","",IFERROR(INDEX('Paramètres'!$H:$H,MATCH($C2825,'Paramètres'!$D:$D,0))&amp;"",""))</f>
        <v/>
      </c>
      <c r="T2825" s="6" t="str">
        <f>IF($K2825="","",IF($S2825="",0,IF(ISNUMBER(SEARCH("apport-exterieur",IFERROR(INDEX('Paramètres'!$N:$N,MATCH($D2825,'Paramètres'!$M:$M,0))&amp;"",""))),0,IF(OR(IFERROR(INDEX('Paramètres'!$I:$I,MATCH($C2825,'Paramètres'!$D:$D,0))&amp;"","")="Les deux",IFERROR(INDEX('Paramètres'!$I:$I,MATCH($C2825,'Paramètres'!$D:$D,0))&amp;"","")=IF($P2825=1,"Débit",$L2825)),-IF($P2825=1,-$K2825,$K2825),0))))</f>
        <v/>
      </c>
      <c r="U2825" s="6" t="str">
        <f>IF($K2825="","",IF(ISNUMBER(SEARCH("sortie-epargne",IFERROR(INDEX('Paramètres'!$N:$N,MATCH($D2825,'Paramètres'!$M:$M,0))&amp;"",""))),$K2825,0))</f>
        <v/>
      </c>
      <c r="V2825" s="6" t="str">
        <f>IF(AND($A2825&lt;&gt;"",$O2825=1,$L2825="Débit",N($Q2825)&gt;0,$A2825&gt;=Visualisation!$B$1,$A2825&lt;Visualisation!$D$1),MAX($V$1:V2824)+1,"")</f>
        <v/>
      </c>
    </row>
    <row r="2826" spans="1:22" x14ac:dyDescent="0.25">
      <c r="A2826" s="9"/>
      <c r="E2826" s="10"/>
      <c r="K2826" s="11" t="str">
        <f>IF($E2826="","",ROUND($E2826*IF(ISNA(MATCH($C2826,'Paramètres'!$D:$D,0)),1,IF(INDEX('Paramètres'!$J:$J,MATCH($C2826,'Paramètres'!$D:$D,0))="",1,INDEX('Paramètres'!$J:$J,MATCH($C2826,'Paramètres'!$D:$D,0)))),2))</f>
        <v/>
      </c>
      <c r="L2826" s="6" t="str">
        <f>IF($D2826="","",IF($F2826&lt;&gt;"",$F2826,IF(ISNA(MATCH($D2826,'Paramètres'!$M:$M,0)),"⚠ Type inconnu",IFERROR(INDEX('Paramètres'!$P:$P,MATCH($D2826,'Paramètres'!$M:$M,0))&amp;"",""))))</f>
        <v/>
      </c>
      <c r="M2826" s="6" t="str">
        <f>IF($D2826="","",IF(ISNA(MATCH($D2826,'Paramètres'!$M:$M,0)),"⚠ Type inconnu",IF($L2826="Crédit","",IFERROR(INDEX('Paramètres'!$O:$O,MATCH($D2826,'Paramètres'!$M:$M,0))&amp;"",""))))</f>
        <v/>
      </c>
      <c r="N2826" s="6" t="str">
        <f>IF($D2826="","",IFERROR(INDEX('Paramètres'!$Q:$Q,MATCH($D2826,'Paramètres'!$M:$M,0))&amp;"",""))</f>
        <v/>
      </c>
      <c r="O2826" s="6" t="str">
        <f>IF($A2826="","",IF(OR($J2826&lt;&gt;"x",$A2826&lt;=FinReleve),1,0))</f>
        <v/>
      </c>
      <c r="P2826" s="6" t="str">
        <f>IF($D2826="","",IF(AND($L2826="Crédit",OR(IFERROR(INDEX('Paramètres'!$O:$O,MATCH($D2826,'Paramètres'!$M:$M,0))&amp;"","")&lt;&gt;"",ISNUMBER(SEARCH("remboursement",IFERROR(INDEX('Paramètres'!$N:$N,MATCH($D2826,'Paramètres'!$M:$M,0))&amp;"",""))))),1,0))</f>
        <v/>
      </c>
      <c r="Q2826" s="6" t="str">
        <f>IF($K2826="","",IF(ISNUMBER(SEARCH("transfert-interne",IFERROR(INDEX('Paramètres'!$N:$N,MATCH($D2826,'Paramètres'!$M:$M,0))&amp;"",""))),0,IF($L2826="Débit",$K2826,IF($P2826=1,-$K2826,0))))</f>
        <v/>
      </c>
      <c r="R2826" s="6" t="str">
        <f>IF($K2826="","",IF($L2826="Crédit",$K2826,-$K2826))</f>
        <v/>
      </c>
      <c r="S2826" s="6" t="str">
        <f>IF($C2826="","",IFERROR(INDEX('Paramètres'!$H:$H,MATCH($C2826,'Paramètres'!$D:$D,0))&amp;"",""))</f>
        <v/>
      </c>
      <c r="T2826" s="6" t="str">
        <f>IF($K2826="","",IF($S2826="",0,IF(ISNUMBER(SEARCH("apport-exterieur",IFERROR(INDEX('Paramètres'!$N:$N,MATCH($D2826,'Paramètres'!$M:$M,0))&amp;"",""))),0,IF(OR(IFERROR(INDEX('Paramètres'!$I:$I,MATCH($C2826,'Paramètres'!$D:$D,0))&amp;"","")="Les deux",IFERROR(INDEX('Paramètres'!$I:$I,MATCH($C2826,'Paramètres'!$D:$D,0))&amp;"","")=IF($P2826=1,"Débit",$L2826)),-IF($P2826=1,-$K2826,$K2826),0))))</f>
        <v/>
      </c>
      <c r="U2826" s="6" t="str">
        <f>IF($K2826="","",IF(ISNUMBER(SEARCH("sortie-epargne",IFERROR(INDEX('Paramètres'!$N:$N,MATCH($D2826,'Paramètres'!$M:$M,0))&amp;"",""))),$K2826,0))</f>
        <v/>
      </c>
      <c r="V2826" s="6" t="str">
        <f>IF(AND($A2826&lt;&gt;"",$O2826=1,$L2826="Débit",N($Q2826)&gt;0,$A2826&gt;=Visualisation!$B$1,$A2826&lt;Visualisation!$D$1),MAX($V$1:V2825)+1,"")</f>
        <v/>
      </c>
    </row>
    <row r="2827" spans="1:22" x14ac:dyDescent="0.25">
      <c r="A2827" s="9"/>
      <c r="E2827" s="10"/>
      <c r="K2827" s="11" t="str">
        <f>IF($E2827="","",ROUND($E2827*IF(ISNA(MATCH($C2827,'Paramètres'!$D:$D,0)),1,IF(INDEX('Paramètres'!$J:$J,MATCH($C2827,'Paramètres'!$D:$D,0))="",1,INDEX('Paramètres'!$J:$J,MATCH($C2827,'Paramètres'!$D:$D,0)))),2))</f>
        <v/>
      </c>
      <c r="L2827" s="6" t="str">
        <f>IF($D2827="","",IF($F2827&lt;&gt;"",$F2827,IF(ISNA(MATCH($D2827,'Paramètres'!$M:$M,0)),"⚠ Type inconnu",IFERROR(INDEX('Paramètres'!$P:$P,MATCH($D2827,'Paramètres'!$M:$M,0))&amp;"",""))))</f>
        <v/>
      </c>
      <c r="M2827" s="6" t="str">
        <f>IF($D2827="","",IF(ISNA(MATCH($D2827,'Paramètres'!$M:$M,0)),"⚠ Type inconnu",IF($L2827="Crédit","",IFERROR(INDEX('Paramètres'!$O:$O,MATCH($D2827,'Paramètres'!$M:$M,0))&amp;"",""))))</f>
        <v/>
      </c>
      <c r="N2827" s="6" t="str">
        <f>IF($D2827="","",IFERROR(INDEX('Paramètres'!$Q:$Q,MATCH($D2827,'Paramètres'!$M:$M,0))&amp;"",""))</f>
        <v/>
      </c>
      <c r="O2827" s="6" t="str">
        <f>IF($A2827="","",IF(OR($J2827&lt;&gt;"x",$A2827&lt;=FinReleve),1,0))</f>
        <v/>
      </c>
      <c r="P2827" s="6" t="str">
        <f>IF($D2827="","",IF(AND($L2827="Crédit",OR(IFERROR(INDEX('Paramètres'!$O:$O,MATCH($D2827,'Paramètres'!$M:$M,0))&amp;"","")&lt;&gt;"",ISNUMBER(SEARCH("remboursement",IFERROR(INDEX('Paramètres'!$N:$N,MATCH($D2827,'Paramètres'!$M:$M,0))&amp;"",""))))),1,0))</f>
        <v/>
      </c>
      <c r="Q2827" s="6" t="str">
        <f>IF($K2827="","",IF(ISNUMBER(SEARCH("transfert-interne",IFERROR(INDEX('Paramètres'!$N:$N,MATCH($D2827,'Paramètres'!$M:$M,0))&amp;"",""))),0,IF($L2827="Débit",$K2827,IF($P2827=1,-$K2827,0))))</f>
        <v/>
      </c>
      <c r="R2827" s="6" t="str">
        <f>IF($K2827="","",IF($L2827="Crédit",$K2827,-$K2827))</f>
        <v/>
      </c>
      <c r="S2827" s="6" t="str">
        <f>IF($C2827="","",IFERROR(INDEX('Paramètres'!$H:$H,MATCH($C2827,'Paramètres'!$D:$D,0))&amp;"",""))</f>
        <v/>
      </c>
      <c r="T2827" s="6" t="str">
        <f>IF($K2827="","",IF($S2827="",0,IF(ISNUMBER(SEARCH("apport-exterieur",IFERROR(INDEX('Paramètres'!$N:$N,MATCH($D2827,'Paramètres'!$M:$M,0))&amp;"",""))),0,IF(OR(IFERROR(INDEX('Paramètres'!$I:$I,MATCH($C2827,'Paramètres'!$D:$D,0))&amp;"","")="Les deux",IFERROR(INDEX('Paramètres'!$I:$I,MATCH($C2827,'Paramètres'!$D:$D,0))&amp;"","")=IF($P2827=1,"Débit",$L2827)),-IF($P2827=1,-$K2827,$K2827),0))))</f>
        <v/>
      </c>
      <c r="U2827" s="6" t="str">
        <f>IF($K2827="","",IF(ISNUMBER(SEARCH("sortie-epargne",IFERROR(INDEX('Paramètres'!$N:$N,MATCH($D2827,'Paramètres'!$M:$M,0))&amp;"",""))),$K2827,0))</f>
        <v/>
      </c>
      <c r="V2827" s="6" t="str">
        <f>IF(AND($A2827&lt;&gt;"",$O2827=1,$L2827="Débit",N($Q2827)&gt;0,$A2827&gt;=Visualisation!$B$1,$A2827&lt;Visualisation!$D$1),MAX($V$1:V2826)+1,"")</f>
        <v/>
      </c>
    </row>
    <row r="2828" spans="1:22" x14ac:dyDescent="0.25">
      <c r="A2828" s="9"/>
      <c r="E2828" s="10"/>
      <c r="K2828" s="11" t="str">
        <f>IF($E2828="","",ROUND($E2828*IF(ISNA(MATCH($C2828,'Paramètres'!$D:$D,0)),1,IF(INDEX('Paramètres'!$J:$J,MATCH($C2828,'Paramètres'!$D:$D,0))="",1,INDEX('Paramètres'!$J:$J,MATCH($C2828,'Paramètres'!$D:$D,0)))),2))</f>
        <v/>
      </c>
      <c r="L2828" s="6" t="str">
        <f>IF($D2828="","",IF($F2828&lt;&gt;"",$F2828,IF(ISNA(MATCH($D2828,'Paramètres'!$M:$M,0)),"⚠ Type inconnu",IFERROR(INDEX('Paramètres'!$P:$P,MATCH($D2828,'Paramètres'!$M:$M,0))&amp;"",""))))</f>
        <v/>
      </c>
      <c r="M2828" s="6" t="str">
        <f>IF($D2828="","",IF(ISNA(MATCH($D2828,'Paramètres'!$M:$M,0)),"⚠ Type inconnu",IF($L2828="Crédit","",IFERROR(INDEX('Paramètres'!$O:$O,MATCH($D2828,'Paramètres'!$M:$M,0))&amp;"",""))))</f>
        <v/>
      </c>
      <c r="N2828" s="6" t="str">
        <f>IF($D2828="","",IFERROR(INDEX('Paramètres'!$Q:$Q,MATCH($D2828,'Paramètres'!$M:$M,0))&amp;"",""))</f>
        <v/>
      </c>
      <c r="O2828" s="6" t="str">
        <f>IF($A2828="","",IF(OR($J2828&lt;&gt;"x",$A2828&lt;=FinReleve),1,0))</f>
        <v/>
      </c>
      <c r="P2828" s="6" t="str">
        <f>IF($D2828="","",IF(AND($L2828="Crédit",OR(IFERROR(INDEX('Paramètres'!$O:$O,MATCH($D2828,'Paramètres'!$M:$M,0))&amp;"","")&lt;&gt;"",ISNUMBER(SEARCH("remboursement",IFERROR(INDEX('Paramètres'!$N:$N,MATCH($D2828,'Paramètres'!$M:$M,0))&amp;"",""))))),1,0))</f>
        <v/>
      </c>
      <c r="Q2828" s="6" t="str">
        <f>IF($K2828="","",IF(ISNUMBER(SEARCH("transfert-interne",IFERROR(INDEX('Paramètres'!$N:$N,MATCH($D2828,'Paramètres'!$M:$M,0))&amp;"",""))),0,IF($L2828="Débit",$K2828,IF($P2828=1,-$K2828,0))))</f>
        <v/>
      </c>
      <c r="R2828" s="6" t="str">
        <f>IF($K2828="","",IF($L2828="Crédit",$K2828,-$K2828))</f>
        <v/>
      </c>
      <c r="S2828" s="6" t="str">
        <f>IF($C2828="","",IFERROR(INDEX('Paramètres'!$H:$H,MATCH($C2828,'Paramètres'!$D:$D,0))&amp;"",""))</f>
        <v/>
      </c>
      <c r="T2828" s="6" t="str">
        <f>IF($K2828="","",IF($S2828="",0,IF(ISNUMBER(SEARCH("apport-exterieur",IFERROR(INDEX('Paramètres'!$N:$N,MATCH($D2828,'Paramètres'!$M:$M,0))&amp;"",""))),0,IF(OR(IFERROR(INDEX('Paramètres'!$I:$I,MATCH($C2828,'Paramètres'!$D:$D,0))&amp;"","")="Les deux",IFERROR(INDEX('Paramètres'!$I:$I,MATCH($C2828,'Paramètres'!$D:$D,0))&amp;"","")=IF($P2828=1,"Débit",$L2828)),-IF($P2828=1,-$K2828,$K2828),0))))</f>
        <v/>
      </c>
      <c r="U2828" s="6" t="str">
        <f>IF($K2828="","",IF(ISNUMBER(SEARCH("sortie-epargne",IFERROR(INDEX('Paramètres'!$N:$N,MATCH($D2828,'Paramètres'!$M:$M,0))&amp;"",""))),$K2828,0))</f>
        <v/>
      </c>
      <c r="V2828" s="6" t="str">
        <f>IF(AND($A2828&lt;&gt;"",$O2828=1,$L2828="Débit",N($Q2828)&gt;0,$A2828&gt;=Visualisation!$B$1,$A2828&lt;Visualisation!$D$1),MAX($V$1:V2827)+1,"")</f>
        <v/>
      </c>
    </row>
    <row r="2829" spans="1:22" x14ac:dyDescent="0.25">
      <c r="A2829" s="9"/>
      <c r="E2829" s="10"/>
      <c r="K2829" s="11" t="str">
        <f>IF($E2829="","",ROUND($E2829*IF(ISNA(MATCH($C2829,'Paramètres'!$D:$D,0)),1,IF(INDEX('Paramètres'!$J:$J,MATCH($C2829,'Paramètres'!$D:$D,0))="",1,INDEX('Paramètres'!$J:$J,MATCH($C2829,'Paramètres'!$D:$D,0)))),2))</f>
        <v/>
      </c>
      <c r="L2829" s="6" t="str">
        <f>IF($D2829="","",IF($F2829&lt;&gt;"",$F2829,IF(ISNA(MATCH($D2829,'Paramètres'!$M:$M,0)),"⚠ Type inconnu",IFERROR(INDEX('Paramètres'!$P:$P,MATCH($D2829,'Paramètres'!$M:$M,0))&amp;"",""))))</f>
        <v/>
      </c>
      <c r="M2829" s="6" t="str">
        <f>IF($D2829="","",IF(ISNA(MATCH($D2829,'Paramètres'!$M:$M,0)),"⚠ Type inconnu",IF($L2829="Crédit","",IFERROR(INDEX('Paramètres'!$O:$O,MATCH($D2829,'Paramètres'!$M:$M,0))&amp;"",""))))</f>
        <v/>
      </c>
      <c r="N2829" s="6" t="str">
        <f>IF($D2829="","",IFERROR(INDEX('Paramètres'!$Q:$Q,MATCH($D2829,'Paramètres'!$M:$M,0))&amp;"",""))</f>
        <v/>
      </c>
      <c r="O2829" s="6" t="str">
        <f>IF($A2829="","",IF(OR($J2829&lt;&gt;"x",$A2829&lt;=FinReleve),1,0))</f>
        <v/>
      </c>
      <c r="P2829" s="6" t="str">
        <f>IF($D2829="","",IF(AND($L2829="Crédit",OR(IFERROR(INDEX('Paramètres'!$O:$O,MATCH($D2829,'Paramètres'!$M:$M,0))&amp;"","")&lt;&gt;"",ISNUMBER(SEARCH("remboursement",IFERROR(INDEX('Paramètres'!$N:$N,MATCH($D2829,'Paramètres'!$M:$M,0))&amp;"",""))))),1,0))</f>
        <v/>
      </c>
      <c r="Q2829" s="6" t="str">
        <f>IF($K2829="","",IF(ISNUMBER(SEARCH("transfert-interne",IFERROR(INDEX('Paramètres'!$N:$N,MATCH($D2829,'Paramètres'!$M:$M,0))&amp;"",""))),0,IF($L2829="Débit",$K2829,IF($P2829=1,-$K2829,0))))</f>
        <v/>
      </c>
      <c r="R2829" s="6" t="str">
        <f>IF($K2829="","",IF($L2829="Crédit",$K2829,-$K2829))</f>
        <v/>
      </c>
      <c r="S2829" s="6" t="str">
        <f>IF($C2829="","",IFERROR(INDEX('Paramètres'!$H:$H,MATCH($C2829,'Paramètres'!$D:$D,0))&amp;"",""))</f>
        <v/>
      </c>
      <c r="T2829" s="6" t="str">
        <f>IF($K2829="","",IF($S2829="",0,IF(ISNUMBER(SEARCH("apport-exterieur",IFERROR(INDEX('Paramètres'!$N:$N,MATCH($D2829,'Paramètres'!$M:$M,0))&amp;"",""))),0,IF(OR(IFERROR(INDEX('Paramètres'!$I:$I,MATCH($C2829,'Paramètres'!$D:$D,0))&amp;"","")="Les deux",IFERROR(INDEX('Paramètres'!$I:$I,MATCH($C2829,'Paramètres'!$D:$D,0))&amp;"","")=IF($P2829=1,"Débit",$L2829)),-IF($P2829=1,-$K2829,$K2829),0))))</f>
        <v/>
      </c>
      <c r="U2829" s="6" t="str">
        <f>IF($K2829="","",IF(ISNUMBER(SEARCH("sortie-epargne",IFERROR(INDEX('Paramètres'!$N:$N,MATCH($D2829,'Paramètres'!$M:$M,0))&amp;"",""))),$K2829,0))</f>
        <v/>
      </c>
      <c r="V2829" s="6" t="str">
        <f>IF(AND($A2829&lt;&gt;"",$O2829=1,$L2829="Débit",N($Q2829)&gt;0,$A2829&gt;=Visualisation!$B$1,$A2829&lt;Visualisation!$D$1),MAX($V$1:V2828)+1,"")</f>
        <v/>
      </c>
    </row>
    <row r="2830" spans="1:22" x14ac:dyDescent="0.25">
      <c r="A2830" s="9"/>
      <c r="E2830" s="10"/>
      <c r="K2830" s="11" t="str">
        <f>IF($E2830="","",ROUND($E2830*IF(ISNA(MATCH($C2830,'Paramètres'!$D:$D,0)),1,IF(INDEX('Paramètres'!$J:$J,MATCH($C2830,'Paramètres'!$D:$D,0))="",1,INDEX('Paramètres'!$J:$J,MATCH($C2830,'Paramètres'!$D:$D,0)))),2))</f>
        <v/>
      </c>
      <c r="L2830" s="6" t="str">
        <f>IF($D2830="","",IF($F2830&lt;&gt;"",$F2830,IF(ISNA(MATCH($D2830,'Paramètres'!$M:$M,0)),"⚠ Type inconnu",IFERROR(INDEX('Paramètres'!$P:$P,MATCH($D2830,'Paramètres'!$M:$M,0))&amp;"",""))))</f>
        <v/>
      </c>
      <c r="M2830" s="6" t="str">
        <f>IF($D2830="","",IF(ISNA(MATCH($D2830,'Paramètres'!$M:$M,0)),"⚠ Type inconnu",IF($L2830="Crédit","",IFERROR(INDEX('Paramètres'!$O:$O,MATCH($D2830,'Paramètres'!$M:$M,0))&amp;"",""))))</f>
        <v/>
      </c>
      <c r="N2830" s="6" t="str">
        <f>IF($D2830="","",IFERROR(INDEX('Paramètres'!$Q:$Q,MATCH($D2830,'Paramètres'!$M:$M,0))&amp;"",""))</f>
        <v/>
      </c>
      <c r="O2830" s="6" t="str">
        <f>IF($A2830="","",IF(OR($J2830&lt;&gt;"x",$A2830&lt;=FinReleve),1,0))</f>
        <v/>
      </c>
      <c r="P2830" s="6" t="str">
        <f>IF($D2830="","",IF(AND($L2830="Crédit",OR(IFERROR(INDEX('Paramètres'!$O:$O,MATCH($D2830,'Paramètres'!$M:$M,0))&amp;"","")&lt;&gt;"",ISNUMBER(SEARCH("remboursement",IFERROR(INDEX('Paramètres'!$N:$N,MATCH($D2830,'Paramètres'!$M:$M,0))&amp;"",""))))),1,0))</f>
        <v/>
      </c>
      <c r="Q2830" s="6" t="str">
        <f>IF($K2830="","",IF(ISNUMBER(SEARCH("transfert-interne",IFERROR(INDEX('Paramètres'!$N:$N,MATCH($D2830,'Paramètres'!$M:$M,0))&amp;"",""))),0,IF($L2830="Débit",$K2830,IF($P2830=1,-$K2830,0))))</f>
        <v/>
      </c>
      <c r="R2830" s="6" t="str">
        <f>IF($K2830="","",IF($L2830="Crédit",$K2830,-$K2830))</f>
        <v/>
      </c>
      <c r="S2830" s="6" t="str">
        <f>IF($C2830="","",IFERROR(INDEX('Paramètres'!$H:$H,MATCH($C2830,'Paramètres'!$D:$D,0))&amp;"",""))</f>
        <v/>
      </c>
      <c r="T2830" s="6" t="str">
        <f>IF($K2830="","",IF($S2830="",0,IF(ISNUMBER(SEARCH("apport-exterieur",IFERROR(INDEX('Paramètres'!$N:$N,MATCH($D2830,'Paramètres'!$M:$M,0))&amp;"",""))),0,IF(OR(IFERROR(INDEX('Paramètres'!$I:$I,MATCH($C2830,'Paramètres'!$D:$D,0))&amp;"","")="Les deux",IFERROR(INDEX('Paramètres'!$I:$I,MATCH($C2830,'Paramètres'!$D:$D,0))&amp;"","")=IF($P2830=1,"Débit",$L2830)),-IF($P2830=1,-$K2830,$K2830),0))))</f>
        <v/>
      </c>
      <c r="U2830" s="6" t="str">
        <f>IF($K2830="","",IF(ISNUMBER(SEARCH("sortie-epargne",IFERROR(INDEX('Paramètres'!$N:$N,MATCH($D2830,'Paramètres'!$M:$M,0))&amp;"",""))),$K2830,0))</f>
        <v/>
      </c>
      <c r="V2830" s="6" t="str">
        <f>IF(AND($A2830&lt;&gt;"",$O2830=1,$L2830="Débit",N($Q2830)&gt;0,$A2830&gt;=Visualisation!$B$1,$A2830&lt;Visualisation!$D$1),MAX($V$1:V2829)+1,"")</f>
        <v/>
      </c>
    </row>
    <row r="2831" spans="1:22" x14ac:dyDescent="0.25">
      <c r="A2831" s="9"/>
      <c r="E2831" s="10"/>
      <c r="K2831" s="11" t="str">
        <f>IF($E2831="","",ROUND($E2831*IF(ISNA(MATCH($C2831,'Paramètres'!$D:$D,0)),1,IF(INDEX('Paramètres'!$J:$J,MATCH($C2831,'Paramètres'!$D:$D,0))="",1,INDEX('Paramètres'!$J:$J,MATCH($C2831,'Paramètres'!$D:$D,0)))),2))</f>
        <v/>
      </c>
      <c r="L2831" s="6" t="str">
        <f>IF($D2831="","",IF($F2831&lt;&gt;"",$F2831,IF(ISNA(MATCH($D2831,'Paramètres'!$M:$M,0)),"⚠ Type inconnu",IFERROR(INDEX('Paramètres'!$P:$P,MATCH($D2831,'Paramètres'!$M:$M,0))&amp;"",""))))</f>
        <v/>
      </c>
      <c r="M2831" s="6" t="str">
        <f>IF($D2831="","",IF(ISNA(MATCH($D2831,'Paramètres'!$M:$M,0)),"⚠ Type inconnu",IF($L2831="Crédit","",IFERROR(INDEX('Paramètres'!$O:$O,MATCH($D2831,'Paramètres'!$M:$M,0))&amp;"",""))))</f>
        <v/>
      </c>
      <c r="N2831" s="6" t="str">
        <f>IF($D2831="","",IFERROR(INDEX('Paramètres'!$Q:$Q,MATCH($D2831,'Paramètres'!$M:$M,0))&amp;"",""))</f>
        <v/>
      </c>
      <c r="O2831" s="6" t="str">
        <f>IF($A2831="","",IF(OR($J2831&lt;&gt;"x",$A2831&lt;=FinReleve),1,0))</f>
        <v/>
      </c>
      <c r="P2831" s="6" t="str">
        <f>IF($D2831="","",IF(AND($L2831="Crédit",OR(IFERROR(INDEX('Paramètres'!$O:$O,MATCH($D2831,'Paramètres'!$M:$M,0))&amp;"","")&lt;&gt;"",ISNUMBER(SEARCH("remboursement",IFERROR(INDEX('Paramètres'!$N:$N,MATCH($D2831,'Paramètres'!$M:$M,0))&amp;"",""))))),1,0))</f>
        <v/>
      </c>
      <c r="Q2831" s="6" t="str">
        <f>IF($K2831="","",IF(ISNUMBER(SEARCH("transfert-interne",IFERROR(INDEX('Paramètres'!$N:$N,MATCH($D2831,'Paramètres'!$M:$M,0))&amp;"",""))),0,IF($L2831="Débit",$K2831,IF($P2831=1,-$K2831,0))))</f>
        <v/>
      </c>
      <c r="R2831" s="6" t="str">
        <f>IF($K2831="","",IF($L2831="Crédit",$K2831,-$K2831))</f>
        <v/>
      </c>
      <c r="S2831" s="6" t="str">
        <f>IF($C2831="","",IFERROR(INDEX('Paramètres'!$H:$H,MATCH($C2831,'Paramètres'!$D:$D,0))&amp;"",""))</f>
        <v/>
      </c>
      <c r="T2831" s="6" t="str">
        <f>IF($K2831="","",IF($S2831="",0,IF(ISNUMBER(SEARCH("apport-exterieur",IFERROR(INDEX('Paramètres'!$N:$N,MATCH($D2831,'Paramètres'!$M:$M,0))&amp;"",""))),0,IF(OR(IFERROR(INDEX('Paramètres'!$I:$I,MATCH($C2831,'Paramètres'!$D:$D,0))&amp;"","")="Les deux",IFERROR(INDEX('Paramètres'!$I:$I,MATCH($C2831,'Paramètres'!$D:$D,0))&amp;"","")=IF($P2831=1,"Débit",$L2831)),-IF($P2831=1,-$K2831,$K2831),0))))</f>
        <v/>
      </c>
      <c r="U2831" s="6" t="str">
        <f>IF($K2831="","",IF(ISNUMBER(SEARCH("sortie-epargne",IFERROR(INDEX('Paramètres'!$N:$N,MATCH($D2831,'Paramètres'!$M:$M,0))&amp;"",""))),$K2831,0))</f>
        <v/>
      </c>
      <c r="V2831" s="6" t="str">
        <f>IF(AND($A2831&lt;&gt;"",$O2831=1,$L2831="Débit",N($Q2831)&gt;0,$A2831&gt;=Visualisation!$B$1,$A2831&lt;Visualisation!$D$1),MAX($V$1:V2830)+1,"")</f>
        <v/>
      </c>
    </row>
    <row r="2832" spans="1:22" x14ac:dyDescent="0.25">
      <c r="A2832" s="9"/>
      <c r="E2832" s="10"/>
      <c r="K2832" s="11" t="str">
        <f>IF($E2832="","",ROUND($E2832*IF(ISNA(MATCH($C2832,'Paramètres'!$D:$D,0)),1,IF(INDEX('Paramètres'!$J:$J,MATCH($C2832,'Paramètres'!$D:$D,0))="",1,INDEX('Paramètres'!$J:$J,MATCH($C2832,'Paramètres'!$D:$D,0)))),2))</f>
        <v/>
      </c>
      <c r="L2832" s="6" t="str">
        <f>IF($D2832="","",IF($F2832&lt;&gt;"",$F2832,IF(ISNA(MATCH($D2832,'Paramètres'!$M:$M,0)),"⚠ Type inconnu",IFERROR(INDEX('Paramètres'!$P:$P,MATCH($D2832,'Paramètres'!$M:$M,0))&amp;"",""))))</f>
        <v/>
      </c>
      <c r="M2832" s="6" t="str">
        <f>IF($D2832="","",IF(ISNA(MATCH($D2832,'Paramètres'!$M:$M,0)),"⚠ Type inconnu",IF($L2832="Crédit","",IFERROR(INDEX('Paramètres'!$O:$O,MATCH($D2832,'Paramètres'!$M:$M,0))&amp;"",""))))</f>
        <v/>
      </c>
      <c r="N2832" s="6" t="str">
        <f>IF($D2832="","",IFERROR(INDEX('Paramètres'!$Q:$Q,MATCH($D2832,'Paramètres'!$M:$M,0))&amp;"",""))</f>
        <v/>
      </c>
      <c r="O2832" s="6" t="str">
        <f>IF($A2832="","",IF(OR($J2832&lt;&gt;"x",$A2832&lt;=FinReleve),1,0))</f>
        <v/>
      </c>
      <c r="P2832" s="6" t="str">
        <f>IF($D2832="","",IF(AND($L2832="Crédit",OR(IFERROR(INDEX('Paramètres'!$O:$O,MATCH($D2832,'Paramètres'!$M:$M,0))&amp;"","")&lt;&gt;"",ISNUMBER(SEARCH("remboursement",IFERROR(INDEX('Paramètres'!$N:$N,MATCH($D2832,'Paramètres'!$M:$M,0))&amp;"",""))))),1,0))</f>
        <v/>
      </c>
      <c r="Q2832" s="6" t="str">
        <f>IF($K2832="","",IF(ISNUMBER(SEARCH("transfert-interne",IFERROR(INDEX('Paramètres'!$N:$N,MATCH($D2832,'Paramètres'!$M:$M,0))&amp;"",""))),0,IF($L2832="Débit",$K2832,IF($P2832=1,-$K2832,0))))</f>
        <v/>
      </c>
      <c r="R2832" s="6" t="str">
        <f>IF($K2832="","",IF($L2832="Crédit",$K2832,-$K2832))</f>
        <v/>
      </c>
      <c r="S2832" s="6" t="str">
        <f>IF($C2832="","",IFERROR(INDEX('Paramètres'!$H:$H,MATCH($C2832,'Paramètres'!$D:$D,0))&amp;"",""))</f>
        <v/>
      </c>
      <c r="T2832" s="6" t="str">
        <f>IF($K2832="","",IF($S2832="",0,IF(ISNUMBER(SEARCH("apport-exterieur",IFERROR(INDEX('Paramètres'!$N:$N,MATCH($D2832,'Paramètres'!$M:$M,0))&amp;"",""))),0,IF(OR(IFERROR(INDEX('Paramètres'!$I:$I,MATCH($C2832,'Paramètres'!$D:$D,0))&amp;"","")="Les deux",IFERROR(INDEX('Paramètres'!$I:$I,MATCH($C2832,'Paramètres'!$D:$D,0))&amp;"","")=IF($P2832=1,"Débit",$L2832)),-IF($P2832=1,-$K2832,$K2832),0))))</f>
        <v/>
      </c>
      <c r="U2832" s="6" t="str">
        <f>IF($K2832="","",IF(ISNUMBER(SEARCH("sortie-epargne",IFERROR(INDEX('Paramètres'!$N:$N,MATCH($D2832,'Paramètres'!$M:$M,0))&amp;"",""))),$K2832,0))</f>
        <v/>
      </c>
      <c r="V2832" s="6" t="str">
        <f>IF(AND($A2832&lt;&gt;"",$O2832=1,$L2832="Débit",N($Q2832)&gt;0,$A2832&gt;=Visualisation!$B$1,$A2832&lt;Visualisation!$D$1),MAX($V$1:V2831)+1,"")</f>
        <v/>
      </c>
    </row>
    <row r="2833" spans="1:22" x14ac:dyDescent="0.25">
      <c r="A2833" s="9"/>
      <c r="E2833" s="10"/>
      <c r="K2833" s="11" t="str">
        <f>IF($E2833="","",ROUND($E2833*IF(ISNA(MATCH($C2833,'Paramètres'!$D:$D,0)),1,IF(INDEX('Paramètres'!$J:$J,MATCH($C2833,'Paramètres'!$D:$D,0))="",1,INDEX('Paramètres'!$J:$J,MATCH($C2833,'Paramètres'!$D:$D,0)))),2))</f>
        <v/>
      </c>
      <c r="L2833" s="6" t="str">
        <f>IF($D2833="","",IF($F2833&lt;&gt;"",$F2833,IF(ISNA(MATCH($D2833,'Paramètres'!$M:$M,0)),"⚠ Type inconnu",IFERROR(INDEX('Paramètres'!$P:$P,MATCH($D2833,'Paramètres'!$M:$M,0))&amp;"",""))))</f>
        <v/>
      </c>
      <c r="M2833" s="6" t="str">
        <f>IF($D2833="","",IF(ISNA(MATCH($D2833,'Paramètres'!$M:$M,0)),"⚠ Type inconnu",IF($L2833="Crédit","",IFERROR(INDEX('Paramètres'!$O:$O,MATCH($D2833,'Paramètres'!$M:$M,0))&amp;"",""))))</f>
        <v/>
      </c>
      <c r="N2833" s="6" t="str">
        <f>IF($D2833="","",IFERROR(INDEX('Paramètres'!$Q:$Q,MATCH($D2833,'Paramètres'!$M:$M,0))&amp;"",""))</f>
        <v/>
      </c>
      <c r="O2833" s="6" t="str">
        <f>IF($A2833="","",IF(OR($J2833&lt;&gt;"x",$A2833&lt;=FinReleve),1,0))</f>
        <v/>
      </c>
      <c r="P2833" s="6" t="str">
        <f>IF($D2833="","",IF(AND($L2833="Crédit",OR(IFERROR(INDEX('Paramètres'!$O:$O,MATCH($D2833,'Paramètres'!$M:$M,0))&amp;"","")&lt;&gt;"",ISNUMBER(SEARCH("remboursement",IFERROR(INDEX('Paramètres'!$N:$N,MATCH($D2833,'Paramètres'!$M:$M,0))&amp;"",""))))),1,0))</f>
        <v/>
      </c>
      <c r="Q2833" s="6" t="str">
        <f>IF($K2833="","",IF(ISNUMBER(SEARCH("transfert-interne",IFERROR(INDEX('Paramètres'!$N:$N,MATCH($D2833,'Paramètres'!$M:$M,0))&amp;"",""))),0,IF($L2833="Débit",$K2833,IF($P2833=1,-$K2833,0))))</f>
        <v/>
      </c>
      <c r="R2833" s="6" t="str">
        <f>IF($K2833="","",IF($L2833="Crédit",$K2833,-$K2833))</f>
        <v/>
      </c>
      <c r="S2833" s="6" t="str">
        <f>IF($C2833="","",IFERROR(INDEX('Paramètres'!$H:$H,MATCH($C2833,'Paramètres'!$D:$D,0))&amp;"",""))</f>
        <v/>
      </c>
      <c r="T2833" s="6" t="str">
        <f>IF($K2833="","",IF($S2833="",0,IF(ISNUMBER(SEARCH("apport-exterieur",IFERROR(INDEX('Paramètres'!$N:$N,MATCH($D2833,'Paramètres'!$M:$M,0))&amp;"",""))),0,IF(OR(IFERROR(INDEX('Paramètres'!$I:$I,MATCH($C2833,'Paramètres'!$D:$D,0))&amp;"","")="Les deux",IFERROR(INDEX('Paramètres'!$I:$I,MATCH($C2833,'Paramètres'!$D:$D,0))&amp;"","")=IF($P2833=1,"Débit",$L2833)),-IF($P2833=1,-$K2833,$K2833),0))))</f>
        <v/>
      </c>
      <c r="U2833" s="6" t="str">
        <f>IF($K2833="","",IF(ISNUMBER(SEARCH("sortie-epargne",IFERROR(INDEX('Paramètres'!$N:$N,MATCH($D2833,'Paramètres'!$M:$M,0))&amp;"",""))),$K2833,0))</f>
        <v/>
      </c>
      <c r="V2833" s="6" t="str">
        <f>IF(AND($A2833&lt;&gt;"",$O2833=1,$L2833="Débit",N($Q2833)&gt;0,$A2833&gt;=Visualisation!$B$1,$A2833&lt;Visualisation!$D$1),MAX($V$1:V2832)+1,"")</f>
        <v/>
      </c>
    </row>
    <row r="2834" spans="1:22" x14ac:dyDescent="0.25">
      <c r="A2834" s="9"/>
      <c r="E2834" s="10"/>
      <c r="K2834" s="11" t="str">
        <f>IF($E2834="","",ROUND($E2834*IF(ISNA(MATCH($C2834,'Paramètres'!$D:$D,0)),1,IF(INDEX('Paramètres'!$J:$J,MATCH($C2834,'Paramètres'!$D:$D,0))="",1,INDEX('Paramètres'!$J:$J,MATCH($C2834,'Paramètres'!$D:$D,0)))),2))</f>
        <v/>
      </c>
      <c r="L2834" s="6" t="str">
        <f>IF($D2834="","",IF($F2834&lt;&gt;"",$F2834,IF(ISNA(MATCH($D2834,'Paramètres'!$M:$M,0)),"⚠ Type inconnu",IFERROR(INDEX('Paramètres'!$P:$P,MATCH($D2834,'Paramètres'!$M:$M,0))&amp;"",""))))</f>
        <v/>
      </c>
      <c r="M2834" s="6" t="str">
        <f>IF($D2834="","",IF(ISNA(MATCH($D2834,'Paramètres'!$M:$M,0)),"⚠ Type inconnu",IF($L2834="Crédit","",IFERROR(INDEX('Paramètres'!$O:$O,MATCH($D2834,'Paramètres'!$M:$M,0))&amp;"",""))))</f>
        <v/>
      </c>
      <c r="N2834" s="6" t="str">
        <f>IF($D2834="","",IFERROR(INDEX('Paramètres'!$Q:$Q,MATCH($D2834,'Paramètres'!$M:$M,0))&amp;"",""))</f>
        <v/>
      </c>
      <c r="O2834" s="6" t="str">
        <f>IF($A2834="","",IF(OR($J2834&lt;&gt;"x",$A2834&lt;=FinReleve),1,0))</f>
        <v/>
      </c>
      <c r="P2834" s="6" t="str">
        <f>IF($D2834="","",IF(AND($L2834="Crédit",OR(IFERROR(INDEX('Paramètres'!$O:$O,MATCH($D2834,'Paramètres'!$M:$M,0))&amp;"","")&lt;&gt;"",ISNUMBER(SEARCH("remboursement",IFERROR(INDEX('Paramètres'!$N:$N,MATCH($D2834,'Paramètres'!$M:$M,0))&amp;"",""))))),1,0))</f>
        <v/>
      </c>
      <c r="Q2834" s="6" t="str">
        <f>IF($K2834="","",IF(ISNUMBER(SEARCH("transfert-interne",IFERROR(INDEX('Paramètres'!$N:$N,MATCH($D2834,'Paramètres'!$M:$M,0))&amp;"",""))),0,IF($L2834="Débit",$K2834,IF($P2834=1,-$K2834,0))))</f>
        <v/>
      </c>
      <c r="R2834" s="6" t="str">
        <f>IF($K2834="","",IF($L2834="Crédit",$K2834,-$K2834))</f>
        <v/>
      </c>
      <c r="S2834" s="6" t="str">
        <f>IF($C2834="","",IFERROR(INDEX('Paramètres'!$H:$H,MATCH($C2834,'Paramètres'!$D:$D,0))&amp;"",""))</f>
        <v/>
      </c>
      <c r="T2834" s="6" t="str">
        <f>IF($K2834="","",IF($S2834="",0,IF(ISNUMBER(SEARCH("apport-exterieur",IFERROR(INDEX('Paramètres'!$N:$N,MATCH($D2834,'Paramètres'!$M:$M,0))&amp;"",""))),0,IF(OR(IFERROR(INDEX('Paramètres'!$I:$I,MATCH($C2834,'Paramètres'!$D:$D,0))&amp;"","")="Les deux",IFERROR(INDEX('Paramètres'!$I:$I,MATCH($C2834,'Paramètres'!$D:$D,0))&amp;"","")=IF($P2834=1,"Débit",$L2834)),-IF($P2834=1,-$K2834,$K2834),0))))</f>
        <v/>
      </c>
      <c r="U2834" s="6" t="str">
        <f>IF($K2834="","",IF(ISNUMBER(SEARCH("sortie-epargne",IFERROR(INDEX('Paramètres'!$N:$N,MATCH($D2834,'Paramètres'!$M:$M,0))&amp;"",""))),$K2834,0))</f>
        <v/>
      </c>
      <c r="V2834" s="6" t="str">
        <f>IF(AND($A2834&lt;&gt;"",$O2834=1,$L2834="Débit",N($Q2834)&gt;0,$A2834&gt;=Visualisation!$B$1,$A2834&lt;Visualisation!$D$1),MAX($V$1:V2833)+1,"")</f>
        <v/>
      </c>
    </row>
    <row r="2835" spans="1:22" x14ac:dyDescent="0.25">
      <c r="A2835" s="9"/>
      <c r="E2835" s="10"/>
      <c r="K2835" s="11" t="str">
        <f>IF($E2835="","",ROUND($E2835*IF(ISNA(MATCH($C2835,'Paramètres'!$D:$D,0)),1,IF(INDEX('Paramètres'!$J:$J,MATCH($C2835,'Paramètres'!$D:$D,0))="",1,INDEX('Paramètres'!$J:$J,MATCH($C2835,'Paramètres'!$D:$D,0)))),2))</f>
        <v/>
      </c>
      <c r="L2835" s="6" t="str">
        <f>IF($D2835="","",IF($F2835&lt;&gt;"",$F2835,IF(ISNA(MATCH($D2835,'Paramètres'!$M:$M,0)),"⚠ Type inconnu",IFERROR(INDEX('Paramètres'!$P:$P,MATCH($D2835,'Paramètres'!$M:$M,0))&amp;"",""))))</f>
        <v/>
      </c>
      <c r="M2835" s="6" t="str">
        <f>IF($D2835="","",IF(ISNA(MATCH($D2835,'Paramètres'!$M:$M,0)),"⚠ Type inconnu",IF($L2835="Crédit","",IFERROR(INDEX('Paramètres'!$O:$O,MATCH($D2835,'Paramètres'!$M:$M,0))&amp;"",""))))</f>
        <v/>
      </c>
      <c r="N2835" s="6" t="str">
        <f>IF($D2835="","",IFERROR(INDEX('Paramètres'!$Q:$Q,MATCH($D2835,'Paramètres'!$M:$M,0))&amp;"",""))</f>
        <v/>
      </c>
      <c r="O2835" s="6" t="str">
        <f>IF($A2835="","",IF(OR($J2835&lt;&gt;"x",$A2835&lt;=FinReleve),1,0))</f>
        <v/>
      </c>
      <c r="P2835" s="6" t="str">
        <f>IF($D2835="","",IF(AND($L2835="Crédit",OR(IFERROR(INDEX('Paramètres'!$O:$O,MATCH($D2835,'Paramètres'!$M:$M,0))&amp;"","")&lt;&gt;"",ISNUMBER(SEARCH("remboursement",IFERROR(INDEX('Paramètres'!$N:$N,MATCH($D2835,'Paramètres'!$M:$M,0))&amp;"",""))))),1,0))</f>
        <v/>
      </c>
      <c r="Q2835" s="6" t="str">
        <f>IF($K2835="","",IF(ISNUMBER(SEARCH("transfert-interne",IFERROR(INDEX('Paramètres'!$N:$N,MATCH($D2835,'Paramètres'!$M:$M,0))&amp;"",""))),0,IF($L2835="Débit",$K2835,IF($P2835=1,-$K2835,0))))</f>
        <v/>
      </c>
      <c r="R2835" s="6" t="str">
        <f>IF($K2835="","",IF($L2835="Crédit",$K2835,-$K2835))</f>
        <v/>
      </c>
      <c r="S2835" s="6" t="str">
        <f>IF($C2835="","",IFERROR(INDEX('Paramètres'!$H:$H,MATCH($C2835,'Paramètres'!$D:$D,0))&amp;"",""))</f>
        <v/>
      </c>
      <c r="T2835" s="6" t="str">
        <f>IF($K2835="","",IF($S2835="",0,IF(ISNUMBER(SEARCH("apport-exterieur",IFERROR(INDEX('Paramètres'!$N:$N,MATCH($D2835,'Paramètres'!$M:$M,0))&amp;"",""))),0,IF(OR(IFERROR(INDEX('Paramètres'!$I:$I,MATCH($C2835,'Paramètres'!$D:$D,0))&amp;"","")="Les deux",IFERROR(INDEX('Paramètres'!$I:$I,MATCH($C2835,'Paramètres'!$D:$D,0))&amp;"","")=IF($P2835=1,"Débit",$L2835)),-IF($P2835=1,-$K2835,$K2835),0))))</f>
        <v/>
      </c>
      <c r="U2835" s="6" t="str">
        <f>IF($K2835="","",IF(ISNUMBER(SEARCH("sortie-epargne",IFERROR(INDEX('Paramètres'!$N:$N,MATCH($D2835,'Paramètres'!$M:$M,0))&amp;"",""))),$K2835,0))</f>
        <v/>
      </c>
      <c r="V2835" s="6" t="str">
        <f>IF(AND($A2835&lt;&gt;"",$O2835=1,$L2835="Débit",N($Q2835)&gt;0,$A2835&gt;=Visualisation!$B$1,$A2835&lt;Visualisation!$D$1),MAX($V$1:V2834)+1,"")</f>
        <v/>
      </c>
    </row>
    <row r="2836" spans="1:22" x14ac:dyDescent="0.25">
      <c r="A2836" s="9"/>
      <c r="E2836" s="10"/>
      <c r="K2836" s="11" t="str">
        <f>IF($E2836="","",ROUND($E2836*IF(ISNA(MATCH($C2836,'Paramètres'!$D:$D,0)),1,IF(INDEX('Paramètres'!$J:$J,MATCH($C2836,'Paramètres'!$D:$D,0))="",1,INDEX('Paramètres'!$J:$J,MATCH($C2836,'Paramètres'!$D:$D,0)))),2))</f>
        <v/>
      </c>
      <c r="L2836" s="6" t="str">
        <f>IF($D2836="","",IF($F2836&lt;&gt;"",$F2836,IF(ISNA(MATCH($D2836,'Paramètres'!$M:$M,0)),"⚠ Type inconnu",IFERROR(INDEX('Paramètres'!$P:$P,MATCH($D2836,'Paramètres'!$M:$M,0))&amp;"",""))))</f>
        <v/>
      </c>
      <c r="M2836" s="6" t="str">
        <f>IF($D2836="","",IF(ISNA(MATCH($D2836,'Paramètres'!$M:$M,0)),"⚠ Type inconnu",IF($L2836="Crédit","",IFERROR(INDEX('Paramètres'!$O:$O,MATCH($D2836,'Paramètres'!$M:$M,0))&amp;"",""))))</f>
        <v/>
      </c>
      <c r="N2836" s="6" t="str">
        <f>IF($D2836="","",IFERROR(INDEX('Paramètres'!$Q:$Q,MATCH($D2836,'Paramètres'!$M:$M,0))&amp;"",""))</f>
        <v/>
      </c>
      <c r="O2836" s="6" t="str">
        <f>IF($A2836="","",IF(OR($J2836&lt;&gt;"x",$A2836&lt;=FinReleve),1,0))</f>
        <v/>
      </c>
      <c r="P2836" s="6" t="str">
        <f>IF($D2836="","",IF(AND($L2836="Crédit",OR(IFERROR(INDEX('Paramètres'!$O:$O,MATCH($D2836,'Paramètres'!$M:$M,0))&amp;"","")&lt;&gt;"",ISNUMBER(SEARCH("remboursement",IFERROR(INDEX('Paramètres'!$N:$N,MATCH($D2836,'Paramètres'!$M:$M,0))&amp;"",""))))),1,0))</f>
        <v/>
      </c>
      <c r="Q2836" s="6" t="str">
        <f>IF($K2836="","",IF(ISNUMBER(SEARCH("transfert-interne",IFERROR(INDEX('Paramètres'!$N:$N,MATCH($D2836,'Paramètres'!$M:$M,0))&amp;"",""))),0,IF($L2836="Débit",$K2836,IF($P2836=1,-$K2836,0))))</f>
        <v/>
      </c>
      <c r="R2836" s="6" t="str">
        <f>IF($K2836="","",IF($L2836="Crédit",$K2836,-$K2836))</f>
        <v/>
      </c>
      <c r="S2836" s="6" t="str">
        <f>IF($C2836="","",IFERROR(INDEX('Paramètres'!$H:$H,MATCH($C2836,'Paramètres'!$D:$D,0))&amp;"",""))</f>
        <v/>
      </c>
      <c r="T2836" s="6" t="str">
        <f>IF($K2836="","",IF($S2836="",0,IF(ISNUMBER(SEARCH("apport-exterieur",IFERROR(INDEX('Paramètres'!$N:$N,MATCH($D2836,'Paramètres'!$M:$M,0))&amp;"",""))),0,IF(OR(IFERROR(INDEX('Paramètres'!$I:$I,MATCH($C2836,'Paramètres'!$D:$D,0))&amp;"","")="Les deux",IFERROR(INDEX('Paramètres'!$I:$I,MATCH($C2836,'Paramètres'!$D:$D,0))&amp;"","")=IF($P2836=1,"Débit",$L2836)),-IF($P2836=1,-$K2836,$K2836),0))))</f>
        <v/>
      </c>
      <c r="U2836" s="6" t="str">
        <f>IF($K2836="","",IF(ISNUMBER(SEARCH("sortie-epargne",IFERROR(INDEX('Paramètres'!$N:$N,MATCH($D2836,'Paramètres'!$M:$M,0))&amp;"",""))),$K2836,0))</f>
        <v/>
      </c>
      <c r="V2836" s="6" t="str">
        <f>IF(AND($A2836&lt;&gt;"",$O2836=1,$L2836="Débit",N($Q2836)&gt;0,$A2836&gt;=Visualisation!$B$1,$A2836&lt;Visualisation!$D$1),MAX($V$1:V2835)+1,"")</f>
        <v/>
      </c>
    </row>
    <row r="2837" spans="1:22" x14ac:dyDescent="0.25">
      <c r="A2837" s="9"/>
      <c r="E2837" s="10"/>
      <c r="K2837" s="11" t="str">
        <f>IF($E2837="","",ROUND($E2837*IF(ISNA(MATCH($C2837,'Paramètres'!$D:$D,0)),1,IF(INDEX('Paramètres'!$J:$J,MATCH($C2837,'Paramètres'!$D:$D,0))="",1,INDEX('Paramètres'!$J:$J,MATCH($C2837,'Paramètres'!$D:$D,0)))),2))</f>
        <v/>
      </c>
      <c r="L2837" s="6" t="str">
        <f>IF($D2837="","",IF($F2837&lt;&gt;"",$F2837,IF(ISNA(MATCH($D2837,'Paramètres'!$M:$M,0)),"⚠ Type inconnu",IFERROR(INDEX('Paramètres'!$P:$P,MATCH($D2837,'Paramètres'!$M:$M,0))&amp;"",""))))</f>
        <v/>
      </c>
      <c r="M2837" s="6" t="str">
        <f>IF($D2837="","",IF(ISNA(MATCH($D2837,'Paramètres'!$M:$M,0)),"⚠ Type inconnu",IF($L2837="Crédit","",IFERROR(INDEX('Paramètres'!$O:$O,MATCH($D2837,'Paramètres'!$M:$M,0))&amp;"",""))))</f>
        <v/>
      </c>
      <c r="N2837" s="6" t="str">
        <f>IF($D2837="","",IFERROR(INDEX('Paramètres'!$Q:$Q,MATCH($D2837,'Paramètres'!$M:$M,0))&amp;"",""))</f>
        <v/>
      </c>
      <c r="O2837" s="6" t="str">
        <f>IF($A2837="","",IF(OR($J2837&lt;&gt;"x",$A2837&lt;=FinReleve),1,0))</f>
        <v/>
      </c>
      <c r="P2837" s="6" t="str">
        <f>IF($D2837="","",IF(AND($L2837="Crédit",OR(IFERROR(INDEX('Paramètres'!$O:$O,MATCH($D2837,'Paramètres'!$M:$M,0))&amp;"","")&lt;&gt;"",ISNUMBER(SEARCH("remboursement",IFERROR(INDEX('Paramètres'!$N:$N,MATCH($D2837,'Paramètres'!$M:$M,0))&amp;"",""))))),1,0))</f>
        <v/>
      </c>
      <c r="Q2837" s="6" t="str">
        <f>IF($K2837="","",IF(ISNUMBER(SEARCH("transfert-interne",IFERROR(INDEX('Paramètres'!$N:$N,MATCH($D2837,'Paramètres'!$M:$M,0))&amp;"",""))),0,IF($L2837="Débit",$K2837,IF($P2837=1,-$K2837,0))))</f>
        <v/>
      </c>
      <c r="R2837" s="6" t="str">
        <f>IF($K2837="","",IF($L2837="Crédit",$K2837,-$K2837))</f>
        <v/>
      </c>
      <c r="S2837" s="6" t="str">
        <f>IF($C2837="","",IFERROR(INDEX('Paramètres'!$H:$H,MATCH($C2837,'Paramètres'!$D:$D,0))&amp;"",""))</f>
        <v/>
      </c>
      <c r="T2837" s="6" t="str">
        <f>IF($K2837="","",IF($S2837="",0,IF(ISNUMBER(SEARCH("apport-exterieur",IFERROR(INDEX('Paramètres'!$N:$N,MATCH($D2837,'Paramètres'!$M:$M,0))&amp;"",""))),0,IF(OR(IFERROR(INDEX('Paramètres'!$I:$I,MATCH($C2837,'Paramètres'!$D:$D,0))&amp;"","")="Les deux",IFERROR(INDEX('Paramètres'!$I:$I,MATCH($C2837,'Paramètres'!$D:$D,0))&amp;"","")=IF($P2837=1,"Débit",$L2837)),-IF($P2837=1,-$K2837,$K2837),0))))</f>
        <v/>
      </c>
      <c r="U2837" s="6" t="str">
        <f>IF($K2837="","",IF(ISNUMBER(SEARCH("sortie-epargne",IFERROR(INDEX('Paramètres'!$N:$N,MATCH($D2837,'Paramètres'!$M:$M,0))&amp;"",""))),$K2837,0))</f>
        <v/>
      </c>
      <c r="V2837" s="6" t="str">
        <f>IF(AND($A2837&lt;&gt;"",$O2837=1,$L2837="Débit",N($Q2837)&gt;0,$A2837&gt;=Visualisation!$B$1,$A2837&lt;Visualisation!$D$1),MAX($V$1:V2836)+1,"")</f>
        <v/>
      </c>
    </row>
    <row r="2838" spans="1:22" x14ac:dyDescent="0.25">
      <c r="A2838" s="9"/>
      <c r="E2838" s="10"/>
      <c r="K2838" s="11" t="str">
        <f>IF($E2838="","",ROUND($E2838*IF(ISNA(MATCH($C2838,'Paramètres'!$D:$D,0)),1,IF(INDEX('Paramètres'!$J:$J,MATCH($C2838,'Paramètres'!$D:$D,0))="",1,INDEX('Paramètres'!$J:$J,MATCH($C2838,'Paramètres'!$D:$D,0)))),2))</f>
        <v/>
      </c>
      <c r="L2838" s="6" t="str">
        <f>IF($D2838="","",IF($F2838&lt;&gt;"",$F2838,IF(ISNA(MATCH($D2838,'Paramètres'!$M:$M,0)),"⚠ Type inconnu",IFERROR(INDEX('Paramètres'!$P:$P,MATCH($D2838,'Paramètres'!$M:$M,0))&amp;"",""))))</f>
        <v/>
      </c>
      <c r="M2838" s="6" t="str">
        <f>IF($D2838="","",IF(ISNA(MATCH($D2838,'Paramètres'!$M:$M,0)),"⚠ Type inconnu",IF($L2838="Crédit","",IFERROR(INDEX('Paramètres'!$O:$O,MATCH($D2838,'Paramètres'!$M:$M,0))&amp;"",""))))</f>
        <v/>
      </c>
      <c r="N2838" s="6" t="str">
        <f>IF($D2838="","",IFERROR(INDEX('Paramètres'!$Q:$Q,MATCH($D2838,'Paramètres'!$M:$M,0))&amp;"",""))</f>
        <v/>
      </c>
      <c r="O2838" s="6" t="str">
        <f>IF($A2838="","",IF(OR($J2838&lt;&gt;"x",$A2838&lt;=FinReleve),1,0))</f>
        <v/>
      </c>
      <c r="P2838" s="6" t="str">
        <f>IF($D2838="","",IF(AND($L2838="Crédit",OR(IFERROR(INDEX('Paramètres'!$O:$O,MATCH($D2838,'Paramètres'!$M:$M,0))&amp;"","")&lt;&gt;"",ISNUMBER(SEARCH("remboursement",IFERROR(INDEX('Paramètres'!$N:$N,MATCH($D2838,'Paramètres'!$M:$M,0))&amp;"",""))))),1,0))</f>
        <v/>
      </c>
      <c r="Q2838" s="6" t="str">
        <f>IF($K2838="","",IF(ISNUMBER(SEARCH("transfert-interne",IFERROR(INDEX('Paramètres'!$N:$N,MATCH($D2838,'Paramètres'!$M:$M,0))&amp;"",""))),0,IF($L2838="Débit",$K2838,IF($P2838=1,-$K2838,0))))</f>
        <v/>
      </c>
      <c r="R2838" s="6" t="str">
        <f>IF($K2838="","",IF($L2838="Crédit",$K2838,-$K2838))</f>
        <v/>
      </c>
      <c r="S2838" s="6" t="str">
        <f>IF($C2838="","",IFERROR(INDEX('Paramètres'!$H:$H,MATCH($C2838,'Paramètres'!$D:$D,0))&amp;"",""))</f>
        <v/>
      </c>
      <c r="T2838" s="6" t="str">
        <f>IF($K2838="","",IF($S2838="",0,IF(ISNUMBER(SEARCH("apport-exterieur",IFERROR(INDEX('Paramètres'!$N:$N,MATCH($D2838,'Paramètres'!$M:$M,0))&amp;"",""))),0,IF(OR(IFERROR(INDEX('Paramètres'!$I:$I,MATCH($C2838,'Paramètres'!$D:$D,0))&amp;"","")="Les deux",IFERROR(INDEX('Paramètres'!$I:$I,MATCH($C2838,'Paramètres'!$D:$D,0))&amp;"","")=IF($P2838=1,"Débit",$L2838)),-IF($P2838=1,-$K2838,$K2838),0))))</f>
        <v/>
      </c>
      <c r="U2838" s="6" t="str">
        <f>IF($K2838="","",IF(ISNUMBER(SEARCH("sortie-epargne",IFERROR(INDEX('Paramètres'!$N:$N,MATCH($D2838,'Paramètres'!$M:$M,0))&amp;"",""))),$K2838,0))</f>
        <v/>
      </c>
      <c r="V2838" s="6" t="str">
        <f>IF(AND($A2838&lt;&gt;"",$O2838=1,$L2838="Débit",N($Q2838)&gt;0,$A2838&gt;=Visualisation!$B$1,$A2838&lt;Visualisation!$D$1),MAX($V$1:V2837)+1,"")</f>
        <v/>
      </c>
    </row>
    <row r="2839" spans="1:22" x14ac:dyDescent="0.25">
      <c r="A2839" s="9"/>
      <c r="E2839" s="10"/>
      <c r="K2839" s="11" t="str">
        <f>IF($E2839="","",ROUND($E2839*IF(ISNA(MATCH($C2839,'Paramètres'!$D:$D,0)),1,IF(INDEX('Paramètres'!$J:$J,MATCH($C2839,'Paramètres'!$D:$D,0))="",1,INDEX('Paramètres'!$J:$J,MATCH($C2839,'Paramètres'!$D:$D,0)))),2))</f>
        <v/>
      </c>
      <c r="L2839" s="6" t="str">
        <f>IF($D2839="","",IF($F2839&lt;&gt;"",$F2839,IF(ISNA(MATCH($D2839,'Paramètres'!$M:$M,0)),"⚠ Type inconnu",IFERROR(INDEX('Paramètres'!$P:$P,MATCH($D2839,'Paramètres'!$M:$M,0))&amp;"",""))))</f>
        <v/>
      </c>
      <c r="M2839" s="6" t="str">
        <f>IF($D2839="","",IF(ISNA(MATCH($D2839,'Paramètres'!$M:$M,0)),"⚠ Type inconnu",IF($L2839="Crédit","",IFERROR(INDEX('Paramètres'!$O:$O,MATCH($D2839,'Paramètres'!$M:$M,0))&amp;"",""))))</f>
        <v/>
      </c>
      <c r="N2839" s="6" t="str">
        <f>IF($D2839="","",IFERROR(INDEX('Paramètres'!$Q:$Q,MATCH($D2839,'Paramètres'!$M:$M,0))&amp;"",""))</f>
        <v/>
      </c>
      <c r="O2839" s="6" t="str">
        <f>IF($A2839="","",IF(OR($J2839&lt;&gt;"x",$A2839&lt;=FinReleve),1,0))</f>
        <v/>
      </c>
      <c r="P2839" s="6" t="str">
        <f>IF($D2839="","",IF(AND($L2839="Crédit",OR(IFERROR(INDEX('Paramètres'!$O:$O,MATCH($D2839,'Paramètres'!$M:$M,0))&amp;"","")&lt;&gt;"",ISNUMBER(SEARCH("remboursement",IFERROR(INDEX('Paramètres'!$N:$N,MATCH($D2839,'Paramètres'!$M:$M,0))&amp;"",""))))),1,0))</f>
        <v/>
      </c>
      <c r="Q2839" s="6" t="str">
        <f>IF($K2839="","",IF(ISNUMBER(SEARCH("transfert-interne",IFERROR(INDEX('Paramètres'!$N:$N,MATCH($D2839,'Paramètres'!$M:$M,0))&amp;"",""))),0,IF($L2839="Débit",$K2839,IF($P2839=1,-$K2839,0))))</f>
        <v/>
      </c>
      <c r="R2839" s="6" t="str">
        <f>IF($K2839="","",IF($L2839="Crédit",$K2839,-$K2839))</f>
        <v/>
      </c>
      <c r="S2839" s="6" t="str">
        <f>IF($C2839="","",IFERROR(INDEX('Paramètres'!$H:$H,MATCH($C2839,'Paramètres'!$D:$D,0))&amp;"",""))</f>
        <v/>
      </c>
      <c r="T2839" s="6" t="str">
        <f>IF($K2839="","",IF($S2839="",0,IF(ISNUMBER(SEARCH("apport-exterieur",IFERROR(INDEX('Paramètres'!$N:$N,MATCH($D2839,'Paramètres'!$M:$M,0))&amp;"",""))),0,IF(OR(IFERROR(INDEX('Paramètres'!$I:$I,MATCH($C2839,'Paramètres'!$D:$D,0))&amp;"","")="Les deux",IFERROR(INDEX('Paramètres'!$I:$I,MATCH($C2839,'Paramètres'!$D:$D,0))&amp;"","")=IF($P2839=1,"Débit",$L2839)),-IF($P2839=1,-$K2839,$K2839),0))))</f>
        <v/>
      </c>
      <c r="U2839" s="6" t="str">
        <f>IF($K2839="","",IF(ISNUMBER(SEARCH("sortie-epargne",IFERROR(INDEX('Paramètres'!$N:$N,MATCH($D2839,'Paramètres'!$M:$M,0))&amp;"",""))),$K2839,0))</f>
        <v/>
      </c>
      <c r="V2839" s="6" t="str">
        <f>IF(AND($A2839&lt;&gt;"",$O2839=1,$L2839="Débit",N($Q2839)&gt;0,$A2839&gt;=Visualisation!$B$1,$A2839&lt;Visualisation!$D$1),MAX($V$1:V2838)+1,"")</f>
        <v/>
      </c>
    </row>
    <row r="2840" spans="1:22" x14ac:dyDescent="0.25">
      <c r="A2840" s="9"/>
      <c r="E2840" s="10"/>
      <c r="K2840" s="11" t="str">
        <f>IF($E2840="","",ROUND($E2840*IF(ISNA(MATCH($C2840,'Paramètres'!$D:$D,0)),1,IF(INDEX('Paramètres'!$J:$J,MATCH($C2840,'Paramètres'!$D:$D,0))="",1,INDEX('Paramètres'!$J:$J,MATCH($C2840,'Paramètres'!$D:$D,0)))),2))</f>
        <v/>
      </c>
      <c r="L2840" s="6" t="str">
        <f>IF($D2840="","",IF($F2840&lt;&gt;"",$F2840,IF(ISNA(MATCH($D2840,'Paramètres'!$M:$M,0)),"⚠ Type inconnu",IFERROR(INDEX('Paramètres'!$P:$P,MATCH($D2840,'Paramètres'!$M:$M,0))&amp;"",""))))</f>
        <v/>
      </c>
      <c r="M2840" s="6" t="str">
        <f>IF($D2840="","",IF(ISNA(MATCH($D2840,'Paramètres'!$M:$M,0)),"⚠ Type inconnu",IF($L2840="Crédit","",IFERROR(INDEX('Paramètres'!$O:$O,MATCH($D2840,'Paramètres'!$M:$M,0))&amp;"",""))))</f>
        <v/>
      </c>
      <c r="N2840" s="6" t="str">
        <f>IF($D2840="","",IFERROR(INDEX('Paramètres'!$Q:$Q,MATCH($D2840,'Paramètres'!$M:$M,0))&amp;"",""))</f>
        <v/>
      </c>
      <c r="O2840" s="6" t="str">
        <f>IF($A2840="","",IF(OR($J2840&lt;&gt;"x",$A2840&lt;=FinReleve),1,0))</f>
        <v/>
      </c>
      <c r="P2840" s="6" t="str">
        <f>IF($D2840="","",IF(AND($L2840="Crédit",OR(IFERROR(INDEX('Paramètres'!$O:$O,MATCH($D2840,'Paramètres'!$M:$M,0))&amp;"","")&lt;&gt;"",ISNUMBER(SEARCH("remboursement",IFERROR(INDEX('Paramètres'!$N:$N,MATCH($D2840,'Paramètres'!$M:$M,0))&amp;"",""))))),1,0))</f>
        <v/>
      </c>
      <c r="Q2840" s="6" t="str">
        <f>IF($K2840="","",IF(ISNUMBER(SEARCH("transfert-interne",IFERROR(INDEX('Paramètres'!$N:$N,MATCH($D2840,'Paramètres'!$M:$M,0))&amp;"",""))),0,IF($L2840="Débit",$K2840,IF($P2840=1,-$K2840,0))))</f>
        <v/>
      </c>
      <c r="R2840" s="6" t="str">
        <f>IF($K2840="","",IF($L2840="Crédit",$K2840,-$K2840))</f>
        <v/>
      </c>
      <c r="S2840" s="6" t="str">
        <f>IF($C2840="","",IFERROR(INDEX('Paramètres'!$H:$H,MATCH($C2840,'Paramètres'!$D:$D,0))&amp;"",""))</f>
        <v/>
      </c>
      <c r="T2840" s="6" t="str">
        <f>IF($K2840="","",IF($S2840="",0,IF(ISNUMBER(SEARCH("apport-exterieur",IFERROR(INDEX('Paramètres'!$N:$N,MATCH($D2840,'Paramètres'!$M:$M,0))&amp;"",""))),0,IF(OR(IFERROR(INDEX('Paramètres'!$I:$I,MATCH($C2840,'Paramètres'!$D:$D,0))&amp;"","")="Les deux",IFERROR(INDEX('Paramètres'!$I:$I,MATCH($C2840,'Paramètres'!$D:$D,0))&amp;"","")=IF($P2840=1,"Débit",$L2840)),-IF($P2840=1,-$K2840,$K2840),0))))</f>
        <v/>
      </c>
      <c r="U2840" s="6" t="str">
        <f>IF($K2840="","",IF(ISNUMBER(SEARCH("sortie-epargne",IFERROR(INDEX('Paramètres'!$N:$N,MATCH($D2840,'Paramètres'!$M:$M,0))&amp;"",""))),$K2840,0))</f>
        <v/>
      </c>
      <c r="V2840" s="6" t="str">
        <f>IF(AND($A2840&lt;&gt;"",$O2840=1,$L2840="Débit",N($Q2840)&gt;0,$A2840&gt;=Visualisation!$B$1,$A2840&lt;Visualisation!$D$1),MAX($V$1:V2839)+1,"")</f>
        <v/>
      </c>
    </row>
    <row r="2841" spans="1:22" x14ac:dyDescent="0.25">
      <c r="A2841" s="9"/>
      <c r="E2841" s="10"/>
      <c r="K2841" s="11" t="str">
        <f>IF($E2841="","",ROUND($E2841*IF(ISNA(MATCH($C2841,'Paramètres'!$D:$D,0)),1,IF(INDEX('Paramètres'!$J:$J,MATCH($C2841,'Paramètres'!$D:$D,0))="",1,INDEX('Paramètres'!$J:$J,MATCH($C2841,'Paramètres'!$D:$D,0)))),2))</f>
        <v/>
      </c>
      <c r="L2841" s="6" t="str">
        <f>IF($D2841="","",IF($F2841&lt;&gt;"",$F2841,IF(ISNA(MATCH($D2841,'Paramètres'!$M:$M,0)),"⚠ Type inconnu",IFERROR(INDEX('Paramètres'!$P:$P,MATCH($D2841,'Paramètres'!$M:$M,0))&amp;"",""))))</f>
        <v/>
      </c>
      <c r="M2841" s="6" t="str">
        <f>IF($D2841="","",IF(ISNA(MATCH($D2841,'Paramètres'!$M:$M,0)),"⚠ Type inconnu",IF($L2841="Crédit","",IFERROR(INDEX('Paramètres'!$O:$O,MATCH($D2841,'Paramètres'!$M:$M,0))&amp;"",""))))</f>
        <v/>
      </c>
      <c r="N2841" s="6" t="str">
        <f>IF($D2841="","",IFERROR(INDEX('Paramètres'!$Q:$Q,MATCH($D2841,'Paramètres'!$M:$M,0))&amp;"",""))</f>
        <v/>
      </c>
      <c r="O2841" s="6" t="str">
        <f>IF($A2841="","",IF(OR($J2841&lt;&gt;"x",$A2841&lt;=FinReleve),1,0))</f>
        <v/>
      </c>
      <c r="P2841" s="6" t="str">
        <f>IF($D2841="","",IF(AND($L2841="Crédit",OR(IFERROR(INDEX('Paramètres'!$O:$O,MATCH($D2841,'Paramètres'!$M:$M,0))&amp;"","")&lt;&gt;"",ISNUMBER(SEARCH("remboursement",IFERROR(INDEX('Paramètres'!$N:$N,MATCH($D2841,'Paramètres'!$M:$M,0))&amp;"",""))))),1,0))</f>
        <v/>
      </c>
      <c r="Q2841" s="6" t="str">
        <f>IF($K2841="","",IF(ISNUMBER(SEARCH("transfert-interne",IFERROR(INDEX('Paramètres'!$N:$N,MATCH($D2841,'Paramètres'!$M:$M,0))&amp;"",""))),0,IF($L2841="Débit",$K2841,IF($P2841=1,-$K2841,0))))</f>
        <v/>
      </c>
      <c r="R2841" s="6" t="str">
        <f>IF($K2841="","",IF($L2841="Crédit",$K2841,-$K2841))</f>
        <v/>
      </c>
      <c r="S2841" s="6" t="str">
        <f>IF($C2841="","",IFERROR(INDEX('Paramètres'!$H:$H,MATCH($C2841,'Paramètres'!$D:$D,0))&amp;"",""))</f>
        <v/>
      </c>
      <c r="T2841" s="6" t="str">
        <f>IF($K2841="","",IF($S2841="",0,IF(ISNUMBER(SEARCH("apport-exterieur",IFERROR(INDEX('Paramètres'!$N:$N,MATCH($D2841,'Paramètres'!$M:$M,0))&amp;"",""))),0,IF(OR(IFERROR(INDEX('Paramètres'!$I:$I,MATCH($C2841,'Paramètres'!$D:$D,0))&amp;"","")="Les deux",IFERROR(INDEX('Paramètres'!$I:$I,MATCH($C2841,'Paramètres'!$D:$D,0))&amp;"","")=IF($P2841=1,"Débit",$L2841)),-IF($P2841=1,-$K2841,$K2841),0))))</f>
        <v/>
      </c>
      <c r="U2841" s="6" t="str">
        <f>IF($K2841="","",IF(ISNUMBER(SEARCH("sortie-epargne",IFERROR(INDEX('Paramètres'!$N:$N,MATCH($D2841,'Paramètres'!$M:$M,0))&amp;"",""))),$K2841,0))</f>
        <v/>
      </c>
      <c r="V2841" s="6" t="str">
        <f>IF(AND($A2841&lt;&gt;"",$O2841=1,$L2841="Débit",N($Q2841)&gt;0,$A2841&gt;=Visualisation!$B$1,$A2841&lt;Visualisation!$D$1),MAX($V$1:V2840)+1,"")</f>
        <v/>
      </c>
    </row>
    <row r="2842" spans="1:22" x14ac:dyDescent="0.25">
      <c r="A2842" s="9"/>
      <c r="E2842" s="10"/>
      <c r="K2842" s="11" t="str">
        <f>IF($E2842="","",ROUND($E2842*IF(ISNA(MATCH($C2842,'Paramètres'!$D:$D,0)),1,IF(INDEX('Paramètres'!$J:$J,MATCH($C2842,'Paramètres'!$D:$D,0))="",1,INDEX('Paramètres'!$J:$J,MATCH($C2842,'Paramètres'!$D:$D,0)))),2))</f>
        <v/>
      </c>
      <c r="L2842" s="6" t="str">
        <f>IF($D2842="","",IF($F2842&lt;&gt;"",$F2842,IF(ISNA(MATCH($D2842,'Paramètres'!$M:$M,0)),"⚠ Type inconnu",IFERROR(INDEX('Paramètres'!$P:$P,MATCH($D2842,'Paramètres'!$M:$M,0))&amp;"",""))))</f>
        <v/>
      </c>
      <c r="M2842" s="6" t="str">
        <f>IF($D2842="","",IF(ISNA(MATCH($D2842,'Paramètres'!$M:$M,0)),"⚠ Type inconnu",IF($L2842="Crédit","",IFERROR(INDEX('Paramètres'!$O:$O,MATCH($D2842,'Paramètres'!$M:$M,0))&amp;"",""))))</f>
        <v/>
      </c>
      <c r="N2842" s="6" t="str">
        <f>IF($D2842="","",IFERROR(INDEX('Paramètres'!$Q:$Q,MATCH($D2842,'Paramètres'!$M:$M,0))&amp;"",""))</f>
        <v/>
      </c>
      <c r="O2842" s="6" t="str">
        <f>IF($A2842="","",IF(OR($J2842&lt;&gt;"x",$A2842&lt;=FinReleve),1,0))</f>
        <v/>
      </c>
      <c r="P2842" s="6" t="str">
        <f>IF($D2842="","",IF(AND($L2842="Crédit",OR(IFERROR(INDEX('Paramètres'!$O:$O,MATCH($D2842,'Paramètres'!$M:$M,0))&amp;"","")&lt;&gt;"",ISNUMBER(SEARCH("remboursement",IFERROR(INDEX('Paramètres'!$N:$N,MATCH($D2842,'Paramètres'!$M:$M,0))&amp;"",""))))),1,0))</f>
        <v/>
      </c>
      <c r="Q2842" s="6" t="str">
        <f>IF($K2842="","",IF(ISNUMBER(SEARCH("transfert-interne",IFERROR(INDEX('Paramètres'!$N:$N,MATCH($D2842,'Paramètres'!$M:$M,0))&amp;"",""))),0,IF($L2842="Débit",$K2842,IF($P2842=1,-$K2842,0))))</f>
        <v/>
      </c>
      <c r="R2842" s="6" t="str">
        <f>IF($K2842="","",IF($L2842="Crédit",$K2842,-$K2842))</f>
        <v/>
      </c>
      <c r="S2842" s="6" t="str">
        <f>IF($C2842="","",IFERROR(INDEX('Paramètres'!$H:$H,MATCH($C2842,'Paramètres'!$D:$D,0))&amp;"",""))</f>
        <v/>
      </c>
      <c r="T2842" s="6" t="str">
        <f>IF($K2842="","",IF($S2842="",0,IF(ISNUMBER(SEARCH("apport-exterieur",IFERROR(INDEX('Paramètres'!$N:$N,MATCH($D2842,'Paramètres'!$M:$M,0))&amp;"",""))),0,IF(OR(IFERROR(INDEX('Paramètres'!$I:$I,MATCH($C2842,'Paramètres'!$D:$D,0))&amp;"","")="Les deux",IFERROR(INDEX('Paramètres'!$I:$I,MATCH($C2842,'Paramètres'!$D:$D,0))&amp;"","")=IF($P2842=1,"Débit",$L2842)),-IF($P2842=1,-$K2842,$K2842),0))))</f>
        <v/>
      </c>
      <c r="U2842" s="6" t="str">
        <f>IF($K2842="","",IF(ISNUMBER(SEARCH("sortie-epargne",IFERROR(INDEX('Paramètres'!$N:$N,MATCH($D2842,'Paramètres'!$M:$M,0))&amp;"",""))),$K2842,0))</f>
        <v/>
      </c>
      <c r="V2842" s="6" t="str">
        <f>IF(AND($A2842&lt;&gt;"",$O2842=1,$L2842="Débit",N($Q2842)&gt;0,$A2842&gt;=Visualisation!$B$1,$A2842&lt;Visualisation!$D$1),MAX($V$1:V2841)+1,"")</f>
        <v/>
      </c>
    </row>
    <row r="2843" spans="1:22" x14ac:dyDescent="0.25">
      <c r="A2843" s="9"/>
      <c r="E2843" s="10"/>
      <c r="K2843" s="11" t="str">
        <f>IF($E2843="","",ROUND($E2843*IF(ISNA(MATCH($C2843,'Paramètres'!$D:$D,0)),1,IF(INDEX('Paramètres'!$J:$J,MATCH($C2843,'Paramètres'!$D:$D,0))="",1,INDEX('Paramètres'!$J:$J,MATCH($C2843,'Paramètres'!$D:$D,0)))),2))</f>
        <v/>
      </c>
      <c r="L2843" s="6" t="str">
        <f>IF($D2843="","",IF($F2843&lt;&gt;"",$F2843,IF(ISNA(MATCH($D2843,'Paramètres'!$M:$M,0)),"⚠ Type inconnu",IFERROR(INDEX('Paramètres'!$P:$P,MATCH($D2843,'Paramètres'!$M:$M,0))&amp;"",""))))</f>
        <v/>
      </c>
      <c r="M2843" s="6" t="str">
        <f>IF($D2843="","",IF(ISNA(MATCH($D2843,'Paramètres'!$M:$M,0)),"⚠ Type inconnu",IF($L2843="Crédit","",IFERROR(INDEX('Paramètres'!$O:$O,MATCH($D2843,'Paramètres'!$M:$M,0))&amp;"",""))))</f>
        <v/>
      </c>
      <c r="N2843" s="6" t="str">
        <f>IF($D2843="","",IFERROR(INDEX('Paramètres'!$Q:$Q,MATCH($D2843,'Paramètres'!$M:$M,0))&amp;"",""))</f>
        <v/>
      </c>
      <c r="O2843" s="6" t="str">
        <f>IF($A2843="","",IF(OR($J2843&lt;&gt;"x",$A2843&lt;=FinReleve),1,0))</f>
        <v/>
      </c>
      <c r="P2843" s="6" t="str">
        <f>IF($D2843="","",IF(AND($L2843="Crédit",OR(IFERROR(INDEX('Paramètres'!$O:$O,MATCH($D2843,'Paramètres'!$M:$M,0))&amp;"","")&lt;&gt;"",ISNUMBER(SEARCH("remboursement",IFERROR(INDEX('Paramètres'!$N:$N,MATCH($D2843,'Paramètres'!$M:$M,0))&amp;"",""))))),1,0))</f>
        <v/>
      </c>
      <c r="Q2843" s="6" t="str">
        <f>IF($K2843="","",IF(ISNUMBER(SEARCH("transfert-interne",IFERROR(INDEX('Paramètres'!$N:$N,MATCH($D2843,'Paramètres'!$M:$M,0))&amp;"",""))),0,IF($L2843="Débit",$K2843,IF($P2843=1,-$K2843,0))))</f>
        <v/>
      </c>
      <c r="R2843" s="6" t="str">
        <f>IF($K2843="","",IF($L2843="Crédit",$K2843,-$K2843))</f>
        <v/>
      </c>
      <c r="S2843" s="6" t="str">
        <f>IF($C2843="","",IFERROR(INDEX('Paramètres'!$H:$H,MATCH($C2843,'Paramètres'!$D:$D,0))&amp;"",""))</f>
        <v/>
      </c>
      <c r="T2843" s="6" t="str">
        <f>IF($K2843="","",IF($S2843="",0,IF(ISNUMBER(SEARCH("apport-exterieur",IFERROR(INDEX('Paramètres'!$N:$N,MATCH($D2843,'Paramètres'!$M:$M,0))&amp;"",""))),0,IF(OR(IFERROR(INDEX('Paramètres'!$I:$I,MATCH($C2843,'Paramètres'!$D:$D,0))&amp;"","")="Les deux",IFERROR(INDEX('Paramètres'!$I:$I,MATCH($C2843,'Paramètres'!$D:$D,0))&amp;"","")=IF($P2843=1,"Débit",$L2843)),-IF($P2843=1,-$K2843,$K2843),0))))</f>
        <v/>
      </c>
      <c r="U2843" s="6" t="str">
        <f>IF($K2843="","",IF(ISNUMBER(SEARCH("sortie-epargne",IFERROR(INDEX('Paramètres'!$N:$N,MATCH($D2843,'Paramètres'!$M:$M,0))&amp;"",""))),$K2843,0))</f>
        <v/>
      </c>
      <c r="V2843" s="6" t="str">
        <f>IF(AND($A2843&lt;&gt;"",$O2843=1,$L2843="Débit",N($Q2843)&gt;0,$A2843&gt;=Visualisation!$B$1,$A2843&lt;Visualisation!$D$1),MAX($V$1:V2842)+1,"")</f>
        <v/>
      </c>
    </row>
    <row r="2844" spans="1:22" x14ac:dyDescent="0.25">
      <c r="A2844" s="9"/>
      <c r="E2844" s="10"/>
      <c r="K2844" s="11" t="str">
        <f>IF($E2844="","",ROUND($E2844*IF(ISNA(MATCH($C2844,'Paramètres'!$D:$D,0)),1,IF(INDEX('Paramètres'!$J:$J,MATCH($C2844,'Paramètres'!$D:$D,0))="",1,INDEX('Paramètres'!$J:$J,MATCH($C2844,'Paramètres'!$D:$D,0)))),2))</f>
        <v/>
      </c>
      <c r="L2844" s="6" t="str">
        <f>IF($D2844="","",IF($F2844&lt;&gt;"",$F2844,IF(ISNA(MATCH($D2844,'Paramètres'!$M:$M,0)),"⚠ Type inconnu",IFERROR(INDEX('Paramètres'!$P:$P,MATCH($D2844,'Paramètres'!$M:$M,0))&amp;"",""))))</f>
        <v/>
      </c>
      <c r="M2844" s="6" t="str">
        <f>IF($D2844="","",IF(ISNA(MATCH($D2844,'Paramètres'!$M:$M,0)),"⚠ Type inconnu",IF($L2844="Crédit","",IFERROR(INDEX('Paramètres'!$O:$O,MATCH($D2844,'Paramètres'!$M:$M,0))&amp;"",""))))</f>
        <v/>
      </c>
      <c r="N2844" s="6" t="str">
        <f>IF($D2844="","",IFERROR(INDEX('Paramètres'!$Q:$Q,MATCH($D2844,'Paramètres'!$M:$M,0))&amp;"",""))</f>
        <v/>
      </c>
      <c r="O2844" s="6" t="str">
        <f>IF($A2844="","",IF(OR($J2844&lt;&gt;"x",$A2844&lt;=FinReleve),1,0))</f>
        <v/>
      </c>
      <c r="P2844" s="6" t="str">
        <f>IF($D2844="","",IF(AND($L2844="Crédit",OR(IFERROR(INDEX('Paramètres'!$O:$O,MATCH($D2844,'Paramètres'!$M:$M,0))&amp;"","")&lt;&gt;"",ISNUMBER(SEARCH("remboursement",IFERROR(INDEX('Paramètres'!$N:$N,MATCH($D2844,'Paramètres'!$M:$M,0))&amp;"",""))))),1,0))</f>
        <v/>
      </c>
      <c r="Q2844" s="6" t="str">
        <f>IF($K2844="","",IF(ISNUMBER(SEARCH("transfert-interne",IFERROR(INDEX('Paramètres'!$N:$N,MATCH($D2844,'Paramètres'!$M:$M,0))&amp;"",""))),0,IF($L2844="Débit",$K2844,IF($P2844=1,-$K2844,0))))</f>
        <v/>
      </c>
      <c r="R2844" s="6" t="str">
        <f>IF($K2844="","",IF($L2844="Crédit",$K2844,-$K2844))</f>
        <v/>
      </c>
      <c r="S2844" s="6" t="str">
        <f>IF($C2844="","",IFERROR(INDEX('Paramètres'!$H:$H,MATCH($C2844,'Paramètres'!$D:$D,0))&amp;"",""))</f>
        <v/>
      </c>
      <c r="T2844" s="6" t="str">
        <f>IF($K2844="","",IF($S2844="",0,IF(ISNUMBER(SEARCH("apport-exterieur",IFERROR(INDEX('Paramètres'!$N:$N,MATCH($D2844,'Paramètres'!$M:$M,0))&amp;"",""))),0,IF(OR(IFERROR(INDEX('Paramètres'!$I:$I,MATCH($C2844,'Paramètres'!$D:$D,0))&amp;"","")="Les deux",IFERROR(INDEX('Paramètres'!$I:$I,MATCH($C2844,'Paramètres'!$D:$D,0))&amp;"","")=IF($P2844=1,"Débit",$L2844)),-IF($P2844=1,-$K2844,$K2844),0))))</f>
        <v/>
      </c>
      <c r="U2844" s="6" t="str">
        <f>IF($K2844="","",IF(ISNUMBER(SEARCH("sortie-epargne",IFERROR(INDEX('Paramètres'!$N:$N,MATCH($D2844,'Paramètres'!$M:$M,0))&amp;"",""))),$K2844,0))</f>
        <v/>
      </c>
      <c r="V2844" s="6" t="str">
        <f>IF(AND($A2844&lt;&gt;"",$O2844=1,$L2844="Débit",N($Q2844)&gt;0,$A2844&gt;=Visualisation!$B$1,$A2844&lt;Visualisation!$D$1),MAX($V$1:V2843)+1,"")</f>
        <v/>
      </c>
    </row>
    <row r="2845" spans="1:22" x14ac:dyDescent="0.25">
      <c r="A2845" s="9"/>
      <c r="E2845" s="10"/>
      <c r="K2845" s="11" t="str">
        <f>IF($E2845="","",ROUND($E2845*IF(ISNA(MATCH($C2845,'Paramètres'!$D:$D,0)),1,IF(INDEX('Paramètres'!$J:$J,MATCH($C2845,'Paramètres'!$D:$D,0))="",1,INDEX('Paramètres'!$J:$J,MATCH($C2845,'Paramètres'!$D:$D,0)))),2))</f>
        <v/>
      </c>
      <c r="L2845" s="6" t="str">
        <f>IF($D2845="","",IF($F2845&lt;&gt;"",$F2845,IF(ISNA(MATCH($D2845,'Paramètres'!$M:$M,0)),"⚠ Type inconnu",IFERROR(INDEX('Paramètres'!$P:$P,MATCH($D2845,'Paramètres'!$M:$M,0))&amp;"",""))))</f>
        <v/>
      </c>
      <c r="M2845" s="6" t="str">
        <f>IF($D2845="","",IF(ISNA(MATCH($D2845,'Paramètres'!$M:$M,0)),"⚠ Type inconnu",IF($L2845="Crédit","",IFERROR(INDEX('Paramètres'!$O:$O,MATCH($D2845,'Paramètres'!$M:$M,0))&amp;"",""))))</f>
        <v/>
      </c>
      <c r="N2845" s="6" t="str">
        <f>IF($D2845="","",IFERROR(INDEX('Paramètres'!$Q:$Q,MATCH($D2845,'Paramètres'!$M:$M,0))&amp;"",""))</f>
        <v/>
      </c>
      <c r="O2845" s="6" t="str">
        <f>IF($A2845="","",IF(OR($J2845&lt;&gt;"x",$A2845&lt;=FinReleve),1,0))</f>
        <v/>
      </c>
      <c r="P2845" s="6" t="str">
        <f>IF($D2845="","",IF(AND($L2845="Crédit",OR(IFERROR(INDEX('Paramètres'!$O:$O,MATCH($D2845,'Paramètres'!$M:$M,0))&amp;"","")&lt;&gt;"",ISNUMBER(SEARCH("remboursement",IFERROR(INDEX('Paramètres'!$N:$N,MATCH($D2845,'Paramètres'!$M:$M,0))&amp;"",""))))),1,0))</f>
        <v/>
      </c>
      <c r="Q2845" s="6" t="str">
        <f>IF($K2845="","",IF(ISNUMBER(SEARCH("transfert-interne",IFERROR(INDEX('Paramètres'!$N:$N,MATCH($D2845,'Paramètres'!$M:$M,0))&amp;"",""))),0,IF($L2845="Débit",$K2845,IF($P2845=1,-$K2845,0))))</f>
        <v/>
      </c>
      <c r="R2845" s="6" t="str">
        <f>IF($K2845="","",IF($L2845="Crédit",$K2845,-$K2845))</f>
        <v/>
      </c>
      <c r="S2845" s="6" t="str">
        <f>IF($C2845="","",IFERROR(INDEX('Paramètres'!$H:$H,MATCH($C2845,'Paramètres'!$D:$D,0))&amp;"",""))</f>
        <v/>
      </c>
      <c r="T2845" s="6" t="str">
        <f>IF($K2845="","",IF($S2845="",0,IF(ISNUMBER(SEARCH("apport-exterieur",IFERROR(INDEX('Paramètres'!$N:$N,MATCH($D2845,'Paramètres'!$M:$M,0))&amp;"",""))),0,IF(OR(IFERROR(INDEX('Paramètres'!$I:$I,MATCH($C2845,'Paramètres'!$D:$D,0))&amp;"","")="Les deux",IFERROR(INDEX('Paramètres'!$I:$I,MATCH($C2845,'Paramètres'!$D:$D,0))&amp;"","")=IF($P2845=1,"Débit",$L2845)),-IF($P2845=1,-$K2845,$K2845),0))))</f>
        <v/>
      </c>
      <c r="U2845" s="6" t="str">
        <f>IF($K2845="","",IF(ISNUMBER(SEARCH("sortie-epargne",IFERROR(INDEX('Paramètres'!$N:$N,MATCH($D2845,'Paramètres'!$M:$M,0))&amp;"",""))),$K2845,0))</f>
        <v/>
      </c>
      <c r="V2845" s="6" t="str">
        <f>IF(AND($A2845&lt;&gt;"",$O2845=1,$L2845="Débit",N($Q2845)&gt;0,$A2845&gt;=Visualisation!$B$1,$A2845&lt;Visualisation!$D$1),MAX($V$1:V2844)+1,"")</f>
        <v/>
      </c>
    </row>
    <row r="2846" spans="1:22" x14ac:dyDescent="0.25">
      <c r="A2846" s="9"/>
      <c r="E2846" s="10"/>
      <c r="K2846" s="11" t="str">
        <f>IF($E2846="","",ROUND($E2846*IF(ISNA(MATCH($C2846,'Paramètres'!$D:$D,0)),1,IF(INDEX('Paramètres'!$J:$J,MATCH($C2846,'Paramètres'!$D:$D,0))="",1,INDEX('Paramètres'!$J:$J,MATCH($C2846,'Paramètres'!$D:$D,0)))),2))</f>
        <v/>
      </c>
      <c r="L2846" s="6" t="str">
        <f>IF($D2846="","",IF($F2846&lt;&gt;"",$F2846,IF(ISNA(MATCH($D2846,'Paramètres'!$M:$M,0)),"⚠ Type inconnu",IFERROR(INDEX('Paramètres'!$P:$P,MATCH($D2846,'Paramètres'!$M:$M,0))&amp;"",""))))</f>
        <v/>
      </c>
      <c r="M2846" s="6" t="str">
        <f>IF($D2846="","",IF(ISNA(MATCH($D2846,'Paramètres'!$M:$M,0)),"⚠ Type inconnu",IF($L2846="Crédit","",IFERROR(INDEX('Paramètres'!$O:$O,MATCH($D2846,'Paramètres'!$M:$M,0))&amp;"",""))))</f>
        <v/>
      </c>
      <c r="N2846" s="6" t="str">
        <f>IF($D2846="","",IFERROR(INDEX('Paramètres'!$Q:$Q,MATCH($D2846,'Paramètres'!$M:$M,0))&amp;"",""))</f>
        <v/>
      </c>
      <c r="O2846" s="6" t="str">
        <f>IF($A2846="","",IF(OR($J2846&lt;&gt;"x",$A2846&lt;=FinReleve),1,0))</f>
        <v/>
      </c>
      <c r="P2846" s="6" t="str">
        <f>IF($D2846="","",IF(AND($L2846="Crédit",OR(IFERROR(INDEX('Paramètres'!$O:$O,MATCH($D2846,'Paramètres'!$M:$M,0))&amp;"","")&lt;&gt;"",ISNUMBER(SEARCH("remboursement",IFERROR(INDEX('Paramètres'!$N:$N,MATCH($D2846,'Paramètres'!$M:$M,0))&amp;"",""))))),1,0))</f>
        <v/>
      </c>
      <c r="Q2846" s="6" t="str">
        <f>IF($K2846="","",IF(ISNUMBER(SEARCH("transfert-interne",IFERROR(INDEX('Paramètres'!$N:$N,MATCH($D2846,'Paramètres'!$M:$M,0))&amp;"",""))),0,IF($L2846="Débit",$K2846,IF($P2846=1,-$K2846,0))))</f>
        <v/>
      </c>
      <c r="R2846" s="6" t="str">
        <f>IF($K2846="","",IF($L2846="Crédit",$K2846,-$K2846))</f>
        <v/>
      </c>
      <c r="S2846" s="6" t="str">
        <f>IF($C2846="","",IFERROR(INDEX('Paramètres'!$H:$H,MATCH($C2846,'Paramètres'!$D:$D,0))&amp;"",""))</f>
        <v/>
      </c>
      <c r="T2846" s="6" t="str">
        <f>IF($K2846="","",IF($S2846="",0,IF(ISNUMBER(SEARCH("apport-exterieur",IFERROR(INDEX('Paramètres'!$N:$N,MATCH($D2846,'Paramètres'!$M:$M,0))&amp;"",""))),0,IF(OR(IFERROR(INDEX('Paramètres'!$I:$I,MATCH($C2846,'Paramètres'!$D:$D,0))&amp;"","")="Les deux",IFERROR(INDEX('Paramètres'!$I:$I,MATCH($C2846,'Paramètres'!$D:$D,0))&amp;"","")=IF($P2846=1,"Débit",$L2846)),-IF($P2846=1,-$K2846,$K2846),0))))</f>
        <v/>
      </c>
      <c r="U2846" s="6" t="str">
        <f>IF($K2846="","",IF(ISNUMBER(SEARCH("sortie-epargne",IFERROR(INDEX('Paramètres'!$N:$N,MATCH($D2846,'Paramètres'!$M:$M,0))&amp;"",""))),$K2846,0))</f>
        <v/>
      </c>
      <c r="V2846" s="6" t="str">
        <f>IF(AND($A2846&lt;&gt;"",$O2846=1,$L2846="Débit",N($Q2846)&gt;0,$A2846&gt;=Visualisation!$B$1,$A2846&lt;Visualisation!$D$1),MAX($V$1:V2845)+1,"")</f>
        <v/>
      </c>
    </row>
    <row r="2847" spans="1:22" x14ac:dyDescent="0.25">
      <c r="A2847" s="9"/>
      <c r="E2847" s="10"/>
      <c r="K2847" s="11" t="str">
        <f>IF($E2847="","",ROUND($E2847*IF(ISNA(MATCH($C2847,'Paramètres'!$D:$D,0)),1,IF(INDEX('Paramètres'!$J:$J,MATCH($C2847,'Paramètres'!$D:$D,0))="",1,INDEX('Paramètres'!$J:$J,MATCH($C2847,'Paramètres'!$D:$D,0)))),2))</f>
        <v/>
      </c>
      <c r="L2847" s="6" t="str">
        <f>IF($D2847="","",IF($F2847&lt;&gt;"",$F2847,IF(ISNA(MATCH($D2847,'Paramètres'!$M:$M,0)),"⚠ Type inconnu",IFERROR(INDEX('Paramètres'!$P:$P,MATCH($D2847,'Paramètres'!$M:$M,0))&amp;"",""))))</f>
        <v/>
      </c>
      <c r="M2847" s="6" t="str">
        <f>IF($D2847="","",IF(ISNA(MATCH($D2847,'Paramètres'!$M:$M,0)),"⚠ Type inconnu",IF($L2847="Crédit","",IFERROR(INDEX('Paramètres'!$O:$O,MATCH($D2847,'Paramètres'!$M:$M,0))&amp;"",""))))</f>
        <v/>
      </c>
      <c r="N2847" s="6" t="str">
        <f>IF($D2847="","",IFERROR(INDEX('Paramètres'!$Q:$Q,MATCH($D2847,'Paramètres'!$M:$M,0))&amp;"",""))</f>
        <v/>
      </c>
      <c r="O2847" s="6" t="str">
        <f>IF($A2847="","",IF(OR($J2847&lt;&gt;"x",$A2847&lt;=FinReleve),1,0))</f>
        <v/>
      </c>
      <c r="P2847" s="6" t="str">
        <f>IF($D2847="","",IF(AND($L2847="Crédit",OR(IFERROR(INDEX('Paramètres'!$O:$O,MATCH($D2847,'Paramètres'!$M:$M,0))&amp;"","")&lt;&gt;"",ISNUMBER(SEARCH("remboursement",IFERROR(INDEX('Paramètres'!$N:$N,MATCH($D2847,'Paramètres'!$M:$M,0))&amp;"",""))))),1,0))</f>
        <v/>
      </c>
      <c r="Q2847" s="6" t="str">
        <f>IF($K2847="","",IF(ISNUMBER(SEARCH("transfert-interne",IFERROR(INDEX('Paramètres'!$N:$N,MATCH($D2847,'Paramètres'!$M:$M,0))&amp;"",""))),0,IF($L2847="Débit",$K2847,IF($P2847=1,-$K2847,0))))</f>
        <v/>
      </c>
      <c r="R2847" s="6" t="str">
        <f>IF($K2847="","",IF($L2847="Crédit",$K2847,-$K2847))</f>
        <v/>
      </c>
      <c r="S2847" s="6" t="str">
        <f>IF($C2847="","",IFERROR(INDEX('Paramètres'!$H:$H,MATCH($C2847,'Paramètres'!$D:$D,0))&amp;"",""))</f>
        <v/>
      </c>
      <c r="T2847" s="6" t="str">
        <f>IF($K2847="","",IF($S2847="",0,IF(ISNUMBER(SEARCH("apport-exterieur",IFERROR(INDEX('Paramètres'!$N:$N,MATCH($D2847,'Paramètres'!$M:$M,0))&amp;"",""))),0,IF(OR(IFERROR(INDEX('Paramètres'!$I:$I,MATCH($C2847,'Paramètres'!$D:$D,0))&amp;"","")="Les deux",IFERROR(INDEX('Paramètres'!$I:$I,MATCH($C2847,'Paramètres'!$D:$D,0))&amp;"","")=IF($P2847=1,"Débit",$L2847)),-IF($P2847=1,-$K2847,$K2847),0))))</f>
        <v/>
      </c>
      <c r="U2847" s="6" t="str">
        <f>IF($K2847="","",IF(ISNUMBER(SEARCH("sortie-epargne",IFERROR(INDEX('Paramètres'!$N:$N,MATCH($D2847,'Paramètres'!$M:$M,0))&amp;"",""))),$K2847,0))</f>
        <v/>
      </c>
      <c r="V2847" s="6" t="str">
        <f>IF(AND($A2847&lt;&gt;"",$O2847=1,$L2847="Débit",N($Q2847)&gt;0,$A2847&gt;=Visualisation!$B$1,$A2847&lt;Visualisation!$D$1),MAX($V$1:V2846)+1,"")</f>
        <v/>
      </c>
    </row>
    <row r="2848" spans="1:22" x14ac:dyDescent="0.25">
      <c r="A2848" s="9"/>
      <c r="E2848" s="10"/>
      <c r="K2848" s="11" t="str">
        <f>IF($E2848="","",ROUND($E2848*IF(ISNA(MATCH($C2848,'Paramètres'!$D:$D,0)),1,IF(INDEX('Paramètres'!$J:$J,MATCH($C2848,'Paramètres'!$D:$D,0))="",1,INDEX('Paramètres'!$J:$J,MATCH($C2848,'Paramètres'!$D:$D,0)))),2))</f>
        <v/>
      </c>
      <c r="L2848" s="6" t="str">
        <f>IF($D2848="","",IF($F2848&lt;&gt;"",$F2848,IF(ISNA(MATCH($D2848,'Paramètres'!$M:$M,0)),"⚠ Type inconnu",IFERROR(INDEX('Paramètres'!$P:$P,MATCH($D2848,'Paramètres'!$M:$M,0))&amp;"",""))))</f>
        <v/>
      </c>
      <c r="M2848" s="6" t="str">
        <f>IF($D2848="","",IF(ISNA(MATCH($D2848,'Paramètres'!$M:$M,0)),"⚠ Type inconnu",IF($L2848="Crédit","",IFERROR(INDEX('Paramètres'!$O:$O,MATCH($D2848,'Paramètres'!$M:$M,0))&amp;"",""))))</f>
        <v/>
      </c>
      <c r="N2848" s="6" t="str">
        <f>IF($D2848="","",IFERROR(INDEX('Paramètres'!$Q:$Q,MATCH($D2848,'Paramètres'!$M:$M,0))&amp;"",""))</f>
        <v/>
      </c>
      <c r="O2848" s="6" t="str">
        <f>IF($A2848="","",IF(OR($J2848&lt;&gt;"x",$A2848&lt;=FinReleve),1,0))</f>
        <v/>
      </c>
      <c r="P2848" s="6" t="str">
        <f>IF($D2848="","",IF(AND($L2848="Crédit",OR(IFERROR(INDEX('Paramètres'!$O:$O,MATCH($D2848,'Paramètres'!$M:$M,0))&amp;"","")&lt;&gt;"",ISNUMBER(SEARCH("remboursement",IFERROR(INDEX('Paramètres'!$N:$N,MATCH($D2848,'Paramètres'!$M:$M,0))&amp;"",""))))),1,0))</f>
        <v/>
      </c>
      <c r="Q2848" s="6" t="str">
        <f>IF($K2848="","",IF(ISNUMBER(SEARCH("transfert-interne",IFERROR(INDEX('Paramètres'!$N:$N,MATCH($D2848,'Paramètres'!$M:$M,0))&amp;"",""))),0,IF($L2848="Débit",$K2848,IF($P2848=1,-$K2848,0))))</f>
        <v/>
      </c>
      <c r="R2848" s="6" t="str">
        <f>IF($K2848="","",IF($L2848="Crédit",$K2848,-$K2848))</f>
        <v/>
      </c>
      <c r="S2848" s="6" t="str">
        <f>IF($C2848="","",IFERROR(INDEX('Paramètres'!$H:$H,MATCH($C2848,'Paramètres'!$D:$D,0))&amp;"",""))</f>
        <v/>
      </c>
      <c r="T2848" s="6" t="str">
        <f>IF($K2848="","",IF($S2848="",0,IF(ISNUMBER(SEARCH("apport-exterieur",IFERROR(INDEX('Paramètres'!$N:$N,MATCH($D2848,'Paramètres'!$M:$M,0))&amp;"",""))),0,IF(OR(IFERROR(INDEX('Paramètres'!$I:$I,MATCH($C2848,'Paramètres'!$D:$D,0))&amp;"","")="Les deux",IFERROR(INDEX('Paramètres'!$I:$I,MATCH($C2848,'Paramètres'!$D:$D,0))&amp;"","")=IF($P2848=1,"Débit",$L2848)),-IF($P2848=1,-$K2848,$K2848),0))))</f>
        <v/>
      </c>
      <c r="U2848" s="6" t="str">
        <f>IF($K2848="","",IF(ISNUMBER(SEARCH("sortie-epargne",IFERROR(INDEX('Paramètres'!$N:$N,MATCH($D2848,'Paramètres'!$M:$M,0))&amp;"",""))),$K2848,0))</f>
        <v/>
      </c>
      <c r="V2848" s="6" t="str">
        <f>IF(AND($A2848&lt;&gt;"",$O2848=1,$L2848="Débit",N($Q2848)&gt;0,$A2848&gt;=Visualisation!$B$1,$A2848&lt;Visualisation!$D$1),MAX($V$1:V2847)+1,"")</f>
        <v/>
      </c>
    </row>
    <row r="2849" spans="1:22" x14ac:dyDescent="0.25">
      <c r="A2849" s="9"/>
      <c r="E2849" s="10"/>
      <c r="K2849" s="11" t="str">
        <f>IF($E2849="","",ROUND($E2849*IF(ISNA(MATCH($C2849,'Paramètres'!$D:$D,0)),1,IF(INDEX('Paramètres'!$J:$J,MATCH($C2849,'Paramètres'!$D:$D,0))="",1,INDEX('Paramètres'!$J:$J,MATCH($C2849,'Paramètres'!$D:$D,0)))),2))</f>
        <v/>
      </c>
      <c r="L2849" s="6" t="str">
        <f>IF($D2849="","",IF($F2849&lt;&gt;"",$F2849,IF(ISNA(MATCH($D2849,'Paramètres'!$M:$M,0)),"⚠ Type inconnu",IFERROR(INDEX('Paramètres'!$P:$P,MATCH($D2849,'Paramètres'!$M:$M,0))&amp;"",""))))</f>
        <v/>
      </c>
      <c r="M2849" s="6" t="str">
        <f>IF($D2849="","",IF(ISNA(MATCH($D2849,'Paramètres'!$M:$M,0)),"⚠ Type inconnu",IF($L2849="Crédit","",IFERROR(INDEX('Paramètres'!$O:$O,MATCH($D2849,'Paramètres'!$M:$M,0))&amp;"",""))))</f>
        <v/>
      </c>
      <c r="N2849" s="6" t="str">
        <f>IF($D2849="","",IFERROR(INDEX('Paramètres'!$Q:$Q,MATCH($D2849,'Paramètres'!$M:$M,0))&amp;"",""))</f>
        <v/>
      </c>
      <c r="O2849" s="6" t="str">
        <f>IF($A2849="","",IF(OR($J2849&lt;&gt;"x",$A2849&lt;=FinReleve),1,0))</f>
        <v/>
      </c>
      <c r="P2849" s="6" t="str">
        <f>IF($D2849="","",IF(AND($L2849="Crédit",OR(IFERROR(INDEX('Paramètres'!$O:$O,MATCH($D2849,'Paramètres'!$M:$M,0))&amp;"","")&lt;&gt;"",ISNUMBER(SEARCH("remboursement",IFERROR(INDEX('Paramètres'!$N:$N,MATCH($D2849,'Paramètres'!$M:$M,0))&amp;"",""))))),1,0))</f>
        <v/>
      </c>
      <c r="Q2849" s="6" t="str">
        <f>IF($K2849="","",IF(ISNUMBER(SEARCH("transfert-interne",IFERROR(INDEX('Paramètres'!$N:$N,MATCH($D2849,'Paramètres'!$M:$M,0))&amp;"",""))),0,IF($L2849="Débit",$K2849,IF($P2849=1,-$K2849,0))))</f>
        <v/>
      </c>
      <c r="R2849" s="6" t="str">
        <f>IF($K2849="","",IF($L2849="Crédit",$K2849,-$K2849))</f>
        <v/>
      </c>
      <c r="S2849" s="6" t="str">
        <f>IF($C2849="","",IFERROR(INDEX('Paramètres'!$H:$H,MATCH($C2849,'Paramètres'!$D:$D,0))&amp;"",""))</f>
        <v/>
      </c>
      <c r="T2849" s="6" t="str">
        <f>IF($K2849="","",IF($S2849="",0,IF(ISNUMBER(SEARCH("apport-exterieur",IFERROR(INDEX('Paramètres'!$N:$N,MATCH($D2849,'Paramètres'!$M:$M,0))&amp;"",""))),0,IF(OR(IFERROR(INDEX('Paramètres'!$I:$I,MATCH($C2849,'Paramètres'!$D:$D,0))&amp;"","")="Les deux",IFERROR(INDEX('Paramètres'!$I:$I,MATCH($C2849,'Paramètres'!$D:$D,0))&amp;"","")=IF($P2849=1,"Débit",$L2849)),-IF($P2849=1,-$K2849,$K2849),0))))</f>
        <v/>
      </c>
      <c r="U2849" s="6" t="str">
        <f>IF($K2849="","",IF(ISNUMBER(SEARCH("sortie-epargne",IFERROR(INDEX('Paramètres'!$N:$N,MATCH($D2849,'Paramètres'!$M:$M,0))&amp;"",""))),$K2849,0))</f>
        <v/>
      </c>
      <c r="V2849" s="6" t="str">
        <f>IF(AND($A2849&lt;&gt;"",$O2849=1,$L2849="Débit",N($Q2849)&gt;0,$A2849&gt;=Visualisation!$B$1,$A2849&lt;Visualisation!$D$1),MAX($V$1:V2848)+1,"")</f>
        <v/>
      </c>
    </row>
    <row r="2850" spans="1:22" x14ac:dyDescent="0.25">
      <c r="A2850" s="9"/>
      <c r="E2850" s="10"/>
      <c r="K2850" s="11" t="str">
        <f>IF($E2850="","",ROUND($E2850*IF(ISNA(MATCH($C2850,'Paramètres'!$D:$D,0)),1,IF(INDEX('Paramètres'!$J:$J,MATCH($C2850,'Paramètres'!$D:$D,0))="",1,INDEX('Paramètres'!$J:$J,MATCH($C2850,'Paramètres'!$D:$D,0)))),2))</f>
        <v/>
      </c>
      <c r="L2850" s="6" t="str">
        <f>IF($D2850="","",IF($F2850&lt;&gt;"",$F2850,IF(ISNA(MATCH($D2850,'Paramètres'!$M:$M,0)),"⚠ Type inconnu",IFERROR(INDEX('Paramètres'!$P:$P,MATCH($D2850,'Paramètres'!$M:$M,0))&amp;"",""))))</f>
        <v/>
      </c>
      <c r="M2850" s="6" t="str">
        <f>IF($D2850="","",IF(ISNA(MATCH($D2850,'Paramètres'!$M:$M,0)),"⚠ Type inconnu",IF($L2850="Crédit","",IFERROR(INDEX('Paramètres'!$O:$O,MATCH($D2850,'Paramètres'!$M:$M,0))&amp;"",""))))</f>
        <v/>
      </c>
      <c r="N2850" s="6" t="str">
        <f>IF($D2850="","",IFERROR(INDEX('Paramètres'!$Q:$Q,MATCH($D2850,'Paramètres'!$M:$M,0))&amp;"",""))</f>
        <v/>
      </c>
      <c r="O2850" s="6" t="str">
        <f>IF($A2850="","",IF(OR($J2850&lt;&gt;"x",$A2850&lt;=FinReleve),1,0))</f>
        <v/>
      </c>
      <c r="P2850" s="6" t="str">
        <f>IF($D2850="","",IF(AND($L2850="Crédit",OR(IFERROR(INDEX('Paramètres'!$O:$O,MATCH($D2850,'Paramètres'!$M:$M,0))&amp;"","")&lt;&gt;"",ISNUMBER(SEARCH("remboursement",IFERROR(INDEX('Paramètres'!$N:$N,MATCH($D2850,'Paramètres'!$M:$M,0))&amp;"",""))))),1,0))</f>
        <v/>
      </c>
      <c r="Q2850" s="6" t="str">
        <f>IF($K2850="","",IF(ISNUMBER(SEARCH("transfert-interne",IFERROR(INDEX('Paramètres'!$N:$N,MATCH($D2850,'Paramètres'!$M:$M,0))&amp;"",""))),0,IF($L2850="Débit",$K2850,IF($P2850=1,-$K2850,0))))</f>
        <v/>
      </c>
      <c r="R2850" s="6" t="str">
        <f>IF($K2850="","",IF($L2850="Crédit",$K2850,-$K2850))</f>
        <v/>
      </c>
      <c r="S2850" s="6" t="str">
        <f>IF($C2850="","",IFERROR(INDEX('Paramètres'!$H:$H,MATCH($C2850,'Paramètres'!$D:$D,0))&amp;"",""))</f>
        <v/>
      </c>
      <c r="T2850" s="6" t="str">
        <f>IF($K2850="","",IF($S2850="",0,IF(ISNUMBER(SEARCH("apport-exterieur",IFERROR(INDEX('Paramètres'!$N:$N,MATCH($D2850,'Paramètres'!$M:$M,0))&amp;"",""))),0,IF(OR(IFERROR(INDEX('Paramètres'!$I:$I,MATCH($C2850,'Paramètres'!$D:$D,0))&amp;"","")="Les deux",IFERROR(INDEX('Paramètres'!$I:$I,MATCH($C2850,'Paramètres'!$D:$D,0))&amp;"","")=IF($P2850=1,"Débit",$L2850)),-IF($P2850=1,-$K2850,$K2850),0))))</f>
        <v/>
      </c>
      <c r="U2850" s="6" t="str">
        <f>IF($K2850="","",IF(ISNUMBER(SEARCH("sortie-epargne",IFERROR(INDEX('Paramètres'!$N:$N,MATCH($D2850,'Paramètres'!$M:$M,0))&amp;"",""))),$K2850,0))</f>
        <v/>
      </c>
      <c r="V2850" s="6" t="str">
        <f>IF(AND($A2850&lt;&gt;"",$O2850=1,$L2850="Débit",N($Q2850)&gt;0,$A2850&gt;=Visualisation!$B$1,$A2850&lt;Visualisation!$D$1),MAX($V$1:V2849)+1,"")</f>
        <v/>
      </c>
    </row>
    <row r="2851" spans="1:22" x14ac:dyDescent="0.25">
      <c r="A2851" s="9"/>
      <c r="E2851" s="10"/>
      <c r="K2851" s="11" t="str">
        <f>IF($E2851="","",ROUND($E2851*IF(ISNA(MATCH($C2851,'Paramètres'!$D:$D,0)),1,IF(INDEX('Paramètres'!$J:$J,MATCH($C2851,'Paramètres'!$D:$D,0))="",1,INDEX('Paramètres'!$J:$J,MATCH($C2851,'Paramètres'!$D:$D,0)))),2))</f>
        <v/>
      </c>
      <c r="L2851" s="6" t="str">
        <f>IF($D2851="","",IF($F2851&lt;&gt;"",$F2851,IF(ISNA(MATCH($D2851,'Paramètres'!$M:$M,0)),"⚠ Type inconnu",IFERROR(INDEX('Paramètres'!$P:$P,MATCH($D2851,'Paramètres'!$M:$M,0))&amp;"",""))))</f>
        <v/>
      </c>
      <c r="M2851" s="6" t="str">
        <f>IF($D2851="","",IF(ISNA(MATCH($D2851,'Paramètres'!$M:$M,0)),"⚠ Type inconnu",IF($L2851="Crédit","",IFERROR(INDEX('Paramètres'!$O:$O,MATCH($D2851,'Paramètres'!$M:$M,0))&amp;"",""))))</f>
        <v/>
      </c>
      <c r="N2851" s="6" t="str">
        <f>IF($D2851="","",IFERROR(INDEX('Paramètres'!$Q:$Q,MATCH($D2851,'Paramètres'!$M:$M,0))&amp;"",""))</f>
        <v/>
      </c>
      <c r="O2851" s="6" t="str">
        <f>IF($A2851="","",IF(OR($J2851&lt;&gt;"x",$A2851&lt;=FinReleve),1,0))</f>
        <v/>
      </c>
      <c r="P2851" s="6" t="str">
        <f>IF($D2851="","",IF(AND($L2851="Crédit",OR(IFERROR(INDEX('Paramètres'!$O:$O,MATCH($D2851,'Paramètres'!$M:$M,0))&amp;"","")&lt;&gt;"",ISNUMBER(SEARCH("remboursement",IFERROR(INDEX('Paramètres'!$N:$N,MATCH($D2851,'Paramètres'!$M:$M,0))&amp;"",""))))),1,0))</f>
        <v/>
      </c>
      <c r="Q2851" s="6" t="str">
        <f>IF($K2851="","",IF(ISNUMBER(SEARCH("transfert-interne",IFERROR(INDEX('Paramètres'!$N:$N,MATCH($D2851,'Paramètres'!$M:$M,0))&amp;"",""))),0,IF($L2851="Débit",$K2851,IF($P2851=1,-$K2851,0))))</f>
        <v/>
      </c>
      <c r="R2851" s="6" t="str">
        <f>IF($K2851="","",IF($L2851="Crédit",$K2851,-$K2851))</f>
        <v/>
      </c>
      <c r="S2851" s="6" t="str">
        <f>IF($C2851="","",IFERROR(INDEX('Paramètres'!$H:$H,MATCH($C2851,'Paramètres'!$D:$D,0))&amp;"",""))</f>
        <v/>
      </c>
      <c r="T2851" s="6" t="str">
        <f>IF($K2851="","",IF($S2851="",0,IF(ISNUMBER(SEARCH("apport-exterieur",IFERROR(INDEX('Paramètres'!$N:$N,MATCH($D2851,'Paramètres'!$M:$M,0))&amp;"",""))),0,IF(OR(IFERROR(INDEX('Paramètres'!$I:$I,MATCH($C2851,'Paramètres'!$D:$D,0))&amp;"","")="Les deux",IFERROR(INDEX('Paramètres'!$I:$I,MATCH($C2851,'Paramètres'!$D:$D,0))&amp;"","")=IF($P2851=1,"Débit",$L2851)),-IF($P2851=1,-$K2851,$K2851),0))))</f>
        <v/>
      </c>
      <c r="U2851" s="6" t="str">
        <f>IF($K2851="","",IF(ISNUMBER(SEARCH("sortie-epargne",IFERROR(INDEX('Paramètres'!$N:$N,MATCH($D2851,'Paramètres'!$M:$M,0))&amp;"",""))),$K2851,0))</f>
        <v/>
      </c>
      <c r="V2851" s="6" t="str">
        <f>IF(AND($A2851&lt;&gt;"",$O2851=1,$L2851="Débit",N($Q2851)&gt;0,$A2851&gt;=Visualisation!$B$1,$A2851&lt;Visualisation!$D$1),MAX($V$1:V2850)+1,"")</f>
        <v/>
      </c>
    </row>
    <row r="2852" spans="1:22" x14ac:dyDescent="0.25">
      <c r="A2852" s="9"/>
      <c r="E2852" s="10"/>
      <c r="K2852" s="11" t="str">
        <f>IF($E2852="","",ROUND($E2852*IF(ISNA(MATCH($C2852,'Paramètres'!$D:$D,0)),1,IF(INDEX('Paramètres'!$J:$J,MATCH($C2852,'Paramètres'!$D:$D,0))="",1,INDEX('Paramètres'!$J:$J,MATCH($C2852,'Paramètres'!$D:$D,0)))),2))</f>
        <v/>
      </c>
      <c r="L2852" s="6" t="str">
        <f>IF($D2852="","",IF($F2852&lt;&gt;"",$F2852,IF(ISNA(MATCH($D2852,'Paramètres'!$M:$M,0)),"⚠ Type inconnu",IFERROR(INDEX('Paramètres'!$P:$P,MATCH($D2852,'Paramètres'!$M:$M,0))&amp;"",""))))</f>
        <v/>
      </c>
      <c r="M2852" s="6" t="str">
        <f>IF($D2852="","",IF(ISNA(MATCH($D2852,'Paramètres'!$M:$M,0)),"⚠ Type inconnu",IF($L2852="Crédit","",IFERROR(INDEX('Paramètres'!$O:$O,MATCH($D2852,'Paramètres'!$M:$M,0))&amp;"",""))))</f>
        <v/>
      </c>
      <c r="N2852" s="6" t="str">
        <f>IF($D2852="","",IFERROR(INDEX('Paramètres'!$Q:$Q,MATCH($D2852,'Paramètres'!$M:$M,0))&amp;"",""))</f>
        <v/>
      </c>
      <c r="O2852" s="6" t="str">
        <f>IF($A2852="","",IF(OR($J2852&lt;&gt;"x",$A2852&lt;=FinReleve),1,0))</f>
        <v/>
      </c>
      <c r="P2852" s="6" t="str">
        <f>IF($D2852="","",IF(AND($L2852="Crédit",OR(IFERROR(INDEX('Paramètres'!$O:$O,MATCH($D2852,'Paramètres'!$M:$M,0))&amp;"","")&lt;&gt;"",ISNUMBER(SEARCH("remboursement",IFERROR(INDEX('Paramètres'!$N:$N,MATCH($D2852,'Paramètres'!$M:$M,0))&amp;"",""))))),1,0))</f>
        <v/>
      </c>
      <c r="Q2852" s="6" t="str">
        <f>IF($K2852="","",IF(ISNUMBER(SEARCH("transfert-interne",IFERROR(INDEX('Paramètres'!$N:$N,MATCH($D2852,'Paramètres'!$M:$M,0))&amp;"",""))),0,IF($L2852="Débit",$K2852,IF($P2852=1,-$K2852,0))))</f>
        <v/>
      </c>
      <c r="R2852" s="6" t="str">
        <f>IF($K2852="","",IF($L2852="Crédit",$K2852,-$K2852))</f>
        <v/>
      </c>
      <c r="S2852" s="6" t="str">
        <f>IF($C2852="","",IFERROR(INDEX('Paramètres'!$H:$H,MATCH($C2852,'Paramètres'!$D:$D,0))&amp;"",""))</f>
        <v/>
      </c>
      <c r="T2852" s="6" t="str">
        <f>IF($K2852="","",IF($S2852="",0,IF(ISNUMBER(SEARCH("apport-exterieur",IFERROR(INDEX('Paramètres'!$N:$N,MATCH($D2852,'Paramètres'!$M:$M,0))&amp;"",""))),0,IF(OR(IFERROR(INDEX('Paramètres'!$I:$I,MATCH($C2852,'Paramètres'!$D:$D,0))&amp;"","")="Les deux",IFERROR(INDEX('Paramètres'!$I:$I,MATCH($C2852,'Paramètres'!$D:$D,0))&amp;"","")=IF($P2852=1,"Débit",$L2852)),-IF($P2852=1,-$K2852,$K2852),0))))</f>
        <v/>
      </c>
      <c r="U2852" s="6" t="str">
        <f>IF($K2852="","",IF(ISNUMBER(SEARCH("sortie-epargne",IFERROR(INDEX('Paramètres'!$N:$N,MATCH($D2852,'Paramètres'!$M:$M,0))&amp;"",""))),$K2852,0))</f>
        <v/>
      </c>
      <c r="V2852" s="6" t="str">
        <f>IF(AND($A2852&lt;&gt;"",$O2852=1,$L2852="Débit",N($Q2852)&gt;0,$A2852&gt;=Visualisation!$B$1,$A2852&lt;Visualisation!$D$1),MAX($V$1:V2851)+1,"")</f>
        <v/>
      </c>
    </row>
    <row r="2853" spans="1:22" x14ac:dyDescent="0.25">
      <c r="A2853" s="9"/>
      <c r="E2853" s="10"/>
      <c r="K2853" s="11" t="str">
        <f>IF($E2853="","",ROUND($E2853*IF(ISNA(MATCH($C2853,'Paramètres'!$D:$D,0)),1,IF(INDEX('Paramètres'!$J:$J,MATCH($C2853,'Paramètres'!$D:$D,0))="",1,INDEX('Paramètres'!$J:$J,MATCH($C2853,'Paramètres'!$D:$D,0)))),2))</f>
        <v/>
      </c>
      <c r="L2853" s="6" t="str">
        <f>IF($D2853="","",IF($F2853&lt;&gt;"",$F2853,IF(ISNA(MATCH($D2853,'Paramètres'!$M:$M,0)),"⚠ Type inconnu",IFERROR(INDEX('Paramètres'!$P:$P,MATCH($D2853,'Paramètres'!$M:$M,0))&amp;"",""))))</f>
        <v/>
      </c>
      <c r="M2853" s="6" t="str">
        <f>IF($D2853="","",IF(ISNA(MATCH($D2853,'Paramètres'!$M:$M,0)),"⚠ Type inconnu",IF($L2853="Crédit","",IFERROR(INDEX('Paramètres'!$O:$O,MATCH($D2853,'Paramètres'!$M:$M,0))&amp;"",""))))</f>
        <v/>
      </c>
      <c r="N2853" s="6" t="str">
        <f>IF($D2853="","",IFERROR(INDEX('Paramètres'!$Q:$Q,MATCH($D2853,'Paramètres'!$M:$M,0))&amp;"",""))</f>
        <v/>
      </c>
      <c r="O2853" s="6" t="str">
        <f>IF($A2853="","",IF(OR($J2853&lt;&gt;"x",$A2853&lt;=FinReleve),1,0))</f>
        <v/>
      </c>
      <c r="P2853" s="6" t="str">
        <f>IF($D2853="","",IF(AND($L2853="Crédit",OR(IFERROR(INDEX('Paramètres'!$O:$O,MATCH($D2853,'Paramètres'!$M:$M,0))&amp;"","")&lt;&gt;"",ISNUMBER(SEARCH("remboursement",IFERROR(INDEX('Paramètres'!$N:$N,MATCH($D2853,'Paramètres'!$M:$M,0))&amp;"",""))))),1,0))</f>
        <v/>
      </c>
      <c r="Q2853" s="6" t="str">
        <f>IF($K2853="","",IF(ISNUMBER(SEARCH("transfert-interne",IFERROR(INDEX('Paramètres'!$N:$N,MATCH($D2853,'Paramètres'!$M:$M,0))&amp;"",""))),0,IF($L2853="Débit",$K2853,IF($P2853=1,-$K2853,0))))</f>
        <v/>
      </c>
      <c r="R2853" s="6" t="str">
        <f>IF($K2853="","",IF($L2853="Crédit",$K2853,-$K2853))</f>
        <v/>
      </c>
      <c r="S2853" s="6" t="str">
        <f>IF($C2853="","",IFERROR(INDEX('Paramètres'!$H:$H,MATCH($C2853,'Paramètres'!$D:$D,0))&amp;"",""))</f>
        <v/>
      </c>
      <c r="T2853" s="6" t="str">
        <f>IF($K2853="","",IF($S2853="",0,IF(ISNUMBER(SEARCH("apport-exterieur",IFERROR(INDEX('Paramètres'!$N:$N,MATCH($D2853,'Paramètres'!$M:$M,0))&amp;"",""))),0,IF(OR(IFERROR(INDEX('Paramètres'!$I:$I,MATCH($C2853,'Paramètres'!$D:$D,0))&amp;"","")="Les deux",IFERROR(INDEX('Paramètres'!$I:$I,MATCH($C2853,'Paramètres'!$D:$D,0))&amp;"","")=IF($P2853=1,"Débit",$L2853)),-IF($P2853=1,-$K2853,$K2853),0))))</f>
        <v/>
      </c>
      <c r="U2853" s="6" t="str">
        <f>IF($K2853="","",IF(ISNUMBER(SEARCH("sortie-epargne",IFERROR(INDEX('Paramètres'!$N:$N,MATCH($D2853,'Paramètres'!$M:$M,0))&amp;"",""))),$K2853,0))</f>
        <v/>
      </c>
      <c r="V2853" s="6" t="str">
        <f>IF(AND($A2853&lt;&gt;"",$O2853=1,$L2853="Débit",N($Q2853)&gt;0,$A2853&gt;=Visualisation!$B$1,$A2853&lt;Visualisation!$D$1),MAX($V$1:V2852)+1,"")</f>
        <v/>
      </c>
    </row>
    <row r="2854" spans="1:22" x14ac:dyDescent="0.25">
      <c r="A2854" s="9"/>
      <c r="E2854" s="10"/>
      <c r="K2854" s="11" t="str">
        <f>IF($E2854="","",ROUND($E2854*IF(ISNA(MATCH($C2854,'Paramètres'!$D:$D,0)),1,IF(INDEX('Paramètres'!$J:$J,MATCH($C2854,'Paramètres'!$D:$D,0))="",1,INDEX('Paramètres'!$J:$J,MATCH($C2854,'Paramètres'!$D:$D,0)))),2))</f>
        <v/>
      </c>
      <c r="L2854" s="6" t="str">
        <f>IF($D2854="","",IF($F2854&lt;&gt;"",$F2854,IF(ISNA(MATCH($D2854,'Paramètres'!$M:$M,0)),"⚠ Type inconnu",IFERROR(INDEX('Paramètres'!$P:$P,MATCH($D2854,'Paramètres'!$M:$M,0))&amp;"",""))))</f>
        <v/>
      </c>
      <c r="M2854" s="6" t="str">
        <f>IF($D2854="","",IF(ISNA(MATCH($D2854,'Paramètres'!$M:$M,0)),"⚠ Type inconnu",IF($L2854="Crédit","",IFERROR(INDEX('Paramètres'!$O:$O,MATCH($D2854,'Paramètres'!$M:$M,0))&amp;"",""))))</f>
        <v/>
      </c>
      <c r="N2854" s="6" t="str">
        <f>IF($D2854="","",IFERROR(INDEX('Paramètres'!$Q:$Q,MATCH($D2854,'Paramètres'!$M:$M,0))&amp;"",""))</f>
        <v/>
      </c>
      <c r="O2854" s="6" t="str">
        <f>IF($A2854="","",IF(OR($J2854&lt;&gt;"x",$A2854&lt;=FinReleve),1,0))</f>
        <v/>
      </c>
      <c r="P2854" s="6" t="str">
        <f>IF($D2854="","",IF(AND($L2854="Crédit",OR(IFERROR(INDEX('Paramètres'!$O:$O,MATCH($D2854,'Paramètres'!$M:$M,0))&amp;"","")&lt;&gt;"",ISNUMBER(SEARCH("remboursement",IFERROR(INDEX('Paramètres'!$N:$N,MATCH($D2854,'Paramètres'!$M:$M,0))&amp;"",""))))),1,0))</f>
        <v/>
      </c>
      <c r="Q2854" s="6" t="str">
        <f>IF($K2854="","",IF(ISNUMBER(SEARCH("transfert-interne",IFERROR(INDEX('Paramètres'!$N:$N,MATCH($D2854,'Paramètres'!$M:$M,0))&amp;"",""))),0,IF($L2854="Débit",$K2854,IF($P2854=1,-$K2854,0))))</f>
        <v/>
      </c>
      <c r="R2854" s="6" t="str">
        <f>IF($K2854="","",IF($L2854="Crédit",$K2854,-$K2854))</f>
        <v/>
      </c>
      <c r="S2854" s="6" t="str">
        <f>IF($C2854="","",IFERROR(INDEX('Paramètres'!$H:$H,MATCH($C2854,'Paramètres'!$D:$D,0))&amp;"",""))</f>
        <v/>
      </c>
      <c r="T2854" s="6" t="str">
        <f>IF($K2854="","",IF($S2854="",0,IF(ISNUMBER(SEARCH("apport-exterieur",IFERROR(INDEX('Paramètres'!$N:$N,MATCH($D2854,'Paramètres'!$M:$M,0))&amp;"",""))),0,IF(OR(IFERROR(INDEX('Paramètres'!$I:$I,MATCH($C2854,'Paramètres'!$D:$D,0))&amp;"","")="Les deux",IFERROR(INDEX('Paramètres'!$I:$I,MATCH($C2854,'Paramètres'!$D:$D,0))&amp;"","")=IF($P2854=1,"Débit",$L2854)),-IF($P2854=1,-$K2854,$K2854),0))))</f>
        <v/>
      </c>
      <c r="U2854" s="6" t="str">
        <f>IF($K2854="","",IF(ISNUMBER(SEARCH("sortie-epargne",IFERROR(INDEX('Paramètres'!$N:$N,MATCH($D2854,'Paramètres'!$M:$M,0))&amp;"",""))),$K2854,0))</f>
        <v/>
      </c>
      <c r="V2854" s="6" t="str">
        <f>IF(AND($A2854&lt;&gt;"",$O2854=1,$L2854="Débit",N($Q2854)&gt;0,$A2854&gt;=Visualisation!$B$1,$A2854&lt;Visualisation!$D$1),MAX($V$1:V2853)+1,"")</f>
        <v/>
      </c>
    </row>
    <row r="2855" spans="1:22" x14ac:dyDescent="0.25">
      <c r="A2855" s="9"/>
      <c r="E2855" s="10"/>
      <c r="K2855" s="11" t="str">
        <f>IF($E2855="","",ROUND($E2855*IF(ISNA(MATCH($C2855,'Paramètres'!$D:$D,0)),1,IF(INDEX('Paramètres'!$J:$J,MATCH($C2855,'Paramètres'!$D:$D,0))="",1,INDEX('Paramètres'!$J:$J,MATCH($C2855,'Paramètres'!$D:$D,0)))),2))</f>
        <v/>
      </c>
      <c r="L2855" s="6" t="str">
        <f>IF($D2855="","",IF($F2855&lt;&gt;"",$F2855,IF(ISNA(MATCH($D2855,'Paramètres'!$M:$M,0)),"⚠ Type inconnu",IFERROR(INDEX('Paramètres'!$P:$P,MATCH($D2855,'Paramètres'!$M:$M,0))&amp;"",""))))</f>
        <v/>
      </c>
      <c r="M2855" s="6" t="str">
        <f>IF($D2855="","",IF(ISNA(MATCH($D2855,'Paramètres'!$M:$M,0)),"⚠ Type inconnu",IF($L2855="Crédit","",IFERROR(INDEX('Paramètres'!$O:$O,MATCH($D2855,'Paramètres'!$M:$M,0))&amp;"",""))))</f>
        <v/>
      </c>
      <c r="N2855" s="6" t="str">
        <f>IF($D2855="","",IFERROR(INDEX('Paramètres'!$Q:$Q,MATCH($D2855,'Paramètres'!$M:$M,0))&amp;"",""))</f>
        <v/>
      </c>
      <c r="O2855" s="6" t="str">
        <f>IF($A2855="","",IF(OR($J2855&lt;&gt;"x",$A2855&lt;=FinReleve),1,0))</f>
        <v/>
      </c>
      <c r="P2855" s="6" t="str">
        <f>IF($D2855="","",IF(AND($L2855="Crédit",OR(IFERROR(INDEX('Paramètres'!$O:$O,MATCH($D2855,'Paramètres'!$M:$M,0))&amp;"","")&lt;&gt;"",ISNUMBER(SEARCH("remboursement",IFERROR(INDEX('Paramètres'!$N:$N,MATCH($D2855,'Paramètres'!$M:$M,0))&amp;"",""))))),1,0))</f>
        <v/>
      </c>
      <c r="Q2855" s="6" t="str">
        <f>IF($K2855="","",IF(ISNUMBER(SEARCH("transfert-interne",IFERROR(INDEX('Paramètres'!$N:$N,MATCH($D2855,'Paramètres'!$M:$M,0))&amp;"",""))),0,IF($L2855="Débit",$K2855,IF($P2855=1,-$K2855,0))))</f>
        <v/>
      </c>
      <c r="R2855" s="6" t="str">
        <f>IF($K2855="","",IF($L2855="Crédit",$K2855,-$K2855))</f>
        <v/>
      </c>
      <c r="S2855" s="6" t="str">
        <f>IF($C2855="","",IFERROR(INDEX('Paramètres'!$H:$H,MATCH($C2855,'Paramètres'!$D:$D,0))&amp;"",""))</f>
        <v/>
      </c>
      <c r="T2855" s="6" t="str">
        <f>IF($K2855="","",IF($S2855="",0,IF(ISNUMBER(SEARCH("apport-exterieur",IFERROR(INDEX('Paramètres'!$N:$N,MATCH($D2855,'Paramètres'!$M:$M,0))&amp;"",""))),0,IF(OR(IFERROR(INDEX('Paramètres'!$I:$I,MATCH($C2855,'Paramètres'!$D:$D,0))&amp;"","")="Les deux",IFERROR(INDEX('Paramètres'!$I:$I,MATCH($C2855,'Paramètres'!$D:$D,0))&amp;"","")=IF($P2855=1,"Débit",$L2855)),-IF($P2855=1,-$K2855,$K2855),0))))</f>
        <v/>
      </c>
      <c r="U2855" s="6" t="str">
        <f>IF($K2855="","",IF(ISNUMBER(SEARCH("sortie-epargne",IFERROR(INDEX('Paramètres'!$N:$N,MATCH($D2855,'Paramètres'!$M:$M,0))&amp;"",""))),$K2855,0))</f>
        <v/>
      </c>
      <c r="V2855" s="6" t="str">
        <f>IF(AND($A2855&lt;&gt;"",$O2855=1,$L2855="Débit",N($Q2855)&gt;0,$A2855&gt;=Visualisation!$B$1,$A2855&lt;Visualisation!$D$1),MAX($V$1:V2854)+1,"")</f>
        <v/>
      </c>
    </row>
    <row r="2856" spans="1:22" x14ac:dyDescent="0.25">
      <c r="A2856" s="9"/>
      <c r="E2856" s="10"/>
      <c r="K2856" s="11" t="str">
        <f>IF($E2856="","",ROUND($E2856*IF(ISNA(MATCH($C2856,'Paramètres'!$D:$D,0)),1,IF(INDEX('Paramètres'!$J:$J,MATCH($C2856,'Paramètres'!$D:$D,0))="",1,INDEX('Paramètres'!$J:$J,MATCH($C2856,'Paramètres'!$D:$D,0)))),2))</f>
        <v/>
      </c>
      <c r="L2856" s="6" t="str">
        <f>IF($D2856="","",IF($F2856&lt;&gt;"",$F2856,IF(ISNA(MATCH($D2856,'Paramètres'!$M:$M,0)),"⚠ Type inconnu",IFERROR(INDEX('Paramètres'!$P:$P,MATCH($D2856,'Paramètres'!$M:$M,0))&amp;"",""))))</f>
        <v/>
      </c>
      <c r="M2856" s="6" t="str">
        <f>IF($D2856="","",IF(ISNA(MATCH($D2856,'Paramètres'!$M:$M,0)),"⚠ Type inconnu",IF($L2856="Crédit","",IFERROR(INDEX('Paramètres'!$O:$O,MATCH($D2856,'Paramètres'!$M:$M,0))&amp;"",""))))</f>
        <v/>
      </c>
      <c r="N2856" s="6" t="str">
        <f>IF($D2856="","",IFERROR(INDEX('Paramètres'!$Q:$Q,MATCH($D2856,'Paramètres'!$M:$M,0))&amp;"",""))</f>
        <v/>
      </c>
      <c r="O2856" s="6" t="str">
        <f>IF($A2856="","",IF(OR($J2856&lt;&gt;"x",$A2856&lt;=FinReleve),1,0))</f>
        <v/>
      </c>
      <c r="P2856" s="6" t="str">
        <f>IF($D2856="","",IF(AND($L2856="Crédit",OR(IFERROR(INDEX('Paramètres'!$O:$O,MATCH($D2856,'Paramètres'!$M:$M,0))&amp;"","")&lt;&gt;"",ISNUMBER(SEARCH("remboursement",IFERROR(INDEX('Paramètres'!$N:$N,MATCH($D2856,'Paramètres'!$M:$M,0))&amp;"",""))))),1,0))</f>
        <v/>
      </c>
      <c r="Q2856" s="6" t="str">
        <f>IF($K2856="","",IF(ISNUMBER(SEARCH("transfert-interne",IFERROR(INDEX('Paramètres'!$N:$N,MATCH($D2856,'Paramètres'!$M:$M,0))&amp;"",""))),0,IF($L2856="Débit",$K2856,IF($P2856=1,-$K2856,0))))</f>
        <v/>
      </c>
      <c r="R2856" s="6" t="str">
        <f>IF($K2856="","",IF($L2856="Crédit",$K2856,-$K2856))</f>
        <v/>
      </c>
      <c r="S2856" s="6" t="str">
        <f>IF($C2856="","",IFERROR(INDEX('Paramètres'!$H:$H,MATCH($C2856,'Paramètres'!$D:$D,0))&amp;"",""))</f>
        <v/>
      </c>
      <c r="T2856" s="6" t="str">
        <f>IF($K2856="","",IF($S2856="",0,IF(ISNUMBER(SEARCH("apport-exterieur",IFERROR(INDEX('Paramètres'!$N:$N,MATCH($D2856,'Paramètres'!$M:$M,0))&amp;"",""))),0,IF(OR(IFERROR(INDEX('Paramètres'!$I:$I,MATCH($C2856,'Paramètres'!$D:$D,0))&amp;"","")="Les deux",IFERROR(INDEX('Paramètres'!$I:$I,MATCH($C2856,'Paramètres'!$D:$D,0))&amp;"","")=IF($P2856=1,"Débit",$L2856)),-IF($P2856=1,-$K2856,$K2856),0))))</f>
        <v/>
      </c>
      <c r="U2856" s="6" t="str">
        <f>IF($K2856="","",IF(ISNUMBER(SEARCH("sortie-epargne",IFERROR(INDEX('Paramètres'!$N:$N,MATCH($D2856,'Paramètres'!$M:$M,0))&amp;"",""))),$K2856,0))</f>
        <v/>
      </c>
      <c r="V2856" s="6" t="str">
        <f>IF(AND($A2856&lt;&gt;"",$O2856=1,$L2856="Débit",N($Q2856)&gt;0,$A2856&gt;=Visualisation!$B$1,$A2856&lt;Visualisation!$D$1),MAX($V$1:V2855)+1,"")</f>
        <v/>
      </c>
    </row>
    <row r="2857" spans="1:22" x14ac:dyDescent="0.25">
      <c r="A2857" s="9"/>
      <c r="E2857" s="10"/>
      <c r="K2857" s="11" t="str">
        <f>IF($E2857="","",ROUND($E2857*IF(ISNA(MATCH($C2857,'Paramètres'!$D:$D,0)),1,IF(INDEX('Paramètres'!$J:$J,MATCH($C2857,'Paramètres'!$D:$D,0))="",1,INDEX('Paramètres'!$J:$J,MATCH($C2857,'Paramètres'!$D:$D,0)))),2))</f>
        <v/>
      </c>
      <c r="L2857" s="6" t="str">
        <f>IF($D2857="","",IF($F2857&lt;&gt;"",$F2857,IF(ISNA(MATCH($D2857,'Paramètres'!$M:$M,0)),"⚠ Type inconnu",IFERROR(INDEX('Paramètres'!$P:$P,MATCH($D2857,'Paramètres'!$M:$M,0))&amp;"",""))))</f>
        <v/>
      </c>
      <c r="M2857" s="6" t="str">
        <f>IF($D2857="","",IF(ISNA(MATCH($D2857,'Paramètres'!$M:$M,0)),"⚠ Type inconnu",IF($L2857="Crédit","",IFERROR(INDEX('Paramètres'!$O:$O,MATCH($D2857,'Paramètres'!$M:$M,0))&amp;"",""))))</f>
        <v/>
      </c>
      <c r="N2857" s="6" t="str">
        <f>IF($D2857="","",IFERROR(INDEX('Paramètres'!$Q:$Q,MATCH($D2857,'Paramètres'!$M:$M,0))&amp;"",""))</f>
        <v/>
      </c>
      <c r="O2857" s="6" t="str">
        <f>IF($A2857="","",IF(OR($J2857&lt;&gt;"x",$A2857&lt;=FinReleve),1,0))</f>
        <v/>
      </c>
      <c r="P2857" s="6" t="str">
        <f>IF($D2857="","",IF(AND($L2857="Crédit",OR(IFERROR(INDEX('Paramètres'!$O:$O,MATCH($D2857,'Paramètres'!$M:$M,0))&amp;"","")&lt;&gt;"",ISNUMBER(SEARCH("remboursement",IFERROR(INDEX('Paramètres'!$N:$N,MATCH($D2857,'Paramètres'!$M:$M,0))&amp;"",""))))),1,0))</f>
        <v/>
      </c>
      <c r="Q2857" s="6" t="str">
        <f>IF($K2857="","",IF(ISNUMBER(SEARCH("transfert-interne",IFERROR(INDEX('Paramètres'!$N:$N,MATCH($D2857,'Paramètres'!$M:$M,0))&amp;"",""))),0,IF($L2857="Débit",$K2857,IF($P2857=1,-$K2857,0))))</f>
        <v/>
      </c>
      <c r="R2857" s="6" t="str">
        <f>IF($K2857="","",IF($L2857="Crédit",$K2857,-$K2857))</f>
        <v/>
      </c>
      <c r="S2857" s="6" t="str">
        <f>IF($C2857="","",IFERROR(INDEX('Paramètres'!$H:$H,MATCH($C2857,'Paramètres'!$D:$D,0))&amp;"",""))</f>
        <v/>
      </c>
      <c r="T2857" s="6" t="str">
        <f>IF($K2857="","",IF($S2857="",0,IF(ISNUMBER(SEARCH("apport-exterieur",IFERROR(INDEX('Paramètres'!$N:$N,MATCH($D2857,'Paramètres'!$M:$M,0))&amp;"",""))),0,IF(OR(IFERROR(INDEX('Paramètres'!$I:$I,MATCH($C2857,'Paramètres'!$D:$D,0))&amp;"","")="Les deux",IFERROR(INDEX('Paramètres'!$I:$I,MATCH($C2857,'Paramètres'!$D:$D,0))&amp;"","")=IF($P2857=1,"Débit",$L2857)),-IF($P2857=1,-$K2857,$K2857),0))))</f>
        <v/>
      </c>
      <c r="U2857" s="6" t="str">
        <f>IF($K2857="","",IF(ISNUMBER(SEARCH("sortie-epargne",IFERROR(INDEX('Paramètres'!$N:$N,MATCH($D2857,'Paramètres'!$M:$M,0))&amp;"",""))),$K2857,0))</f>
        <v/>
      </c>
      <c r="V2857" s="6" t="str">
        <f>IF(AND($A2857&lt;&gt;"",$O2857=1,$L2857="Débit",N($Q2857)&gt;0,$A2857&gt;=Visualisation!$B$1,$A2857&lt;Visualisation!$D$1),MAX($V$1:V2856)+1,"")</f>
        <v/>
      </c>
    </row>
    <row r="2858" spans="1:22" x14ac:dyDescent="0.25">
      <c r="A2858" s="9"/>
      <c r="E2858" s="10"/>
      <c r="K2858" s="11" t="str">
        <f>IF($E2858="","",ROUND($E2858*IF(ISNA(MATCH($C2858,'Paramètres'!$D:$D,0)),1,IF(INDEX('Paramètres'!$J:$J,MATCH($C2858,'Paramètres'!$D:$D,0))="",1,INDEX('Paramètres'!$J:$J,MATCH($C2858,'Paramètres'!$D:$D,0)))),2))</f>
        <v/>
      </c>
      <c r="L2858" s="6" t="str">
        <f>IF($D2858="","",IF($F2858&lt;&gt;"",$F2858,IF(ISNA(MATCH($D2858,'Paramètres'!$M:$M,0)),"⚠ Type inconnu",IFERROR(INDEX('Paramètres'!$P:$P,MATCH($D2858,'Paramètres'!$M:$M,0))&amp;"",""))))</f>
        <v/>
      </c>
      <c r="M2858" s="6" t="str">
        <f>IF($D2858="","",IF(ISNA(MATCH($D2858,'Paramètres'!$M:$M,0)),"⚠ Type inconnu",IF($L2858="Crédit","",IFERROR(INDEX('Paramètres'!$O:$O,MATCH($D2858,'Paramètres'!$M:$M,0))&amp;"",""))))</f>
        <v/>
      </c>
      <c r="N2858" s="6" t="str">
        <f>IF($D2858="","",IFERROR(INDEX('Paramètres'!$Q:$Q,MATCH($D2858,'Paramètres'!$M:$M,0))&amp;"",""))</f>
        <v/>
      </c>
      <c r="O2858" s="6" t="str">
        <f>IF($A2858="","",IF(OR($J2858&lt;&gt;"x",$A2858&lt;=FinReleve),1,0))</f>
        <v/>
      </c>
      <c r="P2858" s="6" t="str">
        <f>IF($D2858="","",IF(AND($L2858="Crédit",OR(IFERROR(INDEX('Paramètres'!$O:$O,MATCH($D2858,'Paramètres'!$M:$M,0))&amp;"","")&lt;&gt;"",ISNUMBER(SEARCH("remboursement",IFERROR(INDEX('Paramètres'!$N:$N,MATCH($D2858,'Paramètres'!$M:$M,0))&amp;"",""))))),1,0))</f>
        <v/>
      </c>
      <c r="Q2858" s="6" t="str">
        <f>IF($K2858="","",IF(ISNUMBER(SEARCH("transfert-interne",IFERROR(INDEX('Paramètres'!$N:$N,MATCH($D2858,'Paramètres'!$M:$M,0))&amp;"",""))),0,IF($L2858="Débit",$K2858,IF($P2858=1,-$K2858,0))))</f>
        <v/>
      </c>
      <c r="R2858" s="6" t="str">
        <f>IF($K2858="","",IF($L2858="Crédit",$K2858,-$K2858))</f>
        <v/>
      </c>
      <c r="S2858" s="6" t="str">
        <f>IF($C2858="","",IFERROR(INDEX('Paramètres'!$H:$H,MATCH($C2858,'Paramètres'!$D:$D,0))&amp;"",""))</f>
        <v/>
      </c>
      <c r="T2858" s="6" t="str">
        <f>IF($K2858="","",IF($S2858="",0,IF(ISNUMBER(SEARCH("apport-exterieur",IFERROR(INDEX('Paramètres'!$N:$N,MATCH($D2858,'Paramètres'!$M:$M,0))&amp;"",""))),0,IF(OR(IFERROR(INDEX('Paramètres'!$I:$I,MATCH($C2858,'Paramètres'!$D:$D,0))&amp;"","")="Les deux",IFERROR(INDEX('Paramètres'!$I:$I,MATCH($C2858,'Paramètres'!$D:$D,0))&amp;"","")=IF($P2858=1,"Débit",$L2858)),-IF($P2858=1,-$K2858,$K2858),0))))</f>
        <v/>
      </c>
      <c r="U2858" s="6" t="str">
        <f>IF($K2858="","",IF(ISNUMBER(SEARCH("sortie-epargne",IFERROR(INDEX('Paramètres'!$N:$N,MATCH($D2858,'Paramètres'!$M:$M,0))&amp;"",""))),$K2858,0))</f>
        <v/>
      </c>
      <c r="V2858" s="6" t="str">
        <f>IF(AND($A2858&lt;&gt;"",$O2858=1,$L2858="Débit",N($Q2858)&gt;0,$A2858&gt;=Visualisation!$B$1,$A2858&lt;Visualisation!$D$1),MAX($V$1:V2857)+1,"")</f>
        <v/>
      </c>
    </row>
    <row r="2859" spans="1:22" x14ac:dyDescent="0.25">
      <c r="A2859" s="9"/>
      <c r="E2859" s="10"/>
      <c r="K2859" s="11" t="str">
        <f>IF($E2859="","",ROUND($E2859*IF(ISNA(MATCH($C2859,'Paramètres'!$D:$D,0)),1,IF(INDEX('Paramètres'!$J:$J,MATCH($C2859,'Paramètres'!$D:$D,0))="",1,INDEX('Paramètres'!$J:$J,MATCH($C2859,'Paramètres'!$D:$D,0)))),2))</f>
        <v/>
      </c>
      <c r="L2859" s="6" t="str">
        <f>IF($D2859="","",IF($F2859&lt;&gt;"",$F2859,IF(ISNA(MATCH($D2859,'Paramètres'!$M:$M,0)),"⚠ Type inconnu",IFERROR(INDEX('Paramètres'!$P:$P,MATCH($D2859,'Paramètres'!$M:$M,0))&amp;"",""))))</f>
        <v/>
      </c>
      <c r="M2859" s="6" t="str">
        <f>IF($D2859="","",IF(ISNA(MATCH($D2859,'Paramètres'!$M:$M,0)),"⚠ Type inconnu",IF($L2859="Crédit","",IFERROR(INDEX('Paramètres'!$O:$O,MATCH($D2859,'Paramètres'!$M:$M,0))&amp;"",""))))</f>
        <v/>
      </c>
      <c r="N2859" s="6" t="str">
        <f>IF($D2859="","",IFERROR(INDEX('Paramètres'!$Q:$Q,MATCH($D2859,'Paramètres'!$M:$M,0))&amp;"",""))</f>
        <v/>
      </c>
      <c r="O2859" s="6" t="str">
        <f>IF($A2859="","",IF(OR($J2859&lt;&gt;"x",$A2859&lt;=FinReleve),1,0))</f>
        <v/>
      </c>
      <c r="P2859" s="6" t="str">
        <f>IF($D2859="","",IF(AND($L2859="Crédit",OR(IFERROR(INDEX('Paramètres'!$O:$O,MATCH($D2859,'Paramètres'!$M:$M,0))&amp;"","")&lt;&gt;"",ISNUMBER(SEARCH("remboursement",IFERROR(INDEX('Paramètres'!$N:$N,MATCH($D2859,'Paramètres'!$M:$M,0))&amp;"",""))))),1,0))</f>
        <v/>
      </c>
      <c r="Q2859" s="6" t="str">
        <f>IF($K2859="","",IF(ISNUMBER(SEARCH("transfert-interne",IFERROR(INDEX('Paramètres'!$N:$N,MATCH($D2859,'Paramètres'!$M:$M,0))&amp;"",""))),0,IF($L2859="Débit",$K2859,IF($P2859=1,-$K2859,0))))</f>
        <v/>
      </c>
      <c r="R2859" s="6" t="str">
        <f>IF($K2859="","",IF($L2859="Crédit",$K2859,-$K2859))</f>
        <v/>
      </c>
      <c r="S2859" s="6" t="str">
        <f>IF($C2859="","",IFERROR(INDEX('Paramètres'!$H:$H,MATCH($C2859,'Paramètres'!$D:$D,0))&amp;"",""))</f>
        <v/>
      </c>
      <c r="T2859" s="6" t="str">
        <f>IF($K2859="","",IF($S2859="",0,IF(ISNUMBER(SEARCH("apport-exterieur",IFERROR(INDEX('Paramètres'!$N:$N,MATCH($D2859,'Paramètres'!$M:$M,0))&amp;"",""))),0,IF(OR(IFERROR(INDEX('Paramètres'!$I:$I,MATCH($C2859,'Paramètres'!$D:$D,0))&amp;"","")="Les deux",IFERROR(INDEX('Paramètres'!$I:$I,MATCH($C2859,'Paramètres'!$D:$D,0))&amp;"","")=IF($P2859=1,"Débit",$L2859)),-IF($P2859=1,-$K2859,$K2859),0))))</f>
        <v/>
      </c>
      <c r="U2859" s="6" t="str">
        <f>IF($K2859="","",IF(ISNUMBER(SEARCH("sortie-epargne",IFERROR(INDEX('Paramètres'!$N:$N,MATCH($D2859,'Paramètres'!$M:$M,0))&amp;"",""))),$K2859,0))</f>
        <v/>
      </c>
      <c r="V2859" s="6" t="str">
        <f>IF(AND($A2859&lt;&gt;"",$O2859=1,$L2859="Débit",N($Q2859)&gt;0,$A2859&gt;=Visualisation!$B$1,$A2859&lt;Visualisation!$D$1),MAX($V$1:V2858)+1,"")</f>
        <v/>
      </c>
    </row>
    <row r="2860" spans="1:22" x14ac:dyDescent="0.25">
      <c r="A2860" s="9"/>
      <c r="E2860" s="10"/>
      <c r="K2860" s="11" t="str">
        <f>IF($E2860="","",ROUND($E2860*IF(ISNA(MATCH($C2860,'Paramètres'!$D:$D,0)),1,IF(INDEX('Paramètres'!$J:$J,MATCH($C2860,'Paramètres'!$D:$D,0))="",1,INDEX('Paramètres'!$J:$J,MATCH($C2860,'Paramètres'!$D:$D,0)))),2))</f>
        <v/>
      </c>
      <c r="L2860" s="6" t="str">
        <f>IF($D2860="","",IF($F2860&lt;&gt;"",$F2860,IF(ISNA(MATCH($D2860,'Paramètres'!$M:$M,0)),"⚠ Type inconnu",IFERROR(INDEX('Paramètres'!$P:$P,MATCH($D2860,'Paramètres'!$M:$M,0))&amp;"",""))))</f>
        <v/>
      </c>
      <c r="M2860" s="6" t="str">
        <f>IF($D2860="","",IF(ISNA(MATCH($D2860,'Paramètres'!$M:$M,0)),"⚠ Type inconnu",IF($L2860="Crédit","",IFERROR(INDEX('Paramètres'!$O:$O,MATCH($D2860,'Paramètres'!$M:$M,0))&amp;"",""))))</f>
        <v/>
      </c>
      <c r="N2860" s="6" t="str">
        <f>IF($D2860="","",IFERROR(INDEX('Paramètres'!$Q:$Q,MATCH($D2860,'Paramètres'!$M:$M,0))&amp;"",""))</f>
        <v/>
      </c>
      <c r="O2860" s="6" t="str">
        <f>IF($A2860="","",IF(OR($J2860&lt;&gt;"x",$A2860&lt;=FinReleve),1,0))</f>
        <v/>
      </c>
      <c r="P2860" s="6" t="str">
        <f>IF($D2860="","",IF(AND($L2860="Crédit",OR(IFERROR(INDEX('Paramètres'!$O:$O,MATCH($D2860,'Paramètres'!$M:$M,0))&amp;"","")&lt;&gt;"",ISNUMBER(SEARCH("remboursement",IFERROR(INDEX('Paramètres'!$N:$N,MATCH($D2860,'Paramètres'!$M:$M,0))&amp;"",""))))),1,0))</f>
        <v/>
      </c>
      <c r="Q2860" s="6" t="str">
        <f>IF($K2860="","",IF(ISNUMBER(SEARCH("transfert-interne",IFERROR(INDEX('Paramètres'!$N:$N,MATCH($D2860,'Paramètres'!$M:$M,0))&amp;"",""))),0,IF($L2860="Débit",$K2860,IF($P2860=1,-$K2860,0))))</f>
        <v/>
      </c>
      <c r="R2860" s="6" t="str">
        <f>IF($K2860="","",IF($L2860="Crédit",$K2860,-$K2860))</f>
        <v/>
      </c>
      <c r="S2860" s="6" t="str">
        <f>IF($C2860="","",IFERROR(INDEX('Paramètres'!$H:$H,MATCH($C2860,'Paramètres'!$D:$D,0))&amp;"",""))</f>
        <v/>
      </c>
      <c r="T2860" s="6" t="str">
        <f>IF($K2860="","",IF($S2860="",0,IF(ISNUMBER(SEARCH("apport-exterieur",IFERROR(INDEX('Paramètres'!$N:$N,MATCH($D2860,'Paramètres'!$M:$M,0))&amp;"",""))),0,IF(OR(IFERROR(INDEX('Paramètres'!$I:$I,MATCH($C2860,'Paramètres'!$D:$D,0))&amp;"","")="Les deux",IFERROR(INDEX('Paramètres'!$I:$I,MATCH($C2860,'Paramètres'!$D:$D,0))&amp;"","")=IF($P2860=1,"Débit",$L2860)),-IF($P2860=1,-$K2860,$K2860),0))))</f>
        <v/>
      </c>
      <c r="U2860" s="6" t="str">
        <f>IF($K2860="","",IF(ISNUMBER(SEARCH("sortie-epargne",IFERROR(INDEX('Paramètres'!$N:$N,MATCH($D2860,'Paramètres'!$M:$M,0))&amp;"",""))),$K2860,0))</f>
        <v/>
      </c>
      <c r="V2860" s="6" t="str">
        <f>IF(AND($A2860&lt;&gt;"",$O2860=1,$L2860="Débit",N($Q2860)&gt;0,$A2860&gt;=Visualisation!$B$1,$A2860&lt;Visualisation!$D$1),MAX($V$1:V2859)+1,"")</f>
        <v/>
      </c>
    </row>
    <row r="2861" spans="1:22" x14ac:dyDescent="0.25">
      <c r="A2861" s="9"/>
      <c r="E2861" s="10"/>
      <c r="K2861" s="11" t="str">
        <f>IF($E2861="","",ROUND($E2861*IF(ISNA(MATCH($C2861,'Paramètres'!$D:$D,0)),1,IF(INDEX('Paramètres'!$J:$J,MATCH($C2861,'Paramètres'!$D:$D,0))="",1,INDEX('Paramètres'!$J:$J,MATCH($C2861,'Paramètres'!$D:$D,0)))),2))</f>
        <v/>
      </c>
      <c r="L2861" s="6" t="str">
        <f>IF($D2861="","",IF($F2861&lt;&gt;"",$F2861,IF(ISNA(MATCH($D2861,'Paramètres'!$M:$M,0)),"⚠ Type inconnu",IFERROR(INDEX('Paramètres'!$P:$P,MATCH($D2861,'Paramètres'!$M:$M,0))&amp;"",""))))</f>
        <v/>
      </c>
      <c r="M2861" s="6" t="str">
        <f>IF($D2861="","",IF(ISNA(MATCH($D2861,'Paramètres'!$M:$M,0)),"⚠ Type inconnu",IF($L2861="Crédit","",IFERROR(INDEX('Paramètres'!$O:$O,MATCH($D2861,'Paramètres'!$M:$M,0))&amp;"",""))))</f>
        <v/>
      </c>
      <c r="N2861" s="6" t="str">
        <f>IF($D2861="","",IFERROR(INDEX('Paramètres'!$Q:$Q,MATCH($D2861,'Paramètres'!$M:$M,0))&amp;"",""))</f>
        <v/>
      </c>
      <c r="O2861" s="6" t="str">
        <f>IF($A2861="","",IF(OR($J2861&lt;&gt;"x",$A2861&lt;=FinReleve),1,0))</f>
        <v/>
      </c>
      <c r="P2861" s="6" t="str">
        <f>IF($D2861="","",IF(AND($L2861="Crédit",OR(IFERROR(INDEX('Paramètres'!$O:$O,MATCH($D2861,'Paramètres'!$M:$M,0))&amp;"","")&lt;&gt;"",ISNUMBER(SEARCH("remboursement",IFERROR(INDEX('Paramètres'!$N:$N,MATCH($D2861,'Paramètres'!$M:$M,0))&amp;"",""))))),1,0))</f>
        <v/>
      </c>
      <c r="Q2861" s="6" t="str">
        <f>IF($K2861="","",IF(ISNUMBER(SEARCH("transfert-interne",IFERROR(INDEX('Paramètres'!$N:$N,MATCH($D2861,'Paramètres'!$M:$M,0))&amp;"",""))),0,IF($L2861="Débit",$K2861,IF($P2861=1,-$K2861,0))))</f>
        <v/>
      </c>
      <c r="R2861" s="6" t="str">
        <f>IF($K2861="","",IF($L2861="Crédit",$K2861,-$K2861))</f>
        <v/>
      </c>
      <c r="S2861" s="6" t="str">
        <f>IF($C2861="","",IFERROR(INDEX('Paramètres'!$H:$H,MATCH($C2861,'Paramètres'!$D:$D,0))&amp;"",""))</f>
        <v/>
      </c>
      <c r="T2861" s="6" t="str">
        <f>IF($K2861="","",IF($S2861="",0,IF(ISNUMBER(SEARCH("apport-exterieur",IFERROR(INDEX('Paramètres'!$N:$N,MATCH($D2861,'Paramètres'!$M:$M,0))&amp;"",""))),0,IF(OR(IFERROR(INDEX('Paramètres'!$I:$I,MATCH($C2861,'Paramètres'!$D:$D,0))&amp;"","")="Les deux",IFERROR(INDEX('Paramètres'!$I:$I,MATCH($C2861,'Paramètres'!$D:$D,0))&amp;"","")=IF($P2861=1,"Débit",$L2861)),-IF($P2861=1,-$K2861,$K2861),0))))</f>
        <v/>
      </c>
      <c r="U2861" s="6" t="str">
        <f>IF($K2861="","",IF(ISNUMBER(SEARCH("sortie-epargne",IFERROR(INDEX('Paramètres'!$N:$N,MATCH($D2861,'Paramètres'!$M:$M,0))&amp;"",""))),$K2861,0))</f>
        <v/>
      </c>
      <c r="V2861" s="6" t="str">
        <f>IF(AND($A2861&lt;&gt;"",$O2861=1,$L2861="Débit",N($Q2861)&gt;0,$A2861&gt;=Visualisation!$B$1,$A2861&lt;Visualisation!$D$1),MAX($V$1:V2860)+1,"")</f>
        <v/>
      </c>
    </row>
    <row r="2862" spans="1:22" x14ac:dyDescent="0.25">
      <c r="A2862" s="9"/>
      <c r="E2862" s="10"/>
      <c r="K2862" s="11" t="str">
        <f>IF($E2862="","",ROUND($E2862*IF(ISNA(MATCH($C2862,'Paramètres'!$D:$D,0)),1,IF(INDEX('Paramètres'!$J:$J,MATCH($C2862,'Paramètres'!$D:$D,0))="",1,INDEX('Paramètres'!$J:$J,MATCH($C2862,'Paramètres'!$D:$D,0)))),2))</f>
        <v/>
      </c>
      <c r="L2862" s="6" t="str">
        <f>IF($D2862="","",IF($F2862&lt;&gt;"",$F2862,IF(ISNA(MATCH($D2862,'Paramètres'!$M:$M,0)),"⚠ Type inconnu",IFERROR(INDEX('Paramètres'!$P:$P,MATCH($D2862,'Paramètres'!$M:$M,0))&amp;"",""))))</f>
        <v/>
      </c>
      <c r="M2862" s="6" t="str">
        <f>IF($D2862="","",IF(ISNA(MATCH($D2862,'Paramètres'!$M:$M,0)),"⚠ Type inconnu",IF($L2862="Crédit","",IFERROR(INDEX('Paramètres'!$O:$O,MATCH($D2862,'Paramètres'!$M:$M,0))&amp;"",""))))</f>
        <v/>
      </c>
      <c r="N2862" s="6" t="str">
        <f>IF($D2862="","",IFERROR(INDEX('Paramètres'!$Q:$Q,MATCH($D2862,'Paramètres'!$M:$M,0))&amp;"",""))</f>
        <v/>
      </c>
      <c r="O2862" s="6" t="str">
        <f>IF($A2862="","",IF(OR($J2862&lt;&gt;"x",$A2862&lt;=FinReleve),1,0))</f>
        <v/>
      </c>
      <c r="P2862" s="6" t="str">
        <f>IF($D2862="","",IF(AND($L2862="Crédit",OR(IFERROR(INDEX('Paramètres'!$O:$O,MATCH($D2862,'Paramètres'!$M:$M,0))&amp;"","")&lt;&gt;"",ISNUMBER(SEARCH("remboursement",IFERROR(INDEX('Paramètres'!$N:$N,MATCH($D2862,'Paramètres'!$M:$M,0))&amp;"",""))))),1,0))</f>
        <v/>
      </c>
      <c r="Q2862" s="6" t="str">
        <f>IF($K2862="","",IF(ISNUMBER(SEARCH("transfert-interne",IFERROR(INDEX('Paramètres'!$N:$N,MATCH($D2862,'Paramètres'!$M:$M,0))&amp;"",""))),0,IF($L2862="Débit",$K2862,IF($P2862=1,-$K2862,0))))</f>
        <v/>
      </c>
      <c r="R2862" s="6" t="str">
        <f>IF($K2862="","",IF($L2862="Crédit",$K2862,-$K2862))</f>
        <v/>
      </c>
      <c r="S2862" s="6" t="str">
        <f>IF($C2862="","",IFERROR(INDEX('Paramètres'!$H:$H,MATCH($C2862,'Paramètres'!$D:$D,0))&amp;"",""))</f>
        <v/>
      </c>
      <c r="T2862" s="6" t="str">
        <f>IF($K2862="","",IF($S2862="",0,IF(ISNUMBER(SEARCH("apport-exterieur",IFERROR(INDEX('Paramètres'!$N:$N,MATCH($D2862,'Paramètres'!$M:$M,0))&amp;"",""))),0,IF(OR(IFERROR(INDEX('Paramètres'!$I:$I,MATCH($C2862,'Paramètres'!$D:$D,0))&amp;"","")="Les deux",IFERROR(INDEX('Paramètres'!$I:$I,MATCH($C2862,'Paramètres'!$D:$D,0))&amp;"","")=IF($P2862=1,"Débit",$L2862)),-IF($P2862=1,-$K2862,$K2862),0))))</f>
        <v/>
      </c>
      <c r="U2862" s="6" t="str">
        <f>IF($K2862="","",IF(ISNUMBER(SEARCH("sortie-epargne",IFERROR(INDEX('Paramètres'!$N:$N,MATCH($D2862,'Paramètres'!$M:$M,0))&amp;"",""))),$K2862,0))</f>
        <v/>
      </c>
      <c r="V2862" s="6" t="str">
        <f>IF(AND($A2862&lt;&gt;"",$O2862=1,$L2862="Débit",N($Q2862)&gt;0,$A2862&gt;=Visualisation!$B$1,$A2862&lt;Visualisation!$D$1),MAX($V$1:V2861)+1,"")</f>
        <v/>
      </c>
    </row>
    <row r="2863" spans="1:22" x14ac:dyDescent="0.25">
      <c r="A2863" s="9"/>
      <c r="E2863" s="10"/>
      <c r="K2863" s="11" t="str">
        <f>IF($E2863="","",ROUND($E2863*IF(ISNA(MATCH($C2863,'Paramètres'!$D:$D,0)),1,IF(INDEX('Paramètres'!$J:$J,MATCH($C2863,'Paramètres'!$D:$D,0))="",1,INDEX('Paramètres'!$J:$J,MATCH($C2863,'Paramètres'!$D:$D,0)))),2))</f>
        <v/>
      </c>
      <c r="L2863" s="6" t="str">
        <f>IF($D2863="","",IF($F2863&lt;&gt;"",$F2863,IF(ISNA(MATCH($D2863,'Paramètres'!$M:$M,0)),"⚠ Type inconnu",IFERROR(INDEX('Paramètres'!$P:$P,MATCH($D2863,'Paramètres'!$M:$M,0))&amp;"",""))))</f>
        <v/>
      </c>
      <c r="M2863" s="6" t="str">
        <f>IF($D2863="","",IF(ISNA(MATCH($D2863,'Paramètres'!$M:$M,0)),"⚠ Type inconnu",IF($L2863="Crédit","",IFERROR(INDEX('Paramètres'!$O:$O,MATCH($D2863,'Paramètres'!$M:$M,0))&amp;"",""))))</f>
        <v/>
      </c>
      <c r="N2863" s="6" t="str">
        <f>IF($D2863="","",IFERROR(INDEX('Paramètres'!$Q:$Q,MATCH($D2863,'Paramètres'!$M:$M,0))&amp;"",""))</f>
        <v/>
      </c>
      <c r="O2863" s="6" t="str">
        <f>IF($A2863="","",IF(OR($J2863&lt;&gt;"x",$A2863&lt;=FinReleve),1,0))</f>
        <v/>
      </c>
      <c r="P2863" s="6" t="str">
        <f>IF($D2863="","",IF(AND($L2863="Crédit",OR(IFERROR(INDEX('Paramètres'!$O:$O,MATCH($D2863,'Paramètres'!$M:$M,0))&amp;"","")&lt;&gt;"",ISNUMBER(SEARCH("remboursement",IFERROR(INDEX('Paramètres'!$N:$N,MATCH($D2863,'Paramètres'!$M:$M,0))&amp;"",""))))),1,0))</f>
        <v/>
      </c>
      <c r="Q2863" s="6" t="str">
        <f>IF($K2863="","",IF(ISNUMBER(SEARCH("transfert-interne",IFERROR(INDEX('Paramètres'!$N:$N,MATCH($D2863,'Paramètres'!$M:$M,0))&amp;"",""))),0,IF($L2863="Débit",$K2863,IF($P2863=1,-$K2863,0))))</f>
        <v/>
      </c>
      <c r="R2863" s="6" t="str">
        <f>IF($K2863="","",IF($L2863="Crédit",$K2863,-$K2863))</f>
        <v/>
      </c>
      <c r="S2863" s="6" t="str">
        <f>IF($C2863="","",IFERROR(INDEX('Paramètres'!$H:$H,MATCH($C2863,'Paramètres'!$D:$D,0))&amp;"",""))</f>
        <v/>
      </c>
      <c r="T2863" s="6" t="str">
        <f>IF($K2863="","",IF($S2863="",0,IF(ISNUMBER(SEARCH("apport-exterieur",IFERROR(INDEX('Paramètres'!$N:$N,MATCH($D2863,'Paramètres'!$M:$M,0))&amp;"",""))),0,IF(OR(IFERROR(INDEX('Paramètres'!$I:$I,MATCH($C2863,'Paramètres'!$D:$D,0))&amp;"","")="Les deux",IFERROR(INDEX('Paramètres'!$I:$I,MATCH($C2863,'Paramètres'!$D:$D,0))&amp;"","")=IF($P2863=1,"Débit",$L2863)),-IF($P2863=1,-$K2863,$K2863),0))))</f>
        <v/>
      </c>
      <c r="U2863" s="6" t="str">
        <f>IF($K2863="","",IF(ISNUMBER(SEARCH("sortie-epargne",IFERROR(INDEX('Paramètres'!$N:$N,MATCH($D2863,'Paramètres'!$M:$M,0))&amp;"",""))),$K2863,0))</f>
        <v/>
      </c>
      <c r="V2863" s="6" t="str">
        <f>IF(AND($A2863&lt;&gt;"",$O2863=1,$L2863="Débit",N($Q2863)&gt;0,$A2863&gt;=Visualisation!$B$1,$A2863&lt;Visualisation!$D$1),MAX($V$1:V2862)+1,"")</f>
        <v/>
      </c>
    </row>
    <row r="2864" spans="1:22" x14ac:dyDescent="0.25">
      <c r="A2864" s="9"/>
      <c r="E2864" s="10"/>
      <c r="K2864" s="11" t="str">
        <f>IF($E2864="","",ROUND($E2864*IF(ISNA(MATCH($C2864,'Paramètres'!$D:$D,0)),1,IF(INDEX('Paramètres'!$J:$J,MATCH($C2864,'Paramètres'!$D:$D,0))="",1,INDEX('Paramètres'!$J:$J,MATCH($C2864,'Paramètres'!$D:$D,0)))),2))</f>
        <v/>
      </c>
      <c r="L2864" s="6" t="str">
        <f>IF($D2864="","",IF($F2864&lt;&gt;"",$F2864,IF(ISNA(MATCH($D2864,'Paramètres'!$M:$M,0)),"⚠ Type inconnu",IFERROR(INDEX('Paramètres'!$P:$P,MATCH($D2864,'Paramètres'!$M:$M,0))&amp;"",""))))</f>
        <v/>
      </c>
      <c r="M2864" s="6" t="str">
        <f>IF($D2864="","",IF(ISNA(MATCH($D2864,'Paramètres'!$M:$M,0)),"⚠ Type inconnu",IF($L2864="Crédit","",IFERROR(INDEX('Paramètres'!$O:$O,MATCH($D2864,'Paramètres'!$M:$M,0))&amp;"",""))))</f>
        <v/>
      </c>
      <c r="N2864" s="6" t="str">
        <f>IF($D2864="","",IFERROR(INDEX('Paramètres'!$Q:$Q,MATCH($D2864,'Paramètres'!$M:$M,0))&amp;"",""))</f>
        <v/>
      </c>
      <c r="O2864" s="6" t="str">
        <f>IF($A2864="","",IF(OR($J2864&lt;&gt;"x",$A2864&lt;=FinReleve),1,0))</f>
        <v/>
      </c>
      <c r="P2864" s="6" t="str">
        <f>IF($D2864="","",IF(AND($L2864="Crédit",OR(IFERROR(INDEX('Paramètres'!$O:$O,MATCH($D2864,'Paramètres'!$M:$M,0))&amp;"","")&lt;&gt;"",ISNUMBER(SEARCH("remboursement",IFERROR(INDEX('Paramètres'!$N:$N,MATCH($D2864,'Paramètres'!$M:$M,0))&amp;"",""))))),1,0))</f>
        <v/>
      </c>
      <c r="Q2864" s="6" t="str">
        <f>IF($K2864="","",IF(ISNUMBER(SEARCH("transfert-interne",IFERROR(INDEX('Paramètres'!$N:$N,MATCH($D2864,'Paramètres'!$M:$M,0))&amp;"",""))),0,IF($L2864="Débit",$K2864,IF($P2864=1,-$K2864,0))))</f>
        <v/>
      </c>
      <c r="R2864" s="6" t="str">
        <f>IF($K2864="","",IF($L2864="Crédit",$K2864,-$K2864))</f>
        <v/>
      </c>
      <c r="S2864" s="6" t="str">
        <f>IF($C2864="","",IFERROR(INDEX('Paramètres'!$H:$H,MATCH($C2864,'Paramètres'!$D:$D,0))&amp;"",""))</f>
        <v/>
      </c>
      <c r="T2864" s="6" t="str">
        <f>IF($K2864="","",IF($S2864="",0,IF(ISNUMBER(SEARCH("apport-exterieur",IFERROR(INDEX('Paramètres'!$N:$N,MATCH($D2864,'Paramètres'!$M:$M,0))&amp;"",""))),0,IF(OR(IFERROR(INDEX('Paramètres'!$I:$I,MATCH($C2864,'Paramètres'!$D:$D,0))&amp;"","")="Les deux",IFERROR(INDEX('Paramètres'!$I:$I,MATCH($C2864,'Paramètres'!$D:$D,0))&amp;"","")=IF($P2864=1,"Débit",$L2864)),-IF($P2864=1,-$K2864,$K2864),0))))</f>
        <v/>
      </c>
      <c r="U2864" s="6" t="str">
        <f>IF($K2864="","",IF(ISNUMBER(SEARCH("sortie-epargne",IFERROR(INDEX('Paramètres'!$N:$N,MATCH($D2864,'Paramètres'!$M:$M,0))&amp;"",""))),$K2864,0))</f>
        <v/>
      </c>
      <c r="V2864" s="6" t="str">
        <f>IF(AND($A2864&lt;&gt;"",$O2864=1,$L2864="Débit",N($Q2864)&gt;0,$A2864&gt;=Visualisation!$B$1,$A2864&lt;Visualisation!$D$1),MAX($V$1:V2863)+1,"")</f>
        <v/>
      </c>
    </row>
    <row r="2865" spans="1:22" x14ac:dyDescent="0.25">
      <c r="A2865" s="9"/>
      <c r="E2865" s="10"/>
      <c r="K2865" s="11" t="str">
        <f>IF($E2865="","",ROUND($E2865*IF(ISNA(MATCH($C2865,'Paramètres'!$D:$D,0)),1,IF(INDEX('Paramètres'!$J:$J,MATCH($C2865,'Paramètres'!$D:$D,0))="",1,INDEX('Paramètres'!$J:$J,MATCH($C2865,'Paramètres'!$D:$D,0)))),2))</f>
        <v/>
      </c>
      <c r="L2865" s="6" t="str">
        <f>IF($D2865="","",IF($F2865&lt;&gt;"",$F2865,IF(ISNA(MATCH($D2865,'Paramètres'!$M:$M,0)),"⚠ Type inconnu",IFERROR(INDEX('Paramètres'!$P:$P,MATCH($D2865,'Paramètres'!$M:$M,0))&amp;"",""))))</f>
        <v/>
      </c>
      <c r="M2865" s="6" t="str">
        <f>IF($D2865="","",IF(ISNA(MATCH($D2865,'Paramètres'!$M:$M,0)),"⚠ Type inconnu",IF($L2865="Crédit","",IFERROR(INDEX('Paramètres'!$O:$O,MATCH($D2865,'Paramètres'!$M:$M,0))&amp;"",""))))</f>
        <v/>
      </c>
      <c r="N2865" s="6" t="str">
        <f>IF($D2865="","",IFERROR(INDEX('Paramètres'!$Q:$Q,MATCH($D2865,'Paramètres'!$M:$M,0))&amp;"",""))</f>
        <v/>
      </c>
      <c r="O2865" s="6" t="str">
        <f>IF($A2865="","",IF(OR($J2865&lt;&gt;"x",$A2865&lt;=FinReleve),1,0))</f>
        <v/>
      </c>
      <c r="P2865" s="6" t="str">
        <f>IF($D2865="","",IF(AND($L2865="Crédit",OR(IFERROR(INDEX('Paramètres'!$O:$O,MATCH($D2865,'Paramètres'!$M:$M,0))&amp;"","")&lt;&gt;"",ISNUMBER(SEARCH("remboursement",IFERROR(INDEX('Paramètres'!$N:$N,MATCH($D2865,'Paramètres'!$M:$M,0))&amp;"",""))))),1,0))</f>
        <v/>
      </c>
      <c r="Q2865" s="6" t="str">
        <f>IF($K2865="","",IF(ISNUMBER(SEARCH("transfert-interne",IFERROR(INDEX('Paramètres'!$N:$N,MATCH($D2865,'Paramètres'!$M:$M,0))&amp;"",""))),0,IF($L2865="Débit",$K2865,IF($P2865=1,-$K2865,0))))</f>
        <v/>
      </c>
      <c r="R2865" s="6" t="str">
        <f>IF($K2865="","",IF($L2865="Crédit",$K2865,-$K2865))</f>
        <v/>
      </c>
      <c r="S2865" s="6" t="str">
        <f>IF($C2865="","",IFERROR(INDEX('Paramètres'!$H:$H,MATCH($C2865,'Paramètres'!$D:$D,0))&amp;"",""))</f>
        <v/>
      </c>
      <c r="T2865" s="6" t="str">
        <f>IF($K2865="","",IF($S2865="",0,IF(ISNUMBER(SEARCH("apport-exterieur",IFERROR(INDEX('Paramètres'!$N:$N,MATCH($D2865,'Paramètres'!$M:$M,0))&amp;"",""))),0,IF(OR(IFERROR(INDEX('Paramètres'!$I:$I,MATCH($C2865,'Paramètres'!$D:$D,0))&amp;"","")="Les deux",IFERROR(INDEX('Paramètres'!$I:$I,MATCH($C2865,'Paramètres'!$D:$D,0))&amp;"","")=IF($P2865=1,"Débit",$L2865)),-IF($P2865=1,-$K2865,$K2865),0))))</f>
        <v/>
      </c>
      <c r="U2865" s="6" t="str">
        <f>IF($K2865="","",IF(ISNUMBER(SEARCH("sortie-epargne",IFERROR(INDEX('Paramètres'!$N:$N,MATCH($D2865,'Paramètres'!$M:$M,0))&amp;"",""))),$K2865,0))</f>
        <v/>
      </c>
      <c r="V2865" s="6" t="str">
        <f>IF(AND($A2865&lt;&gt;"",$O2865=1,$L2865="Débit",N($Q2865)&gt;0,$A2865&gt;=Visualisation!$B$1,$A2865&lt;Visualisation!$D$1),MAX($V$1:V2864)+1,"")</f>
        <v/>
      </c>
    </row>
    <row r="2866" spans="1:22" x14ac:dyDescent="0.25">
      <c r="A2866" s="9"/>
      <c r="E2866" s="10"/>
      <c r="K2866" s="11" t="str">
        <f>IF($E2866="","",ROUND($E2866*IF(ISNA(MATCH($C2866,'Paramètres'!$D:$D,0)),1,IF(INDEX('Paramètres'!$J:$J,MATCH($C2866,'Paramètres'!$D:$D,0))="",1,INDEX('Paramètres'!$J:$J,MATCH($C2866,'Paramètres'!$D:$D,0)))),2))</f>
        <v/>
      </c>
      <c r="L2866" s="6" t="str">
        <f>IF($D2866="","",IF($F2866&lt;&gt;"",$F2866,IF(ISNA(MATCH($D2866,'Paramètres'!$M:$M,0)),"⚠ Type inconnu",IFERROR(INDEX('Paramètres'!$P:$P,MATCH($D2866,'Paramètres'!$M:$M,0))&amp;"",""))))</f>
        <v/>
      </c>
      <c r="M2866" s="6" t="str">
        <f>IF($D2866="","",IF(ISNA(MATCH($D2866,'Paramètres'!$M:$M,0)),"⚠ Type inconnu",IF($L2866="Crédit","",IFERROR(INDEX('Paramètres'!$O:$O,MATCH($D2866,'Paramètres'!$M:$M,0))&amp;"",""))))</f>
        <v/>
      </c>
      <c r="N2866" s="6" t="str">
        <f>IF($D2866="","",IFERROR(INDEX('Paramètres'!$Q:$Q,MATCH($D2866,'Paramètres'!$M:$M,0))&amp;"",""))</f>
        <v/>
      </c>
      <c r="O2866" s="6" t="str">
        <f>IF($A2866="","",IF(OR($J2866&lt;&gt;"x",$A2866&lt;=FinReleve),1,0))</f>
        <v/>
      </c>
      <c r="P2866" s="6" t="str">
        <f>IF($D2866="","",IF(AND($L2866="Crédit",OR(IFERROR(INDEX('Paramètres'!$O:$O,MATCH($D2866,'Paramètres'!$M:$M,0))&amp;"","")&lt;&gt;"",ISNUMBER(SEARCH("remboursement",IFERROR(INDEX('Paramètres'!$N:$N,MATCH($D2866,'Paramètres'!$M:$M,0))&amp;"",""))))),1,0))</f>
        <v/>
      </c>
      <c r="Q2866" s="6" t="str">
        <f>IF($K2866="","",IF(ISNUMBER(SEARCH("transfert-interne",IFERROR(INDEX('Paramètres'!$N:$N,MATCH($D2866,'Paramètres'!$M:$M,0))&amp;"",""))),0,IF($L2866="Débit",$K2866,IF($P2866=1,-$K2866,0))))</f>
        <v/>
      </c>
      <c r="R2866" s="6" t="str">
        <f>IF($K2866="","",IF($L2866="Crédit",$K2866,-$K2866))</f>
        <v/>
      </c>
      <c r="S2866" s="6" t="str">
        <f>IF($C2866="","",IFERROR(INDEX('Paramètres'!$H:$H,MATCH($C2866,'Paramètres'!$D:$D,0))&amp;"",""))</f>
        <v/>
      </c>
      <c r="T2866" s="6" t="str">
        <f>IF($K2866="","",IF($S2866="",0,IF(ISNUMBER(SEARCH("apport-exterieur",IFERROR(INDEX('Paramètres'!$N:$N,MATCH($D2866,'Paramètres'!$M:$M,0))&amp;"",""))),0,IF(OR(IFERROR(INDEX('Paramètres'!$I:$I,MATCH($C2866,'Paramètres'!$D:$D,0))&amp;"","")="Les deux",IFERROR(INDEX('Paramètres'!$I:$I,MATCH($C2866,'Paramètres'!$D:$D,0))&amp;"","")=IF($P2866=1,"Débit",$L2866)),-IF($P2866=1,-$K2866,$K2866),0))))</f>
        <v/>
      </c>
      <c r="U2866" s="6" t="str">
        <f>IF($K2866="","",IF(ISNUMBER(SEARCH("sortie-epargne",IFERROR(INDEX('Paramètres'!$N:$N,MATCH($D2866,'Paramètres'!$M:$M,0))&amp;"",""))),$K2866,0))</f>
        <v/>
      </c>
      <c r="V2866" s="6" t="str">
        <f>IF(AND($A2866&lt;&gt;"",$O2866=1,$L2866="Débit",N($Q2866)&gt;0,$A2866&gt;=Visualisation!$B$1,$A2866&lt;Visualisation!$D$1),MAX($V$1:V2865)+1,"")</f>
        <v/>
      </c>
    </row>
    <row r="2867" spans="1:22" x14ac:dyDescent="0.25">
      <c r="A2867" s="9"/>
      <c r="E2867" s="10"/>
      <c r="K2867" s="11" t="str">
        <f>IF($E2867="","",ROUND($E2867*IF(ISNA(MATCH($C2867,'Paramètres'!$D:$D,0)),1,IF(INDEX('Paramètres'!$J:$J,MATCH($C2867,'Paramètres'!$D:$D,0))="",1,INDEX('Paramètres'!$J:$J,MATCH($C2867,'Paramètres'!$D:$D,0)))),2))</f>
        <v/>
      </c>
      <c r="L2867" s="6" t="str">
        <f>IF($D2867="","",IF($F2867&lt;&gt;"",$F2867,IF(ISNA(MATCH($D2867,'Paramètres'!$M:$M,0)),"⚠ Type inconnu",IFERROR(INDEX('Paramètres'!$P:$P,MATCH($D2867,'Paramètres'!$M:$M,0))&amp;"",""))))</f>
        <v/>
      </c>
      <c r="M2867" s="6" t="str">
        <f>IF($D2867="","",IF(ISNA(MATCH($D2867,'Paramètres'!$M:$M,0)),"⚠ Type inconnu",IF($L2867="Crédit","",IFERROR(INDEX('Paramètres'!$O:$O,MATCH($D2867,'Paramètres'!$M:$M,0))&amp;"",""))))</f>
        <v/>
      </c>
      <c r="N2867" s="6" t="str">
        <f>IF($D2867="","",IFERROR(INDEX('Paramètres'!$Q:$Q,MATCH($D2867,'Paramètres'!$M:$M,0))&amp;"",""))</f>
        <v/>
      </c>
      <c r="O2867" s="6" t="str">
        <f>IF($A2867="","",IF(OR($J2867&lt;&gt;"x",$A2867&lt;=FinReleve),1,0))</f>
        <v/>
      </c>
      <c r="P2867" s="6" t="str">
        <f>IF($D2867="","",IF(AND($L2867="Crédit",OR(IFERROR(INDEX('Paramètres'!$O:$O,MATCH($D2867,'Paramètres'!$M:$M,0))&amp;"","")&lt;&gt;"",ISNUMBER(SEARCH("remboursement",IFERROR(INDEX('Paramètres'!$N:$N,MATCH($D2867,'Paramètres'!$M:$M,0))&amp;"",""))))),1,0))</f>
        <v/>
      </c>
      <c r="Q2867" s="6" t="str">
        <f>IF($K2867="","",IF(ISNUMBER(SEARCH("transfert-interne",IFERROR(INDEX('Paramètres'!$N:$N,MATCH($D2867,'Paramètres'!$M:$M,0))&amp;"",""))),0,IF($L2867="Débit",$K2867,IF($P2867=1,-$K2867,0))))</f>
        <v/>
      </c>
      <c r="R2867" s="6" t="str">
        <f>IF($K2867="","",IF($L2867="Crédit",$K2867,-$K2867))</f>
        <v/>
      </c>
      <c r="S2867" s="6" t="str">
        <f>IF($C2867="","",IFERROR(INDEX('Paramètres'!$H:$H,MATCH($C2867,'Paramètres'!$D:$D,0))&amp;"",""))</f>
        <v/>
      </c>
      <c r="T2867" s="6" t="str">
        <f>IF($K2867="","",IF($S2867="",0,IF(ISNUMBER(SEARCH("apport-exterieur",IFERROR(INDEX('Paramètres'!$N:$N,MATCH($D2867,'Paramètres'!$M:$M,0))&amp;"",""))),0,IF(OR(IFERROR(INDEX('Paramètres'!$I:$I,MATCH($C2867,'Paramètres'!$D:$D,0))&amp;"","")="Les deux",IFERROR(INDEX('Paramètres'!$I:$I,MATCH($C2867,'Paramètres'!$D:$D,0))&amp;"","")=IF($P2867=1,"Débit",$L2867)),-IF($P2867=1,-$K2867,$K2867),0))))</f>
        <v/>
      </c>
      <c r="U2867" s="6" t="str">
        <f>IF($K2867="","",IF(ISNUMBER(SEARCH("sortie-epargne",IFERROR(INDEX('Paramètres'!$N:$N,MATCH($D2867,'Paramètres'!$M:$M,0))&amp;"",""))),$K2867,0))</f>
        <v/>
      </c>
      <c r="V2867" s="6" t="str">
        <f>IF(AND($A2867&lt;&gt;"",$O2867=1,$L2867="Débit",N($Q2867)&gt;0,$A2867&gt;=Visualisation!$B$1,$A2867&lt;Visualisation!$D$1),MAX($V$1:V2866)+1,"")</f>
        <v/>
      </c>
    </row>
    <row r="2868" spans="1:22" x14ac:dyDescent="0.25">
      <c r="A2868" s="9"/>
      <c r="E2868" s="10"/>
      <c r="K2868" s="11" t="str">
        <f>IF($E2868="","",ROUND($E2868*IF(ISNA(MATCH($C2868,'Paramètres'!$D:$D,0)),1,IF(INDEX('Paramètres'!$J:$J,MATCH($C2868,'Paramètres'!$D:$D,0))="",1,INDEX('Paramètres'!$J:$J,MATCH($C2868,'Paramètres'!$D:$D,0)))),2))</f>
        <v/>
      </c>
      <c r="L2868" s="6" t="str">
        <f>IF($D2868="","",IF($F2868&lt;&gt;"",$F2868,IF(ISNA(MATCH($D2868,'Paramètres'!$M:$M,0)),"⚠ Type inconnu",IFERROR(INDEX('Paramètres'!$P:$P,MATCH($D2868,'Paramètres'!$M:$M,0))&amp;"",""))))</f>
        <v/>
      </c>
      <c r="M2868" s="6" t="str">
        <f>IF($D2868="","",IF(ISNA(MATCH($D2868,'Paramètres'!$M:$M,0)),"⚠ Type inconnu",IF($L2868="Crédit","",IFERROR(INDEX('Paramètres'!$O:$O,MATCH($D2868,'Paramètres'!$M:$M,0))&amp;"",""))))</f>
        <v/>
      </c>
      <c r="N2868" s="6" t="str">
        <f>IF($D2868="","",IFERROR(INDEX('Paramètres'!$Q:$Q,MATCH($D2868,'Paramètres'!$M:$M,0))&amp;"",""))</f>
        <v/>
      </c>
      <c r="O2868" s="6" t="str">
        <f>IF($A2868="","",IF(OR($J2868&lt;&gt;"x",$A2868&lt;=FinReleve),1,0))</f>
        <v/>
      </c>
      <c r="P2868" s="6" t="str">
        <f>IF($D2868="","",IF(AND($L2868="Crédit",OR(IFERROR(INDEX('Paramètres'!$O:$O,MATCH($D2868,'Paramètres'!$M:$M,0))&amp;"","")&lt;&gt;"",ISNUMBER(SEARCH("remboursement",IFERROR(INDEX('Paramètres'!$N:$N,MATCH($D2868,'Paramètres'!$M:$M,0))&amp;"",""))))),1,0))</f>
        <v/>
      </c>
      <c r="Q2868" s="6" t="str">
        <f>IF($K2868="","",IF(ISNUMBER(SEARCH("transfert-interne",IFERROR(INDEX('Paramètres'!$N:$N,MATCH($D2868,'Paramètres'!$M:$M,0))&amp;"",""))),0,IF($L2868="Débit",$K2868,IF($P2868=1,-$K2868,0))))</f>
        <v/>
      </c>
      <c r="R2868" s="6" t="str">
        <f>IF($K2868="","",IF($L2868="Crédit",$K2868,-$K2868))</f>
        <v/>
      </c>
      <c r="S2868" s="6" t="str">
        <f>IF($C2868="","",IFERROR(INDEX('Paramètres'!$H:$H,MATCH($C2868,'Paramètres'!$D:$D,0))&amp;"",""))</f>
        <v/>
      </c>
      <c r="T2868" s="6" t="str">
        <f>IF($K2868="","",IF($S2868="",0,IF(ISNUMBER(SEARCH("apport-exterieur",IFERROR(INDEX('Paramètres'!$N:$N,MATCH($D2868,'Paramètres'!$M:$M,0))&amp;"",""))),0,IF(OR(IFERROR(INDEX('Paramètres'!$I:$I,MATCH($C2868,'Paramètres'!$D:$D,0))&amp;"","")="Les deux",IFERROR(INDEX('Paramètres'!$I:$I,MATCH($C2868,'Paramètres'!$D:$D,0))&amp;"","")=IF($P2868=1,"Débit",$L2868)),-IF($P2868=1,-$K2868,$K2868),0))))</f>
        <v/>
      </c>
      <c r="U2868" s="6" t="str">
        <f>IF($K2868="","",IF(ISNUMBER(SEARCH("sortie-epargne",IFERROR(INDEX('Paramètres'!$N:$N,MATCH($D2868,'Paramètres'!$M:$M,0))&amp;"",""))),$K2868,0))</f>
        <v/>
      </c>
      <c r="V2868" s="6" t="str">
        <f>IF(AND($A2868&lt;&gt;"",$O2868=1,$L2868="Débit",N($Q2868)&gt;0,$A2868&gt;=Visualisation!$B$1,$A2868&lt;Visualisation!$D$1),MAX($V$1:V2867)+1,"")</f>
        <v/>
      </c>
    </row>
    <row r="2869" spans="1:22" x14ac:dyDescent="0.25">
      <c r="A2869" s="9"/>
      <c r="E2869" s="10"/>
      <c r="K2869" s="11" t="str">
        <f>IF($E2869="","",ROUND($E2869*IF(ISNA(MATCH($C2869,'Paramètres'!$D:$D,0)),1,IF(INDEX('Paramètres'!$J:$J,MATCH($C2869,'Paramètres'!$D:$D,0))="",1,INDEX('Paramètres'!$J:$J,MATCH($C2869,'Paramètres'!$D:$D,0)))),2))</f>
        <v/>
      </c>
      <c r="L2869" s="6" t="str">
        <f>IF($D2869="","",IF($F2869&lt;&gt;"",$F2869,IF(ISNA(MATCH($D2869,'Paramètres'!$M:$M,0)),"⚠ Type inconnu",IFERROR(INDEX('Paramètres'!$P:$P,MATCH($D2869,'Paramètres'!$M:$M,0))&amp;"",""))))</f>
        <v/>
      </c>
      <c r="M2869" s="6" t="str">
        <f>IF($D2869="","",IF(ISNA(MATCH($D2869,'Paramètres'!$M:$M,0)),"⚠ Type inconnu",IF($L2869="Crédit","",IFERROR(INDEX('Paramètres'!$O:$O,MATCH($D2869,'Paramètres'!$M:$M,0))&amp;"",""))))</f>
        <v/>
      </c>
      <c r="N2869" s="6" t="str">
        <f>IF($D2869="","",IFERROR(INDEX('Paramètres'!$Q:$Q,MATCH($D2869,'Paramètres'!$M:$M,0))&amp;"",""))</f>
        <v/>
      </c>
      <c r="O2869" s="6" t="str">
        <f>IF($A2869="","",IF(OR($J2869&lt;&gt;"x",$A2869&lt;=FinReleve),1,0))</f>
        <v/>
      </c>
      <c r="P2869" s="6" t="str">
        <f>IF($D2869="","",IF(AND($L2869="Crédit",OR(IFERROR(INDEX('Paramètres'!$O:$O,MATCH($D2869,'Paramètres'!$M:$M,0))&amp;"","")&lt;&gt;"",ISNUMBER(SEARCH("remboursement",IFERROR(INDEX('Paramètres'!$N:$N,MATCH($D2869,'Paramètres'!$M:$M,0))&amp;"",""))))),1,0))</f>
        <v/>
      </c>
      <c r="Q2869" s="6" t="str">
        <f>IF($K2869="","",IF(ISNUMBER(SEARCH("transfert-interne",IFERROR(INDEX('Paramètres'!$N:$N,MATCH($D2869,'Paramètres'!$M:$M,0))&amp;"",""))),0,IF($L2869="Débit",$K2869,IF($P2869=1,-$K2869,0))))</f>
        <v/>
      </c>
      <c r="R2869" s="6" t="str">
        <f>IF($K2869="","",IF($L2869="Crédit",$K2869,-$K2869))</f>
        <v/>
      </c>
      <c r="S2869" s="6" t="str">
        <f>IF($C2869="","",IFERROR(INDEX('Paramètres'!$H:$H,MATCH($C2869,'Paramètres'!$D:$D,0))&amp;"",""))</f>
        <v/>
      </c>
      <c r="T2869" s="6" t="str">
        <f>IF($K2869="","",IF($S2869="",0,IF(ISNUMBER(SEARCH("apport-exterieur",IFERROR(INDEX('Paramètres'!$N:$N,MATCH($D2869,'Paramètres'!$M:$M,0))&amp;"",""))),0,IF(OR(IFERROR(INDEX('Paramètres'!$I:$I,MATCH($C2869,'Paramètres'!$D:$D,0))&amp;"","")="Les deux",IFERROR(INDEX('Paramètres'!$I:$I,MATCH($C2869,'Paramètres'!$D:$D,0))&amp;"","")=IF($P2869=1,"Débit",$L2869)),-IF($P2869=1,-$K2869,$K2869),0))))</f>
        <v/>
      </c>
      <c r="U2869" s="6" t="str">
        <f>IF($K2869="","",IF(ISNUMBER(SEARCH("sortie-epargne",IFERROR(INDEX('Paramètres'!$N:$N,MATCH($D2869,'Paramètres'!$M:$M,0))&amp;"",""))),$K2869,0))</f>
        <v/>
      </c>
      <c r="V2869" s="6" t="str">
        <f>IF(AND($A2869&lt;&gt;"",$O2869=1,$L2869="Débit",N($Q2869)&gt;0,$A2869&gt;=Visualisation!$B$1,$A2869&lt;Visualisation!$D$1),MAX($V$1:V2868)+1,"")</f>
        <v/>
      </c>
    </row>
    <row r="2870" spans="1:22" x14ac:dyDescent="0.25">
      <c r="A2870" s="9"/>
      <c r="E2870" s="10"/>
      <c r="K2870" s="11" t="str">
        <f>IF($E2870="","",ROUND($E2870*IF(ISNA(MATCH($C2870,'Paramètres'!$D:$D,0)),1,IF(INDEX('Paramètres'!$J:$J,MATCH($C2870,'Paramètres'!$D:$D,0))="",1,INDEX('Paramètres'!$J:$J,MATCH($C2870,'Paramètres'!$D:$D,0)))),2))</f>
        <v/>
      </c>
      <c r="L2870" s="6" t="str">
        <f>IF($D2870="","",IF($F2870&lt;&gt;"",$F2870,IF(ISNA(MATCH($D2870,'Paramètres'!$M:$M,0)),"⚠ Type inconnu",IFERROR(INDEX('Paramètres'!$P:$P,MATCH($D2870,'Paramètres'!$M:$M,0))&amp;"",""))))</f>
        <v/>
      </c>
      <c r="M2870" s="6" t="str">
        <f>IF($D2870="","",IF(ISNA(MATCH($D2870,'Paramètres'!$M:$M,0)),"⚠ Type inconnu",IF($L2870="Crédit","",IFERROR(INDEX('Paramètres'!$O:$O,MATCH($D2870,'Paramètres'!$M:$M,0))&amp;"",""))))</f>
        <v/>
      </c>
      <c r="N2870" s="6" t="str">
        <f>IF($D2870="","",IFERROR(INDEX('Paramètres'!$Q:$Q,MATCH($D2870,'Paramètres'!$M:$M,0))&amp;"",""))</f>
        <v/>
      </c>
      <c r="O2870" s="6" t="str">
        <f>IF($A2870="","",IF(OR($J2870&lt;&gt;"x",$A2870&lt;=FinReleve),1,0))</f>
        <v/>
      </c>
      <c r="P2870" s="6" t="str">
        <f>IF($D2870="","",IF(AND($L2870="Crédit",OR(IFERROR(INDEX('Paramètres'!$O:$O,MATCH($D2870,'Paramètres'!$M:$M,0))&amp;"","")&lt;&gt;"",ISNUMBER(SEARCH("remboursement",IFERROR(INDEX('Paramètres'!$N:$N,MATCH($D2870,'Paramètres'!$M:$M,0))&amp;"",""))))),1,0))</f>
        <v/>
      </c>
      <c r="Q2870" s="6" t="str">
        <f>IF($K2870="","",IF(ISNUMBER(SEARCH("transfert-interne",IFERROR(INDEX('Paramètres'!$N:$N,MATCH($D2870,'Paramètres'!$M:$M,0))&amp;"",""))),0,IF($L2870="Débit",$K2870,IF($P2870=1,-$K2870,0))))</f>
        <v/>
      </c>
      <c r="R2870" s="6" t="str">
        <f>IF($K2870="","",IF($L2870="Crédit",$K2870,-$K2870))</f>
        <v/>
      </c>
      <c r="S2870" s="6" t="str">
        <f>IF($C2870="","",IFERROR(INDEX('Paramètres'!$H:$H,MATCH($C2870,'Paramètres'!$D:$D,0))&amp;"",""))</f>
        <v/>
      </c>
      <c r="T2870" s="6" t="str">
        <f>IF($K2870="","",IF($S2870="",0,IF(ISNUMBER(SEARCH("apport-exterieur",IFERROR(INDEX('Paramètres'!$N:$N,MATCH($D2870,'Paramètres'!$M:$M,0))&amp;"",""))),0,IF(OR(IFERROR(INDEX('Paramètres'!$I:$I,MATCH($C2870,'Paramètres'!$D:$D,0))&amp;"","")="Les deux",IFERROR(INDEX('Paramètres'!$I:$I,MATCH($C2870,'Paramètres'!$D:$D,0))&amp;"","")=IF($P2870=1,"Débit",$L2870)),-IF($P2870=1,-$K2870,$K2870),0))))</f>
        <v/>
      </c>
      <c r="U2870" s="6" t="str">
        <f>IF($K2870="","",IF(ISNUMBER(SEARCH("sortie-epargne",IFERROR(INDEX('Paramètres'!$N:$N,MATCH($D2870,'Paramètres'!$M:$M,0))&amp;"",""))),$K2870,0))</f>
        <v/>
      </c>
      <c r="V2870" s="6" t="str">
        <f>IF(AND($A2870&lt;&gt;"",$O2870=1,$L2870="Débit",N($Q2870)&gt;0,$A2870&gt;=Visualisation!$B$1,$A2870&lt;Visualisation!$D$1),MAX($V$1:V2869)+1,"")</f>
        <v/>
      </c>
    </row>
    <row r="2871" spans="1:22" x14ac:dyDescent="0.25">
      <c r="A2871" s="9"/>
      <c r="E2871" s="10"/>
      <c r="K2871" s="11" t="str">
        <f>IF($E2871="","",ROUND($E2871*IF(ISNA(MATCH($C2871,'Paramètres'!$D:$D,0)),1,IF(INDEX('Paramètres'!$J:$J,MATCH($C2871,'Paramètres'!$D:$D,0))="",1,INDEX('Paramètres'!$J:$J,MATCH($C2871,'Paramètres'!$D:$D,0)))),2))</f>
        <v/>
      </c>
      <c r="L2871" s="6" t="str">
        <f>IF($D2871="","",IF($F2871&lt;&gt;"",$F2871,IF(ISNA(MATCH($D2871,'Paramètres'!$M:$M,0)),"⚠ Type inconnu",IFERROR(INDEX('Paramètres'!$P:$P,MATCH($D2871,'Paramètres'!$M:$M,0))&amp;"",""))))</f>
        <v/>
      </c>
      <c r="M2871" s="6" t="str">
        <f>IF($D2871="","",IF(ISNA(MATCH($D2871,'Paramètres'!$M:$M,0)),"⚠ Type inconnu",IF($L2871="Crédit","",IFERROR(INDEX('Paramètres'!$O:$O,MATCH($D2871,'Paramètres'!$M:$M,0))&amp;"",""))))</f>
        <v/>
      </c>
      <c r="N2871" s="6" t="str">
        <f>IF($D2871="","",IFERROR(INDEX('Paramètres'!$Q:$Q,MATCH($D2871,'Paramètres'!$M:$M,0))&amp;"",""))</f>
        <v/>
      </c>
      <c r="O2871" s="6" t="str">
        <f>IF($A2871="","",IF(OR($J2871&lt;&gt;"x",$A2871&lt;=FinReleve),1,0))</f>
        <v/>
      </c>
      <c r="P2871" s="6" t="str">
        <f>IF($D2871="","",IF(AND($L2871="Crédit",OR(IFERROR(INDEX('Paramètres'!$O:$O,MATCH($D2871,'Paramètres'!$M:$M,0))&amp;"","")&lt;&gt;"",ISNUMBER(SEARCH("remboursement",IFERROR(INDEX('Paramètres'!$N:$N,MATCH($D2871,'Paramètres'!$M:$M,0))&amp;"",""))))),1,0))</f>
        <v/>
      </c>
      <c r="Q2871" s="6" t="str">
        <f>IF($K2871="","",IF(ISNUMBER(SEARCH("transfert-interne",IFERROR(INDEX('Paramètres'!$N:$N,MATCH($D2871,'Paramètres'!$M:$M,0))&amp;"",""))),0,IF($L2871="Débit",$K2871,IF($P2871=1,-$K2871,0))))</f>
        <v/>
      </c>
      <c r="R2871" s="6" t="str">
        <f>IF($K2871="","",IF($L2871="Crédit",$K2871,-$K2871))</f>
        <v/>
      </c>
      <c r="S2871" s="6" t="str">
        <f>IF($C2871="","",IFERROR(INDEX('Paramètres'!$H:$H,MATCH($C2871,'Paramètres'!$D:$D,0))&amp;"",""))</f>
        <v/>
      </c>
      <c r="T2871" s="6" t="str">
        <f>IF($K2871="","",IF($S2871="",0,IF(ISNUMBER(SEARCH("apport-exterieur",IFERROR(INDEX('Paramètres'!$N:$N,MATCH($D2871,'Paramètres'!$M:$M,0))&amp;"",""))),0,IF(OR(IFERROR(INDEX('Paramètres'!$I:$I,MATCH($C2871,'Paramètres'!$D:$D,0))&amp;"","")="Les deux",IFERROR(INDEX('Paramètres'!$I:$I,MATCH($C2871,'Paramètres'!$D:$D,0))&amp;"","")=IF($P2871=1,"Débit",$L2871)),-IF($P2871=1,-$K2871,$K2871),0))))</f>
        <v/>
      </c>
      <c r="U2871" s="6" t="str">
        <f>IF($K2871="","",IF(ISNUMBER(SEARCH("sortie-epargne",IFERROR(INDEX('Paramètres'!$N:$N,MATCH($D2871,'Paramètres'!$M:$M,0))&amp;"",""))),$K2871,0))</f>
        <v/>
      </c>
      <c r="V2871" s="6" t="str">
        <f>IF(AND($A2871&lt;&gt;"",$O2871=1,$L2871="Débit",N($Q2871)&gt;0,$A2871&gt;=Visualisation!$B$1,$A2871&lt;Visualisation!$D$1),MAX($V$1:V2870)+1,"")</f>
        <v/>
      </c>
    </row>
    <row r="2872" spans="1:22" x14ac:dyDescent="0.25">
      <c r="A2872" s="9"/>
      <c r="E2872" s="10"/>
      <c r="K2872" s="11" t="str">
        <f>IF($E2872="","",ROUND($E2872*IF(ISNA(MATCH($C2872,'Paramètres'!$D:$D,0)),1,IF(INDEX('Paramètres'!$J:$J,MATCH($C2872,'Paramètres'!$D:$D,0))="",1,INDEX('Paramètres'!$J:$J,MATCH($C2872,'Paramètres'!$D:$D,0)))),2))</f>
        <v/>
      </c>
      <c r="L2872" s="6" t="str">
        <f>IF($D2872="","",IF($F2872&lt;&gt;"",$F2872,IF(ISNA(MATCH($D2872,'Paramètres'!$M:$M,0)),"⚠ Type inconnu",IFERROR(INDEX('Paramètres'!$P:$P,MATCH($D2872,'Paramètres'!$M:$M,0))&amp;"",""))))</f>
        <v/>
      </c>
      <c r="M2872" s="6" t="str">
        <f>IF($D2872="","",IF(ISNA(MATCH($D2872,'Paramètres'!$M:$M,0)),"⚠ Type inconnu",IF($L2872="Crédit","",IFERROR(INDEX('Paramètres'!$O:$O,MATCH($D2872,'Paramètres'!$M:$M,0))&amp;"",""))))</f>
        <v/>
      </c>
      <c r="N2872" s="6" t="str">
        <f>IF($D2872="","",IFERROR(INDEX('Paramètres'!$Q:$Q,MATCH($D2872,'Paramètres'!$M:$M,0))&amp;"",""))</f>
        <v/>
      </c>
      <c r="O2872" s="6" t="str">
        <f>IF($A2872="","",IF(OR($J2872&lt;&gt;"x",$A2872&lt;=FinReleve),1,0))</f>
        <v/>
      </c>
      <c r="P2872" s="6" t="str">
        <f>IF($D2872="","",IF(AND($L2872="Crédit",OR(IFERROR(INDEX('Paramètres'!$O:$O,MATCH($D2872,'Paramètres'!$M:$M,0))&amp;"","")&lt;&gt;"",ISNUMBER(SEARCH("remboursement",IFERROR(INDEX('Paramètres'!$N:$N,MATCH($D2872,'Paramètres'!$M:$M,0))&amp;"",""))))),1,0))</f>
        <v/>
      </c>
      <c r="Q2872" s="6" t="str">
        <f>IF($K2872="","",IF(ISNUMBER(SEARCH("transfert-interne",IFERROR(INDEX('Paramètres'!$N:$N,MATCH($D2872,'Paramètres'!$M:$M,0))&amp;"",""))),0,IF($L2872="Débit",$K2872,IF($P2872=1,-$K2872,0))))</f>
        <v/>
      </c>
      <c r="R2872" s="6" t="str">
        <f>IF($K2872="","",IF($L2872="Crédit",$K2872,-$K2872))</f>
        <v/>
      </c>
      <c r="S2872" s="6" t="str">
        <f>IF($C2872="","",IFERROR(INDEX('Paramètres'!$H:$H,MATCH($C2872,'Paramètres'!$D:$D,0))&amp;"",""))</f>
        <v/>
      </c>
      <c r="T2872" s="6" t="str">
        <f>IF($K2872="","",IF($S2872="",0,IF(ISNUMBER(SEARCH("apport-exterieur",IFERROR(INDEX('Paramètres'!$N:$N,MATCH($D2872,'Paramètres'!$M:$M,0))&amp;"",""))),0,IF(OR(IFERROR(INDEX('Paramètres'!$I:$I,MATCH($C2872,'Paramètres'!$D:$D,0))&amp;"","")="Les deux",IFERROR(INDEX('Paramètres'!$I:$I,MATCH($C2872,'Paramètres'!$D:$D,0))&amp;"","")=IF($P2872=1,"Débit",$L2872)),-IF($P2872=1,-$K2872,$K2872),0))))</f>
        <v/>
      </c>
      <c r="U2872" s="6" t="str">
        <f>IF($K2872="","",IF(ISNUMBER(SEARCH("sortie-epargne",IFERROR(INDEX('Paramètres'!$N:$N,MATCH($D2872,'Paramètres'!$M:$M,0))&amp;"",""))),$K2872,0))</f>
        <v/>
      </c>
      <c r="V2872" s="6" t="str">
        <f>IF(AND($A2872&lt;&gt;"",$O2872=1,$L2872="Débit",N($Q2872)&gt;0,$A2872&gt;=Visualisation!$B$1,$A2872&lt;Visualisation!$D$1),MAX($V$1:V2871)+1,"")</f>
        <v/>
      </c>
    </row>
    <row r="2873" spans="1:22" x14ac:dyDescent="0.25">
      <c r="A2873" s="9"/>
      <c r="E2873" s="10"/>
      <c r="K2873" s="11" t="str">
        <f>IF($E2873="","",ROUND($E2873*IF(ISNA(MATCH($C2873,'Paramètres'!$D:$D,0)),1,IF(INDEX('Paramètres'!$J:$J,MATCH($C2873,'Paramètres'!$D:$D,0))="",1,INDEX('Paramètres'!$J:$J,MATCH($C2873,'Paramètres'!$D:$D,0)))),2))</f>
        <v/>
      </c>
      <c r="L2873" s="6" t="str">
        <f>IF($D2873="","",IF($F2873&lt;&gt;"",$F2873,IF(ISNA(MATCH($D2873,'Paramètres'!$M:$M,0)),"⚠ Type inconnu",IFERROR(INDEX('Paramètres'!$P:$P,MATCH($D2873,'Paramètres'!$M:$M,0))&amp;"",""))))</f>
        <v/>
      </c>
      <c r="M2873" s="6" t="str">
        <f>IF($D2873="","",IF(ISNA(MATCH($D2873,'Paramètres'!$M:$M,0)),"⚠ Type inconnu",IF($L2873="Crédit","",IFERROR(INDEX('Paramètres'!$O:$O,MATCH($D2873,'Paramètres'!$M:$M,0))&amp;"",""))))</f>
        <v/>
      </c>
      <c r="N2873" s="6" t="str">
        <f>IF($D2873="","",IFERROR(INDEX('Paramètres'!$Q:$Q,MATCH($D2873,'Paramètres'!$M:$M,0))&amp;"",""))</f>
        <v/>
      </c>
      <c r="O2873" s="6" t="str">
        <f>IF($A2873="","",IF(OR($J2873&lt;&gt;"x",$A2873&lt;=FinReleve),1,0))</f>
        <v/>
      </c>
      <c r="P2873" s="6" t="str">
        <f>IF($D2873="","",IF(AND($L2873="Crédit",OR(IFERROR(INDEX('Paramètres'!$O:$O,MATCH($D2873,'Paramètres'!$M:$M,0))&amp;"","")&lt;&gt;"",ISNUMBER(SEARCH("remboursement",IFERROR(INDEX('Paramètres'!$N:$N,MATCH($D2873,'Paramètres'!$M:$M,0))&amp;"",""))))),1,0))</f>
        <v/>
      </c>
      <c r="Q2873" s="6" t="str">
        <f>IF($K2873="","",IF(ISNUMBER(SEARCH("transfert-interne",IFERROR(INDEX('Paramètres'!$N:$N,MATCH($D2873,'Paramètres'!$M:$M,0))&amp;"",""))),0,IF($L2873="Débit",$K2873,IF($P2873=1,-$K2873,0))))</f>
        <v/>
      </c>
      <c r="R2873" s="6" t="str">
        <f>IF($K2873="","",IF($L2873="Crédit",$K2873,-$K2873))</f>
        <v/>
      </c>
      <c r="S2873" s="6" t="str">
        <f>IF($C2873="","",IFERROR(INDEX('Paramètres'!$H:$H,MATCH($C2873,'Paramètres'!$D:$D,0))&amp;"",""))</f>
        <v/>
      </c>
      <c r="T2873" s="6" t="str">
        <f>IF($K2873="","",IF($S2873="",0,IF(ISNUMBER(SEARCH("apport-exterieur",IFERROR(INDEX('Paramètres'!$N:$N,MATCH($D2873,'Paramètres'!$M:$M,0))&amp;"",""))),0,IF(OR(IFERROR(INDEX('Paramètres'!$I:$I,MATCH($C2873,'Paramètres'!$D:$D,0))&amp;"","")="Les deux",IFERROR(INDEX('Paramètres'!$I:$I,MATCH($C2873,'Paramètres'!$D:$D,0))&amp;"","")=IF($P2873=1,"Débit",$L2873)),-IF($P2873=1,-$K2873,$K2873),0))))</f>
        <v/>
      </c>
      <c r="U2873" s="6" t="str">
        <f>IF($K2873="","",IF(ISNUMBER(SEARCH("sortie-epargne",IFERROR(INDEX('Paramètres'!$N:$N,MATCH($D2873,'Paramètres'!$M:$M,0))&amp;"",""))),$K2873,0))</f>
        <v/>
      </c>
      <c r="V2873" s="6" t="str">
        <f>IF(AND($A2873&lt;&gt;"",$O2873=1,$L2873="Débit",N($Q2873)&gt;0,$A2873&gt;=Visualisation!$B$1,$A2873&lt;Visualisation!$D$1),MAX($V$1:V2872)+1,"")</f>
        <v/>
      </c>
    </row>
    <row r="2874" spans="1:22" x14ac:dyDescent="0.25">
      <c r="A2874" s="9"/>
      <c r="E2874" s="10"/>
      <c r="K2874" s="11" t="str">
        <f>IF($E2874="","",ROUND($E2874*IF(ISNA(MATCH($C2874,'Paramètres'!$D:$D,0)),1,IF(INDEX('Paramètres'!$J:$J,MATCH($C2874,'Paramètres'!$D:$D,0))="",1,INDEX('Paramètres'!$J:$J,MATCH($C2874,'Paramètres'!$D:$D,0)))),2))</f>
        <v/>
      </c>
      <c r="L2874" s="6" t="str">
        <f>IF($D2874="","",IF($F2874&lt;&gt;"",$F2874,IF(ISNA(MATCH($D2874,'Paramètres'!$M:$M,0)),"⚠ Type inconnu",IFERROR(INDEX('Paramètres'!$P:$P,MATCH($D2874,'Paramètres'!$M:$M,0))&amp;"",""))))</f>
        <v/>
      </c>
      <c r="M2874" s="6" t="str">
        <f>IF($D2874="","",IF(ISNA(MATCH($D2874,'Paramètres'!$M:$M,0)),"⚠ Type inconnu",IF($L2874="Crédit","",IFERROR(INDEX('Paramètres'!$O:$O,MATCH($D2874,'Paramètres'!$M:$M,0))&amp;"",""))))</f>
        <v/>
      </c>
      <c r="N2874" s="6" t="str">
        <f>IF($D2874="","",IFERROR(INDEX('Paramètres'!$Q:$Q,MATCH($D2874,'Paramètres'!$M:$M,0))&amp;"",""))</f>
        <v/>
      </c>
      <c r="O2874" s="6" t="str">
        <f>IF($A2874="","",IF(OR($J2874&lt;&gt;"x",$A2874&lt;=FinReleve),1,0))</f>
        <v/>
      </c>
      <c r="P2874" s="6" t="str">
        <f>IF($D2874="","",IF(AND($L2874="Crédit",OR(IFERROR(INDEX('Paramètres'!$O:$O,MATCH($D2874,'Paramètres'!$M:$M,0))&amp;"","")&lt;&gt;"",ISNUMBER(SEARCH("remboursement",IFERROR(INDEX('Paramètres'!$N:$N,MATCH($D2874,'Paramètres'!$M:$M,0))&amp;"",""))))),1,0))</f>
        <v/>
      </c>
      <c r="Q2874" s="6" t="str">
        <f>IF($K2874="","",IF(ISNUMBER(SEARCH("transfert-interne",IFERROR(INDEX('Paramètres'!$N:$N,MATCH($D2874,'Paramètres'!$M:$M,0))&amp;"",""))),0,IF($L2874="Débit",$K2874,IF($P2874=1,-$K2874,0))))</f>
        <v/>
      </c>
      <c r="R2874" s="6" t="str">
        <f>IF($K2874="","",IF($L2874="Crédit",$K2874,-$K2874))</f>
        <v/>
      </c>
      <c r="S2874" s="6" t="str">
        <f>IF($C2874="","",IFERROR(INDEX('Paramètres'!$H:$H,MATCH($C2874,'Paramètres'!$D:$D,0))&amp;"",""))</f>
        <v/>
      </c>
      <c r="T2874" s="6" t="str">
        <f>IF($K2874="","",IF($S2874="",0,IF(ISNUMBER(SEARCH("apport-exterieur",IFERROR(INDEX('Paramètres'!$N:$N,MATCH($D2874,'Paramètres'!$M:$M,0))&amp;"",""))),0,IF(OR(IFERROR(INDEX('Paramètres'!$I:$I,MATCH($C2874,'Paramètres'!$D:$D,0))&amp;"","")="Les deux",IFERROR(INDEX('Paramètres'!$I:$I,MATCH($C2874,'Paramètres'!$D:$D,0))&amp;"","")=IF($P2874=1,"Débit",$L2874)),-IF($P2874=1,-$K2874,$K2874),0))))</f>
        <v/>
      </c>
      <c r="U2874" s="6" t="str">
        <f>IF($K2874="","",IF(ISNUMBER(SEARCH("sortie-epargne",IFERROR(INDEX('Paramètres'!$N:$N,MATCH($D2874,'Paramètres'!$M:$M,0))&amp;"",""))),$K2874,0))</f>
        <v/>
      </c>
      <c r="V2874" s="6" t="str">
        <f>IF(AND($A2874&lt;&gt;"",$O2874=1,$L2874="Débit",N($Q2874)&gt;0,$A2874&gt;=Visualisation!$B$1,$A2874&lt;Visualisation!$D$1),MAX($V$1:V2873)+1,"")</f>
        <v/>
      </c>
    </row>
    <row r="2875" spans="1:22" x14ac:dyDescent="0.25">
      <c r="A2875" s="9"/>
      <c r="E2875" s="10"/>
      <c r="K2875" s="11" t="str">
        <f>IF($E2875="","",ROUND($E2875*IF(ISNA(MATCH($C2875,'Paramètres'!$D:$D,0)),1,IF(INDEX('Paramètres'!$J:$J,MATCH($C2875,'Paramètres'!$D:$D,0))="",1,INDEX('Paramètres'!$J:$J,MATCH($C2875,'Paramètres'!$D:$D,0)))),2))</f>
        <v/>
      </c>
      <c r="L2875" s="6" t="str">
        <f>IF($D2875="","",IF($F2875&lt;&gt;"",$F2875,IF(ISNA(MATCH($D2875,'Paramètres'!$M:$M,0)),"⚠ Type inconnu",IFERROR(INDEX('Paramètres'!$P:$P,MATCH($D2875,'Paramètres'!$M:$M,0))&amp;"",""))))</f>
        <v/>
      </c>
      <c r="M2875" s="6" t="str">
        <f>IF($D2875="","",IF(ISNA(MATCH($D2875,'Paramètres'!$M:$M,0)),"⚠ Type inconnu",IF($L2875="Crédit","",IFERROR(INDEX('Paramètres'!$O:$O,MATCH($D2875,'Paramètres'!$M:$M,0))&amp;"",""))))</f>
        <v/>
      </c>
      <c r="N2875" s="6" t="str">
        <f>IF($D2875="","",IFERROR(INDEX('Paramètres'!$Q:$Q,MATCH($D2875,'Paramètres'!$M:$M,0))&amp;"",""))</f>
        <v/>
      </c>
      <c r="O2875" s="6" t="str">
        <f>IF($A2875="","",IF(OR($J2875&lt;&gt;"x",$A2875&lt;=FinReleve),1,0))</f>
        <v/>
      </c>
      <c r="P2875" s="6" t="str">
        <f>IF($D2875="","",IF(AND($L2875="Crédit",OR(IFERROR(INDEX('Paramètres'!$O:$O,MATCH($D2875,'Paramètres'!$M:$M,0))&amp;"","")&lt;&gt;"",ISNUMBER(SEARCH("remboursement",IFERROR(INDEX('Paramètres'!$N:$N,MATCH($D2875,'Paramètres'!$M:$M,0))&amp;"",""))))),1,0))</f>
        <v/>
      </c>
      <c r="Q2875" s="6" t="str">
        <f>IF($K2875="","",IF(ISNUMBER(SEARCH("transfert-interne",IFERROR(INDEX('Paramètres'!$N:$N,MATCH($D2875,'Paramètres'!$M:$M,0))&amp;"",""))),0,IF($L2875="Débit",$K2875,IF($P2875=1,-$K2875,0))))</f>
        <v/>
      </c>
      <c r="R2875" s="6" t="str">
        <f>IF($K2875="","",IF($L2875="Crédit",$K2875,-$K2875))</f>
        <v/>
      </c>
      <c r="S2875" s="6" t="str">
        <f>IF($C2875="","",IFERROR(INDEX('Paramètres'!$H:$H,MATCH($C2875,'Paramètres'!$D:$D,0))&amp;"",""))</f>
        <v/>
      </c>
      <c r="T2875" s="6" t="str">
        <f>IF($K2875="","",IF($S2875="",0,IF(ISNUMBER(SEARCH("apport-exterieur",IFERROR(INDEX('Paramètres'!$N:$N,MATCH($D2875,'Paramètres'!$M:$M,0))&amp;"",""))),0,IF(OR(IFERROR(INDEX('Paramètres'!$I:$I,MATCH($C2875,'Paramètres'!$D:$D,0))&amp;"","")="Les deux",IFERROR(INDEX('Paramètres'!$I:$I,MATCH($C2875,'Paramètres'!$D:$D,0))&amp;"","")=IF($P2875=1,"Débit",$L2875)),-IF($P2875=1,-$K2875,$K2875),0))))</f>
        <v/>
      </c>
      <c r="U2875" s="6" t="str">
        <f>IF($K2875="","",IF(ISNUMBER(SEARCH("sortie-epargne",IFERROR(INDEX('Paramètres'!$N:$N,MATCH($D2875,'Paramètres'!$M:$M,0))&amp;"",""))),$K2875,0))</f>
        <v/>
      </c>
      <c r="V2875" s="6" t="str">
        <f>IF(AND($A2875&lt;&gt;"",$O2875=1,$L2875="Débit",N($Q2875)&gt;0,$A2875&gt;=Visualisation!$B$1,$A2875&lt;Visualisation!$D$1),MAX($V$1:V2874)+1,"")</f>
        <v/>
      </c>
    </row>
    <row r="2876" spans="1:22" x14ac:dyDescent="0.25">
      <c r="A2876" s="9"/>
      <c r="E2876" s="10"/>
      <c r="K2876" s="11" t="str">
        <f>IF($E2876="","",ROUND($E2876*IF(ISNA(MATCH($C2876,'Paramètres'!$D:$D,0)),1,IF(INDEX('Paramètres'!$J:$J,MATCH($C2876,'Paramètres'!$D:$D,0))="",1,INDEX('Paramètres'!$J:$J,MATCH($C2876,'Paramètres'!$D:$D,0)))),2))</f>
        <v/>
      </c>
      <c r="L2876" s="6" t="str">
        <f>IF($D2876="","",IF($F2876&lt;&gt;"",$F2876,IF(ISNA(MATCH($D2876,'Paramètres'!$M:$M,0)),"⚠ Type inconnu",IFERROR(INDEX('Paramètres'!$P:$P,MATCH($D2876,'Paramètres'!$M:$M,0))&amp;"",""))))</f>
        <v/>
      </c>
      <c r="M2876" s="6" t="str">
        <f>IF($D2876="","",IF(ISNA(MATCH($D2876,'Paramètres'!$M:$M,0)),"⚠ Type inconnu",IF($L2876="Crédit","",IFERROR(INDEX('Paramètres'!$O:$O,MATCH($D2876,'Paramètres'!$M:$M,0))&amp;"",""))))</f>
        <v/>
      </c>
      <c r="N2876" s="6" t="str">
        <f>IF($D2876="","",IFERROR(INDEX('Paramètres'!$Q:$Q,MATCH($D2876,'Paramètres'!$M:$M,0))&amp;"",""))</f>
        <v/>
      </c>
      <c r="O2876" s="6" t="str">
        <f>IF($A2876="","",IF(OR($J2876&lt;&gt;"x",$A2876&lt;=FinReleve),1,0))</f>
        <v/>
      </c>
      <c r="P2876" s="6" t="str">
        <f>IF($D2876="","",IF(AND($L2876="Crédit",OR(IFERROR(INDEX('Paramètres'!$O:$O,MATCH($D2876,'Paramètres'!$M:$M,0))&amp;"","")&lt;&gt;"",ISNUMBER(SEARCH("remboursement",IFERROR(INDEX('Paramètres'!$N:$N,MATCH($D2876,'Paramètres'!$M:$M,0))&amp;"",""))))),1,0))</f>
        <v/>
      </c>
      <c r="Q2876" s="6" t="str">
        <f>IF($K2876="","",IF(ISNUMBER(SEARCH("transfert-interne",IFERROR(INDEX('Paramètres'!$N:$N,MATCH($D2876,'Paramètres'!$M:$M,0))&amp;"",""))),0,IF($L2876="Débit",$K2876,IF($P2876=1,-$K2876,0))))</f>
        <v/>
      </c>
      <c r="R2876" s="6" t="str">
        <f>IF($K2876="","",IF($L2876="Crédit",$K2876,-$K2876))</f>
        <v/>
      </c>
      <c r="S2876" s="6" t="str">
        <f>IF($C2876="","",IFERROR(INDEX('Paramètres'!$H:$H,MATCH($C2876,'Paramètres'!$D:$D,0))&amp;"",""))</f>
        <v/>
      </c>
      <c r="T2876" s="6" t="str">
        <f>IF($K2876="","",IF($S2876="",0,IF(ISNUMBER(SEARCH("apport-exterieur",IFERROR(INDEX('Paramètres'!$N:$N,MATCH($D2876,'Paramètres'!$M:$M,0))&amp;"",""))),0,IF(OR(IFERROR(INDEX('Paramètres'!$I:$I,MATCH($C2876,'Paramètres'!$D:$D,0))&amp;"","")="Les deux",IFERROR(INDEX('Paramètres'!$I:$I,MATCH($C2876,'Paramètres'!$D:$D,0))&amp;"","")=IF($P2876=1,"Débit",$L2876)),-IF($P2876=1,-$K2876,$K2876),0))))</f>
        <v/>
      </c>
      <c r="U2876" s="6" t="str">
        <f>IF($K2876="","",IF(ISNUMBER(SEARCH("sortie-epargne",IFERROR(INDEX('Paramètres'!$N:$N,MATCH($D2876,'Paramètres'!$M:$M,0))&amp;"",""))),$K2876,0))</f>
        <v/>
      </c>
      <c r="V2876" s="6" t="str">
        <f>IF(AND($A2876&lt;&gt;"",$O2876=1,$L2876="Débit",N($Q2876)&gt;0,$A2876&gt;=Visualisation!$B$1,$A2876&lt;Visualisation!$D$1),MAX($V$1:V2875)+1,"")</f>
        <v/>
      </c>
    </row>
    <row r="2877" spans="1:22" x14ac:dyDescent="0.25">
      <c r="A2877" s="9"/>
      <c r="E2877" s="10"/>
      <c r="K2877" s="11" t="str">
        <f>IF($E2877="","",ROUND($E2877*IF(ISNA(MATCH($C2877,'Paramètres'!$D:$D,0)),1,IF(INDEX('Paramètres'!$J:$J,MATCH($C2877,'Paramètres'!$D:$D,0))="",1,INDEX('Paramètres'!$J:$J,MATCH($C2877,'Paramètres'!$D:$D,0)))),2))</f>
        <v/>
      </c>
      <c r="L2877" s="6" t="str">
        <f>IF($D2877="","",IF($F2877&lt;&gt;"",$F2877,IF(ISNA(MATCH($D2877,'Paramètres'!$M:$M,0)),"⚠ Type inconnu",IFERROR(INDEX('Paramètres'!$P:$P,MATCH($D2877,'Paramètres'!$M:$M,0))&amp;"",""))))</f>
        <v/>
      </c>
      <c r="M2877" s="6" t="str">
        <f>IF($D2877="","",IF(ISNA(MATCH($D2877,'Paramètres'!$M:$M,0)),"⚠ Type inconnu",IF($L2877="Crédit","",IFERROR(INDEX('Paramètres'!$O:$O,MATCH($D2877,'Paramètres'!$M:$M,0))&amp;"",""))))</f>
        <v/>
      </c>
      <c r="N2877" s="6" t="str">
        <f>IF($D2877="","",IFERROR(INDEX('Paramètres'!$Q:$Q,MATCH($D2877,'Paramètres'!$M:$M,0))&amp;"",""))</f>
        <v/>
      </c>
      <c r="O2877" s="6" t="str">
        <f>IF($A2877="","",IF(OR($J2877&lt;&gt;"x",$A2877&lt;=FinReleve),1,0))</f>
        <v/>
      </c>
      <c r="P2877" s="6" t="str">
        <f>IF($D2877="","",IF(AND($L2877="Crédit",OR(IFERROR(INDEX('Paramètres'!$O:$O,MATCH($D2877,'Paramètres'!$M:$M,0))&amp;"","")&lt;&gt;"",ISNUMBER(SEARCH("remboursement",IFERROR(INDEX('Paramètres'!$N:$N,MATCH($D2877,'Paramètres'!$M:$M,0))&amp;"",""))))),1,0))</f>
        <v/>
      </c>
      <c r="Q2877" s="6" t="str">
        <f>IF($K2877="","",IF(ISNUMBER(SEARCH("transfert-interne",IFERROR(INDEX('Paramètres'!$N:$N,MATCH($D2877,'Paramètres'!$M:$M,0))&amp;"",""))),0,IF($L2877="Débit",$K2877,IF($P2877=1,-$K2877,0))))</f>
        <v/>
      </c>
      <c r="R2877" s="6" t="str">
        <f>IF($K2877="","",IF($L2877="Crédit",$K2877,-$K2877))</f>
        <v/>
      </c>
      <c r="S2877" s="6" t="str">
        <f>IF($C2877="","",IFERROR(INDEX('Paramètres'!$H:$H,MATCH($C2877,'Paramètres'!$D:$D,0))&amp;"",""))</f>
        <v/>
      </c>
      <c r="T2877" s="6" t="str">
        <f>IF($K2877="","",IF($S2877="",0,IF(ISNUMBER(SEARCH("apport-exterieur",IFERROR(INDEX('Paramètres'!$N:$N,MATCH($D2877,'Paramètres'!$M:$M,0))&amp;"",""))),0,IF(OR(IFERROR(INDEX('Paramètres'!$I:$I,MATCH($C2877,'Paramètres'!$D:$D,0))&amp;"","")="Les deux",IFERROR(INDEX('Paramètres'!$I:$I,MATCH($C2877,'Paramètres'!$D:$D,0))&amp;"","")=IF($P2877=1,"Débit",$L2877)),-IF($P2877=1,-$K2877,$K2877),0))))</f>
        <v/>
      </c>
      <c r="U2877" s="6" t="str">
        <f>IF($K2877="","",IF(ISNUMBER(SEARCH("sortie-epargne",IFERROR(INDEX('Paramètres'!$N:$N,MATCH($D2877,'Paramètres'!$M:$M,0))&amp;"",""))),$K2877,0))</f>
        <v/>
      </c>
      <c r="V2877" s="6" t="str">
        <f>IF(AND($A2877&lt;&gt;"",$O2877=1,$L2877="Débit",N($Q2877)&gt;0,$A2877&gt;=Visualisation!$B$1,$A2877&lt;Visualisation!$D$1),MAX($V$1:V2876)+1,"")</f>
        <v/>
      </c>
    </row>
    <row r="2878" spans="1:22" x14ac:dyDescent="0.25">
      <c r="A2878" s="9"/>
      <c r="E2878" s="10"/>
      <c r="K2878" s="11" t="str">
        <f>IF($E2878="","",ROUND($E2878*IF(ISNA(MATCH($C2878,'Paramètres'!$D:$D,0)),1,IF(INDEX('Paramètres'!$J:$J,MATCH($C2878,'Paramètres'!$D:$D,0))="",1,INDEX('Paramètres'!$J:$J,MATCH($C2878,'Paramètres'!$D:$D,0)))),2))</f>
        <v/>
      </c>
      <c r="L2878" s="6" t="str">
        <f>IF($D2878="","",IF($F2878&lt;&gt;"",$F2878,IF(ISNA(MATCH($D2878,'Paramètres'!$M:$M,0)),"⚠ Type inconnu",IFERROR(INDEX('Paramètres'!$P:$P,MATCH($D2878,'Paramètres'!$M:$M,0))&amp;"",""))))</f>
        <v/>
      </c>
      <c r="M2878" s="6" t="str">
        <f>IF($D2878="","",IF(ISNA(MATCH($D2878,'Paramètres'!$M:$M,0)),"⚠ Type inconnu",IF($L2878="Crédit","",IFERROR(INDEX('Paramètres'!$O:$O,MATCH($D2878,'Paramètres'!$M:$M,0))&amp;"",""))))</f>
        <v/>
      </c>
      <c r="N2878" s="6" t="str">
        <f>IF($D2878="","",IFERROR(INDEX('Paramètres'!$Q:$Q,MATCH($D2878,'Paramètres'!$M:$M,0))&amp;"",""))</f>
        <v/>
      </c>
      <c r="O2878" s="6" t="str">
        <f>IF($A2878="","",IF(OR($J2878&lt;&gt;"x",$A2878&lt;=FinReleve),1,0))</f>
        <v/>
      </c>
      <c r="P2878" s="6" t="str">
        <f>IF($D2878="","",IF(AND($L2878="Crédit",OR(IFERROR(INDEX('Paramètres'!$O:$O,MATCH($D2878,'Paramètres'!$M:$M,0))&amp;"","")&lt;&gt;"",ISNUMBER(SEARCH("remboursement",IFERROR(INDEX('Paramètres'!$N:$N,MATCH($D2878,'Paramètres'!$M:$M,0))&amp;"",""))))),1,0))</f>
        <v/>
      </c>
      <c r="Q2878" s="6" t="str">
        <f>IF($K2878="","",IF(ISNUMBER(SEARCH("transfert-interne",IFERROR(INDEX('Paramètres'!$N:$N,MATCH($D2878,'Paramètres'!$M:$M,0))&amp;"",""))),0,IF($L2878="Débit",$K2878,IF($P2878=1,-$K2878,0))))</f>
        <v/>
      </c>
      <c r="R2878" s="6" t="str">
        <f>IF($K2878="","",IF($L2878="Crédit",$K2878,-$K2878))</f>
        <v/>
      </c>
      <c r="S2878" s="6" t="str">
        <f>IF($C2878="","",IFERROR(INDEX('Paramètres'!$H:$H,MATCH($C2878,'Paramètres'!$D:$D,0))&amp;"",""))</f>
        <v/>
      </c>
      <c r="T2878" s="6" t="str">
        <f>IF($K2878="","",IF($S2878="",0,IF(ISNUMBER(SEARCH("apport-exterieur",IFERROR(INDEX('Paramètres'!$N:$N,MATCH($D2878,'Paramètres'!$M:$M,0))&amp;"",""))),0,IF(OR(IFERROR(INDEX('Paramètres'!$I:$I,MATCH($C2878,'Paramètres'!$D:$D,0))&amp;"","")="Les deux",IFERROR(INDEX('Paramètres'!$I:$I,MATCH($C2878,'Paramètres'!$D:$D,0))&amp;"","")=IF($P2878=1,"Débit",$L2878)),-IF($P2878=1,-$K2878,$K2878),0))))</f>
        <v/>
      </c>
      <c r="U2878" s="6" t="str">
        <f>IF($K2878="","",IF(ISNUMBER(SEARCH("sortie-epargne",IFERROR(INDEX('Paramètres'!$N:$N,MATCH($D2878,'Paramètres'!$M:$M,0))&amp;"",""))),$K2878,0))</f>
        <v/>
      </c>
      <c r="V2878" s="6" t="str">
        <f>IF(AND($A2878&lt;&gt;"",$O2878=1,$L2878="Débit",N($Q2878)&gt;0,$A2878&gt;=Visualisation!$B$1,$A2878&lt;Visualisation!$D$1),MAX($V$1:V2877)+1,"")</f>
        <v/>
      </c>
    </row>
    <row r="2879" spans="1:22" x14ac:dyDescent="0.25">
      <c r="A2879" s="9"/>
      <c r="E2879" s="10"/>
      <c r="K2879" s="11" t="str">
        <f>IF($E2879="","",ROUND($E2879*IF(ISNA(MATCH($C2879,'Paramètres'!$D:$D,0)),1,IF(INDEX('Paramètres'!$J:$J,MATCH($C2879,'Paramètres'!$D:$D,0))="",1,INDEX('Paramètres'!$J:$J,MATCH($C2879,'Paramètres'!$D:$D,0)))),2))</f>
        <v/>
      </c>
      <c r="L2879" s="6" t="str">
        <f>IF($D2879="","",IF($F2879&lt;&gt;"",$F2879,IF(ISNA(MATCH($D2879,'Paramètres'!$M:$M,0)),"⚠ Type inconnu",IFERROR(INDEX('Paramètres'!$P:$P,MATCH($D2879,'Paramètres'!$M:$M,0))&amp;"",""))))</f>
        <v/>
      </c>
      <c r="M2879" s="6" t="str">
        <f>IF($D2879="","",IF(ISNA(MATCH($D2879,'Paramètres'!$M:$M,0)),"⚠ Type inconnu",IF($L2879="Crédit","",IFERROR(INDEX('Paramètres'!$O:$O,MATCH($D2879,'Paramètres'!$M:$M,0))&amp;"",""))))</f>
        <v/>
      </c>
      <c r="N2879" s="6" t="str">
        <f>IF($D2879="","",IFERROR(INDEX('Paramètres'!$Q:$Q,MATCH($D2879,'Paramètres'!$M:$M,0))&amp;"",""))</f>
        <v/>
      </c>
      <c r="O2879" s="6" t="str">
        <f>IF($A2879="","",IF(OR($J2879&lt;&gt;"x",$A2879&lt;=FinReleve),1,0))</f>
        <v/>
      </c>
      <c r="P2879" s="6" t="str">
        <f>IF($D2879="","",IF(AND($L2879="Crédit",OR(IFERROR(INDEX('Paramètres'!$O:$O,MATCH($D2879,'Paramètres'!$M:$M,0))&amp;"","")&lt;&gt;"",ISNUMBER(SEARCH("remboursement",IFERROR(INDEX('Paramètres'!$N:$N,MATCH($D2879,'Paramètres'!$M:$M,0))&amp;"",""))))),1,0))</f>
        <v/>
      </c>
      <c r="Q2879" s="6" t="str">
        <f>IF($K2879="","",IF(ISNUMBER(SEARCH("transfert-interne",IFERROR(INDEX('Paramètres'!$N:$N,MATCH($D2879,'Paramètres'!$M:$M,0))&amp;"",""))),0,IF($L2879="Débit",$K2879,IF($P2879=1,-$K2879,0))))</f>
        <v/>
      </c>
      <c r="R2879" s="6" t="str">
        <f>IF($K2879="","",IF($L2879="Crédit",$K2879,-$K2879))</f>
        <v/>
      </c>
      <c r="S2879" s="6" t="str">
        <f>IF($C2879="","",IFERROR(INDEX('Paramètres'!$H:$H,MATCH($C2879,'Paramètres'!$D:$D,0))&amp;"",""))</f>
        <v/>
      </c>
      <c r="T2879" s="6" t="str">
        <f>IF($K2879="","",IF($S2879="",0,IF(ISNUMBER(SEARCH("apport-exterieur",IFERROR(INDEX('Paramètres'!$N:$N,MATCH($D2879,'Paramètres'!$M:$M,0))&amp;"",""))),0,IF(OR(IFERROR(INDEX('Paramètres'!$I:$I,MATCH($C2879,'Paramètres'!$D:$D,0))&amp;"","")="Les deux",IFERROR(INDEX('Paramètres'!$I:$I,MATCH($C2879,'Paramètres'!$D:$D,0))&amp;"","")=IF($P2879=1,"Débit",$L2879)),-IF($P2879=1,-$K2879,$K2879),0))))</f>
        <v/>
      </c>
      <c r="U2879" s="6" t="str">
        <f>IF($K2879="","",IF(ISNUMBER(SEARCH("sortie-epargne",IFERROR(INDEX('Paramètres'!$N:$N,MATCH($D2879,'Paramètres'!$M:$M,0))&amp;"",""))),$K2879,0))</f>
        <v/>
      </c>
      <c r="V2879" s="6" t="str">
        <f>IF(AND($A2879&lt;&gt;"",$O2879=1,$L2879="Débit",N($Q2879)&gt;0,$A2879&gt;=Visualisation!$B$1,$A2879&lt;Visualisation!$D$1),MAX($V$1:V2878)+1,"")</f>
        <v/>
      </c>
    </row>
    <row r="2880" spans="1:22" x14ac:dyDescent="0.25">
      <c r="A2880" s="9"/>
      <c r="E2880" s="10"/>
      <c r="K2880" s="11" t="str">
        <f>IF($E2880="","",ROUND($E2880*IF(ISNA(MATCH($C2880,'Paramètres'!$D:$D,0)),1,IF(INDEX('Paramètres'!$J:$J,MATCH($C2880,'Paramètres'!$D:$D,0))="",1,INDEX('Paramètres'!$J:$J,MATCH($C2880,'Paramètres'!$D:$D,0)))),2))</f>
        <v/>
      </c>
      <c r="L2880" s="6" t="str">
        <f>IF($D2880="","",IF($F2880&lt;&gt;"",$F2880,IF(ISNA(MATCH($D2880,'Paramètres'!$M:$M,0)),"⚠ Type inconnu",IFERROR(INDEX('Paramètres'!$P:$P,MATCH($D2880,'Paramètres'!$M:$M,0))&amp;"",""))))</f>
        <v/>
      </c>
      <c r="M2880" s="6" t="str">
        <f>IF($D2880="","",IF(ISNA(MATCH($D2880,'Paramètres'!$M:$M,0)),"⚠ Type inconnu",IF($L2880="Crédit","",IFERROR(INDEX('Paramètres'!$O:$O,MATCH($D2880,'Paramètres'!$M:$M,0))&amp;"",""))))</f>
        <v/>
      </c>
      <c r="N2880" s="6" t="str">
        <f>IF($D2880="","",IFERROR(INDEX('Paramètres'!$Q:$Q,MATCH($D2880,'Paramètres'!$M:$M,0))&amp;"",""))</f>
        <v/>
      </c>
      <c r="O2880" s="6" t="str">
        <f>IF($A2880="","",IF(OR($J2880&lt;&gt;"x",$A2880&lt;=FinReleve),1,0))</f>
        <v/>
      </c>
      <c r="P2880" s="6" t="str">
        <f>IF($D2880="","",IF(AND($L2880="Crédit",OR(IFERROR(INDEX('Paramètres'!$O:$O,MATCH($D2880,'Paramètres'!$M:$M,0))&amp;"","")&lt;&gt;"",ISNUMBER(SEARCH("remboursement",IFERROR(INDEX('Paramètres'!$N:$N,MATCH($D2880,'Paramètres'!$M:$M,0))&amp;"",""))))),1,0))</f>
        <v/>
      </c>
      <c r="Q2880" s="6" t="str">
        <f>IF($K2880="","",IF(ISNUMBER(SEARCH("transfert-interne",IFERROR(INDEX('Paramètres'!$N:$N,MATCH($D2880,'Paramètres'!$M:$M,0))&amp;"",""))),0,IF($L2880="Débit",$K2880,IF($P2880=1,-$K2880,0))))</f>
        <v/>
      </c>
      <c r="R2880" s="6" t="str">
        <f>IF($K2880="","",IF($L2880="Crédit",$K2880,-$K2880))</f>
        <v/>
      </c>
      <c r="S2880" s="6" t="str">
        <f>IF($C2880="","",IFERROR(INDEX('Paramètres'!$H:$H,MATCH($C2880,'Paramètres'!$D:$D,0))&amp;"",""))</f>
        <v/>
      </c>
      <c r="T2880" s="6" t="str">
        <f>IF($K2880="","",IF($S2880="",0,IF(ISNUMBER(SEARCH("apport-exterieur",IFERROR(INDEX('Paramètres'!$N:$N,MATCH($D2880,'Paramètres'!$M:$M,0))&amp;"",""))),0,IF(OR(IFERROR(INDEX('Paramètres'!$I:$I,MATCH($C2880,'Paramètres'!$D:$D,0))&amp;"","")="Les deux",IFERROR(INDEX('Paramètres'!$I:$I,MATCH($C2880,'Paramètres'!$D:$D,0))&amp;"","")=IF($P2880=1,"Débit",$L2880)),-IF($P2880=1,-$K2880,$K2880),0))))</f>
        <v/>
      </c>
      <c r="U2880" s="6" t="str">
        <f>IF($K2880="","",IF(ISNUMBER(SEARCH("sortie-epargne",IFERROR(INDEX('Paramètres'!$N:$N,MATCH($D2880,'Paramètres'!$M:$M,0))&amp;"",""))),$K2880,0))</f>
        <v/>
      </c>
      <c r="V2880" s="6" t="str">
        <f>IF(AND($A2880&lt;&gt;"",$O2880=1,$L2880="Débit",N($Q2880)&gt;0,$A2880&gt;=Visualisation!$B$1,$A2880&lt;Visualisation!$D$1),MAX($V$1:V2879)+1,"")</f>
        <v/>
      </c>
    </row>
    <row r="2881" spans="1:22" x14ac:dyDescent="0.25">
      <c r="A2881" s="9"/>
      <c r="E2881" s="10"/>
      <c r="K2881" s="11" t="str">
        <f>IF($E2881="","",ROUND($E2881*IF(ISNA(MATCH($C2881,'Paramètres'!$D:$D,0)),1,IF(INDEX('Paramètres'!$J:$J,MATCH($C2881,'Paramètres'!$D:$D,0))="",1,INDEX('Paramètres'!$J:$J,MATCH($C2881,'Paramètres'!$D:$D,0)))),2))</f>
        <v/>
      </c>
      <c r="L2881" s="6" t="str">
        <f>IF($D2881="","",IF($F2881&lt;&gt;"",$F2881,IF(ISNA(MATCH($D2881,'Paramètres'!$M:$M,0)),"⚠ Type inconnu",IFERROR(INDEX('Paramètres'!$P:$P,MATCH($D2881,'Paramètres'!$M:$M,0))&amp;"",""))))</f>
        <v/>
      </c>
      <c r="M2881" s="6" t="str">
        <f>IF($D2881="","",IF(ISNA(MATCH($D2881,'Paramètres'!$M:$M,0)),"⚠ Type inconnu",IF($L2881="Crédit","",IFERROR(INDEX('Paramètres'!$O:$O,MATCH($D2881,'Paramètres'!$M:$M,0))&amp;"",""))))</f>
        <v/>
      </c>
      <c r="N2881" s="6" t="str">
        <f>IF($D2881="","",IFERROR(INDEX('Paramètres'!$Q:$Q,MATCH($D2881,'Paramètres'!$M:$M,0))&amp;"",""))</f>
        <v/>
      </c>
      <c r="O2881" s="6" t="str">
        <f>IF($A2881="","",IF(OR($J2881&lt;&gt;"x",$A2881&lt;=FinReleve),1,0))</f>
        <v/>
      </c>
      <c r="P2881" s="6" t="str">
        <f>IF($D2881="","",IF(AND($L2881="Crédit",OR(IFERROR(INDEX('Paramètres'!$O:$O,MATCH($D2881,'Paramètres'!$M:$M,0))&amp;"","")&lt;&gt;"",ISNUMBER(SEARCH("remboursement",IFERROR(INDEX('Paramètres'!$N:$N,MATCH($D2881,'Paramètres'!$M:$M,0))&amp;"",""))))),1,0))</f>
        <v/>
      </c>
      <c r="Q2881" s="6" t="str">
        <f>IF($K2881="","",IF(ISNUMBER(SEARCH("transfert-interne",IFERROR(INDEX('Paramètres'!$N:$N,MATCH($D2881,'Paramètres'!$M:$M,0))&amp;"",""))),0,IF($L2881="Débit",$K2881,IF($P2881=1,-$K2881,0))))</f>
        <v/>
      </c>
      <c r="R2881" s="6" t="str">
        <f>IF($K2881="","",IF($L2881="Crédit",$K2881,-$K2881))</f>
        <v/>
      </c>
      <c r="S2881" s="6" t="str">
        <f>IF($C2881="","",IFERROR(INDEX('Paramètres'!$H:$H,MATCH($C2881,'Paramètres'!$D:$D,0))&amp;"",""))</f>
        <v/>
      </c>
      <c r="T2881" s="6" t="str">
        <f>IF($K2881="","",IF($S2881="",0,IF(ISNUMBER(SEARCH("apport-exterieur",IFERROR(INDEX('Paramètres'!$N:$N,MATCH($D2881,'Paramètres'!$M:$M,0))&amp;"",""))),0,IF(OR(IFERROR(INDEX('Paramètres'!$I:$I,MATCH($C2881,'Paramètres'!$D:$D,0))&amp;"","")="Les deux",IFERROR(INDEX('Paramètres'!$I:$I,MATCH($C2881,'Paramètres'!$D:$D,0))&amp;"","")=IF($P2881=1,"Débit",$L2881)),-IF($P2881=1,-$K2881,$K2881),0))))</f>
        <v/>
      </c>
      <c r="U2881" s="6" t="str">
        <f>IF($K2881="","",IF(ISNUMBER(SEARCH("sortie-epargne",IFERROR(INDEX('Paramètres'!$N:$N,MATCH($D2881,'Paramètres'!$M:$M,0))&amp;"",""))),$K2881,0))</f>
        <v/>
      </c>
      <c r="V2881" s="6" t="str">
        <f>IF(AND($A2881&lt;&gt;"",$O2881=1,$L2881="Débit",N($Q2881)&gt;0,$A2881&gt;=Visualisation!$B$1,$A2881&lt;Visualisation!$D$1),MAX($V$1:V2880)+1,"")</f>
        <v/>
      </c>
    </row>
    <row r="2882" spans="1:22" x14ac:dyDescent="0.25">
      <c r="A2882" s="9"/>
      <c r="E2882" s="10"/>
      <c r="K2882" s="11" t="str">
        <f>IF($E2882="","",ROUND($E2882*IF(ISNA(MATCH($C2882,'Paramètres'!$D:$D,0)),1,IF(INDEX('Paramètres'!$J:$J,MATCH($C2882,'Paramètres'!$D:$D,0))="",1,INDEX('Paramètres'!$J:$J,MATCH($C2882,'Paramètres'!$D:$D,0)))),2))</f>
        <v/>
      </c>
      <c r="L2882" s="6" t="str">
        <f>IF($D2882="","",IF($F2882&lt;&gt;"",$F2882,IF(ISNA(MATCH($D2882,'Paramètres'!$M:$M,0)),"⚠ Type inconnu",IFERROR(INDEX('Paramètres'!$P:$P,MATCH($D2882,'Paramètres'!$M:$M,0))&amp;"",""))))</f>
        <v/>
      </c>
      <c r="M2882" s="6" t="str">
        <f>IF($D2882="","",IF(ISNA(MATCH($D2882,'Paramètres'!$M:$M,0)),"⚠ Type inconnu",IF($L2882="Crédit","",IFERROR(INDEX('Paramètres'!$O:$O,MATCH($D2882,'Paramètres'!$M:$M,0))&amp;"",""))))</f>
        <v/>
      </c>
      <c r="N2882" s="6" t="str">
        <f>IF($D2882="","",IFERROR(INDEX('Paramètres'!$Q:$Q,MATCH($D2882,'Paramètres'!$M:$M,0))&amp;"",""))</f>
        <v/>
      </c>
      <c r="O2882" s="6" t="str">
        <f>IF($A2882="","",IF(OR($J2882&lt;&gt;"x",$A2882&lt;=FinReleve),1,0))</f>
        <v/>
      </c>
      <c r="P2882" s="6" t="str">
        <f>IF($D2882="","",IF(AND($L2882="Crédit",OR(IFERROR(INDEX('Paramètres'!$O:$O,MATCH($D2882,'Paramètres'!$M:$M,0))&amp;"","")&lt;&gt;"",ISNUMBER(SEARCH("remboursement",IFERROR(INDEX('Paramètres'!$N:$N,MATCH($D2882,'Paramètres'!$M:$M,0))&amp;"",""))))),1,0))</f>
        <v/>
      </c>
      <c r="Q2882" s="6" t="str">
        <f>IF($K2882="","",IF(ISNUMBER(SEARCH("transfert-interne",IFERROR(INDEX('Paramètres'!$N:$N,MATCH($D2882,'Paramètres'!$M:$M,0))&amp;"",""))),0,IF($L2882="Débit",$K2882,IF($P2882=1,-$K2882,0))))</f>
        <v/>
      </c>
      <c r="R2882" s="6" t="str">
        <f>IF($K2882="","",IF($L2882="Crédit",$K2882,-$K2882))</f>
        <v/>
      </c>
      <c r="S2882" s="6" t="str">
        <f>IF($C2882="","",IFERROR(INDEX('Paramètres'!$H:$H,MATCH($C2882,'Paramètres'!$D:$D,0))&amp;"",""))</f>
        <v/>
      </c>
      <c r="T2882" s="6" t="str">
        <f>IF($K2882="","",IF($S2882="",0,IF(ISNUMBER(SEARCH("apport-exterieur",IFERROR(INDEX('Paramètres'!$N:$N,MATCH($D2882,'Paramètres'!$M:$M,0))&amp;"",""))),0,IF(OR(IFERROR(INDEX('Paramètres'!$I:$I,MATCH($C2882,'Paramètres'!$D:$D,0))&amp;"","")="Les deux",IFERROR(INDEX('Paramètres'!$I:$I,MATCH($C2882,'Paramètres'!$D:$D,0))&amp;"","")=IF($P2882=1,"Débit",$L2882)),-IF($P2882=1,-$K2882,$K2882),0))))</f>
        <v/>
      </c>
      <c r="U2882" s="6" t="str">
        <f>IF($K2882="","",IF(ISNUMBER(SEARCH("sortie-epargne",IFERROR(INDEX('Paramètres'!$N:$N,MATCH($D2882,'Paramètres'!$M:$M,0))&amp;"",""))),$K2882,0))</f>
        <v/>
      </c>
      <c r="V2882" s="6" t="str">
        <f>IF(AND($A2882&lt;&gt;"",$O2882=1,$L2882="Débit",N($Q2882)&gt;0,$A2882&gt;=Visualisation!$B$1,$A2882&lt;Visualisation!$D$1),MAX($V$1:V2881)+1,"")</f>
        <v/>
      </c>
    </row>
    <row r="2883" spans="1:22" x14ac:dyDescent="0.25">
      <c r="A2883" s="9"/>
      <c r="E2883" s="10"/>
      <c r="K2883" s="11" t="str">
        <f>IF($E2883="","",ROUND($E2883*IF(ISNA(MATCH($C2883,'Paramètres'!$D:$D,0)),1,IF(INDEX('Paramètres'!$J:$J,MATCH($C2883,'Paramètres'!$D:$D,0))="",1,INDEX('Paramètres'!$J:$J,MATCH($C2883,'Paramètres'!$D:$D,0)))),2))</f>
        <v/>
      </c>
      <c r="L2883" s="6" t="str">
        <f>IF($D2883="","",IF($F2883&lt;&gt;"",$F2883,IF(ISNA(MATCH($D2883,'Paramètres'!$M:$M,0)),"⚠ Type inconnu",IFERROR(INDEX('Paramètres'!$P:$P,MATCH($D2883,'Paramètres'!$M:$M,0))&amp;"",""))))</f>
        <v/>
      </c>
      <c r="M2883" s="6" t="str">
        <f>IF($D2883="","",IF(ISNA(MATCH($D2883,'Paramètres'!$M:$M,0)),"⚠ Type inconnu",IF($L2883="Crédit","",IFERROR(INDEX('Paramètres'!$O:$O,MATCH($D2883,'Paramètres'!$M:$M,0))&amp;"",""))))</f>
        <v/>
      </c>
      <c r="N2883" s="6" t="str">
        <f>IF($D2883="","",IFERROR(INDEX('Paramètres'!$Q:$Q,MATCH($D2883,'Paramètres'!$M:$M,0))&amp;"",""))</f>
        <v/>
      </c>
      <c r="O2883" s="6" t="str">
        <f>IF($A2883="","",IF(OR($J2883&lt;&gt;"x",$A2883&lt;=FinReleve),1,0))</f>
        <v/>
      </c>
      <c r="P2883" s="6" t="str">
        <f>IF($D2883="","",IF(AND($L2883="Crédit",OR(IFERROR(INDEX('Paramètres'!$O:$O,MATCH($D2883,'Paramètres'!$M:$M,0))&amp;"","")&lt;&gt;"",ISNUMBER(SEARCH("remboursement",IFERROR(INDEX('Paramètres'!$N:$N,MATCH($D2883,'Paramètres'!$M:$M,0))&amp;"",""))))),1,0))</f>
        <v/>
      </c>
      <c r="Q2883" s="6" t="str">
        <f>IF($K2883="","",IF(ISNUMBER(SEARCH("transfert-interne",IFERROR(INDEX('Paramètres'!$N:$N,MATCH($D2883,'Paramètres'!$M:$M,0))&amp;"",""))),0,IF($L2883="Débit",$K2883,IF($P2883=1,-$K2883,0))))</f>
        <v/>
      </c>
      <c r="R2883" s="6" t="str">
        <f>IF($K2883="","",IF($L2883="Crédit",$K2883,-$K2883))</f>
        <v/>
      </c>
      <c r="S2883" s="6" t="str">
        <f>IF($C2883="","",IFERROR(INDEX('Paramètres'!$H:$H,MATCH($C2883,'Paramètres'!$D:$D,0))&amp;"",""))</f>
        <v/>
      </c>
      <c r="T2883" s="6" t="str">
        <f>IF($K2883="","",IF($S2883="",0,IF(ISNUMBER(SEARCH("apport-exterieur",IFERROR(INDEX('Paramètres'!$N:$N,MATCH($D2883,'Paramètres'!$M:$M,0))&amp;"",""))),0,IF(OR(IFERROR(INDEX('Paramètres'!$I:$I,MATCH($C2883,'Paramètres'!$D:$D,0))&amp;"","")="Les deux",IFERROR(INDEX('Paramètres'!$I:$I,MATCH($C2883,'Paramètres'!$D:$D,0))&amp;"","")=IF($P2883=1,"Débit",$L2883)),-IF($P2883=1,-$K2883,$K2883),0))))</f>
        <v/>
      </c>
      <c r="U2883" s="6" t="str">
        <f>IF($K2883="","",IF(ISNUMBER(SEARCH("sortie-epargne",IFERROR(INDEX('Paramètres'!$N:$N,MATCH($D2883,'Paramètres'!$M:$M,0))&amp;"",""))),$K2883,0))</f>
        <v/>
      </c>
      <c r="V2883" s="6" t="str">
        <f>IF(AND($A2883&lt;&gt;"",$O2883=1,$L2883="Débit",N($Q2883)&gt;0,$A2883&gt;=Visualisation!$B$1,$A2883&lt;Visualisation!$D$1),MAX($V$1:V2882)+1,"")</f>
        <v/>
      </c>
    </row>
    <row r="2884" spans="1:22" x14ac:dyDescent="0.25">
      <c r="A2884" s="9"/>
      <c r="E2884" s="10"/>
      <c r="K2884" s="11" t="str">
        <f>IF($E2884="","",ROUND($E2884*IF(ISNA(MATCH($C2884,'Paramètres'!$D:$D,0)),1,IF(INDEX('Paramètres'!$J:$J,MATCH($C2884,'Paramètres'!$D:$D,0))="",1,INDEX('Paramètres'!$J:$J,MATCH($C2884,'Paramètres'!$D:$D,0)))),2))</f>
        <v/>
      </c>
      <c r="L2884" s="6" t="str">
        <f>IF($D2884="","",IF($F2884&lt;&gt;"",$F2884,IF(ISNA(MATCH($D2884,'Paramètres'!$M:$M,0)),"⚠ Type inconnu",IFERROR(INDEX('Paramètres'!$P:$P,MATCH($D2884,'Paramètres'!$M:$M,0))&amp;"",""))))</f>
        <v/>
      </c>
      <c r="M2884" s="6" t="str">
        <f>IF($D2884="","",IF(ISNA(MATCH($D2884,'Paramètres'!$M:$M,0)),"⚠ Type inconnu",IF($L2884="Crédit","",IFERROR(INDEX('Paramètres'!$O:$O,MATCH($D2884,'Paramètres'!$M:$M,0))&amp;"",""))))</f>
        <v/>
      </c>
      <c r="N2884" s="6" t="str">
        <f>IF($D2884="","",IFERROR(INDEX('Paramètres'!$Q:$Q,MATCH($D2884,'Paramètres'!$M:$M,0))&amp;"",""))</f>
        <v/>
      </c>
      <c r="O2884" s="6" t="str">
        <f>IF($A2884="","",IF(OR($J2884&lt;&gt;"x",$A2884&lt;=FinReleve),1,0))</f>
        <v/>
      </c>
      <c r="P2884" s="6" t="str">
        <f>IF($D2884="","",IF(AND($L2884="Crédit",OR(IFERROR(INDEX('Paramètres'!$O:$O,MATCH($D2884,'Paramètres'!$M:$M,0))&amp;"","")&lt;&gt;"",ISNUMBER(SEARCH("remboursement",IFERROR(INDEX('Paramètres'!$N:$N,MATCH($D2884,'Paramètres'!$M:$M,0))&amp;"",""))))),1,0))</f>
        <v/>
      </c>
      <c r="Q2884" s="6" t="str">
        <f>IF($K2884="","",IF(ISNUMBER(SEARCH("transfert-interne",IFERROR(INDEX('Paramètres'!$N:$N,MATCH($D2884,'Paramètres'!$M:$M,0))&amp;"",""))),0,IF($L2884="Débit",$K2884,IF($P2884=1,-$K2884,0))))</f>
        <v/>
      </c>
      <c r="R2884" s="6" t="str">
        <f>IF($K2884="","",IF($L2884="Crédit",$K2884,-$K2884))</f>
        <v/>
      </c>
      <c r="S2884" s="6" t="str">
        <f>IF($C2884="","",IFERROR(INDEX('Paramètres'!$H:$H,MATCH($C2884,'Paramètres'!$D:$D,0))&amp;"",""))</f>
        <v/>
      </c>
      <c r="T2884" s="6" t="str">
        <f>IF($K2884="","",IF($S2884="",0,IF(ISNUMBER(SEARCH("apport-exterieur",IFERROR(INDEX('Paramètres'!$N:$N,MATCH($D2884,'Paramètres'!$M:$M,0))&amp;"",""))),0,IF(OR(IFERROR(INDEX('Paramètres'!$I:$I,MATCH($C2884,'Paramètres'!$D:$D,0))&amp;"","")="Les deux",IFERROR(INDEX('Paramètres'!$I:$I,MATCH($C2884,'Paramètres'!$D:$D,0))&amp;"","")=IF($P2884=1,"Débit",$L2884)),-IF($P2884=1,-$K2884,$K2884),0))))</f>
        <v/>
      </c>
      <c r="U2884" s="6" t="str">
        <f>IF($K2884="","",IF(ISNUMBER(SEARCH("sortie-epargne",IFERROR(INDEX('Paramètres'!$N:$N,MATCH($D2884,'Paramètres'!$M:$M,0))&amp;"",""))),$K2884,0))</f>
        <v/>
      </c>
      <c r="V2884" s="6" t="str">
        <f>IF(AND($A2884&lt;&gt;"",$O2884=1,$L2884="Débit",N($Q2884)&gt;0,$A2884&gt;=Visualisation!$B$1,$A2884&lt;Visualisation!$D$1),MAX($V$1:V2883)+1,"")</f>
        <v/>
      </c>
    </row>
    <row r="2885" spans="1:22" x14ac:dyDescent="0.25">
      <c r="A2885" s="9"/>
      <c r="E2885" s="10"/>
      <c r="K2885" s="11" t="str">
        <f>IF($E2885="","",ROUND($E2885*IF(ISNA(MATCH($C2885,'Paramètres'!$D:$D,0)),1,IF(INDEX('Paramètres'!$J:$J,MATCH($C2885,'Paramètres'!$D:$D,0))="",1,INDEX('Paramètres'!$J:$J,MATCH($C2885,'Paramètres'!$D:$D,0)))),2))</f>
        <v/>
      </c>
      <c r="L2885" s="6" t="str">
        <f>IF($D2885="","",IF($F2885&lt;&gt;"",$F2885,IF(ISNA(MATCH($D2885,'Paramètres'!$M:$M,0)),"⚠ Type inconnu",IFERROR(INDEX('Paramètres'!$P:$P,MATCH($D2885,'Paramètres'!$M:$M,0))&amp;"",""))))</f>
        <v/>
      </c>
      <c r="M2885" s="6" t="str">
        <f>IF($D2885="","",IF(ISNA(MATCH($D2885,'Paramètres'!$M:$M,0)),"⚠ Type inconnu",IF($L2885="Crédit","",IFERROR(INDEX('Paramètres'!$O:$O,MATCH($D2885,'Paramètres'!$M:$M,0))&amp;"",""))))</f>
        <v/>
      </c>
      <c r="N2885" s="6" t="str">
        <f>IF($D2885="","",IFERROR(INDEX('Paramètres'!$Q:$Q,MATCH($D2885,'Paramètres'!$M:$M,0))&amp;"",""))</f>
        <v/>
      </c>
      <c r="O2885" s="6" t="str">
        <f>IF($A2885="","",IF(OR($J2885&lt;&gt;"x",$A2885&lt;=FinReleve),1,0))</f>
        <v/>
      </c>
      <c r="P2885" s="6" t="str">
        <f>IF($D2885="","",IF(AND($L2885="Crédit",OR(IFERROR(INDEX('Paramètres'!$O:$O,MATCH($D2885,'Paramètres'!$M:$M,0))&amp;"","")&lt;&gt;"",ISNUMBER(SEARCH("remboursement",IFERROR(INDEX('Paramètres'!$N:$N,MATCH($D2885,'Paramètres'!$M:$M,0))&amp;"",""))))),1,0))</f>
        <v/>
      </c>
      <c r="Q2885" s="6" t="str">
        <f>IF($K2885="","",IF(ISNUMBER(SEARCH("transfert-interne",IFERROR(INDEX('Paramètres'!$N:$N,MATCH($D2885,'Paramètres'!$M:$M,0))&amp;"",""))),0,IF($L2885="Débit",$K2885,IF($P2885=1,-$K2885,0))))</f>
        <v/>
      </c>
      <c r="R2885" s="6" t="str">
        <f>IF($K2885="","",IF($L2885="Crédit",$K2885,-$K2885))</f>
        <v/>
      </c>
      <c r="S2885" s="6" t="str">
        <f>IF($C2885="","",IFERROR(INDEX('Paramètres'!$H:$H,MATCH($C2885,'Paramètres'!$D:$D,0))&amp;"",""))</f>
        <v/>
      </c>
      <c r="T2885" s="6" t="str">
        <f>IF($K2885="","",IF($S2885="",0,IF(ISNUMBER(SEARCH("apport-exterieur",IFERROR(INDEX('Paramètres'!$N:$N,MATCH($D2885,'Paramètres'!$M:$M,0))&amp;"",""))),0,IF(OR(IFERROR(INDEX('Paramètres'!$I:$I,MATCH($C2885,'Paramètres'!$D:$D,0))&amp;"","")="Les deux",IFERROR(INDEX('Paramètres'!$I:$I,MATCH($C2885,'Paramètres'!$D:$D,0))&amp;"","")=IF($P2885=1,"Débit",$L2885)),-IF($P2885=1,-$K2885,$K2885),0))))</f>
        <v/>
      </c>
      <c r="U2885" s="6" t="str">
        <f>IF($K2885="","",IF(ISNUMBER(SEARCH("sortie-epargne",IFERROR(INDEX('Paramètres'!$N:$N,MATCH($D2885,'Paramètres'!$M:$M,0))&amp;"",""))),$K2885,0))</f>
        <v/>
      </c>
      <c r="V2885" s="6" t="str">
        <f>IF(AND($A2885&lt;&gt;"",$O2885=1,$L2885="Débit",N($Q2885)&gt;0,$A2885&gt;=Visualisation!$B$1,$A2885&lt;Visualisation!$D$1),MAX($V$1:V2884)+1,"")</f>
        <v/>
      </c>
    </row>
    <row r="2886" spans="1:22" x14ac:dyDescent="0.25">
      <c r="A2886" s="9"/>
      <c r="E2886" s="10"/>
      <c r="K2886" s="11" t="str">
        <f>IF($E2886="","",ROUND($E2886*IF(ISNA(MATCH($C2886,'Paramètres'!$D:$D,0)),1,IF(INDEX('Paramètres'!$J:$J,MATCH($C2886,'Paramètres'!$D:$D,0))="",1,INDEX('Paramètres'!$J:$J,MATCH($C2886,'Paramètres'!$D:$D,0)))),2))</f>
        <v/>
      </c>
      <c r="L2886" s="6" t="str">
        <f>IF($D2886="","",IF($F2886&lt;&gt;"",$F2886,IF(ISNA(MATCH($D2886,'Paramètres'!$M:$M,0)),"⚠ Type inconnu",IFERROR(INDEX('Paramètres'!$P:$P,MATCH($D2886,'Paramètres'!$M:$M,0))&amp;"",""))))</f>
        <v/>
      </c>
      <c r="M2886" s="6" t="str">
        <f>IF($D2886="","",IF(ISNA(MATCH($D2886,'Paramètres'!$M:$M,0)),"⚠ Type inconnu",IF($L2886="Crédit","",IFERROR(INDEX('Paramètres'!$O:$O,MATCH($D2886,'Paramètres'!$M:$M,0))&amp;"",""))))</f>
        <v/>
      </c>
      <c r="N2886" s="6" t="str">
        <f>IF($D2886="","",IFERROR(INDEX('Paramètres'!$Q:$Q,MATCH($D2886,'Paramètres'!$M:$M,0))&amp;"",""))</f>
        <v/>
      </c>
      <c r="O2886" s="6" t="str">
        <f>IF($A2886="","",IF(OR($J2886&lt;&gt;"x",$A2886&lt;=FinReleve),1,0))</f>
        <v/>
      </c>
      <c r="P2886" s="6" t="str">
        <f>IF($D2886="","",IF(AND($L2886="Crédit",OR(IFERROR(INDEX('Paramètres'!$O:$O,MATCH($D2886,'Paramètres'!$M:$M,0))&amp;"","")&lt;&gt;"",ISNUMBER(SEARCH("remboursement",IFERROR(INDEX('Paramètres'!$N:$N,MATCH($D2886,'Paramètres'!$M:$M,0))&amp;"",""))))),1,0))</f>
        <v/>
      </c>
      <c r="Q2886" s="6" t="str">
        <f>IF($K2886="","",IF(ISNUMBER(SEARCH("transfert-interne",IFERROR(INDEX('Paramètres'!$N:$N,MATCH($D2886,'Paramètres'!$M:$M,0))&amp;"",""))),0,IF($L2886="Débit",$K2886,IF($P2886=1,-$K2886,0))))</f>
        <v/>
      </c>
      <c r="R2886" s="6" t="str">
        <f>IF($K2886="","",IF($L2886="Crédit",$K2886,-$K2886))</f>
        <v/>
      </c>
      <c r="S2886" s="6" t="str">
        <f>IF($C2886="","",IFERROR(INDEX('Paramètres'!$H:$H,MATCH($C2886,'Paramètres'!$D:$D,0))&amp;"",""))</f>
        <v/>
      </c>
      <c r="T2886" s="6" t="str">
        <f>IF($K2886="","",IF($S2886="",0,IF(ISNUMBER(SEARCH("apport-exterieur",IFERROR(INDEX('Paramètres'!$N:$N,MATCH($D2886,'Paramètres'!$M:$M,0))&amp;"",""))),0,IF(OR(IFERROR(INDEX('Paramètres'!$I:$I,MATCH($C2886,'Paramètres'!$D:$D,0))&amp;"","")="Les deux",IFERROR(INDEX('Paramètres'!$I:$I,MATCH($C2886,'Paramètres'!$D:$D,0))&amp;"","")=IF($P2886=1,"Débit",$L2886)),-IF($P2886=1,-$K2886,$K2886),0))))</f>
        <v/>
      </c>
      <c r="U2886" s="6" t="str">
        <f>IF($K2886="","",IF(ISNUMBER(SEARCH("sortie-epargne",IFERROR(INDEX('Paramètres'!$N:$N,MATCH($D2886,'Paramètres'!$M:$M,0))&amp;"",""))),$K2886,0))</f>
        <v/>
      </c>
      <c r="V2886" s="6" t="str">
        <f>IF(AND($A2886&lt;&gt;"",$O2886=1,$L2886="Débit",N($Q2886)&gt;0,$A2886&gt;=Visualisation!$B$1,$A2886&lt;Visualisation!$D$1),MAX($V$1:V2885)+1,"")</f>
        <v/>
      </c>
    </row>
    <row r="2887" spans="1:22" x14ac:dyDescent="0.25">
      <c r="A2887" s="9"/>
      <c r="E2887" s="10"/>
      <c r="K2887" s="11" t="str">
        <f>IF($E2887="","",ROUND($E2887*IF(ISNA(MATCH($C2887,'Paramètres'!$D:$D,0)),1,IF(INDEX('Paramètres'!$J:$J,MATCH($C2887,'Paramètres'!$D:$D,0))="",1,INDEX('Paramètres'!$J:$J,MATCH($C2887,'Paramètres'!$D:$D,0)))),2))</f>
        <v/>
      </c>
      <c r="L2887" s="6" t="str">
        <f>IF($D2887="","",IF($F2887&lt;&gt;"",$F2887,IF(ISNA(MATCH($D2887,'Paramètres'!$M:$M,0)),"⚠ Type inconnu",IFERROR(INDEX('Paramètres'!$P:$P,MATCH($D2887,'Paramètres'!$M:$M,0))&amp;"",""))))</f>
        <v/>
      </c>
      <c r="M2887" s="6" t="str">
        <f>IF($D2887="","",IF(ISNA(MATCH($D2887,'Paramètres'!$M:$M,0)),"⚠ Type inconnu",IF($L2887="Crédit","",IFERROR(INDEX('Paramètres'!$O:$O,MATCH($D2887,'Paramètres'!$M:$M,0))&amp;"",""))))</f>
        <v/>
      </c>
      <c r="N2887" s="6" t="str">
        <f>IF($D2887="","",IFERROR(INDEX('Paramètres'!$Q:$Q,MATCH($D2887,'Paramètres'!$M:$M,0))&amp;"",""))</f>
        <v/>
      </c>
      <c r="O2887" s="6" t="str">
        <f>IF($A2887="","",IF(OR($J2887&lt;&gt;"x",$A2887&lt;=FinReleve),1,0))</f>
        <v/>
      </c>
      <c r="P2887" s="6" t="str">
        <f>IF($D2887="","",IF(AND($L2887="Crédit",OR(IFERROR(INDEX('Paramètres'!$O:$O,MATCH($D2887,'Paramètres'!$M:$M,0))&amp;"","")&lt;&gt;"",ISNUMBER(SEARCH("remboursement",IFERROR(INDEX('Paramètres'!$N:$N,MATCH($D2887,'Paramètres'!$M:$M,0))&amp;"",""))))),1,0))</f>
        <v/>
      </c>
      <c r="Q2887" s="6" t="str">
        <f>IF($K2887="","",IF(ISNUMBER(SEARCH("transfert-interne",IFERROR(INDEX('Paramètres'!$N:$N,MATCH($D2887,'Paramètres'!$M:$M,0))&amp;"",""))),0,IF($L2887="Débit",$K2887,IF($P2887=1,-$K2887,0))))</f>
        <v/>
      </c>
      <c r="R2887" s="6" t="str">
        <f>IF($K2887="","",IF($L2887="Crédit",$K2887,-$K2887))</f>
        <v/>
      </c>
      <c r="S2887" s="6" t="str">
        <f>IF($C2887="","",IFERROR(INDEX('Paramètres'!$H:$H,MATCH($C2887,'Paramètres'!$D:$D,0))&amp;"",""))</f>
        <v/>
      </c>
      <c r="T2887" s="6" t="str">
        <f>IF($K2887="","",IF($S2887="",0,IF(ISNUMBER(SEARCH("apport-exterieur",IFERROR(INDEX('Paramètres'!$N:$N,MATCH($D2887,'Paramètres'!$M:$M,0))&amp;"",""))),0,IF(OR(IFERROR(INDEX('Paramètres'!$I:$I,MATCH($C2887,'Paramètres'!$D:$D,0))&amp;"","")="Les deux",IFERROR(INDEX('Paramètres'!$I:$I,MATCH($C2887,'Paramètres'!$D:$D,0))&amp;"","")=IF($P2887=1,"Débit",$L2887)),-IF($P2887=1,-$K2887,$K2887),0))))</f>
        <v/>
      </c>
      <c r="U2887" s="6" t="str">
        <f>IF($K2887="","",IF(ISNUMBER(SEARCH("sortie-epargne",IFERROR(INDEX('Paramètres'!$N:$N,MATCH($D2887,'Paramètres'!$M:$M,0))&amp;"",""))),$K2887,0))</f>
        <v/>
      </c>
      <c r="V2887" s="6" t="str">
        <f>IF(AND($A2887&lt;&gt;"",$O2887=1,$L2887="Débit",N($Q2887)&gt;0,$A2887&gt;=Visualisation!$B$1,$A2887&lt;Visualisation!$D$1),MAX($V$1:V2886)+1,"")</f>
        <v/>
      </c>
    </row>
    <row r="2888" spans="1:22" x14ac:dyDescent="0.25">
      <c r="A2888" s="9"/>
      <c r="E2888" s="10"/>
      <c r="K2888" s="11" t="str">
        <f>IF($E2888="","",ROUND($E2888*IF(ISNA(MATCH($C2888,'Paramètres'!$D:$D,0)),1,IF(INDEX('Paramètres'!$J:$J,MATCH($C2888,'Paramètres'!$D:$D,0))="",1,INDEX('Paramètres'!$J:$J,MATCH($C2888,'Paramètres'!$D:$D,0)))),2))</f>
        <v/>
      </c>
      <c r="L2888" s="6" t="str">
        <f>IF($D2888="","",IF($F2888&lt;&gt;"",$F2888,IF(ISNA(MATCH($D2888,'Paramètres'!$M:$M,0)),"⚠ Type inconnu",IFERROR(INDEX('Paramètres'!$P:$P,MATCH($D2888,'Paramètres'!$M:$M,0))&amp;"",""))))</f>
        <v/>
      </c>
      <c r="M2888" s="6" t="str">
        <f>IF($D2888="","",IF(ISNA(MATCH($D2888,'Paramètres'!$M:$M,0)),"⚠ Type inconnu",IF($L2888="Crédit","",IFERROR(INDEX('Paramètres'!$O:$O,MATCH($D2888,'Paramètres'!$M:$M,0))&amp;"",""))))</f>
        <v/>
      </c>
      <c r="N2888" s="6" t="str">
        <f>IF($D2888="","",IFERROR(INDEX('Paramètres'!$Q:$Q,MATCH($D2888,'Paramètres'!$M:$M,0))&amp;"",""))</f>
        <v/>
      </c>
      <c r="O2888" s="6" t="str">
        <f>IF($A2888="","",IF(OR($J2888&lt;&gt;"x",$A2888&lt;=FinReleve),1,0))</f>
        <v/>
      </c>
      <c r="P2888" s="6" t="str">
        <f>IF($D2888="","",IF(AND($L2888="Crédit",OR(IFERROR(INDEX('Paramètres'!$O:$O,MATCH($D2888,'Paramètres'!$M:$M,0))&amp;"","")&lt;&gt;"",ISNUMBER(SEARCH("remboursement",IFERROR(INDEX('Paramètres'!$N:$N,MATCH($D2888,'Paramètres'!$M:$M,0))&amp;"",""))))),1,0))</f>
        <v/>
      </c>
      <c r="Q2888" s="6" t="str">
        <f>IF($K2888="","",IF(ISNUMBER(SEARCH("transfert-interne",IFERROR(INDEX('Paramètres'!$N:$N,MATCH($D2888,'Paramètres'!$M:$M,0))&amp;"",""))),0,IF($L2888="Débit",$K2888,IF($P2888=1,-$K2888,0))))</f>
        <v/>
      </c>
      <c r="R2888" s="6" t="str">
        <f>IF($K2888="","",IF($L2888="Crédit",$K2888,-$K2888))</f>
        <v/>
      </c>
      <c r="S2888" s="6" t="str">
        <f>IF($C2888="","",IFERROR(INDEX('Paramètres'!$H:$H,MATCH($C2888,'Paramètres'!$D:$D,0))&amp;"",""))</f>
        <v/>
      </c>
      <c r="T2888" s="6" t="str">
        <f>IF($K2888="","",IF($S2888="",0,IF(ISNUMBER(SEARCH("apport-exterieur",IFERROR(INDEX('Paramètres'!$N:$N,MATCH($D2888,'Paramètres'!$M:$M,0))&amp;"",""))),0,IF(OR(IFERROR(INDEX('Paramètres'!$I:$I,MATCH($C2888,'Paramètres'!$D:$D,0))&amp;"","")="Les deux",IFERROR(INDEX('Paramètres'!$I:$I,MATCH($C2888,'Paramètres'!$D:$D,0))&amp;"","")=IF($P2888=1,"Débit",$L2888)),-IF($P2888=1,-$K2888,$K2888),0))))</f>
        <v/>
      </c>
      <c r="U2888" s="6" t="str">
        <f>IF($K2888="","",IF(ISNUMBER(SEARCH("sortie-epargne",IFERROR(INDEX('Paramètres'!$N:$N,MATCH($D2888,'Paramètres'!$M:$M,0))&amp;"",""))),$K2888,0))</f>
        <v/>
      </c>
      <c r="V2888" s="6" t="str">
        <f>IF(AND($A2888&lt;&gt;"",$O2888=1,$L2888="Débit",N($Q2888)&gt;0,$A2888&gt;=Visualisation!$B$1,$A2888&lt;Visualisation!$D$1),MAX($V$1:V2887)+1,"")</f>
        <v/>
      </c>
    </row>
    <row r="2889" spans="1:22" x14ac:dyDescent="0.25">
      <c r="A2889" s="9"/>
      <c r="E2889" s="10"/>
      <c r="K2889" s="11" t="str">
        <f>IF($E2889="","",ROUND($E2889*IF(ISNA(MATCH($C2889,'Paramètres'!$D:$D,0)),1,IF(INDEX('Paramètres'!$J:$J,MATCH($C2889,'Paramètres'!$D:$D,0))="",1,INDEX('Paramètres'!$J:$J,MATCH($C2889,'Paramètres'!$D:$D,0)))),2))</f>
        <v/>
      </c>
      <c r="L2889" s="6" t="str">
        <f>IF($D2889="","",IF($F2889&lt;&gt;"",$F2889,IF(ISNA(MATCH($D2889,'Paramètres'!$M:$M,0)),"⚠ Type inconnu",IFERROR(INDEX('Paramètres'!$P:$P,MATCH($D2889,'Paramètres'!$M:$M,0))&amp;"",""))))</f>
        <v/>
      </c>
      <c r="M2889" s="6" t="str">
        <f>IF($D2889="","",IF(ISNA(MATCH($D2889,'Paramètres'!$M:$M,0)),"⚠ Type inconnu",IF($L2889="Crédit","",IFERROR(INDEX('Paramètres'!$O:$O,MATCH($D2889,'Paramètres'!$M:$M,0))&amp;"",""))))</f>
        <v/>
      </c>
      <c r="N2889" s="6" t="str">
        <f>IF($D2889="","",IFERROR(INDEX('Paramètres'!$Q:$Q,MATCH($D2889,'Paramètres'!$M:$M,0))&amp;"",""))</f>
        <v/>
      </c>
      <c r="O2889" s="6" t="str">
        <f>IF($A2889="","",IF(OR($J2889&lt;&gt;"x",$A2889&lt;=FinReleve),1,0))</f>
        <v/>
      </c>
      <c r="P2889" s="6" t="str">
        <f>IF($D2889="","",IF(AND($L2889="Crédit",OR(IFERROR(INDEX('Paramètres'!$O:$O,MATCH($D2889,'Paramètres'!$M:$M,0))&amp;"","")&lt;&gt;"",ISNUMBER(SEARCH("remboursement",IFERROR(INDEX('Paramètres'!$N:$N,MATCH($D2889,'Paramètres'!$M:$M,0))&amp;"",""))))),1,0))</f>
        <v/>
      </c>
      <c r="Q2889" s="6" t="str">
        <f>IF($K2889="","",IF(ISNUMBER(SEARCH("transfert-interne",IFERROR(INDEX('Paramètres'!$N:$N,MATCH($D2889,'Paramètres'!$M:$M,0))&amp;"",""))),0,IF($L2889="Débit",$K2889,IF($P2889=1,-$K2889,0))))</f>
        <v/>
      </c>
      <c r="R2889" s="6" t="str">
        <f>IF($K2889="","",IF($L2889="Crédit",$K2889,-$K2889))</f>
        <v/>
      </c>
      <c r="S2889" s="6" t="str">
        <f>IF($C2889="","",IFERROR(INDEX('Paramètres'!$H:$H,MATCH($C2889,'Paramètres'!$D:$D,0))&amp;"",""))</f>
        <v/>
      </c>
      <c r="T2889" s="6" t="str">
        <f>IF($K2889="","",IF($S2889="",0,IF(ISNUMBER(SEARCH("apport-exterieur",IFERROR(INDEX('Paramètres'!$N:$N,MATCH($D2889,'Paramètres'!$M:$M,0))&amp;"",""))),0,IF(OR(IFERROR(INDEX('Paramètres'!$I:$I,MATCH($C2889,'Paramètres'!$D:$D,0))&amp;"","")="Les deux",IFERROR(INDEX('Paramètres'!$I:$I,MATCH($C2889,'Paramètres'!$D:$D,0))&amp;"","")=IF($P2889=1,"Débit",$L2889)),-IF($P2889=1,-$K2889,$K2889),0))))</f>
        <v/>
      </c>
      <c r="U2889" s="6" t="str">
        <f>IF($K2889="","",IF(ISNUMBER(SEARCH("sortie-epargne",IFERROR(INDEX('Paramètres'!$N:$N,MATCH($D2889,'Paramètres'!$M:$M,0))&amp;"",""))),$K2889,0))</f>
        <v/>
      </c>
      <c r="V2889" s="6" t="str">
        <f>IF(AND($A2889&lt;&gt;"",$O2889=1,$L2889="Débit",N($Q2889)&gt;0,$A2889&gt;=Visualisation!$B$1,$A2889&lt;Visualisation!$D$1),MAX($V$1:V2888)+1,"")</f>
        <v/>
      </c>
    </row>
    <row r="2890" spans="1:22" x14ac:dyDescent="0.25">
      <c r="A2890" s="9"/>
      <c r="E2890" s="10"/>
      <c r="K2890" s="11" t="str">
        <f>IF($E2890="","",ROUND($E2890*IF(ISNA(MATCH($C2890,'Paramètres'!$D:$D,0)),1,IF(INDEX('Paramètres'!$J:$J,MATCH($C2890,'Paramètres'!$D:$D,0))="",1,INDEX('Paramètres'!$J:$J,MATCH($C2890,'Paramètres'!$D:$D,0)))),2))</f>
        <v/>
      </c>
      <c r="L2890" s="6" t="str">
        <f>IF($D2890="","",IF($F2890&lt;&gt;"",$F2890,IF(ISNA(MATCH($D2890,'Paramètres'!$M:$M,0)),"⚠ Type inconnu",IFERROR(INDEX('Paramètres'!$P:$P,MATCH($D2890,'Paramètres'!$M:$M,0))&amp;"",""))))</f>
        <v/>
      </c>
      <c r="M2890" s="6" t="str">
        <f>IF($D2890="","",IF(ISNA(MATCH($D2890,'Paramètres'!$M:$M,0)),"⚠ Type inconnu",IF($L2890="Crédit","",IFERROR(INDEX('Paramètres'!$O:$O,MATCH($D2890,'Paramètres'!$M:$M,0))&amp;"",""))))</f>
        <v/>
      </c>
      <c r="N2890" s="6" t="str">
        <f>IF($D2890="","",IFERROR(INDEX('Paramètres'!$Q:$Q,MATCH($D2890,'Paramètres'!$M:$M,0))&amp;"",""))</f>
        <v/>
      </c>
      <c r="O2890" s="6" t="str">
        <f>IF($A2890="","",IF(OR($J2890&lt;&gt;"x",$A2890&lt;=FinReleve),1,0))</f>
        <v/>
      </c>
      <c r="P2890" s="6" t="str">
        <f>IF($D2890="","",IF(AND($L2890="Crédit",OR(IFERROR(INDEX('Paramètres'!$O:$O,MATCH($D2890,'Paramètres'!$M:$M,0))&amp;"","")&lt;&gt;"",ISNUMBER(SEARCH("remboursement",IFERROR(INDEX('Paramètres'!$N:$N,MATCH($D2890,'Paramètres'!$M:$M,0))&amp;"",""))))),1,0))</f>
        <v/>
      </c>
      <c r="Q2890" s="6" t="str">
        <f>IF($K2890="","",IF(ISNUMBER(SEARCH("transfert-interne",IFERROR(INDEX('Paramètres'!$N:$N,MATCH($D2890,'Paramètres'!$M:$M,0))&amp;"",""))),0,IF($L2890="Débit",$K2890,IF($P2890=1,-$K2890,0))))</f>
        <v/>
      </c>
      <c r="R2890" s="6" t="str">
        <f>IF($K2890="","",IF($L2890="Crédit",$K2890,-$K2890))</f>
        <v/>
      </c>
      <c r="S2890" s="6" t="str">
        <f>IF($C2890="","",IFERROR(INDEX('Paramètres'!$H:$H,MATCH($C2890,'Paramètres'!$D:$D,0))&amp;"",""))</f>
        <v/>
      </c>
      <c r="T2890" s="6" t="str">
        <f>IF($K2890="","",IF($S2890="",0,IF(ISNUMBER(SEARCH("apport-exterieur",IFERROR(INDEX('Paramètres'!$N:$N,MATCH($D2890,'Paramètres'!$M:$M,0))&amp;"",""))),0,IF(OR(IFERROR(INDEX('Paramètres'!$I:$I,MATCH($C2890,'Paramètres'!$D:$D,0))&amp;"","")="Les deux",IFERROR(INDEX('Paramètres'!$I:$I,MATCH($C2890,'Paramètres'!$D:$D,0))&amp;"","")=IF($P2890=1,"Débit",$L2890)),-IF($P2890=1,-$K2890,$K2890),0))))</f>
        <v/>
      </c>
      <c r="U2890" s="6" t="str">
        <f>IF($K2890="","",IF(ISNUMBER(SEARCH("sortie-epargne",IFERROR(INDEX('Paramètres'!$N:$N,MATCH($D2890,'Paramètres'!$M:$M,0))&amp;"",""))),$K2890,0))</f>
        <v/>
      </c>
      <c r="V2890" s="6" t="str">
        <f>IF(AND($A2890&lt;&gt;"",$O2890=1,$L2890="Débit",N($Q2890)&gt;0,$A2890&gt;=Visualisation!$B$1,$A2890&lt;Visualisation!$D$1),MAX($V$1:V2889)+1,"")</f>
        <v/>
      </c>
    </row>
    <row r="2891" spans="1:22" x14ac:dyDescent="0.25">
      <c r="A2891" s="9"/>
      <c r="E2891" s="10"/>
      <c r="K2891" s="11" t="str">
        <f>IF($E2891="","",ROUND($E2891*IF(ISNA(MATCH($C2891,'Paramètres'!$D:$D,0)),1,IF(INDEX('Paramètres'!$J:$J,MATCH($C2891,'Paramètres'!$D:$D,0))="",1,INDEX('Paramètres'!$J:$J,MATCH($C2891,'Paramètres'!$D:$D,0)))),2))</f>
        <v/>
      </c>
      <c r="L2891" s="6" t="str">
        <f>IF($D2891="","",IF($F2891&lt;&gt;"",$F2891,IF(ISNA(MATCH($D2891,'Paramètres'!$M:$M,0)),"⚠ Type inconnu",IFERROR(INDEX('Paramètres'!$P:$P,MATCH($D2891,'Paramètres'!$M:$M,0))&amp;"",""))))</f>
        <v/>
      </c>
      <c r="M2891" s="6" t="str">
        <f>IF($D2891="","",IF(ISNA(MATCH($D2891,'Paramètres'!$M:$M,0)),"⚠ Type inconnu",IF($L2891="Crédit","",IFERROR(INDEX('Paramètres'!$O:$O,MATCH($D2891,'Paramètres'!$M:$M,0))&amp;"",""))))</f>
        <v/>
      </c>
      <c r="N2891" s="6" t="str">
        <f>IF($D2891="","",IFERROR(INDEX('Paramètres'!$Q:$Q,MATCH($D2891,'Paramètres'!$M:$M,0))&amp;"",""))</f>
        <v/>
      </c>
      <c r="O2891" s="6" t="str">
        <f>IF($A2891="","",IF(OR($J2891&lt;&gt;"x",$A2891&lt;=FinReleve),1,0))</f>
        <v/>
      </c>
      <c r="P2891" s="6" t="str">
        <f>IF($D2891="","",IF(AND($L2891="Crédit",OR(IFERROR(INDEX('Paramètres'!$O:$O,MATCH($D2891,'Paramètres'!$M:$M,0))&amp;"","")&lt;&gt;"",ISNUMBER(SEARCH("remboursement",IFERROR(INDEX('Paramètres'!$N:$N,MATCH($D2891,'Paramètres'!$M:$M,0))&amp;"",""))))),1,0))</f>
        <v/>
      </c>
      <c r="Q2891" s="6" t="str">
        <f>IF($K2891="","",IF(ISNUMBER(SEARCH("transfert-interne",IFERROR(INDEX('Paramètres'!$N:$N,MATCH($D2891,'Paramètres'!$M:$M,0))&amp;"",""))),0,IF($L2891="Débit",$K2891,IF($P2891=1,-$K2891,0))))</f>
        <v/>
      </c>
      <c r="R2891" s="6" t="str">
        <f>IF($K2891="","",IF($L2891="Crédit",$K2891,-$K2891))</f>
        <v/>
      </c>
      <c r="S2891" s="6" t="str">
        <f>IF($C2891="","",IFERROR(INDEX('Paramètres'!$H:$H,MATCH($C2891,'Paramètres'!$D:$D,0))&amp;"",""))</f>
        <v/>
      </c>
      <c r="T2891" s="6" t="str">
        <f>IF($K2891="","",IF($S2891="",0,IF(ISNUMBER(SEARCH("apport-exterieur",IFERROR(INDEX('Paramètres'!$N:$N,MATCH($D2891,'Paramètres'!$M:$M,0))&amp;"",""))),0,IF(OR(IFERROR(INDEX('Paramètres'!$I:$I,MATCH($C2891,'Paramètres'!$D:$D,0))&amp;"","")="Les deux",IFERROR(INDEX('Paramètres'!$I:$I,MATCH($C2891,'Paramètres'!$D:$D,0))&amp;"","")=IF($P2891=1,"Débit",$L2891)),-IF($P2891=1,-$K2891,$K2891),0))))</f>
        <v/>
      </c>
      <c r="U2891" s="6" t="str">
        <f>IF($K2891="","",IF(ISNUMBER(SEARCH("sortie-epargne",IFERROR(INDEX('Paramètres'!$N:$N,MATCH($D2891,'Paramètres'!$M:$M,0))&amp;"",""))),$K2891,0))</f>
        <v/>
      </c>
      <c r="V2891" s="6" t="str">
        <f>IF(AND($A2891&lt;&gt;"",$O2891=1,$L2891="Débit",N($Q2891)&gt;0,$A2891&gt;=Visualisation!$B$1,$A2891&lt;Visualisation!$D$1),MAX($V$1:V2890)+1,"")</f>
        <v/>
      </c>
    </row>
    <row r="2892" spans="1:22" x14ac:dyDescent="0.25">
      <c r="A2892" s="9"/>
      <c r="E2892" s="10"/>
      <c r="K2892" s="11" t="str">
        <f>IF($E2892="","",ROUND($E2892*IF(ISNA(MATCH($C2892,'Paramètres'!$D:$D,0)),1,IF(INDEX('Paramètres'!$J:$J,MATCH($C2892,'Paramètres'!$D:$D,0))="",1,INDEX('Paramètres'!$J:$J,MATCH($C2892,'Paramètres'!$D:$D,0)))),2))</f>
        <v/>
      </c>
      <c r="L2892" s="6" t="str">
        <f>IF($D2892="","",IF($F2892&lt;&gt;"",$F2892,IF(ISNA(MATCH($D2892,'Paramètres'!$M:$M,0)),"⚠ Type inconnu",IFERROR(INDEX('Paramètres'!$P:$P,MATCH($D2892,'Paramètres'!$M:$M,0))&amp;"",""))))</f>
        <v/>
      </c>
      <c r="M2892" s="6" t="str">
        <f>IF($D2892="","",IF(ISNA(MATCH($D2892,'Paramètres'!$M:$M,0)),"⚠ Type inconnu",IF($L2892="Crédit","",IFERROR(INDEX('Paramètres'!$O:$O,MATCH($D2892,'Paramètres'!$M:$M,0))&amp;"",""))))</f>
        <v/>
      </c>
      <c r="N2892" s="6" t="str">
        <f>IF($D2892="","",IFERROR(INDEX('Paramètres'!$Q:$Q,MATCH($D2892,'Paramètres'!$M:$M,0))&amp;"",""))</f>
        <v/>
      </c>
      <c r="O2892" s="6" t="str">
        <f>IF($A2892="","",IF(OR($J2892&lt;&gt;"x",$A2892&lt;=FinReleve),1,0))</f>
        <v/>
      </c>
      <c r="P2892" s="6" t="str">
        <f>IF($D2892="","",IF(AND($L2892="Crédit",OR(IFERROR(INDEX('Paramètres'!$O:$O,MATCH($D2892,'Paramètres'!$M:$M,0))&amp;"","")&lt;&gt;"",ISNUMBER(SEARCH("remboursement",IFERROR(INDEX('Paramètres'!$N:$N,MATCH($D2892,'Paramètres'!$M:$M,0))&amp;"",""))))),1,0))</f>
        <v/>
      </c>
      <c r="Q2892" s="6" t="str">
        <f>IF($K2892="","",IF(ISNUMBER(SEARCH("transfert-interne",IFERROR(INDEX('Paramètres'!$N:$N,MATCH($D2892,'Paramètres'!$M:$M,0))&amp;"",""))),0,IF($L2892="Débit",$K2892,IF($P2892=1,-$K2892,0))))</f>
        <v/>
      </c>
      <c r="R2892" s="6" t="str">
        <f>IF($K2892="","",IF($L2892="Crédit",$K2892,-$K2892))</f>
        <v/>
      </c>
      <c r="S2892" s="6" t="str">
        <f>IF($C2892="","",IFERROR(INDEX('Paramètres'!$H:$H,MATCH($C2892,'Paramètres'!$D:$D,0))&amp;"",""))</f>
        <v/>
      </c>
      <c r="T2892" s="6" t="str">
        <f>IF($K2892="","",IF($S2892="",0,IF(ISNUMBER(SEARCH("apport-exterieur",IFERROR(INDEX('Paramètres'!$N:$N,MATCH($D2892,'Paramètres'!$M:$M,0))&amp;"",""))),0,IF(OR(IFERROR(INDEX('Paramètres'!$I:$I,MATCH($C2892,'Paramètres'!$D:$D,0))&amp;"","")="Les deux",IFERROR(INDEX('Paramètres'!$I:$I,MATCH($C2892,'Paramètres'!$D:$D,0))&amp;"","")=IF($P2892=1,"Débit",$L2892)),-IF($P2892=1,-$K2892,$K2892),0))))</f>
        <v/>
      </c>
      <c r="U2892" s="6" t="str">
        <f>IF($K2892="","",IF(ISNUMBER(SEARCH("sortie-epargne",IFERROR(INDEX('Paramètres'!$N:$N,MATCH($D2892,'Paramètres'!$M:$M,0))&amp;"",""))),$K2892,0))</f>
        <v/>
      </c>
      <c r="V2892" s="6" t="str">
        <f>IF(AND($A2892&lt;&gt;"",$O2892=1,$L2892="Débit",N($Q2892)&gt;0,$A2892&gt;=Visualisation!$B$1,$A2892&lt;Visualisation!$D$1),MAX($V$1:V2891)+1,"")</f>
        <v/>
      </c>
    </row>
    <row r="2893" spans="1:22" x14ac:dyDescent="0.25">
      <c r="A2893" s="9"/>
      <c r="E2893" s="10"/>
      <c r="K2893" s="11" t="str">
        <f>IF($E2893="","",ROUND($E2893*IF(ISNA(MATCH($C2893,'Paramètres'!$D:$D,0)),1,IF(INDEX('Paramètres'!$J:$J,MATCH($C2893,'Paramètres'!$D:$D,0))="",1,INDEX('Paramètres'!$J:$J,MATCH($C2893,'Paramètres'!$D:$D,0)))),2))</f>
        <v/>
      </c>
      <c r="L2893" s="6" t="str">
        <f>IF($D2893="","",IF($F2893&lt;&gt;"",$F2893,IF(ISNA(MATCH($D2893,'Paramètres'!$M:$M,0)),"⚠ Type inconnu",IFERROR(INDEX('Paramètres'!$P:$P,MATCH($D2893,'Paramètres'!$M:$M,0))&amp;"",""))))</f>
        <v/>
      </c>
      <c r="M2893" s="6" t="str">
        <f>IF($D2893="","",IF(ISNA(MATCH($D2893,'Paramètres'!$M:$M,0)),"⚠ Type inconnu",IF($L2893="Crédit","",IFERROR(INDEX('Paramètres'!$O:$O,MATCH($D2893,'Paramètres'!$M:$M,0))&amp;"",""))))</f>
        <v/>
      </c>
      <c r="N2893" s="6" t="str">
        <f>IF($D2893="","",IFERROR(INDEX('Paramètres'!$Q:$Q,MATCH($D2893,'Paramètres'!$M:$M,0))&amp;"",""))</f>
        <v/>
      </c>
      <c r="O2893" s="6" t="str">
        <f>IF($A2893="","",IF(OR($J2893&lt;&gt;"x",$A2893&lt;=FinReleve),1,0))</f>
        <v/>
      </c>
      <c r="P2893" s="6" t="str">
        <f>IF($D2893="","",IF(AND($L2893="Crédit",OR(IFERROR(INDEX('Paramètres'!$O:$O,MATCH($D2893,'Paramètres'!$M:$M,0))&amp;"","")&lt;&gt;"",ISNUMBER(SEARCH("remboursement",IFERROR(INDEX('Paramètres'!$N:$N,MATCH($D2893,'Paramètres'!$M:$M,0))&amp;"",""))))),1,0))</f>
        <v/>
      </c>
      <c r="Q2893" s="6" t="str">
        <f>IF($K2893="","",IF(ISNUMBER(SEARCH("transfert-interne",IFERROR(INDEX('Paramètres'!$N:$N,MATCH($D2893,'Paramètres'!$M:$M,0))&amp;"",""))),0,IF($L2893="Débit",$K2893,IF($P2893=1,-$K2893,0))))</f>
        <v/>
      </c>
      <c r="R2893" s="6" t="str">
        <f>IF($K2893="","",IF($L2893="Crédit",$K2893,-$K2893))</f>
        <v/>
      </c>
      <c r="S2893" s="6" t="str">
        <f>IF($C2893="","",IFERROR(INDEX('Paramètres'!$H:$H,MATCH($C2893,'Paramètres'!$D:$D,0))&amp;"",""))</f>
        <v/>
      </c>
      <c r="T2893" s="6" t="str">
        <f>IF($K2893="","",IF($S2893="",0,IF(ISNUMBER(SEARCH("apport-exterieur",IFERROR(INDEX('Paramètres'!$N:$N,MATCH($D2893,'Paramètres'!$M:$M,0))&amp;"",""))),0,IF(OR(IFERROR(INDEX('Paramètres'!$I:$I,MATCH($C2893,'Paramètres'!$D:$D,0))&amp;"","")="Les deux",IFERROR(INDEX('Paramètres'!$I:$I,MATCH($C2893,'Paramètres'!$D:$D,0))&amp;"","")=IF($P2893=1,"Débit",$L2893)),-IF($P2893=1,-$K2893,$K2893),0))))</f>
        <v/>
      </c>
      <c r="U2893" s="6" t="str">
        <f>IF($K2893="","",IF(ISNUMBER(SEARCH("sortie-epargne",IFERROR(INDEX('Paramètres'!$N:$N,MATCH($D2893,'Paramètres'!$M:$M,0))&amp;"",""))),$K2893,0))</f>
        <v/>
      </c>
      <c r="V2893" s="6" t="str">
        <f>IF(AND($A2893&lt;&gt;"",$O2893=1,$L2893="Débit",N($Q2893)&gt;0,$A2893&gt;=Visualisation!$B$1,$A2893&lt;Visualisation!$D$1),MAX($V$1:V2892)+1,"")</f>
        <v/>
      </c>
    </row>
    <row r="2894" spans="1:22" x14ac:dyDescent="0.25">
      <c r="A2894" s="9"/>
      <c r="E2894" s="10"/>
      <c r="K2894" s="11" t="str">
        <f>IF($E2894="","",ROUND($E2894*IF(ISNA(MATCH($C2894,'Paramètres'!$D:$D,0)),1,IF(INDEX('Paramètres'!$J:$J,MATCH($C2894,'Paramètres'!$D:$D,0))="",1,INDEX('Paramètres'!$J:$J,MATCH($C2894,'Paramètres'!$D:$D,0)))),2))</f>
        <v/>
      </c>
      <c r="L2894" s="6" t="str">
        <f>IF($D2894="","",IF($F2894&lt;&gt;"",$F2894,IF(ISNA(MATCH($D2894,'Paramètres'!$M:$M,0)),"⚠ Type inconnu",IFERROR(INDEX('Paramètres'!$P:$P,MATCH($D2894,'Paramètres'!$M:$M,0))&amp;"",""))))</f>
        <v/>
      </c>
      <c r="M2894" s="6" t="str">
        <f>IF($D2894="","",IF(ISNA(MATCH($D2894,'Paramètres'!$M:$M,0)),"⚠ Type inconnu",IF($L2894="Crédit","",IFERROR(INDEX('Paramètres'!$O:$O,MATCH($D2894,'Paramètres'!$M:$M,0))&amp;"",""))))</f>
        <v/>
      </c>
      <c r="N2894" s="6" t="str">
        <f>IF($D2894="","",IFERROR(INDEX('Paramètres'!$Q:$Q,MATCH($D2894,'Paramètres'!$M:$M,0))&amp;"",""))</f>
        <v/>
      </c>
      <c r="O2894" s="6" t="str">
        <f>IF($A2894="","",IF(OR($J2894&lt;&gt;"x",$A2894&lt;=FinReleve),1,0))</f>
        <v/>
      </c>
      <c r="P2894" s="6" t="str">
        <f>IF($D2894="","",IF(AND($L2894="Crédit",OR(IFERROR(INDEX('Paramètres'!$O:$O,MATCH($D2894,'Paramètres'!$M:$M,0))&amp;"","")&lt;&gt;"",ISNUMBER(SEARCH("remboursement",IFERROR(INDEX('Paramètres'!$N:$N,MATCH($D2894,'Paramètres'!$M:$M,0))&amp;"",""))))),1,0))</f>
        <v/>
      </c>
      <c r="Q2894" s="6" t="str">
        <f>IF($K2894="","",IF(ISNUMBER(SEARCH("transfert-interne",IFERROR(INDEX('Paramètres'!$N:$N,MATCH($D2894,'Paramètres'!$M:$M,0))&amp;"",""))),0,IF($L2894="Débit",$K2894,IF($P2894=1,-$K2894,0))))</f>
        <v/>
      </c>
      <c r="R2894" s="6" t="str">
        <f>IF($K2894="","",IF($L2894="Crédit",$K2894,-$K2894))</f>
        <v/>
      </c>
      <c r="S2894" s="6" t="str">
        <f>IF($C2894="","",IFERROR(INDEX('Paramètres'!$H:$H,MATCH($C2894,'Paramètres'!$D:$D,0))&amp;"",""))</f>
        <v/>
      </c>
      <c r="T2894" s="6" t="str">
        <f>IF($K2894="","",IF($S2894="",0,IF(ISNUMBER(SEARCH("apport-exterieur",IFERROR(INDEX('Paramètres'!$N:$N,MATCH($D2894,'Paramètres'!$M:$M,0))&amp;"",""))),0,IF(OR(IFERROR(INDEX('Paramètres'!$I:$I,MATCH($C2894,'Paramètres'!$D:$D,0))&amp;"","")="Les deux",IFERROR(INDEX('Paramètres'!$I:$I,MATCH($C2894,'Paramètres'!$D:$D,0))&amp;"","")=IF($P2894=1,"Débit",$L2894)),-IF($P2894=1,-$K2894,$K2894),0))))</f>
        <v/>
      </c>
      <c r="U2894" s="6" t="str">
        <f>IF($K2894="","",IF(ISNUMBER(SEARCH("sortie-epargne",IFERROR(INDEX('Paramètres'!$N:$N,MATCH($D2894,'Paramètres'!$M:$M,0))&amp;"",""))),$K2894,0))</f>
        <v/>
      </c>
      <c r="V2894" s="6" t="str">
        <f>IF(AND($A2894&lt;&gt;"",$O2894=1,$L2894="Débit",N($Q2894)&gt;0,$A2894&gt;=Visualisation!$B$1,$A2894&lt;Visualisation!$D$1),MAX($V$1:V2893)+1,"")</f>
        <v/>
      </c>
    </row>
    <row r="2895" spans="1:22" x14ac:dyDescent="0.25">
      <c r="A2895" s="9"/>
      <c r="E2895" s="10"/>
      <c r="K2895" s="11" t="str">
        <f>IF($E2895="","",ROUND($E2895*IF(ISNA(MATCH($C2895,'Paramètres'!$D:$D,0)),1,IF(INDEX('Paramètres'!$J:$J,MATCH($C2895,'Paramètres'!$D:$D,0))="",1,INDEX('Paramètres'!$J:$J,MATCH($C2895,'Paramètres'!$D:$D,0)))),2))</f>
        <v/>
      </c>
      <c r="L2895" s="6" t="str">
        <f>IF($D2895="","",IF($F2895&lt;&gt;"",$F2895,IF(ISNA(MATCH($D2895,'Paramètres'!$M:$M,0)),"⚠ Type inconnu",IFERROR(INDEX('Paramètres'!$P:$P,MATCH($D2895,'Paramètres'!$M:$M,0))&amp;"",""))))</f>
        <v/>
      </c>
      <c r="M2895" s="6" t="str">
        <f>IF($D2895="","",IF(ISNA(MATCH($D2895,'Paramètres'!$M:$M,0)),"⚠ Type inconnu",IF($L2895="Crédit","",IFERROR(INDEX('Paramètres'!$O:$O,MATCH($D2895,'Paramètres'!$M:$M,0))&amp;"",""))))</f>
        <v/>
      </c>
      <c r="N2895" s="6" t="str">
        <f>IF($D2895="","",IFERROR(INDEX('Paramètres'!$Q:$Q,MATCH($D2895,'Paramètres'!$M:$M,0))&amp;"",""))</f>
        <v/>
      </c>
      <c r="O2895" s="6" t="str">
        <f>IF($A2895="","",IF(OR($J2895&lt;&gt;"x",$A2895&lt;=FinReleve),1,0))</f>
        <v/>
      </c>
      <c r="P2895" s="6" t="str">
        <f>IF($D2895="","",IF(AND($L2895="Crédit",OR(IFERROR(INDEX('Paramètres'!$O:$O,MATCH($D2895,'Paramètres'!$M:$M,0))&amp;"","")&lt;&gt;"",ISNUMBER(SEARCH("remboursement",IFERROR(INDEX('Paramètres'!$N:$N,MATCH($D2895,'Paramètres'!$M:$M,0))&amp;"",""))))),1,0))</f>
        <v/>
      </c>
      <c r="Q2895" s="6" t="str">
        <f>IF($K2895="","",IF(ISNUMBER(SEARCH("transfert-interne",IFERROR(INDEX('Paramètres'!$N:$N,MATCH($D2895,'Paramètres'!$M:$M,0))&amp;"",""))),0,IF($L2895="Débit",$K2895,IF($P2895=1,-$K2895,0))))</f>
        <v/>
      </c>
      <c r="R2895" s="6" t="str">
        <f>IF($K2895="","",IF($L2895="Crédit",$K2895,-$K2895))</f>
        <v/>
      </c>
      <c r="S2895" s="6" t="str">
        <f>IF($C2895="","",IFERROR(INDEX('Paramètres'!$H:$H,MATCH($C2895,'Paramètres'!$D:$D,0))&amp;"",""))</f>
        <v/>
      </c>
      <c r="T2895" s="6" t="str">
        <f>IF($K2895="","",IF($S2895="",0,IF(ISNUMBER(SEARCH("apport-exterieur",IFERROR(INDEX('Paramètres'!$N:$N,MATCH($D2895,'Paramètres'!$M:$M,0))&amp;"",""))),0,IF(OR(IFERROR(INDEX('Paramètres'!$I:$I,MATCH($C2895,'Paramètres'!$D:$D,0))&amp;"","")="Les deux",IFERROR(INDEX('Paramètres'!$I:$I,MATCH($C2895,'Paramètres'!$D:$D,0))&amp;"","")=IF($P2895=1,"Débit",$L2895)),-IF($P2895=1,-$K2895,$K2895),0))))</f>
        <v/>
      </c>
      <c r="U2895" s="6" t="str">
        <f>IF($K2895="","",IF(ISNUMBER(SEARCH("sortie-epargne",IFERROR(INDEX('Paramètres'!$N:$N,MATCH($D2895,'Paramètres'!$M:$M,0))&amp;"",""))),$K2895,0))</f>
        <v/>
      </c>
      <c r="V2895" s="6" t="str">
        <f>IF(AND($A2895&lt;&gt;"",$O2895=1,$L2895="Débit",N($Q2895)&gt;0,$A2895&gt;=Visualisation!$B$1,$A2895&lt;Visualisation!$D$1),MAX($V$1:V2894)+1,"")</f>
        <v/>
      </c>
    </row>
    <row r="2896" spans="1:22" x14ac:dyDescent="0.25">
      <c r="A2896" s="9"/>
      <c r="E2896" s="10"/>
      <c r="K2896" s="11" t="str">
        <f>IF($E2896="","",ROUND($E2896*IF(ISNA(MATCH($C2896,'Paramètres'!$D:$D,0)),1,IF(INDEX('Paramètres'!$J:$J,MATCH($C2896,'Paramètres'!$D:$D,0))="",1,INDEX('Paramètres'!$J:$J,MATCH($C2896,'Paramètres'!$D:$D,0)))),2))</f>
        <v/>
      </c>
      <c r="L2896" s="6" t="str">
        <f>IF($D2896="","",IF($F2896&lt;&gt;"",$F2896,IF(ISNA(MATCH($D2896,'Paramètres'!$M:$M,0)),"⚠ Type inconnu",IFERROR(INDEX('Paramètres'!$P:$P,MATCH($D2896,'Paramètres'!$M:$M,0))&amp;"",""))))</f>
        <v/>
      </c>
      <c r="M2896" s="6" t="str">
        <f>IF($D2896="","",IF(ISNA(MATCH($D2896,'Paramètres'!$M:$M,0)),"⚠ Type inconnu",IF($L2896="Crédit","",IFERROR(INDEX('Paramètres'!$O:$O,MATCH($D2896,'Paramètres'!$M:$M,0))&amp;"",""))))</f>
        <v/>
      </c>
      <c r="N2896" s="6" t="str">
        <f>IF($D2896="","",IFERROR(INDEX('Paramètres'!$Q:$Q,MATCH($D2896,'Paramètres'!$M:$M,0))&amp;"",""))</f>
        <v/>
      </c>
      <c r="O2896" s="6" t="str">
        <f>IF($A2896="","",IF(OR($J2896&lt;&gt;"x",$A2896&lt;=FinReleve),1,0))</f>
        <v/>
      </c>
      <c r="P2896" s="6" t="str">
        <f>IF($D2896="","",IF(AND($L2896="Crédit",OR(IFERROR(INDEX('Paramètres'!$O:$O,MATCH($D2896,'Paramètres'!$M:$M,0))&amp;"","")&lt;&gt;"",ISNUMBER(SEARCH("remboursement",IFERROR(INDEX('Paramètres'!$N:$N,MATCH($D2896,'Paramètres'!$M:$M,0))&amp;"",""))))),1,0))</f>
        <v/>
      </c>
      <c r="Q2896" s="6" t="str">
        <f>IF($K2896="","",IF(ISNUMBER(SEARCH("transfert-interne",IFERROR(INDEX('Paramètres'!$N:$N,MATCH($D2896,'Paramètres'!$M:$M,0))&amp;"",""))),0,IF($L2896="Débit",$K2896,IF($P2896=1,-$K2896,0))))</f>
        <v/>
      </c>
      <c r="R2896" s="6" t="str">
        <f>IF($K2896="","",IF($L2896="Crédit",$K2896,-$K2896))</f>
        <v/>
      </c>
      <c r="S2896" s="6" t="str">
        <f>IF($C2896="","",IFERROR(INDEX('Paramètres'!$H:$H,MATCH($C2896,'Paramètres'!$D:$D,0))&amp;"",""))</f>
        <v/>
      </c>
      <c r="T2896" s="6" t="str">
        <f>IF($K2896="","",IF($S2896="",0,IF(ISNUMBER(SEARCH("apport-exterieur",IFERROR(INDEX('Paramètres'!$N:$N,MATCH($D2896,'Paramètres'!$M:$M,0))&amp;"",""))),0,IF(OR(IFERROR(INDEX('Paramètres'!$I:$I,MATCH($C2896,'Paramètres'!$D:$D,0))&amp;"","")="Les deux",IFERROR(INDEX('Paramètres'!$I:$I,MATCH($C2896,'Paramètres'!$D:$D,0))&amp;"","")=IF($P2896=1,"Débit",$L2896)),-IF($P2896=1,-$K2896,$K2896),0))))</f>
        <v/>
      </c>
      <c r="U2896" s="6" t="str">
        <f>IF($K2896="","",IF(ISNUMBER(SEARCH("sortie-epargne",IFERROR(INDEX('Paramètres'!$N:$N,MATCH($D2896,'Paramètres'!$M:$M,0))&amp;"",""))),$K2896,0))</f>
        <v/>
      </c>
      <c r="V2896" s="6" t="str">
        <f>IF(AND($A2896&lt;&gt;"",$O2896=1,$L2896="Débit",N($Q2896)&gt;0,$A2896&gt;=Visualisation!$B$1,$A2896&lt;Visualisation!$D$1),MAX($V$1:V2895)+1,"")</f>
        <v/>
      </c>
    </row>
    <row r="2897" spans="1:22" x14ac:dyDescent="0.25">
      <c r="A2897" s="9"/>
      <c r="E2897" s="10"/>
      <c r="K2897" s="11" t="str">
        <f>IF($E2897="","",ROUND($E2897*IF(ISNA(MATCH($C2897,'Paramètres'!$D:$D,0)),1,IF(INDEX('Paramètres'!$J:$J,MATCH($C2897,'Paramètres'!$D:$D,0))="",1,INDEX('Paramètres'!$J:$J,MATCH($C2897,'Paramètres'!$D:$D,0)))),2))</f>
        <v/>
      </c>
      <c r="L2897" s="6" t="str">
        <f>IF($D2897="","",IF($F2897&lt;&gt;"",$F2897,IF(ISNA(MATCH($D2897,'Paramètres'!$M:$M,0)),"⚠ Type inconnu",IFERROR(INDEX('Paramètres'!$P:$P,MATCH($D2897,'Paramètres'!$M:$M,0))&amp;"",""))))</f>
        <v/>
      </c>
      <c r="M2897" s="6" t="str">
        <f>IF($D2897="","",IF(ISNA(MATCH($D2897,'Paramètres'!$M:$M,0)),"⚠ Type inconnu",IF($L2897="Crédit","",IFERROR(INDEX('Paramètres'!$O:$O,MATCH($D2897,'Paramètres'!$M:$M,0))&amp;"",""))))</f>
        <v/>
      </c>
      <c r="N2897" s="6" t="str">
        <f>IF($D2897="","",IFERROR(INDEX('Paramètres'!$Q:$Q,MATCH($D2897,'Paramètres'!$M:$M,0))&amp;"",""))</f>
        <v/>
      </c>
      <c r="O2897" s="6" t="str">
        <f>IF($A2897="","",IF(OR($J2897&lt;&gt;"x",$A2897&lt;=FinReleve),1,0))</f>
        <v/>
      </c>
      <c r="P2897" s="6" t="str">
        <f>IF($D2897="","",IF(AND($L2897="Crédit",OR(IFERROR(INDEX('Paramètres'!$O:$O,MATCH($D2897,'Paramètres'!$M:$M,0))&amp;"","")&lt;&gt;"",ISNUMBER(SEARCH("remboursement",IFERROR(INDEX('Paramètres'!$N:$N,MATCH($D2897,'Paramètres'!$M:$M,0))&amp;"",""))))),1,0))</f>
        <v/>
      </c>
      <c r="Q2897" s="6" t="str">
        <f>IF($K2897="","",IF(ISNUMBER(SEARCH("transfert-interne",IFERROR(INDEX('Paramètres'!$N:$N,MATCH($D2897,'Paramètres'!$M:$M,0))&amp;"",""))),0,IF($L2897="Débit",$K2897,IF($P2897=1,-$K2897,0))))</f>
        <v/>
      </c>
      <c r="R2897" s="6" t="str">
        <f>IF($K2897="","",IF($L2897="Crédit",$K2897,-$K2897))</f>
        <v/>
      </c>
      <c r="S2897" s="6" t="str">
        <f>IF($C2897="","",IFERROR(INDEX('Paramètres'!$H:$H,MATCH($C2897,'Paramètres'!$D:$D,0))&amp;"",""))</f>
        <v/>
      </c>
      <c r="T2897" s="6" t="str">
        <f>IF($K2897="","",IF($S2897="",0,IF(ISNUMBER(SEARCH("apport-exterieur",IFERROR(INDEX('Paramètres'!$N:$N,MATCH($D2897,'Paramètres'!$M:$M,0))&amp;"",""))),0,IF(OR(IFERROR(INDEX('Paramètres'!$I:$I,MATCH($C2897,'Paramètres'!$D:$D,0))&amp;"","")="Les deux",IFERROR(INDEX('Paramètres'!$I:$I,MATCH($C2897,'Paramètres'!$D:$D,0))&amp;"","")=IF($P2897=1,"Débit",$L2897)),-IF($P2897=1,-$K2897,$K2897),0))))</f>
        <v/>
      </c>
      <c r="U2897" s="6" t="str">
        <f>IF($K2897="","",IF(ISNUMBER(SEARCH("sortie-epargne",IFERROR(INDEX('Paramètres'!$N:$N,MATCH($D2897,'Paramètres'!$M:$M,0))&amp;"",""))),$K2897,0))</f>
        <v/>
      </c>
      <c r="V2897" s="6" t="str">
        <f>IF(AND($A2897&lt;&gt;"",$O2897=1,$L2897="Débit",N($Q2897)&gt;0,$A2897&gt;=Visualisation!$B$1,$A2897&lt;Visualisation!$D$1),MAX($V$1:V2896)+1,"")</f>
        <v/>
      </c>
    </row>
    <row r="2898" spans="1:22" x14ac:dyDescent="0.25">
      <c r="A2898" s="9"/>
      <c r="E2898" s="10"/>
      <c r="K2898" s="11" t="str">
        <f>IF($E2898="","",ROUND($E2898*IF(ISNA(MATCH($C2898,'Paramètres'!$D:$D,0)),1,IF(INDEX('Paramètres'!$J:$J,MATCH($C2898,'Paramètres'!$D:$D,0))="",1,INDEX('Paramètres'!$J:$J,MATCH($C2898,'Paramètres'!$D:$D,0)))),2))</f>
        <v/>
      </c>
      <c r="L2898" s="6" t="str">
        <f>IF($D2898="","",IF($F2898&lt;&gt;"",$F2898,IF(ISNA(MATCH($D2898,'Paramètres'!$M:$M,0)),"⚠ Type inconnu",IFERROR(INDEX('Paramètres'!$P:$P,MATCH($D2898,'Paramètres'!$M:$M,0))&amp;"",""))))</f>
        <v/>
      </c>
      <c r="M2898" s="6" t="str">
        <f>IF($D2898="","",IF(ISNA(MATCH($D2898,'Paramètres'!$M:$M,0)),"⚠ Type inconnu",IF($L2898="Crédit","",IFERROR(INDEX('Paramètres'!$O:$O,MATCH($D2898,'Paramètres'!$M:$M,0))&amp;"",""))))</f>
        <v/>
      </c>
      <c r="N2898" s="6" t="str">
        <f>IF($D2898="","",IFERROR(INDEX('Paramètres'!$Q:$Q,MATCH($D2898,'Paramètres'!$M:$M,0))&amp;"",""))</f>
        <v/>
      </c>
      <c r="O2898" s="6" t="str">
        <f>IF($A2898="","",IF(OR($J2898&lt;&gt;"x",$A2898&lt;=FinReleve),1,0))</f>
        <v/>
      </c>
      <c r="P2898" s="6" t="str">
        <f>IF($D2898="","",IF(AND($L2898="Crédit",OR(IFERROR(INDEX('Paramètres'!$O:$O,MATCH($D2898,'Paramètres'!$M:$M,0))&amp;"","")&lt;&gt;"",ISNUMBER(SEARCH("remboursement",IFERROR(INDEX('Paramètres'!$N:$N,MATCH($D2898,'Paramètres'!$M:$M,0))&amp;"",""))))),1,0))</f>
        <v/>
      </c>
      <c r="Q2898" s="6" t="str">
        <f>IF($K2898="","",IF(ISNUMBER(SEARCH("transfert-interne",IFERROR(INDEX('Paramètres'!$N:$N,MATCH($D2898,'Paramètres'!$M:$M,0))&amp;"",""))),0,IF($L2898="Débit",$K2898,IF($P2898=1,-$K2898,0))))</f>
        <v/>
      </c>
      <c r="R2898" s="6" t="str">
        <f>IF($K2898="","",IF($L2898="Crédit",$K2898,-$K2898))</f>
        <v/>
      </c>
      <c r="S2898" s="6" t="str">
        <f>IF($C2898="","",IFERROR(INDEX('Paramètres'!$H:$H,MATCH($C2898,'Paramètres'!$D:$D,0))&amp;"",""))</f>
        <v/>
      </c>
      <c r="T2898" s="6" t="str">
        <f>IF($K2898="","",IF($S2898="",0,IF(ISNUMBER(SEARCH("apport-exterieur",IFERROR(INDEX('Paramètres'!$N:$N,MATCH($D2898,'Paramètres'!$M:$M,0))&amp;"",""))),0,IF(OR(IFERROR(INDEX('Paramètres'!$I:$I,MATCH($C2898,'Paramètres'!$D:$D,0))&amp;"","")="Les deux",IFERROR(INDEX('Paramètres'!$I:$I,MATCH($C2898,'Paramètres'!$D:$D,0))&amp;"","")=IF($P2898=1,"Débit",$L2898)),-IF($P2898=1,-$K2898,$K2898),0))))</f>
        <v/>
      </c>
      <c r="U2898" s="6" t="str">
        <f>IF($K2898="","",IF(ISNUMBER(SEARCH("sortie-epargne",IFERROR(INDEX('Paramètres'!$N:$N,MATCH($D2898,'Paramètres'!$M:$M,0))&amp;"",""))),$K2898,0))</f>
        <v/>
      </c>
      <c r="V2898" s="6" t="str">
        <f>IF(AND($A2898&lt;&gt;"",$O2898=1,$L2898="Débit",N($Q2898)&gt;0,$A2898&gt;=Visualisation!$B$1,$A2898&lt;Visualisation!$D$1),MAX($V$1:V2897)+1,"")</f>
        <v/>
      </c>
    </row>
    <row r="2899" spans="1:22" x14ac:dyDescent="0.25">
      <c r="A2899" s="9"/>
      <c r="E2899" s="10"/>
      <c r="K2899" s="11" t="str">
        <f>IF($E2899="","",ROUND($E2899*IF(ISNA(MATCH($C2899,'Paramètres'!$D:$D,0)),1,IF(INDEX('Paramètres'!$J:$J,MATCH($C2899,'Paramètres'!$D:$D,0))="",1,INDEX('Paramètres'!$J:$J,MATCH($C2899,'Paramètres'!$D:$D,0)))),2))</f>
        <v/>
      </c>
      <c r="L2899" s="6" t="str">
        <f>IF($D2899="","",IF($F2899&lt;&gt;"",$F2899,IF(ISNA(MATCH($D2899,'Paramètres'!$M:$M,0)),"⚠ Type inconnu",IFERROR(INDEX('Paramètres'!$P:$P,MATCH($D2899,'Paramètres'!$M:$M,0))&amp;"",""))))</f>
        <v/>
      </c>
      <c r="M2899" s="6" t="str">
        <f>IF($D2899="","",IF(ISNA(MATCH($D2899,'Paramètres'!$M:$M,0)),"⚠ Type inconnu",IF($L2899="Crédit","",IFERROR(INDEX('Paramètres'!$O:$O,MATCH($D2899,'Paramètres'!$M:$M,0))&amp;"",""))))</f>
        <v/>
      </c>
      <c r="N2899" s="6" t="str">
        <f>IF($D2899="","",IFERROR(INDEX('Paramètres'!$Q:$Q,MATCH($D2899,'Paramètres'!$M:$M,0))&amp;"",""))</f>
        <v/>
      </c>
      <c r="O2899" s="6" t="str">
        <f>IF($A2899="","",IF(OR($J2899&lt;&gt;"x",$A2899&lt;=FinReleve),1,0))</f>
        <v/>
      </c>
      <c r="P2899" s="6" t="str">
        <f>IF($D2899="","",IF(AND($L2899="Crédit",OR(IFERROR(INDEX('Paramètres'!$O:$O,MATCH($D2899,'Paramètres'!$M:$M,0))&amp;"","")&lt;&gt;"",ISNUMBER(SEARCH("remboursement",IFERROR(INDEX('Paramètres'!$N:$N,MATCH($D2899,'Paramètres'!$M:$M,0))&amp;"",""))))),1,0))</f>
        <v/>
      </c>
      <c r="Q2899" s="6" t="str">
        <f>IF($K2899="","",IF(ISNUMBER(SEARCH("transfert-interne",IFERROR(INDEX('Paramètres'!$N:$N,MATCH($D2899,'Paramètres'!$M:$M,0))&amp;"",""))),0,IF($L2899="Débit",$K2899,IF($P2899=1,-$K2899,0))))</f>
        <v/>
      </c>
      <c r="R2899" s="6" t="str">
        <f>IF($K2899="","",IF($L2899="Crédit",$K2899,-$K2899))</f>
        <v/>
      </c>
      <c r="S2899" s="6" t="str">
        <f>IF($C2899="","",IFERROR(INDEX('Paramètres'!$H:$H,MATCH($C2899,'Paramètres'!$D:$D,0))&amp;"",""))</f>
        <v/>
      </c>
      <c r="T2899" s="6" t="str">
        <f>IF($K2899="","",IF($S2899="",0,IF(ISNUMBER(SEARCH("apport-exterieur",IFERROR(INDEX('Paramètres'!$N:$N,MATCH($D2899,'Paramètres'!$M:$M,0))&amp;"",""))),0,IF(OR(IFERROR(INDEX('Paramètres'!$I:$I,MATCH($C2899,'Paramètres'!$D:$D,0))&amp;"","")="Les deux",IFERROR(INDEX('Paramètres'!$I:$I,MATCH($C2899,'Paramètres'!$D:$D,0))&amp;"","")=IF($P2899=1,"Débit",$L2899)),-IF($P2899=1,-$K2899,$K2899),0))))</f>
        <v/>
      </c>
      <c r="U2899" s="6" t="str">
        <f>IF($K2899="","",IF(ISNUMBER(SEARCH("sortie-epargne",IFERROR(INDEX('Paramètres'!$N:$N,MATCH($D2899,'Paramètres'!$M:$M,0))&amp;"",""))),$K2899,0))</f>
        <v/>
      </c>
      <c r="V2899" s="6" t="str">
        <f>IF(AND($A2899&lt;&gt;"",$O2899=1,$L2899="Débit",N($Q2899)&gt;0,$A2899&gt;=Visualisation!$B$1,$A2899&lt;Visualisation!$D$1),MAX($V$1:V2898)+1,"")</f>
        <v/>
      </c>
    </row>
    <row r="2900" spans="1:22" x14ac:dyDescent="0.25">
      <c r="A2900" s="9"/>
      <c r="E2900" s="10"/>
      <c r="K2900" s="11" t="str">
        <f>IF($E2900="","",ROUND($E2900*IF(ISNA(MATCH($C2900,'Paramètres'!$D:$D,0)),1,IF(INDEX('Paramètres'!$J:$J,MATCH($C2900,'Paramètres'!$D:$D,0))="",1,INDEX('Paramètres'!$J:$J,MATCH($C2900,'Paramètres'!$D:$D,0)))),2))</f>
        <v/>
      </c>
      <c r="L2900" s="6" t="str">
        <f>IF($D2900="","",IF($F2900&lt;&gt;"",$F2900,IF(ISNA(MATCH($D2900,'Paramètres'!$M:$M,0)),"⚠ Type inconnu",IFERROR(INDEX('Paramètres'!$P:$P,MATCH($D2900,'Paramètres'!$M:$M,0))&amp;"",""))))</f>
        <v/>
      </c>
      <c r="M2900" s="6" t="str">
        <f>IF($D2900="","",IF(ISNA(MATCH($D2900,'Paramètres'!$M:$M,0)),"⚠ Type inconnu",IF($L2900="Crédit","",IFERROR(INDEX('Paramètres'!$O:$O,MATCH($D2900,'Paramètres'!$M:$M,0))&amp;"",""))))</f>
        <v/>
      </c>
      <c r="N2900" s="6" t="str">
        <f>IF($D2900="","",IFERROR(INDEX('Paramètres'!$Q:$Q,MATCH($D2900,'Paramètres'!$M:$M,0))&amp;"",""))</f>
        <v/>
      </c>
      <c r="O2900" s="6" t="str">
        <f>IF($A2900="","",IF(OR($J2900&lt;&gt;"x",$A2900&lt;=FinReleve),1,0))</f>
        <v/>
      </c>
      <c r="P2900" s="6" t="str">
        <f>IF($D2900="","",IF(AND($L2900="Crédit",OR(IFERROR(INDEX('Paramètres'!$O:$O,MATCH($D2900,'Paramètres'!$M:$M,0))&amp;"","")&lt;&gt;"",ISNUMBER(SEARCH("remboursement",IFERROR(INDEX('Paramètres'!$N:$N,MATCH($D2900,'Paramètres'!$M:$M,0))&amp;"",""))))),1,0))</f>
        <v/>
      </c>
      <c r="Q2900" s="6" t="str">
        <f>IF($K2900="","",IF(ISNUMBER(SEARCH("transfert-interne",IFERROR(INDEX('Paramètres'!$N:$N,MATCH($D2900,'Paramètres'!$M:$M,0))&amp;"",""))),0,IF($L2900="Débit",$K2900,IF($P2900=1,-$K2900,0))))</f>
        <v/>
      </c>
      <c r="R2900" s="6" t="str">
        <f>IF($K2900="","",IF($L2900="Crédit",$K2900,-$K2900))</f>
        <v/>
      </c>
      <c r="S2900" s="6" t="str">
        <f>IF($C2900="","",IFERROR(INDEX('Paramètres'!$H:$H,MATCH($C2900,'Paramètres'!$D:$D,0))&amp;"",""))</f>
        <v/>
      </c>
      <c r="T2900" s="6" t="str">
        <f>IF($K2900="","",IF($S2900="",0,IF(ISNUMBER(SEARCH("apport-exterieur",IFERROR(INDEX('Paramètres'!$N:$N,MATCH($D2900,'Paramètres'!$M:$M,0))&amp;"",""))),0,IF(OR(IFERROR(INDEX('Paramètres'!$I:$I,MATCH($C2900,'Paramètres'!$D:$D,0))&amp;"","")="Les deux",IFERROR(INDEX('Paramètres'!$I:$I,MATCH($C2900,'Paramètres'!$D:$D,0))&amp;"","")=IF($P2900=1,"Débit",$L2900)),-IF($P2900=1,-$K2900,$K2900),0))))</f>
        <v/>
      </c>
      <c r="U2900" s="6" t="str">
        <f>IF($K2900="","",IF(ISNUMBER(SEARCH("sortie-epargne",IFERROR(INDEX('Paramètres'!$N:$N,MATCH($D2900,'Paramètres'!$M:$M,0))&amp;"",""))),$K2900,0))</f>
        <v/>
      </c>
      <c r="V2900" s="6" t="str">
        <f>IF(AND($A2900&lt;&gt;"",$O2900=1,$L2900="Débit",N($Q2900)&gt;0,$A2900&gt;=Visualisation!$B$1,$A2900&lt;Visualisation!$D$1),MAX($V$1:V2899)+1,"")</f>
        <v/>
      </c>
    </row>
    <row r="2901" spans="1:22" x14ac:dyDescent="0.25">
      <c r="A2901" s="9"/>
      <c r="E2901" s="10"/>
      <c r="K2901" s="11" t="str">
        <f>IF($E2901="","",ROUND($E2901*IF(ISNA(MATCH($C2901,'Paramètres'!$D:$D,0)),1,IF(INDEX('Paramètres'!$J:$J,MATCH($C2901,'Paramètres'!$D:$D,0))="",1,INDEX('Paramètres'!$J:$J,MATCH($C2901,'Paramètres'!$D:$D,0)))),2))</f>
        <v/>
      </c>
      <c r="L2901" s="6" t="str">
        <f>IF($D2901="","",IF($F2901&lt;&gt;"",$F2901,IF(ISNA(MATCH($D2901,'Paramètres'!$M:$M,0)),"⚠ Type inconnu",IFERROR(INDEX('Paramètres'!$P:$P,MATCH($D2901,'Paramètres'!$M:$M,0))&amp;"",""))))</f>
        <v/>
      </c>
      <c r="M2901" s="6" t="str">
        <f>IF($D2901="","",IF(ISNA(MATCH($D2901,'Paramètres'!$M:$M,0)),"⚠ Type inconnu",IF($L2901="Crédit","",IFERROR(INDEX('Paramètres'!$O:$O,MATCH($D2901,'Paramètres'!$M:$M,0))&amp;"",""))))</f>
        <v/>
      </c>
      <c r="N2901" s="6" t="str">
        <f>IF($D2901="","",IFERROR(INDEX('Paramètres'!$Q:$Q,MATCH($D2901,'Paramètres'!$M:$M,0))&amp;"",""))</f>
        <v/>
      </c>
      <c r="O2901" s="6" t="str">
        <f>IF($A2901="","",IF(OR($J2901&lt;&gt;"x",$A2901&lt;=FinReleve),1,0))</f>
        <v/>
      </c>
      <c r="P2901" s="6" t="str">
        <f>IF($D2901="","",IF(AND($L2901="Crédit",OR(IFERROR(INDEX('Paramètres'!$O:$O,MATCH($D2901,'Paramètres'!$M:$M,0))&amp;"","")&lt;&gt;"",ISNUMBER(SEARCH("remboursement",IFERROR(INDEX('Paramètres'!$N:$N,MATCH($D2901,'Paramètres'!$M:$M,0))&amp;"",""))))),1,0))</f>
        <v/>
      </c>
      <c r="Q2901" s="6" t="str">
        <f>IF($K2901="","",IF(ISNUMBER(SEARCH("transfert-interne",IFERROR(INDEX('Paramètres'!$N:$N,MATCH($D2901,'Paramètres'!$M:$M,0))&amp;"",""))),0,IF($L2901="Débit",$K2901,IF($P2901=1,-$K2901,0))))</f>
        <v/>
      </c>
      <c r="R2901" s="6" t="str">
        <f>IF($K2901="","",IF($L2901="Crédit",$K2901,-$K2901))</f>
        <v/>
      </c>
      <c r="S2901" s="6" t="str">
        <f>IF($C2901="","",IFERROR(INDEX('Paramètres'!$H:$H,MATCH($C2901,'Paramètres'!$D:$D,0))&amp;"",""))</f>
        <v/>
      </c>
      <c r="T2901" s="6" t="str">
        <f>IF($K2901="","",IF($S2901="",0,IF(ISNUMBER(SEARCH("apport-exterieur",IFERROR(INDEX('Paramètres'!$N:$N,MATCH($D2901,'Paramètres'!$M:$M,0))&amp;"",""))),0,IF(OR(IFERROR(INDEX('Paramètres'!$I:$I,MATCH($C2901,'Paramètres'!$D:$D,0))&amp;"","")="Les deux",IFERROR(INDEX('Paramètres'!$I:$I,MATCH($C2901,'Paramètres'!$D:$D,0))&amp;"","")=IF($P2901=1,"Débit",$L2901)),-IF($P2901=1,-$K2901,$K2901),0))))</f>
        <v/>
      </c>
      <c r="U2901" s="6" t="str">
        <f>IF($K2901="","",IF(ISNUMBER(SEARCH("sortie-epargne",IFERROR(INDEX('Paramètres'!$N:$N,MATCH($D2901,'Paramètres'!$M:$M,0))&amp;"",""))),$K2901,0))</f>
        <v/>
      </c>
      <c r="V2901" s="6" t="str">
        <f>IF(AND($A2901&lt;&gt;"",$O2901=1,$L2901="Débit",N($Q2901)&gt;0,$A2901&gt;=Visualisation!$B$1,$A2901&lt;Visualisation!$D$1),MAX($V$1:V2900)+1,"")</f>
        <v/>
      </c>
    </row>
    <row r="2902" spans="1:22" x14ac:dyDescent="0.25">
      <c r="A2902" s="9"/>
      <c r="E2902" s="10"/>
      <c r="K2902" s="11" t="str">
        <f>IF($E2902="","",ROUND($E2902*IF(ISNA(MATCH($C2902,'Paramètres'!$D:$D,0)),1,IF(INDEX('Paramètres'!$J:$J,MATCH($C2902,'Paramètres'!$D:$D,0))="",1,INDEX('Paramètres'!$J:$J,MATCH($C2902,'Paramètres'!$D:$D,0)))),2))</f>
        <v/>
      </c>
      <c r="L2902" s="6" t="str">
        <f>IF($D2902="","",IF($F2902&lt;&gt;"",$F2902,IF(ISNA(MATCH($D2902,'Paramètres'!$M:$M,0)),"⚠ Type inconnu",IFERROR(INDEX('Paramètres'!$P:$P,MATCH($D2902,'Paramètres'!$M:$M,0))&amp;"",""))))</f>
        <v/>
      </c>
      <c r="M2902" s="6" t="str">
        <f>IF($D2902="","",IF(ISNA(MATCH($D2902,'Paramètres'!$M:$M,0)),"⚠ Type inconnu",IF($L2902="Crédit","",IFERROR(INDEX('Paramètres'!$O:$O,MATCH($D2902,'Paramètres'!$M:$M,0))&amp;"",""))))</f>
        <v/>
      </c>
      <c r="N2902" s="6" t="str">
        <f>IF($D2902="","",IFERROR(INDEX('Paramètres'!$Q:$Q,MATCH($D2902,'Paramètres'!$M:$M,0))&amp;"",""))</f>
        <v/>
      </c>
      <c r="O2902" s="6" t="str">
        <f>IF($A2902="","",IF(OR($J2902&lt;&gt;"x",$A2902&lt;=FinReleve),1,0))</f>
        <v/>
      </c>
      <c r="P2902" s="6" t="str">
        <f>IF($D2902="","",IF(AND($L2902="Crédit",OR(IFERROR(INDEX('Paramètres'!$O:$O,MATCH($D2902,'Paramètres'!$M:$M,0))&amp;"","")&lt;&gt;"",ISNUMBER(SEARCH("remboursement",IFERROR(INDEX('Paramètres'!$N:$N,MATCH($D2902,'Paramètres'!$M:$M,0))&amp;"",""))))),1,0))</f>
        <v/>
      </c>
      <c r="Q2902" s="6" t="str">
        <f>IF($K2902="","",IF(ISNUMBER(SEARCH("transfert-interne",IFERROR(INDEX('Paramètres'!$N:$N,MATCH($D2902,'Paramètres'!$M:$M,0))&amp;"",""))),0,IF($L2902="Débit",$K2902,IF($P2902=1,-$K2902,0))))</f>
        <v/>
      </c>
      <c r="R2902" s="6" t="str">
        <f>IF($K2902="","",IF($L2902="Crédit",$K2902,-$K2902))</f>
        <v/>
      </c>
      <c r="S2902" s="6" t="str">
        <f>IF($C2902="","",IFERROR(INDEX('Paramètres'!$H:$H,MATCH($C2902,'Paramètres'!$D:$D,0))&amp;"",""))</f>
        <v/>
      </c>
      <c r="T2902" s="6" t="str">
        <f>IF($K2902="","",IF($S2902="",0,IF(ISNUMBER(SEARCH("apport-exterieur",IFERROR(INDEX('Paramètres'!$N:$N,MATCH($D2902,'Paramètres'!$M:$M,0))&amp;"",""))),0,IF(OR(IFERROR(INDEX('Paramètres'!$I:$I,MATCH($C2902,'Paramètres'!$D:$D,0))&amp;"","")="Les deux",IFERROR(INDEX('Paramètres'!$I:$I,MATCH($C2902,'Paramètres'!$D:$D,0))&amp;"","")=IF($P2902=1,"Débit",$L2902)),-IF($P2902=1,-$K2902,$K2902),0))))</f>
        <v/>
      </c>
      <c r="U2902" s="6" t="str">
        <f>IF($K2902="","",IF(ISNUMBER(SEARCH("sortie-epargne",IFERROR(INDEX('Paramètres'!$N:$N,MATCH($D2902,'Paramètres'!$M:$M,0))&amp;"",""))),$K2902,0))</f>
        <v/>
      </c>
      <c r="V2902" s="6" t="str">
        <f>IF(AND($A2902&lt;&gt;"",$O2902=1,$L2902="Débit",N($Q2902)&gt;0,$A2902&gt;=Visualisation!$B$1,$A2902&lt;Visualisation!$D$1),MAX($V$1:V2901)+1,"")</f>
        <v/>
      </c>
    </row>
    <row r="2903" spans="1:22" x14ac:dyDescent="0.25">
      <c r="A2903" s="9"/>
      <c r="E2903" s="10"/>
      <c r="K2903" s="11" t="str">
        <f>IF($E2903="","",ROUND($E2903*IF(ISNA(MATCH($C2903,'Paramètres'!$D:$D,0)),1,IF(INDEX('Paramètres'!$J:$J,MATCH($C2903,'Paramètres'!$D:$D,0))="",1,INDEX('Paramètres'!$J:$J,MATCH($C2903,'Paramètres'!$D:$D,0)))),2))</f>
        <v/>
      </c>
      <c r="L2903" s="6" t="str">
        <f>IF($D2903="","",IF($F2903&lt;&gt;"",$F2903,IF(ISNA(MATCH($D2903,'Paramètres'!$M:$M,0)),"⚠ Type inconnu",IFERROR(INDEX('Paramètres'!$P:$P,MATCH($D2903,'Paramètres'!$M:$M,0))&amp;"",""))))</f>
        <v/>
      </c>
      <c r="M2903" s="6" t="str">
        <f>IF($D2903="","",IF(ISNA(MATCH($D2903,'Paramètres'!$M:$M,0)),"⚠ Type inconnu",IF($L2903="Crédit","",IFERROR(INDEX('Paramètres'!$O:$O,MATCH($D2903,'Paramètres'!$M:$M,0))&amp;"",""))))</f>
        <v/>
      </c>
      <c r="N2903" s="6" t="str">
        <f>IF($D2903="","",IFERROR(INDEX('Paramètres'!$Q:$Q,MATCH($D2903,'Paramètres'!$M:$M,0))&amp;"",""))</f>
        <v/>
      </c>
      <c r="O2903" s="6" t="str">
        <f>IF($A2903="","",IF(OR($J2903&lt;&gt;"x",$A2903&lt;=FinReleve),1,0))</f>
        <v/>
      </c>
      <c r="P2903" s="6" t="str">
        <f>IF($D2903="","",IF(AND($L2903="Crédit",OR(IFERROR(INDEX('Paramètres'!$O:$O,MATCH($D2903,'Paramètres'!$M:$M,0))&amp;"","")&lt;&gt;"",ISNUMBER(SEARCH("remboursement",IFERROR(INDEX('Paramètres'!$N:$N,MATCH($D2903,'Paramètres'!$M:$M,0))&amp;"",""))))),1,0))</f>
        <v/>
      </c>
      <c r="Q2903" s="6" t="str">
        <f>IF($K2903="","",IF(ISNUMBER(SEARCH("transfert-interne",IFERROR(INDEX('Paramètres'!$N:$N,MATCH($D2903,'Paramètres'!$M:$M,0))&amp;"",""))),0,IF($L2903="Débit",$K2903,IF($P2903=1,-$K2903,0))))</f>
        <v/>
      </c>
      <c r="R2903" s="6" t="str">
        <f>IF($K2903="","",IF($L2903="Crédit",$K2903,-$K2903))</f>
        <v/>
      </c>
      <c r="S2903" s="6" t="str">
        <f>IF($C2903="","",IFERROR(INDEX('Paramètres'!$H:$H,MATCH($C2903,'Paramètres'!$D:$D,0))&amp;"",""))</f>
        <v/>
      </c>
      <c r="T2903" s="6" t="str">
        <f>IF($K2903="","",IF($S2903="",0,IF(ISNUMBER(SEARCH("apport-exterieur",IFERROR(INDEX('Paramètres'!$N:$N,MATCH($D2903,'Paramètres'!$M:$M,0))&amp;"",""))),0,IF(OR(IFERROR(INDEX('Paramètres'!$I:$I,MATCH($C2903,'Paramètres'!$D:$D,0))&amp;"","")="Les deux",IFERROR(INDEX('Paramètres'!$I:$I,MATCH($C2903,'Paramètres'!$D:$D,0))&amp;"","")=IF($P2903=1,"Débit",$L2903)),-IF($P2903=1,-$K2903,$K2903),0))))</f>
        <v/>
      </c>
      <c r="U2903" s="6" t="str">
        <f>IF($K2903="","",IF(ISNUMBER(SEARCH("sortie-epargne",IFERROR(INDEX('Paramètres'!$N:$N,MATCH($D2903,'Paramètres'!$M:$M,0))&amp;"",""))),$K2903,0))</f>
        <v/>
      </c>
      <c r="V2903" s="6" t="str">
        <f>IF(AND($A2903&lt;&gt;"",$O2903=1,$L2903="Débit",N($Q2903)&gt;0,$A2903&gt;=Visualisation!$B$1,$A2903&lt;Visualisation!$D$1),MAX($V$1:V2902)+1,"")</f>
        <v/>
      </c>
    </row>
    <row r="2904" spans="1:22" x14ac:dyDescent="0.25">
      <c r="A2904" s="9"/>
      <c r="E2904" s="10"/>
      <c r="K2904" s="11" t="str">
        <f>IF($E2904="","",ROUND($E2904*IF(ISNA(MATCH($C2904,'Paramètres'!$D:$D,0)),1,IF(INDEX('Paramètres'!$J:$J,MATCH($C2904,'Paramètres'!$D:$D,0))="",1,INDEX('Paramètres'!$J:$J,MATCH($C2904,'Paramètres'!$D:$D,0)))),2))</f>
        <v/>
      </c>
      <c r="L2904" s="6" t="str">
        <f>IF($D2904="","",IF($F2904&lt;&gt;"",$F2904,IF(ISNA(MATCH($D2904,'Paramètres'!$M:$M,0)),"⚠ Type inconnu",IFERROR(INDEX('Paramètres'!$P:$P,MATCH($D2904,'Paramètres'!$M:$M,0))&amp;"",""))))</f>
        <v/>
      </c>
      <c r="M2904" s="6" t="str">
        <f>IF($D2904="","",IF(ISNA(MATCH($D2904,'Paramètres'!$M:$M,0)),"⚠ Type inconnu",IF($L2904="Crédit","",IFERROR(INDEX('Paramètres'!$O:$O,MATCH($D2904,'Paramètres'!$M:$M,0))&amp;"",""))))</f>
        <v/>
      </c>
      <c r="N2904" s="6" t="str">
        <f>IF($D2904="","",IFERROR(INDEX('Paramètres'!$Q:$Q,MATCH($D2904,'Paramètres'!$M:$M,0))&amp;"",""))</f>
        <v/>
      </c>
      <c r="O2904" s="6" t="str">
        <f>IF($A2904="","",IF(OR($J2904&lt;&gt;"x",$A2904&lt;=FinReleve),1,0))</f>
        <v/>
      </c>
      <c r="P2904" s="6" t="str">
        <f>IF($D2904="","",IF(AND($L2904="Crédit",OR(IFERROR(INDEX('Paramètres'!$O:$O,MATCH($D2904,'Paramètres'!$M:$M,0))&amp;"","")&lt;&gt;"",ISNUMBER(SEARCH("remboursement",IFERROR(INDEX('Paramètres'!$N:$N,MATCH($D2904,'Paramètres'!$M:$M,0))&amp;"",""))))),1,0))</f>
        <v/>
      </c>
      <c r="Q2904" s="6" t="str">
        <f>IF($K2904="","",IF(ISNUMBER(SEARCH("transfert-interne",IFERROR(INDEX('Paramètres'!$N:$N,MATCH($D2904,'Paramètres'!$M:$M,0))&amp;"",""))),0,IF($L2904="Débit",$K2904,IF($P2904=1,-$K2904,0))))</f>
        <v/>
      </c>
      <c r="R2904" s="6" t="str">
        <f>IF($K2904="","",IF($L2904="Crédit",$K2904,-$K2904))</f>
        <v/>
      </c>
      <c r="S2904" s="6" t="str">
        <f>IF($C2904="","",IFERROR(INDEX('Paramètres'!$H:$H,MATCH($C2904,'Paramètres'!$D:$D,0))&amp;"",""))</f>
        <v/>
      </c>
      <c r="T2904" s="6" t="str">
        <f>IF($K2904="","",IF($S2904="",0,IF(ISNUMBER(SEARCH("apport-exterieur",IFERROR(INDEX('Paramètres'!$N:$N,MATCH($D2904,'Paramètres'!$M:$M,0))&amp;"",""))),0,IF(OR(IFERROR(INDEX('Paramètres'!$I:$I,MATCH($C2904,'Paramètres'!$D:$D,0))&amp;"","")="Les deux",IFERROR(INDEX('Paramètres'!$I:$I,MATCH($C2904,'Paramètres'!$D:$D,0))&amp;"","")=IF($P2904=1,"Débit",$L2904)),-IF($P2904=1,-$K2904,$K2904),0))))</f>
        <v/>
      </c>
      <c r="U2904" s="6" t="str">
        <f>IF($K2904="","",IF(ISNUMBER(SEARCH("sortie-epargne",IFERROR(INDEX('Paramètres'!$N:$N,MATCH($D2904,'Paramètres'!$M:$M,0))&amp;"",""))),$K2904,0))</f>
        <v/>
      </c>
      <c r="V2904" s="6" t="str">
        <f>IF(AND($A2904&lt;&gt;"",$O2904=1,$L2904="Débit",N($Q2904)&gt;0,$A2904&gt;=Visualisation!$B$1,$A2904&lt;Visualisation!$D$1),MAX($V$1:V2903)+1,"")</f>
        <v/>
      </c>
    </row>
    <row r="2905" spans="1:22" x14ac:dyDescent="0.25">
      <c r="A2905" s="9"/>
      <c r="E2905" s="10"/>
      <c r="K2905" s="11" t="str">
        <f>IF($E2905="","",ROUND($E2905*IF(ISNA(MATCH($C2905,'Paramètres'!$D:$D,0)),1,IF(INDEX('Paramètres'!$J:$J,MATCH($C2905,'Paramètres'!$D:$D,0))="",1,INDEX('Paramètres'!$J:$J,MATCH($C2905,'Paramètres'!$D:$D,0)))),2))</f>
        <v/>
      </c>
      <c r="L2905" s="6" t="str">
        <f>IF($D2905="","",IF($F2905&lt;&gt;"",$F2905,IF(ISNA(MATCH($D2905,'Paramètres'!$M:$M,0)),"⚠ Type inconnu",IFERROR(INDEX('Paramètres'!$P:$P,MATCH($D2905,'Paramètres'!$M:$M,0))&amp;"",""))))</f>
        <v/>
      </c>
      <c r="M2905" s="6" t="str">
        <f>IF($D2905="","",IF(ISNA(MATCH($D2905,'Paramètres'!$M:$M,0)),"⚠ Type inconnu",IF($L2905="Crédit","",IFERROR(INDEX('Paramètres'!$O:$O,MATCH($D2905,'Paramètres'!$M:$M,0))&amp;"",""))))</f>
        <v/>
      </c>
      <c r="N2905" s="6" t="str">
        <f>IF($D2905="","",IFERROR(INDEX('Paramètres'!$Q:$Q,MATCH($D2905,'Paramètres'!$M:$M,0))&amp;"",""))</f>
        <v/>
      </c>
      <c r="O2905" s="6" t="str">
        <f>IF($A2905="","",IF(OR($J2905&lt;&gt;"x",$A2905&lt;=FinReleve),1,0))</f>
        <v/>
      </c>
      <c r="P2905" s="6" t="str">
        <f>IF($D2905="","",IF(AND($L2905="Crédit",OR(IFERROR(INDEX('Paramètres'!$O:$O,MATCH($D2905,'Paramètres'!$M:$M,0))&amp;"","")&lt;&gt;"",ISNUMBER(SEARCH("remboursement",IFERROR(INDEX('Paramètres'!$N:$N,MATCH($D2905,'Paramètres'!$M:$M,0))&amp;"",""))))),1,0))</f>
        <v/>
      </c>
      <c r="Q2905" s="6" t="str">
        <f>IF($K2905="","",IF(ISNUMBER(SEARCH("transfert-interne",IFERROR(INDEX('Paramètres'!$N:$N,MATCH($D2905,'Paramètres'!$M:$M,0))&amp;"",""))),0,IF($L2905="Débit",$K2905,IF($P2905=1,-$K2905,0))))</f>
        <v/>
      </c>
      <c r="R2905" s="6" t="str">
        <f>IF($K2905="","",IF($L2905="Crédit",$K2905,-$K2905))</f>
        <v/>
      </c>
      <c r="S2905" s="6" t="str">
        <f>IF($C2905="","",IFERROR(INDEX('Paramètres'!$H:$H,MATCH($C2905,'Paramètres'!$D:$D,0))&amp;"",""))</f>
        <v/>
      </c>
      <c r="T2905" s="6" t="str">
        <f>IF($K2905="","",IF($S2905="",0,IF(ISNUMBER(SEARCH("apport-exterieur",IFERROR(INDEX('Paramètres'!$N:$N,MATCH($D2905,'Paramètres'!$M:$M,0))&amp;"",""))),0,IF(OR(IFERROR(INDEX('Paramètres'!$I:$I,MATCH($C2905,'Paramètres'!$D:$D,0))&amp;"","")="Les deux",IFERROR(INDEX('Paramètres'!$I:$I,MATCH($C2905,'Paramètres'!$D:$D,0))&amp;"","")=IF($P2905=1,"Débit",$L2905)),-IF($P2905=1,-$K2905,$K2905),0))))</f>
        <v/>
      </c>
      <c r="U2905" s="6" t="str">
        <f>IF($K2905="","",IF(ISNUMBER(SEARCH("sortie-epargne",IFERROR(INDEX('Paramètres'!$N:$N,MATCH($D2905,'Paramètres'!$M:$M,0))&amp;"",""))),$K2905,0))</f>
        <v/>
      </c>
      <c r="V2905" s="6" t="str">
        <f>IF(AND($A2905&lt;&gt;"",$O2905=1,$L2905="Débit",N($Q2905)&gt;0,$A2905&gt;=Visualisation!$B$1,$A2905&lt;Visualisation!$D$1),MAX($V$1:V2904)+1,"")</f>
        <v/>
      </c>
    </row>
    <row r="2906" spans="1:22" x14ac:dyDescent="0.25">
      <c r="A2906" s="9"/>
      <c r="E2906" s="10"/>
      <c r="K2906" s="11" t="str">
        <f>IF($E2906="","",ROUND($E2906*IF(ISNA(MATCH($C2906,'Paramètres'!$D:$D,0)),1,IF(INDEX('Paramètres'!$J:$J,MATCH($C2906,'Paramètres'!$D:$D,0))="",1,INDEX('Paramètres'!$J:$J,MATCH($C2906,'Paramètres'!$D:$D,0)))),2))</f>
        <v/>
      </c>
      <c r="L2906" s="6" t="str">
        <f>IF($D2906="","",IF($F2906&lt;&gt;"",$F2906,IF(ISNA(MATCH($D2906,'Paramètres'!$M:$M,0)),"⚠ Type inconnu",IFERROR(INDEX('Paramètres'!$P:$P,MATCH($D2906,'Paramètres'!$M:$M,0))&amp;"",""))))</f>
        <v/>
      </c>
      <c r="M2906" s="6" t="str">
        <f>IF($D2906="","",IF(ISNA(MATCH($D2906,'Paramètres'!$M:$M,0)),"⚠ Type inconnu",IF($L2906="Crédit","",IFERROR(INDEX('Paramètres'!$O:$O,MATCH($D2906,'Paramètres'!$M:$M,0))&amp;"",""))))</f>
        <v/>
      </c>
      <c r="N2906" s="6" t="str">
        <f>IF($D2906="","",IFERROR(INDEX('Paramètres'!$Q:$Q,MATCH($D2906,'Paramètres'!$M:$M,0))&amp;"",""))</f>
        <v/>
      </c>
      <c r="O2906" s="6" t="str">
        <f>IF($A2906="","",IF(OR($J2906&lt;&gt;"x",$A2906&lt;=FinReleve),1,0))</f>
        <v/>
      </c>
      <c r="P2906" s="6" t="str">
        <f>IF($D2906="","",IF(AND($L2906="Crédit",OR(IFERROR(INDEX('Paramètres'!$O:$O,MATCH($D2906,'Paramètres'!$M:$M,0))&amp;"","")&lt;&gt;"",ISNUMBER(SEARCH("remboursement",IFERROR(INDEX('Paramètres'!$N:$N,MATCH($D2906,'Paramètres'!$M:$M,0))&amp;"",""))))),1,0))</f>
        <v/>
      </c>
      <c r="Q2906" s="6" t="str">
        <f>IF($K2906="","",IF(ISNUMBER(SEARCH("transfert-interne",IFERROR(INDEX('Paramètres'!$N:$N,MATCH($D2906,'Paramètres'!$M:$M,0))&amp;"",""))),0,IF($L2906="Débit",$K2906,IF($P2906=1,-$K2906,0))))</f>
        <v/>
      </c>
      <c r="R2906" s="6" t="str">
        <f>IF($K2906="","",IF($L2906="Crédit",$K2906,-$K2906))</f>
        <v/>
      </c>
      <c r="S2906" s="6" t="str">
        <f>IF($C2906="","",IFERROR(INDEX('Paramètres'!$H:$H,MATCH($C2906,'Paramètres'!$D:$D,0))&amp;"",""))</f>
        <v/>
      </c>
      <c r="T2906" s="6" t="str">
        <f>IF($K2906="","",IF($S2906="",0,IF(ISNUMBER(SEARCH("apport-exterieur",IFERROR(INDEX('Paramètres'!$N:$N,MATCH($D2906,'Paramètres'!$M:$M,0))&amp;"",""))),0,IF(OR(IFERROR(INDEX('Paramètres'!$I:$I,MATCH($C2906,'Paramètres'!$D:$D,0))&amp;"","")="Les deux",IFERROR(INDEX('Paramètres'!$I:$I,MATCH($C2906,'Paramètres'!$D:$D,0))&amp;"","")=IF($P2906=1,"Débit",$L2906)),-IF($P2906=1,-$K2906,$K2906),0))))</f>
        <v/>
      </c>
      <c r="U2906" s="6" t="str">
        <f>IF($K2906="","",IF(ISNUMBER(SEARCH("sortie-epargne",IFERROR(INDEX('Paramètres'!$N:$N,MATCH($D2906,'Paramètres'!$M:$M,0))&amp;"",""))),$K2906,0))</f>
        <v/>
      </c>
      <c r="V2906" s="6" t="str">
        <f>IF(AND($A2906&lt;&gt;"",$O2906=1,$L2906="Débit",N($Q2906)&gt;0,$A2906&gt;=Visualisation!$B$1,$A2906&lt;Visualisation!$D$1),MAX($V$1:V2905)+1,"")</f>
        <v/>
      </c>
    </row>
    <row r="2907" spans="1:22" x14ac:dyDescent="0.25">
      <c r="A2907" s="9"/>
      <c r="E2907" s="10"/>
      <c r="K2907" s="11" t="str">
        <f>IF($E2907="","",ROUND($E2907*IF(ISNA(MATCH($C2907,'Paramètres'!$D:$D,0)),1,IF(INDEX('Paramètres'!$J:$J,MATCH($C2907,'Paramètres'!$D:$D,0))="",1,INDEX('Paramètres'!$J:$J,MATCH($C2907,'Paramètres'!$D:$D,0)))),2))</f>
        <v/>
      </c>
      <c r="L2907" s="6" t="str">
        <f>IF($D2907="","",IF($F2907&lt;&gt;"",$F2907,IF(ISNA(MATCH($D2907,'Paramètres'!$M:$M,0)),"⚠ Type inconnu",IFERROR(INDEX('Paramètres'!$P:$P,MATCH($D2907,'Paramètres'!$M:$M,0))&amp;"",""))))</f>
        <v/>
      </c>
      <c r="M2907" s="6" t="str">
        <f>IF($D2907="","",IF(ISNA(MATCH($D2907,'Paramètres'!$M:$M,0)),"⚠ Type inconnu",IF($L2907="Crédit","",IFERROR(INDEX('Paramètres'!$O:$O,MATCH($D2907,'Paramètres'!$M:$M,0))&amp;"",""))))</f>
        <v/>
      </c>
      <c r="N2907" s="6" t="str">
        <f>IF($D2907="","",IFERROR(INDEX('Paramètres'!$Q:$Q,MATCH($D2907,'Paramètres'!$M:$M,0))&amp;"",""))</f>
        <v/>
      </c>
      <c r="O2907" s="6" t="str">
        <f>IF($A2907="","",IF(OR($J2907&lt;&gt;"x",$A2907&lt;=FinReleve),1,0))</f>
        <v/>
      </c>
      <c r="P2907" s="6" t="str">
        <f>IF($D2907="","",IF(AND($L2907="Crédit",OR(IFERROR(INDEX('Paramètres'!$O:$O,MATCH($D2907,'Paramètres'!$M:$M,0))&amp;"","")&lt;&gt;"",ISNUMBER(SEARCH("remboursement",IFERROR(INDEX('Paramètres'!$N:$N,MATCH($D2907,'Paramètres'!$M:$M,0))&amp;"",""))))),1,0))</f>
        <v/>
      </c>
      <c r="Q2907" s="6" t="str">
        <f>IF($K2907="","",IF(ISNUMBER(SEARCH("transfert-interne",IFERROR(INDEX('Paramètres'!$N:$N,MATCH($D2907,'Paramètres'!$M:$M,0))&amp;"",""))),0,IF($L2907="Débit",$K2907,IF($P2907=1,-$K2907,0))))</f>
        <v/>
      </c>
      <c r="R2907" s="6" t="str">
        <f>IF($K2907="","",IF($L2907="Crédit",$K2907,-$K2907))</f>
        <v/>
      </c>
      <c r="S2907" s="6" t="str">
        <f>IF($C2907="","",IFERROR(INDEX('Paramètres'!$H:$H,MATCH($C2907,'Paramètres'!$D:$D,0))&amp;"",""))</f>
        <v/>
      </c>
      <c r="T2907" s="6" t="str">
        <f>IF($K2907="","",IF($S2907="",0,IF(ISNUMBER(SEARCH("apport-exterieur",IFERROR(INDEX('Paramètres'!$N:$N,MATCH($D2907,'Paramètres'!$M:$M,0))&amp;"",""))),0,IF(OR(IFERROR(INDEX('Paramètres'!$I:$I,MATCH($C2907,'Paramètres'!$D:$D,0))&amp;"","")="Les deux",IFERROR(INDEX('Paramètres'!$I:$I,MATCH($C2907,'Paramètres'!$D:$D,0))&amp;"","")=IF($P2907=1,"Débit",$L2907)),-IF($P2907=1,-$K2907,$K2907),0))))</f>
        <v/>
      </c>
      <c r="U2907" s="6" t="str">
        <f>IF($K2907="","",IF(ISNUMBER(SEARCH("sortie-epargne",IFERROR(INDEX('Paramètres'!$N:$N,MATCH($D2907,'Paramètres'!$M:$M,0))&amp;"",""))),$K2907,0))</f>
        <v/>
      </c>
      <c r="V2907" s="6" t="str">
        <f>IF(AND($A2907&lt;&gt;"",$O2907=1,$L2907="Débit",N($Q2907)&gt;0,$A2907&gt;=Visualisation!$B$1,$A2907&lt;Visualisation!$D$1),MAX($V$1:V2906)+1,"")</f>
        <v/>
      </c>
    </row>
    <row r="2908" spans="1:22" x14ac:dyDescent="0.25">
      <c r="A2908" s="9"/>
      <c r="E2908" s="10"/>
      <c r="K2908" s="11" t="str">
        <f>IF($E2908="","",ROUND($E2908*IF(ISNA(MATCH($C2908,'Paramètres'!$D:$D,0)),1,IF(INDEX('Paramètres'!$J:$J,MATCH($C2908,'Paramètres'!$D:$D,0))="",1,INDEX('Paramètres'!$J:$J,MATCH($C2908,'Paramètres'!$D:$D,0)))),2))</f>
        <v/>
      </c>
      <c r="L2908" s="6" t="str">
        <f>IF($D2908="","",IF($F2908&lt;&gt;"",$F2908,IF(ISNA(MATCH($D2908,'Paramètres'!$M:$M,0)),"⚠ Type inconnu",IFERROR(INDEX('Paramètres'!$P:$P,MATCH($D2908,'Paramètres'!$M:$M,0))&amp;"",""))))</f>
        <v/>
      </c>
      <c r="M2908" s="6" t="str">
        <f>IF($D2908="","",IF(ISNA(MATCH($D2908,'Paramètres'!$M:$M,0)),"⚠ Type inconnu",IF($L2908="Crédit","",IFERROR(INDEX('Paramètres'!$O:$O,MATCH($D2908,'Paramètres'!$M:$M,0))&amp;"",""))))</f>
        <v/>
      </c>
      <c r="N2908" s="6" t="str">
        <f>IF($D2908="","",IFERROR(INDEX('Paramètres'!$Q:$Q,MATCH($D2908,'Paramètres'!$M:$M,0))&amp;"",""))</f>
        <v/>
      </c>
      <c r="O2908" s="6" t="str">
        <f>IF($A2908="","",IF(OR($J2908&lt;&gt;"x",$A2908&lt;=FinReleve),1,0))</f>
        <v/>
      </c>
      <c r="P2908" s="6" t="str">
        <f>IF($D2908="","",IF(AND($L2908="Crédit",OR(IFERROR(INDEX('Paramètres'!$O:$O,MATCH($D2908,'Paramètres'!$M:$M,0))&amp;"","")&lt;&gt;"",ISNUMBER(SEARCH("remboursement",IFERROR(INDEX('Paramètres'!$N:$N,MATCH($D2908,'Paramètres'!$M:$M,0))&amp;"",""))))),1,0))</f>
        <v/>
      </c>
      <c r="Q2908" s="6" t="str">
        <f>IF($K2908="","",IF(ISNUMBER(SEARCH("transfert-interne",IFERROR(INDEX('Paramètres'!$N:$N,MATCH($D2908,'Paramètres'!$M:$M,0))&amp;"",""))),0,IF($L2908="Débit",$K2908,IF($P2908=1,-$K2908,0))))</f>
        <v/>
      </c>
      <c r="R2908" s="6" t="str">
        <f>IF($K2908="","",IF($L2908="Crédit",$K2908,-$K2908))</f>
        <v/>
      </c>
      <c r="S2908" s="6" t="str">
        <f>IF($C2908="","",IFERROR(INDEX('Paramètres'!$H:$H,MATCH($C2908,'Paramètres'!$D:$D,0))&amp;"",""))</f>
        <v/>
      </c>
      <c r="T2908" s="6" t="str">
        <f>IF($K2908="","",IF($S2908="",0,IF(ISNUMBER(SEARCH("apport-exterieur",IFERROR(INDEX('Paramètres'!$N:$N,MATCH($D2908,'Paramètres'!$M:$M,0))&amp;"",""))),0,IF(OR(IFERROR(INDEX('Paramètres'!$I:$I,MATCH($C2908,'Paramètres'!$D:$D,0))&amp;"","")="Les deux",IFERROR(INDEX('Paramètres'!$I:$I,MATCH($C2908,'Paramètres'!$D:$D,0))&amp;"","")=IF($P2908=1,"Débit",$L2908)),-IF($P2908=1,-$K2908,$K2908),0))))</f>
        <v/>
      </c>
      <c r="U2908" s="6" t="str">
        <f>IF($K2908="","",IF(ISNUMBER(SEARCH("sortie-epargne",IFERROR(INDEX('Paramètres'!$N:$N,MATCH($D2908,'Paramètres'!$M:$M,0))&amp;"",""))),$K2908,0))</f>
        <v/>
      </c>
      <c r="V2908" s="6" t="str">
        <f>IF(AND($A2908&lt;&gt;"",$O2908=1,$L2908="Débit",N($Q2908)&gt;0,$A2908&gt;=Visualisation!$B$1,$A2908&lt;Visualisation!$D$1),MAX($V$1:V2907)+1,"")</f>
        <v/>
      </c>
    </row>
    <row r="2909" spans="1:22" x14ac:dyDescent="0.25">
      <c r="A2909" s="9"/>
      <c r="E2909" s="10"/>
      <c r="K2909" s="11" t="str">
        <f>IF($E2909="","",ROUND($E2909*IF(ISNA(MATCH($C2909,'Paramètres'!$D:$D,0)),1,IF(INDEX('Paramètres'!$J:$J,MATCH($C2909,'Paramètres'!$D:$D,0))="",1,INDEX('Paramètres'!$J:$J,MATCH($C2909,'Paramètres'!$D:$D,0)))),2))</f>
        <v/>
      </c>
      <c r="L2909" s="6" t="str">
        <f>IF($D2909="","",IF($F2909&lt;&gt;"",$F2909,IF(ISNA(MATCH($D2909,'Paramètres'!$M:$M,0)),"⚠ Type inconnu",IFERROR(INDEX('Paramètres'!$P:$P,MATCH($D2909,'Paramètres'!$M:$M,0))&amp;"",""))))</f>
        <v/>
      </c>
      <c r="M2909" s="6" t="str">
        <f>IF($D2909="","",IF(ISNA(MATCH($D2909,'Paramètres'!$M:$M,0)),"⚠ Type inconnu",IF($L2909="Crédit","",IFERROR(INDEX('Paramètres'!$O:$O,MATCH($D2909,'Paramètres'!$M:$M,0))&amp;"",""))))</f>
        <v/>
      </c>
      <c r="N2909" s="6" t="str">
        <f>IF($D2909="","",IFERROR(INDEX('Paramètres'!$Q:$Q,MATCH($D2909,'Paramètres'!$M:$M,0))&amp;"",""))</f>
        <v/>
      </c>
      <c r="O2909" s="6" t="str">
        <f>IF($A2909="","",IF(OR($J2909&lt;&gt;"x",$A2909&lt;=FinReleve),1,0))</f>
        <v/>
      </c>
      <c r="P2909" s="6" t="str">
        <f>IF($D2909="","",IF(AND($L2909="Crédit",OR(IFERROR(INDEX('Paramètres'!$O:$O,MATCH($D2909,'Paramètres'!$M:$M,0))&amp;"","")&lt;&gt;"",ISNUMBER(SEARCH("remboursement",IFERROR(INDEX('Paramètres'!$N:$N,MATCH($D2909,'Paramètres'!$M:$M,0))&amp;"",""))))),1,0))</f>
        <v/>
      </c>
      <c r="Q2909" s="6" t="str">
        <f>IF($K2909="","",IF(ISNUMBER(SEARCH("transfert-interne",IFERROR(INDEX('Paramètres'!$N:$N,MATCH($D2909,'Paramètres'!$M:$M,0))&amp;"",""))),0,IF($L2909="Débit",$K2909,IF($P2909=1,-$K2909,0))))</f>
        <v/>
      </c>
      <c r="R2909" s="6" t="str">
        <f>IF($K2909="","",IF($L2909="Crédit",$K2909,-$K2909))</f>
        <v/>
      </c>
      <c r="S2909" s="6" t="str">
        <f>IF($C2909="","",IFERROR(INDEX('Paramètres'!$H:$H,MATCH($C2909,'Paramètres'!$D:$D,0))&amp;"",""))</f>
        <v/>
      </c>
      <c r="T2909" s="6" t="str">
        <f>IF($K2909="","",IF($S2909="",0,IF(ISNUMBER(SEARCH("apport-exterieur",IFERROR(INDEX('Paramètres'!$N:$N,MATCH($D2909,'Paramètres'!$M:$M,0))&amp;"",""))),0,IF(OR(IFERROR(INDEX('Paramètres'!$I:$I,MATCH($C2909,'Paramètres'!$D:$D,0))&amp;"","")="Les deux",IFERROR(INDEX('Paramètres'!$I:$I,MATCH($C2909,'Paramètres'!$D:$D,0))&amp;"","")=IF($P2909=1,"Débit",$L2909)),-IF($P2909=1,-$K2909,$K2909),0))))</f>
        <v/>
      </c>
      <c r="U2909" s="6" t="str">
        <f>IF($K2909="","",IF(ISNUMBER(SEARCH("sortie-epargne",IFERROR(INDEX('Paramètres'!$N:$N,MATCH($D2909,'Paramètres'!$M:$M,0))&amp;"",""))),$K2909,0))</f>
        <v/>
      </c>
      <c r="V2909" s="6" t="str">
        <f>IF(AND($A2909&lt;&gt;"",$O2909=1,$L2909="Débit",N($Q2909)&gt;0,$A2909&gt;=Visualisation!$B$1,$A2909&lt;Visualisation!$D$1),MAX($V$1:V2908)+1,"")</f>
        <v/>
      </c>
    </row>
    <row r="2910" spans="1:22" x14ac:dyDescent="0.25">
      <c r="A2910" s="9"/>
      <c r="E2910" s="10"/>
      <c r="K2910" s="11" t="str">
        <f>IF($E2910="","",ROUND($E2910*IF(ISNA(MATCH($C2910,'Paramètres'!$D:$D,0)),1,IF(INDEX('Paramètres'!$J:$J,MATCH($C2910,'Paramètres'!$D:$D,0))="",1,INDEX('Paramètres'!$J:$J,MATCH($C2910,'Paramètres'!$D:$D,0)))),2))</f>
        <v/>
      </c>
      <c r="L2910" s="6" t="str">
        <f>IF($D2910="","",IF($F2910&lt;&gt;"",$F2910,IF(ISNA(MATCH($D2910,'Paramètres'!$M:$M,0)),"⚠ Type inconnu",IFERROR(INDEX('Paramètres'!$P:$P,MATCH($D2910,'Paramètres'!$M:$M,0))&amp;"",""))))</f>
        <v/>
      </c>
      <c r="M2910" s="6" t="str">
        <f>IF($D2910="","",IF(ISNA(MATCH($D2910,'Paramètres'!$M:$M,0)),"⚠ Type inconnu",IF($L2910="Crédit","",IFERROR(INDEX('Paramètres'!$O:$O,MATCH($D2910,'Paramètres'!$M:$M,0))&amp;"",""))))</f>
        <v/>
      </c>
      <c r="N2910" s="6" t="str">
        <f>IF($D2910="","",IFERROR(INDEX('Paramètres'!$Q:$Q,MATCH($D2910,'Paramètres'!$M:$M,0))&amp;"",""))</f>
        <v/>
      </c>
      <c r="O2910" s="6" t="str">
        <f>IF($A2910="","",IF(OR($J2910&lt;&gt;"x",$A2910&lt;=FinReleve),1,0))</f>
        <v/>
      </c>
      <c r="P2910" s="6" t="str">
        <f>IF($D2910="","",IF(AND($L2910="Crédit",OR(IFERROR(INDEX('Paramètres'!$O:$O,MATCH($D2910,'Paramètres'!$M:$M,0))&amp;"","")&lt;&gt;"",ISNUMBER(SEARCH("remboursement",IFERROR(INDEX('Paramètres'!$N:$N,MATCH($D2910,'Paramètres'!$M:$M,0))&amp;"",""))))),1,0))</f>
        <v/>
      </c>
      <c r="Q2910" s="6" t="str">
        <f>IF($K2910="","",IF(ISNUMBER(SEARCH("transfert-interne",IFERROR(INDEX('Paramètres'!$N:$N,MATCH($D2910,'Paramètres'!$M:$M,0))&amp;"",""))),0,IF($L2910="Débit",$K2910,IF($P2910=1,-$K2910,0))))</f>
        <v/>
      </c>
      <c r="R2910" s="6" t="str">
        <f>IF($K2910="","",IF($L2910="Crédit",$K2910,-$K2910))</f>
        <v/>
      </c>
      <c r="S2910" s="6" t="str">
        <f>IF($C2910="","",IFERROR(INDEX('Paramètres'!$H:$H,MATCH($C2910,'Paramètres'!$D:$D,0))&amp;"",""))</f>
        <v/>
      </c>
      <c r="T2910" s="6" t="str">
        <f>IF($K2910="","",IF($S2910="",0,IF(ISNUMBER(SEARCH("apport-exterieur",IFERROR(INDEX('Paramètres'!$N:$N,MATCH($D2910,'Paramètres'!$M:$M,0))&amp;"",""))),0,IF(OR(IFERROR(INDEX('Paramètres'!$I:$I,MATCH($C2910,'Paramètres'!$D:$D,0))&amp;"","")="Les deux",IFERROR(INDEX('Paramètres'!$I:$I,MATCH($C2910,'Paramètres'!$D:$D,0))&amp;"","")=IF($P2910=1,"Débit",$L2910)),-IF($P2910=1,-$K2910,$K2910),0))))</f>
        <v/>
      </c>
      <c r="U2910" s="6" t="str">
        <f>IF($K2910="","",IF(ISNUMBER(SEARCH("sortie-epargne",IFERROR(INDEX('Paramètres'!$N:$N,MATCH($D2910,'Paramètres'!$M:$M,0))&amp;"",""))),$K2910,0))</f>
        <v/>
      </c>
      <c r="V2910" s="6" t="str">
        <f>IF(AND($A2910&lt;&gt;"",$O2910=1,$L2910="Débit",N($Q2910)&gt;0,$A2910&gt;=Visualisation!$B$1,$A2910&lt;Visualisation!$D$1),MAX($V$1:V2909)+1,"")</f>
        <v/>
      </c>
    </row>
    <row r="2911" spans="1:22" x14ac:dyDescent="0.25">
      <c r="A2911" s="9"/>
      <c r="E2911" s="10"/>
      <c r="K2911" s="11" t="str">
        <f>IF($E2911="","",ROUND($E2911*IF(ISNA(MATCH($C2911,'Paramètres'!$D:$D,0)),1,IF(INDEX('Paramètres'!$J:$J,MATCH($C2911,'Paramètres'!$D:$D,0))="",1,INDEX('Paramètres'!$J:$J,MATCH($C2911,'Paramètres'!$D:$D,0)))),2))</f>
        <v/>
      </c>
      <c r="L2911" s="6" t="str">
        <f>IF($D2911="","",IF($F2911&lt;&gt;"",$F2911,IF(ISNA(MATCH($D2911,'Paramètres'!$M:$M,0)),"⚠ Type inconnu",IFERROR(INDEX('Paramètres'!$P:$P,MATCH($D2911,'Paramètres'!$M:$M,0))&amp;"",""))))</f>
        <v/>
      </c>
      <c r="M2911" s="6" t="str">
        <f>IF($D2911="","",IF(ISNA(MATCH($D2911,'Paramètres'!$M:$M,0)),"⚠ Type inconnu",IF($L2911="Crédit","",IFERROR(INDEX('Paramètres'!$O:$O,MATCH($D2911,'Paramètres'!$M:$M,0))&amp;"",""))))</f>
        <v/>
      </c>
      <c r="N2911" s="6" t="str">
        <f>IF($D2911="","",IFERROR(INDEX('Paramètres'!$Q:$Q,MATCH($D2911,'Paramètres'!$M:$M,0))&amp;"",""))</f>
        <v/>
      </c>
      <c r="O2911" s="6" t="str">
        <f>IF($A2911="","",IF(OR($J2911&lt;&gt;"x",$A2911&lt;=FinReleve),1,0))</f>
        <v/>
      </c>
      <c r="P2911" s="6" t="str">
        <f>IF($D2911="","",IF(AND($L2911="Crédit",OR(IFERROR(INDEX('Paramètres'!$O:$O,MATCH($D2911,'Paramètres'!$M:$M,0))&amp;"","")&lt;&gt;"",ISNUMBER(SEARCH("remboursement",IFERROR(INDEX('Paramètres'!$N:$N,MATCH($D2911,'Paramètres'!$M:$M,0))&amp;"",""))))),1,0))</f>
        <v/>
      </c>
      <c r="Q2911" s="6" t="str">
        <f>IF($K2911="","",IF(ISNUMBER(SEARCH("transfert-interne",IFERROR(INDEX('Paramètres'!$N:$N,MATCH($D2911,'Paramètres'!$M:$M,0))&amp;"",""))),0,IF($L2911="Débit",$K2911,IF($P2911=1,-$K2911,0))))</f>
        <v/>
      </c>
      <c r="R2911" s="6" t="str">
        <f>IF($K2911="","",IF($L2911="Crédit",$K2911,-$K2911))</f>
        <v/>
      </c>
      <c r="S2911" s="6" t="str">
        <f>IF($C2911="","",IFERROR(INDEX('Paramètres'!$H:$H,MATCH($C2911,'Paramètres'!$D:$D,0))&amp;"",""))</f>
        <v/>
      </c>
      <c r="T2911" s="6" t="str">
        <f>IF($K2911="","",IF($S2911="",0,IF(ISNUMBER(SEARCH("apport-exterieur",IFERROR(INDEX('Paramètres'!$N:$N,MATCH($D2911,'Paramètres'!$M:$M,0))&amp;"",""))),0,IF(OR(IFERROR(INDEX('Paramètres'!$I:$I,MATCH($C2911,'Paramètres'!$D:$D,0))&amp;"","")="Les deux",IFERROR(INDEX('Paramètres'!$I:$I,MATCH($C2911,'Paramètres'!$D:$D,0))&amp;"","")=IF($P2911=1,"Débit",$L2911)),-IF($P2911=1,-$K2911,$K2911),0))))</f>
        <v/>
      </c>
      <c r="U2911" s="6" t="str">
        <f>IF($K2911="","",IF(ISNUMBER(SEARCH("sortie-epargne",IFERROR(INDEX('Paramètres'!$N:$N,MATCH($D2911,'Paramètres'!$M:$M,0))&amp;"",""))),$K2911,0))</f>
        <v/>
      </c>
      <c r="V2911" s="6" t="str">
        <f>IF(AND($A2911&lt;&gt;"",$O2911=1,$L2911="Débit",N($Q2911)&gt;0,$A2911&gt;=Visualisation!$B$1,$A2911&lt;Visualisation!$D$1),MAX($V$1:V2910)+1,"")</f>
        <v/>
      </c>
    </row>
    <row r="2912" spans="1:22" x14ac:dyDescent="0.25">
      <c r="A2912" s="9"/>
      <c r="E2912" s="10"/>
      <c r="K2912" s="11" t="str">
        <f>IF($E2912="","",ROUND($E2912*IF(ISNA(MATCH($C2912,'Paramètres'!$D:$D,0)),1,IF(INDEX('Paramètres'!$J:$J,MATCH($C2912,'Paramètres'!$D:$D,0))="",1,INDEX('Paramètres'!$J:$J,MATCH($C2912,'Paramètres'!$D:$D,0)))),2))</f>
        <v/>
      </c>
      <c r="L2912" s="6" t="str">
        <f>IF($D2912="","",IF($F2912&lt;&gt;"",$F2912,IF(ISNA(MATCH($D2912,'Paramètres'!$M:$M,0)),"⚠ Type inconnu",IFERROR(INDEX('Paramètres'!$P:$P,MATCH($D2912,'Paramètres'!$M:$M,0))&amp;"",""))))</f>
        <v/>
      </c>
      <c r="M2912" s="6" t="str">
        <f>IF($D2912="","",IF(ISNA(MATCH($D2912,'Paramètres'!$M:$M,0)),"⚠ Type inconnu",IF($L2912="Crédit","",IFERROR(INDEX('Paramètres'!$O:$O,MATCH($D2912,'Paramètres'!$M:$M,0))&amp;"",""))))</f>
        <v/>
      </c>
      <c r="N2912" s="6" t="str">
        <f>IF($D2912="","",IFERROR(INDEX('Paramètres'!$Q:$Q,MATCH($D2912,'Paramètres'!$M:$M,0))&amp;"",""))</f>
        <v/>
      </c>
      <c r="O2912" s="6" t="str">
        <f>IF($A2912="","",IF(OR($J2912&lt;&gt;"x",$A2912&lt;=FinReleve),1,0))</f>
        <v/>
      </c>
      <c r="P2912" s="6" t="str">
        <f>IF($D2912="","",IF(AND($L2912="Crédit",OR(IFERROR(INDEX('Paramètres'!$O:$O,MATCH($D2912,'Paramètres'!$M:$M,0))&amp;"","")&lt;&gt;"",ISNUMBER(SEARCH("remboursement",IFERROR(INDEX('Paramètres'!$N:$N,MATCH($D2912,'Paramètres'!$M:$M,0))&amp;"",""))))),1,0))</f>
        <v/>
      </c>
      <c r="Q2912" s="6" t="str">
        <f>IF($K2912="","",IF(ISNUMBER(SEARCH("transfert-interne",IFERROR(INDEX('Paramètres'!$N:$N,MATCH($D2912,'Paramètres'!$M:$M,0))&amp;"",""))),0,IF($L2912="Débit",$K2912,IF($P2912=1,-$K2912,0))))</f>
        <v/>
      </c>
      <c r="R2912" s="6" t="str">
        <f>IF($K2912="","",IF($L2912="Crédit",$K2912,-$K2912))</f>
        <v/>
      </c>
      <c r="S2912" s="6" t="str">
        <f>IF($C2912="","",IFERROR(INDEX('Paramètres'!$H:$H,MATCH($C2912,'Paramètres'!$D:$D,0))&amp;"",""))</f>
        <v/>
      </c>
      <c r="T2912" s="6" t="str">
        <f>IF($K2912="","",IF($S2912="",0,IF(ISNUMBER(SEARCH("apport-exterieur",IFERROR(INDEX('Paramètres'!$N:$N,MATCH($D2912,'Paramètres'!$M:$M,0))&amp;"",""))),0,IF(OR(IFERROR(INDEX('Paramètres'!$I:$I,MATCH($C2912,'Paramètres'!$D:$D,0))&amp;"","")="Les deux",IFERROR(INDEX('Paramètres'!$I:$I,MATCH($C2912,'Paramètres'!$D:$D,0))&amp;"","")=IF($P2912=1,"Débit",$L2912)),-IF($P2912=1,-$K2912,$K2912),0))))</f>
        <v/>
      </c>
      <c r="U2912" s="6" t="str">
        <f>IF($K2912="","",IF(ISNUMBER(SEARCH("sortie-epargne",IFERROR(INDEX('Paramètres'!$N:$N,MATCH($D2912,'Paramètres'!$M:$M,0))&amp;"",""))),$K2912,0))</f>
        <v/>
      </c>
      <c r="V2912" s="6" t="str">
        <f>IF(AND($A2912&lt;&gt;"",$O2912=1,$L2912="Débit",N($Q2912)&gt;0,$A2912&gt;=Visualisation!$B$1,$A2912&lt;Visualisation!$D$1),MAX($V$1:V2911)+1,"")</f>
        <v/>
      </c>
    </row>
    <row r="2913" spans="1:22" x14ac:dyDescent="0.25">
      <c r="A2913" s="9"/>
      <c r="E2913" s="10"/>
      <c r="K2913" s="11" t="str">
        <f>IF($E2913="","",ROUND($E2913*IF(ISNA(MATCH($C2913,'Paramètres'!$D:$D,0)),1,IF(INDEX('Paramètres'!$J:$J,MATCH($C2913,'Paramètres'!$D:$D,0))="",1,INDEX('Paramètres'!$J:$J,MATCH($C2913,'Paramètres'!$D:$D,0)))),2))</f>
        <v/>
      </c>
      <c r="L2913" s="6" t="str">
        <f>IF($D2913="","",IF($F2913&lt;&gt;"",$F2913,IF(ISNA(MATCH($D2913,'Paramètres'!$M:$M,0)),"⚠ Type inconnu",IFERROR(INDEX('Paramètres'!$P:$P,MATCH($D2913,'Paramètres'!$M:$M,0))&amp;"",""))))</f>
        <v/>
      </c>
      <c r="M2913" s="6" t="str">
        <f>IF($D2913="","",IF(ISNA(MATCH($D2913,'Paramètres'!$M:$M,0)),"⚠ Type inconnu",IF($L2913="Crédit","",IFERROR(INDEX('Paramètres'!$O:$O,MATCH($D2913,'Paramètres'!$M:$M,0))&amp;"",""))))</f>
        <v/>
      </c>
      <c r="N2913" s="6" t="str">
        <f>IF($D2913="","",IFERROR(INDEX('Paramètres'!$Q:$Q,MATCH($D2913,'Paramètres'!$M:$M,0))&amp;"",""))</f>
        <v/>
      </c>
      <c r="O2913" s="6" t="str">
        <f>IF($A2913="","",IF(OR($J2913&lt;&gt;"x",$A2913&lt;=FinReleve),1,0))</f>
        <v/>
      </c>
      <c r="P2913" s="6" t="str">
        <f>IF($D2913="","",IF(AND($L2913="Crédit",OR(IFERROR(INDEX('Paramètres'!$O:$O,MATCH($D2913,'Paramètres'!$M:$M,0))&amp;"","")&lt;&gt;"",ISNUMBER(SEARCH("remboursement",IFERROR(INDEX('Paramètres'!$N:$N,MATCH($D2913,'Paramètres'!$M:$M,0))&amp;"",""))))),1,0))</f>
        <v/>
      </c>
      <c r="Q2913" s="6" t="str">
        <f>IF($K2913="","",IF(ISNUMBER(SEARCH("transfert-interne",IFERROR(INDEX('Paramètres'!$N:$N,MATCH($D2913,'Paramètres'!$M:$M,0))&amp;"",""))),0,IF($L2913="Débit",$K2913,IF($P2913=1,-$K2913,0))))</f>
        <v/>
      </c>
      <c r="R2913" s="6" t="str">
        <f>IF($K2913="","",IF($L2913="Crédit",$K2913,-$K2913))</f>
        <v/>
      </c>
      <c r="S2913" s="6" t="str">
        <f>IF($C2913="","",IFERROR(INDEX('Paramètres'!$H:$H,MATCH($C2913,'Paramètres'!$D:$D,0))&amp;"",""))</f>
        <v/>
      </c>
      <c r="T2913" s="6" t="str">
        <f>IF($K2913="","",IF($S2913="",0,IF(ISNUMBER(SEARCH("apport-exterieur",IFERROR(INDEX('Paramètres'!$N:$N,MATCH($D2913,'Paramètres'!$M:$M,0))&amp;"",""))),0,IF(OR(IFERROR(INDEX('Paramètres'!$I:$I,MATCH($C2913,'Paramètres'!$D:$D,0))&amp;"","")="Les deux",IFERROR(INDEX('Paramètres'!$I:$I,MATCH($C2913,'Paramètres'!$D:$D,0))&amp;"","")=IF($P2913=1,"Débit",$L2913)),-IF($P2913=1,-$K2913,$K2913),0))))</f>
        <v/>
      </c>
      <c r="U2913" s="6" t="str">
        <f>IF($K2913="","",IF(ISNUMBER(SEARCH("sortie-epargne",IFERROR(INDEX('Paramètres'!$N:$N,MATCH($D2913,'Paramètres'!$M:$M,0))&amp;"",""))),$K2913,0))</f>
        <v/>
      </c>
      <c r="V2913" s="6" t="str">
        <f>IF(AND($A2913&lt;&gt;"",$O2913=1,$L2913="Débit",N($Q2913)&gt;0,$A2913&gt;=Visualisation!$B$1,$A2913&lt;Visualisation!$D$1),MAX($V$1:V2912)+1,"")</f>
        <v/>
      </c>
    </row>
    <row r="2914" spans="1:22" x14ac:dyDescent="0.25">
      <c r="A2914" s="9"/>
      <c r="E2914" s="10"/>
      <c r="K2914" s="11" t="str">
        <f>IF($E2914="","",ROUND($E2914*IF(ISNA(MATCH($C2914,'Paramètres'!$D:$D,0)),1,IF(INDEX('Paramètres'!$J:$J,MATCH($C2914,'Paramètres'!$D:$D,0))="",1,INDEX('Paramètres'!$J:$J,MATCH($C2914,'Paramètres'!$D:$D,0)))),2))</f>
        <v/>
      </c>
      <c r="L2914" s="6" t="str">
        <f>IF($D2914="","",IF($F2914&lt;&gt;"",$F2914,IF(ISNA(MATCH($D2914,'Paramètres'!$M:$M,0)),"⚠ Type inconnu",IFERROR(INDEX('Paramètres'!$P:$P,MATCH($D2914,'Paramètres'!$M:$M,0))&amp;"",""))))</f>
        <v/>
      </c>
      <c r="M2914" s="6" t="str">
        <f>IF($D2914="","",IF(ISNA(MATCH($D2914,'Paramètres'!$M:$M,0)),"⚠ Type inconnu",IF($L2914="Crédit","",IFERROR(INDEX('Paramètres'!$O:$O,MATCH($D2914,'Paramètres'!$M:$M,0))&amp;"",""))))</f>
        <v/>
      </c>
      <c r="N2914" s="6" t="str">
        <f>IF($D2914="","",IFERROR(INDEX('Paramètres'!$Q:$Q,MATCH($D2914,'Paramètres'!$M:$M,0))&amp;"",""))</f>
        <v/>
      </c>
      <c r="O2914" s="6" t="str">
        <f>IF($A2914="","",IF(OR($J2914&lt;&gt;"x",$A2914&lt;=FinReleve),1,0))</f>
        <v/>
      </c>
      <c r="P2914" s="6" t="str">
        <f>IF($D2914="","",IF(AND($L2914="Crédit",OR(IFERROR(INDEX('Paramètres'!$O:$O,MATCH($D2914,'Paramètres'!$M:$M,0))&amp;"","")&lt;&gt;"",ISNUMBER(SEARCH("remboursement",IFERROR(INDEX('Paramètres'!$N:$N,MATCH($D2914,'Paramètres'!$M:$M,0))&amp;"",""))))),1,0))</f>
        <v/>
      </c>
      <c r="Q2914" s="6" t="str">
        <f>IF($K2914="","",IF(ISNUMBER(SEARCH("transfert-interne",IFERROR(INDEX('Paramètres'!$N:$N,MATCH($D2914,'Paramètres'!$M:$M,0))&amp;"",""))),0,IF($L2914="Débit",$K2914,IF($P2914=1,-$K2914,0))))</f>
        <v/>
      </c>
      <c r="R2914" s="6" t="str">
        <f>IF($K2914="","",IF($L2914="Crédit",$K2914,-$K2914))</f>
        <v/>
      </c>
      <c r="S2914" s="6" t="str">
        <f>IF($C2914="","",IFERROR(INDEX('Paramètres'!$H:$H,MATCH($C2914,'Paramètres'!$D:$D,0))&amp;"",""))</f>
        <v/>
      </c>
      <c r="T2914" s="6" t="str">
        <f>IF($K2914="","",IF($S2914="",0,IF(ISNUMBER(SEARCH("apport-exterieur",IFERROR(INDEX('Paramètres'!$N:$N,MATCH($D2914,'Paramètres'!$M:$M,0))&amp;"",""))),0,IF(OR(IFERROR(INDEX('Paramètres'!$I:$I,MATCH($C2914,'Paramètres'!$D:$D,0))&amp;"","")="Les deux",IFERROR(INDEX('Paramètres'!$I:$I,MATCH($C2914,'Paramètres'!$D:$D,0))&amp;"","")=IF($P2914=1,"Débit",$L2914)),-IF($P2914=1,-$K2914,$K2914),0))))</f>
        <v/>
      </c>
      <c r="U2914" s="6" t="str">
        <f>IF($K2914="","",IF(ISNUMBER(SEARCH("sortie-epargne",IFERROR(INDEX('Paramètres'!$N:$N,MATCH($D2914,'Paramètres'!$M:$M,0))&amp;"",""))),$K2914,0))</f>
        <v/>
      </c>
      <c r="V2914" s="6" t="str">
        <f>IF(AND($A2914&lt;&gt;"",$O2914=1,$L2914="Débit",N($Q2914)&gt;0,$A2914&gt;=Visualisation!$B$1,$A2914&lt;Visualisation!$D$1),MAX($V$1:V2913)+1,"")</f>
        <v/>
      </c>
    </row>
    <row r="2915" spans="1:22" x14ac:dyDescent="0.25">
      <c r="A2915" s="9"/>
      <c r="E2915" s="10"/>
      <c r="K2915" s="11" t="str">
        <f>IF($E2915="","",ROUND($E2915*IF(ISNA(MATCH($C2915,'Paramètres'!$D:$D,0)),1,IF(INDEX('Paramètres'!$J:$J,MATCH($C2915,'Paramètres'!$D:$D,0))="",1,INDEX('Paramètres'!$J:$J,MATCH($C2915,'Paramètres'!$D:$D,0)))),2))</f>
        <v/>
      </c>
      <c r="L2915" s="6" t="str">
        <f>IF($D2915="","",IF($F2915&lt;&gt;"",$F2915,IF(ISNA(MATCH($D2915,'Paramètres'!$M:$M,0)),"⚠ Type inconnu",IFERROR(INDEX('Paramètres'!$P:$P,MATCH($D2915,'Paramètres'!$M:$M,0))&amp;"",""))))</f>
        <v/>
      </c>
      <c r="M2915" s="6" t="str">
        <f>IF($D2915="","",IF(ISNA(MATCH($D2915,'Paramètres'!$M:$M,0)),"⚠ Type inconnu",IF($L2915="Crédit","",IFERROR(INDEX('Paramètres'!$O:$O,MATCH($D2915,'Paramètres'!$M:$M,0))&amp;"",""))))</f>
        <v/>
      </c>
      <c r="N2915" s="6" t="str">
        <f>IF($D2915="","",IFERROR(INDEX('Paramètres'!$Q:$Q,MATCH($D2915,'Paramètres'!$M:$M,0))&amp;"",""))</f>
        <v/>
      </c>
      <c r="O2915" s="6" t="str">
        <f>IF($A2915="","",IF(OR($J2915&lt;&gt;"x",$A2915&lt;=FinReleve),1,0))</f>
        <v/>
      </c>
      <c r="P2915" s="6" t="str">
        <f>IF($D2915="","",IF(AND($L2915="Crédit",OR(IFERROR(INDEX('Paramètres'!$O:$O,MATCH($D2915,'Paramètres'!$M:$M,0))&amp;"","")&lt;&gt;"",ISNUMBER(SEARCH("remboursement",IFERROR(INDEX('Paramètres'!$N:$N,MATCH($D2915,'Paramètres'!$M:$M,0))&amp;"",""))))),1,0))</f>
        <v/>
      </c>
      <c r="Q2915" s="6" t="str">
        <f>IF($K2915="","",IF(ISNUMBER(SEARCH("transfert-interne",IFERROR(INDEX('Paramètres'!$N:$N,MATCH($D2915,'Paramètres'!$M:$M,0))&amp;"",""))),0,IF($L2915="Débit",$K2915,IF($P2915=1,-$K2915,0))))</f>
        <v/>
      </c>
      <c r="R2915" s="6" t="str">
        <f>IF($K2915="","",IF($L2915="Crédit",$K2915,-$K2915))</f>
        <v/>
      </c>
      <c r="S2915" s="6" t="str">
        <f>IF($C2915="","",IFERROR(INDEX('Paramètres'!$H:$H,MATCH($C2915,'Paramètres'!$D:$D,0))&amp;"",""))</f>
        <v/>
      </c>
      <c r="T2915" s="6" t="str">
        <f>IF($K2915="","",IF($S2915="",0,IF(ISNUMBER(SEARCH("apport-exterieur",IFERROR(INDEX('Paramètres'!$N:$N,MATCH($D2915,'Paramètres'!$M:$M,0))&amp;"",""))),0,IF(OR(IFERROR(INDEX('Paramètres'!$I:$I,MATCH($C2915,'Paramètres'!$D:$D,0))&amp;"","")="Les deux",IFERROR(INDEX('Paramètres'!$I:$I,MATCH($C2915,'Paramètres'!$D:$D,0))&amp;"","")=IF($P2915=1,"Débit",$L2915)),-IF($P2915=1,-$K2915,$K2915),0))))</f>
        <v/>
      </c>
      <c r="U2915" s="6" t="str">
        <f>IF($K2915="","",IF(ISNUMBER(SEARCH("sortie-epargne",IFERROR(INDEX('Paramètres'!$N:$N,MATCH($D2915,'Paramètres'!$M:$M,0))&amp;"",""))),$K2915,0))</f>
        <v/>
      </c>
      <c r="V2915" s="6" t="str">
        <f>IF(AND($A2915&lt;&gt;"",$O2915=1,$L2915="Débit",N($Q2915)&gt;0,$A2915&gt;=Visualisation!$B$1,$A2915&lt;Visualisation!$D$1),MAX($V$1:V2914)+1,"")</f>
        <v/>
      </c>
    </row>
    <row r="2916" spans="1:22" x14ac:dyDescent="0.25">
      <c r="A2916" s="9"/>
      <c r="E2916" s="10"/>
      <c r="K2916" s="11" t="str">
        <f>IF($E2916="","",ROUND($E2916*IF(ISNA(MATCH($C2916,'Paramètres'!$D:$D,0)),1,IF(INDEX('Paramètres'!$J:$J,MATCH($C2916,'Paramètres'!$D:$D,0))="",1,INDEX('Paramètres'!$J:$J,MATCH($C2916,'Paramètres'!$D:$D,0)))),2))</f>
        <v/>
      </c>
      <c r="L2916" s="6" t="str">
        <f>IF($D2916="","",IF($F2916&lt;&gt;"",$F2916,IF(ISNA(MATCH($D2916,'Paramètres'!$M:$M,0)),"⚠ Type inconnu",IFERROR(INDEX('Paramètres'!$P:$P,MATCH($D2916,'Paramètres'!$M:$M,0))&amp;"",""))))</f>
        <v/>
      </c>
      <c r="M2916" s="6" t="str">
        <f>IF($D2916="","",IF(ISNA(MATCH($D2916,'Paramètres'!$M:$M,0)),"⚠ Type inconnu",IF($L2916="Crédit","",IFERROR(INDEX('Paramètres'!$O:$O,MATCH($D2916,'Paramètres'!$M:$M,0))&amp;"",""))))</f>
        <v/>
      </c>
      <c r="N2916" s="6" t="str">
        <f>IF($D2916="","",IFERROR(INDEX('Paramètres'!$Q:$Q,MATCH($D2916,'Paramètres'!$M:$M,0))&amp;"",""))</f>
        <v/>
      </c>
      <c r="O2916" s="6" t="str">
        <f>IF($A2916="","",IF(OR($J2916&lt;&gt;"x",$A2916&lt;=FinReleve),1,0))</f>
        <v/>
      </c>
      <c r="P2916" s="6" t="str">
        <f>IF($D2916="","",IF(AND($L2916="Crédit",OR(IFERROR(INDEX('Paramètres'!$O:$O,MATCH($D2916,'Paramètres'!$M:$M,0))&amp;"","")&lt;&gt;"",ISNUMBER(SEARCH("remboursement",IFERROR(INDEX('Paramètres'!$N:$N,MATCH($D2916,'Paramètres'!$M:$M,0))&amp;"",""))))),1,0))</f>
        <v/>
      </c>
      <c r="Q2916" s="6" t="str">
        <f>IF($K2916="","",IF(ISNUMBER(SEARCH("transfert-interne",IFERROR(INDEX('Paramètres'!$N:$N,MATCH($D2916,'Paramètres'!$M:$M,0))&amp;"",""))),0,IF($L2916="Débit",$K2916,IF($P2916=1,-$K2916,0))))</f>
        <v/>
      </c>
      <c r="R2916" s="6" t="str">
        <f>IF($K2916="","",IF($L2916="Crédit",$K2916,-$K2916))</f>
        <v/>
      </c>
      <c r="S2916" s="6" t="str">
        <f>IF($C2916="","",IFERROR(INDEX('Paramètres'!$H:$H,MATCH($C2916,'Paramètres'!$D:$D,0))&amp;"",""))</f>
        <v/>
      </c>
      <c r="T2916" s="6" t="str">
        <f>IF($K2916="","",IF($S2916="",0,IF(ISNUMBER(SEARCH("apport-exterieur",IFERROR(INDEX('Paramètres'!$N:$N,MATCH($D2916,'Paramètres'!$M:$M,0))&amp;"",""))),0,IF(OR(IFERROR(INDEX('Paramètres'!$I:$I,MATCH($C2916,'Paramètres'!$D:$D,0))&amp;"","")="Les deux",IFERROR(INDEX('Paramètres'!$I:$I,MATCH($C2916,'Paramètres'!$D:$D,0))&amp;"","")=IF($P2916=1,"Débit",$L2916)),-IF($P2916=1,-$K2916,$K2916),0))))</f>
        <v/>
      </c>
      <c r="U2916" s="6" t="str">
        <f>IF($K2916="","",IF(ISNUMBER(SEARCH("sortie-epargne",IFERROR(INDEX('Paramètres'!$N:$N,MATCH($D2916,'Paramètres'!$M:$M,0))&amp;"",""))),$K2916,0))</f>
        <v/>
      </c>
      <c r="V2916" s="6" t="str">
        <f>IF(AND($A2916&lt;&gt;"",$O2916=1,$L2916="Débit",N($Q2916)&gt;0,$A2916&gt;=Visualisation!$B$1,$A2916&lt;Visualisation!$D$1),MAX($V$1:V2915)+1,"")</f>
        <v/>
      </c>
    </row>
    <row r="2917" spans="1:22" x14ac:dyDescent="0.25">
      <c r="A2917" s="9"/>
      <c r="E2917" s="10"/>
      <c r="K2917" s="11" t="str">
        <f>IF($E2917="","",ROUND($E2917*IF(ISNA(MATCH($C2917,'Paramètres'!$D:$D,0)),1,IF(INDEX('Paramètres'!$J:$J,MATCH($C2917,'Paramètres'!$D:$D,0))="",1,INDEX('Paramètres'!$J:$J,MATCH($C2917,'Paramètres'!$D:$D,0)))),2))</f>
        <v/>
      </c>
      <c r="L2917" s="6" t="str">
        <f>IF($D2917="","",IF($F2917&lt;&gt;"",$F2917,IF(ISNA(MATCH($D2917,'Paramètres'!$M:$M,0)),"⚠ Type inconnu",IFERROR(INDEX('Paramètres'!$P:$P,MATCH($D2917,'Paramètres'!$M:$M,0))&amp;"",""))))</f>
        <v/>
      </c>
      <c r="M2917" s="6" t="str">
        <f>IF($D2917="","",IF(ISNA(MATCH($D2917,'Paramètres'!$M:$M,0)),"⚠ Type inconnu",IF($L2917="Crédit","",IFERROR(INDEX('Paramètres'!$O:$O,MATCH($D2917,'Paramètres'!$M:$M,0))&amp;"",""))))</f>
        <v/>
      </c>
      <c r="N2917" s="6" t="str">
        <f>IF($D2917="","",IFERROR(INDEX('Paramètres'!$Q:$Q,MATCH($D2917,'Paramètres'!$M:$M,0))&amp;"",""))</f>
        <v/>
      </c>
      <c r="O2917" s="6" t="str">
        <f>IF($A2917="","",IF(OR($J2917&lt;&gt;"x",$A2917&lt;=FinReleve),1,0))</f>
        <v/>
      </c>
      <c r="P2917" s="6" t="str">
        <f>IF($D2917="","",IF(AND($L2917="Crédit",OR(IFERROR(INDEX('Paramètres'!$O:$O,MATCH($D2917,'Paramètres'!$M:$M,0))&amp;"","")&lt;&gt;"",ISNUMBER(SEARCH("remboursement",IFERROR(INDEX('Paramètres'!$N:$N,MATCH($D2917,'Paramètres'!$M:$M,0))&amp;"",""))))),1,0))</f>
        <v/>
      </c>
      <c r="Q2917" s="6" t="str">
        <f>IF($K2917="","",IF(ISNUMBER(SEARCH("transfert-interne",IFERROR(INDEX('Paramètres'!$N:$N,MATCH($D2917,'Paramètres'!$M:$M,0))&amp;"",""))),0,IF($L2917="Débit",$K2917,IF($P2917=1,-$K2917,0))))</f>
        <v/>
      </c>
      <c r="R2917" s="6" t="str">
        <f>IF($K2917="","",IF($L2917="Crédit",$K2917,-$K2917))</f>
        <v/>
      </c>
      <c r="S2917" s="6" t="str">
        <f>IF($C2917="","",IFERROR(INDEX('Paramètres'!$H:$H,MATCH($C2917,'Paramètres'!$D:$D,0))&amp;"",""))</f>
        <v/>
      </c>
      <c r="T2917" s="6" t="str">
        <f>IF($K2917="","",IF($S2917="",0,IF(ISNUMBER(SEARCH("apport-exterieur",IFERROR(INDEX('Paramètres'!$N:$N,MATCH($D2917,'Paramètres'!$M:$M,0))&amp;"",""))),0,IF(OR(IFERROR(INDEX('Paramètres'!$I:$I,MATCH($C2917,'Paramètres'!$D:$D,0))&amp;"","")="Les deux",IFERROR(INDEX('Paramètres'!$I:$I,MATCH($C2917,'Paramètres'!$D:$D,0))&amp;"","")=IF($P2917=1,"Débit",$L2917)),-IF($P2917=1,-$K2917,$K2917),0))))</f>
        <v/>
      </c>
      <c r="U2917" s="6" t="str">
        <f>IF($K2917="","",IF(ISNUMBER(SEARCH("sortie-epargne",IFERROR(INDEX('Paramètres'!$N:$N,MATCH($D2917,'Paramètres'!$M:$M,0))&amp;"",""))),$K2917,0))</f>
        <v/>
      </c>
      <c r="V2917" s="6" t="str">
        <f>IF(AND($A2917&lt;&gt;"",$O2917=1,$L2917="Débit",N($Q2917)&gt;0,$A2917&gt;=Visualisation!$B$1,$A2917&lt;Visualisation!$D$1),MAX($V$1:V2916)+1,"")</f>
        <v/>
      </c>
    </row>
    <row r="2918" spans="1:22" x14ac:dyDescent="0.25">
      <c r="A2918" s="9"/>
      <c r="E2918" s="10"/>
      <c r="K2918" s="11" t="str">
        <f>IF($E2918="","",ROUND($E2918*IF(ISNA(MATCH($C2918,'Paramètres'!$D:$D,0)),1,IF(INDEX('Paramètres'!$J:$J,MATCH($C2918,'Paramètres'!$D:$D,0))="",1,INDEX('Paramètres'!$J:$J,MATCH($C2918,'Paramètres'!$D:$D,0)))),2))</f>
        <v/>
      </c>
      <c r="L2918" s="6" t="str">
        <f>IF($D2918="","",IF($F2918&lt;&gt;"",$F2918,IF(ISNA(MATCH($D2918,'Paramètres'!$M:$M,0)),"⚠ Type inconnu",IFERROR(INDEX('Paramètres'!$P:$P,MATCH($D2918,'Paramètres'!$M:$M,0))&amp;"",""))))</f>
        <v/>
      </c>
      <c r="M2918" s="6" t="str">
        <f>IF($D2918="","",IF(ISNA(MATCH($D2918,'Paramètres'!$M:$M,0)),"⚠ Type inconnu",IF($L2918="Crédit","",IFERROR(INDEX('Paramètres'!$O:$O,MATCH($D2918,'Paramètres'!$M:$M,0))&amp;"",""))))</f>
        <v/>
      </c>
      <c r="N2918" s="6" t="str">
        <f>IF($D2918="","",IFERROR(INDEX('Paramètres'!$Q:$Q,MATCH($D2918,'Paramètres'!$M:$M,0))&amp;"",""))</f>
        <v/>
      </c>
      <c r="O2918" s="6" t="str">
        <f>IF($A2918="","",IF(OR($J2918&lt;&gt;"x",$A2918&lt;=FinReleve),1,0))</f>
        <v/>
      </c>
      <c r="P2918" s="6" t="str">
        <f>IF($D2918="","",IF(AND($L2918="Crédit",OR(IFERROR(INDEX('Paramètres'!$O:$O,MATCH($D2918,'Paramètres'!$M:$M,0))&amp;"","")&lt;&gt;"",ISNUMBER(SEARCH("remboursement",IFERROR(INDEX('Paramètres'!$N:$N,MATCH($D2918,'Paramètres'!$M:$M,0))&amp;"",""))))),1,0))</f>
        <v/>
      </c>
      <c r="Q2918" s="6" t="str">
        <f>IF($K2918="","",IF(ISNUMBER(SEARCH("transfert-interne",IFERROR(INDEX('Paramètres'!$N:$N,MATCH($D2918,'Paramètres'!$M:$M,0))&amp;"",""))),0,IF($L2918="Débit",$K2918,IF($P2918=1,-$K2918,0))))</f>
        <v/>
      </c>
      <c r="R2918" s="6" t="str">
        <f>IF($K2918="","",IF($L2918="Crédit",$K2918,-$K2918))</f>
        <v/>
      </c>
      <c r="S2918" s="6" t="str">
        <f>IF($C2918="","",IFERROR(INDEX('Paramètres'!$H:$H,MATCH($C2918,'Paramètres'!$D:$D,0))&amp;"",""))</f>
        <v/>
      </c>
      <c r="T2918" s="6" t="str">
        <f>IF($K2918="","",IF($S2918="",0,IF(ISNUMBER(SEARCH("apport-exterieur",IFERROR(INDEX('Paramètres'!$N:$N,MATCH($D2918,'Paramètres'!$M:$M,0))&amp;"",""))),0,IF(OR(IFERROR(INDEX('Paramètres'!$I:$I,MATCH($C2918,'Paramètres'!$D:$D,0))&amp;"","")="Les deux",IFERROR(INDEX('Paramètres'!$I:$I,MATCH($C2918,'Paramètres'!$D:$D,0))&amp;"","")=IF($P2918=1,"Débit",$L2918)),-IF($P2918=1,-$K2918,$K2918),0))))</f>
        <v/>
      </c>
      <c r="U2918" s="6" t="str">
        <f>IF($K2918="","",IF(ISNUMBER(SEARCH("sortie-epargne",IFERROR(INDEX('Paramètres'!$N:$N,MATCH($D2918,'Paramètres'!$M:$M,0))&amp;"",""))),$K2918,0))</f>
        <v/>
      </c>
      <c r="V2918" s="6" t="str">
        <f>IF(AND($A2918&lt;&gt;"",$O2918=1,$L2918="Débit",N($Q2918)&gt;0,$A2918&gt;=Visualisation!$B$1,$A2918&lt;Visualisation!$D$1),MAX($V$1:V2917)+1,"")</f>
        <v/>
      </c>
    </row>
    <row r="2919" spans="1:22" x14ac:dyDescent="0.25">
      <c r="A2919" s="9"/>
      <c r="E2919" s="10"/>
      <c r="K2919" s="11" t="str">
        <f>IF($E2919="","",ROUND($E2919*IF(ISNA(MATCH($C2919,'Paramètres'!$D:$D,0)),1,IF(INDEX('Paramètres'!$J:$J,MATCH($C2919,'Paramètres'!$D:$D,0))="",1,INDEX('Paramètres'!$J:$J,MATCH($C2919,'Paramètres'!$D:$D,0)))),2))</f>
        <v/>
      </c>
      <c r="L2919" s="6" t="str">
        <f>IF($D2919="","",IF($F2919&lt;&gt;"",$F2919,IF(ISNA(MATCH($D2919,'Paramètres'!$M:$M,0)),"⚠ Type inconnu",IFERROR(INDEX('Paramètres'!$P:$P,MATCH($D2919,'Paramètres'!$M:$M,0))&amp;"",""))))</f>
        <v/>
      </c>
      <c r="M2919" s="6" t="str">
        <f>IF($D2919="","",IF(ISNA(MATCH($D2919,'Paramètres'!$M:$M,0)),"⚠ Type inconnu",IF($L2919="Crédit","",IFERROR(INDEX('Paramètres'!$O:$O,MATCH($D2919,'Paramètres'!$M:$M,0))&amp;"",""))))</f>
        <v/>
      </c>
      <c r="N2919" s="6" t="str">
        <f>IF($D2919="","",IFERROR(INDEX('Paramètres'!$Q:$Q,MATCH($D2919,'Paramètres'!$M:$M,0))&amp;"",""))</f>
        <v/>
      </c>
      <c r="O2919" s="6" t="str">
        <f>IF($A2919="","",IF(OR($J2919&lt;&gt;"x",$A2919&lt;=FinReleve),1,0))</f>
        <v/>
      </c>
      <c r="P2919" s="6" t="str">
        <f>IF($D2919="","",IF(AND($L2919="Crédit",OR(IFERROR(INDEX('Paramètres'!$O:$O,MATCH($D2919,'Paramètres'!$M:$M,0))&amp;"","")&lt;&gt;"",ISNUMBER(SEARCH("remboursement",IFERROR(INDEX('Paramètres'!$N:$N,MATCH($D2919,'Paramètres'!$M:$M,0))&amp;"",""))))),1,0))</f>
        <v/>
      </c>
      <c r="Q2919" s="6" t="str">
        <f>IF($K2919="","",IF(ISNUMBER(SEARCH("transfert-interne",IFERROR(INDEX('Paramètres'!$N:$N,MATCH($D2919,'Paramètres'!$M:$M,0))&amp;"",""))),0,IF($L2919="Débit",$K2919,IF($P2919=1,-$K2919,0))))</f>
        <v/>
      </c>
      <c r="R2919" s="6" t="str">
        <f>IF($K2919="","",IF($L2919="Crédit",$K2919,-$K2919))</f>
        <v/>
      </c>
      <c r="S2919" s="6" t="str">
        <f>IF($C2919="","",IFERROR(INDEX('Paramètres'!$H:$H,MATCH($C2919,'Paramètres'!$D:$D,0))&amp;"",""))</f>
        <v/>
      </c>
      <c r="T2919" s="6" t="str">
        <f>IF($K2919="","",IF($S2919="",0,IF(ISNUMBER(SEARCH("apport-exterieur",IFERROR(INDEX('Paramètres'!$N:$N,MATCH($D2919,'Paramètres'!$M:$M,0))&amp;"",""))),0,IF(OR(IFERROR(INDEX('Paramètres'!$I:$I,MATCH($C2919,'Paramètres'!$D:$D,0))&amp;"","")="Les deux",IFERROR(INDEX('Paramètres'!$I:$I,MATCH($C2919,'Paramètres'!$D:$D,0))&amp;"","")=IF($P2919=1,"Débit",$L2919)),-IF($P2919=1,-$K2919,$K2919),0))))</f>
        <v/>
      </c>
      <c r="U2919" s="6" t="str">
        <f>IF($K2919="","",IF(ISNUMBER(SEARCH("sortie-epargne",IFERROR(INDEX('Paramètres'!$N:$N,MATCH($D2919,'Paramètres'!$M:$M,0))&amp;"",""))),$K2919,0))</f>
        <v/>
      </c>
      <c r="V2919" s="6" t="str">
        <f>IF(AND($A2919&lt;&gt;"",$O2919=1,$L2919="Débit",N($Q2919)&gt;0,$A2919&gt;=Visualisation!$B$1,$A2919&lt;Visualisation!$D$1),MAX($V$1:V2918)+1,"")</f>
        <v/>
      </c>
    </row>
    <row r="2920" spans="1:22" x14ac:dyDescent="0.25">
      <c r="A2920" s="9"/>
      <c r="E2920" s="10"/>
      <c r="K2920" s="11" t="str">
        <f>IF($E2920="","",ROUND($E2920*IF(ISNA(MATCH($C2920,'Paramètres'!$D:$D,0)),1,IF(INDEX('Paramètres'!$J:$J,MATCH($C2920,'Paramètres'!$D:$D,0))="",1,INDEX('Paramètres'!$J:$J,MATCH($C2920,'Paramètres'!$D:$D,0)))),2))</f>
        <v/>
      </c>
      <c r="L2920" s="6" t="str">
        <f>IF($D2920="","",IF($F2920&lt;&gt;"",$F2920,IF(ISNA(MATCH($D2920,'Paramètres'!$M:$M,0)),"⚠ Type inconnu",IFERROR(INDEX('Paramètres'!$P:$P,MATCH($D2920,'Paramètres'!$M:$M,0))&amp;"",""))))</f>
        <v/>
      </c>
      <c r="M2920" s="6" t="str">
        <f>IF($D2920="","",IF(ISNA(MATCH($D2920,'Paramètres'!$M:$M,0)),"⚠ Type inconnu",IF($L2920="Crédit","",IFERROR(INDEX('Paramètres'!$O:$O,MATCH($D2920,'Paramètres'!$M:$M,0))&amp;"",""))))</f>
        <v/>
      </c>
      <c r="N2920" s="6" t="str">
        <f>IF($D2920="","",IFERROR(INDEX('Paramètres'!$Q:$Q,MATCH($D2920,'Paramètres'!$M:$M,0))&amp;"",""))</f>
        <v/>
      </c>
      <c r="O2920" s="6" t="str">
        <f>IF($A2920="","",IF(OR($J2920&lt;&gt;"x",$A2920&lt;=FinReleve),1,0))</f>
        <v/>
      </c>
      <c r="P2920" s="6" t="str">
        <f>IF($D2920="","",IF(AND($L2920="Crédit",OR(IFERROR(INDEX('Paramètres'!$O:$O,MATCH($D2920,'Paramètres'!$M:$M,0))&amp;"","")&lt;&gt;"",ISNUMBER(SEARCH("remboursement",IFERROR(INDEX('Paramètres'!$N:$N,MATCH($D2920,'Paramètres'!$M:$M,0))&amp;"",""))))),1,0))</f>
        <v/>
      </c>
      <c r="Q2920" s="6" t="str">
        <f>IF($K2920="","",IF(ISNUMBER(SEARCH("transfert-interne",IFERROR(INDEX('Paramètres'!$N:$N,MATCH($D2920,'Paramètres'!$M:$M,0))&amp;"",""))),0,IF($L2920="Débit",$K2920,IF($P2920=1,-$K2920,0))))</f>
        <v/>
      </c>
      <c r="R2920" s="6" t="str">
        <f>IF($K2920="","",IF($L2920="Crédit",$K2920,-$K2920))</f>
        <v/>
      </c>
      <c r="S2920" s="6" t="str">
        <f>IF($C2920="","",IFERROR(INDEX('Paramètres'!$H:$H,MATCH($C2920,'Paramètres'!$D:$D,0))&amp;"",""))</f>
        <v/>
      </c>
      <c r="T2920" s="6" t="str">
        <f>IF($K2920="","",IF($S2920="",0,IF(ISNUMBER(SEARCH("apport-exterieur",IFERROR(INDEX('Paramètres'!$N:$N,MATCH($D2920,'Paramètres'!$M:$M,0))&amp;"",""))),0,IF(OR(IFERROR(INDEX('Paramètres'!$I:$I,MATCH($C2920,'Paramètres'!$D:$D,0))&amp;"","")="Les deux",IFERROR(INDEX('Paramètres'!$I:$I,MATCH($C2920,'Paramètres'!$D:$D,0))&amp;"","")=IF($P2920=1,"Débit",$L2920)),-IF($P2920=1,-$K2920,$K2920),0))))</f>
        <v/>
      </c>
      <c r="U2920" s="6" t="str">
        <f>IF($K2920="","",IF(ISNUMBER(SEARCH("sortie-epargne",IFERROR(INDEX('Paramètres'!$N:$N,MATCH($D2920,'Paramètres'!$M:$M,0))&amp;"",""))),$K2920,0))</f>
        <v/>
      </c>
      <c r="V2920" s="6" t="str">
        <f>IF(AND($A2920&lt;&gt;"",$O2920=1,$L2920="Débit",N($Q2920)&gt;0,$A2920&gt;=Visualisation!$B$1,$A2920&lt;Visualisation!$D$1),MAX($V$1:V2919)+1,"")</f>
        <v/>
      </c>
    </row>
    <row r="2921" spans="1:22" x14ac:dyDescent="0.25">
      <c r="A2921" s="9"/>
      <c r="E2921" s="10"/>
      <c r="K2921" s="11" t="str">
        <f>IF($E2921="","",ROUND($E2921*IF(ISNA(MATCH($C2921,'Paramètres'!$D:$D,0)),1,IF(INDEX('Paramètres'!$J:$J,MATCH($C2921,'Paramètres'!$D:$D,0))="",1,INDEX('Paramètres'!$J:$J,MATCH($C2921,'Paramètres'!$D:$D,0)))),2))</f>
        <v/>
      </c>
      <c r="L2921" s="6" t="str">
        <f>IF($D2921="","",IF($F2921&lt;&gt;"",$F2921,IF(ISNA(MATCH($D2921,'Paramètres'!$M:$M,0)),"⚠ Type inconnu",IFERROR(INDEX('Paramètres'!$P:$P,MATCH($D2921,'Paramètres'!$M:$M,0))&amp;"",""))))</f>
        <v/>
      </c>
      <c r="M2921" s="6" t="str">
        <f>IF($D2921="","",IF(ISNA(MATCH($D2921,'Paramètres'!$M:$M,0)),"⚠ Type inconnu",IF($L2921="Crédit","",IFERROR(INDEX('Paramètres'!$O:$O,MATCH($D2921,'Paramètres'!$M:$M,0))&amp;"",""))))</f>
        <v/>
      </c>
      <c r="N2921" s="6" t="str">
        <f>IF($D2921="","",IFERROR(INDEX('Paramètres'!$Q:$Q,MATCH($D2921,'Paramètres'!$M:$M,0))&amp;"",""))</f>
        <v/>
      </c>
      <c r="O2921" s="6" t="str">
        <f>IF($A2921="","",IF(OR($J2921&lt;&gt;"x",$A2921&lt;=FinReleve),1,0))</f>
        <v/>
      </c>
      <c r="P2921" s="6" t="str">
        <f>IF($D2921="","",IF(AND($L2921="Crédit",OR(IFERROR(INDEX('Paramètres'!$O:$O,MATCH($D2921,'Paramètres'!$M:$M,0))&amp;"","")&lt;&gt;"",ISNUMBER(SEARCH("remboursement",IFERROR(INDEX('Paramètres'!$N:$N,MATCH($D2921,'Paramètres'!$M:$M,0))&amp;"",""))))),1,0))</f>
        <v/>
      </c>
      <c r="Q2921" s="6" t="str">
        <f>IF($K2921="","",IF(ISNUMBER(SEARCH("transfert-interne",IFERROR(INDEX('Paramètres'!$N:$N,MATCH($D2921,'Paramètres'!$M:$M,0))&amp;"",""))),0,IF($L2921="Débit",$K2921,IF($P2921=1,-$K2921,0))))</f>
        <v/>
      </c>
      <c r="R2921" s="6" t="str">
        <f>IF($K2921="","",IF($L2921="Crédit",$K2921,-$K2921))</f>
        <v/>
      </c>
      <c r="S2921" s="6" t="str">
        <f>IF($C2921="","",IFERROR(INDEX('Paramètres'!$H:$H,MATCH($C2921,'Paramètres'!$D:$D,0))&amp;"",""))</f>
        <v/>
      </c>
      <c r="T2921" s="6" t="str">
        <f>IF($K2921="","",IF($S2921="",0,IF(ISNUMBER(SEARCH("apport-exterieur",IFERROR(INDEX('Paramètres'!$N:$N,MATCH($D2921,'Paramètres'!$M:$M,0))&amp;"",""))),0,IF(OR(IFERROR(INDEX('Paramètres'!$I:$I,MATCH($C2921,'Paramètres'!$D:$D,0))&amp;"","")="Les deux",IFERROR(INDEX('Paramètres'!$I:$I,MATCH($C2921,'Paramètres'!$D:$D,0))&amp;"","")=IF($P2921=1,"Débit",$L2921)),-IF($P2921=1,-$K2921,$K2921),0))))</f>
        <v/>
      </c>
      <c r="U2921" s="6" t="str">
        <f>IF($K2921="","",IF(ISNUMBER(SEARCH("sortie-epargne",IFERROR(INDEX('Paramètres'!$N:$N,MATCH($D2921,'Paramètres'!$M:$M,0))&amp;"",""))),$K2921,0))</f>
        <v/>
      </c>
      <c r="V2921" s="6" t="str">
        <f>IF(AND($A2921&lt;&gt;"",$O2921=1,$L2921="Débit",N($Q2921)&gt;0,$A2921&gt;=Visualisation!$B$1,$A2921&lt;Visualisation!$D$1),MAX($V$1:V2920)+1,"")</f>
        <v/>
      </c>
    </row>
    <row r="2922" spans="1:22" x14ac:dyDescent="0.25">
      <c r="A2922" s="9"/>
      <c r="E2922" s="10"/>
      <c r="K2922" s="11" t="str">
        <f>IF($E2922="","",ROUND($E2922*IF(ISNA(MATCH($C2922,'Paramètres'!$D:$D,0)),1,IF(INDEX('Paramètres'!$J:$J,MATCH($C2922,'Paramètres'!$D:$D,0))="",1,INDEX('Paramètres'!$J:$J,MATCH($C2922,'Paramètres'!$D:$D,0)))),2))</f>
        <v/>
      </c>
      <c r="L2922" s="6" t="str">
        <f>IF($D2922="","",IF($F2922&lt;&gt;"",$F2922,IF(ISNA(MATCH($D2922,'Paramètres'!$M:$M,0)),"⚠ Type inconnu",IFERROR(INDEX('Paramètres'!$P:$P,MATCH($D2922,'Paramètres'!$M:$M,0))&amp;"",""))))</f>
        <v/>
      </c>
      <c r="M2922" s="6" t="str">
        <f>IF($D2922="","",IF(ISNA(MATCH($D2922,'Paramètres'!$M:$M,0)),"⚠ Type inconnu",IF($L2922="Crédit","",IFERROR(INDEX('Paramètres'!$O:$O,MATCH($D2922,'Paramètres'!$M:$M,0))&amp;"",""))))</f>
        <v/>
      </c>
      <c r="N2922" s="6" t="str">
        <f>IF($D2922="","",IFERROR(INDEX('Paramètres'!$Q:$Q,MATCH($D2922,'Paramètres'!$M:$M,0))&amp;"",""))</f>
        <v/>
      </c>
      <c r="O2922" s="6" t="str">
        <f>IF($A2922="","",IF(OR($J2922&lt;&gt;"x",$A2922&lt;=FinReleve),1,0))</f>
        <v/>
      </c>
      <c r="P2922" s="6" t="str">
        <f>IF($D2922="","",IF(AND($L2922="Crédit",OR(IFERROR(INDEX('Paramètres'!$O:$O,MATCH($D2922,'Paramètres'!$M:$M,0))&amp;"","")&lt;&gt;"",ISNUMBER(SEARCH("remboursement",IFERROR(INDEX('Paramètres'!$N:$N,MATCH($D2922,'Paramètres'!$M:$M,0))&amp;"",""))))),1,0))</f>
        <v/>
      </c>
      <c r="Q2922" s="6" t="str">
        <f>IF($K2922="","",IF(ISNUMBER(SEARCH("transfert-interne",IFERROR(INDEX('Paramètres'!$N:$N,MATCH($D2922,'Paramètres'!$M:$M,0))&amp;"",""))),0,IF($L2922="Débit",$K2922,IF($P2922=1,-$K2922,0))))</f>
        <v/>
      </c>
      <c r="R2922" s="6" t="str">
        <f>IF($K2922="","",IF($L2922="Crédit",$K2922,-$K2922))</f>
        <v/>
      </c>
      <c r="S2922" s="6" t="str">
        <f>IF($C2922="","",IFERROR(INDEX('Paramètres'!$H:$H,MATCH($C2922,'Paramètres'!$D:$D,0))&amp;"",""))</f>
        <v/>
      </c>
      <c r="T2922" s="6" t="str">
        <f>IF($K2922="","",IF($S2922="",0,IF(ISNUMBER(SEARCH("apport-exterieur",IFERROR(INDEX('Paramètres'!$N:$N,MATCH($D2922,'Paramètres'!$M:$M,0))&amp;"",""))),0,IF(OR(IFERROR(INDEX('Paramètres'!$I:$I,MATCH($C2922,'Paramètres'!$D:$D,0))&amp;"","")="Les deux",IFERROR(INDEX('Paramètres'!$I:$I,MATCH($C2922,'Paramètres'!$D:$D,0))&amp;"","")=IF($P2922=1,"Débit",$L2922)),-IF($P2922=1,-$K2922,$K2922),0))))</f>
        <v/>
      </c>
      <c r="U2922" s="6" t="str">
        <f>IF($K2922="","",IF(ISNUMBER(SEARCH("sortie-epargne",IFERROR(INDEX('Paramètres'!$N:$N,MATCH($D2922,'Paramètres'!$M:$M,0))&amp;"",""))),$K2922,0))</f>
        <v/>
      </c>
      <c r="V2922" s="6" t="str">
        <f>IF(AND($A2922&lt;&gt;"",$O2922=1,$L2922="Débit",N($Q2922)&gt;0,$A2922&gt;=Visualisation!$B$1,$A2922&lt;Visualisation!$D$1),MAX($V$1:V2921)+1,"")</f>
        <v/>
      </c>
    </row>
    <row r="2923" spans="1:22" x14ac:dyDescent="0.25">
      <c r="A2923" s="9"/>
      <c r="E2923" s="10"/>
      <c r="K2923" s="11" t="str">
        <f>IF($E2923="","",ROUND($E2923*IF(ISNA(MATCH($C2923,'Paramètres'!$D:$D,0)),1,IF(INDEX('Paramètres'!$J:$J,MATCH($C2923,'Paramètres'!$D:$D,0))="",1,INDEX('Paramètres'!$J:$J,MATCH($C2923,'Paramètres'!$D:$D,0)))),2))</f>
        <v/>
      </c>
      <c r="L2923" s="6" t="str">
        <f>IF($D2923="","",IF($F2923&lt;&gt;"",$F2923,IF(ISNA(MATCH($D2923,'Paramètres'!$M:$M,0)),"⚠ Type inconnu",IFERROR(INDEX('Paramètres'!$P:$P,MATCH($D2923,'Paramètres'!$M:$M,0))&amp;"",""))))</f>
        <v/>
      </c>
      <c r="M2923" s="6" t="str">
        <f>IF($D2923="","",IF(ISNA(MATCH($D2923,'Paramètres'!$M:$M,0)),"⚠ Type inconnu",IF($L2923="Crédit","",IFERROR(INDEX('Paramètres'!$O:$O,MATCH($D2923,'Paramètres'!$M:$M,0))&amp;"",""))))</f>
        <v/>
      </c>
      <c r="N2923" s="6" t="str">
        <f>IF($D2923="","",IFERROR(INDEX('Paramètres'!$Q:$Q,MATCH($D2923,'Paramètres'!$M:$M,0))&amp;"",""))</f>
        <v/>
      </c>
      <c r="O2923" s="6" t="str">
        <f>IF($A2923="","",IF(OR($J2923&lt;&gt;"x",$A2923&lt;=FinReleve),1,0))</f>
        <v/>
      </c>
      <c r="P2923" s="6" t="str">
        <f>IF($D2923="","",IF(AND($L2923="Crédit",OR(IFERROR(INDEX('Paramètres'!$O:$O,MATCH($D2923,'Paramètres'!$M:$M,0))&amp;"","")&lt;&gt;"",ISNUMBER(SEARCH("remboursement",IFERROR(INDEX('Paramètres'!$N:$N,MATCH($D2923,'Paramètres'!$M:$M,0))&amp;"",""))))),1,0))</f>
        <v/>
      </c>
      <c r="Q2923" s="6" t="str">
        <f>IF($K2923="","",IF(ISNUMBER(SEARCH("transfert-interne",IFERROR(INDEX('Paramètres'!$N:$N,MATCH($D2923,'Paramètres'!$M:$M,0))&amp;"",""))),0,IF($L2923="Débit",$K2923,IF($P2923=1,-$K2923,0))))</f>
        <v/>
      </c>
      <c r="R2923" s="6" t="str">
        <f>IF($K2923="","",IF($L2923="Crédit",$K2923,-$K2923))</f>
        <v/>
      </c>
      <c r="S2923" s="6" t="str">
        <f>IF($C2923="","",IFERROR(INDEX('Paramètres'!$H:$H,MATCH($C2923,'Paramètres'!$D:$D,0))&amp;"",""))</f>
        <v/>
      </c>
      <c r="T2923" s="6" t="str">
        <f>IF($K2923="","",IF($S2923="",0,IF(ISNUMBER(SEARCH("apport-exterieur",IFERROR(INDEX('Paramètres'!$N:$N,MATCH($D2923,'Paramètres'!$M:$M,0))&amp;"",""))),0,IF(OR(IFERROR(INDEX('Paramètres'!$I:$I,MATCH($C2923,'Paramètres'!$D:$D,0))&amp;"","")="Les deux",IFERROR(INDEX('Paramètres'!$I:$I,MATCH($C2923,'Paramètres'!$D:$D,0))&amp;"","")=IF($P2923=1,"Débit",$L2923)),-IF($P2923=1,-$K2923,$K2923),0))))</f>
        <v/>
      </c>
      <c r="U2923" s="6" t="str">
        <f>IF($K2923="","",IF(ISNUMBER(SEARCH("sortie-epargne",IFERROR(INDEX('Paramètres'!$N:$N,MATCH($D2923,'Paramètres'!$M:$M,0))&amp;"",""))),$K2923,0))</f>
        <v/>
      </c>
      <c r="V2923" s="6" t="str">
        <f>IF(AND($A2923&lt;&gt;"",$O2923=1,$L2923="Débit",N($Q2923)&gt;0,$A2923&gt;=Visualisation!$B$1,$A2923&lt;Visualisation!$D$1),MAX($V$1:V2922)+1,"")</f>
        <v/>
      </c>
    </row>
    <row r="2924" spans="1:22" x14ac:dyDescent="0.25">
      <c r="A2924" s="9"/>
      <c r="E2924" s="10"/>
      <c r="K2924" s="11" t="str">
        <f>IF($E2924="","",ROUND($E2924*IF(ISNA(MATCH($C2924,'Paramètres'!$D:$D,0)),1,IF(INDEX('Paramètres'!$J:$J,MATCH($C2924,'Paramètres'!$D:$D,0))="",1,INDEX('Paramètres'!$J:$J,MATCH($C2924,'Paramètres'!$D:$D,0)))),2))</f>
        <v/>
      </c>
      <c r="L2924" s="6" t="str">
        <f>IF($D2924="","",IF($F2924&lt;&gt;"",$F2924,IF(ISNA(MATCH($D2924,'Paramètres'!$M:$M,0)),"⚠ Type inconnu",IFERROR(INDEX('Paramètres'!$P:$P,MATCH($D2924,'Paramètres'!$M:$M,0))&amp;"",""))))</f>
        <v/>
      </c>
      <c r="M2924" s="6" t="str">
        <f>IF($D2924="","",IF(ISNA(MATCH($D2924,'Paramètres'!$M:$M,0)),"⚠ Type inconnu",IF($L2924="Crédit","",IFERROR(INDEX('Paramètres'!$O:$O,MATCH($D2924,'Paramètres'!$M:$M,0))&amp;"",""))))</f>
        <v/>
      </c>
      <c r="N2924" s="6" t="str">
        <f>IF($D2924="","",IFERROR(INDEX('Paramètres'!$Q:$Q,MATCH($D2924,'Paramètres'!$M:$M,0))&amp;"",""))</f>
        <v/>
      </c>
      <c r="O2924" s="6" t="str">
        <f>IF($A2924="","",IF(OR($J2924&lt;&gt;"x",$A2924&lt;=FinReleve),1,0))</f>
        <v/>
      </c>
      <c r="P2924" s="6" t="str">
        <f>IF($D2924="","",IF(AND($L2924="Crédit",OR(IFERROR(INDEX('Paramètres'!$O:$O,MATCH($D2924,'Paramètres'!$M:$M,0))&amp;"","")&lt;&gt;"",ISNUMBER(SEARCH("remboursement",IFERROR(INDEX('Paramètres'!$N:$N,MATCH($D2924,'Paramètres'!$M:$M,0))&amp;"",""))))),1,0))</f>
        <v/>
      </c>
      <c r="Q2924" s="6" t="str">
        <f>IF($K2924="","",IF(ISNUMBER(SEARCH("transfert-interne",IFERROR(INDEX('Paramètres'!$N:$N,MATCH($D2924,'Paramètres'!$M:$M,0))&amp;"",""))),0,IF($L2924="Débit",$K2924,IF($P2924=1,-$K2924,0))))</f>
        <v/>
      </c>
      <c r="R2924" s="6" t="str">
        <f>IF($K2924="","",IF($L2924="Crédit",$K2924,-$K2924))</f>
        <v/>
      </c>
      <c r="S2924" s="6" t="str">
        <f>IF($C2924="","",IFERROR(INDEX('Paramètres'!$H:$H,MATCH($C2924,'Paramètres'!$D:$D,0))&amp;"",""))</f>
        <v/>
      </c>
      <c r="T2924" s="6" t="str">
        <f>IF($K2924="","",IF($S2924="",0,IF(ISNUMBER(SEARCH("apport-exterieur",IFERROR(INDEX('Paramètres'!$N:$N,MATCH($D2924,'Paramètres'!$M:$M,0))&amp;"",""))),0,IF(OR(IFERROR(INDEX('Paramètres'!$I:$I,MATCH($C2924,'Paramètres'!$D:$D,0))&amp;"","")="Les deux",IFERROR(INDEX('Paramètres'!$I:$I,MATCH($C2924,'Paramètres'!$D:$D,0))&amp;"","")=IF($P2924=1,"Débit",$L2924)),-IF($P2924=1,-$K2924,$K2924),0))))</f>
        <v/>
      </c>
      <c r="U2924" s="6" t="str">
        <f>IF($K2924="","",IF(ISNUMBER(SEARCH("sortie-epargne",IFERROR(INDEX('Paramètres'!$N:$N,MATCH($D2924,'Paramètres'!$M:$M,0))&amp;"",""))),$K2924,0))</f>
        <v/>
      </c>
      <c r="V2924" s="6" t="str">
        <f>IF(AND($A2924&lt;&gt;"",$O2924=1,$L2924="Débit",N($Q2924)&gt;0,$A2924&gt;=Visualisation!$B$1,$A2924&lt;Visualisation!$D$1),MAX($V$1:V2923)+1,"")</f>
        <v/>
      </c>
    </row>
    <row r="2925" spans="1:22" x14ac:dyDescent="0.25">
      <c r="A2925" s="9"/>
      <c r="E2925" s="10"/>
      <c r="K2925" s="11" t="str">
        <f>IF($E2925="","",ROUND($E2925*IF(ISNA(MATCH($C2925,'Paramètres'!$D:$D,0)),1,IF(INDEX('Paramètres'!$J:$J,MATCH($C2925,'Paramètres'!$D:$D,0))="",1,INDEX('Paramètres'!$J:$J,MATCH($C2925,'Paramètres'!$D:$D,0)))),2))</f>
        <v/>
      </c>
      <c r="L2925" s="6" t="str">
        <f>IF($D2925="","",IF($F2925&lt;&gt;"",$F2925,IF(ISNA(MATCH($D2925,'Paramètres'!$M:$M,0)),"⚠ Type inconnu",IFERROR(INDEX('Paramètres'!$P:$P,MATCH($D2925,'Paramètres'!$M:$M,0))&amp;"",""))))</f>
        <v/>
      </c>
      <c r="M2925" s="6" t="str">
        <f>IF($D2925="","",IF(ISNA(MATCH($D2925,'Paramètres'!$M:$M,0)),"⚠ Type inconnu",IF($L2925="Crédit","",IFERROR(INDEX('Paramètres'!$O:$O,MATCH($D2925,'Paramètres'!$M:$M,0))&amp;"",""))))</f>
        <v/>
      </c>
      <c r="N2925" s="6" t="str">
        <f>IF($D2925="","",IFERROR(INDEX('Paramètres'!$Q:$Q,MATCH($D2925,'Paramètres'!$M:$M,0))&amp;"",""))</f>
        <v/>
      </c>
      <c r="O2925" s="6" t="str">
        <f>IF($A2925="","",IF(OR($J2925&lt;&gt;"x",$A2925&lt;=FinReleve),1,0))</f>
        <v/>
      </c>
      <c r="P2925" s="6" t="str">
        <f>IF($D2925="","",IF(AND($L2925="Crédit",OR(IFERROR(INDEX('Paramètres'!$O:$O,MATCH($D2925,'Paramètres'!$M:$M,0))&amp;"","")&lt;&gt;"",ISNUMBER(SEARCH("remboursement",IFERROR(INDEX('Paramètres'!$N:$N,MATCH($D2925,'Paramètres'!$M:$M,0))&amp;"",""))))),1,0))</f>
        <v/>
      </c>
      <c r="Q2925" s="6" t="str">
        <f>IF($K2925="","",IF(ISNUMBER(SEARCH("transfert-interne",IFERROR(INDEX('Paramètres'!$N:$N,MATCH($D2925,'Paramètres'!$M:$M,0))&amp;"",""))),0,IF($L2925="Débit",$K2925,IF($P2925=1,-$K2925,0))))</f>
        <v/>
      </c>
      <c r="R2925" s="6" t="str">
        <f>IF($K2925="","",IF($L2925="Crédit",$K2925,-$K2925))</f>
        <v/>
      </c>
      <c r="S2925" s="6" t="str">
        <f>IF($C2925="","",IFERROR(INDEX('Paramètres'!$H:$H,MATCH($C2925,'Paramètres'!$D:$D,0))&amp;"",""))</f>
        <v/>
      </c>
      <c r="T2925" s="6" t="str">
        <f>IF($K2925="","",IF($S2925="",0,IF(ISNUMBER(SEARCH("apport-exterieur",IFERROR(INDEX('Paramètres'!$N:$N,MATCH($D2925,'Paramètres'!$M:$M,0))&amp;"",""))),0,IF(OR(IFERROR(INDEX('Paramètres'!$I:$I,MATCH($C2925,'Paramètres'!$D:$D,0))&amp;"","")="Les deux",IFERROR(INDEX('Paramètres'!$I:$I,MATCH($C2925,'Paramètres'!$D:$D,0))&amp;"","")=IF($P2925=1,"Débit",$L2925)),-IF($P2925=1,-$K2925,$K2925),0))))</f>
        <v/>
      </c>
      <c r="U2925" s="6" t="str">
        <f>IF($K2925="","",IF(ISNUMBER(SEARCH("sortie-epargne",IFERROR(INDEX('Paramètres'!$N:$N,MATCH($D2925,'Paramètres'!$M:$M,0))&amp;"",""))),$K2925,0))</f>
        <v/>
      </c>
      <c r="V2925" s="6" t="str">
        <f>IF(AND($A2925&lt;&gt;"",$O2925=1,$L2925="Débit",N($Q2925)&gt;0,$A2925&gt;=Visualisation!$B$1,$A2925&lt;Visualisation!$D$1),MAX($V$1:V2924)+1,"")</f>
        <v/>
      </c>
    </row>
    <row r="2926" spans="1:22" x14ac:dyDescent="0.25">
      <c r="A2926" s="9"/>
      <c r="E2926" s="10"/>
      <c r="K2926" s="11" t="str">
        <f>IF($E2926="","",ROUND($E2926*IF(ISNA(MATCH($C2926,'Paramètres'!$D:$D,0)),1,IF(INDEX('Paramètres'!$J:$J,MATCH($C2926,'Paramètres'!$D:$D,0))="",1,INDEX('Paramètres'!$J:$J,MATCH($C2926,'Paramètres'!$D:$D,0)))),2))</f>
        <v/>
      </c>
      <c r="L2926" s="6" t="str">
        <f>IF($D2926="","",IF($F2926&lt;&gt;"",$F2926,IF(ISNA(MATCH($D2926,'Paramètres'!$M:$M,0)),"⚠ Type inconnu",IFERROR(INDEX('Paramètres'!$P:$P,MATCH($D2926,'Paramètres'!$M:$M,0))&amp;"",""))))</f>
        <v/>
      </c>
      <c r="M2926" s="6" t="str">
        <f>IF($D2926="","",IF(ISNA(MATCH($D2926,'Paramètres'!$M:$M,0)),"⚠ Type inconnu",IF($L2926="Crédit","",IFERROR(INDEX('Paramètres'!$O:$O,MATCH($D2926,'Paramètres'!$M:$M,0))&amp;"",""))))</f>
        <v/>
      </c>
      <c r="N2926" s="6" t="str">
        <f>IF($D2926="","",IFERROR(INDEX('Paramètres'!$Q:$Q,MATCH($D2926,'Paramètres'!$M:$M,0))&amp;"",""))</f>
        <v/>
      </c>
      <c r="O2926" s="6" t="str">
        <f>IF($A2926="","",IF(OR($J2926&lt;&gt;"x",$A2926&lt;=FinReleve),1,0))</f>
        <v/>
      </c>
      <c r="P2926" s="6" t="str">
        <f>IF($D2926="","",IF(AND($L2926="Crédit",OR(IFERROR(INDEX('Paramètres'!$O:$O,MATCH($D2926,'Paramètres'!$M:$M,0))&amp;"","")&lt;&gt;"",ISNUMBER(SEARCH("remboursement",IFERROR(INDEX('Paramètres'!$N:$N,MATCH($D2926,'Paramètres'!$M:$M,0))&amp;"",""))))),1,0))</f>
        <v/>
      </c>
      <c r="Q2926" s="6" t="str">
        <f>IF($K2926="","",IF(ISNUMBER(SEARCH("transfert-interne",IFERROR(INDEX('Paramètres'!$N:$N,MATCH($D2926,'Paramètres'!$M:$M,0))&amp;"",""))),0,IF($L2926="Débit",$K2926,IF($P2926=1,-$K2926,0))))</f>
        <v/>
      </c>
      <c r="R2926" s="6" t="str">
        <f>IF($K2926="","",IF($L2926="Crédit",$K2926,-$K2926))</f>
        <v/>
      </c>
      <c r="S2926" s="6" t="str">
        <f>IF($C2926="","",IFERROR(INDEX('Paramètres'!$H:$H,MATCH($C2926,'Paramètres'!$D:$D,0))&amp;"",""))</f>
        <v/>
      </c>
      <c r="T2926" s="6" t="str">
        <f>IF($K2926="","",IF($S2926="",0,IF(ISNUMBER(SEARCH("apport-exterieur",IFERROR(INDEX('Paramètres'!$N:$N,MATCH($D2926,'Paramètres'!$M:$M,0))&amp;"",""))),0,IF(OR(IFERROR(INDEX('Paramètres'!$I:$I,MATCH($C2926,'Paramètres'!$D:$D,0))&amp;"","")="Les deux",IFERROR(INDEX('Paramètres'!$I:$I,MATCH($C2926,'Paramètres'!$D:$D,0))&amp;"","")=IF($P2926=1,"Débit",$L2926)),-IF($P2926=1,-$K2926,$K2926),0))))</f>
        <v/>
      </c>
      <c r="U2926" s="6" t="str">
        <f>IF($K2926="","",IF(ISNUMBER(SEARCH("sortie-epargne",IFERROR(INDEX('Paramètres'!$N:$N,MATCH($D2926,'Paramètres'!$M:$M,0))&amp;"",""))),$K2926,0))</f>
        <v/>
      </c>
      <c r="V2926" s="6" t="str">
        <f>IF(AND($A2926&lt;&gt;"",$O2926=1,$L2926="Débit",N($Q2926)&gt;0,$A2926&gt;=Visualisation!$B$1,$A2926&lt;Visualisation!$D$1),MAX($V$1:V2925)+1,"")</f>
        <v/>
      </c>
    </row>
    <row r="2927" spans="1:22" x14ac:dyDescent="0.25">
      <c r="A2927" s="9"/>
      <c r="E2927" s="10"/>
      <c r="K2927" s="11" t="str">
        <f>IF($E2927="","",ROUND($E2927*IF(ISNA(MATCH($C2927,'Paramètres'!$D:$D,0)),1,IF(INDEX('Paramètres'!$J:$J,MATCH($C2927,'Paramètres'!$D:$D,0))="",1,INDEX('Paramètres'!$J:$J,MATCH($C2927,'Paramètres'!$D:$D,0)))),2))</f>
        <v/>
      </c>
      <c r="L2927" s="6" t="str">
        <f>IF($D2927="","",IF($F2927&lt;&gt;"",$F2927,IF(ISNA(MATCH($D2927,'Paramètres'!$M:$M,0)),"⚠ Type inconnu",IFERROR(INDEX('Paramètres'!$P:$P,MATCH($D2927,'Paramètres'!$M:$M,0))&amp;"",""))))</f>
        <v/>
      </c>
      <c r="M2927" s="6" t="str">
        <f>IF($D2927="","",IF(ISNA(MATCH($D2927,'Paramètres'!$M:$M,0)),"⚠ Type inconnu",IF($L2927="Crédit","",IFERROR(INDEX('Paramètres'!$O:$O,MATCH($D2927,'Paramètres'!$M:$M,0))&amp;"",""))))</f>
        <v/>
      </c>
      <c r="N2927" s="6" t="str">
        <f>IF($D2927="","",IFERROR(INDEX('Paramètres'!$Q:$Q,MATCH($D2927,'Paramètres'!$M:$M,0))&amp;"",""))</f>
        <v/>
      </c>
      <c r="O2927" s="6" t="str">
        <f>IF($A2927="","",IF(OR($J2927&lt;&gt;"x",$A2927&lt;=FinReleve),1,0))</f>
        <v/>
      </c>
      <c r="P2927" s="6" t="str">
        <f>IF($D2927="","",IF(AND($L2927="Crédit",OR(IFERROR(INDEX('Paramètres'!$O:$O,MATCH($D2927,'Paramètres'!$M:$M,0))&amp;"","")&lt;&gt;"",ISNUMBER(SEARCH("remboursement",IFERROR(INDEX('Paramètres'!$N:$N,MATCH($D2927,'Paramètres'!$M:$M,0))&amp;"",""))))),1,0))</f>
        <v/>
      </c>
      <c r="Q2927" s="6" t="str">
        <f>IF($K2927="","",IF(ISNUMBER(SEARCH("transfert-interne",IFERROR(INDEX('Paramètres'!$N:$N,MATCH($D2927,'Paramètres'!$M:$M,0))&amp;"",""))),0,IF($L2927="Débit",$K2927,IF($P2927=1,-$K2927,0))))</f>
        <v/>
      </c>
      <c r="R2927" s="6" t="str">
        <f>IF($K2927="","",IF($L2927="Crédit",$K2927,-$K2927))</f>
        <v/>
      </c>
      <c r="S2927" s="6" t="str">
        <f>IF($C2927="","",IFERROR(INDEX('Paramètres'!$H:$H,MATCH($C2927,'Paramètres'!$D:$D,0))&amp;"",""))</f>
        <v/>
      </c>
      <c r="T2927" s="6" t="str">
        <f>IF($K2927="","",IF($S2927="",0,IF(ISNUMBER(SEARCH("apport-exterieur",IFERROR(INDEX('Paramètres'!$N:$N,MATCH($D2927,'Paramètres'!$M:$M,0))&amp;"",""))),0,IF(OR(IFERROR(INDEX('Paramètres'!$I:$I,MATCH($C2927,'Paramètres'!$D:$D,0))&amp;"","")="Les deux",IFERROR(INDEX('Paramètres'!$I:$I,MATCH($C2927,'Paramètres'!$D:$D,0))&amp;"","")=IF($P2927=1,"Débit",$L2927)),-IF($P2927=1,-$K2927,$K2927),0))))</f>
        <v/>
      </c>
      <c r="U2927" s="6" t="str">
        <f>IF($K2927="","",IF(ISNUMBER(SEARCH("sortie-epargne",IFERROR(INDEX('Paramètres'!$N:$N,MATCH($D2927,'Paramètres'!$M:$M,0))&amp;"",""))),$K2927,0))</f>
        <v/>
      </c>
      <c r="V2927" s="6" t="str">
        <f>IF(AND($A2927&lt;&gt;"",$O2927=1,$L2927="Débit",N($Q2927)&gt;0,$A2927&gt;=Visualisation!$B$1,$A2927&lt;Visualisation!$D$1),MAX($V$1:V2926)+1,"")</f>
        <v/>
      </c>
    </row>
    <row r="2928" spans="1:22" x14ac:dyDescent="0.25">
      <c r="A2928" s="9"/>
      <c r="E2928" s="10"/>
      <c r="K2928" s="11" t="str">
        <f>IF($E2928="","",ROUND($E2928*IF(ISNA(MATCH($C2928,'Paramètres'!$D:$D,0)),1,IF(INDEX('Paramètres'!$J:$J,MATCH($C2928,'Paramètres'!$D:$D,0))="",1,INDEX('Paramètres'!$J:$J,MATCH($C2928,'Paramètres'!$D:$D,0)))),2))</f>
        <v/>
      </c>
      <c r="L2928" s="6" t="str">
        <f>IF($D2928="","",IF($F2928&lt;&gt;"",$F2928,IF(ISNA(MATCH($D2928,'Paramètres'!$M:$M,0)),"⚠ Type inconnu",IFERROR(INDEX('Paramètres'!$P:$P,MATCH($D2928,'Paramètres'!$M:$M,0))&amp;"",""))))</f>
        <v/>
      </c>
      <c r="M2928" s="6" t="str">
        <f>IF($D2928="","",IF(ISNA(MATCH($D2928,'Paramètres'!$M:$M,0)),"⚠ Type inconnu",IF($L2928="Crédit","",IFERROR(INDEX('Paramètres'!$O:$O,MATCH($D2928,'Paramètres'!$M:$M,0))&amp;"",""))))</f>
        <v/>
      </c>
      <c r="N2928" s="6" t="str">
        <f>IF($D2928="","",IFERROR(INDEX('Paramètres'!$Q:$Q,MATCH($D2928,'Paramètres'!$M:$M,0))&amp;"",""))</f>
        <v/>
      </c>
      <c r="O2928" s="6" t="str">
        <f>IF($A2928="","",IF(OR($J2928&lt;&gt;"x",$A2928&lt;=FinReleve),1,0))</f>
        <v/>
      </c>
      <c r="P2928" s="6" t="str">
        <f>IF($D2928="","",IF(AND($L2928="Crédit",OR(IFERROR(INDEX('Paramètres'!$O:$O,MATCH($D2928,'Paramètres'!$M:$M,0))&amp;"","")&lt;&gt;"",ISNUMBER(SEARCH("remboursement",IFERROR(INDEX('Paramètres'!$N:$N,MATCH($D2928,'Paramètres'!$M:$M,0))&amp;"",""))))),1,0))</f>
        <v/>
      </c>
      <c r="Q2928" s="6" t="str">
        <f>IF($K2928="","",IF(ISNUMBER(SEARCH("transfert-interne",IFERROR(INDEX('Paramètres'!$N:$N,MATCH($D2928,'Paramètres'!$M:$M,0))&amp;"",""))),0,IF($L2928="Débit",$K2928,IF($P2928=1,-$K2928,0))))</f>
        <v/>
      </c>
      <c r="R2928" s="6" t="str">
        <f>IF($K2928="","",IF($L2928="Crédit",$K2928,-$K2928))</f>
        <v/>
      </c>
      <c r="S2928" s="6" t="str">
        <f>IF($C2928="","",IFERROR(INDEX('Paramètres'!$H:$H,MATCH($C2928,'Paramètres'!$D:$D,0))&amp;"",""))</f>
        <v/>
      </c>
      <c r="T2928" s="6" t="str">
        <f>IF($K2928="","",IF($S2928="",0,IF(ISNUMBER(SEARCH("apport-exterieur",IFERROR(INDEX('Paramètres'!$N:$N,MATCH($D2928,'Paramètres'!$M:$M,0))&amp;"",""))),0,IF(OR(IFERROR(INDEX('Paramètres'!$I:$I,MATCH($C2928,'Paramètres'!$D:$D,0))&amp;"","")="Les deux",IFERROR(INDEX('Paramètres'!$I:$I,MATCH($C2928,'Paramètres'!$D:$D,0))&amp;"","")=IF($P2928=1,"Débit",$L2928)),-IF($P2928=1,-$K2928,$K2928),0))))</f>
        <v/>
      </c>
      <c r="U2928" s="6" t="str">
        <f>IF($K2928="","",IF(ISNUMBER(SEARCH("sortie-epargne",IFERROR(INDEX('Paramètres'!$N:$N,MATCH($D2928,'Paramètres'!$M:$M,0))&amp;"",""))),$K2928,0))</f>
        <v/>
      </c>
      <c r="V2928" s="6" t="str">
        <f>IF(AND($A2928&lt;&gt;"",$O2928=1,$L2928="Débit",N($Q2928)&gt;0,$A2928&gt;=Visualisation!$B$1,$A2928&lt;Visualisation!$D$1),MAX($V$1:V2927)+1,"")</f>
        <v/>
      </c>
    </row>
    <row r="2929" spans="1:22" x14ac:dyDescent="0.25">
      <c r="A2929" s="9"/>
      <c r="E2929" s="10"/>
      <c r="K2929" s="11" t="str">
        <f>IF($E2929="","",ROUND($E2929*IF(ISNA(MATCH($C2929,'Paramètres'!$D:$D,0)),1,IF(INDEX('Paramètres'!$J:$J,MATCH($C2929,'Paramètres'!$D:$D,0))="",1,INDEX('Paramètres'!$J:$J,MATCH($C2929,'Paramètres'!$D:$D,0)))),2))</f>
        <v/>
      </c>
      <c r="L2929" s="6" t="str">
        <f>IF($D2929="","",IF($F2929&lt;&gt;"",$F2929,IF(ISNA(MATCH($D2929,'Paramètres'!$M:$M,0)),"⚠ Type inconnu",IFERROR(INDEX('Paramètres'!$P:$P,MATCH($D2929,'Paramètres'!$M:$M,0))&amp;"",""))))</f>
        <v/>
      </c>
      <c r="M2929" s="6" t="str">
        <f>IF($D2929="","",IF(ISNA(MATCH($D2929,'Paramètres'!$M:$M,0)),"⚠ Type inconnu",IF($L2929="Crédit","",IFERROR(INDEX('Paramètres'!$O:$O,MATCH($D2929,'Paramètres'!$M:$M,0))&amp;"",""))))</f>
        <v/>
      </c>
      <c r="N2929" s="6" t="str">
        <f>IF($D2929="","",IFERROR(INDEX('Paramètres'!$Q:$Q,MATCH($D2929,'Paramètres'!$M:$M,0))&amp;"",""))</f>
        <v/>
      </c>
      <c r="O2929" s="6" t="str">
        <f>IF($A2929="","",IF(OR($J2929&lt;&gt;"x",$A2929&lt;=FinReleve),1,0))</f>
        <v/>
      </c>
      <c r="P2929" s="6" t="str">
        <f>IF($D2929="","",IF(AND($L2929="Crédit",OR(IFERROR(INDEX('Paramètres'!$O:$O,MATCH($D2929,'Paramètres'!$M:$M,0))&amp;"","")&lt;&gt;"",ISNUMBER(SEARCH("remboursement",IFERROR(INDEX('Paramètres'!$N:$N,MATCH($D2929,'Paramètres'!$M:$M,0))&amp;"",""))))),1,0))</f>
        <v/>
      </c>
      <c r="Q2929" s="6" t="str">
        <f>IF($K2929="","",IF(ISNUMBER(SEARCH("transfert-interne",IFERROR(INDEX('Paramètres'!$N:$N,MATCH($D2929,'Paramètres'!$M:$M,0))&amp;"",""))),0,IF($L2929="Débit",$K2929,IF($P2929=1,-$K2929,0))))</f>
        <v/>
      </c>
      <c r="R2929" s="6" t="str">
        <f>IF($K2929="","",IF($L2929="Crédit",$K2929,-$K2929))</f>
        <v/>
      </c>
      <c r="S2929" s="6" t="str">
        <f>IF($C2929="","",IFERROR(INDEX('Paramètres'!$H:$H,MATCH($C2929,'Paramètres'!$D:$D,0))&amp;"",""))</f>
        <v/>
      </c>
      <c r="T2929" s="6" t="str">
        <f>IF($K2929="","",IF($S2929="",0,IF(ISNUMBER(SEARCH("apport-exterieur",IFERROR(INDEX('Paramètres'!$N:$N,MATCH($D2929,'Paramètres'!$M:$M,0))&amp;"",""))),0,IF(OR(IFERROR(INDEX('Paramètres'!$I:$I,MATCH($C2929,'Paramètres'!$D:$D,0))&amp;"","")="Les deux",IFERROR(INDEX('Paramètres'!$I:$I,MATCH($C2929,'Paramètres'!$D:$D,0))&amp;"","")=IF($P2929=1,"Débit",$L2929)),-IF($P2929=1,-$K2929,$K2929),0))))</f>
        <v/>
      </c>
      <c r="U2929" s="6" t="str">
        <f>IF($K2929="","",IF(ISNUMBER(SEARCH("sortie-epargne",IFERROR(INDEX('Paramètres'!$N:$N,MATCH($D2929,'Paramètres'!$M:$M,0))&amp;"",""))),$K2929,0))</f>
        <v/>
      </c>
      <c r="V2929" s="6" t="str">
        <f>IF(AND($A2929&lt;&gt;"",$O2929=1,$L2929="Débit",N($Q2929)&gt;0,$A2929&gt;=Visualisation!$B$1,$A2929&lt;Visualisation!$D$1),MAX($V$1:V2928)+1,"")</f>
        <v/>
      </c>
    </row>
    <row r="2930" spans="1:22" x14ac:dyDescent="0.25">
      <c r="A2930" s="9"/>
      <c r="E2930" s="10"/>
      <c r="K2930" s="11" t="str">
        <f>IF($E2930="","",ROUND($E2930*IF(ISNA(MATCH($C2930,'Paramètres'!$D:$D,0)),1,IF(INDEX('Paramètres'!$J:$J,MATCH($C2930,'Paramètres'!$D:$D,0))="",1,INDEX('Paramètres'!$J:$J,MATCH($C2930,'Paramètres'!$D:$D,0)))),2))</f>
        <v/>
      </c>
      <c r="L2930" s="6" t="str">
        <f>IF($D2930="","",IF($F2930&lt;&gt;"",$F2930,IF(ISNA(MATCH($D2930,'Paramètres'!$M:$M,0)),"⚠ Type inconnu",IFERROR(INDEX('Paramètres'!$P:$P,MATCH($D2930,'Paramètres'!$M:$M,0))&amp;"",""))))</f>
        <v/>
      </c>
      <c r="M2930" s="6" t="str">
        <f>IF($D2930="","",IF(ISNA(MATCH($D2930,'Paramètres'!$M:$M,0)),"⚠ Type inconnu",IF($L2930="Crédit","",IFERROR(INDEX('Paramètres'!$O:$O,MATCH($D2930,'Paramètres'!$M:$M,0))&amp;"",""))))</f>
        <v/>
      </c>
      <c r="N2930" s="6" t="str">
        <f>IF($D2930="","",IFERROR(INDEX('Paramètres'!$Q:$Q,MATCH($D2930,'Paramètres'!$M:$M,0))&amp;"",""))</f>
        <v/>
      </c>
      <c r="O2930" s="6" t="str">
        <f>IF($A2930="","",IF(OR($J2930&lt;&gt;"x",$A2930&lt;=FinReleve),1,0))</f>
        <v/>
      </c>
      <c r="P2930" s="6" t="str">
        <f>IF($D2930="","",IF(AND($L2930="Crédit",OR(IFERROR(INDEX('Paramètres'!$O:$O,MATCH($D2930,'Paramètres'!$M:$M,0))&amp;"","")&lt;&gt;"",ISNUMBER(SEARCH("remboursement",IFERROR(INDEX('Paramètres'!$N:$N,MATCH($D2930,'Paramètres'!$M:$M,0))&amp;"",""))))),1,0))</f>
        <v/>
      </c>
      <c r="Q2930" s="6" t="str">
        <f>IF($K2930="","",IF(ISNUMBER(SEARCH("transfert-interne",IFERROR(INDEX('Paramètres'!$N:$N,MATCH($D2930,'Paramètres'!$M:$M,0))&amp;"",""))),0,IF($L2930="Débit",$K2930,IF($P2930=1,-$K2930,0))))</f>
        <v/>
      </c>
      <c r="R2930" s="6" t="str">
        <f>IF($K2930="","",IF($L2930="Crédit",$K2930,-$K2930))</f>
        <v/>
      </c>
      <c r="S2930" s="6" t="str">
        <f>IF($C2930="","",IFERROR(INDEX('Paramètres'!$H:$H,MATCH($C2930,'Paramètres'!$D:$D,0))&amp;"",""))</f>
        <v/>
      </c>
      <c r="T2930" s="6" t="str">
        <f>IF($K2930="","",IF($S2930="",0,IF(ISNUMBER(SEARCH("apport-exterieur",IFERROR(INDEX('Paramètres'!$N:$N,MATCH($D2930,'Paramètres'!$M:$M,0))&amp;"",""))),0,IF(OR(IFERROR(INDEX('Paramètres'!$I:$I,MATCH($C2930,'Paramètres'!$D:$D,0))&amp;"","")="Les deux",IFERROR(INDEX('Paramètres'!$I:$I,MATCH($C2930,'Paramètres'!$D:$D,0))&amp;"","")=IF($P2930=1,"Débit",$L2930)),-IF($P2930=1,-$K2930,$K2930),0))))</f>
        <v/>
      </c>
      <c r="U2930" s="6" t="str">
        <f>IF($K2930="","",IF(ISNUMBER(SEARCH("sortie-epargne",IFERROR(INDEX('Paramètres'!$N:$N,MATCH($D2930,'Paramètres'!$M:$M,0))&amp;"",""))),$K2930,0))</f>
        <v/>
      </c>
      <c r="V2930" s="6" t="str">
        <f>IF(AND($A2930&lt;&gt;"",$O2930=1,$L2930="Débit",N($Q2930)&gt;0,$A2930&gt;=Visualisation!$B$1,$A2930&lt;Visualisation!$D$1),MAX($V$1:V2929)+1,"")</f>
        <v/>
      </c>
    </row>
    <row r="2931" spans="1:22" x14ac:dyDescent="0.25">
      <c r="A2931" s="9"/>
      <c r="E2931" s="10"/>
      <c r="K2931" s="11" t="str">
        <f>IF($E2931="","",ROUND($E2931*IF(ISNA(MATCH($C2931,'Paramètres'!$D:$D,0)),1,IF(INDEX('Paramètres'!$J:$J,MATCH($C2931,'Paramètres'!$D:$D,0))="",1,INDEX('Paramètres'!$J:$J,MATCH($C2931,'Paramètres'!$D:$D,0)))),2))</f>
        <v/>
      </c>
      <c r="L2931" s="6" t="str">
        <f>IF($D2931="","",IF($F2931&lt;&gt;"",$F2931,IF(ISNA(MATCH($D2931,'Paramètres'!$M:$M,0)),"⚠ Type inconnu",IFERROR(INDEX('Paramètres'!$P:$P,MATCH($D2931,'Paramètres'!$M:$M,0))&amp;"",""))))</f>
        <v/>
      </c>
      <c r="M2931" s="6" t="str">
        <f>IF($D2931="","",IF(ISNA(MATCH($D2931,'Paramètres'!$M:$M,0)),"⚠ Type inconnu",IF($L2931="Crédit","",IFERROR(INDEX('Paramètres'!$O:$O,MATCH($D2931,'Paramètres'!$M:$M,0))&amp;"",""))))</f>
        <v/>
      </c>
      <c r="N2931" s="6" t="str">
        <f>IF($D2931="","",IFERROR(INDEX('Paramètres'!$Q:$Q,MATCH($D2931,'Paramètres'!$M:$M,0))&amp;"",""))</f>
        <v/>
      </c>
      <c r="O2931" s="6" t="str">
        <f>IF($A2931="","",IF(OR($J2931&lt;&gt;"x",$A2931&lt;=FinReleve),1,0))</f>
        <v/>
      </c>
      <c r="P2931" s="6" t="str">
        <f>IF($D2931="","",IF(AND($L2931="Crédit",OR(IFERROR(INDEX('Paramètres'!$O:$O,MATCH($D2931,'Paramètres'!$M:$M,0))&amp;"","")&lt;&gt;"",ISNUMBER(SEARCH("remboursement",IFERROR(INDEX('Paramètres'!$N:$N,MATCH($D2931,'Paramètres'!$M:$M,0))&amp;"",""))))),1,0))</f>
        <v/>
      </c>
      <c r="Q2931" s="6" t="str">
        <f>IF($K2931="","",IF(ISNUMBER(SEARCH("transfert-interne",IFERROR(INDEX('Paramètres'!$N:$N,MATCH($D2931,'Paramètres'!$M:$M,0))&amp;"",""))),0,IF($L2931="Débit",$K2931,IF($P2931=1,-$K2931,0))))</f>
        <v/>
      </c>
      <c r="R2931" s="6" t="str">
        <f>IF($K2931="","",IF($L2931="Crédit",$K2931,-$K2931))</f>
        <v/>
      </c>
      <c r="S2931" s="6" t="str">
        <f>IF($C2931="","",IFERROR(INDEX('Paramètres'!$H:$H,MATCH($C2931,'Paramètres'!$D:$D,0))&amp;"",""))</f>
        <v/>
      </c>
      <c r="T2931" s="6" t="str">
        <f>IF($K2931="","",IF($S2931="",0,IF(ISNUMBER(SEARCH("apport-exterieur",IFERROR(INDEX('Paramètres'!$N:$N,MATCH($D2931,'Paramètres'!$M:$M,0))&amp;"",""))),0,IF(OR(IFERROR(INDEX('Paramètres'!$I:$I,MATCH($C2931,'Paramètres'!$D:$D,0))&amp;"","")="Les deux",IFERROR(INDEX('Paramètres'!$I:$I,MATCH($C2931,'Paramètres'!$D:$D,0))&amp;"","")=IF($P2931=1,"Débit",$L2931)),-IF($P2931=1,-$K2931,$K2931),0))))</f>
        <v/>
      </c>
      <c r="U2931" s="6" t="str">
        <f>IF($K2931="","",IF(ISNUMBER(SEARCH("sortie-epargne",IFERROR(INDEX('Paramètres'!$N:$N,MATCH($D2931,'Paramètres'!$M:$M,0))&amp;"",""))),$K2931,0))</f>
        <v/>
      </c>
      <c r="V2931" s="6" t="str">
        <f>IF(AND($A2931&lt;&gt;"",$O2931=1,$L2931="Débit",N($Q2931)&gt;0,$A2931&gt;=Visualisation!$B$1,$A2931&lt;Visualisation!$D$1),MAX($V$1:V2930)+1,"")</f>
        <v/>
      </c>
    </row>
    <row r="2932" spans="1:22" x14ac:dyDescent="0.25">
      <c r="A2932" s="9"/>
      <c r="E2932" s="10"/>
      <c r="K2932" s="11" t="str">
        <f>IF($E2932="","",ROUND($E2932*IF(ISNA(MATCH($C2932,'Paramètres'!$D:$D,0)),1,IF(INDEX('Paramètres'!$J:$J,MATCH($C2932,'Paramètres'!$D:$D,0))="",1,INDEX('Paramètres'!$J:$J,MATCH($C2932,'Paramètres'!$D:$D,0)))),2))</f>
        <v/>
      </c>
      <c r="L2932" s="6" t="str">
        <f>IF($D2932="","",IF($F2932&lt;&gt;"",$F2932,IF(ISNA(MATCH($D2932,'Paramètres'!$M:$M,0)),"⚠ Type inconnu",IFERROR(INDEX('Paramètres'!$P:$P,MATCH($D2932,'Paramètres'!$M:$M,0))&amp;"",""))))</f>
        <v/>
      </c>
      <c r="M2932" s="6" t="str">
        <f>IF($D2932="","",IF(ISNA(MATCH($D2932,'Paramètres'!$M:$M,0)),"⚠ Type inconnu",IF($L2932="Crédit","",IFERROR(INDEX('Paramètres'!$O:$O,MATCH($D2932,'Paramètres'!$M:$M,0))&amp;"",""))))</f>
        <v/>
      </c>
      <c r="N2932" s="6" t="str">
        <f>IF($D2932="","",IFERROR(INDEX('Paramètres'!$Q:$Q,MATCH($D2932,'Paramètres'!$M:$M,0))&amp;"",""))</f>
        <v/>
      </c>
      <c r="O2932" s="6" t="str">
        <f>IF($A2932="","",IF(OR($J2932&lt;&gt;"x",$A2932&lt;=FinReleve),1,0))</f>
        <v/>
      </c>
      <c r="P2932" s="6" t="str">
        <f>IF($D2932="","",IF(AND($L2932="Crédit",OR(IFERROR(INDEX('Paramètres'!$O:$O,MATCH($D2932,'Paramètres'!$M:$M,0))&amp;"","")&lt;&gt;"",ISNUMBER(SEARCH("remboursement",IFERROR(INDEX('Paramètres'!$N:$N,MATCH($D2932,'Paramètres'!$M:$M,0))&amp;"",""))))),1,0))</f>
        <v/>
      </c>
      <c r="Q2932" s="6" t="str">
        <f>IF($K2932="","",IF(ISNUMBER(SEARCH("transfert-interne",IFERROR(INDEX('Paramètres'!$N:$N,MATCH($D2932,'Paramètres'!$M:$M,0))&amp;"",""))),0,IF($L2932="Débit",$K2932,IF($P2932=1,-$K2932,0))))</f>
        <v/>
      </c>
      <c r="R2932" s="6" t="str">
        <f>IF($K2932="","",IF($L2932="Crédit",$K2932,-$K2932))</f>
        <v/>
      </c>
      <c r="S2932" s="6" t="str">
        <f>IF($C2932="","",IFERROR(INDEX('Paramètres'!$H:$H,MATCH($C2932,'Paramètres'!$D:$D,0))&amp;"",""))</f>
        <v/>
      </c>
      <c r="T2932" s="6" t="str">
        <f>IF($K2932="","",IF($S2932="",0,IF(ISNUMBER(SEARCH("apport-exterieur",IFERROR(INDEX('Paramètres'!$N:$N,MATCH($D2932,'Paramètres'!$M:$M,0))&amp;"",""))),0,IF(OR(IFERROR(INDEX('Paramètres'!$I:$I,MATCH($C2932,'Paramètres'!$D:$D,0))&amp;"","")="Les deux",IFERROR(INDEX('Paramètres'!$I:$I,MATCH($C2932,'Paramètres'!$D:$D,0))&amp;"","")=IF($P2932=1,"Débit",$L2932)),-IF($P2932=1,-$K2932,$K2932),0))))</f>
        <v/>
      </c>
      <c r="U2932" s="6" t="str">
        <f>IF($K2932="","",IF(ISNUMBER(SEARCH("sortie-epargne",IFERROR(INDEX('Paramètres'!$N:$N,MATCH($D2932,'Paramètres'!$M:$M,0))&amp;"",""))),$K2932,0))</f>
        <v/>
      </c>
      <c r="V2932" s="6" t="str">
        <f>IF(AND($A2932&lt;&gt;"",$O2932=1,$L2932="Débit",N($Q2932)&gt;0,$A2932&gt;=Visualisation!$B$1,$A2932&lt;Visualisation!$D$1),MAX($V$1:V2931)+1,"")</f>
        <v/>
      </c>
    </row>
    <row r="2933" spans="1:22" x14ac:dyDescent="0.25">
      <c r="A2933" s="9"/>
      <c r="E2933" s="10"/>
      <c r="K2933" s="11" t="str">
        <f>IF($E2933="","",ROUND($E2933*IF(ISNA(MATCH($C2933,'Paramètres'!$D:$D,0)),1,IF(INDEX('Paramètres'!$J:$J,MATCH($C2933,'Paramètres'!$D:$D,0))="",1,INDEX('Paramètres'!$J:$J,MATCH($C2933,'Paramètres'!$D:$D,0)))),2))</f>
        <v/>
      </c>
      <c r="L2933" s="6" t="str">
        <f>IF($D2933="","",IF($F2933&lt;&gt;"",$F2933,IF(ISNA(MATCH($D2933,'Paramètres'!$M:$M,0)),"⚠ Type inconnu",IFERROR(INDEX('Paramètres'!$P:$P,MATCH($D2933,'Paramètres'!$M:$M,0))&amp;"",""))))</f>
        <v/>
      </c>
      <c r="M2933" s="6" t="str">
        <f>IF($D2933="","",IF(ISNA(MATCH($D2933,'Paramètres'!$M:$M,0)),"⚠ Type inconnu",IF($L2933="Crédit","",IFERROR(INDEX('Paramètres'!$O:$O,MATCH($D2933,'Paramètres'!$M:$M,0))&amp;"",""))))</f>
        <v/>
      </c>
      <c r="N2933" s="6" t="str">
        <f>IF($D2933="","",IFERROR(INDEX('Paramètres'!$Q:$Q,MATCH($D2933,'Paramètres'!$M:$M,0))&amp;"",""))</f>
        <v/>
      </c>
      <c r="O2933" s="6" t="str">
        <f>IF($A2933="","",IF(OR($J2933&lt;&gt;"x",$A2933&lt;=FinReleve),1,0))</f>
        <v/>
      </c>
      <c r="P2933" s="6" t="str">
        <f>IF($D2933="","",IF(AND($L2933="Crédit",OR(IFERROR(INDEX('Paramètres'!$O:$O,MATCH($D2933,'Paramètres'!$M:$M,0))&amp;"","")&lt;&gt;"",ISNUMBER(SEARCH("remboursement",IFERROR(INDEX('Paramètres'!$N:$N,MATCH($D2933,'Paramètres'!$M:$M,0))&amp;"",""))))),1,0))</f>
        <v/>
      </c>
      <c r="Q2933" s="6" t="str">
        <f>IF($K2933="","",IF(ISNUMBER(SEARCH("transfert-interne",IFERROR(INDEX('Paramètres'!$N:$N,MATCH($D2933,'Paramètres'!$M:$M,0))&amp;"",""))),0,IF($L2933="Débit",$K2933,IF($P2933=1,-$K2933,0))))</f>
        <v/>
      </c>
      <c r="R2933" s="6" t="str">
        <f>IF($K2933="","",IF($L2933="Crédit",$K2933,-$K2933))</f>
        <v/>
      </c>
      <c r="S2933" s="6" t="str">
        <f>IF($C2933="","",IFERROR(INDEX('Paramètres'!$H:$H,MATCH($C2933,'Paramètres'!$D:$D,0))&amp;"",""))</f>
        <v/>
      </c>
      <c r="T2933" s="6" t="str">
        <f>IF($K2933="","",IF($S2933="",0,IF(ISNUMBER(SEARCH("apport-exterieur",IFERROR(INDEX('Paramètres'!$N:$N,MATCH($D2933,'Paramètres'!$M:$M,0))&amp;"",""))),0,IF(OR(IFERROR(INDEX('Paramètres'!$I:$I,MATCH($C2933,'Paramètres'!$D:$D,0))&amp;"","")="Les deux",IFERROR(INDEX('Paramètres'!$I:$I,MATCH($C2933,'Paramètres'!$D:$D,0))&amp;"","")=IF($P2933=1,"Débit",$L2933)),-IF($P2933=1,-$K2933,$K2933),0))))</f>
        <v/>
      </c>
      <c r="U2933" s="6" t="str">
        <f>IF($K2933="","",IF(ISNUMBER(SEARCH("sortie-epargne",IFERROR(INDEX('Paramètres'!$N:$N,MATCH($D2933,'Paramètres'!$M:$M,0))&amp;"",""))),$K2933,0))</f>
        <v/>
      </c>
      <c r="V2933" s="6" t="str">
        <f>IF(AND($A2933&lt;&gt;"",$O2933=1,$L2933="Débit",N($Q2933)&gt;0,$A2933&gt;=Visualisation!$B$1,$A2933&lt;Visualisation!$D$1),MAX($V$1:V2932)+1,"")</f>
        <v/>
      </c>
    </row>
    <row r="2934" spans="1:22" x14ac:dyDescent="0.25">
      <c r="A2934" s="9"/>
      <c r="E2934" s="10"/>
      <c r="K2934" s="11" t="str">
        <f>IF($E2934="","",ROUND($E2934*IF(ISNA(MATCH($C2934,'Paramètres'!$D:$D,0)),1,IF(INDEX('Paramètres'!$J:$J,MATCH($C2934,'Paramètres'!$D:$D,0))="",1,INDEX('Paramètres'!$J:$J,MATCH($C2934,'Paramètres'!$D:$D,0)))),2))</f>
        <v/>
      </c>
      <c r="L2934" s="6" t="str">
        <f>IF($D2934="","",IF($F2934&lt;&gt;"",$F2934,IF(ISNA(MATCH($D2934,'Paramètres'!$M:$M,0)),"⚠ Type inconnu",IFERROR(INDEX('Paramètres'!$P:$P,MATCH($D2934,'Paramètres'!$M:$M,0))&amp;"",""))))</f>
        <v/>
      </c>
      <c r="M2934" s="6" t="str">
        <f>IF($D2934="","",IF(ISNA(MATCH($D2934,'Paramètres'!$M:$M,0)),"⚠ Type inconnu",IF($L2934="Crédit","",IFERROR(INDEX('Paramètres'!$O:$O,MATCH($D2934,'Paramètres'!$M:$M,0))&amp;"",""))))</f>
        <v/>
      </c>
      <c r="N2934" s="6" t="str">
        <f>IF($D2934="","",IFERROR(INDEX('Paramètres'!$Q:$Q,MATCH($D2934,'Paramètres'!$M:$M,0))&amp;"",""))</f>
        <v/>
      </c>
      <c r="O2934" s="6" t="str">
        <f>IF($A2934="","",IF(OR($J2934&lt;&gt;"x",$A2934&lt;=FinReleve),1,0))</f>
        <v/>
      </c>
      <c r="P2934" s="6" t="str">
        <f>IF($D2934="","",IF(AND($L2934="Crédit",OR(IFERROR(INDEX('Paramètres'!$O:$O,MATCH($D2934,'Paramètres'!$M:$M,0))&amp;"","")&lt;&gt;"",ISNUMBER(SEARCH("remboursement",IFERROR(INDEX('Paramètres'!$N:$N,MATCH($D2934,'Paramètres'!$M:$M,0))&amp;"",""))))),1,0))</f>
        <v/>
      </c>
      <c r="Q2934" s="6" t="str">
        <f>IF($K2934="","",IF(ISNUMBER(SEARCH("transfert-interne",IFERROR(INDEX('Paramètres'!$N:$N,MATCH($D2934,'Paramètres'!$M:$M,0))&amp;"",""))),0,IF($L2934="Débit",$K2934,IF($P2934=1,-$K2934,0))))</f>
        <v/>
      </c>
      <c r="R2934" s="6" t="str">
        <f>IF($K2934="","",IF($L2934="Crédit",$K2934,-$K2934))</f>
        <v/>
      </c>
      <c r="S2934" s="6" t="str">
        <f>IF($C2934="","",IFERROR(INDEX('Paramètres'!$H:$H,MATCH($C2934,'Paramètres'!$D:$D,0))&amp;"",""))</f>
        <v/>
      </c>
      <c r="T2934" s="6" t="str">
        <f>IF($K2934="","",IF($S2934="",0,IF(ISNUMBER(SEARCH("apport-exterieur",IFERROR(INDEX('Paramètres'!$N:$N,MATCH($D2934,'Paramètres'!$M:$M,0))&amp;"",""))),0,IF(OR(IFERROR(INDEX('Paramètres'!$I:$I,MATCH($C2934,'Paramètres'!$D:$D,0))&amp;"","")="Les deux",IFERROR(INDEX('Paramètres'!$I:$I,MATCH($C2934,'Paramètres'!$D:$D,0))&amp;"","")=IF($P2934=1,"Débit",$L2934)),-IF($P2934=1,-$K2934,$K2934),0))))</f>
        <v/>
      </c>
      <c r="U2934" s="6" t="str">
        <f>IF($K2934="","",IF(ISNUMBER(SEARCH("sortie-epargne",IFERROR(INDEX('Paramètres'!$N:$N,MATCH($D2934,'Paramètres'!$M:$M,0))&amp;"",""))),$K2934,0))</f>
        <v/>
      </c>
      <c r="V2934" s="6" t="str">
        <f>IF(AND($A2934&lt;&gt;"",$O2934=1,$L2934="Débit",N($Q2934)&gt;0,$A2934&gt;=Visualisation!$B$1,$A2934&lt;Visualisation!$D$1),MAX($V$1:V2933)+1,"")</f>
        <v/>
      </c>
    </row>
    <row r="2935" spans="1:22" x14ac:dyDescent="0.25">
      <c r="A2935" s="9"/>
      <c r="E2935" s="10"/>
      <c r="K2935" s="11" t="str">
        <f>IF($E2935="","",ROUND($E2935*IF(ISNA(MATCH($C2935,'Paramètres'!$D:$D,0)),1,IF(INDEX('Paramètres'!$J:$J,MATCH($C2935,'Paramètres'!$D:$D,0))="",1,INDEX('Paramètres'!$J:$J,MATCH($C2935,'Paramètres'!$D:$D,0)))),2))</f>
        <v/>
      </c>
      <c r="L2935" s="6" t="str">
        <f>IF($D2935="","",IF($F2935&lt;&gt;"",$F2935,IF(ISNA(MATCH($D2935,'Paramètres'!$M:$M,0)),"⚠ Type inconnu",IFERROR(INDEX('Paramètres'!$P:$P,MATCH($D2935,'Paramètres'!$M:$M,0))&amp;"",""))))</f>
        <v/>
      </c>
      <c r="M2935" s="6" t="str">
        <f>IF($D2935="","",IF(ISNA(MATCH($D2935,'Paramètres'!$M:$M,0)),"⚠ Type inconnu",IF($L2935="Crédit","",IFERROR(INDEX('Paramètres'!$O:$O,MATCH($D2935,'Paramètres'!$M:$M,0))&amp;"",""))))</f>
        <v/>
      </c>
      <c r="N2935" s="6" t="str">
        <f>IF($D2935="","",IFERROR(INDEX('Paramètres'!$Q:$Q,MATCH($D2935,'Paramètres'!$M:$M,0))&amp;"",""))</f>
        <v/>
      </c>
      <c r="O2935" s="6" t="str">
        <f>IF($A2935="","",IF(OR($J2935&lt;&gt;"x",$A2935&lt;=FinReleve),1,0))</f>
        <v/>
      </c>
      <c r="P2935" s="6" t="str">
        <f>IF($D2935="","",IF(AND($L2935="Crédit",OR(IFERROR(INDEX('Paramètres'!$O:$O,MATCH($D2935,'Paramètres'!$M:$M,0))&amp;"","")&lt;&gt;"",ISNUMBER(SEARCH("remboursement",IFERROR(INDEX('Paramètres'!$N:$N,MATCH($D2935,'Paramètres'!$M:$M,0))&amp;"",""))))),1,0))</f>
        <v/>
      </c>
      <c r="Q2935" s="6" t="str">
        <f>IF($K2935="","",IF(ISNUMBER(SEARCH("transfert-interne",IFERROR(INDEX('Paramètres'!$N:$N,MATCH($D2935,'Paramètres'!$M:$M,0))&amp;"",""))),0,IF($L2935="Débit",$K2935,IF($P2935=1,-$K2935,0))))</f>
        <v/>
      </c>
      <c r="R2935" s="6" t="str">
        <f>IF($K2935="","",IF($L2935="Crédit",$K2935,-$K2935))</f>
        <v/>
      </c>
      <c r="S2935" s="6" t="str">
        <f>IF($C2935="","",IFERROR(INDEX('Paramètres'!$H:$H,MATCH($C2935,'Paramètres'!$D:$D,0))&amp;"",""))</f>
        <v/>
      </c>
      <c r="T2935" s="6" t="str">
        <f>IF($K2935="","",IF($S2935="",0,IF(ISNUMBER(SEARCH("apport-exterieur",IFERROR(INDEX('Paramètres'!$N:$N,MATCH($D2935,'Paramètres'!$M:$M,0))&amp;"",""))),0,IF(OR(IFERROR(INDEX('Paramètres'!$I:$I,MATCH($C2935,'Paramètres'!$D:$D,0))&amp;"","")="Les deux",IFERROR(INDEX('Paramètres'!$I:$I,MATCH($C2935,'Paramètres'!$D:$D,0))&amp;"","")=IF($P2935=1,"Débit",$L2935)),-IF($P2935=1,-$K2935,$K2935),0))))</f>
        <v/>
      </c>
      <c r="U2935" s="6" t="str">
        <f>IF($K2935="","",IF(ISNUMBER(SEARCH("sortie-epargne",IFERROR(INDEX('Paramètres'!$N:$N,MATCH($D2935,'Paramètres'!$M:$M,0))&amp;"",""))),$K2935,0))</f>
        <v/>
      </c>
      <c r="V2935" s="6" t="str">
        <f>IF(AND($A2935&lt;&gt;"",$O2935=1,$L2935="Débit",N($Q2935)&gt;0,$A2935&gt;=Visualisation!$B$1,$A2935&lt;Visualisation!$D$1),MAX($V$1:V2934)+1,"")</f>
        <v/>
      </c>
    </row>
    <row r="2936" spans="1:22" x14ac:dyDescent="0.25">
      <c r="A2936" s="9"/>
      <c r="E2936" s="10"/>
      <c r="K2936" s="11" t="str">
        <f>IF($E2936="","",ROUND($E2936*IF(ISNA(MATCH($C2936,'Paramètres'!$D:$D,0)),1,IF(INDEX('Paramètres'!$J:$J,MATCH($C2936,'Paramètres'!$D:$D,0))="",1,INDEX('Paramètres'!$J:$J,MATCH($C2936,'Paramètres'!$D:$D,0)))),2))</f>
        <v/>
      </c>
      <c r="L2936" s="6" t="str">
        <f>IF($D2936="","",IF($F2936&lt;&gt;"",$F2936,IF(ISNA(MATCH($D2936,'Paramètres'!$M:$M,0)),"⚠ Type inconnu",IFERROR(INDEX('Paramètres'!$P:$P,MATCH($D2936,'Paramètres'!$M:$M,0))&amp;"",""))))</f>
        <v/>
      </c>
      <c r="M2936" s="6" t="str">
        <f>IF($D2936="","",IF(ISNA(MATCH($D2936,'Paramètres'!$M:$M,0)),"⚠ Type inconnu",IF($L2936="Crédit","",IFERROR(INDEX('Paramètres'!$O:$O,MATCH($D2936,'Paramètres'!$M:$M,0))&amp;"",""))))</f>
        <v/>
      </c>
      <c r="N2936" s="6" t="str">
        <f>IF($D2936="","",IFERROR(INDEX('Paramètres'!$Q:$Q,MATCH($D2936,'Paramètres'!$M:$M,0))&amp;"",""))</f>
        <v/>
      </c>
      <c r="O2936" s="6" t="str">
        <f>IF($A2936="","",IF(OR($J2936&lt;&gt;"x",$A2936&lt;=FinReleve),1,0))</f>
        <v/>
      </c>
      <c r="P2936" s="6" t="str">
        <f>IF($D2936="","",IF(AND($L2936="Crédit",OR(IFERROR(INDEX('Paramètres'!$O:$O,MATCH($D2936,'Paramètres'!$M:$M,0))&amp;"","")&lt;&gt;"",ISNUMBER(SEARCH("remboursement",IFERROR(INDEX('Paramètres'!$N:$N,MATCH($D2936,'Paramètres'!$M:$M,0))&amp;"",""))))),1,0))</f>
        <v/>
      </c>
      <c r="Q2936" s="6" t="str">
        <f>IF($K2936="","",IF(ISNUMBER(SEARCH("transfert-interne",IFERROR(INDEX('Paramètres'!$N:$N,MATCH($D2936,'Paramètres'!$M:$M,0))&amp;"",""))),0,IF($L2936="Débit",$K2936,IF($P2936=1,-$K2936,0))))</f>
        <v/>
      </c>
      <c r="R2936" s="6" t="str">
        <f>IF($K2936="","",IF($L2936="Crédit",$K2936,-$K2936))</f>
        <v/>
      </c>
      <c r="S2936" s="6" t="str">
        <f>IF($C2936="","",IFERROR(INDEX('Paramètres'!$H:$H,MATCH($C2936,'Paramètres'!$D:$D,0))&amp;"",""))</f>
        <v/>
      </c>
      <c r="T2936" s="6" t="str">
        <f>IF($K2936="","",IF($S2936="",0,IF(ISNUMBER(SEARCH("apport-exterieur",IFERROR(INDEX('Paramètres'!$N:$N,MATCH($D2936,'Paramètres'!$M:$M,0))&amp;"",""))),0,IF(OR(IFERROR(INDEX('Paramètres'!$I:$I,MATCH($C2936,'Paramètres'!$D:$D,0))&amp;"","")="Les deux",IFERROR(INDEX('Paramètres'!$I:$I,MATCH($C2936,'Paramètres'!$D:$D,0))&amp;"","")=IF($P2936=1,"Débit",$L2936)),-IF($P2936=1,-$K2936,$K2936),0))))</f>
        <v/>
      </c>
      <c r="U2936" s="6" t="str">
        <f>IF($K2936="","",IF(ISNUMBER(SEARCH("sortie-epargne",IFERROR(INDEX('Paramètres'!$N:$N,MATCH($D2936,'Paramètres'!$M:$M,0))&amp;"",""))),$K2936,0))</f>
        <v/>
      </c>
      <c r="V2936" s="6" t="str">
        <f>IF(AND($A2936&lt;&gt;"",$O2936=1,$L2936="Débit",N($Q2936)&gt;0,$A2936&gt;=Visualisation!$B$1,$A2936&lt;Visualisation!$D$1),MAX($V$1:V2935)+1,"")</f>
        <v/>
      </c>
    </row>
    <row r="2937" spans="1:22" x14ac:dyDescent="0.25">
      <c r="A2937" s="9"/>
      <c r="E2937" s="10"/>
      <c r="K2937" s="11" t="str">
        <f>IF($E2937="","",ROUND($E2937*IF(ISNA(MATCH($C2937,'Paramètres'!$D:$D,0)),1,IF(INDEX('Paramètres'!$J:$J,MATCH($C2937,'Paramètres'!$D:$D,0))="",1,INDEX('Paramètres'!$J:$J,MATCH($C2937,'Paramètres'!$D:$D,0)))),2))</f>
        <v/>
      </c>
      <c r="L2937" s="6" t="str">
        <f>IF($D2937="","",IF($F2937&lt;&gt;"",$F2937,IF(ISNA(MATCH($D2937,'Paramètres'!$M:$M,0)),"⚠ Type inconnu",IFERROR(INDEX('Paramètres'!$P:$P,MATCH($D2937,'Paramètres'!$M:$M,0))&amp;"",""))))</f>
        <v/>
      </c>
      <c r="M2937" s="6" t="str">
        <f>IF($D2937="","",IF(ISNA(MATCH($D2937,'Paramètres'!$M:$M,0)),"⚠ Type inconnu",IF($L2937="Crédit","",IFERROR(INDEX('Paramètres'!$O:$O,MATCH($D2937,'Paramètres'!$M:$M,0))&amp;"",""))))</f>
        <v/>
      </c>
      <c r="N2937" s="6" t="str">
        <f>IF($D2937="","",IFERROR(INDEX('Paramètres'!$Q:$Q,MATCH($D2937,'Paramètres'!$M:$M,0))&amp;"",""))</f>
        <v/>
      </c>
      <c r="O2937" s="6" t="str">
        <f>IF($A2937="","",IF(OR($J2937&lt;&gt;"x",$A2937&lt;=FinReleve),1,0))</f>
        <v/>
      </c>
      <c r="P2937" s="6" t="str">
        <f>IF($D2937="","",IF(AND($L2937="Crédit",OR(IFERROR(INDEX('Paramètres'!$O:$O,MATCH($D2937,'Paramètres'!$M:$M,0))&amp;"","")&lt;&gt;"",ISNUMBER(SEARCH("remboursement",IFERROR(INDEX('Paramètres'!$N:$N,MATCH($D2937,'Paramètres'!$M:$M,0))&amp;"",""))))),1,0))</f>
        <v/>
      </c>
      <c r="Q2937" s="6" t="str">
        <f>IF($K2937="","",IF(ISNUMBER(SEARCH("transfert-interne",IFERROR(INDEX('Paramètres'!$N:$N,MATCH($D2937,'Paramètres'!$M:$M,0))&amp;"",""))),0,IF($L2937="Débit",$K2937,IF($P2937=1,-$K2937,0))))</f>
        <v/>
      </c>
      <c r="R2937" s="6" t="str">
        <f>IF($K2937="","",IF($L2937="Crédit",$K2937,-$K2937))</f>
        <v/>
      </c>
      <c r="S2937" s="6" t="str">
        <f>IF($C2937="","",IFERROR(INDEX('Paramètres'!$H:$H,MATCH($C2937,'Paramètres'!$D:$D,0))&amp;"",""))</f>
        <v/>
      </c>
      <c r="T2937" s="6" t="str">
        <f>IF($K2937="","",IF($S2937="",0,IF(ISNUMBER(SEARCH("apport-exterieur",IFERROR(INDEX('Paramètres'!$N:$N,MATCH($D2937,'Paramètres'!$M:$M,0))&amp;"",""))),0,IF(OR(IFERROR(INDEX('Paramètres'!$I:$I,MATCH($C2937,'Paramètres'!$D:$D,0))&amp;"","")="Les deux",IFERROR(INDEX('Paramètres'!$I:$I,MATCH($C2937,'Paramètres'!$D:$D,0))&amp;"","")=IF($P2937=1,"Débit",$L2937)),-IF($P2937=1,-$K2937,$K2937),0))))</f>
        <v/>
      </c>
      <c r="U2937" s="6" t="str">
        <f>IF($K2937="","",IF(ISNUMBER(SEARCH("sortie-epargne",IFERROR(INDEX('Paramètres'!$N:$N,MATCH($D2937,'Paramètres'!$M:$M,0))&amp;"",""))),$K2937,0))</f>
        <v/>
      </c>
      <c r="V2937" s="6" t="str">
        <f>IF(AND($A2937&lt;&gt;"",$O2937=1,$L2937="Débit",N($Q2937)&gt;0,$A2937&gt;=Visualisation!$B$1,$A2937&lt;Visualisation!$D$1),MAX($V$1:V2936)+1,"")</f>
        <v/>
      </c>
    </row>
    <row r="2938" spans="1:22" x14ac:dyDescent="0.25">
      <c r="A2938" s="9"/>
      <c r="E2938" s="10"/>
      <c r="K2938" s="11" t="str">
        <f>IF($E2938="","",ROUND($E2938*IF(ISNA(MATCH($C2938,'Paramètres'!$D:$D,0)),1,IF(INDEX('Paramètres'!$J:$J,MATCH($C2938,'Paramètres'!$D:$D,0))="",1,INDEX('Paramètres'!$J:$J,MATCH($C2938,'Paramètres'!$D:$D,0)))),2))</f>
        <v/>
      </c>
      <c r="L2938" s="6" t="str">
        <f>IF($D2938="","",IF($F2938&lt;&gt;"",$F2938,IF(ISNA(MATCH($D2938,'Paramètres'!$M:$M,0)),"⚠ Type inconnu",IFERROR(INDEX('Paramètres'!$P:$P,MATCH($D2938,'Paramètres'!$M:$M,0))&amp;"",""))))</f>
        <v/>
      </c>
      <c r="M2938" s="6" t="str">
        <f>IF($D2938="","",IF(ISNA(MATCH($D2938,'Paramètres'!$M:$M,0)),"⚠ Type inconnu",IF($L2938="Crédit","",IFERROR(INDEX('Paramètres'!$O:$O,MATCH($D2938,'Paramètres'!$M:$M,0))&amp;"",""))))</f>
        <v/>
      </c>
      <c r="N2938" s="6" t="str">
        <f>IF($D2938="","",IFERROR(INDEX('Paramètres'!$Q:$Q,MATCH($D2938,'Paramètres'!$M:$M,0))&amp;"",""))</f>
        <v/>
      </c>
      <c r="O2938" s="6" t="str">
        <f>IF($A2938="","",IF(OR($J2938&lt;&gt;"x",$A2938&lt;=FinReleve),1,0))</f>
        <v/>
      </c>
      <c r="P2938" s="6" t="str">
        <f>IF($D2938="","",IF(AND($L2938="Crédit",OR(IFERROR(INDEX('Paramètres'!$O:$O,MATCH($D2938,'Paramètres'!$M:$M,0))&amp;"","")&lt;&gt;"",ISNUMBER(SEARCH("remboursement",IFERROR(INDEX('Paramètres'!$N:$N,MATCH($D2938,'Paramètres'!$M:$M,0))&amp;"",""))))),1,0))</f>
        <v/>
      </c>
      <c r="Q2938" s="6" t="str">
        <f>IF($K2938="","",IF(ISNUMBER(SEARCH("transfert-interne",IFERROR(INDEX('Paramètres'!$N:$N,MATCH($D2938,'Paramètres'!$M:$M,0))&amp;"",""))),0,IF($L2938="Débit",$K2938,IF($P2938=1,-$K2938,0))))</f>
        <v/>
      </c>
      <c r="R2938" s="6" t="str">
        <f>IF($K2938="","",IF($L2938="Crédit",$K2938,-$K2938))</f>
        <v/>
      </c>
      <c r="S2938" s="6" t="str">
        <f>IF($C2938="","",IFERROR(INDEX('Paramètres'!$H:$H,MATCH($C2938,'Paramètres'!$D:$D,0))&amp;"",""))</f>
        <v/>
      </c>
      <c r="T2938" s="6" t="str">
        <f>IF($K2938="","",IF($S2938="",0,IF(ISNUMBER(SEARCH("apport-exterieur",IFERROR(INDEX('Paramètres'!$N:$N,MATCH($D2938,'Paramètres'!$M:$M,0))&amp;"",""))),0,IF(OR(IFERROR(INDEX('Paramètres'!$I:$I,MATCH($C2938,'Paramètres'!$D:$D,0))&amp;"","")="Les deux",IFERROR(INDEX('Paramètres'!$I:$I,MATCH($C2938,'Paramètres'!$D:$D,0))&amp;"","")=IF($P2938=1,"Débit",$L2938)),-IF($P2938=1,-$K2938,$K2938),0))))</f>
        <v/>
      </c>
      <c r="U2938" s="6" t="str">
        <f>IF($K2938="","",IF(ISNUMBER(SEARCH("sortie-epargne",IFERROR(INDEX('Paramètres'!$N:$N,MATCH($D2938,'Paramètres'!$M:$M,0))&amp;"",""))),$K2938,0))</f>
        <v/>
      </c>
      <c r="V2938" s="6" t="str">
        <f>IF(AND($A2938&lt;&gt;"",$O2938=1,$L2938="Débit",N($Q2938)&gt;0,$A2938&gt;=Visualisation!$B$1,$A2938&lt;Visualisation!$D$1),MAX($V$1:V2937)+1,"")</f>
        <v/>
      </c>
    </row>
    <row r="2939" spans="1:22" x14ac:dyDescent="0.25">
      <c r="A2939" s="9"/>
      <c r="E2939" s="10"/>
      <c r="K2939" s="11" t="str">
        <f>IF($E2939="","",ROUND($E2939*IF(ISNA(MATCH($C2939,'Paramètres'!$D:$D,0)),1,IF(INDEX('Paramètres'!$J:$J,MATCH($C2939,'Paramètres'!$D:$D,0))="",1,INDEX('Paramètres'!$J:$J,MATCH($C2939,'Paramètres'!$D:$D,0)))),2))</f>
        <v/>
      </c>
      <c r="L2939" s="6" t="str">
        <f>IF($D2939="","",IF($F2939&lt;&gt;"",$F2939,IF(ISNA(MATCH($D2939,'Paramètres'!$M:$M,0)),"⚠ Type inconnu",IFERROR(INDEX('Paramètres'!$P:$P,MATCH($D2939,'Paramètres'!$M:$M,0))&amp;"",""))))</f>
        <v/>
      </c>
      <c r="M2939" s="6" t="str">
        <f>IF($D2939="","",IF(ISNA(MATCH($D2939,'Paramètres'!$M:$M,0)),"⚠ Type inconnu",IF($L2939="Crédit","",IFERROR(INDEX('Paramètres'!$O:$O,MATCH($D2939,'Paramètres'!$M:$M,0))&amp;"",""))))</f>
        <v/>
      </c>
      <c r="N2939" s="6" t="str">
        <f>IF($D2939="","",IFERROR(INDEX('Paramètres'!$Q:$Q,MATCH($D2939,'Paramètres'!$M:$M,0))&amp;"",""))</f>
        <v/>
      </c>
      <c r="O2939" s="6" t="str">
        <f>IF($A2939="","",IF(OR($J2939&lt;&gt;"x",$A2939&lt;=FinReleve),1,0))</f>
        <v/>
      </c>
      <c r="P2939" s="6" t="str">
        <f>IF($D2939="","",IF(AND($L2939="Crédit",OR(IFERROR(INDEX('Paramètres'!$O:$O,MATCH($D2939,'Paramètres'!$M:$M,0))&amp;"","")&lt;&gt;"",ISNUMBER(SEARCH("remboursement",IFERROR(INDEX('Paramètres'!$N:$N,MATCH($D2939,'Paramètres'!$M:$M,0))&amp;"",""))))),1,0))</f>
        <v/>
      </c>
      <c r="Q2939" s="6" t="str">
        <f>IF($K2939="","",IF(ISNUMBER(SEARCH("transfert-interne",IFERROR(INDEX('Paramètres'!$N:$N,MATCH($D2939,'Paramètres'!$M:$M,0))&amp;"",""))),0,IF($L2939="Débit",$K2939,IF($P2939=1,-$K2939,0))))</f>
        <v/>
      </c>
      <c r="R2939" s="6" t="str">
        <f>IF($K2939="","",IF($L2939="Crédit",$K2939,-$K2939))</f>
        <v/>
      </c>
      <c r="S2939" s="6" t="str">
        <f>IF($C2939="","",IFERROR(INDEX('Paramètres'!$H:$H,MATCH($C2939,'Paramètres'!$D:$D,0))&amp;"",""))</f>
        <v/>
      </c>
      <c r="T2939" s="6" t="str">
        <f>IF($K2939="","",IF($S2939="",0,IF(ISNUMBER(SEARCH("apport-exterieur",IFERROR(INDEX('Paramètres'!$N:$N,MATCH($D2939,'Paramètres'!$M:$M,0))&amp;"",""))),0,IF(OR(IFERROR(INDEX('Paramètres'!$I:$I,MATCH($C2939,'Paramètres'!$D:$D,0))&amp;"","")="Les deux",IFERROR(INDEX('Paramètres'!$I:$I,MATCH($C2939,'Paramètres'!$D:$D,0))&amp;"","")=IF($P2939=1,"Débit",$L2939)),-IF($P2939=1,-$K2939,$K2939),0))))</f>
        <v/>
      </c>
      <c r="U2939" s="6" t="str">
        <f>IF($K2939="","",IF(ISNUMBER(SEARCH("sortie-epargne",IFERROR(INDEX('Paramètres'!$N:$N,MATCH($D2939,'Paramètres'!$M:$M,0))&amp;"",""))),$K2939,0))</f>
        <v/>
      </c>
      <c r="V2939" s="6" t="str">
        <f>IF(AND($A2939&lt;&gt;"",$O2939=1,$L2939="Débit",N($Q2939)&gt;0,$A2939&gt;=Visualisation!$B$1,$A2939&lt;Visualisation!$D$1),MAX($V$1:V2938)+1,"")</f>
        <v/>
      </c>
    </row>
    <row r="2940" spans="1:22" x14ac:dyDescent="0.25">
      <c r="A2940" s="9"/>
      <c r="E2940" s="10"/>
      <c r="K2940" s="11" t="str">
        <f>IF($E2940="","",ROUND($E2940*IF(ISNA(MATCH($C2940,'Paramètres'!$D:$D,0)),1,IF(INDEX('Paramètres'!$J:$J,MATCH($C2940,'Paramètres'!$D:$D,0))="",1,INDEX('Paramètres'!$J:$J,MATCH($C2940,'Paramètres'!$D:$D,0)))),2))</f>
        <v/>
      </c>
      <c r="L2940" s="6" t="str">
        <f>IF($D2940="","",IF($F2940&lt;&gt;"",$F2940,IF(ISNA(MATCH($D2940,'Paramètres'!$M:$M,0)),"⚠ Type inconnu",IFERROR(INDEX('Paramètres'!$P:$P,MATCH($D2940,'Paramètres'!$M:$M,0))&amp;"",""))))</f>
        <v/>
      </c>
      <c r="M2940" s="6" t="str">
        <f>IF($D2940="","",IF(ISNA(MATCH($D2940,'Paramètres'!$M:$M,0)),"⚠ Type inconnu",IF($L2940="Crédit","",IFERROR(INDEX('Paramètres'!$O:$O,MATCH($D2940,'Paramètres'!$M:$M,0))&amp;"",""))))</f>
        <v/>
      </c>
      <c r="N2940" s="6" t="str">
        <f>IF($D2940="","",IFERROR(INDEX('Paramètres'!$Q:$Q,MATCH($D2940,'Paramètres'!$M:$M,0))&amp;"",""))</f>
        <v/>
      </c>
      <c r="O2940" s="6" t="str">
        <f>IF($A2940="","",IF(OR($J2940&lt;&gt;"x",$A2940&lt;=FinReleve),1,0))</f>
        <v/>
      </c>
      <c r="P2940" s="6" t="str">
        <f>IF($D2940="","",IF(AND($L2940="Crédit",OR(IFERROR(INDEX('Paramètres'!$O:$O,MATCH($D2940,'Paramètres'!$M:$M,0))&amp;"","")&lt;&gt;"",ISNUMBER(SEARCH("remboursement",IFERROR(INDEX('Paramètres'!$N:$N,MATCH($D2940,'Paramètres'!$M:$M,0))&amp;"",""))))),1,0))</f>
        <v/>
      </c>
      <c r="Q2940" s="6" t="str">
        <f>IF($K2940="","",IF(ISNUMBER(SEARCH("transfert-interne",IFERROR(INDEX('Paramètres'!$N:$N,MATCH($D2940,'Paramètres'!$M:$M,0))&amp;"",""))),0,IF($L2940="Débit",$K2940,IF($P2940=1,-$K2940,0))))</f>
        <v/>
      </c>
      <c r="R2940" s="6" t="str">
        <f>IF($K2940="","",IF($L2940="Crédit",$K2940,-$K2940))</f>
        <v/>
      </c>
      <c r="S2940" s="6" t="str">
        <f>IF($C2940="","",IFERROR(INDEX('Paramètres'!$H:$H,MATCH($C2940,'Paramètres'!$D:$D,0))&amp;"",""))</f>
        <v/>
      </c>
      <c r="T2940" s="6" t="str">
        <f>IF($K2940="","",IF($S2940="",0,IF(ISNUMBER(SEARCH("apport-exterieur",IFERROR(INDEX('Paramètres'!$N:$N,MATCH($D2940,'Paramètres'!$M:$M,0))&amp;"",""))),0,IF(OR(IFERROR(INDEX('Paramètres'!$I:$I,MATCH($C2940,'Paramètres'!$D:$D,0))&amp;"","")="Les deux",IFERROR(INDEX('Paramètres'!$I:$I,MATCH($C2940,'Paramètres'!$D:$D,0))&amp;"","")=IF($P2940=1,"Débit",$L2940)),-IF($P2940=1,-$K2940,$K2940),0))))</f>
        <v/>
      </c>
      <c r="U2940" s="6" t="str">
        <f>IF($K2940="","",IF(ISNUMBER(SEARCH("sortie-epargne",IFERROR(INDEX('Paramètres'!$N:$N,MATCH($D2940,'Paramètres'!$M:$M,0))&amp;"",""))),$K2940,0))</f>
        <v/>
      </c>
      <c r="V2940" s="6" t="str">
        <f>IF(AND($A2940&lt;&gt;"",$O2940=1,$L2940="Débit",N($Q2940)&gt;0,$A2940&gt;=Visualisation!$B$1,$A2940&lt;Visualisation!$D$1),MAX($V$1:V2939)+1,"")</f>
        <v/>
      </c>
    </row>
    <row r="2941" spans="1:22" x14ac:dyDescent="0.25">
      <c r="A2941" s="9"/>
      <c r="E2941" s="10"/>
      <c r="K2941" s="11" t="str">
        <f>IF($E2941="","",ROUND($E2941*IF(ISNA(MATCH($C2941,'Paramètres'!$D:$D,0)),1,IF(INDEX('Paramètres'!$J:$J,MATCH($C2941,'Paramètres'!$D:$D,0))="",1,INDEX('Paramètres'!$J:$J,MATCH($C2941,'Paramètres'!$D:$D,0)))),2))</f>
        <v/>
      </c>
      <c r="L2941" s="6" t="str">
        <f>IF($D2941="","",IF($F2941&lt;&gt;"",$F2941,IF(ISNA(MATCH($D2941,'Paramètres'!$M:$M,0)),"⚠ Type inconnu",IFERROR(INDEX('Paramètres'!$P:$P,MATCH($D2941,'Paramètres'!$M:$M,0))&amp;"",""))))</f>
        <v/>
      </c>
      <c r="M2941" s="6" t="str">
        <f>IF($D2941="","",IF(ISNA(MATCH($D2941,'Paramètres'!$M:$M,0)),"⚠ Type inconnu",IF($L2941="Crédit","",IFERROR(INDEX('Paramètres'!$O:$O,MATCH($D2941,'Paramètres'!$M:$M,0))&amp;"",""))))</f>
        <v/>
      </c>
      <c r="N2941" s="6" t="str">
        <f>IF($D2941="","",IFERROR(INDEX('Paramètres'!$Q:$Q,MATCH($D2941,'Paramètres'!$M:$M,0))&amp;"",""))</f>
        <v/>
      </c>
      <c r="O2941" s="6" t="str">
        <f>IF($A2941="","",IF(OR($J2941&lt;&gt;"x",$A2941&lt;=FinReleve),1,0))</f>
        <v/>
      </c>
      <c r="P2941" s="6" t="str">
        <f>IF($D2941="","",IF(AND($L2941="Crédit",OR(IFERROR(INDEX('Paramètres'!$O:$O,MATCH($D2941,'Paramètres'!$M:$M,0))&amp;"","")&lt;&gt;"",ISNUMBER(SEARCH("remboursement",IFERROR(INDEX('Paramètres'!$N:$N,MATCH($D2941,'Paramètres'!$M:$M,0))&amp;"",""))))),1,0))</f>
        <v/>
      </c>
      <c r="Q2941" s="6" t="str">
        <f>IF($K2941="","",IF(ISNUMBER(SEARCH("transfert-interne",IFERROR(INDEX('Paramètres'!$N:$N,MATCH($D2941,'Paramètres'!$M:$M,0))&amp;"",""))),0,IF($L2941="Débit",$K2941,IF($P2941=1,-$K2941,0))))</f>
        <v/>
      </c>
      <c r="R2941" s="6" t="str">
        <f>IF($K2941="","",IF($L2941="Crédit",$K2941,-$K2941))</f>
        <v/>
      </c>
      <c r="S2941" s="6" t="str">
        <f>IF($C2941="","",IFERROR(INDEX('Paramètres'!$H:$H,MATCH($C2941,'Paramètres'!$D:$D,0))&amp;"",""))</f>
        <v/>
      </c>
      <c r="T2941" s="6" t="str">
        <f>IF($K2941="","",IF($S2941="",0,IF(ISNUMBER(SEARCH("apport-exterieur",IFERROR(INDEX('Paramètres'!$N:$N,MATCH($D2941,'Paramètres'!$M:$M,0))&amp;"",""))),0,IF(OR(IFERROR(INDEX('Paramètres'!$I:$I,MATCH($C2941,'Paramètres'!$D:$D,0))&amp;"","")="Les deux",IFERROR(INDEX('Paramètres'!$I:$I,MATCH($C2941,'Paramètres'!$D:$D,0))&amp;"","")=IF($P2941=1,"Débit",$L2941)),-IF($P2941=1,-$K2941,$K2941),0))))</f>
        <v/>
      </c>
      <c r="U2941" s="6" t="str">
        <f>IF($K2941="","",IF(ISNUMBER(SEARCH("sortie-epargne",IFERROR(INDEX('Paramètres'!$N:$N,MATCH($D2941,'Paramètres'!$M:$M,0))&amp;"",""))),$K2941,0))</f>
        <v/>
      </c>
      <c r="V2941" s="6" t="str">
        <f>IF(AND($A2941&lt;&gt;"",$O2941=1,$L2941="Débit",N($Q2941)&gt;0,$A2941&gt;=Visualisation!$B$1,$A2941&lt;Visualisation!$D$1),MAX($V$1:V2940)+1,"")</f>
        <v/>
      </c>
    </row>
    <row r="2942" spans="1:22" x14ac:dyDescent="0.25">
      <c r="A2942" s="9"/>
      <c r="E2942" s="10"/>
      <c r="K2942" s="11" t="str">
        <f>IF($E2942="","",ROUND($E2942*IF(ISNA(MATCH($C2942,'Paramètres'!$D:$D,0)),1,IF(INDEX('Paramètres'!$J:$J,MATCH($C2942,'Paramètres'!$D:$D,0))="",1,INDEX('Paramètres'!$J:$J,MATCH($C2942,'Paramètres'!$D:$D,0)))),2))</f>
        <v/>
      </c>
      <c r="L2942" s="6" t="str">
        <f>IF($D2942="","",IF($F2942&lt;&gt;"",$F2942,IF(ISNA(MATCH($D2942,'Paramètres'!$M:$M,0)),"⚠ Type inconnu",IFERROR(INDEX('Paramètres'!$P:$P,MATCH($D2942,'Paramètres'!$M:$M,0))&amp;"",""))))</f>
        <v/>
      </c>
      <c r="M2942" s="6" t="str">
        <f>IF($D2942="","",IF(ISNA(MATCH($D2942,'Paramètres'!$M:$M,0)),"⚠ Type inconnu",IF($L2942="Crédit","",IFERROR(INDEX('Paramètres'!$O:$O,MATCH($D2942,'Paramètres'!$M:$M,0))&amp;"",""))))</f>
        <v/>
      </c>
      <c r="N2942" s="6" t="str">
        <f>IF($D2942="","",IFERROR(INDEX('Paramètres'!$Q:$Q,MATCH($D2942,'Paramètres'!$M:$M,0))&amp;"",""))</f>
        <v/>
      </c>
      <c r="O2942" s="6" t="str">
        <f>IF($A2942="","",IF(OR($J2942&lt;&gt;"x",$A2942&lt;=FinReleve),1,0))</f>
        <v/>
      </c>
      <c r="P2942" s="6" t="str">
        <f>IF($D2942="","",IF(AND($L2942="Crédit",OR(IFERROR(INDEX('Paramètres'!$O:$O,MATCH($D2942,'Paramètres'!$M:$M,0))&amp;"","")&lt;&gt;"",ISNUMBER(SEARCH("remboursement",IFERROR(INDEX('Paramètres'!$N:$N,MATCH($D2942,'Paramètres'!$M:$M,0))&amp;"",""))))),1,0))</f>
        <v/>
      </c>
      <c r="Q2942" s="6" t="str">
        <f>IF($K2942="","",IF(ISNUMBER(SEARCH("transfert-interne",IFERROR(INDEX('Paramètres'!$N:$N,MATCH($D2942,'Paramètres'!$M:$M,0))&amp;"",""))),0,IF($L2942="Débit",$K2942,IF($P2942=1,-$K2942,0))))</f>
        <v/>
      </c>
      <c r="R2942" s="6" t="str">
        <f>IF($K2942="","",IF($L2942="Crédit",$K2942,-$K2942))</f>
        <v/>
      </c>
      <c r="S2942" s="6" t="str">
        <f>IF($C2942="","",IFERROR(INDEX('Paramètres'!$H:$H,MATCH($C2942,'Paramètres'!$D:$D,0))&amp;"",""))</f>
        <v/>
      </c>
      <c r="T2942" s="6" t="str">
        <f>IF($K2942="","",IF($S2942="",0,IF(ISNUMBER(SEARCH("apport-exterieur",IFERROR(INDEX('Paramètres'!$N:$N,MATCH($D2942,'Paramètres'!$M:$M,0))&amp;"",""))),0,IF(OR(IFERROR(INDEX('Paramètres'!$I:$I,MATCH($C2942,'Paramètres'!$D:$D,0))&amp;"","")="Les deux",IFERROR(INDEX('Paramètres'!$I:$I,MATCH($C2942,'Paramètres'!$D:$D,0))&amp;"","")=IF($P2942=1,"Débit",$L2942)),-IF($P2942=1,-$K2942,$K2942),0))))</f>
        <v/>
      </c>
      <c r="U2942" s="6" t="str">
        <f>IF($K2942="","",IF(ISNUMBER(SEARCH("sortie-epargne",IFERROR(INDEX('Paramètres'!$N:$N,MATCH($D2942,'Paramètres'!$M:$M,0))&amp;"",""))),$K2942,0))</f>
        <v/>
      </c>
      <c r="V2942" s="6" t="str">
        <f>IF(AND($A2942&lt;&gt;"",$O2942=1,$L2942="Débit",N($Q2942)&gt;0,$A2942&gt;=Visualisation!$B$1,$A2942&lt;Visualisation!$D$1),MAX($V$1:V2941)+1,"")</f>
        <v/>
      </c>
    </row>
    <row r="2943" spans="1:22" x14ac:dyDescent="0.25">
      <c r="A2943" s="9"/>
      <c r="E2943" s="10"/>
      <c r="K2943" s="11" t="str">
        <f>IF($E2943="","",ROUND($E2943*IF(ISNA(MATCH($C2943,'Paramètres'!$D:$D,0)),1,IF(INDEX('Paramètres'!$J:$J,MATCH($C2943,'Paramètres'!$D:$D,0))="",1,INDEX('Paramètres'!$J:$J,MATCH($C2943,'Paramètres'!$D:$D,0)))),2))</f>
        <v/>
      </c>
      <c r="L2943" s="6" t="str">
        <f>IF($D2943="","",IF($F2943&lt;&gt;"",$F2943,IF(ISNA(MATCH($D2943,'Paramètres'!$M:$M,0)),"⚠ Type inconnu",IFERROR(INDEX('Paramètres'!$P:$P,MATCH($D2943,'Paramètres'!$M:$M,0))&amp;"",""))))</f>
        <v/>
      </c>
      <c r="M2943" s="6" t="str">
        <f>IF($D2943="","",IF(ISNA(MATCH($D2943,'Paramètres'!$M:$M,0)),"⚠ Type inconnu",IF($L2943="Crédit","",IFERROR(INDEX('Paramètres'!$O:$O,MATCH($D2943,'Paramètres'!$M:$M,0))&amp;"",""))))</f>
        <v/>
      </c>
      <c r="N2943" s="6" t="str">
        <f>IF($D2943="","",IFERROR(INDEX('Paramètres'!$Q:$Q,MATCH($D2943,'Paramètres'!$M:$M,0))&amp;"",""))</f>
        <v/>
      </c>
      <c r="O2943" s="6" t="str">
        <f>IF($A2943="","",IF(OR($J2943&lt;&gt;"x",$A2943&lt;=FinReleve),1,0))</f>
        <v/>
      </c>
      <c r="P2943" s="6" t="str">
        <f>IF($D2943="","",IF(AND($L2943="Crédit",OR(IFERROR(INDEX('Paramètres'!$O:$O,MATCH($D2943,'Paramètres'!$M:$M,0))&amp;"","")&lt;&gt;"",ISNUMBER(SEARCH("remboursement",IFERROR(INDEX('Paramètres'!$N:$N,MATCH($D2943,'Paramètres'!$M:$M,0))&amp;"",""))))),1,0))</f>
        <v/>
      </c>
      <c r="Q2943" s="6" t="str">
        <f>IF($K2943="","",IF(ISNUMBER(SEARCH("transfert-interne",IFERROR(INDEX('Paramètres'!$N:$N,MATCH($D2943,'Paramètres'!$M:$M,0))&amp;"",""))),0,IF($L2943="Débit",$K2943,IF($P2943=1,-$K2943,0))))</f>
        <v/>
      </c>
      <c r="R2943" s="6" t="str">
        <f>IF($K2943="","",IF($L2943="Crédit",$K2943,-$K2943))</f>
        <v/>
      </c>
      <c r="S2943" s="6" t="str">
        <f>IF($C2943="","",IFERROR(INDEX('Paramètres'!$H:$H,MATCH($C2943,'Paramètres'!$D:$D,0))&amp;"",""))</f>
        <v/>
      </c>
      <c r="T2943" s="6" t="str">
        <f>IF($K2943="","",IF($S2943="",0,IF(ISNUMBER(SEARCH("apport-exterieur",IFERROR(INDEX('Paramètres'!$N:$N,MATCH($D2943,'Paramètres'!$M:$M,0))&amp;"",""))),0,IF(OR(IFERROR(INDEX('Paramètres'!$I:$I,MATCH($C2943,'Paramètres'!$D:$D,0))&amp;"","")="Les deux",IFERROR(INDEX('Paramètres'!$I:$I,MATCH($C2943,'Paramètres'!$D:$D,0))&amp;"","")=IF($P2943=1,"Débit",$L2943)),-IF($P2943=1,-$K2943,$K2943),0))))</f>
        <v/>
      </c>
      <c r="U2943" s="6" t="str">
        <f>IF($K2943="","",IF(ISNUMBER(SEARCH("sortie-epargne",IFERROR(INDEX('Paramètres'!$N:$N,MATCH($D2943,'Paramètres'!$M:$M,0))&amp;"",""))),$K2943,0))</f>
        <v/>
      </c>
      <c r="V2943" s="6" t="str">
        <f>IF(AND($A2943&lt;&gt;"",$O2943=1,$L2943="Débit",N($Q2943)&gt;0,$A2943&gt;=Visualisation!$B$1,$A2943&lt;Visualisation!$D$1),MAX($V$1:V2942)+1,"")</f>
        <v/>
      </c>
    </row>
    <row r="2944" spans="1:22" x14ac:dyDescent="0.25">
      <c r="A2944" s="9"/>
      <c r="E2944" s="10"/>
      <c r="K2944" s="11" t="str">
        <f>IF($E2944="","",ROUND($E2944*IF(ISNA(MATCH($C2944,'Paramètres'!$D:$D,0)),1,IF(INDEX('Paramètres'!$J:$J,MATCH($C2944,'Paramètres'!$D:$D,0))="",1,INDEX('Paramètres'!$J:$J,MATCH($C2944,'Paramètres'!$D:$D,0)))),2))</f>
        <v/>
      </c>
      <c r="L2944" s="6" t="str">
        <f>IF($D2944="","",IF($F2944&lt;&gt;"",$F2944,IF(ISNA(MATCH($D2944,'Paramètres'!$M:$M,0)),"⚠ Type inconnu",IFERROR(INDEX('Paramètres'!$P:$P,MATCH($D2944,'Paramètres'!$M:$M,0))&amp;"",""))))</f>
        <v/>
      </c>
      <c r="M2944" s="6" t="str">
        <f>IF($D2944="","",IF(ISNA(MATCH($D2944,'Paramètres'!$M:$M,0)),"⚠ Type inconnu",IF($L2944="Crédit","",IFERROR(INDEX('Paramètres'!$O:$O,MATCH($D2944,'Paramètres'!$M:$M,0))&amp;"",""))))</f>
        <v/>
      </c>
      <c r="N2944" s="6" t="str">
        <f>IF($D2944="","",IFERROR(INDEX('Paramètres'!$Q:$Q,MATCH($D2944,'Paramètres'!$M:$M,0))&amp;"",""))</f>
        <v/>
      </c>
      <c r="O2944" s="6" t="str">
        <f>IF($A2944="","",IF(OR($J2944&lt;&gt;"x",$A2944&lt;=FinReleve),1,0))</f>
        <v/>
      </c>
      <c r="P2944" s="6" t="str">
        <f>IF($D2944="","",IF(AND($L2944="Crédit",OR(IFERROR(INDEX('Paramètres'!$O:$O,MATCH($D2944,'Paramètres'!$M:$M,0))&amp;"","")&lt;&gt;"",ISNUMBER(SEARCH("remboursement",IFERROR(INDEX('Paramètres'!$N:$N,MATCH($D2944,'Paramètres'!$M:$M,0))&amp;"",""))))),1,0))</f>
        <v/>
      </c>
      <c r="Q2944" s="6" t="str">
        <f>IF($K2944="","",IF(ISNUMBER(SEARCH("transfert-interne",IFERROR(INDEX('Paramètres'!$N:$N,MATCH($D2944,'Paramètres'!$M:$M,0))&amp;"",""))),0,IF($L2944="Débit",$K2944,IF($P2944=1,-$K2944,0))))</f>
        <v/>
      </c>
      <c r="R2944" s="6" t="str">
        <f>IF($K2944="","",IF($L2944="Crédit",$K2944,-$K2944))</f>
        <v/>
      </c>
      <c r="S2944" s="6" t="str">
        <f>IF($C2944="","",IFERROR(INDEX('Paramètres'!$H:$H,MATCH($C2944,'Paramètres'!$D:$D,0))&amp;"",""))</f>
        <v/>
      </c>
      <c r="T2944" s="6" t="str">
        <f>IF($K2944="","",IF($S2944="",0,IF(ISNUMBER(SEARCH("apport-exterieur",IFERROR(INDEX('Paramètres'!$N:$N,MATCH($D2944,'Paramètres'!$M:$M,0))&amp;"",""))),0,IF(OR(IFERROR(INDEX('Paramètres'!$I:$I,MATCH($C2944,'Paramètres'!$D:$D,0))&amp;"","")="Les deux",IFERROR(INDEX('Paramètres'!$I:$I,MATCH($C2944,'Paramètres'!$D:$D,0))&amp;"","")=IF($P2944=1,"Débit",$L2944)),-IF($P2944=1,-$K2944,$K2944),0))))</f>
        <v/>
      </c>
      <c r="U2944" s="6" t="str">
        <f>IF($K2944="","",IF(ISNUMBER(SEARCH("sortie-epargne",IFERROR(INDEX('Paramètres'!$N:$N,MATCH($D2944,'Paramètres'!$M:$M,0))&amp;"",""))),$K2944,0))</f>
        <v/>
      </c>
      <c r="V2944" s="6" t="str">
        <f>IF(AND($A2944&lt;&gt;"",$O2944=1,$L2944="Débit",N($Q2944)&gt;0,$A2944&gt;=Visualisation!$B$1,$A2944&lt;Visualisation!$D$1),MAX($V$1:V2943)+1,"")</f>
        <v/>
      </c>
    </row>
    <row r="2945" spans="1:22" x14ac:dyDescent="0.25">
      <c r="A2945" s="9"/>
      <c r="E2945" s="10"/>
      <c r="K2945" s="11" t="str">
        <f>IF($E2945="","",ROUND($E2945*IF(ISNA(MATCH($C2945,'Paramètres'!$D:$D,0)),1,IF(INDEX('Paramètres'!$J:$J,MATCH($C2945,'Paramètres'!$D:$D,0))="",1,INDEX('Paramètres'!$J:$J,MATCH($C2945,'Paramètres'!$D:$D,0)))),2))</f>
        <v/>
      </c>
      <c r="L2945" s="6" t="str">
        <f>IF($D2945="","",IF($F2945&lt;&gt;"",$F2945,IF(ISNA(MATCH($D2945,'Paramètres'!$M:$M,0)),"⚠ Type inconnu",IFERROR(INDEX('Paramètres'!$P:$P,MATCH($D2945,'Paramètres'!$M:$M,0))&amp;"",""))))</f>
        <v/>
      </c>
      <c r="M2945" s="6" t="str">
        <f>IF($D2945="","",IF(ISNA(MATCH($D2945,'Paramètres'!$M:$M,0)),"⚠ Type inconnu",IF($L2945="Crédit","",IFERROR(INDEX('Paramètres'!$O:$O,MATCH($D2945,'Paramètres'!$M:$M,0))&amp;"",""))))</f>
        <v/>
      </c>
      <c r="N2945" s="6" t="str">
        <f>IF($D2945="","",IFERROR(INDEX('Paramètres'!$Q:$Q,MATCH($D2945,'Paramètres'!$M:$M,0))&amp;"",""))</f>
        <v/>
      </c>
      <c r="O2945" s="6" t="str">
        <f>IF($A2945="","",IF(OR($J2945&lt;&gt;"x",$A2945&lt;=FinReleve),1,0))</f>
        <v/>
      </c>
      <c r="P2945" s="6" t="str">
        <f>IF($D2945="","",IF(AND($L2945="Crédit",OR(IFERROR(INDEX('Paramètres'!$O:$O,MATCH($D2945,'Paramètres'!$M:$M,0))&amp;"","")&lt;&gt;"",ISNUMBER(SEARCH("remboursement",IFERROR(INDEX('Paramètres'!$N:$N,MATCH($D2945,'Paramètres'!$M:$M,0))&amp;"",""))))),1,0))</f>
        <v/>
      </c>
      <c r="Q2945" s="6" t="str">
        <f>IF($K2945="","",IF(ISNUMBER(SEARCH("transfert-interne",IFERROR(INDEX('Paramètres'!$N:$N,MATCH($D2945,'Paramètres'!$M:$M,0))&amp;"",""))),0,IF($L2945="Débit",$K2945,IF($P2945=1,-$K2945,0))))</f>
        <v/>
      </c>
      <c r="R2945" s="6" t="str">
        <f>IF($K2945="","",IF($L2945="Crédit",$K2945,-$K2945))</f>
        <v/>
      </c>
      <c r="S2945" s="6" t="str">
        <f>IF($C2945="","",IFERROR(INDEX('Paramètres'!$H:$H,MATCH($C2945,'Paramètres'!$D:$D,0))&amp;"",""))</f>
        <v/>
      </c>
      <c r="T2945" s="6" t="str">
        <f>IF($K2945="","",IF($S2945="",0,IF(ISNUMBER(SEARCH("apport-exterieur",IFERROR(INDEX('Paramètres'!$N:$N,MATCH($D2945,'Paramètres'!$M:$M,0))&amp;"",""))),0,IF(OR(IFERROR(INDEX('Paramètres'!$I:$I,MATCH($C2945,'Paramètres'!$D:$D,0))&amp;"","")="Les deux",IFERROR(INDEX('Paramètres'!$I:$I,MATCH($C2945,'Paramètres'!$D:$D,0))&amp;"","")=IF($P2945=1,"Débit",$L2945)),-IF($P2945=1,-$K2945,$K2945),0))))</f>
        <v/>
      </c>
      <c r="U2945" s="6" t="str">
        <f>IF($K2945="","",IF(ISNUMBER(SEARCH("sortie-epargne",IFERROR(INDEX('Paramètres'!$N:$N,MATCH($D2945,'Paramètres'!$M:$M,0))&amp;"",""))),$K2945,0))</f>
        <v/>
      </c>
      <c r="V2945" s="6" t="str">
        <f>IF(AND($A2945&lt;&gt;"",$O2945=1,$L2945="Débit",N($Q2945)&gt;0,$A2945&gt;=Visualisation!$B$1,$A2945&lt;Visualisation!$D$1),MAX($V$1:V2944)+1,"")</f>
        <v/>
      </c>
    </row>
    <row r="2946" spans="1:22" x14ac:dyDescent="0.25">
      <c r="A2946" s="9"/>
      <c r="E2946" s="10"/>
      <c r="K2946" s="11" t="str">
        <f>IF($E2946="","",ROUND($E2946*IF(ISNA(MATCH($C2946,'Paramètres'!$D:$D,0)),1,IF(INDEX('Paramètres'!$J:$J,MATCH($C2946,'Paramètres'!$D:$D,0))="",1,INDEX('Paramètres'!$J:$J,MATCH($C2946,'Paramètres'!$D:$D,0)))),2))</f>
        <v/>
      </c>
      <c r="L2946" s="6" t="str">
        <f>IF($D2946="","",IF($F2946&lt;&gt;"",$F2946,IF(ISNA(MATCH($D2946,'Paramètres'!$M:$M,0)),"⚠ Type inconnu",IFERROR(INDEX('Paramètres'!$P:$P,MATCH($D2946,'Paramètres'!$M:$M,0))&amp;"",""))))</f>
        <v/>
      </c>
      <c r="M2946" s="6" t="str">
        <f>IF($D2946="","",IF(ISNA(MATCH($D2946,'Paramètres'!$M:$M,0)),"⚠ Type inconnu",IF($L2946="Crédit","",IFERROR(INDEX('Paramètres'!$O:$O,MATCH($D2946,'Paramètres'!$M:$M,0))&amp;"",""))))</f>
        <v/>
      </c>
      <c r="N2946" s="6" t="str">
        <f>IF($D2946="","",IFERROR(INDEX('Paramètres'!$Q:$Q,MATCH($D2946,'Paramètres'!$M:$M,0))&amp;"",""))</f>
        <v/>
      </c>
      <c r="O2946" s="6" t="str">
        <f>IF($A2946="","",IF(OR($J2946&lt;&gt;"x",$A2946&lt;=FinReleve),1,0))</f>
        <v/>
      </c>
      <c r="P2946" s="6" t="str">
        <f>IF($D2946="","",IF(AND($L2946="Crédit",OR(IFERROR(INDEX('Paramètres'!$O:$O,MATCH($D2946,'Paramètres'!$M:$M,0))&amp;"","")&lt;&gt;"",ISNUMBER(SEARCH("remboursement",IFERROR(INDEX('Paramètres'!$N:$N,MATCH($D2946,'Paramètres'!$M:$M,0))&amp;"",""))))),1,0))</f>
        <v/>
      </c>
      <c r="Q2946" s="6" t="str">
        <f>IF($K2946="","",IF(ISNUMBER(SEARCH("transfert-interne",IFERROR(INDEX('Paramètres'!$N:$N,MATCH($D2946,'Paramètres'!$M:$M,0))&amp;"",""))),0,IF($L2946="Débit",$K2946,IF($P2946=1,-$K2946,0))))</f>
        <v/>
      </c>
      <c r="R2946" s="6" t="str">
        <f>IF($K2946="","",IF($L2946="Crédit",$K2946,-$K2946))</f>
        <v/>
      </c>
      <c r="S2946" s="6" t="str">
        <f>IF($C2946="","",IFERROR(INDEX('Paramètres'!$H:$H,MATCH($C2946,'Paramètres'!$D:$D,0))&amp;"",""))</f>
        <v/>
      </c>
      <c r="T2946" s="6" t="str">
        <f>IF($K2946="","",IF($S2946="",0,IF(ISNUMBER(SEARCH("apport-exterieur",IFERROR(INDEX('Paramètres'!$N:$N,MATCH($D2946,'Paramètres'!$M:$M,0))&amp;"",""))),0,IF(OR(IFERROR(INDEX('Paramètres'!$I:$I,MATCH($C2946,'Paramètres'!$D:$D,0))&amp;"","")="Les deux",IFERROR(INDEX('Paramètres'!$I:$I,MATCH($C2946,'Paramètres'!$D:$D,0))&amp;"","")=IF($P2946=1,"Débit",$L2946)),-IF($P2946=1,-$K2946,$K2946),0))))</f>
        <v/>
      </c>
      <c r="U2946" s="6" t="str">
        <f>IF($K2946="","",IF(ISNUMBER(SEARCH("sortie-epargne",IFERROR(INDEX('Paramètres'!$N:$N,MATCH($D2946,'Paramètres'!$M:$M,0))&amp;"",""))),$K2946,0))</f>
        <v/>
      </c>
      <c r="V2946" s="6" t="str">
        <f>IF(AND($A2946&lt;&gt;"",$O2946=1,$L2946="Débit",N($Q2946)&gt;0,$A2946&gt;=Visualisation!$B$1,$A2946&lt;Visualisation!$D$1),MAX($V$1:V2945)+1,"")</f>
        <v/>
      </c>
    </row>
    <row r="2947" spans="1:22" x14ac:dyDescent="0.25">
      <c r="A2947" s="9"/>
      <c r="E2947" s="10"/>
      <c r="K2947" s="11" t="str">
        <f>IF($E2947="","",ROUND($E2947*IF(ISNA(MATCH($C2947,'Paramètres'!$D:$D,0)),1,IF(INDEX('Paramètres'!$J:$J,MATCH($C2947,'Paramètres'!$D:$D,0))="",1,INDEX('Paramètres'!$J:$J,MATCH($C2947,'Paramètres'!$D:$D,0)))),2))</f>
        <v/>
      </c>
      <c r="L2947" s="6" t="str">
        <f>IF($D2947="","",IF($F2947&lt;&gt;"",$F2947,IF(ISNA(MATCH($D2947,'Paramètres'!$M:$M,0)),"⚠ Type inconnu",IFERROR(INDEX('Paramètres'!$P:$P,MATCH($D2947,'Paramètres'!$M:$M,0))&amp;"",""))))</f>
        <v/>
      </c>
      <c r="M2947" s="6" t="str">
        <f>IF($D2947="","",IF(ISNA(MATCH($D2947,'Paramètres'!$M:$M,0)),"⚠ Type inconnu",IF($L2947="Crédit","",IFERROR(INDEX('Paramètres'!$O:$O,MATCH($D2947,'Paramètres'!$M:$M,0))&amp;"",""))))</f>
        <v/>
      </c>
      <c r="N2947" s="6" t="str">
        <f>IF($D2947="","",IFERROR(INDEX('Paramètres'!$Q:$Q,MATCH($D2947,'Paramètres'!$M:$M,0))&amp;"",""))</f>
        <v/>
      </c>
      <c r="O2947" s="6" t="str">
        <f>IF($A2947="","",IF(OR($J2947&lt;&gt;"x",$A2947&lt;=FinReleve),1,0))</f>
        <v/>
      </c>
      <c r="P2947" s="6" t="str">
        <f>IF($D2947="","",IF(AND($L2947="Crédit",OR(IFERROR(INDEX('Paramètres'!$O:$O,MATCH($D2947,'Paramètres'!$M:$M,0))&amp;"","")&lt;&gt;"",ISNUMBER(SEARCH("remboursement",IFERROR(INDEX('Paramètres'!$N:$N,MATCH($D2947,'Paramètres'!$M:$M,0))&amp;"",""))))),1,0))</f>
        <v/>
      </c>
      <c r="Q2947" s="6" t="str">
        <f>IF($K2947="","",IF(ISNUMBER(SEARCH("transfert-interne",IFERROR(INDEX('Paramètres'!$N:$N,MATCH($D2947,'Paramètres'!$M:$M,0))&amp;"",""))),0,IF($L2947="Débit",$K2947,IF($P2947=1,-$K2947,0))))</f>
        <v/>
      </c>
      <c r="R2947" s="6" t="str">
        <f>IF($K2947="","",IF($L2947="Crédit",$K2947,-$K2947))</f>
        <v/>
      </c>
      <c r="S2947" s="6" t="str">
        <f>IF($C2947="","",IFERROR(INDEX('Paramètres'!$H:$H,MATCH($C2947,'Paramètres'!$D:$D,0))&amp;"",""))</f>
        <v/>
      </c>
      <c r="T2947" s="6" t="str">
        <f>IF($K2947="","",IF($S2947="",0,IF(ISNUMBER(SEARCH("apport-exterieur",IFERROR(INDEX('Paramètres'!$N:$N,MATCH($D2947,'Paramètres'!$M:$M,0))&amp;"",""))),0,IF(OR(IFERROR(INDEX('Paramètres'!$I:$I,MATCH($C2947,'Paramètres'!$D:$D,0))&amp;"","")="Les deux",IFERROR(INDEX('Paramètres'!$I:$I,MATCH($C2947,'Paramètres'!$D:$D,0))&amp;"","")=IF($P2947=1,"Débit",$L2947)),-IF($P2947=1,-$K2947,$K2947),0))))</f>
        <v/>
      </c>
      <c r="U2947" s="6" t="str">
        <f>IF($K2947="","",IF(ISNUMBER(SEARCH("sortie-epargne",IFERROR(INDEX('Paramètres'!$N:$N,MATCH($D2947,'Paramètres'!$M:$M,0))&amp;"",""))),$K2947,0))</f>
        <v/>
      </c>
      <c r="V2947" s="6" t="str">
        <f>IF(AND($A2947&lt;&gt;"",$O2947=1,$L2947="Débit",N($Q2947)&gt;0,$A2947&gt;=Visualisation!$B$1,$A2947&lt;Visualisation!$D$1),MAX($V$1:V2946)+1,"")</f>
        <v/>
      </c>
    </row>
    <row r="2948" spans="1:22" x14ac:dyDescent="0.25">
      <c r="A2948" s="9"/>
      <c r="E2948" s="10"/>
      <c r="K2948" s="11" t="str">
        <f>IF($E2948="","",ROUND($E2948*IF(ISNA(MATCH($C2948,'Paramètres'!$D:$D,0)),1,IF(INDEX('Paramètres'!$J:$J,MATCH($C2948,'Paramètres'!$D:$D,0))="",1,INDEX('Paramètres'!$J:$J,MATCH($C2948,'Paramètres'!$D:$D,0)))),2))</f>
        <v/>
      </c>
      <c r="L2948" s="6" t="str">
        <f>IF($D2948="","",IF($F2948&lt;&gt;"",$F2948,IF(ISNA(MATCH($D2948,'Paramètres'!$M:$M,0)),"⚠ Type inconnu",IFERROR(INDEX('Paramètres'!$P:$P,MATCH($D2948,'Paramètres'!$M:$M,0))&amp;"",""))))</f>
        <v/>
      </c>
      <c r="M2948" s="6" t="str">
        <f>IF($D2948="","",IF(ISNA(MATCH($D2948,'Paramètres'!$M:$M,0)),"⚠ Type inconnu",IF($L2948="Crédit","",IFERROR(INDEX('Paramètres'!$O:$O,MATCH($D2948,'Paramètres'!$M:$M,0))&amp;"",""))))</f>
        <v/>
      </c>
      <c r="N2948" s="6" t="str">
        <f>IF($D2948="","",IFERROR(INDEX('Paramètres'!$Q:$Q,MATCH($D2948,'Paramètres'!$M:$M,0))&amp;"",""))</f>
        <v/>
      </c>
      <c r="O2948" s="6" t="str">
        <f>IF($A2948="","",IF(OR($J2948&lt;&gt;"x",$A2948&lt;=FinReleve),1,0))</f>
        <v/>
      </c>
      <c r="P2948" s="6" t="str">
        <f>IF($D2948="","",IF(AND($L2948="Crédit",OR(IFERROR(INDEX('Paramètres'!$O:$O,MATCH($D2948,'Paramètres'!$M:$M,0))&amp;"","")&lt;&gt;"",ISNUMBER(SEARCH("remboursement",IFERROR(INDEX('Paramètres'!$N:$N,MATCH($D2948,'Paramètres'!$M:$M,0))&amp;"",""))))),1,0))</f>
        <v/>
      </c>
      <c r="Q2948" s="6" t="str">
        <f>IF($K2948="","",IF(ISNUMBER(SEARCH("transfert-interne",IFERROR(INDEX('Paramètres'!$N:$N,MATCH($D2948,'Paramètres'!$M:$M,0))&amp;"",""))),0,IF($L2948="Débit",$K2948,IF($P2948=1,-$K2948,0))))</f>
        <v/>
      </c>
      <c r="R2948" s="6" t="str">
        <f>IF($K2948="","",IF($L2948="Crédit",$K2948,-$K2948))</f>
        <v/>
      </c>
      <c r="S2948" s="6" t="str">
        <f>IF($C2948="","",IFERROR(INDEX('Paramètres'!$H:$H,MATCH($C2948,'Paramètres'!$D:$D,0))&amp;"",""))</f>
        <v/>
      </c>
      <c r="T2948" s="6" t="str">
        <f>IF($K2948="","",IF($S2948="",0,IF(ISNUMBER(SEARCH("apport-exterieur",IFERROR(INDEX('Paramètres'!$N:$N,MATCH($D2948,'Paramètres'!$M:$M,0))&amp;"",""))),0,IF(OR(IFERROR(INDEX('Paramètres'!$I:$I,MATCH($C2948,'Paramètres'!$D:$D,0))&amp;"","")="Les deux",IFERROR(INDEX('Paramètres'!$I:$I,MATCH($C2948,'Paramètres'!$D:$D,0))&amp;"","")=IF($P2948=1,"Débit",$L2948)),-IF($P2948=1,-$K2948,$K2948),0))))</f>
        <v/>
      </c>
      <c r="U2948" s="6" t="str">
        <f>IF($K2948="","",IF(ISNUMBER(SEARCH("sortie-epargne",IFERROR(INDEX('Paramètres'!$N:$N,MATCH($D2948,'Paramètres'!$M:$M,0))&amp;"",""))),$K2948,0))</f>
        <v/>
      </c>
      <c r="V2948" s="6" t="str">
        <f>IF(AND($A2948&lt;&gt;"",$O2948=1,$L2948="Débit",N($Q2948)&gt;0,$A2948&gt;=Visualisation!$B$1,$A2948&lt;Visualisation!$D$1),MAX($V$1:V2947)+1,"")</f>
        <v/>
      </c>
    </row>
    <row r="2949" spans="1:22" x14ac:dyDescent="0.25">
      <c r="A2949" s="9"/>
      <c r="E2949" s="10"/>
      <c r="K2949" s="11" t="str">
        <f>IF($E2949="","",ROUND($E2949*IF(ISNA(MATCH($C2949,'Paramètres'!$D:$D,0)),1,IF(INDEX('Paramètres'!$J:$J,MATCH($C2949,'Paramètres'!$D:$D,0))="",1,INDEX('Paramètres'!$J:$J,MATCH($C2949,'Paramètres'!$D:$D,0)))),2))</f>
        <v/>
      </c>
      <c r="L2949" s="6" t="str">
        <f>IF($D2949="","",IF($F2949&lt;&gt;"",$F2949,IF(ISNA(MATCH($D2949,'Paramètres'!$M:$M,0)),"⚠ Type inconnu",IFERROR(INDEX('Paramètres'!$P:$P,MATCH($D2949,'Paramètres'!$M:$M,0))&amp;"",""))))</f>
        <v/>
      </c>
      <c r="M2949" s="6" t="str">
        <f>IF($D2949="","",IF(ISNA(MATCH($D2949,'Paramètres'!$M:$M,0)),"⚠ Type inconnu",IF($L2949="Crédit","",IFERROR(INDEX('Paramètres'!$O:$O,MATCH($D2949,'Paramètres'!$M:$M,0))&amp;"",""))))</f>
        <v/>
      </c>
      <c r="N2949" s="6" t="str">
        <f>IF($D2949="","",IFERROR(INDEX('Paramètres'!$Q:$Q,MATCH($D2949,'Paramètres'!$M:$M,0))&amp;"",""))</f>
        <v/>
      </c>
      <c r="O2949" s="6" t="str">
        <f>IF($A2949="","",IF(OR($J2949&lt;&gt;"x",$A2949&lt;=FinReleve),1,0))</f>
        <v/>
      </c>
      <c r="P2949" s="6" t="str">
        <f>IF($D2949="","",IF(AND($L2949="Crédit",OR(IFERROR(INDEX('Paramètres'!$O:$O,MATCH($D2949,'Paramètres'!$M:$M,0))&amp;"","")&lt;&gt;"",ISNUMBER(SEARCH("remboursement",IFERROR(INDEX('Paramètres'!$N:$N,MATCH($D2949,'Paramètres'!$M:$M,0))&amp;"",""))))),1,0))</f>
        <v/>
      </c>
      <c r="Q2949" s="6" t="str">
        <f>IF($K2949="","",IF(ISNUMBER(SEARCH("transfert-interne",IFERROR(INDEX('Paramètres'!$N:$N,MATCH($D2949,'Paramètres'!$M:$M,0))&amp;"",""))),0,IF($L2949="Débit",$K2949,IF($P2949=1,-$K2949,0))))</f>
        <v/>
      </c>
      <c r="R2949" s="6" t="str">
        <f>IF($K2949="","",IF($L2949="Crédit",$K2949,-$K2949))</f>
        <v/>
      </c>
      <c r="S2949" s="6" t="str">
        <f>IF($C2949="","",IFERROR(INDEX('Paramètres'!$H:$H,MATCH($C2949,'Paramètres'!$D:$D,0))&amp;"",""))</f>
        <v/>
      </c>
      <c r="T2949" s="6" t="str">
        <f>IF($K2949="","",IF($S2949="",0,IF(ISNUMBER(SEARCH("apport-exterieur",IFERROR(INDEX('Paramètres'!$N:$N,MATCH($D2949,'Paramètres'!$M:$M,0))&amp;"",""))),0,IF(OR(IFERROR(INDEX('Paramètres'!$I:$I,MATCH($C2949,'Paramètres'!$D:$D,0))&amp;"","")="Les deux",IFERROR(INDEX('Paramètres'!$I:$I,MATCH($C2949,'Paramètres'!$D:$D,0))&amp;"","")=IF($P2949=1,"Débit",$L2949)),-IF($P2949=1,-$K2949,$K2949),0))))</f>
        <v/>
      </c>
      <c r="U2949" s="6" t="str">
        <f>IF($K2949="","",IF(ISNUMBER(SEARCH("sortie-epargne",IFERROR(INDEX('Paramètres'!$N:$N,MATCH($D2949,'Paramètres'!$M:$M,0))&amp;"",""))),$K2949,0))</f>
        <v/>
      </c>
      <c r="V2949" s="6" t="str">
        <f>IF(AND($A2949&lt;&gt;"",$O2949=1,$L2949="Débit",N($Q2949)&gt;0,$A2949&gt;=Visualisation!$B$1,$A2949&lt;Visualisation!$D$1),MAX($V$1:V2948)+1,"")</f>
        <v/>
      </c>
    </row>
    <row r="2950" spans="1:22" x14ac:dyDescent="0.25">
      <c r="A2950" s="9"/>
      <c r="E2950" s="10"/>
      <c r="K2950" s="11" t="str">
        <f>IF($E2950="","",ROUND($E2950*IF(ISNA(MATCH($C2950,'Paramètres'!$D:$D,0)),1,IF(INDEX('Paramètres'!$J:$J,MATCH($C2950,'Paramètres'!$D:$D,0))="",1,INDEX('Paramètres'!$J:$J,MATCH($C2950,'Paramètres'!$D:$D,0)))),2))</f>
        <v/>
      </c>
      <c r="L2950" s="6" t="str">
        <f>IF($D2950="","",IF($F2950&lt;&gt;"",$F2950,IF(ISNA(MATCH($D2950,'Paramètres'!$M:$M,0)),"⚠ Type inconnu",IFERROR(INDEX('Paramètres'!$P:$P,MATCH($D2950,'Paramètres'!$M:$M,0))&amp;"",""))))</f>
        <v/>
      </c>
      <c r="M2950" s="6" t="str">
        <f>IF($D2950="","",IF(ISNA(MATCH($D2950,'Paramètres'!$M:$M,0)),"⚠ Type inconnu",IF($L2950="Crédit","",IFERROR(INDEX('Paramètres'!$O:$O,MATCH($D2950,'Paramètres'!$M:$M,0))&amp;"",""))))</f>
        <v/>
      </c>
      <c r="N2950" s="6" t="str">
        <f>IF($D2950="","",IFERROR(INDEX('Paramètres'!$Q:$Q,MATCH($D2950,'Paramètres'!$M:$M,0))&amp;"",""))</f>
        <v/>
      </c>
      <c r="O2950" s="6" t="str">
        <f>IF($A2950="","",IF(OR($J2950&lt;&gt;"x",$A2950&lt;=FinReleve),1,0))</f>
        <v/>
      </c>
      <c r="P2950" s="6" t="str">
        <f>IF($D2950="","",IF(AND($L2950="Crédit",OR(IFERROR(INDEX('Paramètres'!$O:$O,MATCH($D2950,'Paramètres'!$M:$M,0))&amp;"","")&lt;&gt;"",ISNUMBER(SEARCH("remboursement",IFERROR(INDEX('Paramètres'!$N:$N,MATCH($D2950,'Paramètres'!$M:$M,0))&amp;"",""))))),1,0))</f>
        <v/>
      </c>
      <c r="Q2950" s="6" t="str">
        <f>IF($K2950="","",IF(ISNUMBER(SEARCH("transfert-interne",IFERROR(INDEX('Paramètres'!$N:$N,MATCH($D2950,'Paramètres'!$M:$M,0))&amp;"",""))),0,IF($L2950="Débit",$K2950,IF($P2950=1,-$K2950,0))))</f>
        <v/>
      </c>
      <c r="R2950" s="6" t="str">
        <f>IF($K2950="","",IF($L2950="Crédit",$K2950,-$K2950))</f>
        <v/>
      </c>
      <c r="S2950" s="6" t="str">
        <f>IF($C2950="","",IFERROR(INDEX('Paramètres'!$H:$H,MATCH($C2950,'Paramètres'!$D:$D,0))&amp;"",""))</f>
        <v/>
      </c>
      <c r="T2950" s="6" t="str">
        <f>IF($K2950="","",IF($S2950="",0,IF(ISNUMBER(SEARCH("apport-exterieur",IFERROR(INDEX('Paramètres'!$N:$N,MATCH($D2950,'Paramètres'!$M:$M,0))&amp;"",""))),0,IF(OR(IFERROR(INDEX('Paramètres'!$I:$I,MATCH($C2950,'Paramètres'!$D:$D,0))&amp;"","")="Les deux",IFERROR(INDEX('Paramètres'!$I:$I,MATCH($C2950,'Paramètres'!$D:$D,0))&amp;"","")=IF($P2950=1,"Débit",$L2950)),-IF($P2950=1,-$K2950,$K2950),0))))</f>
        <v/>
      </c>
      <c r="U2950" s="6" t="str">
        <f>IF($K2950="","",IF(ISNUMBER(SEARCH("sortie-epargne",IFERROR(INDEX('Paramètres'!$N:$N,MATCH($D2950,'Paramètres'!$M:$M,0))&amp;"",""))),$K2950,0))</f>
        <v/>
      </c>
      <c r="V2950" s="6" t="str">
        <f>IF(AND($A2950&lt;&gt;"",$O2950=1,$L2950="Débit",N($Q2950)&gt;0,$A2950&gt;=Visualisation!$B$1,$A2950&lt;Visualisation!$D$1),MAX($V$1:V2949)+1,"")</f>
        <v/>
      </c>
    </row>
    <row r="2951" spans="1:22" x14ac:dyDescent="0.25">
      <c r="A2951" s="9"/>
      <c r="E2951" s="10"/>
      <c r="K2951" s="11" t="str">
        <f>IF($E2951="","",ROUND($E2951*IF(ISNA(MATCH($C2951,'Paramètres'!$D:$D,0)),1,IF(INDEX('Paramètres'!$J:$J,MATCH($C2951,'Paramètres'!$D:$D,0))="",1,INDEX('Paramètres'!$J:$J,MATCH($C2951,'Paramètres'!$D:$D,0)))),2))</f>
        <v/>
      </c>
      <c r="L2951" s="6" t="str">
        <f>IF($D2951="","",IF($F2951&lt;&gt;"",$F2951,IF(ISNA(MATCH($D2951,'Paramètres'!$M:$M,0)),"⚠ Type inconnu",IFERROR(INDEX('Paramètres'!$P:$P,MATCH($D2951,'Paramètres'!$M:$M,0))&amp;"",""))))</f>
        <v/>
      </c>
      <c r="M2951" s="6" t="str">
        <f>IF($D2951="","",IF(ISNA(MATCH($D2951,'Paramètres'!$M:$M,0)),"⚠ Type inconnu",IF($L2951="Crédit","",IFERROR(INDEX('Paramètres'!$O:$O,MATCH($D2951,'Paramètres'!$M:$M,0))&amp;"",""))))</f>
        <v/>
      </c>
      <c r="N2951" s="6" t="str">
        <f>IF($D2951="","",IFERROR(INDEX('Paramètres'!$Q:$Q,MATCH($D2951,'Paramètres'!$M:$M,0))&amp;"",""))</f>
        <v/>
      </c>
      <c r="O2951" s="6" t="str">
        <f>IF($A2951="","",IF(OR($J2951&lt;&gt;"x",$A2951&lt;=FinReleve),1,0))</f>
        <v/>
      </c>
      <c r="P2951" s="6" t="str">
        <f>IF($D2951="","",IF(AND($L2951="Crédit",OR(IFERROR(INDEX('Paramètres'!$O:$O,MATCH($D2951,'Paramètres'!$M:$M,0))&amp;"","")&lt;&gt;"",ISNUMBER(SEARCH("remboursement",IFERROR(INDEX('Paramètres'!$N:$N,MATCH($D2951,'Paramètres'!$M:$M,0))&amp;"",""))))),1,0))</f>
        <v/>
      </c>
      <c r="Q2951" s="6" t="str">
        <f>IF($K2951="","",IF(ISNUMBER(SEARCH("transfert-interne",IFERROR(INDEX('Paramètres'!$N:$N,MATCH($D2951,'Paramètres'!$M:$M,0))&amp;"",""))),0,IF($L2951="Débit",$K2951,IF($P2951=1,-$K2951,0))))</f>
        <v/>
      </c>
      <c r="R2951" s="6" t="str">
        <f>IF($K2951="","",IF($L2951="Crédit",$K2951,-$K2951))</f>
        <v/>
      </c>
      <c r="S2951" s="6" t="str">
        <f>IF($C2951="","",IFERROR(INDEX('Paramètres'!$H:$H,MATCH($C2951,'Paramètres'!$D:$D,0))&amp;"",""))</f>
        <v/>
      </c>
      <c r="T2951" s="6" t="str">
        <f>IF($K2951="","",IF($S2951="",0,IF(ISNUMBER(SEARCH("apport-exterieur",IFERROR(INDEX('Paramètres'!$N:$N,MATCH($D2951,'Paramètres'!$M:$M,0))&amp;"",""))),0,IF(OR(IFERROR(INDEX('Paramètres'!$I:$I,MATCH($C2951,'Paramètres'!$D:$D,0))&amp;"","")="Les deux",IFERROR(INDEX('Paramètres'!$I:$I,MATCH($C2951,'Paramètres'!$D:$D,0))&amp;"","")=IF($P2951=1,"Débit",$L2951)),-IF($P2951=1,-$K2951,$K2951),0))))</f>
        <v/>
      </c>
      <c r="U2951" s="6" t="str">
        <f>IF($K2951="","",IF(ISNUMBER(SEARCH("sortie-epargne",IFERROR(INDEX('Paramètres'!$N:$N,MATCH($D2951,'Paramètres'!$M:$M,0))&amp;"",""))),$K2951,0))</f>
        <v/>
      </c>
      <c r="V2951" s="6" t="str">
        <f>IF(AND($A2951&lt;&gt;"",$O2951=1,$L2951="Débit",N($Q2951)&gt;0,$A2951&gt;=Visualisation!$B$1,$A2951&lt;Visualisation!$D$1),MAX($V$1:V2950)+1,"")</f>
        <v/>
      </c>
    </row>
    <row r="2952" spans="1:22" x14ac:dyDescent="0.25">
      <c r="A2952" s="9"/>
      <c r="E2952" s="10"/>
      <c r="K2952" s="11" t="str">
        <f>IF($E2952="","",ROUND($E2952*IF(ISNA(MATCH($C2952,'Paramètres'!$D:$D,0)),1,IF(INDEX('Paramètres'!$J:$J,MATCH($C2952,'Paramètres'!$D:$D,0))="",1,INDEX('Paramètres'!$J:$J,MATCH($C2952,'Paramètres'!$D:$D,0)))),2))</f>
        <v/>
      </c>
      <c r="L2952" s="6" t="str">
        <f>IF($D2952="","",IF($F2952&lt;&gt;"",$F2952,IF(ISNA(MATCH($D2952,'Paramètres'!$M:$M,0)),"⚠ Type inconnu",IFERROR(INDEX('Paramètres'!$P:$P,MATCH($D2952,'Paramètres'!$M:$M,0))&amp;"",""))))</f>
        <v/>
      </c>
      <c r="M2952" s="6" t="str">
        <f>IF($D2952="","",IF(ISNA(MATCH($D2952,'Paramètres'!$M:$M,0)),"⚠ Type inconnu",IF($L2952="Crédit","",IFERROR(INDEX('Paramètres'!$O:$O,MATCH($D2952,'Paramètres'!$M:$M,0))&amp;"",""))))</f>
        <v/>
      </c>
      <c r="N2952" s="6" t="str">
        <f>IF($D2952="","",IFERROR(INDEX('Paramètres'!$Q:$Q,MATCH($D2952,'Paramètres'!$M:$M,0))&amp;"",""))</f>
        <v/>
      </c>
      <c r="O2952" s="6" t="str">
        <f>IF($A2952="","",IF(OR($J2952&lt;&gt;"x",$A2952&lt;=FinReleve),1,0))</f>
        <v/>
      </c>
      <c r="P2952" s="6" t="str">
        <f>IF($D2952="","",IF(AND($L2952="Crédit",OR(IFERROR(INDEX('Paramètres'!$O:$O,MATCH($D2952,'Paramètres'!$M:$M,0))&amp;"","")&lt;&gt;"",ISNUMBER(SEARCH("remboursement",IFERROR(INDEX('Paramètres'!$N:$N,MATCH($D2952,'Paramètres'!$M:$M,0))&amp;"",""))))),1,0))</f>
        <v/>
      </c>
      <c r="Q2952" s="6" t="str">
        <f>IF($K2952="","",IF(ISNUMBER(SEARCH("transfert-interne",IFERROR(INDEX('Paramètres'!$N:$N,MATCH($D2952,'Paramètres'!$M:$M,0))&amp;"",""))),0,IF($L2952="Débit",$K2952,IF($P2952=1,-$K2952,0))))</f>
        <v/>
      </c>
      <c r="R2952" s="6" t="str">
        <f>IF($K2952="","",IF($L2952="Crédit",$K2952,-$K2952))</f>
        <v/>
      </c>
      <c r="S2952" s="6" t="str">
        <f>IF($C2952="","",IFERROR(INDEX('Paramètres'!$H:$H,MATCH($C2952,'Paramètres'!$D:$D,0))&amp;"",""))</f>
        <v/>
      </c>
      <c r="T2952" s="6" t="str">
        <f>IF($K2952="","",IF($S2952="",0,IF(ISNUMBER(SEARCH("apport-exterieur",IFERROR(INDEX('Paramètres'!$N:$N,MATCH($D2952,'Paramètres'!$M:$M,0))&amp;"",""))),0,IF(OR(IFERROR(INDEX('Paramètres'!$I:$I,MATCH($C2952,'Paramètres'!$D:$D,0))&amp;"","")="Les deux",IFERROR(INDEX('Paramètres'!$I:$I,MATCH($C2952,'Paramètres'!$D:$D,0))&amp;"","")=IF($P2952=1,"Débit",$L2952)),-IF($P2952=1,-$K2952,$K2952),0))))</f>
        <v/>
      </c>
      <c r="U2952" s="6" t="str">
        <f>IF($K2952="","",IF(ISNUMBER(SEARCH("sortie-epargne",IFERROR(INDEX('Paramètres'!$N:$N,MATCH($D2952,'Paramètres'!$M:$M,0))&amp;"",""))),$K2952,0))</f>
        <v/>
      </c>
      <c r="V2952" s="6" t="str">
        <f>IF(AND($A2952&lt;&gt;"",$O2952=1,$L2952="Débit",N($Q2952)&gt;0,$A2952&gt;=Visualisation!$B$1,$A2952&lt;Visualisation!$D$1),MAX($V$1:V2951)+1,"")</f>
        <v/>
      </c>
    </row>
    <row r="2953" spans="1:22" x14ac:dyDescent="0.25">
      <c r="A2953" s="9"/>
      <c r="E2953" s="10"/>
      <c r="K2953" s="11" t="str">
        <f>IF($E2953="","",ROUND($E2953*IF(ISNA(MATCH($C2953,'Paramètres'!$D:$D,0)),1,IF(INDEX('Paramètres'!$J:$J,MATCH($C2953,'Paramètres'!$D:$D,0))="",1,INDEX('Paramètres'!$J:$J,MATCH($C2953,'Paramètres'!$D:$D,0)))),2))</f>
        <v/>
      </c>
      <c r="L2953" s="6" t="str">
        <f>IF($D2953="","",IF($F2953&lt;&gt;"",$F2953,IF(ISNA(MATCH($D2953,'Paramètres'!$M:$M,0)),"⚠ Type inconnu",IFERROR(INDEX('Paramètres'!$P:$P,MATCH($D2953,'Paramètres'!$M:$M,0))&amp;"",""))))</f>
        <v/>
      </c>
      <c r="M2953" s="6" t="str">
        <f>IF($D2953="","",IF(ISNA(MATCH($D2953,'Paramètres'!$M:$M,0)),"⚠ Type inconnu",IF($L2953="Crédit","",IFERROR(INDEX('Paramètres'!$O:$O,MATCH($D2953,'Paramètres'!$M:$M,0))&amp;"",""))))</f>
        <v/>
      </c>
      <c r="N2953" s="6" t="str">
        <f>IF($D2953="","",IFERROR(INDEX('Paramètres'!$Q:$Q,MATCH($D2953,'Paramètres'!$M:$M,0))&amp;"",""))</f>
        <v/>
      </c>
      <c r="O2953" s="6" t="str">
        <f>IF($A2953="","",IF(OR($J2953&lt;&gt;"x",$A2953&lt;=FinReleve),1,0))</f>
        <v/>
      </c>
      <c r="P2953" s="6" t="str">
        <f>IF($D2953="","",IF(AND($L2953="Crédit",OR(IFERROR(INDEX('Paramètres'!$O:$O,MATCH($D2953,'Paramètres'!$M:$M,0))&amp;"","")&lt;&gt;"",ISNUMBER(SEARCH("remboursement",IFERROR(INDEX('Paramètres'!$N:$N,MATCH($D2953,'Paramètres'!$M:$M,0))&amp;"",""))))),1,0))</f>
        <v/>
      </c>
      <c r="Q2953" s="6" t="str">
        <f>IF($K2953="","",IF(ISNUMBER(SEARCH("transfert-interne",IFERROR(INDEX('Paramètres'!$N:$N,MATCH($D2953,'Paramètres'!$M:$M,0))&amp;"",""))),0,IF($L2953="Débit",$K2953,IF($P2953=1,-$K2953,0))))</f>
        <v/>
      </c>
      <c r="R2953" s="6" t="str">
        <f>IF($K2953="","",IF($L2953="Crédit",$K2953,-$K2953))</f>
        <v/>
      </c>
      <c r="S2953" s="6" t="str">
        <f>IF($C2953="","",IFERROR(INDEX('Paramètres'!$H:$H,MATCH($C2953,'Paramètres'!$D:$D,0))&amp;"",""))</f>
        <v/>
      </c>
      <c r="T2953" s="6" t="str">
        <f>IF($K2953="","",IF($S2953="",0,IF(ISNUMBER(SEARCH("apport-exterieur",IFERROR(INDEX('Paramètres'!$N:$N,MATCH($D2953,'Paramètres'!$M:$M,0))&amp;"",""))),0,IF(OR(IFERROR(INDEX('Paramètres'!$I:$I,MATCH($C2953,'Paramètres'!$D:$D,0))&amp;"","")="Les deux",IFERROR(INDEX('Paramètres'!$I:$I,MATCH($C2953,'Paramètres'!$D:$D,0))&amp;"","")=IF($P2953=1,"Débit",$L2953)),-IF($P2953=1,-$K2953,$K2953),0))))</f>
        <v/>
      </c>
      <c r="U2953" s="6" t="str">
        <f>IF($K2953="","",IF(ISNUMBER(SEARCH("sortie-epargne",IFERROR(INDEX('Paramètres'!$N:$N,MATCH($D2953,'Paramètres'!$M:$M,0))&amp;"",""))),$K2953,0))</f>
        <v/>
      </c>
      <c r="V2953" s="6" t="str">
        <f>IF(AND($A2953&lt;&gt;"",$O2953=1,$L2953="Débit",N($Q2953)&gt;0,$A2953&gt;=Visualisation!$B$1,$A2953&lt;Visualisation!$D$1),MAX($V$1:V2952)+1,"")</f>
        <v/>
      </c>
    </row>
    <row r="2954" spans="1:22" x14ac:dyDescent="0.25">
      <c r="A2954" s="9"/>
      <c r="E2954" s="10"/>
      <c r="K2954" s="11" t="str">
        <f>IF($E2954="","",ROUND($E2954*IF(ISNA(MATCH($C2954,'Paramètres'!$D:$D,0)),1,IF(INDEX('Paramètres'!$J:$J,MATCH($C2954,'Paramètres'!$D:$D,0))="",1,INDEX('Paramètres'!$J:$J,MATCH($C2954,'Paramètres'!$D:$D,0)))),2))</f>
        <v/>
      </c>
      <c r="L2954" s="6" t="str">
        <f>IF($D2954="","",IF($F2954&lt;&gt;"",$F2954,IF(ISNA(MATCH($D2954,'Paramètres'!$M:$M,0)),"⚠ Type inconnu",IFERROR(INDEX('Paramètres'!$P:$P,MATCH($D2954,'Paramètres'!$M:$M,0))&amp;"",""))))</f>
        <v/>
      </c>
      <c r="M2954" s="6" t="str">
        <f>IF($D2954="","",IF(ISNA(MATCH($D2954,'Paramètres'!$M:$M,0)),"⚠ Type inconnu",IF($L2954="Crédit","",IFERROR(INDEX('Paramètres'!$O:$O,MATCH($D2954,'Paramètres'!$M:$M,0))&amp;"",""))))</f>
        <v/>
      </c>
      <c r="N2954" s="6" t="str">
        <f>IF($D2954="","",IFERROR(INDEX('Paramètres'!$Q:$Q,MATCH($D2954,'Paramètres'!$M:$M,0))&amp;"",""))</f>
        <v/>
      </c>
      <c r="O2954" s="6" t="str">
        <f>IF($A2954="","",IF(OR($J2954&lt;&gt;"x",$A2954&lt;=FinReleve),1,0))</f>
        <v/>
      </c>
      <c r="P2954" s="6" t="str">
        <f>IF($D2954="","",IF(AND($L2954="Crédit",OR(IFERROR(INDEX('Paramètres'!$O:$O,MATCH($D2954,'Paramètres'!$M:$M,0))&amp;"","")&lt;&gt;"",ISNUMBER(SEARCH("remboursement",IFERROR(INDEX('Paramètres'!$N:$N,MATCH($D2954,'Paramètres'!$M:$M,0))&amp;"",""))))),1,0))</f>
        <v/>
      </c>
      <c r="Q2954" s="6" t="str">
        <f>IF($K2954="","",IF(ISNUMBER(SEARCH("transfert-interne",IFERROR(INDEX('Paramètres'!$N:$N,MATCH($D2954,'Paramètres'!$M:$M,0))&amp;"",""))),0,IF($L2954="Débit",$K2954,IF($P2954=1,-$K2954,0))))</f>
        <v/>
      </c>
      <c r="R2954" s="6" t="str">
        <f>IF($K2954="","",IF($L2954="Crédit",$K2954,-$K2954))</f>
        <v/>
      </c>
      <c r="S2954" s="6" t="str">
        <f>IF($C2954="","",IFERROR(INDEX('Paramètres'!$H:$H,MATCH($C2954,'Paramètres'!$D:$D,0))&amp;"",""))</f>
        <v/>
      </c>
      <c r="T2954" s="6" t="str">
        <f>IF($K2954="","",IF($S2954="",0,IF(ISNUMBER(SEARCH("apport-exterieur",IFERROR(INDEX('Paramètres'!$N:$N,MATCH($D2954,'Paramètres'!$M:$M,0))&amp;"",""))),0,IF(OR(IFERROR(INDEX('Paramètres'!$I:$I,MATCH($C2954,'Paramètres'!$D:$D,0))&amp;"","")="Les deux",IFERROR(INDEX('Paramètres'!$I:$I,MATCH($C2954,'Paramètres'!$D:$D,0))&amp;"","")=IF($P2954=1,"Débit",$L2954)),-IF($P2954=1,-$K2954,$K2954),0))))</f>
        <v/>
      </c>
      <c r="U2954" s="6" t="str">
        <f>IF($K2954="","",IF(ISNUMBER(SEARCH("sortie-epargne",IFERROR(INDEX('Paramètres'!$N:$N,MATCH($D2954,'Paramètres'!$M:$M,0))&amp;"",""))),$K2954,0))</f>
        <v/>
      </c>
      <c r="V2954" s="6" t="str">
        <f>IF(AND($A2954&lt;&gt;"",$O2954=1,$L2954="Débit",N($Q2954)&gt;0,$A2954&gt;=Visualisation!$B$1,$A2954&lt;Visualisation!$D$1),MAX($V$1:V2953)+1,"")</f>
        <v/>
      </c>
    </row>
    <row r="2955" spans="1:22" x14ac:dyDescent="0.25">
      <c r="A2955" s="9"/>
      <c r="E2955" s="10"/>
      <c r="K2955" s="11" t="str">
        <f>IF($E2955="","",ROUND($E2955*IF(ISNA(MATCH($C2955,'Paramètres'!$D:$D,0)),1,IF(INDEX('Paramètres'!$J:$J,MATCH($C2955,'Paramètres'!$D:$D,0))="",1,INDEX('Paramètres'!$J:$J,MATCH($C2955,'Paramètres'!$D:$D,0)))),2))</f>
        <v/>
      </c>
      <c r="L2955" s="6" t="str">
        <f>IF($D2955="","",IF($F2955&lt;&gt;"",$F2955,IF(ISNA(MATCH($D2955,'Paramètres'!$M:$M,0)),"⚠ Type inconnu",IFERROR(INDEX('Paramètres'!$P:$P,MATCH($D2955,'Paramètres'!$M:$M,0))&amp;"",""))))</f>
        <v/>
      </c>
      <c r="M2955" s="6" t="str">
        <f>IF($D2955="","",IF(ISNA(MATCH($D2955,'Paramètres'!$M:$M,0)),"⚠ Type inconnu",IF($L2955="Crédit","",IFERROR(INDEX('Paramètres'!$O:$O,MATCH($D2955,'Paramètres'!$M:$M,0))&amp;"",""))))</f>
        <v/>
      </c>
      <c r="N2955" s="6" t="str">
        <f>IF($D2955="","",IFERROR(INDEX('Paramètres'!$Q:$Q,MATCH($D2955,'Paramètres'!$M:$M,0))&amp;"",""))</f>
        <v/>
      </c>
      <c r="O2955" s="6" t="str">
        <f>IF($A2955="","",IF(OR($J2955&lt;&gt;"x",$A2955&lt;=FinReleve),1,0))</f>
        <v/>
      </c>
      <c r="P2955" s="6" t="str">
        <f>IF($D2955="","",IF(AND($L2955="Crédit",OR(IFERROR(INDEX('Paramètres'!$O:$O,MATCH($D2955,'Paramètres'!$M:$M,0))&amp;"","")&lt;&gt;"",ISNUMBER(SEARCH("remboursement",IFERROR(INDEX('Paramètres'!$N:$N,MATCH($D2955,'Paramètres'!$M:$M,0))&amp;"",""))))),1,0))</f>
        <v/>
      </c>
      <c r="Q2955" s="6" t="str">
        <f>IF($K2955="","",IF(ISNUMBER(SEARCH("transfert-interne",IFERROR(INDEX('Paramètres'!$N:$N,MATCH($D2955,'Paramètres'!$M:$M,0))&amp;"",""))),0,IF($L2955="Débit",$K2955,IF($P2955=1,-$K2955,0))))</f>
        <v/>
      </c>
      <c r="R2955" s="6" t="str">
        <f>IF($K2955="","",IF($L2955="Crédit",$K2955,-$K2955))</f>
        <v/>
      </c>
      <c r="S2955" s="6" t="str">
        <f>IF($C2955="","",IFERROR(INDEX('Paramètres'!$H:$H,MATCH($C2955,'Paramètres'!$D:$D,0))&amp;"",""))</f>
        <v/>
      </c>
      <c r="T2955" s="6" t="str">
        <f>IF($K2955="","",IF($S2955="",0,IF(ISNUMBER(SEARCH("apport-exterieur",IFERROR(INDEX('Paramètres'!$N:$N,MATCH($D2955,'Paramètres'!$M:$M,0))&amp;"",""))),0,IF(OR(IFERROR(INDEX('Paramètres'!$I:$I,MATCH($C2955,'Paramètres'!$D:$D,0))&amp;"","")="Les deux",IFERROR(INDEX('Paramètres'!$I:$I,MATCH($C2955,'Paramètres'!$D:$D,0))&amp;"","")=IF($P2955=1,"Débit",$L2955)),-IF($P2955=1,-$K2955,$K2955),0))))</f>
        <v/>
      </c>
      <c r="U2955" s="6" t="str">
        <f>IF($K2955="","",IF(ISNUMBER(SEARCH("sortie-epargne",IFERROR(INDEX('Paramètres'!$N:$N,MATCH($D2955,'Paramètres'!$M:$M,0))&amp;"",""))),$K2955,0))</f>
        <v/>
      </c>
      <c r="V2955" s="6" t="str">
        <f>IF(AND($A2955&lt;&gt;"",$O2955=1,$L2955="Débit",N($Q2955)&gt;0,$A2955&gt;=Visualisation!$B$1,$A2955&lt;Visualisation!$D$1),MAX($V$1:V2954)+1,"")</f>
        <v/>
      </c>
    </row>
    <row r="2956" spans="1:22" x14ac:dyDescent="0.25">
      <c r="A2956" s="9"/>
      <c r="E2956" s="10"/>
      <c r="K2956" s="11" t="str">
        <f>IF($E2956="","",ROUND($E2956*IF(ISNA(MATCH($C2956,'Paramètres'!$D:$D,0)),1,IF(INDEX('Paramètres'!$J:$J,MATCH($C2956,'Paramètres'!$D:$D,0))="",1,INDEX('Paramètres'!$J:$J,MATCH($C2956,'Paramètres'!$D:$D,0)))),2))</f>
        <v/>
      </c>
      <c r="L2956" s="6" t="str">
        <f>IF($D2956="","",IF($F2956&lt;&gt;"",$F2956,IF(ISNA(MATCH($D2956,'Paramètres'!$M:$M,0)),"⚠ Type inconnu",IFERROR(INDEX('Paramètres'!$P:$P,MATCH($D2956,'Paramètres'!$M:$M,0))&amp;"",""))))</f>
        <v/>
      </c>
      <c r="M2956" s="6" t="str">
        <f>IF($D2956="","",IF(ISNA(MATCH($D2956,'Paramètres'!$M:$M,0)),"⚠ Type inconnu",IF($L2956="Crédit","",IFERROR(INDEX('Paramètres'!$O:$O,MATCH($D2956,'Paramètres'!$M:$M,0))&amp;"",""))))</f>
        <v/>
      </c>
      <c r="N2956" s="6" t="str">
        <f>IF($D2956="","",IFERROR(INDEX('Paramètres'!$Q:$Q,MATCH($D2956,'Paramètres'!$M:$M,0))&amp;"",""))</f>
        <v/>
      </c>
      <c r="O2956" s="6" t="str">
        <f>IF($A2956="","",IF(OR($J2956&lt;&gt;"x",$A2956&lt;=FinReleve),1,0))</f>
        <v/>
      </c>
      <c r="P2956" s="6" t="str">
        <f>IF($D2956="","",IF(AND($L2956="Crédit",OR(IFERROR(INDEX('Paramètres'!$O:$O,MATCH($D2956,'Paramètres'!$M:$M,0))&amp;"","")&lt;&gt;"",ISNUMBER(SEARCH("remboursement",IFERROR(INDEX('Paramètres'!$N:$N,MATCH($D2956,'Paramètres'!$M:$M,0))&amp;"",""))))),1,0))</f>
        <v/>
      </c>
      <c r="Q2956" s="6" t="str">
        <f>IF($K2956="","",IF(ISNUMBER(SEARCH("transfert-interne",IFERROR(INDEX('Paramètres'!$N:$N,MATCH($D2956,'Paramètres'!$M:$M,0))&amp;"",""))),0,IF($L2956="Débit",$K2956,IF($P2956=1,-$K2956,0))))</f>
        <v/>
      </c>
      <c r="R2956" s="6" t="str">
        <f>IF($K2956="","",IF($L2956="Crédit",$K2956,-$K2956))</f>
        <v/>
      </c>
      <c r="S2956" s="6" t="str">
        <f>IF($C2956="","",IFERROR(INDEX('Paramètres'!$H:$H,MATCH($C2956,'Paramètres'!$D:$D,0))&amp;"",""))</f>
        <v/>
      </c>
      <c r="T2956" s="6" t="str">
        <f>IF($K2956="","",IF($S2956="",0,IF(ISNUMBER(SEARCH("apport-exterieur",IFERROR(INDEX('Paramètres'!$N:$N,MATCH($D2956,'Paramètres'!$M:$M,0))&amp;"",""))),0,IF(OR(IFERROR(INDEX('Paramètres'!$I:$I,MATCH($C2956,'Paramètres'!$D:$D,0))&amp;"","")="Les deux",IFERROR(INDEX('Paramètres'!$I:$I,MATCH($C2956,'Paramètres'!$D:$D,0))&amp;"","")=IF($P2956=1,"Débit",$L2956)),-IF($P2956=1,-$K2956,$K2956),0))))</f>
        <v/>
      </c>
      <c r="U2956" s="6" t="str">
        <f>IF($K2956="","",IF(ISNUMBER(SEARCH("sortie-epargne",IFERROR(INDEX('Paramètres'!$N:$N,MATCH($D2956,'Paramètres'!$M:$M,0))&amp;"",""))),$K2956,0))</f>
        <v/>
      </c>
      <c r="V2956" s="6" t="str">
        <f>IF(AND($A2956&lt;&gt;"",$O2956=1,$L2956="Débit",N($Q2956)&gt;0,$A2956&gt;=Visualisation!$B$1,$A2956&lt;Visualisation!$D$1),MAX($V$1:V2955)+1,"")</f>
        <v/>
      </c>
    </row>
    <row r="2957" spans="1:22" x14ac:dyDescent="0.25">
      <c r="A2957" s="9"/>
      <c r="E2957" s="10"/>
      <c r="K2957" s="11" t="str">
        <f>IF($E2957="","",ROUND($E2957*IF(ISNA(MATCH($C2957,'Paramètres'!$D:$D,0)),1,IF(INDEX('Paramètres'!$J:$J,MATCH($C2957,'Paramètres'!$D:$D,0))="",1,INDEX('Paramètres'!$J:$J,MATCH($C2957,'Paramètres'!$D:$D,0)))),2))</f>
        <v/>
      </c>
      <c r="L2957" s="6" t="str">
        <f>IF($D2957="","",IF($F2957&lt;&gt;"",$F2957,IF(ISNA(MATCH($D2957,'Paramètres'!$M:$M,0)),"⚠ Type inconnu",IFERROR(INDEX('Paramètres'!$P:$P,MATCH($D2957,'Paramètres'!$M:$M,0))&amp;"",""))))</f>
        <v/>
      </c>
      <c r="M2957" s="6" t="str">
        <f>IF($D2957="","",IF(ISNA(MATCH($D2957,'Paramètres'!$M:$M,0)),"⚠ Type inconnu",IF($L2957="Crédit","",IFERROR(INDEX('Paramètres'!$O:$O,MATCH($D2957,'Paramètres'!$M:$M,0))&amp;"",""))))</f>
        <v/>
      </c>
      <c r="N2957" s="6" t="str">
        <f>IF($D2957="","",IFERROR(INDEX('Paramètres'!$Q:$Q,MATCH($D2957,'Paramètres'!$M:$M,0))&amp;"",""))</f>
        <v/>
      </c>
      <c r="O2957" s="6" t="str">
        <f>IF($A2957="","",IF(OR($J2957&lt;&gt;"x",$A2957&lt;=FinReleve),1,0))</f>
        <v/>
      </c>
      <c r="P2957" s="6" t="str">
        <f>IF($D2957="","",IF(AND($L2957="Crédit",OR(IFERROR(INDEX('Paramètres'!$O:$O,MATCH($D2957,'Paramètres'!$M:$M,0))&amp;"","")&lt;&gt;"",ISNUMBER(SEARCH("remboursement",IFERROR(INDEX('Paramètres'!$N:$N,MATCH($D2957,'Paramètres'!$M:$M,0))&amp;"",""))))),1,0))</f>
        <v/>
      </c>
      <c r="Q2957" s="6" t="str">
        <f>IF($K2957="","",IF(ISNUMBER(SEARCH("transfert-interne",IFERROR(INDEX('Paramètres'!$N:$N,MATCH($D2957,'Paramètres'!$M:$M,0))&amp;"",""))),0,IF($L2957="Débit",$K2957,IF($P2957=1,-$K2957,0))))</f>
        <v/>
      </c>
      <c r="R2957" s="6" t="str">
        <f>IF($K2957="","",IF($L2957="Crédit",$K2957,-$K2957))</f>
        <v/>
      </c>
      <c r="S2957" s="6" t="str">
        <f>IF($C2957="","",IFERROR(INDEX('Paramètres'!$H:$H,MATCH($C2957,'Paramètres'!$D:$D,0))&amp;"",""))</f>
        <v/>
      </c>
      <c r="T2957" s="6" t="str">
        <f>IF($K2957="","",IF($S2957="",0,IF(ISNUMBER(SEARCH("apport-exterieur",IFERROR(INDEX('Paramètres'!$N:$N,MATCH($D2957,'Paramètres'!$M:$M,0))&amp;"",""))),0,IF(OR(IFERROR(INDEX('Paramètres'!$I:$I,MATCH($C2957,'Paramètres'!$D:$D,0))&amp;"","")="Les deux",IFERROR(INDEX('Paramètres'!$I:$I,MATCH($C2957,'Paramètres'!$D:$D,0))&amp;"","")=IF($P2957=1,"Débit",$L2957)),-IF($P2957=1,-$K2957,$K2957),0))))</f>
        <v/>
      </c>
      <c r="U2957" s="6" t="str">
        <f>IF($K2957="","",IF(ISNUMBER(SEARCH("sortie-epargne",IFERROR(INDEX('Paramètres'!$N:$N,MATCH($D2957,'Paramètres'!$M:$M,0))&amp;"",""))),$K2957,0))</f>
        <v/>
      </c>
      <c r="V2957" s="6" t="str">
        <f>IF(AND($A2957&lt;&gt;"",$O2957=1,$L2957="Débit",N($Q2957)&gt;0,$A2957&gt;=Visualisation!$B$1,$A2957&lt;Visualisation!$D$1),MAX($V$1:V2956)+1,"")</f>
        <v/>
      </c>
    </row>
    <row r="2958" spans="1:22" x14ac:dyDescent="0.25">
      <c r="A2958" s="9"/>
      <c r="E2958" s="10"/>
      <c r="K2958" s="11" t="str">
        <f>IF($E2958="","",ROUND($E2958*IF(ISNA(MATCH($C2958,'Paramètres'!$D:$D,0)),1,IF(INDEX('Paramètres'!$J:$J,MATCH($C2958,'Paramètres'!$D:$D,0))="",1,INDEX('Paramètres'!$J:$J,MATCH($C2958,'Paramètres'!$D:$D,0)))),2))</f>
        <v/>
      </c>
      <c r="L2958" s="6" t="str">
        <f>IF($D2958="","",IF($F2958&lt;&gt;"",$F2958,IF(ISNA(MATCH($D2958,'Paramètres'!$M:$M,0)),"⚠ Type inconnu",IFERROR(INDEX('Paramètres'!$P:$P,MATCH($D2958,'Paramètres'!$M:$M,0))&amp;"",""))))</f>
        <v/>
      </c>
      <c r="M2958" s="6" t="str">
        <f>IF($D2958="","",IF(ISNA(MATCH($D2958,'Paramètres'!$M:$M,0)),"⚠ Type inconnu",IF($L2958="Crédit","",IFERROR(INDEX('Paramètres'!$O:$O,MATCH($D2958,'Paramètres'!$M:$M,0))&amp;"",""))))</f>
        <v/>
      </c>
      <c r="N2958" s="6" t="str">
        <f>IF($D2958="","",IFERROR(INDEX('Paramètres'!$Q:$Q,MATCH($D2958,'Paramètres'!$M:$M,0))&amp;"",""))</f>
        <v/>
      </c>
      <c r="O2958" s="6" t="str">
        <f>IF($A2958="","",IF(OR($J2958&lt;&gt;"x",$A2958&lt;=FinReleve),1,0))</f>
        <v/>
      </c>
      <c r="P2958" s="6" t="str">
        <f>IF($D2958="","",IF(AND($L2958="Crédit",OR(IFERROR(INDEX('Paramètres'!$O:$O,MATCH($D2958,'Paramètres'!$M:$M,0))&amp;"","")&lt;&gt;"",ISNUMBER(SEARCH("remboursement",IFERROR(INDEX('Paramètres'!$N:$N,MATCH($D2958,'Paramètres'!$M:$M,0))&amp;"",""))))),1,0))</f>
        <v/>
      </c>
      <c r="Q2958" s="6" t="str">
        <f>IF($K2958="","",IF(ISNUMBER(SEARCH("transfert-interne",IFERROR(INDEX('Paramètres'!$N:$N,MATCH($D2958,'Paramètres'!$M:$M,0))&amp;"",""))),0,IF($L2958="Débit",$K2958,IF($P2958=1,-$K2958,0))))</f>
        <v/>
      </c>
      <c r="R2958" s="6" t="str">
        <f>IF($K2958="","",IF($L2958="Crédit",$K2958,-$K2958))</f>
        <v/>
      </c>
      <c r="S2958" s="6" t="str">
        <f>IF($C2958="","",IFERROR(INDEX('Paramètres'!$H:$H,MATCH($C2958,'Paramètres'!$D:$D,0))&amp;"",""))</f>
        <v/>
      </c>
      <c r="T2958" s="6" t="str">
        <f>IF($K2958="","",IF($S2958="",0,IF(ISNUMBER(SEARCH("apport-exterieur",IFERROR(INDEX('Paramètres'!$N:$N,MATCH($D2958,'Paramètres'!$M:$M,0))&amp;"",""))),0,IF(OR(IFERROR(INDEX('Paramètres'!$I:$I,MATCH($C2958,'Paramètres'!$D:$D,0))&amp;"","")="Les deux",IFERROR(INDEX('Paramètres'!$I:$I,MATCH($C2958,'Paramètres'!$D:$D,0))&amp;"","")=IF($P2958=1,"Débit",$L2958)),-IF($P2958=1,-$K2958,$K2958),0))))</f>
        <v/>
      </c>
      <c r="U2958" s="6" t="str">
        <f>IF($K2958="","",IF(ISNUMBER(SEARCH("sortie-epargne",IFERROR(INDEX('Paramètres'!$N:$N,MATCH($D2958,'Paramètres'!$M:$M,0))&amp;"",""))),$K2958,0))</f>
        <v/>
      </c>
      <c r="V2958" s="6" t="str">
        <f>IF(AND($A2958&lt;&gt;"",$O2958=1,$L2958="Débit",N($Q2958)&gt;0,$A2958&gt;=Visualisation!$B$1,$A2958&lt;Visualisation!$D$1),MAX($V$1:V2957)+1,"")</f>
        <v/>
      </c>
    </row>
    <row r="2959" spans="1:22" x14ac:dyDescent="0.25">
      <c r="A2959" s="9"/>
      <c r="E2959" s="10"/>
      <c r="K2959" s="11" t="str">
        <f>IF($E2959="","",ROUND($E2959*IF(ISNA(MATCH($C2959,'Paramètres'!$D:$D,0)),1,IF(INDEX('Paramètres'!$J:$J,MATCH($C2959,'Paramètres'!$D:$D,0))="",1,INDEX('Paramètres'!$J:$J,MATCH($C2959,'Paramètres'!$D:$D,0)))),2))</f>
        <v/>
      </c>
      <c r="L2959" s="6" t="str">
        <f>IF($D2959="","",IF($F2959&lt;&gt;"",$F2959,IF(ISNA(MATCH($D2959,'Paramètres'!$M:$M,0)),"⚠ Type inconnu",IFERROR(INDEX('Paramètres'!$P:$P,MATCH($D2959,'Paramètres'!$M:$M,0))&amp;"",""))))</f>
        <v/>
      </c>
      <c r="M2959" s="6" t="str">
        <f>IF($D2959="","",IF(ISNA(MATCH($D2959,'Paramètres'!$M:$M,0)),"⚠ Type inconnu",IF($L2959="Crédit","",IFERROR(INDEX('Paramètres'!$O:$O,MATCH($D2959,'Paramètres'!$M:$M,0))&amp;"",""))))</f>
        <v/>
      </c>
      <c r="N2959" s="6" t="str">
        <f>IF($D2959="","",IFERROR(INDEX('Paramètres'!$Q:$Q,MATCH($D2959,'Paramètres'!$M:$M,0))&amp;"",""))</f>
        <v/>
      </c>
      <c r="O2959" s="6" t="str">
        <f>IF($A2959="","",IF(OR($J2959&lt;&gt;"x",$A2959&lt;=FinReleve),1,0))</f>
        <v/>
      </c>
      <c r="P2959" s="6" t="str">
        <f>IF($D2959="","",IF(AND($L2959="Crédit",OR(IFERROR(INDEX('Paramètres'!$O:$O,MATCH($D2959,'Paramètres'!$M:$M,0))&amp;"","")&lt;&gt;"",ISNUMBER(SEARCH("remboursement",IFERROR(INDEX('Paramètres'!$N:$N,MATCH($D2959,'Paramètres'!$M:$M,0))&amp;"",""))))),1,0))</f>
        <v/>
      </c>
      <c r="Q2959" s="6" t="str">
        <f>IF($K2959="","",IF(ISNUMBER(SEARCH("transfert-interne",IFERROR(INDEX('Paramètres'!$N:$N,MATCH($D2959,'Paramètres'!$M:$M,0))&amp;"",""))),0,IF($L2959="Débit",$K2959,IF($P2959=1,-$K2959,0))))</f>
        <v/>
      </c>
      <c r="R2959" s="6" t="str">
        <f>IF($K2959="","",IF($L2959="Crédit",$K2959,-$K2959))</f>
        <v/>
      </c>
      <c r="S2959" s="6" t="str">
        <f>IF($C2959="","",IFERROR(INDEX('Paramètres'!$H:$H,MATCH($C2959,'Paramètres'!$D:$D,0))&amp;"",""))</f>
        <v/>
      </c>
      <c r="T2959" s="6" t="str">
        <f>IF($K2959="","",IF($S2959="",0,IF(ISNUMBER(SEARCH("apport-exterieur",IFERROR(INDEX('Paramètres'!$N:$N,MATCH($D2959,'Paramètres'!$M:$M,0))&amp;"",""))),0,IF(OR(IFERROR(INDEX('Paramètres'!$I:$I,MATCH($C2959,'Paramètres'!$D:$D,0))&amp;"","")="Les deux",IFERROR(INDEX('Paramètres'!$I:$I,MATCH($C2959,'Paramètres'!$D:$D,0))&amp;"","")=IF($P2959=1,"Débit",$L2959)),-IF($P2959=1,-$K2959,$K2959),0))))</f>
        <v/>
      </c>
      <c r="U2959" s="6" t="str">
        <f>IF($K2959="","",IF(ISNUMBER(SEARCH("sortie-epargne",IFERROR(INDEX('Paramètres'!$N:$N,MATCH($D2959,'Paramètres'!$M:$M,0))&amp;"",""))),$K2959,0))</f>
        <v/>
      </c>
      <c r="V2959" s="6" t="str">
        <f>IF(AND($A2959&lt;&gt;"",$O2959=1,$L2959="Débit",N($Q2959)&gt;0,$A2959&gt;=Visualisation!$B$1,$A2959&lt;Visualisation!$D$1),MAX($V$1:V2958)+1,"")</f>
        <v/>
      </c>
    </row>
    <row r="2960" spans="1:22" x14ac:dyDescent="0.25">
      <c r="A2960" s="9"/>
      <c r="E2960" s="10"/>
      <c r="K2960" s="11" t="str">
        <f>IF($E2960="","",ROUND($E2960*IF(ISNA(MATCH($C2960,'Paramètres'!$D:$D,0)),1,IF(INDEX('Paramètres'!$J:$J,MATCH($C2960,'Paramètres'!$D:$D,0))="",1,INDEX('Paramètres'!$J:$J,MATCH($C2960,'Paramètres'!$D:$D,0)))),2))</f>
        <v/>
      </c>
      <c r="L2960" s="6" t="str">
        <f>IF($D2960="","",IF($F2960&lt;&gt;"",$F2960,IF(ISNA(MATCH($D2960,'Paramètres'!$M:$M,0)),"⚠ Type inconnu",IFERROR(INDEX('Paramètres'!$P:$P,MATCH($D2960,'Paramètres'!$M:$M,0))&amp;"",""))))</f>
        <v/>
      </c>
      <c r="M2960" s="6" t="str">
        <f>IF($D2960="","",IF(ISNA(MATCH($D2960,'Paramètres'!$M:$M,0)),"⚠ Type inconnu",IF($L2960="Crédit","",IFERROR(INDEX('Paramètres'!$O:$O,MATCH($D2960,'Paramètres'!$M:$M,0))&amp;"",""))))</f>
        <v/>
      </c>
      <c r="N2960" s="6" t="str">
        <f>IF($D2960="","",IFERROR(INDEX('Paramètres'!$Q:$Q,MATCH($D2960,'Paramètres'!$M:$M,0))&amp;"",""))</f>
        <v/>
      </c>
      <c r="O2960" s="6" t="str">
        <f>IF($A2960="","",IF(OR($J2960&lt;&gt;"x",$A2960&lt;=FinReleve),1,0))</f>
        <v/>
      </c>
      <c r="P2960" s="6" t="str">
        <f>IF($D2960="","",IF(AND($L2960="Crédit",OR(IFERROR(INDEX('Paramètres'!$O:$O,MATCH($D2960,'Paramètres'!$M:$M,0))&amp;"","")&lt;&gt;"",ISNUMBER(SEARCH("remboursement",IFERROR(INDEX('Paramètres'!$N:$N,MATCH($D2960,'Paramètres'!$M:$M,0))&amp;"",""))))),1,0))</f>
        <v/>
      </c>
      <c r="Q2960" s="6" t="str">
        <f>IF($K2960="","",IF(ISNUMBER(SEARCH("transfert-interne",IFERROR(INDEX('Paramètres'!$N:$N,MATCH($D2960,'Paramètres'!$M:$M,0))&amp;"",""))),0,IF($L2960="Débit",$K2960,IF($P2960=1,-$K2960,0))))</f>
        <v/>
      </c>
      <c r="R2960" s="6" t="str">
        <f>IF($K2960="","",IF($L2960="Crédit",$K2960,-$K2960))</f>
        <v/>
      </c>
      <c r="S2960" s="6" t="str">
        <f>IF($C2960="","",IFERROR(INDEX('Paramètres'!$H:$H,MATCH($C2960,'Paramètres'!$D:$D,0))&amp;"",""))</f>
        <v/>
      </c>
      <c r="T2960" s="6" t="str">
        <f>IF($K2960="","",IF($S2960="",0,IF(ISNUMBER(SEARCH("apport-exterieur",IFERROR(INDEX('Paramètres'!$N:$N,MATCH($D2960,'Paramètres'!$M:$M,0))&amp;"",""))),0,IF(OR(IFERROR(INDEX('Paramètres'!$I:$I,MATCH($C2960,'Paramètres'!$D:$D,0))&amp;"","")="Les deux",IFERROR(INDEX('Paramètres'!$I:$I,MATCH($C2960,'Paramètres'!$D:$D,0))&amp;"","")=IF($P2960=1,"Débit",$L2960)),-IF($P2960=1,-$K2960,$K2960),0))))</f>
        <v/>
      </c>
      <c r="U2960" s="6" t="str">
        <f>IF($K2960="","",IF(ISNUMBER(SEARCH("sortie-epargne",IFERROR(INDEX('Paramètres'!$N:$N,MATCH($D2960,'Paramètres'!$M:$M,0))&amp;"",""))),$K2960,0))</f>
        <v/>
      </c>
      <c r="V2960" s="6" t="str">
        <f>IF(AND($A2960&lt;&gt;"",$O2960=1,$L2960="Débit",N($Q2960)&gt;0,$A2960&gt;=Visualisation!$B$1,$A2960&lt;Visualisation!$D$1),MAX($V$1:V2959)+1,"")</f>
        <v/>
      </c>
    </row>
    <row r="2961" spans="1:22" x14ac:dyDescent="0.25">
      <c r="A2961" s="9"/>
      <c r="E2961" s="10"/>
      <c r="K2961" s="11" t="str">
        <f>IF($E2961="","",ROUND($E2961*IF(ISNA(MATCH($C2961,'Paramètres'!$D:$D,0)),1,IF(INDEX('Paramètres'!$J:$J,MATCH($C2961,'Paramètres'!$D:$D,0))="",1,INDEX('Paramètres'!$J:$J,MATCH($C2961,'Paramètres'!$D:$D,0)))),2))</f>
        <v/>
      </c>
      <c r="L2961" s="6" t="str">
        <f>IF($D2961="","",IF($F2961&lt;&gt;"",$F2961,IF(ISNA(MATCH($D2961,'Paramètres'!$M:$M,0)),"⚠ Type inconnu",IFERROR(INDEX('Paramètres'!$P:$P,MATCH($D2961,'Paramètres'!$M:$M,0))&amp;"",""))))</f>
        <v/>
      </c>
      <c r="M2961" s="6" t="str">
        <f>IF($D2961="","",IF(ISNA(MATCH($D2961,'Paramètres'!$M:$M,0)),"⚠ Type inconnu",IF($L2961="Crédit","",IFERROR(INDEX('Paramètres'!$O:$O,MATCH($D2961,'Paramètres'!$M:$M,0))&amp;"",""))))</f>
        <v/>
      </c>
      <c r="N2961" s="6" t="str">
        <f>IF($D2961="","",IFERROR(INDEX('Paramètres'!$Q:$Q,MATCH($D2961,'Paramètres'!$M:$M,0))&amp;"",""))</f>
        <v/>
      </c>
      <c r="O2961" s="6" t="str">
        <f>IF($A2961="","",IF(OR($J2961&lt;&gt;"x",$A2961&lt;=FinReleve),1,0))</f>
        <v/>
      </c>
      <c r="P2961" s="6" t="str">
        <f>IF($D2961="","",IF(AND($L2961="Crédit",OR(IFERROR(INDEX('Paramètres'!$O:$O,MATCH($D2961,'Paramètres'!$M:$M,0))&amp;"","")&lt;&gt;"",ISNUMBER(SEARCH("remboursement",IFERROR(INDEX('Paramètres'!$N:$N,MATCH($D2961,'Paramètres'!$M:$M,0))&amp;"",""))))),1,0))</f>
        <v/>
      </c>
      <c r="Q2961" s="6" t="str">
        <f>IF($K2961="","",IF(ISNUMBER(SEARCH("transfert-interne",IFERROR(INDEX('Paramètres'!$N:$N,MATCH($D2961,'Paramètres'!$M:$M,0))&amp;"",""))),0,IF($L2961="Débit",$K2961,IF($P2961=1,-$K2961,0))))</f>
        <v/>
      </c>
      <c r="R2961" s="6" t="str">
        <f>IF($K2961="","",IF($L2961="Crédit",$K2961,-$K2961))</f>
        <v/>
      </c>
      <c r="S2961" s="6" t="str">
        <f>IF($C2961="","",IFERROR(INDEX('Paramètres'!$H:$H,MATCH($C2961,'Paramètres'!$D:$D,0))&amp;"",""))</f>
        <v/>
      </c>
      <c r="T2961" s="6" t="str">
        <f>IF($K2961="","",IF($S2961="",0,IF(ISNUMBER(SEARCH("apport-exterieur",IFERROR(INDEX('Paramètres'!$N:$N,MATCH($D2961,'Paramètres'!$M:$M,0))&amp;"",""))),0,IF(OR(IFERROR(INDEX('Paramètres'!$I:$I,MATCH($C2961,'Paramètres'!$D:$D,0))&amp;"","")="Les deux",IFERROR(INDEX('Paramètres'!$I:$I,MATCH($C2961,'Paramètres'!$D:$D,0))&amp;"","")=IF($P2961=1,"Débit",$L2961)),-IF($P2961=1,-$K2961,$K2961),0))))</f>
        <v/>
      </c>
      <c r="U2961" s="6" t="str">
        <f>IF($K2961="","",IF(ISNUMBER(SEARCH("sortie-epargne",IFERROR(INDEX('Paramètres'!$N:$N,MATCH($D2961,'Paramètres'!$M:$M,0))&amp;"",""))),$K2961,0))</f>
        <v/>
      </c>
      <c r="V2961" s="6" t="str">
        <f>IF(AND($A2961&lt;&gt;"",$O2961=1,$L2961="Débit",N($Q2961)&gt;0,$A2961&gt;=Visualisation!$B$1,$A2961&lt;Visualisation!$D$1),MAX($V$1:V2960)+1,"")</f>
        <v/>
      </c>
    </row>
    <row r="2962" spans="1:22" x14ac:dyDescent="0.25">
      <c r="A2962" s="9"/>
      <c r="E2962" s="10"/>
      <c r="K2962" s="11" t="str">
        <f>IF($E2962="","",ROUND($E2962*IF(ISNA(MATCH($C2962,'Paramètres'!$D:$D,0)),1,IF(INDEX('Paramètres'!$J:$J,MATCH($C2962,'Paramètres'!$D:$D,0))="",1,INDEX('Paramètres'!$J:$J,MATCH($C2962,'Paramètres'!$D:$D,0)))),2))</f>
        <v/>
      </c>
      <c r="L2962" s="6" t="str">
        <f>IF($D2962="","",IF($F2962&lt;&gt;"",$F2962,IF(ISNA(MATCH($D2962,'Paramètres'!$M:$M,0)),"⚠ Type inconnu",IFERROR(INDEX('Paramètres'!$P:$P,MATCH($D2962,'Paramètres'!$M:$M,0))&amp;"",""))))</f>
        <v/>
      </c>
      <c r="M2962" s="6" t="str">
        <f>IF($D2962="","",IF(ISNA(MATCH($D2962,'Paramètres'!$M:$M,0)),"⚠ Type inconnu",IF($L2962="Crédit","",IFERROR(INDEX('Paramètres'!$O:$O,MATCH($D2962,'Paramètres'!$M:$M,0))&amp;"",""))))</f>
        <v/>
      </c>
      <c r="N2962" s="6" t="str">
        <f>IF($D2962="","",IFERROR(INDEX('Paramètres'!$Q:$Q,MATCH($D2962,'Paramètres'!$M:$M,0))&amp;"",""))</f>
        <v/>
      </c>
      <c r="O2962" s="6" t="str">
        <f>IF($A2962="","",IF(OR($J2962&lt;&gt;"x",$A2962&lt;=FinReleve),1,0))</f>
        <v/>
      </c>
      <c r="P2962" s="6" t="str">
        <f>IF($D2962="","",IF(AND($L2962="Crédit",OR(IFERROR(INDEX('Paramètres'!$O:$O,MATCH($D2962,'Paramètres'!$M:$M,0))&amp;"","")&lt;&gt;"",ISNUMBER(SEARCH("remboursement",IFERROR(INDEX('Paramètres'!$N:$N,MATCH($D2962,'Paramètres'!$M:$M,0))&amp;"",""))))),1,0))</f>
        <v/>
      </c>
      <c r="Q2962" s="6" t="str">
        <f>IF($K2962="","",IF(ISNUMBER(SEARCH("transfert-interne",IFERROR(INDEX('Paramètres'!$N:$N,MATCH($D2962,'Paramètres'!$M:$M,0))&amp;"",""))),0,IF($L2962="Débit",$K2962,IF($P2962=1,-$K2962,0))))</f>
        <v/>
      </c>
      <c r="R2962" s="6" t="str">
        <f>IF($K2962="","",IF($L2962="Crédit",$K2962,-$K2962))</f>
        <v/>
      </c>
      <c r="S2962" s="6" t="str">
        <f>IF($C2962="","",IFERROR(INDEX('Paramètres'!$H:$H,MATCH($C2962,'Paramètres'!$D:$D,0))&amp;"",""))</f>
        <v/>
      </c>
      <c r="T2962" s="6" t="str">
        <f>IF($K2962="","",IF($S2962="",0,IF(ISNUMBER(SEARCH("apport-exterieur",IFERROR(INDEX('Paramètres'!$N:$N,MATCH($D2962,'Paramètres'!$M:$M,0))&amp;"",""))),0,IF(OR(IFERROR(INDEX('Paramètres'!$I:$I,MATCH($C2962,'Paramètres'!$D:$D,0))&amp;"","")="Les deux",IFERROR(INDEX('Paramètres'!$I:$I,MATCH($C2962,'Paramètres'!$D:$D,0))&amp;"","")=IF($P2962=1,"Débit",$L2962)),-IF($P2962=1,-$K2962,$K2962),0))))</f>
        <v/>
      </c>
      <c r="U2962" s="6" t="str">
        <f>IF($K2962="","",IF(ISNUMBER(SEARCH("sortie-epargne",IFERROR(INDEX('Paramètres'!$N:$N,MATCH($D2962,'Paramètres'!$M:$M,0))&amp;"",""))),$K2962,0))</f>
        <v/>
      </c>
      <c r="V2962" s="6" t="str">
        <f>IF(AND($A2962&lt;&gt;"",$O2962=1,$L2962="Débit",N($Q2962)&gt;0,$A2962&gt;=Visualisation!$B$1,$A2962&lt;Visualisation!$D$1),MAX($V$1:V2961)+1,"")</f>
        <v/>
      </c>
    </row>
    <row r="2963" spans="1:22" x14ac:dyDescent="0.25">
      <c r="A2963" s="9"/>
      <c r="E2963" s="10"/>
      <c r="K2963" s="11" t="str">
        <f>IF($E2963="","",ROUND($E2963*IF(ISNA(MATCH($C2963,'Paramètres'!$D:$D,0)),1,IF(INDEX('Paramètres'!$J:$J,MATCH($C2963,'Paramètres'!$D:$D,0))="",1,INDEX('Paramètres'!$J:$J,MATCH($C2963,'Paramètres'!$D:$D,0)))),2))</f>
        <v/>
      </c>
      <c r="L2963" s="6" t="str">
        <f>IF($D2963="","",IF($F2963&lt;&gt;"",$F2963,IF(ISNA(MATCH($D2963,'Paramètres'!$M:$M,0)),"⚠ Type inconnu",IFERROR(INDEX('Paramètres'!$P:$P,MATCH($D2963,'Paramètres'!$M:$M,0))&amp;"",""))))</f>
        <v/>
      </c>
      <c r="M2963" s="6" t="str">
        <f>IF($D2963="","",IF(ISNA(MATCH($D2963,'Paramètres'!$M:$M,0)),"⚠ Type inconnu",IF($L2963="Crédit","",IFERROR(INDEX('Paramètres'!$O:$O,MATCH($D2963,'Paramètres'!$M:$M,0))&amp;"",""))))</f>
        <v/>
      </c>
      <c r="N2963" s="6" t="str">
        <f>IF($D2963="","",IFERROR(INDEX('Paramètres'!$Q:$Q,MATCH($D2963,'Paramètres'!$M:$M,0))&amp;"",""))</f>
        <v/>
      </c>
      <c r="O2963" s="6" t="str">
        <f>IF($A2963="","",IF(OR($J2963&lt;&gt;"x",$A2963&lt;=FinReleve),1,0))</f>
        <v/>
      </c>
      <c r="P2963" s="6" t="str">
        <f>IF($D2963="","",IF(AND($L2963="Crédit",OR(IFERROR(INDEX('Paramètres'!$O:$O,MATCH($D2963,'Paramètres'!$M:$M,0))&amp;"","")&lt;&gt;"",ISNUMBER(SEARCH("remboursement",IFERROR(INDEX('Paramètres'!$N:$N,MATCH($D2963,'Paramètres'!$M:$M,0))&amp;"",""))))),1,0))</f>
        <v/>
      </c>
      <c r="Q2963" s="6" t="str">
        <f>IF($K2963="","",IF(ISNUMBER(SEARCH("transfert-interne",IFERROR(INDEX('Paramètres'!$N:$N,MATCH($D2963,'Paramètres'!$M:$M,0))&amp;"",""))),0,IF($L2963="Débit",$K2963,IF($P2963=1,-$K2963,0))))</f>
        <v/>
      </c>
      <c r="R2963" s="6" t="str">
        <f>IF($K2963="","",IF($L2963="Crédit",$K2963,-$K2963))</f>
        <v/>
      </c>
      <c r="S2963" s="6" t="str">
        <f>IF($C2963="","",IFERROR(INDEX('Paramètres'!$H:$H,MATCH($C2963,'Paramètres'!$D:$D,0))&amp;"",""))</f>
        <v/>
      </c>
      <c r="T2963" s="6" t="str">
        <f>IF($K2963="","",IF($S2963="",0,IF(ISNUMBER(SEARCH("apport-exterieur",IFERROR(INDEX('Paramètres'!$N:$N,MATCH($D2963,'Paramètres'!$M:$M,0))&amp;"",""))),0,IF(OR(IFERROR(INDEX('Paramètres'!$I:$I,MATCH($C2963,'Paramètres'!$D:$D,0))&amp;"","")="Les deux",IFERROR(INDEX('Paramètres'!$I:$I,MATCH($C2963,'Paramètres'!$D:$D,0))&amp;"","")=IF($P2963=1,"Débit",$L2963)),-IF($P2963=1,-$K2963,$K2963),0))))</f>
        <v/>
      </c>
      <c r="U2963" s="6" t="str">
        <f>IF($K2963="","",IF(ISNUMBER(SEARCH("sortie-epargne",IFERROR(INDEX('Paramètres'!$N:$N,MATCH($D2963,'Paramètres'!$M:$M,0))&amp;"",""))),$K2963,0))</f>
        <v/>
      </c>
      <c r="V2963" s="6" t="str">
        <f>IF(AND($A2963&lt;&gt;"",$O2963=1,$L2963="Débit",N($Q2963)&gt;0,$A2963&gt;=Visualisation!$B$1,$A2963&lt;Visualisation!$D$1),MAX($V$1:V2962)+1,"")</f>
        <v/>
      </c>
    </row>
    <row r="2964" spans="1:22" x14ac:dyDescent="0.25">
      <c r="A2964" s="9"/>
      <c r="E2964" s="10"/>
      <c r="K2964" s="11" t="str">
        <f>IF($E2964="","",ROUND($E2964*IF(ISNA(MATCH($C2964,'Paramètres'!$D:$D,0)),1,IF(INDEX('Paramètres'!$J:$J,MATCH($C2964,'Paramètres'!$D:$D,0))="",1,INDEX('Paramètres'!$J:$J,MATCH($C2964,'Paramètres'!$D:$D,0)))),2))</f>
        <v/>
      </c>
      <c r="L2964" s="6" t="str">
        <f>IF($D2964="","",IF($F2964&lt;&gt;"",$F2964,IF(ISNA(MATCH($D2964,'Paramètres'!$M:$M,0)),"⚠ Type inconnu",IFERROR(INDEX('Paramètres'!$P:$P,MATCH($D2964,'Paramètres'!$M:$M,0))&amp;"",""))))</f>
        <v/>
      </c>
      <c r="M2964" s="6" t="str">
        <f>IF($D2964="","",IF(ISNA(MATCH($D2964,'Paramètres'!$M:$M,0)),"⚠ Type inconnu",IF($L2964="Crédit","",IFERROR(INDEX('Paramètres'!$O:$O,MATCH($D2964,'Paramètres'!$M:$M,0))&amp;"",""))))</f>
        <v/>
      </c>
      <c r="N2964" s="6" t="str">
        <f>IF($D2964="","",IFERROR(INDEX('Paramètres'!$Q:$Q,MATCH($D2964,'Paramètres'!$M:$M,0))&amp;"",""))</f>
        <v/>
      </c>
      <c r="O2964" s="6" t="str">
        <f>IF($A2964="","",IF(OR($J2964&lt;&gt;"x",$A2964&lt;=FinReleve),1,0))</f>
        <v/>
      </c>
      <c r="P2964" s="6" t="str">
        <f>IF($D2964="","",IF(AND($L2964="Crédit",OR(IFERROR(INDEX('Paramètres'!$O:$O,MATCH($D2964,'Paramètres'!$M:$M,0))&amp;"","")&lt;&gt;"",ISNUMBER(SEARCH("remboursement",IFERROR(INDEX('Paramètres'!$N:$N,MATCH($D2964,'Paramètres'!$M:$M,0))&amp;"",""))))),1,0))</f>
        <v/>
      </c>
      <c r="Q2964" s="6" t="str">
        <f>IF($K2964="","",IF(ISNUMBER(SEARCH("transfert-interne",IFERROR(INDEX('Paramètres'!$N:$N,MATCH($D2964,'Paramètres'!$M:$M,0))&amp;"",""))),0,IF($L2964="Débit",$K2964,IF($P2964=1,-$K2964,0))))</f>
        <v/>
      </c>
      <c r="R2964" s="6" t="str">
        <f>IF($K2964="","",IF($L2964="Crédit",$K2964,-$K2964))</f>
        <v/>
      </c>
      <c r="S2964" s="6" t="str">
        <f>IF($C2964="","",IFERROR(INDEX('Paramètres'!$H:$H,MATCH($C2964,'Paramètres'!$D:$D,0))&amp;"",""))</f>
        <v/>
      </c>
      <c r="T2964" s="6" t="str">
        <f>IF($K2964="","",IF($S2964="",0,IF(ISNUMBER(SEARCH("apport-exterieur",IFERROR(INDEX('Paramètres'!$N:$N,MATCH($D2964,'Paramètres'!$M:$M,0))&amp;"",""))),0,IF(OR(IFERROR(INDEX('Paramètres'!$I:$I,MATCH($C2964,'Paramètres'!$D:$D,0))&amp;"","")="Les deux",IFERROR(INDEX('Paramètres'!$I:$I,MATCH($C2964,'Paramètres'!$D:$D,0))&amp;"","")=IF($P2964=1,"Débit",$L2964)),-IF($P2964=1,-$K2964,$K2964),0))))</f>
        <v/>
      </c>
      <c r="U2964" s="6" t="str">
        <f>IF($K2964="","",IF(ISNUMBER(SEARCH("sortie-epargne",IFERROR(INDEX('Paramètres'!$N:$N,MATCH($D2964,'Paramètres'!$M:$M,0))&amp;"",""))),$K2964,0))</f>
        <v/>
      </c>
      <c r="V2964" s="6" t="str">
        <f>IF(AND($A2964&lt;&gt;"",$O2964=1,$L2964="Débit",N($Q2964)&gt;0,$A2964&gt;=Visualisation!$B$1,$A2964&lt;Visualisation!$D$1),MAX($V$1:V2963)+1,"")</f>
        <v/>
      </c>
    </row>
    <row r="2965" spans="1:22" x14ac:dyDescent="0.25">
      <c r="A2965" s="9"/>
      <c r="E2965" s="10"/>
      <c r="K2965" s="11" t="str">
        <f>IF($E2965="","",ROUND($E2965*IF(ISNA(MATCH($C2965,'Paramètres'!$D:$D,0)),1,IF(INDEX('Paramètres'!$J:$J,MATCH($C2965,'Paramètres'!$D:$D,0))="",1,INDEX('Paramètres'!$J:$J,MATCH($C2965,'Paramètres'!$D:$D,0)))),2))</f>
        <v/>
      </c>
      <c r="L2965" s="6" t="str">
        <f>IF($D2965="","",IF($F2965&lt;&gt;"",$F2965,IF(ISNA(MATCH($D2965,'Paramètres'!$M:$M,0)),"⚠ Type inconnu",IFERROR(INDEX('Paramètres'!$P:$P,MATCH($D2965,'Paramètres'!$M:$M,0))&amp;"",""))))</f>
        <v/>
      </c>
      <c r="M2965" s="6" t="str">
        <f>IF($D2965="","",IF(ISNA(MATCH($D2965,'Paramètres'!$M:$M,0)),"⚠ Type inconnu",IF($L2965="Crédit","",IFERROR(INDEX('Paramètres'!$O:$O,MATCH($D2965,'Paramètres'!$M:$M,0))&amp;"",""))))</f>
        <v/>
      </c>
      <c r="N2965" s="6" t="str">
        <f>IF($D2965="","",IFERROR(INDEX('Paramètres'!$Q:$Q,MATCH($D2965,'Paramètres'!$M:$M,0))&amp;"",""))</f>
        <v/>
      </c>
      <c r="O2965" s="6" t="str">
        <f>IF($A2965="","",IF(OR($J2965&lt;&gt;"x",$A2965&lt;=FinReleve),1,0))</f>
        <v/>
      </c>
      <c r="P2965" s="6" t="str">
        <f>IF($D2965="","",IF(AND($L2965="Crédit",OR(IFERROR(INDEX('Paramètres'!$O:$O,MATCH($D2965,'Paramètres'!$M:$M,0))&amp;"","")&lt;&gt;"",ISNUMBER(SEARCH("remboursement",IFERROR(INDEX('Paramètres'!$N:$N,MATCH($D2965,'Paramètres'!$M:$M,0))&amp;"",""))))),1,0))</f>
        <v/>
      </c>
      <c r="Q2965" s="6" t="str">
        <f>IF($K2965="","",IF(ISNUMBER(SEARCH("transfert-interne",IFERROR(INDEX('Paramètres'!$N:$N,MATCH($D2965,'Paramètres'!$M:$M,0))&amp;"",""))),0,IF($L2965="Débit",$K2965,IF($P2965=1,-$K2965,0))))</f>
        <v/>
      </c>
      <c r="R2965" s="6" t="str">
        <f>IF($K2965="","",IF($L2965="Crédit",$K2965,-$K2965))</f>
        <v/>
      </c>
      <c r="S2965" s="6" t="str">
        <f>IF($C2965="","",IFERROR(INDEX('Paramètres'!$H:$H,MATCH($C2965,'Paramètres'!$D:$D,0))&amp;"",""))</f>
        <v/>
      </c>
      <c r="T2965" s="6" t="str">
        <f>IF($K2965="","",IF($S2965="",0,IF(ISNUMBER(SEARCH("apport-exterieur",IFERROR(INDEX('Paramètres'!$N:$N,MATCH($D2965,'Paramètres'!$M:$M,0))&amp;"",""))),0,IF(OR(IFERROR(INDEX('Paramètres'!$I:$I,MATCH($C2965,'Paramètres'!$D:$D,0))&amp;"","")="Les deux",IFERROR(INDEX('Paramètres'!$I:$I,MATCH($C2965,'Paramètres'!$D:$D,0))&amp;"","")=IF($P2965=1,"Débit",$L2965)),-IF($P2965=1,-$K2965,$K2965),0))))</f>
        <v/>
      </c>
      <c r="U2965" s="6" t="str">
        <f>IF($K2965="","",IF(ISNUMBER(SEARCH("sortie-epargne",IFERROR(INDEX('Paramètres'!$N:$N,MATCH($D2965,'Paramètres'!$M:$M,0))&amp;"",""))),$K2965,0))</f>
        <v/>
      </c>
      <c r="V2965" s="6" t="str">
        <f>IF(AND($A2965&lt;&gt;"",$O2965=1,$L2965="Débit",N($Q2965)&gt;0,$A2965&gt;=Visualisation!$B$1,$A2965&lt;Visualisation!$D$1),MAX($V$1:V2964)+1,"")</f>
        <v/>
      </c>
    </row>
    <row r="2966" spans="1:22" x14ac:dyDescent="0.25">
      <c r="A2966" s="9"/>
      <c r="E2966" s="10"/>
      <c r="K2966" s="11" t="str">
        <f>IF($E2966="","",ROUND($E2966*IF(ISNA(MATCH($C2966,'Paramètres'!$D:$D,0)),1,IF(INDEX('Paramètres'!$J:$J,MATCH($C2966,'Paramètres'!$D:$D,0))="",1,INDEX('Paramètres'!$J:$J,MATCH($C2966,'Paramètres'!$D:$D,0)))),2))</f>
        <v/>
      </c>
      <c r="L2966" s="6" t="str">
        <f>IF($D2966="","",IF($F2966&lt;&gt;"",$F2966,IF(ISNA(MATCH($D2966,'Paramètres'!$M:$M,0)),"⚠ Type inconnu",IFERROR(INDEX('Paramètres'!$P:$P,MATCH($D2966,'Paramètres'!$M:$M,0))&amp;"",""))))</f>
        <v/>
      </c>
      <c r="M2966" s="6" t="str">
        <f>IF($D2966="","",IF(ISNA(MATCH($D2966,'Paramètres'!$M:$M,0)),"⚠ Type inconnu",IF($L2966="Crédit","",IFERROR(INDEX('Paramètres'!$O:$O,MATCH($D2966,'Paramètres'!$M:$M,0))&amp;"",""))))</f>
        <v/>
      </c>
      <c r="N2966" s="6" t="str">
        <f>IF($D2966="","",IFERROR(INDEX('Paramètres'!$Q:$Q,MATCH($D2966,'Paramètres'!$M:$M,0))&amp;"",""))</f>
        <v/>
      </c>
      <c r="O2966" s="6" t="str">
        <f>IF($A2966="","",IF(OR($J2966&lt;&gt;"x",$A2966&lt;=FinReleve),1,0))</f>
        <v/>
      </c>
      <c r="P2966" s="6" t="str">
        <f>IF($D2966="","",IF(AND($L2966="Crédit",OR(IFERROR(INDEX('Paramètres'!$O:$O,MATCH($D2966,'Paramètres'!$M:$M,0))&amp;"","")&lt;&gt;"",ISNUMBER(SEARCH("remboursement",IFERROR(INDEX('Paramètres'!$N:$N,MATCH($D2966,'Paramètres'!$M:$M,0))&amp;"",""))))),1,0))</f>
        <v/>
      </c>
      <c r="Q2966" s="6" t="str">
        <f>IF($K2966="","",IF(ISNUMBER(SEARCH("transfert-interne",IFERROR(INDEX('Paramètres'!$N:$N,MATCH($D2966,'Paramètres'!$M:$M,0))&amp;"",""))),0,IF($L2966="Débit",$K2966,IF($P2966=1,-$K2966,0))))</f>
        <v/>
      </c>
      <c r="R2966" s="6" t="str">
        <f>IF($K2966="","",IF($L2966="Crédit",$K2966,-$K2966))</f>
        <v/>
      </c>
      <c r="S2966" s="6" t="str">
        <f>IF($C2966="","",IFERROR(INDEX('Paramètres'!$H:$H,MATCH($C2966,'Paramètres'!$D:$D,0))&amp;"",""))</f>
        <v/>
      </c>
      <c r="T2966" s="6" t="str">
        <f>IF($K2966="","",IF($S2966="",0,IF(ISNUMBER(SEARCH("apport-exterieur",IFERROR(INDEX('Paramètres'!$N:$N,MATCH($D2966,'Paramètres'!$M:$M,0))&amp;"",""))),0,IF(OR(IFERROR(INDEX('Paramètres'!$I:$I,MATCH($C2966,'Paramètres'!$D:$D,0))&amp;"","")="Les deux",IFERROR(INDEX('Paramètres'!$I:$I,MATCH($C2966,'Paramètres'!$D:$D,0))&amp;"","")=IF($P2966=1,"Débit",$L2966)),-IF($P2966=1,-$K2966,$K2966),0))))</f>
        <v/>
      </c>
      <c r="U2966" s="6" t="str">
        <f>IF($K2966="","",IF(ISNUMBER(SEARCH("sortie-epargne",IFERROR(INDEX('Paramètres'!$N:$N,MATCH($D2966,'Paramètres'!$M:$M,0))&amp;"",""))),$K2966,0))</f>
        <v/>
      </c>
      <c r="V2966" s="6" t="str">
        <f>IF(AND($A2966&lt;&gt;"",$O2966=1,$L2966="Débit",N($Q2966)&gt;0,$A2966&gt;=Visualisation!$B$1,$A2966&lt;Visualisation!$D$1),MAX($V$1:V2965)+1,"")</f>
        <v/>
      </c>
    </row>
    <row r="2967" spans="1:22" x14ac:dyDescent="0.25">
      <c r="A2967" s="9"/>
      <c r="E2967" s="10"/>
      <c r="K2967" s="11" t="str">
        <f>IF($E2967="","",ROUND($E2967*IF(ISNA(MATCH($C2967,'Paramètres'!$D:$D,0)),1,IF(INDEX('Paramètres'!$J:$J,MATCH($C2967,'Paramètres'!$D:$D,0))="",1,INDEX('Paramètres'!$J:$J,MATCH($C2967,'Paramètres'!$D:$D,0)))),2))</f>
        <v/>
      </c>
      <c r="L2967" s="6" t="str">
        <f>IF($D2967="","",IF($F2967&lt;&gt;"",$F2967,IF(ISNA(MATCH($D2967,'Paramètres'!$M:$M,0)),"⚠ Type inconnu",IFERROR(INDEX('Paramètres'!$P:$P,MATCH($D2967,'Paramètres'!$M:$M,0))&amp;"",""))))</f>
        <v/>
      </c>
      <c r="M2967" s="6" t="str">
        <f>IF($D2967="","",IF(ISNA(MATCH($D2967,'Paramètres'!$M:$M,0)),"⚠ Type inconnu",IF($L2967="Crédit","",IFERROR(INDEX('Paramètres'!$O:$O,MATCH($D2967,'Paramètres'!$M:$M,0))&amp;"",""))))</f>
        <v/>
      </c>
      <c r="N2967" s="6" t="str">
        <f>IF($D2967="","",IFERROR(INDEX('Paramètres'!$Q:$Q,MATCH($D2967,'Paramètres'!$M:$M,0))&amp;"",""))</f>
        <v/>
      </c>
      <c r="O2967" s="6" t="str">
        <f>IF($A2967="","",IF(OR($J2967&lt;&gt;"x",$A2967&lt;=FinReleve),1,0))</f>
        <v/>
      </c>
      <c r="P2967" s="6" t="str">
        <f>IF($D2967="","",IF(AND($L2967="Crédit",OR(IFERROR(INDEX('Paramètres'!$O:$O,MATCH($D2967,'Paramètres'!$M:$M,0))&amp;"","")&lt;&gt;"",ISNUMBER(SEARCH("remboursement",IFERROR(INDEX('Paramètres'!$N:$N,MATCH($D2967,'Paramètres'!$M:$M,0))&amp;"",""))))),1,0))</f>
        <v/>
      </c>
      <c r="Q2967" s="6" t="str">
        <f>IF($K2967="","",IF(ISNUMBER(SEARCH("transfert-interne",IFERROR(INDEX('Paramètres'!$N:$N,MATCH($D2967,'Paramètres'!$M:$M,0))&amp;"",""))),0,IF($L2967="Débit",$K2967,IF($P2967=1,-$K2967,0))))</f>
        <v/>
      </c>
      <c r="R2967" s="6" t="str">
        <f>IF($K2967="","",IF($L2967="Crédit",$K2967,-$K2967))</f>
        <v/>
      </c>
      <c r="S2967" s="6" t="str">
        <f>IF($C2967="","",IFERROR(INDEX('Paramètres'!$H:$H,MATCH($C2967,'Paramètres'!$D:$D,0))&amp;"",""))</f>
        <v/>
      </c>
      <c r="T2967" s="6" t="str">
        <f>IF($K2967="","",IF($S2967="",0,IF(ISNUMBER(SEARCH("apport-exterieur",IFERROR(INDEX('Paramètres'!$N:$N,MATCH($D2967,'Paramètres'!$M:$M,0))&amp;"",""))),0,IF(OR(IFERROR(INDEX('Paramètres'!$I:$I,MATCH($C2967,'Paramètres'!$D:$D,0))&amp;"","")="Les deux",IFERROR(INDEX('Paramètres'!$I:$I,MATCH($C2967,'Paramètres'!$D:$D,0))&amp;"","")=IF($P2967=1,"Débit",$L2967)),-IF($P2967=1,-$K2967,$K2967),0))))</f>
        <v/>
      </c>
      <c r="U2967" s="6" t="str">
        <f>IF($K2967="","",IF(ISNUMBER(SEARCH("sortie-epargne",IFERROR(INDEX('Paramètres'!$N:$N,MATCH($D2967,'Paramètres'!$M:$M,0))&amp;"",""))),$K2967,0))</f>
        <v/>
      </c>
      <c r="V2967" s="6" t="str">
        <f>IF(AND($A2967&lt;&gt;"",$O2967=1,$L2967="Débit",N($Q2967)&gt;0,$A2967&gt;=Visualisation!$B$1,$A2967&lt;Visualisation!$D$1),MAX($V$1:V2966)+1,"")</f>
        <v/>
      </c>
    </row>
    <row r="2968" spans="1:22" x14ac:dyDescent="0.25">
      <c r="A2968" s="9"/>
      <c r="E2968" s="10"/>
      <c r="K2968" s="11" t="str">
        <f>IF($E2968="","",ROUND($E2968*IF(ISNA(MATCH($C2968,'Paramètres'!$D:$D,0)),1,IF(INDEX('Paramètres'!$J:$J,MATCH($C2968,'Paramètres'!$D:$D,0))="",1,INDEX('Paramètres'!$J:$J,MATCH($C2968,'Paramètres'!$D:$D,0)))),2))</f>
        <v/>
      </c>
      <c r="L2968" s="6" t="str">
        <f>IF($D2968="","",IF($F2968&lt;&gt;"",$F2968,IF(ISNA(MATCH($D2968,'Paramètres'!$M:$M,0)),"⚠ Type inconnu",IFERROR(INDEX('Paramètres'!$P:$P,MATCH($D2968,'Paramètres'!$M:$M,0))&amp;"",""))))</f>
        <v/>
      </c>
      <c r="M2968" s="6" t="str">
        <f>IF($D2968="","",IF(ISNA(MATCH($D2968,'Paramètres'!$M:$M,0)),"⚠ Type inconnu",IF($L2968="Crédit","",IFERROR(INDEX('Paramètres'!$O:$O,MATCH($D2968,'Paramètres'!$M:$M,0))&amp;"",""))))</f>
        <v/>
      </c>
      <c r="N2968" s="6" t="str">
        <f>IF($D2968="","",IFERROR(INDEX('Paramètres'!$Q:$Q,MATCH($D2968,'Paramètres'!$M:$M,0))&amp;"",""))</f>
        <v/>
      </c>
      <c r="O2968" s="6" t="str">
        <f>IF($A2968="","",IF(OR($J2968&lt;&gt;"x",$A2968&lt;=FinReleve),1,0))</f>
        <v/>
      </c>
      <c r="P2968" s="6" t="str">
        <f>IF($D2968="","",IF(AND($L2968="Crédit",OR(IFERROR(INDEX('Paramètres'!$O:$O,MATCH($D2968,'Paramètres'!$M:$M,0))&amp;"","")&lt;&gt;"",ISNUMBER(SEARCH("remboursement",IFERROR(INDEX('Paramètres'!$N:$N,MATCH($D2968,'Paramètres'!$M:$M,0))&amp;"",""))))),1,0))</f>
        <v/>
      </c>
      <c r="Q2968" s="6" t="str">
        <f>IF($K2968="","",IF(ISNUMBER(SEARCH("transfert-interne",IFERROR(INDEX('Paramètres'!$N:$N,MATCH($D2968,'Paramètres'!$M:$M,0))&amp;"",""))),0,IF($L2968="Débit",$K2968,IF($P2968=1,-$K2968,0))))</f>
        <v/>
      </c>
      <c r="R2968" s="6" t="str">
        <f>IF($K2968="","",IF($L2968="Crédit",$K2968,-$K2968))</f>
        <v/>
      </c>
      <c r="S2968" s="6" t="str">
        <f>IF($C2968="","",IFERROR(INDEX('Paramètres'!$H:$H,MATCH($C2968,'Paramètres'!$D:$D,0))&amp;"",""))</f>
        <v/>
      </c>
      <c r="T2968" s="6" t="str">
        <f>IF($K2968="","",IF($S2968="",0,IF(ISNUMBER(SEARCH("apport-exterieur",IFERROR(INDEX('Paramètres'!$N:$N,MATCH($D2968,'Paramètres'!$M:$M,0))&amp;"",""))),0,IF(OR(IFERROR(INDEX('Paramètres'!$I:$I,MATCH($C2968,'Paramètres'!$D:$D,0))&amp;"","")="Les deux",IFERROR(INDEX('Paramètres'!$I:$I,MATCH($C2968,'Paramètres'!$D:$D,0))&amp;"","")=IF($P2968=1,"Débit",$L2968)),-IF($P2968=1,-$K2968,$K2968),0))))</f>
        <v/>
      </c>
      <c r="U2968" s="6" t="str">
        <f>IF($K2968="","",IF(ISNUMBER(SEARCH("sortie-epargne",IFERROR(INDEX('Paramètres'!$N:$N,MATCH($D2968,'Paramètres'!$M:$M,0))&amp;"",""))),$K2968,0))</f>
        <v/>
      </c>
      <c r="V2968" s="6" t="str">
        <f>IF(AND($A2968&lt;&gt;"",$O2968=1,$L2968="Débit",N($Q2968)&gt;0,$A2968&gt;=Visualisation!$B$1,$A2968&lt;Visualisation!$D$1),MAX($V$1:V2967)+1,"")</f>
        <v/>
      </c>
    </row>
    <row r="2969" spans="1:22" x14ac:dyDescent="0.25">
      <c r="A2969" s="9"/>
      <c r="E2969" s="10"/>
      <c r="K2969" s="11" t="str">
        <f>IF($E2969="","",ROUND($E2969*IF(ISNA(MATCH($C2969,'Paramètres'!$D:$D,0)),1,IF(INDEX('Paramètres'!$J:$J,MATCH($C2969,'Paramètres'!$D:$D,0))="",1,INDEX('Paramètres'!$J:$J,MATCH($C2969,'Paramètres'!$D:$D,0)))),2))</f>
        <v/>
      </c>
      <c r="L2969" s="6" t="str">
        <f>IF($D2969="","",IF($F2969&lt;&gt;"",$F2969,IF(ISNA(MATCH($D2969,'Paramètres'!$M:$M,0)),"⚠ Type inconnu",IFERROR(INDEX('Paramètres'!$P:$P,MATCH($D2969,'Paramètres'!$M:$M,0))&amp;"",""))))</f>
        <v/>
      </c>
      <c r="M2969" s="6" t="str">
        <f>IF($D2969="","",IF(ISNA(MATCH($D2969,'Paramètres'!$M:$M,0)),"⚠ Type inconnu",IF($L2969="Crédit","",IFERROR(INDEX('Paramètres'!$O:$O,MATCH($D2969,'Paramètres'!$M:$M,0))&amp;"",""))))</f>
        <v/>
      </c>
      <c r="N2969" s="6" t="str">
        <f>IF($D2969="","",IFERROR(INDEX('Paramètres'!$Q:$Q,MATCH($D2969,'Paramètres'!$M:$M,0))&amp;"",""))</f>
        <v/>
      </c>
      <c r="O2969" s="6" t="str">
        <f>IF($A2969="","",IF(OR($J2969&lt;&gt;"x",$A2969&lt;=FinReleve),1,0))</f>
        <v/>
      </c>
      <c r="P2969" s="6" t="str">
        <f>IF($D2969="","",IF(AND($L2969="Crédit",OR(IFERROR(INDEX('Paramètres'!$O:$O,MATCH($D2969,'Paramètres'!$M:$M,0))&amp;"","")&lt;&gt;"",ISNUMBER(SEARCH("remboursement",IFERROR(INDEX('Paramètres'!$N:$N,MATCH($D2969,'Paramètres'!$M:$M,0))&amp;"",""))))),1,0))</f>
        <v/>
      </c>
      <c r="Q2969" s="6" t="str">
        <f>IF($K2969="","",IF(ISNUMBER(SEARCH("transfert-interne",IFERROR(INDEX('Paramètres'!$N:$N,MATCH($D2969,'Paramètres'!$M:$M,0))&amp;"",""))),0,IF($L2969="Débit",$K2969,IF($P2969=1,-$K2969,0))))</f>
        <v/>
      </c>
      <c r="R2969" s="6" t="str">
        <f>IF($K2969="","",IF($L2969="Crédit",$K2969,-$K2969))</f>
        <v/>
      </c>
      <c r="S2969" s="6" t="str">
        <f>IF($C2969="","",IFERROR(INDEX('Paramètres'!$H:$H,MATCH($C2969,'Paramètres'!$D:$D,0))&amp;"",""))</f>
        <v/>
      </c>
      <c r="T2969" s="6" t="str">
        <f>IF($K2969="","",IF($S2969="",0,IF(ISNUMBER(SEARCH("apport-exterieur",IFERROR(INDEX('Paramètres'!$N:$N,MATCH($D2969,'Paramètres'!$M:$M,0))&amp;"",""))),0,IF(OR(IFERROR(INDEX('Paramètres'!$I:$I,MATCH($C2969,'Paramètres'!$D:$D,0))&amp;"","")="Les deux",IFERROR(INDEX('Paramètres'!$I:$I,MATCH($C2969,'Paramètres'!$D:$D,0))&amp;"","")=IF($P2969=1,"Débit",$L2969)),-IF($P2969=1,-$K2969,$K2969),0))))</f>
        <v/>
      </c>
      <c r="U2969" s="6" t="str">
        <f>IF($K2969="","",IF(ISNUMBER(SEARCH("sortie-epargne",IFERROR(INDEX('Paramètres'!$N:$N,MATCH($D2969,'Paramètres'!$M:$M,0))&amp;"",""))),$K2969,0))</f>
        <v/>
      </c>
      <c r="V2969" s="6" t="str">
        <f>IF(AND($A2969&lt;&gt;"",$O2969=1,$L2969="Débit",N($Q2969)&gt;0,$A2969&gt;=Visualisation!$B$1,$A2969&lt;Visualisation!$D$1),MAX($V$1:V2968)+1,"")</f>
        <v/>
      </c>
    </row>
    <row r="2970" spans="1:22" x14ac:dyDescent="0.25">
      <c r="A2970" s="9"/>
      <c r="E2970" s="10"/>
      <c r="K2970" s="11" t="str">
        <f>IF($E2970="","",ROUND($E2970*IF(ISNA(MATCH($C2970,'Paramètres'!$D:$D,0)),1,IF(INDEX('Paramètres'!$J:$J,MATCH($C2970,'Paramètres'!$D:$D,0))="",1,INDEX('Paramètres'!$J:$J,MATCH($C2970,'Paramètres'!$D:$D,0)))),2))</f>
        <v/>
      </c>
      <c r="L2970" s="6" t="str">
        <f>IF($D2970="","",IF($F2970&lt;&gt;"",$F2970,IF(ISNA(MATCH($D2970,'Paramètres'!$M:$M,0)),"⚠ Type inconnu",IFERROR(INDEX('Paramètres'!$P:$P,MATCH($D2970,'Paramètres'!$M:$M,0))&amp;"",""))))</f>
        <v/>
      </c>
      <c r="M2970" s="6" t="str">
        <f>IF($D2970="","",IF(ISNA(MATCH($D2970,'Paramètres'!$M:$M,0)),"⚠ Type inconnu",IF($L2970="Crédit","",IFERROR(INDEX('Paramètres'!$O:$O,MATCH($D2970,'Paramètres'!$M:$M,0))&amp;"",""))))</f>
        <v/>
      </c>
      <c r="N2970" s="6" t="str">
        <f>IF($D2970="","",IFERROR(INDEX('Paramètres'!$Q:$Q,MATCH($D2970,'Paramètres'!$M:$M,0))&amp;"",""))</f>
        <v/>
      </c>
      <c r="O2970" s="6" t="str">
        <f>IF($A2970="","",IF(OR($J2970&lt;&gt;"x",$A2970&lt;=FinReleve),1,0))</f>
        <v/>
      </c>
      <c r="P2970" s="6" t="str">
        <f>IF($D2970="","",IF(AND($L2970="Crédit",OR(IFERROR(INDEX('Paramètres'!$O:$O,MATCH($D2970,'Paramètres'!$M:$M,0))&amp;"","")&lt;&gt;"",ISNUMBER(SEARCH("remboursement",IFERROR(INDEX('Paramètres'!$N:$N,MATCH($D2970,'Paramètres'!$M:$M,0))&amp;"",""))))),1,0))</f>
        <v/>
      </c>
      <c r="Q2970" s="6" t="str">
        <f>IF($K2970="","",IF(ISNUMBER(SEARCH("transfert-interne",IFERROR(INDEX('Paramètres'!$N:$N,MATCH($D2970,'Paramètres'!$M:$M,0))&amp;"",""))),0,IF($L2970="Débit",$K2970,IF($P2970=1,-$K2970,0))))</f>
        <v/>
      </c>
      <c r="R2970" s="6" t="str">
        <f>IF($K2970="","",IF($L2970="Crédit",$K2970,-$K2970))</f>
        <v/>
      </c>
      <c r="S2970" s="6" t="str">
        <f>IF($C2970="","",IFERROR(INDEX('Paramètres'!$H:$H,MATCH($C2970,'Paramètres'!$D:$D,0))&amp;"",""))</f>
        <v/>
      </c>
      <c r="T2970" s="6" t="str">
        <f>IF($K2970="","",IF($S2970="",0,IF(ISNUMBER(SEARCH("apport-exterieur",IFERROR(INDEX('Paramètres'!$N:$N,MATCH($D2970,'Paramètres'!$M:$M,0))&amp;"",""))),0,IF(OR(IFERROR(INDEX('Paramètres'!$I:$I,MATCH($C2970,'Paramètres'!$D:$D,0))&amp;"","")="Les deux",IFERROR(INDEX('Paramètres'!$I:$I,MATCH($C2970,'Paramètres'!$D:$D,0))&amp;"","")=IF($P2970=1,"Débit",$L2970)),-IF($P2970=1,-$K2970,$K2970),0))))</f>
        <v/>
      </c>
      <c r="U2970" s="6" t="str">
        <f>IF($K2970="","",IF(ISNUMBER(SEARCH("sortie-epargne",IFERROR(INDEX('Paramètres'!$N:$N,MATCH($D2970,'Paramètres'!$M:$M,0))&amp;"",""))),$K2970,0))</f>
        <v/>
      </c>
      <c r="V2970" s="6" t="str">
        <f>IF(AND($A2970&lt;&gt;"",$O2970=1,$L2970="Débit",N($Q2970)&gt;0,$A2970&gt;=Visualisation!$B$1,$A2970&lt;Visualisation!$D$1),MAX($V$1:V2969)+1,"")</f>
        <v/>
      </c>
    </row>
    <row r="2971" spans="1:22" x14ac:dyDescent="0.25">
      <c r="A2971" s="9"/>
      <c r="E2971" s="10"/>
      <c r="K2971" s="11" t="str">
        <f>IF($E2971="","",ROUND($E2971*IF(ISNA(MATCH($C2971,'Paramètres'!$D:$D,0)),1,IF(INDEX('Paramètres'!$J:$J,MATCH($C2971,'Paramètres'!$D:$D,0))="",1,INDEX('Paramètres'!$J:$J,MATCH($C2971,'Paramètres'!$D:$D,0)))),2))</f>
        <v/>
      </c>
      <c r="L2971" s="6" t="str">
        <f>IF($D2971="","",IF($F2971&lt;&gt;"",$F2971,IF(ISNA(MATCH($D2971,'Paramètres'!$M:$M,0)),"⚠ Type inconnu",IFERROR(INDEX('Paramètres'!$P:$P,MATCH($D2971,'Paramètres'!$M:$M,0))&amp;"",""))))</f>
        <v/>
      </c>
      <c r="M2971" s="6" t="str">
        <f>IF($D2971="","",IF(ISNA(MATCH($D2971,'Paramètres'!$M:$M,0)),"⚠ Type inconnu",IF($L2971="Crédit","",IFERROR(INDEX('Paramètres'!$O:$O,MATCH($D2971,'Paramètres'!$M:$M,0))&amp;"",""))))</f>
        <v/>
      </c>
      <c r="N2971" s="6" t="str">
        <f>IF($D2971="","",IFERROR(INDEX('Paramètres'!$Q:$Q,MATCH($D2971,'Paramètres'!$M:$M,0))&amp;"",""))</f>
        <v/>
      </c>
      <c r="O2971" s="6" t="str">
        <f>IF($A2971="","",IF(OR($J2971&lt;&gt;"x",$A2971&lt;=FinReleve),1,0))</f>
        <v/>
      </c>
      <c r="P2971" s="6" t="str">
        <f>IF($D2971="","",IF(AND($L2971="Crédit",OR(IFERROR(INDEX('Paramètres'!$O:$O,MATCH($D2971,'Paramètres'!$M:$M,0))&amp;"","")&lt;&gt;"",ISNUMBER(SEARCH("remboursement",IFERROR(INDEX('Paramètres'!$N:$N,MATCH($D2971,'Paramètres'!$M:$M,0))&amp;"",""))))),1,0))</f>
        <v/>
      </c>
      <c r="Q2971" s="6" t="str">
        <f>IF($K2971="","",IF(ISNUMBER(SEARCH("transfert-interne",IFERROR(INDEX('Paramètres'!$N:$N,MATCH($D2971,'Paramètres'!$M:$M,0))&amp;"",""))),0,IF($L2971="Débit",$K2971,IF($P2971=1,-$K2971,0))))</f>
        <v/>
      </c>
      <c r="R2971" s="6" t="str">
        <f>IF($K2971="","",IF($L2971="Crédit",$K2971,-$K2971))</f>
        <v/>
      </c>
      <c r="S2971" s="6" t="str">
        <f>IF($C2971="","",IFERROR(INDEX('Paramètres'!$H:$H,MATCH($C2971,'Paramètres'!$D:$D,0))&amp;"",""))</f>
        <v/>
      </c>
      <c r="T2971" s="6" t="str">
        <f>IF($K2971="","",IF($S2971="",0,IF(ISNUMBER(SEARCH("apport-exterieur",IFERROR(INDEX('Paramètres'!$N:$N,MATCH($D2971,'Paramètres'!$M:$M,0))&amp;"",""))),0,IF(OR(IFERROR(INDEX('Paramètres'!$I:$I,MATCH($C2971,'Paramètres'!$D:$D,0))&amp;"","")="Les deux",IFERROR(INDEX('Paramètres'!$I:$I,MATCH($C2971,'Paramètres'!$D:$D,0))&amp;"","")=IF($P2971=1,"Débit",$L2971)),-IF($P2971=1,-$K2971,$K2971),0))))</f>
        <v/>
      </c>
      <c r="U2971" s="6" t="str">
        <f>IF($K2971="","",IF(ISNUMBER(SEARCH("sortie-epargne",IFERROR(INDEX('Paramètres'!$N:$N,MATCH($D2971,'Paramètres'!$M:$M,0))&amp;"",""))),$K2971,0))</f>
        <v/>
      </c>
      <c r="V2971" s="6" t="str">
        <f>IF(AND($A2971&lt;&gt;"",$O2971=1,$L2971="Débit",N($Q2971)&gt;0,$A2971&gt;=Visualisation!$B$1,$A2971&lt;Visualisation!$D$1),MAX($V$1:V2970)+1,"")</f>
        <v/>
      </c>
    </row>
    <row r="2972" spans="1:22" x14ac:dyDescent="0.25">
      <c r="A2972" s="9"/>
      <c r="E2972" s="10"/>
      <c r="K2972" s="11" t="str">
        <f>IF($E2972="","",ROUND($E2972*IF(ISNA(MATCH($C2972,'Paramètres'!$D:$D,0)),1,IF(INDEX('Paramètres'!$J:$J,MATCH($C2972,'Paramètres'!$D:$D,0))="",1,INDEX('Paramètres'!$J:$J,MATCH($C2972,'Paramètres'!$D:$D,0)))),2))</f>
        <v/>
      </c>
      <c r="L2972" s="6" t="str">
        <f>IF($D2972="","",IF($F2972&lt;&gt;"",$F2972,IF(ISNA(MATCH($D2972,'Paramètres'!$M:$M,0)),"⚠ Type inconnu",IFERROR(INDEX('Paramètres'!$P:$P,MATCH($D2972,'Paramètres'!$M:$M,0))&amp;"",""))))</f>
        <v/>
      </c>
      <c r="M2972" s="6" t="str">
        <f>IF($D2972="","",IF(ISNA(MATCH($D2972,'Paramètres'!$M:$M,0)),"⚠ Type inconnu",IF($L2972="Crédit","",IFERROR(INDEX('Paramètres'!$O:$O,MATCH($D2972,'Paramètres'!$M:$M,0))&amp;"",""))))</f>
        <v/>
      </c>
      <c r="N2972" s="6" t="str">
        <f>IF($D2972="","",IFERROR(INDEX('Paramètres'!$Q:$Q,MATCH($D2972,'Paramètres'!$M:$M,0))&amp;"",""))</f>
        <v/>
      </c>
      <c r="O2972" s="6" t="str">
        <f>IF($A2972="","",IF(OR($J2972&lt;&gt;"x",$A2972&lt;=FinReleve),1,0))</f>
        <v/>
      </c>
      <c r="P2972" s="6" t="str">
        <f>IF($D2972="","",IF(AND($L2972="Crédit",OR(IFERROR(INDEX('Paramètres'!$O:$O,MATCH($D2972,'Paramètres'!$M:$M,0))&amp;"","")&lt;&gt;"",ISNUMBER(SEARCH("remboursement",IFERROR(INDEX('Paramètres'!$N:$N,MATCH($D2972,'Paramètres'!$M:$M,0))&amp;"",""))))),1,0))</f>
        <v/>
      </c>
      <c r="Q2972" s="6" t="str">
        <f>IF($K2972="","",IF(ISNUMBER(SEARCH("transfert-interne",IFERROR(INDEX('Paramètres'!$N:$N,MATCH($D2972,'Paramètres'!$M:$M,0))&amp;"",""))),0,IF($L2972="Débit",$K2972,IF($P2972=1,-$K2972,0))))</f>
        <v/>
      </c>
      <c r="R2972" s="6" t="str">
        <f>IF($K2972="","",IF($L2972="Crédit",$K2972,-$K2972))</f>
        <v/>
      </c>
      <c r="S2972" s="6" t="str">
        <f>IF($C2972="","",IFERROR(INDEX('Paramètres'!$H:$H,MATCH($C2972,'Paramètres'!$D:$D,0))&amp;"",""))</f>
        <v/>
      </c>
      <c r="T2972" s="6" t="str">
        <f>IF($K2972="","",IF($S2972="",0,IF(ISNUMBER(SEARCH("apport-exterieur",IFERROR(INDEX('Paramètres'!$N:$N,MATCH($D2972,'Paramètres'!$M:$M,0))&amp;"",""))),0,IF(OR(IFERROR(INDEX('Paramètres'!$I:$I,MATCH($C2972,'Paramètres'!$D:$D,0))&amp;"","")="Les deux",IFERROR(INDEX('Paramètres'!$I:$I,MATCH($C2972,'Paramètres'!$D:$D,0))&amp;"","")=IF($P2972=1,"Débit",$L2972)),-IF($P2972=1,-$K2972,$K2972),0))))</f>
        <v/>
      </c>
      <c r="U2972" s="6" t="str">
        <f>IF($K2972="","",IF(ISNUMBER(SEARCH("sortie-epargne",IFERROR(INDEX('Paramètres'!$N:$N,MATCH($D2972,'Paramètres'!$M:$M,0))&amp;"",""))),$K2972,0))</f>
        <v/>
      </c>
      <c r="V2972" s="6" t="str">
        <f>IF(AND($A2972&lt;&gt;"",$O2972=1,$L2972="Débit",N($Q2972)&gt;0,$A2972&gt;=Visualisation!$B$1,$A2972&lt;Visualisation!$D$1),MAX($V$1:V2971)+1,"")</f>
        <v/>
      </c>
    </row>
    <row r="2973" spans="1:22" x14ac:dyDescent="0.25">
      <c r="A2973" s="9"/>
      <c r="E2973" s="10"/>
      <c r="K2973" s="11" t="str">
        <f>IF($E2973="","",ROUND($E2973*IF(ISNA(MATCH($C2973,'Paramètres'!$D:$D,0)),1,IF(INDEX('Paramètres'!$J:$J,MATCH($C2973,'Paramètres'!$D:$D,0))="",1,INDEX('Paramètres'!$J:$J,MATCH($C2973,'Paramètres'!$D:$D,0)))),2))</f>
        <v/>
      </c>
      <c r="L2973" s="6" t="str">
        <f>IF($D2973="","",IF($F2973&lt;&gt;"",$F2973,IF(ISNA(MATCH($D2973,'Paramètres'!$M:$M,0)),"⚠ Type inconnu",IFERROR(INDEX('Paramètres'!$P:$P,MATCH($D2973,'Paramètres'!$M:$M,0))&amp;"",""))))</f>
        <v/>
      </c>
      <c r="M2973" s="6" t="str">
        <f>IF($D2973="","",IF(ISNA(MATCH($D2973,'Paramètres'!$M:$M,0)),"⚠ Type inconnu",IF($L2973="Crédit","",IFERROR(INDEX('Paramètres'!$O:$O,MATCH($D2973,'Paramètres'!$M:$M,0))&amp;"",""))))</f>
        <v/>
      </c>
      <c r="N2973" s="6" t="str">
        <f>IF($D2973="","",IFERROR(INDEX('Paramètres'!$Q:$Q,MATCH($D2973,'Paramètres'!$M:$M,0))&amp;"",""))</f>
        <v/>
      </c>
      <c r="O2973" s="6" t="str">
        <f>IF($A2973="","",IF(OR($J2973&lt;&gt;"x",$A2973&lt;=FinReleve),1,0))</f>
        <v/>
      </c>
      <c r="P2973" s="6" t="str">
        <f>IF($D2973="","",IF(AND($L2973="Crédit",OR(IFERROR(INDEX('Paramètres'!$O:$O,MATCH($D2973,'Paramètres'!$M:$M,0))&amp;"","")&lt;&gt;"",ISNUMBER(SEARCH("remboursement",IFERROR(INDEX('Paramètres'!$N:$N,MATCH($D2973,'Paramètres'!$M:$M,0))&amp;"",""))))),1,0))</f>
        <v/>
      </c>
      <c r="Q2973" s="6" t="str">
        <f>IF($K2973="","",IF(ISNUMBER(SEARCH("transfert-interne",IFERROR(INDEX('Paramètres'!$N:$N,MATCH($D2973,'Paramètres'!$M:$M,0))&amp;"",""))),0,IF($L2973="Débit",$K2973,IF($P2973=1,-$K2973,0))))</f>
        <v/>
      </c>
      <c r="R2973" s="6" t="str">
        <f>IF($K2973="","",IF($L2973="Crédit",$K2973,-$K2973))</f>
        <v/>
      </c>
      <c r="S2973" s="6" t="str">
        <f>IF($C2973="","",IFERROR(INDEX('Paramètres'!$H:$H,MATCH($C2973,'Paramètres'!$D:$D,0))&amp;"",""))</f>
        <v/>
      </c>
      <c r="T2973" s="6" t="str">
        <f>IF($K2973="","",IF($S2973="",0,IF(ISNUMBER(SEARCH("apport-exterieur",IFERROR(INDEX('Paramètres'!$N:$N,MATCH($D2973,'Paramètres'!$M:$M,0))&amp;"",""))),0,IF(OR(IFERROR(INDEX('Paramètres'!$I:$I,MATCH($C2973,'Paramètres'!$D:$D,0))&amp;"","")="Les deux",IFERROR(INDEX('Paramètres'!$I:$I,MATCH($C2973,'Paramètres'!$D:$D,0))&amp;"","")=IF($P2973=1,"Débit",$L2973)),-IF($P2973=1,-$K2973,$K2973),0))))</f>
        <v/>
      </c>
      <c r="U2973" s="6" t="str">
        <f>IF($K2973="","",IF(ISNUMBER(SEARCH("sortie-epargne",IFERROR(INDEX('Paramètres'!$N:$N,MATCH($D2973,'Paramètres'!$M:$M,0))&amp;"",""))),$K2973,0))</f>
        <v/>
      </c>
      <c r="V2973" s="6" t="str">
        <f>IF(AND($A2973&lt;&gt;"",$O2973=1,$L2973="Débit",N($Q2973)&gt;0,$A2973&gt;=Visualisation!$B$1,$A2973&lt;Visualisation!$D$1),MAX($V$1:V2972)+1,"")</f>
        <v/>
      </c>
    </row>
    <row r="2974" spans="1:22" x14ac:dyDescent="0.25">
      <c r="A2974" s="9"/>
      <c r="E2974" s="10"/>
      <c r="K2974" s="11" t="str">
        <f>IF($E2974="","",ROUND($E2974*IF(ISNA(MATCH($C2974,'Paramètres'!$D:$D,0)),1,IF(INDEX('Paramètres'!$J:$J,MATCH($C2974,'Paramètres'!$D:$D,0))="",1,INDEX('Paramètres'!$J:$J,MATCH($C2974,'Paramètres'!$D:$D,0)))),2))</f>
        <v/>
      </c>
      <c r="L2974" s="6" t="str">
        <f>IF($D2974="","",IF($F2974&lt;&gt;"",$F2974,IF(ISNA(MATCH($D2974,'Paramètres'!$M:$M,0)),"⚠ Type inconnu",IFERROR(INDEX('Paramètres'!$P:$P,MATCH($D2974,'Paramètres'!$M:$M,0))&amp;"",""))))</f>
        <v/>
      </c>
      <c r="M2974" s="6" t="str">
        <f>IF($D2974="","",IF(ISNA(MATCH($D2974,'Paramètres'!$M:$M,0)),"⚠ Type inconnu",IF($L2974="Crédit","",IFERROR(INDEX('Paramètres'!$O:$O,MATCH($D2974,'Paramètres'!$M:$M,0))&amp;"",""))))</f>
        <v/>
      </c>
      <c r="N2974" s="6" t="str">
        <f>IF($D2974="","",IFERROR(INDEX('Paramètres'!$Q:$Q,MATCH($D2974,'Paramètres'!$M:$M,0))&amp;"",""))</f>
        <v/>
      </c>
      <c r="O2974" s="6" t="str">
        <f>IF($A2974="","",IF(OR($J2974&lt;&gt;"x",$A2974&lt;=FinReleve),1,0))</f>
        <v/>
      </c>
      <c r="P2974" s="6" t="str">
        <f>IF($D2974="","",IF(AND($L2974="Crédit",OR(IFERROR(INDEX('Paramètres'!$O:$O,MATCH($D2974,'Paramètres'!$M:$M,0))&amp;"","")&lt;&gt;"",ISNUMBER(SEARCH("remboursement",IFERROR(INDEX('Paramètres'!$N:$N,MATCH($D2974,'Paramètres'!$M:$M,0))&amp;"",""))))),1,0))</f>
        <v/>
      </c>
      <c r="Q2974" s="6" t="str">
        <f>IF($K2974="","",IF(ISNUMBER(SEARCH("transfert-interne",IFERROR(INDEX('Paramètres'!$N:$N,MATCH($D2974,'Paramètres'!$M:$M,0))&amp;"",""))),0,IF($L2974="Débit",$K2974,IF($P2974=1,-$K2974,0))))</f>
        <v/>
      </c>
      <c r="R2974" s="6" t="str">
        <f>IF($K2974="","",IF($L2974="Crédit",$K2974,-$K2974))</f>
        <v/>
      </c>
      <c r="S2974" s="6" t="str">
        <f>IF($C2974="","",IFERROR(INDEX('Paramètres'!$H:$H,MATCH($C2974,'Paramètres'!$D:$D,0))&amp;"",""))</f>
        <v/>
      </c>
      <c r="T2974" s="6" t="str">
        <f>IF($K2974="","",IF($S2974="",0,IF(ISNUMBER(SEARCH("apport-exterieur",IFERROR(INDEX('Paramètres'!$N:$N,MATCH($D2974,'Paramètres'!$M:$M,0))&amp;"",""))),0,IF(OR(IFERROR(INDEX('Paramètres'!$I:$I,MATCH($C2974,'Paramètres'!$D:$D,0))&amp;"","")="Les deux",IFERROR(INDEX('Paramètres'!$I:$I,MATCH($C2974,'Paramètres'!$D:$D,0))&amp;"","")=IF($P2974=1,"Débit",$L2974)),-IF($P2974=1,-$K2974,$K2974),0))))</f>
        <v/>
      </c>
      <c r="U2974" s="6" t="str">
        <f>IF($K2974="","",IF(ISNUMBER(SEARCH("sortie-epargne",IFERROR(INDEX('Paramètres'!$N:$N,MATCH($D2974,'Paramètres'!$M:$M,0))&amp;"",""))),$K2974,0))</f>
        <v/>
      </c>
      <c r="V2974" s="6" t="str">
        <f>IF(AND($A2974&lt;&gt;"",$O2974=1,$L2974="Débit",N($Q2974)&gt;0,$A2974&gt;=Visualisation!$B$1,$A2974&lt;Visualisation!$D$1),MAX($V$1:V2973)+1,"")</f>
        <v/>
      </c>
    </row>
    <row r="2975" spans="1:22" x14ac:dyDescent="0.25">
      <c r="A2975" s="9"/>
      <c r="E2975" s="10"/>
      <c r="K2975" s="11" t="str">
        <f>IF($E2975="","",ROUND($E2975*IF(ISNA(MATCH($C2975,'Paramètres'!$D:$D,0)),1,IF(INDEX('Paramètres'!$J:$J,MATCH($C2975,'Paramètres'!$D:$D,0))="",1,INDEX('Paramètres'!$J:$J,MATCH($C2975,'Paramètres'!$D:$D,0)))),2))</f>
        <v/>
      </c>
      <c r="L2975" s="6" t="str">
        <f>IF($D2975="","",IF($F2975&lt;&gt;"",$F2975,IF(ISNA(MATCH($D2975,'Paramètres'!$M:$M,0)),"⚠ Type inconnu",IFERROR(INDEX('Paramètres'!$P:$P,MATCH($D2975,'Paramètres'!$M:$M,0))&amp;"",""))))</f>
        <v/>
      </c>
      <c r="M2975" s="6" t="str">
        <f>IF($D2975="","",IF(ISNA(MATCH($D2975,'Paramètres'!$M:$M,0)),"⚠ Type inconnu",IF($L2975="Crédit","",IFERROR(INDEX('Paramètres'!$O:$O,MATCH($D2975,'Paramètres'!$M:$M,0))&amp;"",""))))</f>
        <v/>
      </c>
      <c r="N2975" s="6" t="str">
        <f>IF($D2975="","",IFERROR(INDEX('Paramètres'!$Q:$Q,MATCH($D2975,'Paramètres'!$M:$M,0))&amp;"",""))</f>
        <v/>
      </c>
      <c r="O2975" s="6" t="str">
        <f>IF($A2975="","",IF(OR($J2975&lt;&gt;"x",$A2975&lt;=FinReleve),1,0))</f>
        <v/>
      </c>
      <c r="P2975" s="6" t="str">
        <f>IF($D2975="","",IF(AND($L2975="Crédit",OR(IFERROR(INDEX('Paramètres'!$O:$O,MATCH($D2975,'Paramètres'!$M:$M,0))&amp;"","")&lt;&gt;"",ISNUMBER(SEARCH("remboursement",IFERROR(INDEX('Paramètres'!$N:$N,MATCH($D2975,'Paramètres'!$M:$M,0))&amp;"",""))))),1,0))</f>
        <v/>
      </c>
      <c r="Q2975" s="6" t="str">
        <f>IF($K2975="","",IF(ISNUMBER(SEARCH("transfert-interne",IFERROR(INDEX('Paramètres'!$N:$N,MATCH($D2975,'Paramètres'!$M:$M,0))&amp;"",""))),0,IF($L2975="Débit",$K2975,IF($P2975=1,-$K2975,0))))</f>
        <v/>
      </c>
      <c r="R2975" s="6" t="str">
        <f>IF($K2975="","",IF($L2975="Crédit",$K2975,-$K2975))</f>
        <v/>
      </c>
      <c r="S2975" s="6" t="str">
        <f>IF($C2975="","",IFERROR(INDEX('Paramètres'!$H:$H,MATCH($C2975,'Paramètres'!$D:$D,0))&amp;"",""))</f>
        <v/>
      </c>
      <c r="T2975" s="6" t="str">
        <f>IF($K2975="","",IF($S2975="",0,IF(ISNUMBER(SEARCH("apport-exterieur",IFERROR(INDEX('Paramètres'!$N:$N,MATCH($D2975,'Paramètres'!$M:$M,0))&amp;"",""))),0,IF(OR(IFERROR(INDEX('Paramètres'!$I:$I,MATCH($C2975,'Paramètres'!$D:$D,0))&amp;"","")="Les deux",IFERROR(INDEX('Paramètres'!$I:$I,MATCH($C2975,'Paramètres'!$D:$D,0))&amp;"","")=IF($P2975=1,"Débit",$L2975)),-IF($P2975=1,-$K2975,$K2975),0))))</f>
        <v/>
      </c>
      <c r="U2975" s="6" t="str">
        <f>IF($K2975="","",IF(ISNUMBER(SEARCH("sortie-epargne",IFERROR(INDEX('Paramètres'!$N:$N,MATCH($D2975,'Paramètres'!$M:$M,0))&amp;"",""))),$K2975,0))</f>
        <v/>
      </c>
      <c r="V2975" s="6" t="str">
        <f>IF(AND($A2975&lt;&gt;"",$O2975=1,$L2975="Débit",N($Q2975)&gt;0,$A2975&gt;=Visualisation!$B$1,$A2975&lt;Visualisation!$D$1),MAX($V$1:V2974)+1,"")</f>
        <v/>
      </c>
    </row>
    <row r="2976" spans="1:22" x14ac:dyDescent="0.25">
      <c r="A2976" s="9"/>
      <c r="E2976" s="10"/>
      <c r="K2976" s="11" t="str">
        <f>IF($E2976="","",ROUND($E2976*IF(ISNA(MATCH($C2976,'Paramètres'!$D:$D,0)),1,IF(INDEX('Paramètres'!$J:$J,MATCH($C2976,'Paramètres'!$D:$D,0))="",1,INDEX('Paramètres'!$J:$J,MATCH($C2976,'Paramètres'!$D:$D,0)))),2))</f>
        <v/>
      </c>
      <c r="L2976" s="6" t="str">
        <f>IF($D2976="","",IF($F2976&lt;&gt;"",$F2976,IF(ISNA(MATCH($D2976,'Paramètres'!$M:$M,0)),"⚠ Type inconnu",IFERROR(INDEX('Paramètres'!$P:$P,MATCH($D2976,'Paramètres'!$M:$M,0))&amp;"",""))))</f>
        <v/>
      </c>
      <c r="M2976" s="6" t="str">
        <f>IF($D2976="","",IF(ISNA(MATCH($D2976,'Paramètres'!$M:$M,0)),"⚠ Type inconnu",IF($L2976="Crédit","",IFERROR(INDEX('Paramètres'!$O:$O,MATCH($D2976,'Paramètres'!$M:$M,0))&amp;"",""))))</f>
        <v/>
      </c>
      <c r="N2976" s="6" t="str">
        <f>IF($D2976="","",IFERROR(INDEX('Paramètres'!$Q:$Q,MATCH($D2976,'Paramètres'!$M:$M,0))&amp;"",""))</f>
        <v/>
      </c>
      <c r="O2976" s="6" t="str">
        <f>IF($A2976="","",IF(OR($J2976&lt;&gt;"x",$A2976&lt;=FinReleve),1,0))</f>
        <v/>
      </c>
      <c r="P2976" s="6" t="str">
        <f>IF($D2976="","",IF(AND($L2976="Crédit",OR(IFERROR(INDEX('Paramètres'!$O:$O,MATCH($D2976,'Paramètres'!$M:$M,0))&amp;"","")&lt;&gt;"",ISNUMBER(SEARCH("remboursement",IFERROR(INDEX('Paramètres'!$N:$N,MATCH($D2976,'Paramètres'!$M:$M,0))&amp;"",""))))),1,0))</f>
        <v/>
      </c>
      <c r="Q2976" s="6" t="str">
        <f>IF($K2976="","",IF(ISNUMBER(SEARCH("transfert-interne",IFERROR(INDEX('Paramètres'!$N:$N,MATCH($D2976,'Paramètres'!$M:$M,0))&amp;"",""))),0,IF($L2976="Débit",$K2976,IF($P2976=1,-$K2976,0))))</f>
        <v/>
      </c>
      <c r="R2976" s="6" t="str">
        <f>IF($K2976="","",IF($L2976="Crédit",$K2976,-$K2976))</f>
        <v/>
      </c>
      <c r="S2976" s="6" t="str">
        <f>IF($C2976="","",IFERROR(INDEX('Paramètres'!$H:$H,MATCH($C2976,'Paramètres'!$D:$D,0))&amp;"",""))</f>
        <v/>
      </c>
      <c r="T2976" s="6" t="str">
        <f>IF($K2976="","",IF($S2976="",0,IF(ISNUMBER(SEARCH("apport-exterieur",IFERROR(INDEX('Paramètres'!$N:$N,MATCH($D2976,'Paramètres'!$M:$M,0))&amp;"",""))),0,IF(OR(IFERROR(INDEX('Paramètres'!$I:$I,MATCH($C2976,'Paramètres'!$D:$D,0))&amp;"","")="Les deux",IFERROR(INDEX('Paramètres'!$I:$I,MATCH($C2976,'Paramètres'!$D:$D,0))&amp;"","")=IF($P2976=1,"Débit",$L2976)),-IF($P2976=1,-$K2976,$K2976),0))))</f>
        <v/>
      </c>
      <c r="U2976" s="6" t="str">
        <f>IF($K2976="","",IF(ISNUMBER(SEARCH("sortie-epargne",IFERROR(INDEX('Paramètres'!$N:$N,MATCH($D2976,'Paramètres'!$M:$M,0))&amp;"",""))),$K2976,0))</f>
        <v/>
      </c>
      <c r="V2976" s="6" t="str">
        <f>IF(AND($A2976&lt;&gt;"",$O2976=1,$L2976="Débit",N($Q2976)&gt;0,$A2976&gt;=Visualisation!$B$1,$A2976&lt;Visualisation!$D$1),MAX($V$1:V2975)+1,"")</f>
        <v/>
      </c>
    </row>
    <row r="2977" spans="1:22" x14ac:dyDescent="0.25">
      <c r="A2977" s="9"/>
      <c r="E2977" s="10"/>
      <c r="K2977" s="11" t="str">
        <f>IF($E2977="","",ROUND($E2977*IF(ISNA(MATCH($C2977,'Paramètres'!$D:$D,0)),1,IF(INDEX('Paramètres'!$J:$J,MATCH($C2977,'Paramètres'!$D:$D,0))="",1,INDEX('Paramètres'!$J:$J,MATCH($C2977,'Paramètres'!$D:$D,0)))),2))</f>
        <v/>
      </c>
      <c r="L2977" s="6" t="str">
        <f>IF($D2977="","",IF($F2977&lt;&gt;"",$F2977,IF(ISNA(MATCH($D2977,'Paramètres'!$M:$M,0)),"⚠ Type inconnu",IFERROR(INDEX('Paramètres'!$P:$P,MATCH($D2977,'Paramètres'!$M:$M,0))&amp;"",""))))</f>
        <v/>
      </c>
      <c r="M2977" s="6" t="str">
        <f>IF($D2977="","",IF(ISNA(MATCH($D2977,'Paramètres'!$M:$M,0)),"⚠ Type inconnu",IF($L2977="Crédit","",IFERROR(INDEX('Paramètres'!$O:$O,MATCH($D2977,'Paramètres'!$M:$M,0))&amp;"",""))))</f>
        <v/>
      </c>
      <c r="N2977" s="6" t="str">
        <f>IF($D2977="","",IFERROR(INDEX('Paramètres'!$Q:$Q,MATCH($D2977,'Paramètres'!$M:$M,0))&amp;"",""))</f>
        <v/>
      </c>
      <c r="O2977" s="6" t="str">
        <f>IF($A2977="","",IF(OR($J2977&lt;&gt;"x",$A2977&lt;=FinReleve),1,0))</f>
        <v/>
      </c>
      <c r="P2977" s="6" t="str">
        <f>IF($D2977="","",IF(AND($L2977="Crédit",OR(IFERROR(INDEX('Paramètres'!$O:$O,MATCH($D2977,'Paramètres'!$M:$M,0))&amp;"","")&lt;&gt;"",ISNUMBER(SEARCH("remboursement",IFERROR(INDEX('Paramètres'!$N:$N,MATCH($D2977,'Paramètres'!$M:$M,0))&amp;"",""))))),1,0))</f>
        <v/>
      </c>
      <c r="Q2977" s="6" t="str">
        <f>IF($K2977="","",IF(ISNUMBER(SEARCH("transfert-interne",IFERROR(INDEX('Paramètres'!$N:$N,MATCH($D2977,'Paramètres'!$M:$M,0))&amp;"",""))),0,IF($L2977="Débit",$K2977,IF($P2977=1,-$K2977,0))))</f>
        <v/>
      </c>
      <c r="R2977" s="6" t="str">
        <f>IF($K2977="","",IF($L2977="Crédit",$K2977,-$K2977))</f>
        <v/>
      </c>
      <c r="S2977" s="6" t="str">
        <f>IF($C2977="","",IFERROR(INDEX('Paramètres'!$H:$H,MATCH($C2977,'Paramètres'!$D:$D,0))&amp;"",""))</f>
        <v/>
      </c>
      <c r="T2977" s="6" t="str">
        <f>IF($K2977="","",IF($S2977="",0,IF(ISNUMBER(SEARCH("apport-exterieur",IFERROR(INDEX('Paramètres'!$N:$N,MATCH($D2977,'Paramètres'!$M:$M,0))&amp;"",""))),0,IF(OR(IFERROR(INDEX('Paramètres'!$I:$I,MATCH($C2977,'Paramètres'!$D:$D,0))&amp;"","")="Les deux",IFERROR(INDEX('Paramètres'!$I:$I,MATCH($C2977,'Paramètres'!$D:$D,0))&amp;"","")=IF($P2977=1,"Débit",$L2977)),-IF($P2977=1,-$K2977,$K2977),0))))</f>
        <v/>
      </c>
      <c r="U2977" s="6" t="str">
        <f>IF($K2977="","",IF(ISNUMBER(SEARCH("sortie-epargne",IFERROR(INDEX('Paramètres'!$N:$N,MATCH($D2977,'Paramètres'!$M:$M,0))&amp;"",""))),$K2977,0))</f>
        <v/>
      </c>
      <c r="V2977" s="6" t="str">
        <f>IF(AND($A2977&lt;&gt;"",$O2977=1,$L2977="Débit",N($Q2977)&gt;0,$A2977&gt;=Visualisation!$B$1,$A2977&lt;Visualisation!$D$1),MAX($V$1:V2976)+1,"")</f>
        <v/>
      </c>
    </row>
    <row r="2978" spans="1:22" x14ac:dyDescent="0.25">
      <c r="A2978" s="9"/>
      <c r="E2978" s="10"/>
      <c r="K2978" s="11" t="str">
        <f>IF($E2978="","",ROUND($E2978*IF(ISNA(MATCH($C2978,'Paramètres'!$D:$D,0)),1,IF(INDEX('Paramètres'!$J:$J,MATCH($C2978,'Paramètres'!$D:$D,0))="",1,INDEX('Paramètres'!$J:$J,MATCH($C2978,'Paramètres'!$D:$D,0)))),2))</f>
        <v/>
      </c>
      <c r="L2978" s="6" t="str">
        <f>IF($D2978="","",IF($F2978&lt;&gt;"",$F2978,IF(ISNA(MATCH($D2978,'Paramètres'!$M:$M,0)),"⚠ Type inconnu",IFERROR(INDEX('Paramètres'!$P:$P,MATCH($D2978,'Paramètres'!$M:$M,0))&amp;"",""))))</f>
        <v/>
      </c>
      <c r="M2978" s="6" t="str">
        <f>IF($D2978="","",IF(ISNA(MATCH($D2978,'Paramètres'!$M:$M,0)),"⚠ Type inconnu",IF($L2978="Crédit","",IFERROR(INDEX('Paramètres'!$O:$O,MATCH($D2978,'Paramètres'!$M:$M,0))&amp;"",""))))</f>
        <v/>
      </c>
      <c r="N2978" s="6" t="str">
        <f>IF($D2978="","",IFERROR(INDEX('Paramètres'!$Q:$Q,MATCH($D2978,'Paramètres'!$M:$M,0))&amp;"",""))</f>
        <v/>
      </c>
      <c r="O2978" s="6" t="str">
        <f>IF($A2978="","",IF(OR($J2978&lt;&gt;"x",$A2978&lt;=FinReleve),1,0))</f>
        <v/>
      </c>
      <c r="P2978" s="6" t="str">
        <f>IF($D2978="","",IF(AND($L2978="Crédit",OR(IFERROR(INDEX('Paramètres'!$O:$O,MATCH($D2978,'Paramètres'!$M:$M,0))&amp;"","")&lt;&gt;"",ISNUMBER(SEARCH("remboursement",IFERROR(INDEX('Paramètres'!$N:$N,MATCH($D2978,'Paramètres'!$M:$M,0))&amp;"",""))))),1,0))</f>
        <v/>
      </c>
      <c r="Q2978" s="6" t="str">
        <f>IF($K2978="","",IF(ISNUMBER(SEARCH("transfert-interne",IFERROR(INDEX('Paramètres'!$N:$N,MATCH($D2978,'Paramètres'!$M:$M,0))&amp;"",""))),0,IF($L2978="Débit",$K2978,IF($P2978=1,-$K2978,0))))</f>
        <v/>
      </c>
      <c r="R2978" s="6" t="str">
        <f>IF($K2978="","",IF($L2978="Crédit",$K2978,-$K2978))</f>
        <v/>
      </c>
      <c r="S2978" s="6" t="str">
        <f>IF($C2978="","",IFERROR(INDEX('Paramètres'!$H:$H,MATCH($C2978,'Paramètres'!$D:$D,0))&amp;"",""))</f>
        <v/>
      </c>
      <c r="T2978" s="6" t="str">
        <f>IF($K2978="","",IF($S2978="",0,IF(ISNUMBER(SEARCH("apport-exterieur",IFERROR(INDEX('Paramètres'!$N:$N,MATCH($D2978,'Paramètres'!$M:$M,0))&amp;"",""))),0,IF(OR(IFERROR(INDEX('Paramètres'!$I:$I,MATCH($C2978,'Paramètres'!$D:$D,0))&amp;"","")="Les deux",IFERROR(INDEX('Paramètres'!$I:$I,MATCH($C2978,'Paramètres'!$D:$D,0))&amp;"","")=IF($P2978=1,"Débit",$L2978)),-IF($P2978=1,-$K2978,$K2978),0))))</f>
        <v/>
      </c>
      <c r="U2978" s="6" t="str">
        <f>IF($K2978="","",IF(ISNUMBER(SEARCH("sortie-epargne",IFERROR(INDEX('Paramètres'!$N:$N,MATCH($D2978,'Paramètres'!$M:$M,0))&amp;"",""))),$K2978,0))</f>
        <v/>
      </c>
      <c r="V2978" s="6" t="str">
        <f>IF(AND($A2978&lt;&gt;"",$O2978=1,$L2978="Débit",N($Q2978)&gt;0,$A2978&gt;=Visualisation!$B$1,$A2978&lt;Visualisation!$D$1),MAX($V$1:V2977)+1,"")</f>
        <v/>
      </c>
    </row>
    <row r="2979" spans="1:22" x14ac:dyDescent="0.25">
      <c r="A2979" s="9"/>
      <c r="E2979" s="10"/>
      <c r="K2979" s="11" t="str">
        <f>IF($E2979="","",ROUND($E2979*IF(ISNA(MATCH($C2979,'Paramètres'!$D:$D,0)),1,IF(INDEX('Paramètres'!$J:$J,MATCH($C2979,'Paramètres'!$D:$D,0))="",1,INDEX('Paramètres'!$J:$J,MATCH($C2979,'Paramètres'!$D:$D,0)))),2))</f>
        <v/>
      </c>
      <c r="L2979" s="6" t="str">
        <f>IF($D2979="","",IF($F2979&lt;&gt;"",$F2979,IF(ISNA(MATCH($D2979,'Paramètres'!$M:$M,0)),"⚠ Type inconnu",IFERROR(INDEX('Paramètres'!$P:$P,MATCH($D2979,'Paramètres'!$M:$M,0))&amp;"",""))))</f>
        <v/>
      </c>
      <c r="M2979" s="6" t="str">
        <f>IF($D2979="","",IF(ISNA(MATCH($D2979,'Paramètres'!$M:$M,0)),"⚠ Type inconnu",IF($L2979="Crédit","",IFERROR(INDEX('Paramètres'!$O:$O,MATCH($D2979,'Paramètres'!$M:$M,0))&amp;"",""))))</f>
        <v/>
      </c>
      <c r="N2979" s="6" t="str">
        <f>IF($D2979="","",IFERROR(INDEX('Paramètres'!$Q:$Q,MATCH($D2979,'Paramètres'!$M:$M,0))&amp;"",""))</f>
        <v/>
      </c>
      <c r="O2979" s="6" t="str">
        <f>IF($A2979="","",IF(OR($J2979&lt;&gt;"x",$A2979&lt;=FinReleve),1,0))</f>
        <v/>
      </c>
      <c r="P2979" s="6" t="str">
        <f>IF($D2979="","",IF(AND($L2979="Crédit",OR(IFERROR(INDEX('Paramètres'!$O:$O,MATCH($D2979,'Paramètres'!$M:$M,0))&amp;"","")&lt;&gt;"",ISNUMBER(SEARCH("remboursement",IFERROR(INDEX('Paramètres'!$N:$N,MATCH($D2979,'Paramètres'!$M:$M,0))&amp;"",""))))),1,0))</f>
        <v/>
      </c>
      <c r="Q2979" s="6" t="str">
        <f>IF($K2979="","",IF(ISNUMBER(SEARCH("transfert-interne",IFERROR(INDEX('Paramètres'!$N:$N,MATCH($D2979,'Paramètres'!$M:$M,0))&amp;"",""))),0,IF($L2979="Débit",$K2979,IF($P2979=1,-$K2979,0))))</f>
        <v/>
      </c>
      <c r="R2979" s="6" t="str">
        <f>IF($K2979="","",IF($L2979="Crédit",$K2979,-$K2979))</f>
        <v/>
      </c>
      <c r="S2979" s="6" t="str">
        <f>IF($C2979="","",IFERROR(INDEX('Paramètres'!$H:$H,MATCH($C2979,'Paramètres'!$D:$D,0))&amp;"",""))</f>
        <v/>
      </c>
      <c r="T2979" s="6" t="str">
        <f>IF($K2979="","",IF($S2979="",0,IF(ISNUMBER(SEARCH("apport-exterieur",IFERROR(INDEX('Paramètres'!$N:$N,MATCH($D2979,'Paramètres'!$M:$M,0))&amp;"",""))),0,IF(OR(IFERROR(INDEX('Paramètres'!$I:$I,MATCH($C2979,'Paramètres'!$D:$D,0))&amp;"","")="Les deux",IFERROR(INDEX('Paramètres'!$I:$I,MATCH($C2979,'Paramètres'!$D:$D,0))&amp;"","")=IF($P2979=1,"Débit",$L2979)),-IF($P2979=1,-$K2979,$K2979),0))))</f>
        <v/>
      </c>
      <c r="U2979" s="6" t="str">
        <f>IF($K2979="","",IF(ISNUMBER(SEARCH("sortie-epargne",IFERROR(INDEX('Paramètres'!$N:$N,MATCH($D2979,'Paramètres'!$M:$M,0))&amp;"",""))),$K2979,0))</f>
        <v/>
      </c>
      <c r="V2979" s="6" t="str">
        <f>IF(AND($A2979&lt;&gt;"",$O2979=1,$L2979="Débit",N($Q2979)&gt;0,$A2979&gt;=Visualisation!$B$1,$A2979&lt;Visualisation!$D$1),MAX($V$1:V2978)+1,"")</f>
        <v/>
      </c>
    </row>
    <row r="2980" spans="1:22" x14ac:dyDescent="0.25">
      <c r="A2980" s="9"/>
      <c r="E2980" s="10"/>
      <c r="K2980" s="11" t="str">
        <f>IF($E2980="","",ROUND($E2980*IF(ISNA(MATCH($C2980,'Paramètres'!$D:$D,0)),1,IF(INDEX('Paramètres'!$J:$J,MATCH($C2980,'Paramètres'!$D:$D,0))="",1,INDEX('Paramètres'!$J:$J,MATCH($C2980,'Paramètres'!$D:$D,0)))),2))</f>
        <v/>
      </c>
      <c r="L2980" s="6" t="str">
        <f>IF($D2980="","",IF($F2980&lt;&gt;"",$F2980,IF(ISNA(MATCH($D2980,'Paramètres'!$M:$M,0)),"⚠ Type inconnu",IFERROR(INDEX('Paramètres'!$P:$P,MATCH($D2980,'Paramètres'!$M:$M,0))&amp;"",""))))</f>
        <v/>
      </c>
      <c r="M2980" s="6" t="str">
        <f>IF($D2980="","",IF(ISNA(MATCH($D2980,'Paramètres'!$M:$M,0)),"⚠ Type inconnu",IF($L2980="Crédit","",IFERROR(INDEX('Paramètres'!$O:$O,MATCH($D2980,'Paramètres'!$M:$M,0))&amp;"",""))))</f>
        <v/>
      </c>
      <c r="N2980" s="6" t="str">
        <f>IF($D2980="","",IFERROR(INDEX('Paramètres'!$Q:$Q,MATCH($D2980,'Paramètres'!$M:$M,0))&amp;"",""))</f>
        <v/>
      </c>
      <c r="O2980" s="6" t="str">
        <f>IF($A2980="","",IF(OR($J2980&lt;&gt;"x",$A2980&lt;=FinReleve),1,0))</f>
        <v/>
      </c>
      <c r="P2980" s="6" t="str">
        <f>IF($D2980="","",IF(AND($L2980="Crédit",OR(IFERROR(INDEX('Paramètres'!$O:$O,MATCH($D2980,'Paramètres'!$M:$M,0))&amp;"","")&lt;&gt;"",ISNUMBER(SEARCH("remboursement",IFERROR(INDEX('Paramètres'!$N:$N,MATCH($D2980,'Paramètres'!$M:$M,0))&amp;"",""))))),1,0))</f>
        <v/>
      </c>
      <c r="Q2980" s="6" t="str">
        <f>IF($K2980="","",IF(ISNUMBER(SEARCH("transfert-interne",IFERROR(INDEX('Paramètres'!$N:$N,MATCH($D2980,'Paramètres'!$M:$M,0))&amp;"",""))),0,IF($L2980="Débit",$K2980,IF($P2980=1,-$K2980,0))))</f>
        <v/>
      </c>
      <c r="R2980" s="6" t="str">
        <f>IF($K2980="","",IF($L2980="Crédit",$K2980,-$K2980))</f>
        <v/>
      </c>
      <c r="S2980" s="6" t="str">
        <f>IF($C2980="","",IFERROR(INDEX('Paramètres'!$H:$H,MATCH($C2980,'Paramètres'!$D:$D,0))&amp;"",""))</f>
        <v/>
      </c>
      <c r="T2980" s="6" t="str">
        <f>IF($K2980="","",IF($S2980="",0,IF(ISNUMBER(SEARCH("apport-exterieur",IFERROR(INDEX('Paramètres'!$N:$N,MATCH($D2980,'Paramètres'!$M:$M,0))&amp;"",""))),0,IF(OR(IFERROR(INDEX('Paramètres'!$I:$I,MATCH($C2980,'Paramètres'!$D:$D,0))&amp;"","")="Les deux",IFERROR(INDEX('Paramètres'!$I:$I,MATCH($C2980,'Paramètres'!$D:$D,0))&amp;"","")=IF($P2980=1,"Débit",$L2980)),-IF($P2980=1,-$K2980,$K2980),0))))</f>
        <v/>
      </c>
      <c r="U2980" s="6" t="str">
        <f>IF($K2980="","",IF(ISNUMBER(SEARCH("sortie-epargne",IFERROR(INDEX('Paramètres'!$N:$N,MATCH($D2980,'Paramètres'!$M:$M,0))&amp;"",""))),$K2980,0))</f>
        <v/>
      </c>
      <c r="V2980" s="6" t="str">
        <f>IF(AND($A2980&lt;&gt;"",$O2980=1,$L2980="Débit",N($Q2980)&gt;0,$A2980&gt;=Visualisation!$B$1,$A2980&lt;Visualisation!$D$1),MAX($V$1:V2979)+1,"")</f>
        <v/>
      </c>
    </row>
    <row r="2981" spans="1:22" x14ac:dyDescent="0.25">
      <c r="A2981" s="9"/>
      <c r="E2981" s="10"/>
      <c r="K2981" s="11" t="str">
        <f>IF($E2981="","",ROUND($E2981*IF(ISNA(MATCH($C2981,'Paramètres'!$D:$D,0)),1,IF(INDEX('Paramètres'!$J:$J,MATCH($C2981,'Paramètres'!$D:$D,0))="",1,INDEX('Paramètres'!$J:$J,MATCH($C2981,'Paramètres'!$D:$D,0)))),2))</f>
        <v/>
      </c>
      <c r="L2981" s="6" t="str">
        <f>IF($D2981="","",IF($F2981&lt;&gt;"",$F2981,IF(ISNA(MATCH($D2981,'Paramètres'!$M:$M,0)),"⚠ Type inconnu",IFERROR(INDEX('Paramètres'!$P:$P,MATCH($D2981,'Paramètres'!$M:$M,0))&amp;"",""))))</f>
        <v/>
      </c>
      <c r="M2981" s="6" t="str">
        <f>IF($D2981="","",IF(ISNA(MATCH($D2981,'Paramètres'!$M:$M,0)),"⚠ Type inconnu",IF($L2981="Crédit","",IFERROR(INDEX('Paramètres'!$O:$O,MATCH($D2981,'Paramètres'!$M:$M,0))&amp;"",""))))</f>
        <v/>
      </c>
      <c r="N2981" s="6" t="str">
        <f>IF($D2981="","",IFERROR(INDEX('Paramètres'!$Q:$Q,MATCH($D2981,'Paramètres'!$M:$M,0))&amp;"",""))</f>
        <v/>
      </c>
      <c r="O2981" s="6" t="str">
        <f>IF($A2981="","",IF(OR($J2981&lt;&gt;"x",$A2981&lt;=FinReleve),1,0))</f>
        <v/>
      </c>
      <c r="P2981" s="6" t="str">
        <f>IF($D2981="","",IF(AND($L2981="Crédit",OR(IFERROR(INDEX('Paramètres'!$O:$O,MATCH($D2981,'Paramètres'!$M:$M,0))&amp;"","")&lt;&gt;"",ISNUMBER(SEARCH("remboursement",IFERROR(INDEX('Paramètres'!$N:$N,MATCH($D2981,'Paramètres'!$M:$M,0))&amp;"",""))))),1,0))</f>
        <v/>
      </c>
      <c r="Q2981" s="6" t="str">
        <f>IF($K2981="","",IF(ISNUMBER(SEARCH("transfert-interne",IFERROR(INDEX('Paramètres'!$N:$N,MATCH($D2981,'Paramètres'!$M:$M,0))&amp;"",""))),0,IF($L2981="Débit",$K2981,IF($P2981=1,-$K2981,0))))</f>
        <v/>
      </c>
      <c r="R2981" s="6" t="str">
        <f>IF($K2981="","",IF($L2981="Crédit",$K2981,-$K2981))</f>
        <v/>
      </c>
      <c r="S2981" s="6" t="str">
        <f>IF($C2981="","",IFERROR(INDEX('Paramètres'!$H:$H,MATCH($C2981,'Paramètres'!$D:$D,0))&amp;"",""))</f>
        <v/>
      </c>
      <c r="T2981" s="6" t="str">
        <f>IF($K2981="","",IF($S2981="",0,IF(ISNUMBER(SEARCH("apport-exterieur",IFERROR(INDEX('Paramètres'!$N:$N,MATCH($D2981,'Paramètres'!$M:$M,0))&amp;"",""))),0,IF(OR(IFERROR(INDEX('Paramètres'!$I:$I,MATCH($C2981,'Paramètres'!$D:$D,0))&amp;"","")="Les deux",IFERROR(INDEX('Paramètres'!$I:$I,MATCH($C2981,'Paramètres'!$D:$D,0))&amp;"","")=IF($P2981=1,"Débit",$L2981)),-IF($P2981=1,-$K2981,$K2981),0))))</f>
        <v/>
      </c>
      <c r="U2981" s="6" t="str">
        <f>IF($K2981="","",IF(ISNUMBER(SEARCH("sortie-epargne",IFERROR(INDEX('Paramètres'!$N:$N,MATCH($D2981,'Paramètres'!$M:$M,0))&amp;"",""))),$K2981,0))</f>
        <v/>
      </c>
      <c r="V2981" s="6" t="str">
        <f>IF(AND($A2981&lt;&gt;"",$O2981=1,$L2981="Débit",N($Q2981)&gt;0,$A2981&gt;=Visualisation!$B$1,$A2981&lt;Visualisation!$D$1),MAX($V$1:V2980)+1,"")</f>
        <v/>
      </c>
    </row>
    <row r="2982" spans="1:22" x14ac:dyDescent="0.25">
      <c r="A2982" s="9"/>
      <c r="E2982" s="10"/>
      <c r="K2982" s="11" t="str">
        <f>IF($E2982="","",ROUND($E2982*IF(ISNA(MATCH($C2982,'Paramètres'!$D:$D,0)),1,IF(INDEX('Paramètres'!$J:$J,MATCH($C2982,'Paramètres'!$D:$D,0))="",1,INDEX('Paramètres'!$J:$J,MATCH($C2982,'Paramètres'!$D:$D,0)))),2))</f>
        <v/>
      </c>
      <c r="L2982" s="6" t="str">
        <f>IF($D2982="","",IF($F2982&lt;&gt;"",$F2982,IF(ISNA(MATCH($D2982,'Paramètres'!$M:$M,0)),"⚠ Type inconnu",IFERROR(INDEX('Paramètres'!$P:$P,MATCH($D2982,'Paramètres'!$M:$M,0))&amp;"",""))))</f>
        <v/>
      </c>
      <c r="M2982" s="6" t="str">
        <f>IF($D2982="","",IF(ISNA(MATCH($D2982,'Paramètres'!$M:$M,0)),"⚠ Type inconnu",IF($L2982="Crédit","",IFERROR(INDEX('Paramètres'!$O:$O,MATCH($D2982,'Paramètres'!$M:$M,0))&amp;"",""))))</f>
        <v/>
      </c>
      <c r="N2982" s="6" t="str">
        <f>IF($D2982="","",IFERROR(INDEX('Paramètres'!$Q:$Q,MATCH($D2982,'Paramètres'!$M:$M,0))&amp;"",""))</f>
        <v/>
      </c>
      <c r="O2982" s="6" t="str">
        <f>IF($A2982="","",IF(OR($J2982&lt;&gt;"x",$A2982&lt;=FinReleve),1,0))</f>
        <v/>
      </c>
      <c r="P2982" s="6" t="str">
        <f>IF($D2982="","",IF(AND($L2982="Crédit",OR(IFERROR(INDEX('Paramètres'!$O:$O,MATCH($D2982,'Paramètres'!$M:$M,0))&amp;"","")&lt;&gt;"",ISNUMBER(SEARCH("remboursement",IFERROR(INDEX('Paramètres'!$N:$N,MATCH($D2982,'Paramètres'!$M:$M,0))&amp;"",""))))),1,0))</f>
        <v/>
      </c>
      <c r="Q2982" s="6" t="str">
        <f>IF($K2982="","",IF(ISNUMBER(SEARCH("transfert-interne",IFERROR(INDEX('Paramètres'!$N:$N,MATCH($D2982,'Paramètres'!$M:$M,0))&amp;"",""))),0,IF($L2982="Débit",$K2982,IF($P2982=1,-$K2982,0))))</f>
        <v/>
      </c>
      <c r="R2982" s="6" t="str">
        <f>IF($K2982="","",IF($L2982="Crédit",$K2982,-$K2982))</f>
        <v/>
      </c>
      <c r="S2982" s="6" t="str">
        <f>IF($C2982="","",IFERROR(INDEX('Paramètres'!$H:$H,MATCH($C2982,'Paramètres'!$D:$D,0))&amp;"",""))</f>
        <v/>
      </c>
      <c r="T2982" s="6" t="str">
        <f>IF($K2982="","",IF($S2982="",0,IF(ISNUMBER(SEARCH("apport-exterieur",IFERROR(INDEX('Paramètres'!$N:$N,MATCH($D2982,'Paramètres'!$M:$M,0))&amp;"",""))),0,IF(OR(IFERROR(INDEX('Paramètres'!$I:$I,MATCH($C2982,'Paramètres'!$D:$D,0))&amp;"","")="Les deux",IFERROR(INDEX('Paramètres'!$I:$I,MATCH($C2982,'Paramètres'!$D:$D,0))&amp;"","")=IF($P2982=1,"Débit",$L2982)),-IF($P2982=1,-$K2982,$K2982),0))))</f>
        <v/>
      </c>
      <c r="U2982" s="6" t="str">
        <f>IF($K2982="","",IF(ISNUMBER(SEARCH("sortie-epargne",IFERROR(INDEX('Paramètres'!$N:$N,MATCH($D2982,'Paramètres'!$M:$M,0))&amp;"",""))),$K2982,0))</f>
        <v/>
      </c>
      <c r="V2982" s="6" t="str">
        <f>IF(AND($A2982&lt;&gt;"",$O2982=1,$L2982="Débit",N($Q2982)&gt;0,$A2982&gt;=Visualisation!$B$1,$A2982&lt;Visualisation!$D$1),MAX($V$1:V2981)+1,"")</f>
        <v/>
      </c>
    </row>
    <row r="2983" spans="1:22" x14ac:dyDescent="0.25">
      <c r="A2983" s="9"/>
      <c r="E2983" s="10"/>
      <c r="K2983" s="11" t="str">
        <f>IF($E2983="","",ROUND($E2983*IF(ISNA(MATCH($C2983,'Paramètres'!$D:$D,0)),1,IF(INDEX('Paramètres'!$J:$J,MATCH($C2983,'Paramètres'!$D:$D,0))="",1,INDEX('Paramètres'!$J:$J,MATCH($C2983,'Paramètres'!$D:$D,0)))),2))</f>
        <v/>
      </c>
      <c r="L2983" s="6" t="str">
        <f>IF($D2983="","",IF($F2983&lt;&gt;"",$F2983,IF(ISNA(MATCH($D2983,'Paramètres'!$M:$M,0)),"⚠ Type inconnu",IFERROR(INDEX('Paramètres'!$P:$P,MATCH($D2983,'Paramètres'!$M:$M,0))&amp;"",""))))</f>
        <v/>
      </c>
      <c r="M2983" s="6" t="str">
        <f>IF($D2983="","",IF(ISNA(MATCH($D2983,'Paramètres'!$M:$M,0)),"⚠ Type inconnu",IF($L2983="Crédit","",IFERROR(INDEX('Paramètres'!$O:$O,MATCH($D2983,'Paramètres'!$M:$M,0))&amp;"",""))))</f>
        <v/>
      </c>
      <c r="N2983" s="6" t="str">
        <f>IF($D2983="","",IFERROR(INDEX('Paramètres'!$Q:$Q,MATCH($D2983,'Paramètres'!$M:$M,0))&amp;"",""))</f>
        <v/>
      </c>
      <c r="O2983" s="6" t="str">
        <f>IF($A2983="","",IF(OR($J2983&lt;&gt;"x",$A2983&lt;=FinReleve),1,0))</f>
        <v/>
      </c>
      <c r="P2983" s="6" t="str">
        <f>IF($D2983="","",IF(AND($L2983="Crédit",OR(IFERROR(INDEX('Paramètres'!$O:$O,MATCH($D2983,'Paramètres'!$M:$M,0))&amp;"","")&lt;&gt;"",ISNUMBER(SEARCH("remboursement",IFERROR(INDEX('Paramètres'!$N:$N,MATCH($D2983,'Paramètres'!$M:$M,0))&amp;"",""))))),1,0))</f>
        <v/>
      </c>
      <c r="Q2983" s="6" t="str">
        <f>IF($K2983="","",IF(ISNUMBER(SEARCH("transfert-interne",IFERROR(INDEX('Paramètres'!$N:$N,MATCH($D2983,'Paramètres'!$M:$M,0))&amp;"",""))),0,IF($L2983="Débit",$K2983,IF($P2983=1,-$K2983,0))))</f>
        <v/>
      </c>
      <c r="R2983" s="6" t="str">
        <f>IF($K2983="","",IF($L2983="Crédit",$K2983,-$K2983))</f>
        <v/>
      </c>
      <c r="S2983" s="6" t="str">
        <f>IF($C2983="","",IFERROR(INDEX('Paramètres'!$H:$H,MATCH($C2983,'Paramètres'!$D:$D,0))&amp;"",""))</f>
        <v/>
      </c>
      <c r="T2983" s="6" t="str">
        <f>IF($K2983="","",IF($S2983="",0,IF(ISNUMBER(SEARCH("apport-exterieur",IFERROR(INDEX('Paramètres'!$N:$N,MATCH($D2983,'Paramètres'!$M:$M,0))&amp;"",""))),0,IF(OR(IFERROR(INDEX('Paramètres'!$I:$I,MATCH($C2983,'Paramètres'!$D:$D,0))&amp;"","")="Les deux",IFERROR(INDEX('Paramètres'!$I:$I,MATCH($C2983,'Paramètres'!$D:$D,0))&amp;"","")=IF($P2983=1,"Débit",$L2983)),-IF($P2983=1,-$K2983,$K2983),0))))</f>
        <v/>
      </c>
      <c r="U2983" s="6" t="str">
        <f>IF($K2983="","",IF(ISNUMBER(SEARCH("sortie-epargne",IFERROR(INDEX('Paramètres'!$N:$N,MATCH($D2983,'Paramètres'!$M:$M,0))&amp;"",""))),$K2983,0))</f>
        <v/>
      </c>
      <c r="V2983" s="6" t="str">
        <f>IF(AND($A2983&lt;&gt;"",$O2983=1,$L2983="Débit",N($Q2983)&gt;0,$A2983&gt;=Visualisation!$B$1,$A2983&lt;Visualisation!$D$1),MAX($V$1:V2982)+1,"")</f>
        <v/>
      </c>
    </row>
    <row r="2984" spans="1:22" x14ac:dyDescent="0.25">
      <c r="A2984" s="9"/>
      <c r="E2984" s="10"/>
      <c r="K2984" s="11" t="str">
        <f>IF($E2984="","",ROUND($E2984*IF(ISNA(MATCH($C2984,'Paramètres'!$D:$D,0)),1,IF(INDEX('Paramètres'!$J:$J,MATCH($C2984,'Paramètres'!$D:$D,0))="",1,INDEX('Paramètres'!$J:$J,MATCH($C2984,'Paramètres'!$D:$D,0)))),2))</f>
        <v/>
      </c>
      <c r="L2984" s="6" t="str">
        <f>IF($D2984="","",IF($F2984&lt;&gt;"",$F2984,IF(ISNA(MATCH($D2984,'Paramètres'!$M:$M,0)),"⚠ Type inconnu",IFERROR(INDEX('Paramètres'!$P:$P,MATCH($D2984,'Paramètres'!$M:$M,0))&amp;"",""))))</f>
        <v/>
      </c>
      <c r="M2984" s="6" t="str">
        <f>IF($D2984="","",IF(ISNA(MATCH($D2984,'Paramètres'!$M:$M,0)),"⚠ Type inconnu",IF($L2984="Crédit","",IFERROR(INDEX('Paramètres'!$O:$O,MATCH($D2984,'Paramètres'!$M:$M,0))&amp;"",""))))</f>
        <v/>
      </c>
      <c r="N2984" s="6" t="str">
        <f>IF($D2984="","",IFERROR(INDEX('Paramètres'!$Q:$Q,MATCH($D2984,'Paramètres'!$M:$M,0))&amp;"",""))</f>
        <v/>
      </c>
      <c r="O2984" s="6" t="str">
        <f>IF($A2984="","",IF(OR($J2984&lt;&gt;"x",$A2984&lt;=FinReleve),1,0))</f>
        <v/>
      </c>
      <c r="P2984" s="6" t="str">
        <f>IF($D2984="","",IF(AND($L2984="Crédit",OR(IFERROR(INDEX('Paramètres'!$O:$O,MATCH($D2984,'Paramètres'!$M:$M,0))&amp;"","")&lt;&gt;"",ISNUMBER(SEARCH("remboursement",IFERROR(INDEX('Paramètres'!$N:$N,MATCH($D2984,'Paramètres'!$M:$M,0))&amp;"",""))))),1,0))</f>
        <v/>
      </c>
      <c r="Q2984" s="6" t="str">
        <f>IF($K2984="","",IF(ISNUMBER(SEARCH("transfert-interne",IFERROR(INDEX('Paramètres'!$N:$N,MATCH($D2984,'Paramètres'!$M:$M,0))&amp;"",""))),0,IF($L2984="Débit",$K2984,IF($P2984=1,-$K2984,0))))</f>
        <v/>
      </c>
      <c r="R2984" s="6" t="str">
        <f>IF($K2984="","",IF($L2984="Crédit",$K2984,-$K2984))</f>
        <v/>
      </c>
      <c r="S2984" s="6" t="str">
        <f>IF($C2984="","",IFERROR(INDEX('Paramètres'!$H:$H,MATCH($C2984,'Paramètres'!$D:$D,0))&amp;"",""))</f>
        <v/>
      </c>
      <c r="T2984" s="6" t="str">
        <f>IF($K2984="","",IF($S2984="",0,IF(ISNUMBER(SEARCH("apport-exterieur",IFERROR(INDEX('Paramètres'!$N:$N,MATCH($D2984,'Paramètres'!$M:$M,0))&amp;"",""))),0,IF(OR(IFERROR(INDEX('Paramètres'!$I:$I,MATCH($C2984,'Paramètres'!$D:$D,0))&amp;"","")="Les deux",IFERROR(INDEX('Paramètres'!$I:$I,MATCH($C2984,'Paramètres'!$D:$D,0))&amp;"","")=IF($P2984=1,"Débit",$L2984)),-IF($P2984=1,-$K2984,$K2984),0))))</f>
        <v/>
      </c>
      <c r="U2984" s="6" t="str">
        <f>IF($K2984="","",IF(ISNUMBER(SEARCH("sortie-epargne",IFERROR(INDEX('Paramètres'!$N:$N,MATCH($D2984,'Paramètres'!$M:$M,0))&amp;"",""))),$K2984,0))</f>
        <v/>
      </c>
      <c r="V2984" s="6" t="str">
        <f>IF(AND($A2984&lt;&gt;"",$O2984=1,$L2984="Débit",N($Q2984)&gt;0,$A2984&gt;=Visualisation!$B$1,$A2984&lt;Visualisation!$D$1),MAX($V$1:V2983)+1,"")</f>
        <v/>
      </c>
    </row>
    <row r="2985" spans="1:22" x14ac:dyDescent="0.25">
      <c r="A2985" s="9"/>
      <c r="E2985" s="10"/>
      <c r="K2985" s="11" t="str">
        <f>IF($E2985="","",ROUND($E2985*IF(ISNA(MATCH($C2985,'Paramètres'!$D:$D,0)),1,IF(INDEX('Paramètres'!$J:$J,MATCH($C2985,'Paramètres'!$D:$D,0))="",1,INDEX('Paramètres'!$J:$J,MATCH($C2985,'Paramètres'!$D:$D,0)))),2))</f>
        <v/>
      </c>
      <c r="L2985" s="6" t="str">
        <f>IF($D2985="","",IF($F2985&lt;&gt;"",$F2985,IF(ISNA(MATCH($D2985,'Paramètres'!$M:$M,0)),"⚠ Type inconnu",IFERROR(INDEX('Paramètres'!$P:$P,MATCH($D2985,'Paramètres'!$M:$M,0))&amp;"",""))))</f>
        <v/>
      </c>
      <c r="M2985" s="6" t="str">
        <f>IF($D2985="","",IF(ISNA(MATCH($D2985,'Paramètres'!$M:$M,0)),"⚠ Type inconnu",IF($L2985="Crédit","",IFERROR(INDEX('Paramètres'!$O:$O,MATCH($D2985,'Paramètres'!$M:$M,0))&amp;"",""))))</f>
        <v/>
      </c>
      <c r="N2985" s="6" t="str">
        <f>IF($D2985="","",IFERROR(INDEX('Paramètres'!$Q:$Q,MATCH($D2985,'Paramètres'!$M:$M,0))&amp;"",""))</f>
        <v/>
      </c>
      <c r="O2985" s="6" t="str">
        <f>IF($A2985="","",IF(OR($J2985&lt;&gt;"x",$A2985&lt;=FinReleve),1,0))</f>
        <v/>
      </c>
      <c r="P2985" s="6" t="str">
        <f>IF($D2985="","",IF(AND($L2985="Crédit",OR(IFERROR(INDEX('Paramètres'!$O:$O,MATCH($D2985,'Paramètres'!$M:$M,0))&amp;"","")&lt;&gt;"",ISNUMBER(SEARCH("remboursement",IFERROR(INDEX('Paramètres'!$N:$N,MATCH($D2985,'Paramètres'!$M:$M,0))&amp;"",""))))),1,0))</f>
        <v/>
      </c>
      <c r="Q2985" s="6" t="str">
        <f>IF($K2985="","",IF(ISNUMBER(SEARCH("transfert-interne",IFERROR(INDEX('Paramètres'!$N:$N,MATCH($D2985,'Paramètres'!$M:$M,0))&amp;"",""))),0,IF($L2985="Débit",$K2985,IF($P2985=1,-$K2985,0))))</f>
        <v/>
      </c>
      <c r="R2985" s="6" t="str">
        <f>IF($K2985="","",IF($L2985="Crédit",$K2985,-$K2985))</f>
        <v/>
      </c>
      <c r="S2985" s="6" t="str">
        <f>IF($C2985="","",IFERROR(INDEX('Paramètres'!$H:$H,MATCH($C2985,'Paramètres'!$D:$D,0))&amp;"",""))</f>
        <v/>
      </c>
      <c r="T2985" s="6" t="str">
        <f>IF($K2985="","",IF($S2985="",0,IF(ISNUMBER(SEARCH("apport-exterieur",IFERROR(INDEX('Paramètres'!$N:$N,MATCH($D2985,'Paramètres'!$M:$M,0))&amp;"",""))),0,IF(OR(IFERROR(INDEX('Paramètres'!$I:$I,MATCH($C2985,'Paramètres'!$D:$D,0))&amp;"","")="Les deux",IFERROR(INDEX('Paramètres'!$I:$I,MATCH($C2985,'Paramètres'!$D:$D,0))&amp;"","")=IF($P2985=1,"Débit",$L2985)),-IF($P2985=1,-$K2985,$K2985),0))))</f>
        <v/>
      </c>
      <c r="U2985" s="6" t="str">
        <f>IF($K2985="","",IF(ISNUMBER(SEARCH("sortie-epargne",IFERROR(INDEX('Paramètres'!$N:$N,MATCH($D2985,'Paramètres'!$M:$M,0))&amp;"",""))),$K2985,0))</f>
        <v/>
      </c>
      <c r="V2985" s="6" t="str">
        <f>IF(AND($A2985&lt;&gt;"",$O2985=1,$L2985="Débit",N($Q2985)&gt;0,$A2985&gt;=Visualisation!$B$1,$A2985&lt;Visualisation!$D$1),MAX($V$1:V2984)+1,"")</f>
        <v/>
      </c>
    </row>
    <row r="2986" spans="1:22" x14ac:dyDescent="0.25">
      <c r="A2986" s="9"/>
      <c r="E2986" s="10"/>
      <c r="K2986" s="11" t="str">
        <f>IF($E2986="","",ROUND($E2986*IF(ISNA(MATCH($C2986,'Paramètres'!$D:$D,0)),1,IF(INDEX('Paramètres'!$J:$J,MATCH($C2986,'Paramètres'!$D:$D,0))="",1,INDEX('Paramètres'!$J:$J,MATCH($C2986,'Paramètres'!$D:$D,0)))),2))</f>
        <v/>
      </c>
      <c r="L2986" s="6" t="str">
        <f>IF($D2986="","",IF($F2986&lt;&gt;"",$F2986,IF(ISNA(MATCH($D2986,'Paramètres'!$M:$M,0)),"⚠ Type inconnu",IFERROR(INDEX('Paramètres'!$P:$P,MATCH($D2986,'Paramètres'!$M:$M,0))&amp;"",""))))</f>
        <v/>
      </c>
      <c r="M2986" s="6" t="str">
        <f>IF($D2986="","",IF(ISNA(MATCH($D2986,'Paramètres'!$M:$M,0)),"⚠ Type inconnu",IF($L2986="Crédit","",IFERROR(INDEX('Paramètres'!$O:$O,MATCH($D2986,'Paramètres'!$M:$M,0))&amp;"",""))))</f>
        <v/>
      </c>
      <c r="N2986" s="6" t="str">
        <f>IF($D2986="","",IFERROR(INDEX('Paramètres'!$Q:$Q,MATCH($D2986,'Paramètres'!$M:$M,0))&amp;"",""))</f>
        <v/>
      </c>
      <c r="O2986" s="6" t="str">
        <f>IF($A2986="","",IF(OR($J2986&lt;&gt;"x",$A2986&lt;=FinReleve),1,0))</f>
        <v/>
      </c>
      <c r="P2986" s="6" t="str">
        <f>IF($D2986="","",IF(AND($L2986="Crédit",OR(IFERROR(INDEX('Paramètres'!$O:$O,MATCH($D2986,'Paramètres'!$M:$M,0))&amp;"","")&lt;&gt;"",ISNUMBER(SEARCH("remboursement",IFERROR(INDEX('Paramètres'!$N:$N,MATCH($D2986,'Paramètres'!$M:$M,0))&amp;"",""))))),1,0))</f>
        <v/>
      </c>
      <c r="Q2986" s="6" t="str">
        <f>IF($K2986="","",IF(ISNUMBER(SEARCH("transfert-interne",IFERROR(INDEX('Paramètres'!$N:$N,MATCH($D2986,'Paramètres'!$M:$M,0))&amp;"",""))),0,IF($L2986="Débit",$K2986,IF($P2986=1,-$K2986,0))))</f>
        <v/>
      </c>
      <c r="R2986" s="6" t="str">
        <f>IF($K2986="","",IF($L2986="Crédit",$K2986,-$K2986))</f>
        <v/>
      </c>
      <c r="S2986" s="6" t="str">
        <f>IF($C2986="","",IFERROR(INDEX('Paramètres'!$H:$H,MATCH($C2986,'Paramètres'!$D:$D,0))&amp;"",""))</f>
        <v/>
      </c>
      <c r="T2986" s="6" t="str">
        <f>IF($K2986="","",IF($S2986="",0,IF(ISNUMBER(SEARCH("apport-exterieur",IFERROR(INDEX('Paramètres'!$N:$N,MATCH($D2986,'Paramètres'!$M:$M,0))&amp;"",""))),0,IF(OR(IFERROR(INDEX('Paramètres'!$I:$I,MATCH($C2986,'Paramètres'!$D:$D,0))&amp;"","")="Les deux",IFERROR(INDEX('Paramètres'!$I:$I,MATCH($C2986,'Paramètres'!$D:$D,0))&amp;"","")=IF($P2986=1,"Débit",$L2986)),-IF($P2986=1,-$K2986,$K2986),0))))</f>
        <v/>
      </c>
      <c r="U2986" s="6" t="str">
        <f>IF($K2986="","",IF(ISNUMBER(SEARCH("sortie-epargne",IFERROR(INDEX('Paramètres'!$N:$N,MATCH($D2986,'Paramètres'!$M:$M,0))&amp;"",""))),$K2986,0))</f>
        <v/>
      </c>
      <c r="V2986" s="6" t="str">
        <f>IF(AND($A2986&lt;&gt;"",$O2986=1,$L2986="Débit",N($Q2986)&gt;0,$A2986&gt;=Visualisation!$B$1,$A2986&lt;Visualisation!$D$1),MAX($V$1:V2985)+1,"")</f>
        <v/>
      </c>
    </row>
    <row r="2987" spans="1:22" x14ac:dyDescent="0.25">
      <c r="A2987" s="9"/>
      <c r="E2987" s="10"/>
      <c r="K2987" s="11" t="str">
        <f>IF($E2987="","",ROUND($E2987*IF(ISNA(MATCH($C2987,'Paramètres'!$D:$D,0)),1,IF(INDEX('Paramètres'!$J:$J,MATCH($C2987,'Paramètres'!$D:$D,0))="",1,INDEX('Paramètres'!$J:$J,MATCH($C2987,'Paramètres'!$D:$D,0)))),2))</f>
        <v/>
      </c>
      <c r="L2987" s="6" t="str">
        <f>IF($D2987="","",IF($F2987&lt;&gt;"",$F2987,IF(ISNA(MATCH($D2987,'Paramètres'!$M:$M,0)),"⚠ Type inconnu",IFERROR(INDEX('Paramètres'!$P:$P,MATCH($D2987,'Paramètres'!$M:$M,0))&amp;"",""))))</f>
        <v/>
      </c>
      <c r="M2987" s="6" t="str">
        <f>IF($D2987="","",IF(ISNA(MATCH($D2987,'Paramètres'!$M:$M,0)),"⚠ Type inconnu",IF($L2987="Crédit","",IFERROR(INDEX('Paramètres'!$O:$O,MATCH($D2987,'Paramètres'!$M:$M,0))&amp;"",""))))</f>
        <v/>
      </c>
      <c r="N2987" s="6" t="str">
        <f>IF($D2987="","",IFERROR(INDEX('Paramètres'!$Q:$Q,MATCH($D2987,'Paramètres'!$M:$M,0))&amp;"",""))</f>
        <v/>
      </c>
      <c r="O2987" s="6" t="str">
        <f>IF($A2987="","",IF(OR($J2987&lt;&gt;"x",$A2987&lt;=FinReleve),1,0))</f>
        <v/>
      </c>
      <c r="P2987" s="6" t="str">
        <f>IF($D2987="","",IF(AND($L2987="Crédit",OR(IFERROR(INDEX('Paramètres'!$O:$O,MATCH($D2987,'Paramètres'!$M:$M,0))&amp;"","")&lt;&gt;"",ISNUMBER(SEARCH("remboursement",IFERROR(INDEX('Paramètres'!$N:$N,MATCH($D2987,'Paramètres'!$M:$M,0))&amp;"",""))))),1,0))</f>
        <v/>
      </c>
      <c r="Q2987" s="6" t="str">
        <f>IF($K2987="","",IF(ISNUMBER(SEARCH("transfert-interne",IFERROR(INDEX('Paramètres'!$N:$N,MATCH($D2987,'Paramètres'!$M:$M,0))&amp;"",""))),0,IF($L2987="Débit",$K2987,IF($P2987=1,-$K2987,0))))</f>
        <v/>
      </c>
      <c r="R2987" s="6" t="str">
        <f>IF($K2987="","",IF($L2987="Crédit",$K2987,-$K2987))</f>
        <v/>
      </c>
      <c r="S2987" s="6" t="str">
        <f>IF($C2987="","",IFERROR(INDEX('Paramètres'!$H:$H,MATCH($C2987,'Paramètres'!$D:$D,0))&amp;"",""))</f>
        <v/>
      </c>
      <c r="T2987" s="6" t="str">
        <f>IF($K2987="","",IF($S2987="",0,IF(ISNUMBER(SEARCH("apport-exterieur",IFERROR(INDEX('Paramètres'!$N:$N,MATCH($D2987,'Paramètres'!$M:$M,0))&amp;"",""))),0,IF(OR(IFERROR(INDEX('Paramètres'!$I:$I,MATCH($C2987,'Paramètres'!$D:$D,0))&amp;"","")="Les deux",IFERROR(INDEX('Paramètres'!$I:$I,MATCH($C2987,'Paramètres'!$D:$D,0))&amp;"","")=IF($P2987=1,"Débit",$L2987)),-IF($P2987=1,-$K2987,$K2987),0))))</f>
        <v/>
      </c>
      <c r="U2987" s="6" t="str">
        <f>IF($K2987="","",IF(ISNUMBER(SEARCH("sortie-epargne",IFERROR(INDEX('Paramètres'!$N:$N,MATCH($D2987,'Paramètres'!$M:$M,0))&amp;"",""))),$K2987,0))</f>
        <v/>
      </c>
      <c r="V2987" s="6" t="str">
        <f>IF(AND($A2987&lt;&gt;"",$O2987=1,$L2987="Débit",N($Q2987)&gt;0,$A2987&gt;=Visualisation!$B$1,$A2987&lt;Visualisation!$D$1),MAX($V$1:V2986)+1,"")</f>
        <v/>
      </c>
    </row>
    <row r="2988" spans="1:22" x14ac:dyDescent="0.25">
      <c r="A2988" s="9"/>
      <c r="E2988" s="10"/>
      <c r="K2988" s="11" t="str">
        <f>IF($E2988="","",ROUND($E2988*IF(ISNA(MATCH($C2988,'Paramètres'!$D:$D,0)),1,IF(INDEX('Paramètres'!$J:$J,MATCH($C2988,'Paramètres'!$D:$D,0))="",1,INDEX('Paramètres'!$J:$J,MATCH($C2988,'Paramètres'!$D:$D,0)))),2))</f>
        <v/>
      </c>
      <c r="L2988" s="6" t="str">
        <f>IF($D2988="","",IF($F2988&lt;&gt;"",$F2988,IF(ISNA(MATCH($D2988,'Paramètres'!$M:$M,0)),"⚠ Type inconnu",IFERROR(INDEX('Paramètres'!$P:$P,MATCH($D2988,'Paramètres'!$M:$M,0))&amp;"",""))))</f>
        <v/>
      </c>
      <c r="M2988" s="6" t="str">
        <f>IF($D2988="","",IF(ISNA(MATCH($D2988,'Paramètres'!$M:$M,0)),"⚠ Type inconnu",IF($L2988="Crédit","",IFERROR(INDEX('Paramètres'!$O:$O,MATCH($D2988,'Paramètres'!$M:$M,0))&amp;"",""))))</f>
        <v/>
      </c>
      <c r="N2988" s="6" t="str">
        <f>IF($D2988="","",IFERROR(INDEX('Paramètres'!$Q:$Q,MATCH($D2988,'Paramètres'!$M:$M,0))&amp;"",""))</f>
        <v/>
      </c>
      <c r="O2988" s="6" t="str">
        <f>IF($A2988="","",IF(OR($J2988&lt;&gt;"x",$A2988&lt;=FinReleve),1,0))</f>
        <v/>
      </c>
      <c r="P2988" s="6" t="str">
        <f>IF($D2988="","",IF(AND($L2988="Crédit",OR(IFERROR(INDEX('Paramètres'!$O:$O,MATCH($D2988,'Paramètres'!$M:$M,0))&amp;"","")&lt;&gt;"",ISNUMBER(SEARCH("remboursement",IFERROR(INDEX('Paramètres'!$N:$N,MATCH($D2988,'Paramètres'!$M:$M,0))&amp;"",""))))),1,0))</f>
        <v/>
      </c>
      <c r="Q2988" s="6" t="str">
        <f>IF($K2988="","",IF(ISNUMBER(SEARCH("transfert-interne",IFERROR(INDEX('Paramètres'!$N:$N,MATCH($D2988,'Paramètres'!$M:$M,0))&amp;"",""))),0,IF($L2988="Débit",$K2988,IF($P2988=1,-$K2988,0))))</f>
        <v/>
      </c>
      <c r="R2988" s="6" t="str">
        <f>IF($K2988="","",IF($L2988="Crédit",$K2988,-$K2988))</f>
        <v/>
      </c>
      <c r="S2988" s="6" t="str">
        <f>IF($C2988="","",IFERROR(INDEX('Paramètres'!$H:$H,MATCH($C2988,'Paramètres'!$D:$D,0))&amp;"",""))</f>
        <v/>
      </c>
      <c r="T2988" s="6" t="str">
        <f>IF($K2988="","",IF($S2988="",0,IF(ISNUMBER(SEARCH("apport-exterieur",IFERROR(INDEX('Paramètres'!$N:$N,MATCH($D2988,'Paramètres'!$M:$M,0))&amp;"",""))),0,IF(OR(IFERROR(INDEX('Paramètres'!$I:$I,MATCH($C2988,'Paramètres'!$D:$D,0))&amp;"","")="Les deux",IFERROR(INDEX('Paramètres'!$I:$I,MATCH($C2988,'Paramètres'!$D:$D,0))&amp;"","")=IF($P2988=1,"Débit",$L2988)),-IF($P2988=1,-$K2988,$K2988),0))))</f>
        <v/>
      </c>
      <c r="U2988" s="6" t="str">
        <f>IF($K2988="","",IF(ISNUMBER(SEARCH("sortie-epargne",IFERROR(INDEX('Paramètres'!$N:$N,MATCH($D2988,'Paramètres'!$M:$M,0))&amp;"",""))),$K2988,0))</f>
        <v/>
      </c>
      <c r="V2988" s="6" t="str">
        <f>IF(AND($A2988&lt;&gt;"",$O2988=1,$L2988="Débit",N($Q2988)&gt;0,$A2988&gt;=Visualisation!$B$1,$A2988&lt;Visualisation!$D$1),MAX($V$1:V2987)+1,"")</f>
        <v/>
      </c>
    </row>
    <row r="2989" spans="1:22" x14ac:dyDescent="0.25">
      <c r="A2989" s="9"/>
      <c r="E2989" s="10"/>
      <c r="K2989" s="11" t="str">
        <f>IF($E2989="","",ROUND($E2989*IF(ISNA(MATCH($C2989,'Paramètres'!$D:$D,0)),1,IF(INDEX('Paramètres'!$J:$J,MATCH($C2989,'Paramètres'!$D:$D,0))="",1,INDEX('Paramètres'!$J:$J,MATCH($C2989,'Paramètres'!$D:$D,0)))),2))</f>
        <v/>
      </c>
      <c r="L2989" s="6" t="str">
        <f>IF($D2989="","",IF($F2989&lt;&gt;"",$F2989,IF(ISNA(MATCH($D2989,'Paramètres'!$M:$M,0)),"⚠ Type inconnu",IFERROR(INDEX('Paramètres'!$P:$P,MATCH($D2989,'Paramètres'!$M:$M,0))&amp;"",""))))</f>
        <v/>
      </c>
      <c r="M2989" s="6" t="str">
        <f>IF($D2989="","",IF(ISNA(MATCH($D2989,'Paramètres'!$M:$M,0)),"⚠ Type inconnu",IF($L2989="Crédit","",IFERROR(INDEX('Paramètres'!$O:$O,MATCH($D2989,'Paramètres'!$M:$M,0))&amp;"",""))))</f>
        <v/>
      </c>
      <c r="N2989" s="6" t="str">
        <f>IF($D2989="","",IFERROR(INDEX('Paramètres'!$Q:$Q,MATCH($D2989,'Paramètres'!$M:$M,0))&amp;"",""))</f>
        <v/>
      </c>
      <c r="O2989" s="6" t="str">
        <f>IF($A2989="","",IF(OR($J2989&lt;&gt;"x",$A2989&lt;=FinReleve),1,0))</f>
        <v/>
      </c>
      <c r="P2989" s="6" t="str">
        <f>IF($D2989="","",IF(AND($L2989="Crédit",OR(IFERROR(INDEX('Paramètres'!$O:$O,MATCH($D2989,'Paramètres'!$M:$M,0))&amp;"","")&lt;&gt;"",ISNUMBER(SEARCH("remboursement",IFERROR(INDEX('Paramètres'!$N:$N,MATCH($D2989,'Paramètres'!$M:$M,0))&amp;"",""))))),1,0))</f>
        <v/>
      </c>
      <c r="Q2989" s="6" t="str">
        <f>IF($K2989="","",IF(ISNUMBER(SEARCH("transfert-interne",IFERROR(INDEX('Paramètres'!$N:$N,MATCH($D2989,'Paramètres'!$M:$M,0))&amp;"",""))),0,IF($L2989="Débit",$K2989,IF($P2989=1,-$K2989,0))))</f>
        <v/>
      </c>
      <c r="R2989" s="6" t="str">
        <f>IF($K2989="","",IF($L2989="Crédit",$K2989,-$K2989))</f>
        <v/>
      </c>
      <c r="S2989" s="6" t="str">
        <f>IF($C2989="","",IFERROR(INDEX('Paramètres'!$H:$H,MATCH($C2989,'Paramètres'!$D:$D,0))&amp;"",""))</f>
        <v/>
      </c>
      <c r="T2989" s="6" t="str">
        <f>IF($K2989="","",IF($S2989="",0,IF(ISNUMBER(SEARCH("apport-exterieur",IFERROR(INDEX('Paramètres'!$N:$N,MATCH($D2989,'Paramètres'!$M:$M,0))&amp;"",""))),0,IF(OR(IFERROR(INDEX('Paramètres'!$I:$I,MATCH($C2989,'Paramètres'!$D:$D,0))&amp;"","")="Les deux",IFERROR(INDEX('Paramètres'!$I:$I,MATCH($C2989,'Paramètres'!$D:$D,0))&amp;"","")=IF($P2989=1,"Débit",$L2989)),-IF($P2989=1,-$K2989,$K2989),0))))</f>
        <v/>
      </c>
      <c r="U2989" s="6" t="str">
        <f>IF($K2989="","",IF(ISNUMBER(SEARCH("sortie-epargne",IFERROR(INDEX('Paramètres'!$N:$N,MATCH($D2989,'Paramètres'!$M:$M,0))&amp;"",""))),$K2989,0))</f>
        <v/>
      </c>
      <c r="V2989" s="6" t="str">
        <f>IF(AND($A2989&lt;&gt;"",$O2989=1,$L2989="Débit",N($Q2989)&gt;0,$A2989&gt;=Visualisation!$B$1,$A2989&lt;Visualisation!$D$1),MAX($V$1:V2988)+1,"")</f>
        <v/>
      </c>
    </row>
    <row r="2990" spans="1:22" x14ac:dyDescent="0.25">
      <c r="A2990" s="9"/>
      <c r="E2990" s="10"/>
      <c r="K2990" s="11" t="str">
        <f>IF($E2990="","",ROUND($E2990*IF(ISNA(MATCH($C2990,'Paramètres'!$D:$D,0)),1,IF(INDEX('Paramètres'!$J:$J,MATCH($C2990,'Paramètres'!$D:$D,0))="",1,INDEX('Paramètres'!$J:$J,MATCH($C2990,'Paramètres'!$D:$D,0)))),2))</f>
        <v/>
      </c>
      <c r="L2990" s="6" t="str">
        <f>IF($D2990="","",IF($F2990&lt;&gt;"",$F2990,IF(ISNA(MATCH($D2990,'Paramètres'!$M:$M,0)),"⚠ Type inconnu",IFERROR(INDEX('Paramètres'!$P:$P,MATCH($D2990,'Paramètres'!$M:$M,0))&amp;"",""))))</f>
        <v/>
      </c>
      <c r="M2990" s="6" t="str">
        <f>IF($D2990="","",IF(ISNA(MATCH($D2990,'Paramètres'!$M:$M,0)),"⚠ Type inconnu",IF($L2990="Crédit","",IFERROR(INDEX('Paramètres'!$O:$O,MATCH($D2990,'Paramètres'!$M:$M,0))&amp;"",""))))</f>
        <v/>
      </c>
      <c r="N2990" s="6" t="str">
        <f>IF($D2990="","",IFERROR(INDEX('Paramètres'!$Q:$Q,MATCH($D2990,'Paramètres'!$M:$M,0))&amp;"",""))</f>
        <v/>
      </c>
      <c r="O2990" s="6" t="str">
        <f>IF($A2990="","",IF(OR($J2990&lt;&gt;"x",$A2990&lt;=FinReleve),1,0))</f>
        <v/>
      </c>
      <c r="P2990" s="6" t="str">
        <f>IF($D2990="","",IF(AND($L2990="Crédit",OR(IFERROR(INDEX('Paramètres'!$O:$O,MATCH($D2990,'Paramètres'!$M:$M,0))&amp;"","")&lt;&gt;"",ISNUMBER(SEARCH("remboursement",IFERROR(INDEX('Paramètres'!$N:$N,MATCH($D2990,'Paramètres'!$M:$M,0))&amp;"",""))))),1,0))</f>
        <v/>
      </c>
      <c r="Q2990" s="6" t="str">
        <f>IF($K2990="","",IF(ISNUMBER(SEARCH("transfert-interne",IFERROR(INDEX('Paramètres'!$N:$N,MATCH($D2990,'Paramètres'!$M:$M,0))&amp;"",""))),0,IF($L2990="Débit",$K2990,IF($P2990=1,-$K2990,0))))</f>
        <v/>
      </c>
      <c r="R2990" s="6" t="str">
        <f>IF($K2990="","",IF($L2990="Crédit",$K2990,-$K2990))</f>
        <v/>
      </c>
      <c r="S2990" s="6" t="str">
        <f>IF($C2990="","",IFERROR(INDEX('Paramètres'!$H:$H,MATCH($C2990,'Paramètres'!$D:$D,0))&amp;"",""))</f>
        <v/>
      </c>
      <c r="T2990" s="6" t="str">
        <f>IF($K2990="","",IF($S2990="",0,IF(ISNUMBER(SEARCH("apport-exterieur",IFERROR(INDEX('Paramètres'!$N:$N,MATCH($D2990,'Paramètres'!$M:$M,0))&amp;"",""))),0,IF(OR(IFERROR(INDEX('Paramètres'!$I:$I,MATCH($C2990,'Paramètres'!$D:$D,0))&amp;"","")="Les deux",IFERROR(INDEX('Paramètres'!$I:$I,MATCH($C2990,'Paramètres'!$D:$D,0))&amp;"","")=IF($P2990=1,"Débit",$L2990)),-IF($P2990=1,-$K2990,$K2990),0))))</f>
        <v/>
      </c>
      <c r="U2990" s="6" t="str">
        <f>IF($K2990="","",IF(ISNUMBER(SEARCH("sortie-epargne",IFERROR(INDEX('Paramètres'!$N:$N,MATCH($D2990,'Paramètres'!$M:$M,0))&amp;"",""))),$K2990,0))</f>
        <v/>
      </c>
      <c r="V2990" s="6" t="str">
        <f>IF(AND($A2990&lt;&gt;"",$O2990=1,$L2990="Débit",N($Q2990)&gt;0,$A2990&gt;=Visualisation!$B$1,$A2990&lt;Visualisation!$D$1),MAX($V$1:V2989)+1,"")</f>
        <v/>
      </c>
    </row>
    <row r="2991" spans="1:22" x14ac:dyDescent="0.25">
      <c r="A2991" s="9"/>
      <c r="E2991" s="10"/>
      <c r="K2991" s="11" t="str">
        <f>IF($E2991="","",ROUND($E2991*IF(ISNA(MATCH($C2991,'Paramètres'!$D:$D,0)),1,IF(INDEX('Paramètres'!$J:$J,MATCH($C2991,'Paramètres'!$D:$D,0))="",1,INDEX('Paramètres'!$J:$J,MATCH($C2991,'Paramètres'!$D:$D,0)))),2))</f>
        <v/>
      </c>
      <c r="L2991" s="6" t="str">
        <f>IF($D2991="","",IF($F2991&lt;&gt;"",$F2991,IF(ISNA(MATCH($D2991,'Paramètres'!$M:$M,0)),"⚠ Type inconnu",IFERROR(INDEX('Paramètres'!$P:$P,MATCH($D2991,'Paramètres'!$M:$M,0))&amp;"",""))))</f>
        <v/>
      </c>
      <c r="M2991" s="6" t="str">
        <f>IF($D2991="","",IF(ISNA(MATCH($D2991,'Paramètres'!$M:$M,0)),"⚠ Type inconnu",IF($L2991="Crédit","",IFERROR(INDEX('Paramètres'!$O:$O,MATCH($D2991,'Paramètres'!$M:$M,0))&amp;"",""))))</f>
        <v/>
      </c>
      <c r="N2991" s="6" t="str">
        <f>IF($D2991="","",IFERROR(INDEX('Paramètres'!$Q:$Q,MATCH($D2991,'Paramètres'!$M:$M,0))&amp;"",""))</f>
        <v/>
      </c>
      <c r="O2991" s="6" t="str">
        <f>IF($A2991="","",IF(OR($J2991&lt;&gt;"x",$A2991&lt;=FinReleve),1,0))</f>
        <v/>
      </c>
      <c r="P2991" s="6" t="str">
        <f>IF($D2991="","",IF(AND($L2991="Crédit",OR(IFERROR(INDEX('Paramètres'!$O:$O,MATCH($D2991,'Paramètres'!$M:$M,0))&amp;"","")&lt;&gt;"",ISNUMBER(SEARCH("remboursement",IFERROR(INDEX('Paramètres'!$N:$N,MATCH($D2991,'Paramètres'!$M:$M,0))&amp;"",""))))),1,0))</f>
        <v/>
      </c>
      <c r="Q2991" s="6" t="str">
        <f>IF($K2991="","",IF(ISNUMBER(SEARCH("transfert-interne",IFERROR(INDEX('Paramètres'!$N:$N,MATCH($D2991,'Paramètres'!$M:$M,0))&amp;"",""))),0,IF($L2991="Débit",$K2991,IF($P2991=1,-$K2991,0))))</f>
        <v/>
      </c>
      <c r="R2991" s="6" t="str">
        <f>IF($K2991="","",IF($L2991="Crédit",$K2991,-$K2991))</f>
        <v/>
      </c>
      <c r="S2991" s="6" t="str">
        <f>IF($C2991="","",IFERROR(INDEX('Paramètres'!$H:$H,MATCH($C2991,'Paramètres'!$D:$D,0))&amp;"",""))</f>
        <v/>
      </c>
      <c r="T2991" s="6" t="str">
        <f>IF($K2991="","",IF($S2991="",0,IF(ISNUMBER(SEARCH("apport-exterieur",IFERROR(INDEX('Paramètres'!$N:$N,MATCH($D2991,'Paramètres'!$M:$M,0))&amp;"",""))),0,IF(OR(IFERROR(INDEX('Paramètres'!$I:$I,MATCH($C2991,'Paramètres'!$D:$D,0))&amp;"","")="Les deux",IFERROR(INDEX('Paramètres'!$I:$I,MATCH($C2991,'Paramètres'!$D:$D,0))&amp;"","")=IF($P2991=1,"Débit",$L2991)),-IF($P2991=1,-$K2991,$K2991),0))))</f>
        <v/>
      </c>
      <c r="U2991" s="6" t="str">
        <f>IF($K2991="","",IF(ISNUMBER(SEARCH("sortie-epargne",IFERROR(INDEX('Paramètres'!$N:$N,MATCH($D2991,'Paramètres'!$M:$M,0))&amp;"",""))),$K2991,0))</f>
        <v/>
      </c>
      <c r="V2991" s="6" t="str">
        <f>IF(AND($A2991&lt;&gt;"",$O2991=1,$L2991="Débit",N($Q2991)&gt;0,$A2991&gt;=Visualisation!$B$1,$A2991&lt;Visualisation!$D$1),MAX($V$1:V2990)+1,"")</f>
        <v/>
      </c>
    </row>
    <row r="2992" spans="1:22" x14ac:dyDescent="0.25">
      <c r="A2992" s="9"/>
      <c r="E2992" s="10"/>
      <c r="K2992" s="11" t="str">
        <f>IF($E2992="","",ROUND($E2992*IF(ISNA(MATCH($C2992,'Paramètres'!$D:$D,0)),1,IF(INDEX('Paramètres'!$J:$J,MATCH($C2992,'Paramètres'!$D:$D,0))="",1,INDEX('Paramètres'!$J:$J,MATCH($C2992,'Paramètres'!$D:$D,0)))),2))</f>
        <v/>
      </c>
      <c r="L2992" s="6" t="str">
        <f>IF($D2992="","",IF($F2992&lt;&gt;"",$F2992,IF(ISNA(MATCH($D2992,'Paramètres'!$M:$M,0)),"⚠ Type inconnu",IFERROR(INDEX('Paramètres'!$P:$P,MATCH($D2992,'Paramètres'!$M:$M,0))&amp;"",""))))</f>
        <v/>
      </c>
      <c r="M2992" s="6" t="str">
        <f>IF($D2992="","",IF(ISNA(MATCH($D2992,'Paramètres'!$M:$M,0)),"⚠ Type inconnu",IF($L2992="Crédit","",IFERROR(INDEX('Paramètres'!$O:$O,MATCH($D2992,'Paramètres'!$M:$M,0))&amp;"",""))))</f>
        <v/>
      </c>
      <c r="N2992" s="6" t="str">
        <f>IF($D2992="","",IFERROR(INDEX('Paramètres'!$Q:$Q,MATCH($D2992,'Paramètres'!$M:$M,0))&amp;"",""))</f>
        <v/>
      </c>
      <c r="O2992" s="6" t="str">
        <f>IF($A2992="","",IF(OR($J2992&lt;&gt;"x",$A2992&lt;=FinReleve),1,0))</f>
        <v/>
      </c>
      <c r="P2992" s="6" t="str">
        <f>IF($D2992="","",IF(AND($L2992="Crédit",OR(IFERROR(INDEX('Paramètres'!$O:$O,MATCH($D2992,'Paramètres'!$M:$M,0))&amp;"","")&lt;&gt;"",ISNUMBER(SEARCH("remboursement",IFERROR(INDEX('Paramètres'!$N:$N,MATCH($D2992,'Paramètres'!$M:$M,0))&amp;"",""))))),1,0))</f>
        <v/>
      </c>
      <c r="Q2992" s="6" t="str">
        <f>IF($K2992="","",IF(ISNUMBER(SEARCH("transfert-interne",IFERROR(INDEX('Paramètres'!$N:$N,MATCH($D2992,'Paramètres'!$M:$M,0))&amp;"",""))),0,IF($L2992="Débit",$K2992,IF($P2992=1,-$K2992,0))))</f>
        <v/>
      </c>
      <c r="R2992" s="6" t="str">
        <f>IF($K2992="","",IF($L2992="Crédit",$K2992,-$K2992))</f>
        <v/>
      </c>
      <c r="S2992" s="6" t="str">
        <f>IF($C2992="","",IFERROR(INDEX('Paramètres'!$H:$H,MATCH($C2992,'Paramètres'!$D:$D,0))&amp;"",""))</f>
        <v/>
      </c>
      <c r="T2992" s="6" t="str">
        <f>IF($K2992="","",IF($S2992="",0,IF(ISNUMBER(SEARCH("apport-exterieur",IFERROR(INDEX('Paramètres'!$N:$N,MATCH($D2992,'Paramètres'!$M:$M,0))&amp;"",""))),0,IF(OR(IFERROR(INDEX('Paramètres'!$I:$I,MATCH($C2992,'Paramètres'!$D:$D,0))&amp;"","")="Les deux",IFERROR(INDEX('Paramètres'!$I:$I,MATCH($C2992,'Paramètres'!$D:$D,0))&amp;"","")=IF($P2992=1,"Débit",$L2992)),-IF($P2992=1,-$K2992,$K2992),0))))</f>
        <v/>
      </c>
      <c r="U2992" s="6" t="str">
        <f>IF($K2992="","",IF(ISNUMBER(SEARCH("sortie-epargne",IFERROR(INDEX('Paramètres'!$N:$N,MATCH($D2992,'Paramètres'!$M:$M,0))&amp;"",""))),$K2992,0))</f>
        <v/>
      </c>
      <c r="V2992" s="6" t="str">
        <f>IF(AND($A2992&lt;&gt;"",$O2992=1,$L2992="Débit",N($Q2992)&gt;0,$A2992&gt;=Visualisation!$B$1,$A2992&lt;Visualisation!$D$1),MAX($V$1:V2991)+1,"")</f>
        <v/>
      </c>
    </row>
    <row r="2993" spans="1:22" x14ac:dyDescent="0.25">
      <c r="A2993" s="9"/>
      <c r="E2993" s="10"/>
      <c r="K2993" s="11" t="str">
        <f>IF($E2993="","",ROUND($E2993*IF(ISNA(MATCH($C2993,'Paramètres'!$D:$D,0)),1,IF(INDEX('Paramètres'!$J:$J,MATCH($C2993,'Paramètres'!$D:$D,0))="",1,INDEX('Paramètres'!$J:$J,MATCH($C2993,'Paramètres'!$D:$D,0)))),2))</f>
        <v/>
      </c>
      <c r="L2993" s="6" t="str">
        <f>IF($D2993="","",IF($F2993&lt;&gt;"",$F2993,IF(ISNA(MATCH($D2993,'Paramètres'!$M:$M,0)),"⚠ Type inconnu",IFERROR(INDEX('Paramètres'!$P:$P,MATCH($D2993,'Paramètres'!$M:$M,0))&amp;"",""))))</f>
        <v/>
      </c>
      <c r="M2993" s="6" t="str">
        <f>IF($D2993="","",IF(ISNA(MATCH($D2993,'Paramètres'!$M:$M,0)),"⚠ Type inconnu",IF($L2993="Crédit","",IFERROR(INDEX('Paramètres'!$O:$O,MATCH($D2993,'Paramètres'!$M:$M,0))&amp;"",""))))</f>
        <v/>
      </c>
      <c r="N2993" s="6" t="str">
        <f>IF($D2993="","",IFERROR(INDEX('Paramètres'!$Q:$Q,MATCH($D2993,'Paramètres'!$M:$M,0))&amp;"",""))</f>
        <v/>
      </c>
      <c r="O2993" s="6" t="str">
        <f>IF($A2993="","",IF(OR($J2993&lt;&gt;"x",$A2993&lt;=FinReleve),1,0))</f>
        <v/>
      </c>
      <c r="P2993" s="6" t="str">
        <f>IF($D2993="","",IF(AND($L2993="Crédit",OR(IFERROR(INDEX('Paramètres'!$O:$O,MATCH($D2993,'Paramètres'!$M:$M,0))&amp;"","")&lt;&gt;"",ISNUMBER(SEARCH("remboursement",IFERROR(INDEX('Paramètres'!$N:$N,MATCH($D2993,'Paramètres'!$M:$M,0))&amp;"",""))))),1,0))</f>
        <v/>
      </c>
      <c r="Q2993" s="6" t="str">
        <f>IF($K2993="","",IF(ISNUMBER(SEARCH("transfert-interne",IFERROR(INDEX('Paramètres'!$N:$N,MATCH($D2993,'Paramètres'!$M:$M,0))&amp;"",""))),0,IF($L2993="Débit",$K2993,IF($P2993=1,-$K2993,0))))</f>
        <v/>
      </c>
      <c r="R2993" s="6" t="str">
        <f>IF($K2993="","",IF($L2993="Crédit",$K2993,-$K2993))</f>
        <v/>
      </c>
      <c r="S2993" s="6" t="str">
        <f>IF($C2993="","",IFERROR(INDEX('Paramètres'!$H:$H,MATCH($C2993,'Paramètres'!$D:$D,0))&amp;"",""))</f>
        <v/>
      </c>
      <c r="T2993" s="6" t="str">
        <f>IF($K2993="","",IF($S2993="",0,IF(ISNUMBER(SEARCH("apport-exterieur",IFERROR(INDEX('Paramètres'!$N:$N,MATCH($D2993,'Paramètres'!$M:$M,0))&amp;"",""))),0,IF(OR(IFERROR(INDEX('Paramètres'!$I:$I,MATCH($C2993,'Paramètres'!$D:$D,0))&amp;"","")="Les deux",IFERROR(INDEX('Paramètres'!$I:$I,MATCH($C2993,'Paramètres'!$D:$D,0))&amp;"","")=IF($P2993=1,"Débit",$L2993)),-IF($P2993=1,-$K2993,$K2993),0))))</f>
        <v/>
      </c>
      <c r="U2993" s="6" t="str">
        <f>IF($K2993="","",IF(ISNUMBER(SEARCH("sortie-epargne",IFERROR(INDEX('Paramètres'!$N:$N,MATCH($D2993,'Paramètres'!$M:$M,0))&amp;"",""))),$K2993,0))</f>
        <v/>
      </c>
      <c r="V2993" s="6" t="str">
        <f>IF(AND($A2993&lt;&gt;"",$O2993=1,$L2993="Débit",N($Q2993)&gt;0,$A2993&gt;=Visualisation!$B$1,$A2993&lt;Visualisation!$D$1),MAX($V$1:V2992)+1,"")</f>
        <v/>
      </c>
    </row>
    <row r="2994" spans="1:22" x14ac:dyDescent="0.25">
      <c r="A2994" s="9"/>
      <c r="E2994" s="10"/>
      <c r="K2994" s="11" t="str">
        <f>IF($E2994="","",ROUND($E2994*IF(ISNA(MATCH($C2994,'Paramètres'!$D:$D,0)),1,IF(INDEX('Paramètres'!$J:$J,MATCH($C2994,'Paramètres'!$D:$D,0))="",1,INDEX('Paramètres'!$J:$J,MATCH($C2994,'Paramètres'!$D:$D,0)))),2))</f>
        <v/>
      </c>
      <c r="L2994" s="6" t="str">
        <f>IF($D2994="","",IF($F2994&lt;&gt;"",$F2994,IF(ISNA(MATCH($D2994,'Paramètres'!$M:$M,0)),"⚠ Type inconnu",IFERROR(INDEX('Paramètres'!$P:$P,MATCH($D2994,'Paramètres'!$M:$M,0))&amp;"",""))))</f>
        <v/>
      </c>
      <c r="M2994" s="6" t="str">
        <f>IF($D2994="","",IF(ISNA(MATCH($D2994,'Paramètres'!$M:$M,0)),"⚠ Type inconnu",IF($L2994="Crédit","",IFERROR(INDEX('Paramètres'!$O:$O,MATCH($D2994,'Paramètres'!$M:$M,0))&amp;"",""))))</f>
        <v/>
      </c>
      <c r="N2994" s="6" t="str">
        <f>IF($D2994="","",IFERROR(INDEX('Paramètres'!$Q:$Q,MATCH($D2994,'Paramètres'!$M:$M,0))&amp;"",""))</f>
        <v/>
      </c>
      <c r="O2994" s="6" t="str">
        <f>IF($A2994="","",IF(OR($J2994&lt;&gt;"x",$A2994&lt;=FinReleve),1,0))</f>
        <v/>
      </c>
      <c r="P2994" s="6" t="str">
        <f>IF($D2994="","",IF(AND($L2994="Crédit",OR(IFERROR(INDEX('Paramètres'!$O:$O,MATCH($D2994,'Paramètres'!$M:$M,0))&amp;"","")&lt;&gt;"",ISNUMBER(SEARCH("remboursement",IFERROR(INDEX('Paramètres'!$N:$N,MATCH($D2994,'Paramètres'!$M:$M,0))&amp;"",""))))),1,0))</f>
        <v/>
      </c>
      <c r="Q2994" s="6" t="str">
        <f>IF($K2994="","",IF(ISNUMBER(SEARCH("transfert-interne",IFERROR(INDEX('Paramètres'!$N:$N,MATCH($D2994,'Paramètres'!$M:$M,0))&amp;"",""))),0,IF($L2994="Débit",$K2994,IF($P2994=1,-$K2994,0))))</f>
        <v/>
      </c>
      <c r="R2994" s="6" t="str">
        <f>IF($K2994="","",IF($L2994="Crédit",$K2994,-$K2994))</f>
        <v/>
      </c>
      <c r="S2994" s="6" t="str">
        <f>IF($C2994="","",IFERROR(INDEX('Paramètres'!$H:$H,MATCH($C2994,'Paramètres'!$D:$D,0))&amp;"",""))</f>
        <v/>
      </c>
      <c r="T2994" s="6" t="str">
        <f>IF($K2994="","",IF($S2994="",0,IF(ISNUMBER(SEARCH("apport-exterieur",IFERROR(INDEX('Paramètres'!$N:$N,MATCH($D2994,'Paramètres'!$M:$M,0))&amp;"",""))),0,IF(OR(IFERROR(INDEX('Paramètres'!$I:$I,MATCH($C2994,'Paramètres'!$D:$D,0))&amp;"","")="Les deux",IFERROR(INDEX('Paramètres'!$I:$I,MATCH($C2994,'Paramètres'!$D:$D,0))&amp;"","")=IF($P2994=1,"Débit",$L2994)),-IF($P2994=1,-$K2994,$K2994),0))))</f>
        <v/>
      </c>
      <c r="U2994" s="6" t="str">
        <f>IF($K2994="","",IF(ISNUMBER(SEARCH("sortie-epargne",IFERROR(INDEX('Paramètres'!$N:$N,MATCH($D2994,'Paramètres'!$M:$M,0))&amp;"",""))),$K2994,0))</f>
        <v/>
      </c>
      <c r="V2994" s="6" t="str">
        <f>IF(AND($A2994&lt;&gt;"",$O2994=1,$L2994="Débit",N($Q2994)&gt;0,$A2994&gt;=Visualisation!$B$1,$A2994&lt;Visualisation!$D$1),MAX($V$1:V2993)+1,"")</f>
        <v/>
      </c>
    </row>
    <row r="2995" spans="1:22" x14ac:dyDescent="0.25">
      <c r="A2995" s="9"/>
      <c r="E2995" s="10"/>
      <c r="K2995" s="11" t="str">
        <f>IF($E2995="","",ROUND($E2995*IF(ISNA(MATCH($C2995,'Paramètres'!$D:$D,0)),1,IF(INDEX('Paramètres'!$J:$J,MATCH($C2995,'Paramètres'!$D:$D,0))="",1,INDEX('Paramètres'!$J:$J,MATCH($C2995,'Paramètres'!$D:$D,0)))),2))</f>
        <v/>
      </c>
      <c r="L2995" s="6" t="str">
        <f>IF($D2995="","",IF($F2995&lt;&gt;"",$F2995,IF(ISNA(MATCH($D2995,'Paramètres'!$M:$M,0)),"⚠ Type inconnu",IFERROR(INDEX('Paramètres'!$P:$P,MATCH($D2995,'Paramètres'!$M:$M,0))&amp;"",""))))</f>
        <v/>
      </c>
      <c r="M2995" s="6" t="str">
        <f>IF($D2995="","",IF(ISNA(MATCH($D2995,'Paramètres'!$M:$M,0)),"⚠ Type inconnu",IF($L2995="Crédit","",IFERROR(INDEX('Paramètres'!$O:$O,MATCH($D2995,'Paramètres'!$M:$M,0))&amp;"",""))))</f>
        <v/>
      </c>
      <c r="N2995" s="6" t="str">
        <f>IF($D2995="","",IFERROR(INDEX('Paramètres'!$Q:$Q,MATCH($D2995,'Paramètres'!$M:$M,0))&amp;"",""))</f>
        <v/>
      </c>
      <c r="O2995" s="6" t="str">
        <f>IF($A2995="","",IF(OR($J2995&lt;&gt;"x",$A2995&lt;=FinReleve),1,0))</f>
        <v/>
      </c>
      <c r="P2995" s="6" t="str">
        <f>IF($D2995="","",IF(AND($L2995="Crédit",OR(IFERROR(INDEX('Paramètres'!$O:$O,MATCH($D2995,'Paramètres'!$M:$M,0))&amp;"","")&lt;&gt;"",ISNUMBER(SEARCH("remboursement",IFERROR(INDEX('Paramètres'!$N:$N,MATCH($D2995,'Paramètres'!$M:$M,0))&amp;"",""))))),1,0))</f>
        <v/>
      </c>
      <c r="Q2995" s="6" t="str">
        <f>IF($K2995="","",IF(ISNUMBER(SEARCH("transfert-interne",IFERROR(INDEX('Paramètres'!$N:$N,MATCH($D2995,'Paramètres'!$M:$M,0))&amp;"",""))),0,IF($L2995="Débit",$K2995,IF($P2995=1,-$K2995,0))))</f>
        <v/>
      </c>
      <c r="R2995" s="6" t="str">
        <f>IF($K2995="","",IF($L2995="Crédit",$K2995,-$K2995))</f>
        <v/>
      </c>
      <c r="S2995" s="6" t="str">
        <f>IF($C2995="","",IFERROR(INDEX('Paramètres'!$H:$H,MATCH($C2995,'Paramètres'!$D:$D,0))&amp;"",""))</f>
        <v/>
      </c>
      <c r="T2995" s="6" t="str">
        <f>IF($K2995="","",IF($S2995="",0,IF(ISNUMBER(SEARCH("apport-exterieur",IFERROR(INDEX('Paramètres'!$N:$N,MATCH($D2995,'Paramètres'!$M:$M,0))&amp;"",""))),0,IF(OR(IFERROR(INDEX('Paramètres'!$I:$I,MATCH($C2995,'Paramètres'!$D:$D,0))&amp;"","")="Les deux",IFERROR(INDEX('Paramètres'!$I:$I,MATCH($C2995,'Paramètres'!$D:$D,0))&amp;"","")=IF($P2995=1,"Débit",$L2995)),-IF($P2995=1,-$K2995,$K2995),0))))</f>
        <v/>
      </c>
      <c r="U2995" s="6" t="str">
        <f>IF($K2995="","",IF(ISNUMBER(SEARCH("sortie-epargne",IFERROR(INDEX('Paramètres'!$N:$N,MATCH($D2995,'Paramètres'!$M:$M,0))&amp;"",""))),$K2995,0))</f>
        <v/>
      </c>
      <c r="V2995" s="6" t="str">
        <f>IF(AND($A2995&lt;&gt;"",$O2995=1,$L2995="Débit",N($Q2995)&gt;0,$A2995&gt;=Visualisation!$B$1,$A2995&lt;Visualisation!$D$1),MAX($V$1:V2994)+1,"")</f>
        <v/>
      </c>
    </row>
    <row r="2996" spans="1:22" x14ac:dyDescent="0.25">
      <c r="A2996" s="9"/>
      <c r="E2996" s="10"/>
      <c r="K2996" s="11" t="str">
        <f>IF($E2996="","",ROUND($E2996*IF(ISNA(MATCH($C2996,'Paramètres'!$D:$D,0)),1,IF(INDEX('Paramètres'!$J:$J,MATCH($C2996,'Paramètres'!$D:$D,0))="",1,INDEX('Paramètres'!$J:$J,MATCH($C2996,'Paramètres'!$D:$D,0)))),2))</f>
        <v/>
      </c>
      <c r="L2996" s="6" t="str">
        <f>IF($D2996="","",IF($F2996&lt;&gt;"",$F2996,IF(ISNA(MATCH($D2996,'Paramètres'!$M:$M,0)),"⚠ Type inconnu",IFERROR(INDEX('Paramètres'!$P:$P,MATCH($D2996,'Paramètres'!$M:$M,0))&amp;"",""))))</f>
        <v/>
      </c>
      <c r="M2996" s="6" t="str">
        <f>IF($D2996="","",IF(ISNA(MATCH($D2996,'Paramètres'!$M:$M,0)),"⚠ Type inconnu",IF($L2996="Crédit","",IFERROR(INDEX('Paramètres'!$O:$O,MATCH($D2996,'Paramètres'!$M:$M,0))&amp;"",""))))</f>
        <v/>
      </c>
      <c r="N2996" s="6" t="str">
        <f>IF($D2996="","",IFERROR(INDEX('Paramètres'!$Q:$Q,MATCH($D2996,'Paramètres'!$M:$M,0))&amp;"",""))</f>
        <v/>
      </c>
      <c r="O2996" s="6" t="str">
        <f>IF($A2996="","",IF(OR($J2996&lt;&gt;"x",$A2996&lt;=FinReleve),1,0))</f>
        <v/>
      </c>
      <c r="P2996" s="6" t="str">
        <f>IF($D2996="","",IF(AND($L2996="Crédit",OR(IFERROR(INDEX('Paramètres'!$O:$O,MATCH($D2996,'Paramètres'!$M:$M,0))&amp;"","")&lt;&gt;"",ISNUMBER(SEARCH("remboursement",IFERROR(INDEX('Paramètres'!$N:$N,MATCH($D2996,'Paramètres'!$M:$M,0))&amp;"",""))))),1,0))</f>
        <v/>
      </c>
      <c r="Q2996" s="6" t="str">
        <f>IF($K2996="","",IF(ISNUMBER(SEARCH("transfert-interne",IFERROR(INDEX('Paramètres'!$N:$N,MATCH($D2996,'Paramètres'!$M:$M,0))&amp;"",""))),0,IF($L2996="Débit",$K2996,IF($P2996=1,-$K2996,0))))</f>
        <v/>
      </c>
      <c r="R2996" s="6" t="str">
        <f>IF($K2996="","",IF($L2996="Crédit",$K2996,-$K2996))</f>
        <v/>
      </c>
      <c r="S2996" s="6" t="str">
        <f>IF($C2996="","",IFERROR(INDEX('Paramètres'!$H:$H,MATCH($C2996,'Paramètres'!$D:$D,0))&amp;"",""))</f>
        <v/>
      </c>
      <c r="T2996" s="6" t="str">
        <f>IF($K2996="","",IF($S2996="",0,IF(ISNUMBER(SEARCH("apport-exterieur",IFERROR(INDEX('Paramètres'!$N:$N,MATCH($D2996,'Paramètres'!$M:$M,0))&amp;"",""))),0,IF(OR(IFERROR(INDEX('Paramètres'!$I:$I,MATCH($C2996,'Paramètres'!$D:$D,0))&amp;"","")="Les deux",IFERROR(INDEX('Paramètres'!$I:$I,MATCH($C2996,'Paramètres'!$D:$D,0))&amp;"","")=IF($P2996=1,"Débit",$L2996)),-IF($P2996=1,-$K2996,$K2996),0))))</f>
        <v/>
      </c>
      <c r="U2996" s="6" t="str">
        <f>IF($K2996="","",IF(ISNUMBER(SEARCH("sortie-epargne",IFERROR(INDEX('Paramètres'!$N:$N,MATCH($D2996,'Paramètres'!$M:$M,0))&amp;"",""))),$K2996,0))</f>
        <v/>
      </c>
      <c r="V2996" s="6" t="str">
        <f>IF(AND($A2996&lt;&gt;"",$O2996=1,$L2996="Débit",N($Q2996)&gt;0,$A2996&gt;=Visualisation!$B$1,$A2996&lt;Visualisation!$D$1),MAX($V$1:V2995)+1,"")</f>
        <v/>
      </c>
    </row>
    <row r="2997" spans="1:22" x14ac:dyDescent="0.25">
      <c r="A2997" s="9"/>
      <c r="E2997" s="10"/>
      <c r="K2997" s="11" t="str">
        <f>IF($E2997="","",ROUND($E2997*IF(ISNA(MATCH($C2997,'Paramètres'!$D:$D,0)),1,IF(INDEX('Paramètres'!$J:$J,MATCH($C2997,'Paramètres'!$D:$D,0))="",1,INDEX('Paramètres'!$J:$J,MATCH($C2997,'Paramètres'!$D:$D,0)))),2))</f>
        <v/>
      </c>
      <c r="L2997" s="6" t="str">
        <f>IF($D2997="","",IF($F2997&lt;&gt;"",$F2997,IF(ISNA(MATCH($D2997,'Paramètres'!$M:$M,0)),"⚠ Type inconnu",IFERROR(INDEX('Paramètres'!$P:$P,MATCH($D2997,'Paramètres'!$M:$M,0))&amp;"",""))))</f>
        <v/>
      </c>
      <c r="M2997" s="6" t="str">
        <f>IF($D2997="","",IF(ISNA(MATCH($D2997,'Paramètres'!$M:$M,0)),"⚠ Type inconnu",IF($L2997="Crédit","",IFERROR(INDEX('Paramètres'!$O:$O,MATCH($D2997,'Paramètres'!$M:$M,0))&amp;"",""))))</f>
        <v/>
      </c>
      <c r="N2997" s="6" t="str">
        <f>IF($D2997="","",IFERROR(INDEX('Paramètres'!$Q:$Q,MATCH($D2997,'Paramètres'!$M:$M,0))&amp;"",""))</f>
        <v/>
      </c>
      <c r="O2997" s="6" t="str">
        <f>IF($A2997="","",IF(OR($J2997&lt;&gt;"x",$A2997&lt;=FinReleve),1,0))</f>
        <v/>
      </c>
      <c r="P2997" s="6" t="str">
        <f>IF($D2997="","",IF(AND($L2997="Crédit",OR(IFERROR(INDEX('Paramètres'!$O:$O,MATCH($D2997,'Paramètres'!$M:$M,0))&amp;"","")&lt;&gt;"",ISNUMBER(SEARCH("remboursement",IFERROR(INDEX('Paramètres'!$N:$N,MATCH($D2997,'Paramètres'!$M:$M,0))&amp;"",""))))),1,0))</f>
        <v/>
      </c>
      <c r="Q2997" s="6" t="str">
        <f>IF($K2997="","",IF(ISNUMBER(SEARCH("transfert-interne",IFERROR(INDEX('Paramètres'!$N:$N,MATCH($D2997,'Paramètres'!$M:$M,0))&amp;"",""))),0,IF($L2997="Débit",$K2997,IF($P2997=1,-$K2997,0))))</f>
        <v/>
      </c>
      <c r="R2997" s="6" t="str">
        <f>IF($K2997="","",IF($L2997="Crédit",$K2997,-$K2997))</f>
        <v/>
      </c>
      <c r="S2997" s="6" t="str">
        <f>IF($C2997="","",IFERROR(INDEX('Paramètres'!$H:$H,MATCH($C2997,'Paramètres'!$D:$D,0))&amp;"",""))</f>
        <v/>
      </c>
      <c r="T2997" s="6" t="str">
        <f>IF($K2997="","",IF($S2997="",0,IF(ISNUMBER(SEARCH("apport-exterieur",IFERROR(INDEX('Paramètres'!$N:$N,MATCH($D2997,'Paramètres'!$M:$M,0))&amp;"",""))),0,IF(OR(IFERROR(INDEX('Paramètres'!$I:$I,MATCH($C2997,'Paramètres'!$D:$D,0))&amp;"","")="Les deux",IFERROR(INDEX('Paramètres'!$I:$I,MATCH($C2997,'Paramètres'!$D:$D,0))&amp;"","")=IF($P2997=1,"Débit",$L2997)),-IF($P2997=1,-$K2997,$K2997),0))))</f>
        <v/>
      </c>
      <c r="U2997" s="6" t="str">
        <f>IF($K2997="","",IF(ISNUMBER(SEARCH("sortie-epargne",IFERROR(INDEX('Paramètres'!$N:$N,MATCH($D2997,'Paramètres'!$M:$M,0))&amp;"",""))),$K2997,0))</f>
        <v/>
      </c>
      <c r="V2997" s="6" t="str">
        <f>IF(AND($A2997&lt;&gt;"",$O2997=1,$L2997="Débit",N($Q2997)&gt;0,$A2997&gt;=Visualisation!$B$1,$A2997&lt;Visualisation!$D$1),MAX($V$1:V2996)+1,"")</f>
        <v/>
      </c>
    </row>
    <row r="2998" spans="1:22" x14ac:dyDescent="0.25">
      <c r="A2998" s="9"/>
      <c r="E2998" s="10"/>
      <c r="K2998" s="11" t="str">
        <f>IF($E2998="","",ROUND($E2998*IF(ISNA(MATCH($C2998,'Paramètres'!$D:$D,0)),1,IF(INDEX('Paramètres'!$J:$J,MATCH($C2998,'Paramètres'!$D:$D,0))="",1,INDEX('Paramètres'!$J:$J,MATCH($C2998,'Paramètres'!$D:$D,0)))),2))</f>
        <v/>
      </c>
      <c r="L2998" s="6" t="str">
        <f>IF($D2998="","",IF($F2998&lt;&gt;"",$F2998,IF(ISNA(MATCH($D2998,'Paramètres'!$M:$M,0)),"⚠ Type inconnu",IFERROR(INDEX('Paramètres'!$P:$P,MATCH($D2998,'Paramètres'!$M:$M,0))&amp;"",""))))</f>
        <v/>
      </c>
      <c r="M2998" s="6" t="str">
        <f>IF($D2998="","",IF(ISNA(MATCH($D2998,'Paramètres'!$M:$M,0)),"⚠ Type inconnu",IF($L2998="Crédit","",IFERROR(INDEX('Paramètres'!$O:$O,MATCH($D2998,'Paramètres'!$M:$M,0))&amp;"",""))))</f>
        <v/>
      </c>
      <c r="N2998" s="6" t="str">
        <f>IF($D2998="","",IFERROR(INDEX('Paramètres'!$Q:$Q,MATCH($D2998,'Paramètres'!$M:$M,0))&amp;"",""))</f>
        <v/>
      </c>
      <c r="O2998" s="6" t="str">
        <f>IF($A2998="","",IF(OR($J2998&lt;&gt;"x",$A2998&lt;=FinReleve),1,0))</f>
        <v/>
      </c>
      <c r="P2998" s="6" t="str">
        <f>IF($D2998="","",IF(AND($L2998="Crédit",OR(IFERROR(INDEX('Paramètres'!$O:$O,MATCH($D2998,'Paramètres'!$M:$M,0))&amp;"","")&lt;&gt;"",ISNUMBER(SEARCH("remboursement",IFERROR(INDEX('Paramètres'!$N:$N,MATCH($D2998,'Paramètres'!$M:$M,0))&amp;"",""))))),1,0))</f>
        <v/>
      </c>
      <c r="Q2998" s="6" t="str">
        <f>IF($K2998="","",IF(ISNUMBER(SEARCH("transfert-interne",IFERROR(INDEX('Paramètres'!$N:$N,MATCH($D2998,'Paramètres'!$M:$M,0))&amp;"",""))),0,IF($L2998="Débit",$K2998,IF($P2998=1,-$K2998,0))))</f>
        <v/>
      </c>
      <c r="R2998" s="6" t="str">
        <f>IF($K2998="","",IF($L2998="Crédit",$K2998,-$K2998))</f>
        <v/>
      </c>
      <c r="S2998" s="6" t="str">
        <f>IF($C2998="","",IFERROR(INDEX('Paramètres'!$H:$H,MATCH($C2998,'Paramètres'!$D:$D,0))&amp;"",""))</f>
        <v/>
      </c>
      <c r="T2998" s="6" t="str">
        <f>IF($K2998="","",IF($S2998="",0,IF(ISNUMBER(SEARCH("apport-exterieur",IFERROR(INDEX('Paramètres'!$N:$N,MATCH($D2998,'Paramètres'!$M:$M,0))&amp;"",""))),0,IF(OR(IFERROR(INDEX('Paramètres'!$I:$I,MATCH($C2998,'Paramètres'!$D:$D,0))&amp;"","")="Les deux",IFERROR(INDEX('Paramètres'!$I:$I,MATCH($C2998,'Paramètres'!$D:$D,0))&amp;"","")=IF($P2998=1,"Débit",$L2998)),-IF($P2998=1,-$K2998,$K2998),0))))</f>
        <v/>
      </c>
      <c r="U2998" s="6" t="str">
        <f>IF($K2998="","",IF(ISNUMBER(SEARCH("sortie-epargne",IFERROR(INDEX('Paramètres'!$N:$N,MATCH($D2998,'Paramètres'!$M:$M,0))&amp;"",""))),$K2998,0))</f>
        <v/>
      </c>
      <c r="V2998" s="6" t="str">
        <f>IF(AND($A2998&lt;&gt;"",$O2998=1,$L2998="Débit",N($Q2998)&gt;0,$A2998&gt;=Visualisation!$B$1,$A2998&lt;Visualisation!$D$1),MAX($V$1:V2997)+1,"")</f>
        <v/>
      </c>
    </row>
    <row r="2999" spans="1:22" x14ac:dyDescent="0.25">
      <c r="A2999" s="9"/>
      <c r="E2999" s="10"/>
      <c r="K2999" s="11" t="str">
        <f>IF($E2999="","",ROUND($E2999*IF(ISNA(MATCH($C2999,'Paramètres'!$D:$D,0)),1,IF(INDEX('Paramètres'!$J:$J,MATCH($C2999,'Paramètres'!$D:$D,0))="",1,INDEX('Paramètres'!$J:$J,MATCH($C2999,'Paramètres'!$D:$D,0)))),2))</f>
        <v/>
      </c>
      <c r="L2999" s="6" t="str">
        <f>IF($D2999="","",IF($F2999&lt;&gt;"",$F2999,IF(ISNA(MATCH($D2999,'Paramètres'!$M:$M,0)),"⚠ Type inconnu",IFERROR(INDEX('Paramètres'!$P:$P,MATCH($D2999,'Paramètres'!$M:$M,0))&amp;"",""))))</f>
        <v/>
      </c>
      <c r="M2999" s="6" t="str">
        <f>IF($D2999="","",IF(ISNA(MATCH($D2999,'Paramètres'!$M:$M,0)),"⚠ Type inconnu",IF($L2999="Crédit","",IFERROR(INDEX('Paramètres'!$O:$O,MATCH($D2999,'Paramètres'!$M:$M,0))&amp;"",""))))</f>
        <v/>
      </c>
      <c r="N2999" s="6" t="str">
        <f>IF($D2999="","",IFERROR(INDEX('Paramètres'!$Q:$Q,MATCH($D2999,'Paramètres'!$M:$M,0))&amp;"",""))</f>
        <v/>
      </c>
      <c r="O2999" s="6" t="str">
        <f>IF($A2999="","",IF(OR($J2999&lt;&gt;"x",$A2999&lt;=FinReleve),1,0))</f>
        <v/>
      </c>
      <c r="P2999" s="6" t="str">
        <f>IF($D2999="","",IF(AND($L2999="Crédit",OR(IFERROR(INDEX('Paramètres'!$O:$O,MATCH($D2999,'Paramètres'!$M:$M,0))&amp;"","")&lt;&gt;"",ISNUMBER(SEARCH("remboursement",IFERROR(INDEX('Paramètres'!$N:$N,MATCH($D2999,'Paramètres'!$M:$M,0))&amp;"",""))))),1,0))</f>
        <v/>
      </c>
      <c r="Q2999" s="6" t="str">
        <f>IF($K2999="","",IF(ISNUMBER(SEARCH("transfert-interne",IFERROR(INDEX('Paramètres'!$N:$N,MATCH($D2999,'Paramètres'!$M:$M,0))&amp;"",""))),0,IF($L2999="Débit",$K2999,IF($P2999=1,-$K2999,0))))</f>
        <v/>
      </c>
      <c r="R2999" s="6" t="str">
        <f>IF($K2999="","",IF($L2999="Crédit",$K2999,-$K2999))</f>
        <v/>
      </c>
      <c r="S2999" s="6" t="str">
        <f>IF($C2999="","",IFERROR(INDEX('Paramètres'!$H:$H,MATCH($C2999,'Paramètres'!$D:$D,0))&amp;"",""))</f>
        <v/>
      </c>
      <c r="T2999" s="6" t="str">
        <f>IF($K2999="","",IF($S2999="",0,IF(ISNUMBER(SEARCH("apport-exterieur",IFERROR(INDEX('Paramètres'!$N:$N,MATCH($D2999,'Paramètres'!$M:$M,0))&amp;"",""))),0,IF(OR(IFERROR(INDEX('Paramètres'!$I:$I,MATCH($C2999,'Paramètres'!$D:$D,0))&amp;"","")="Les deux",IFERROR(INDEX('Paramètres'!$I:$I,MATCH($C2999,'Paramètres'!$D:$D,0))&amp;"","")=IF($P2999=1,"Débit",$L2999)),-IF($P2999=1,-$K2999,$K2999),0))))</f>
        <v/>
      </c>
      <c r="U2999" s="6" t="str">
        <f>IF($K2999="","",IF(ISNUMBER(SEARCH("sortie-epargne",IFERROR(INDEX('Paramètres'!$N:$N,MATCH($D2999,'Paramètres'!$M:$M,0))&amp;"",""))),$K2999,0))</f>
        <v/>
      </c>
      <c r="V2999" s="6" t="str">
        <f>IF(AND($A2999&lt;&gt;"",$O2999=1,$L2999="Débit",N($Q2999)&gt;0,$A2999&gt;=Visualisation!$B$1,$A2999&lt;Visualisation!$D$1),MAX($V$1:V2998)+1,"")</f>
        <v/>
      </c>
    </row>
    <row r="3000" spans="1:22" x14ac:dyDescent="0.25">
      <c r="A3000" s="9"/>
      <c r="E3000" s="10"/>
      <c r="K3000" s="11" t="str">
        <f>IF($E3000="","",ROUND($E3000*IF(ISNA(MATCH($C3000,'Paramètres'!$D:$D,0)),1,IF(INDEX('Paramètres'!$J:$J,MATCH($C3000,'Paramètres'!$D:$D,0))="",1,INDEX('Paramètres'!$J:$J,MATCH($C3000,'Paramètres'!$D:$D,0)))),2))</f>
        <v/>
      </c>
      <c r="L3000" s="6" t="str">
        <f>IF($D3000="","",IF($F3000&lt;&gt;"",$F3000,IF(ISNA(MATCH($D3000,'Paramètres'!$M:$M,0)),"⚠ Type inconnu",IFERROR(INDEX('Paramètres'!$P:$P,MATCH($D3000,'Paramètres'!$M:$M,0))&amp;"",""))))</f>
        <v/>
      </c>
      <c r="M3000" s="6" t="str">
        <f>IF($D3000="","",IF(ISNA(MATCH($D3000,'Paramètres'!$M:$M,0)),"⚠ Type inconnu",IF($L3000="Crédit","",IFERROR(INDEX('Paramètres'!$O:$O,MATCH($D3000,'Paramètres'!$M:$M,0))&amp;"",""))))</f>
        <v/>
      </c>
      <c r="N3000" s="6" t="str">
        <f>IF($D3000="","",IFERROR(INDEX('Paramètres'!$Q:$Q,MATCH($D3000,'Paramètres'!$M:$M,0))&amp;"",""))</f>
        <v/>
      </c>
      <c r="O3000" s="6" t="str">
        <f>IF($A3000="","",IF(OR($J3000&lt;&gt;"x",$A3000&lt;=FinReleve),1,0))</f>
        <v/>
      </c>
      <c r="P3000" s="6" t="str">
        <f>IF($D3000="","",IF(AND($L3000="Crédit",OR(IFERROR(INDEX('Paramètres'!$O:$O,MATCH($D3000,'Paramètres'!$M:$M,0))&amp;"","")&lt;&gt;"",ISNUMBER(SEARCH("remboursement",IFERROR(INDEX('Paramètres'!$N:$N,MATCH($D3000,'Paramètres'!$M:$M,0))&amp;"",""))))),1,0))</f>
        <v/>
      </c>
      <c r="Q3000" s="6" t="str">
        <f>IF($K3000="","",IF(ISNUMBER(SEARCH("transfert-interne",IFERROR(INDEX('Paramètres'!$N:$N,MATCH($D3000,'Paramètres'!$M:$M,0))&amp;"",""))),0,IF($L3000="Débit",$K3000,IF($P3000=1,-$K3000,0))))</f>
        <v/>
      </c>
      <c r="R3000" s="6" t="str">
        <f>IF($K3000="","",IF($L3000="Crédit",$K3000,-$K3000))</f>
        <v/>
      </c>
      <c r="S3000" s="6" t="str">
        <f>IF($C3000="","",IFERROR(INDEX('Paramètres'!$H:$H,MATCH($C3000,'Paramètres'!$D:$D,0))&amp;"",""))</f>
        <v/>
      </c>
      <c r="T3000" s="6" t="str">
        <f>IF($K3000="","",IF($S3000="",0,IF(ISNUMBER(SEARCH("apport-exterieur",IFERROR(INDEX('Paramètres'!$N:$N,MATCH($D3000,'Paramètres'!$M:$M,0))&amp;"",""))),0,IF(OR(IFERROR(INDEX('Paramètres'!$I:$I,MATCH($C3000,'Paramètres'!$D:$D,0))&amp;"","")="Les deux",IFERROR(INDEX('Paramètres'!$I:$I,MATCH($C3000,'Paramètres'!$D:$D,0))&amp;"","")=IF($P3000=1,"Débit",$L3000)),-IF($P3000=1,-$K3000,$K3000),0))))</f>
        <v/>
      </c>
      <c r="U3000" s="6" t="str">
        <f>IF($K3000="","",IF(ISNUMBER(SEARCH("sortie-epargne",IFERROR(INDEX('Paramètres'!$N:$N,MATCH($D3000,'Paramètres'!$M:$M,0))&amp;"",""))),$K3000,0))</f>
        <v/>
      </c>
      <c r="V3000" s="6" t="str">
        <f>IF(AND($A3000&lt;&gt;"",$O3000=1,$L3000="Débit",N($Q3000)&gt;0,$A3000&gt;=Visualisation!$B$1,$A3000&lt;Visualisation!$D$1),MAX($V$1:V2999)+1,"")</f>
        <v/>
      </c>
    </row>
    <row r="3001" spans="1:22" x14ac:dyDescent="0.25">
      <c r="A3001" s="9"/>
      <c r="E3001" s="10"/>
      <c r="K3001" s="11" t="str">
        <f>IF($E3001="","",ROUND($E3001*IF(ISNA(MATCH($C3001,'Paramètres'!$D:$D,0)),1,IF(INDEX('Paramètres'!$J:$J,MATCH($C3001,'Paramètres'!$D:$D,0))="",1,INDEX('Paramètres'!$J:$J,MATCH($C3001,'Paramètres'!$D:$D,0)))),2))</f>
        <v/>
      </c>
      <c r="L3001" s="6" t="str">
        <f>IF($D3001="","",IF($F3001&lt;&gt;"",$F3001,IF(ISNA(MATCH($D3001,'Paramètres'!$M:$M,0)),"⚠ Type inconnu",IFERROR(INDEX('Paramètres'!$P:$P,MATCH($D3001,'Paramètres'!$M:$M,0))&amp;"",""))))</f>
        <v/>
      </c>
      <c r="M3001" s="6" t="str">
        <f>IF($D3001="","",IF(ISNA(MATCH($D3001,'Paramètres'!$M:$M,0)),"⚠ Type inconnu",IF($L3001="Crédit","",IFERROR(INDEX('Paramètres'!$O:$O,MATCH($D3001,'Paramètres'!$M:$M,0))&amp;"",""))))</f>
        <v/>
      </c>
      <c r="N3001" s="6" t="str">
        <f>IF($D3001="","",IFERROR(INDEX('Paramètres'!$Q:$Q,MATCH($D3001,'Paramètres'!$M:$M,0))&amp;"",""))</f>
        <v/>
      </c>
      <c r="O3001" s="6" t="str">
        <f>IF($A3001="","",IF(OR($J3001&lt;&gt;"x",$A3001&lt;=FinReleve),1,0))</f>
        <v/>
      </c>
      <c r="P3001" s="6" t="str">
        <f>IF($D3001="","",IF(AND($L3001="Crédit",OR(IFERROR(INDEX('Paramètres'!$O:$O,MATCH($D3001,'Paramètres'!$M:$M,0))&amp;"","")&lt;&gt;"",ISNUMBER(SEARCH("remboursement",IFERROR(INDEX('Paramètres'!$N:$N,MATCH($D3001,'Paramètres'!$M:$M,0))&amp;"",""))))),1,0))</f>
        <v/>
      </c>
      <c r="Q3001" s="6" t="str">
        <f>IF($K3001="","",IF(ISNUMBER(SEARCH("transfert-interne",IFERROR(INDEX('Paramètres'!$N:$N,MATCH($D3001,'Paramètres'!$M:$M,0))&amp;"",""))),0,IF($L3001="Débit",$K3001,IF($P3001=1,-$K3001,0))))</f>
        <v/>
      </c>
      <c r="R3001" s="6" t="str">
        <f>IF($K3001="","",IF($L3001="Crédit",$K3001,-$K3001))</f>
        <v/>
      </c>
      <c r="S3001" s="6" t="str">
        <f>IF($C3001="","",IFERROR(INDEX('Paramètres'!$H:$H,MATCH($C3001,'Paramètres'!$D:$D,0))&amp;"",""))</f>
        <v/>
      </c>
      <c r="T3001" s="6" t="str">
        <f>IF($K3001="","",IF($S3001="",0,IF(ISNUMBER(SEARCH("apport-exterieur",IFERROR(INDEX('Paramètres'!$N:$N,MATCH($D3001,'Paramètres'!$M:$M,0))&amp;"",""))),0,IF(OR(IFERROR(INDEX('Paramètres'!$I:$I,MATCH($C3001,'Paramètres'!$D:$D,0))&amp;"","")="Les deux",IFERROR(INDEX('Paramètres'!$I:$I,MATCH($C3001,'Paramètres'!$D:$D,0))&amp;"","")=IF($P3001=1,"Débit",$L3001)),-IF($P3001=1,-$K3001,$K3001),0))))</f>
        <v/>
      </c>
      <c r="U3001" s="6" t="str">
        <f>IF($K3001="","",IF(ISNUMBER(SEARCH("sortie-epargne",IFERROR(INDEX('Paramètres'!$N:$N,MATCH($D3001,'Paramètres'!$M:$M,0))&amp;"",""))),$K3001,0))</f>
        <v/>
      </c>
      <c r="V3001" s="6" t="str">
        <f>IF(AND($A3001&lt;&gt;"",$O3001=1,$L3001="Débit",N($Q3001)&gt;0,$A3001&gt;=Visualisation!$B$1,$A3001&lt;Visualisation!$D$1),MAX($V$1:V3000)+1,"")</f>
        <v/>
      </c>
    </row>
    <row r="3002" spans="1:22" x14ac:dyDescent="0.25">
      <c r="A3002" s="9"/>
      <c r="E3002" s="10"/>
      <c r="K3002" s="11" t="str">
        <f>IF($E3002="","",ROUND($E3002*IF(ISNA(MATCH($C3002,'Paramètres'!$D:$D,0)),1,IF(INDEX('Paramètres'!$J:$J,MATCH($C3002,'Paramètres'!$D:$D,0))="",1,INDEX('Paramètres'!$J:$J,MATCH($C3002,'Paramètres'!$D:$D,0)))),2))</f>
        <v/>
      </c>
      <c r="L3002" s="6" t="str">
        <f>IF($D3002="","",IF($F3002&lt;&gt;"",$F3002,IF(ISNA(MATCH($D3002,'Paramètres'!$M:$M,0)),"⚠ Type inconnu",IFERROR(INDEX('Paramètres'!$P:$P,MATCH($D3002,'Paramètres'!$M:$M,0))&amp;"",""))))</f>
        <v/>
      </c>
      <c r="M3002" s="6" t="str">
        <f>IF($D3002="","",IF(ISNA(MATCH($D3002,'Paramètres'!$M:$M,0)),"⚠ Type inconnu",IF($L3002="Crédit","",IFERROR(INDEX('Paramètres'!$O:$O,MATCH($D3002,'Paramètres'!$M:$M,0))&amp;"",""))))</f>
        <v/>
      </c>
      <c r="N3002" s="6" t="str">
        <f>IF($D3002="","",IFERROR(INDEX('Paramètres'!$Q:$Q,MATCH($D3002,'Paramètres'!$M:$M,0))&amp;"",""))</f>
        <v/>
      </c>
      <c r="O3002" s="6" t="str">
        <f>IF($A3002="","",IF(OR($J3002&lt;&gt;"x",$A3002&lt;=FinReleve),1,0))</f>
        <v/>
      </c>
      <c r="P3002" s="6" t="str">
        <f>IF($D3002="","",IF(AND($L3002="Crédit",OR(IFERROR(INDEX('Paramètres'!$O:$O,MATCH($D3002,'Paramètres'!$M:$M,0))&amp;"","")&lt;&gt;"",ISNUMBER(SEARCH("remboursement",IFERROR(INDEX('Paramètres'!$N:$N,MATCH($D3002,'Paramètres'!$M:$M,0))&amp;"",""))))),1,0))</f>
        <v/>
      </c>
      <c r="Q3002" s="6" t="str">
        <f>IF($K3002="","",IF(ISNUMBER(SEARCH("transfert-interne",IFERROR(INDEX('Paramètres'!$N:$N,MATCH($D3002,'Paramètres'!$M:$M,0))&amp;"",""))),0,IF($L3002="Débit",$K3002,IF($P3002=1,-$K3002,0))))</f>
        <v/>
      </c>
      <c r="R3002" s="6" t="str">
        <f>IF($K3002="","",IF($L3002="Crédit",$K3002,-$K3002))</f>
        <v/>
      </c>
      <c r="S3002" s="6" t="str">
        <f>IF($C3002="","",IFERROR(INDEX('Paramètres'!$H:$H,MATCH($C3002,'Paramètres'!$D:$D,0))&amp;"",""))</f>
        <v/>
      </c>
      <c r="T3002" s="6" t="str">
        <f>IF($K3002="","",IF($S3002="",0,IF(ISNUMBER(SEARCH("apport-exterieur",IFERROR(INDEX('Paramètres'!$N:$N,MATCH($D3002,'Paramètres'!$M:$M,0))&amp;"",""))),0,IF(OR(IFERROR(INDEX('Paramètres'!$I:$I,MATCH($C3002,'Paramètres'!$D:$D,0))&amp;"","")="Les deux",IFERROR(INDEX('Paramètres'!$I:$I,MATCH($C3002,'Paramètres'!$D:$D,0))&amp;"","")=IF($P3002=1,"Débit",$L3002)),-IF($P3002=1,-$K3002,$K3002),0))))</f>
        <v/>
      </c>
      <c r="U3002" s="6" t="str">
        <f>IF($K3002="","",IF(ISNUMBER(SEARCH("sortie-epargne",IFERROR(INDEX('Paramètres'!$N:$N,MATCH($D3002,'Paramètres'!$M:$M,0))&amp;"",""))),$K3002,0))</f>
        <v/>
      </c>
      <c r="V3002" s="6" t="str">
        <f>IF(AND($A3002&lt;&gt;"",$O3002=1,$L3002="Débit",N($Q3002)&gt;0,$A3002&gt;=Visualisation!$B$1,$A3002&lt;Visualisation!$D$1),MAX($V$1:V3001)+1,"")</f>
        <v/>
      </c>
    </row>
    <row r="3003" spans="1:22" x14ac:dyDescent="0.25">
      <c r="A3003" s="9"/>
      <c r="E3003" s="10"/>
      <c r="K3003" s="11" t="str">
        <f>IF($E3003="","",ROUND($E3003*IF(ISNA(MATCH($C3003,'Paramètres'!$D:$D,0)),1,IF(INDEX('Paramètres'!$J:$J,MATCH($C3003,'Paramètres'!$D:$D,0))="",1,INDEX('Paramètres'!$J:$J,MATCH($C3003,'Paramètres'!$D:$D,0)))),2))</f>
        <v/>
      </c>
      <c r="L3003" s="6" t="str">
        <f>IF($D3003="","",IF($F3003&lt;&gt;"",$F3003,IF(ISNA(MATCH($D3003,'Paramètres'!$M:$M,0)),"⚠ Type inconnu",IFERROR(INDEX('Paramètres'!$P:$P,MATCH($D3003,'Paramètres'!$M:$M,0))&amp;"",""))))</f>
        <v/>
      </c>
      <c r="M3003" s="6" t="str">
        <f>IF($D3003="","",IF(ISNA(MATCH($D3003,'Paramètres'!$M:$M,0)),"⚠ Type inconnu",IF($L3003="Crédit","",IFERROR(INDEX('Paramètres'!$O:$O,MATCH($D3003,'Paramètres'!$M:$M,0))&amp;"",""))))</f>
        <v/>
      </c>
      <c r="N3003" s="6" t="str">
        <f>IF($D3003="","",IFERROR(INDEX('Paramètres'!$Q:$Q,MATCH($D3003,'Paramètres'!$M:$M,0))&amp;"",""))</f>
        <v/>
      </c>
      <c r="O3003" s="6" t="str">
        <f>IF($A3003="","",IF(OR($J3003&lt;&gt;"x",$A3003&lt;=FinReleve),1,0))</f>
        <v/>
      </c>
      <c r="P3003" s="6" t="str">
        <f>IF($D3003="","",IF(AND($L3003="Crédit",OR(IFERROR(INDEX('Paramètres'!$O:$O,MATCH($D3003,'Paramètres'!$M:$M,0))&amp;"","")&lt;&gt;"",ISNUMBER(SEARCH("remboursement",IFERROR(INDEX('Paramètres'!$N:$N,MATCH($D3003,'Paramètres'!$M:$M,0))&amp;"",""))))),1,0))</f>
        <v/>
      </c>
      <c r="Q3003" s="6" t="str">
        <f>IF($K3003="","",IF(ISNUMBER(SEARCH("transfert-interne",IFERROR(INDEX('Paramètres'!$N:$N,MATCH($D3003,'Paramètres'!$M:$M,0))&amp;"",""))),0,IF($L3003="Débit",$K3003,IF($P3003=1,-$K3003,0))))</f>
        <v/>
      </c>
      <c r="R3003" s="6" t="str">
        <f>IF($K3003="","",IF($L3003="Crédit",$K3003,-$K3003))</f>
        <v/>
      </c>
      <c r="S3003" s="6" t="str">
        <f>IF($C3003="","",IFERROR(INDEX('Paramètres'!$H:$H,MATCH($C3003,'Paramètres'!$D:$D,0))&amp;"",""))</f>
        <v/>
      </c>
      <c r="T3003" s="6" t="str">
        <f>IF($K3003="","",IF($S3003="",0,IF(ISNUMBER(SEARCH("apport-exterieur",IFERROR(INDEX('Paramètres'!$N:$N,MATCH($D3003,'Paramètres'!$M:$M,0))&amp;"",""))),0,IF(OR(IFERROR(INDEX('Paramètres'!$I:$I,MATCH($C3003,'Paramètres'!$D:$D,0))&amp;"","")="Les deux",IFERROR(INDEX('Paramètres'!$I:$I,MATCH($C3003,'Paramètres'!$D:$D,0))&amp;"","")=IF($P3003=1,"Débit",$L3003)),-IF($P3003=1,-$K3003,$K3003),0))))</f>
        <v/>
      </c>
      <c r="U3003" s="6" t="str">
        <f>IF($K3003="","",IF(ISNUMBER(SEARCH("sortie-epargne",IFERROR(INDEX('Paramètres'!$N:$N,MATCH($D3003,'Paramètres'!$M:$M,0))&amp;"",""))),$K3003,0))</f>
        <v/>
      </c>
      <c r="V3003" s="6" t="str">
        <f>IF(AND($A3003&lt;&gt;"",$O3003=1,$L3003="Débit",N($Q3003)&gt;0,$A3003&gt;=Visualisation!$B$1,$A3003&lt;Visualisation!$D$1),MAX($V$1:V3002)+1,"")</f>
        <v/>
      </c>
    </row>
    <row r="3004" spans="1:22" x14ac:dyDescent="0.25">
      <c r="A3004" s="9"/>
      <c r="E3004" s="10"/>
      <c r="K3004" s="11" t="str">
        <f>IF($E3004="","",ROUND($E3004*IF(ISNA(MATCH($C3004,'Paramètres'!$D:$D,0)),1,IF(INDEX('Paramètres'!$J:$J,MATCH($C3004,'Paramètres'!$D:$D,0))="",1,INDEX('Paramètres'!$J:$J,MATCH($C3004,'Paramètres'!$D:$D,0)))),2))</f>
        <v/>
      </c>
      <c r="L3004" s="6" t="str">
        <f>IF($D3004="","",IF($F3004&lt;&gt;"",$F3004,IF(ISNA(MATCH($D3004,'Paramètres'!$M:$M,0)),"⚠ Type inconnu",IFERROR(INDEX('Paramètres'!$P:$P,MATCH($D3004,'Paramètres'!$M:$M,0))&amp;"",""))))</f>
        <v/>
      </c>
      <c r="M3004" s="6" t="str">
        <f>IF($D3004="","",IF(ISNA(MATCH($D3004,'Paramètres'!$M:$M,0)),"⚠ Type inconnu",IF($L3004="Crédit","",IFERROR(INDEX('Paramètres'!$O:$O,MATCH($D3004,'Paramètres'!$M:$M,0))&amp;"",""))))</f>
        <v/>
      </c>
      <c r="N3004" s="6" t="str">
        <f>IF($D3004="","",IFERROR(INDEX('Paramètres'!$Q:$Q,MATCH($D3004,'Paramètres'!$M:$M,0))&amp;"",""))</f>
        <v/>
      </c>
      <c r="O3004" s="6" t="str">
        <f>IF($A3004="","",IF(OR($J3004&lt;&gt;"x",$A3004&lt;=FinReleve),1,0))</f>
        <v/>
      </c>
      <c r="P3004" s="6" t="str">
        <f>IF($D3004="","",IF(AND($L3004="Crédit",OR(IFERROR(INDEX('Paramètres'!$O:$O,MATCH($D3004,'Paramètres'!$M:$M,0))&amp;"","")&lt;&gt;"",ISNUMBER(SEARCH("remboursement",IFERROR(INDEX('Paramètres'!$N:$N,MATCH($D3004,'Paramètres'!$M:$M,0))&amp;"",""))))),1,0))</f>
        <v/>
      </c>
      <c r="Q3004" s="6" t="str">
        <f>IF($K3004="","",IF(ISNUMBER(SEARCH("transfert-interne",IFERROR(INDEX('Paramètres'!$N:$N,MATCH($D3004,'Paramètres'!$M:$M,0))&amp;"",""))),0,IF($L3004="Débit",$K3004,IF($P3004=1,-$K3004,0))))</f>
        <v/>
      </c>
      <c r="R3004" s="6" t="str">
        <f>IF($K3004="","",IF($L3004="Crédit",$K3004,-$K3004))</f>
        <v/>
      </c>
      <c r="S3004" s="6" t="str">
        <f>IF($C3004="","",IFERROR(INDEX('Paramètres'!$H:$H,MATCH($C3004,'Paramètres'!$D:$D,0))&amp;"",""))</f>
        <v/>
      </c>
      <c r="T3004" s="6" t="str">
        <f>IF($K3004="","",IF($S3004="",0,IF(ISNUMBER(SEARCH("apport-exterieur",IFERROR(INDEX('Paramètres'!$N:$N,MATCH($D3004,'Paramètres'!$M:$M,0))&amp;"",""))),0,IF(OR(IFERROR(INDEX('Paramètres'!$I:$I,MATCH($C3004,'Paramètres'!$D:$D,0))&amp;"","")="Les deux",IFERROR(INDEX('Paramètres'!$I:$I,MATCH($C3004,'Paramètres'!$D:$D,0))&amp;"","")=IF($P3004=1,"Débit",$L3004)),-IF($P3004=1,-$K3004,$K3004),0))))</f>
        <v/>
      </c>
      <c r="U3004" s="6" t="str">
        <f>IF($K3004="","",IF(ISNUMBER(SEARCH("sortie-epargne",IFERROR(INDEX('Paramètres'!$N:$N,MATCH($D3004,'Paramètres'!$M:$M,0))&amp;"",""))),$K3004,0))</f>
        <v/>
      </c>
      <c r="V3004" s="6" t="str">
        <f>IF(AND($A3004&lt;&gt;"",$O3004=1,$L3004="Débit",N($Q3004)&gt;0,$A3004&gt;=Visualisation!$B$1,$A3004&lt;Visualisation!$D$1),MAX($V$1:V3003)+1,"")</f>
        <v/>
      </c>
    </row>
    <row r="3005" spans="1:22" x14ac:dyDescent="0.25">
      <c r="A3005" s="9"/>
      <c r="E3005" s="10"/>
      <c r="K3005" s="11" t="str">
        <f>IF($E3005="","",ROUND($E3005*IF(ISNA(MATCH($C3005,'Paramètres'!$D:$D,0)),1,IF(INDEX('Paramètres'!$J:$J,MATCH($C3005,'Paramètres'!$D:$D,0))="",1,INDEX('Paramètres'!$J:$J,MATCH($C3005,'Paramètres'!$D:$D,0)))),2))</f>
        <v/>
      </c>
      <c r="L3005" s="6" t="str">
        <f>IF($D3005="","",IF($F3005&lt;&gt;"",$F3005,IF(ISNA(MATCH($D3005,'Paramètres'!$M:$M,0)),"⚠ Type inconnu",IFERROR(INDEX('Paramètres'!$P:$P,MATCH($D3005,'Paramètres'!$M:$M,0))&amp;"",""))))</f>
        <v/>
      </c>
      <c r="M3005" s="6" t="str">
        <f>IF($D3005="","",IF(ISNA(MATCH($D3005,'Paramètres'!$M:$M,0)),"⚠ Type inconnu",IF($L3005="Crédit","",IFERROR(INDEX('Paramètres'!$O:$O,MATCH($D3005,'Paramètres'!$M:$M,0))&amp;"",""))))</f>
        <v/>
      </c>
      <c r="N3005" s="6" t="str">
        <f>IF($D3005="","",IFERROR(INDEX('Paramètres'!$Q:$Q,MATCH($D3005,'Paramètres'!$M:$M,0))&amp;"",""))</f>
        <v/>
      </c>
      <c r="O3005" s="6" t="str">
        <f>IF($A3005="","",IF(OR($J3005&lt;&gt;"x",$A3005&lt;=FinReleve),1,0))</f>
        <v/>
      </c>
      <c r="P3005" s="6" t="str">
        <f>IF($D3005="","",IF(AND($L3005="Crédit",OR(IFERROR(INDEX('Paramètres'!$O:$O,MATCH($D3005,'Paramètres'!$M:$M,0))&amp;"","")&lt;&gt;"",ISNUMBER(SEARCH("remboursement",IFERROR(INDEX('Paramètres'!$N:$N,MATCH($D3005,'Paramètres'!$M:$M,0))&amp;"",""))))),1,0))</f>
        <v/>
      </c>
      <c r="Q3005" s="6" t="str">
        <f>IF($K3005="","",IF(ISNUMBER(SEARCH("transfert-interne",IFERROR(INDEX('Paramètres'!$N:$N,MATCH($D3005,'Paramètres'!$M:$M,0))&amp;"",""))),0,IF($L3005="Débit",$K3005,IF($P3005=1,-$K3005,0))))</f>
        <v/>
      </c>
      <c r="R3005" s="6" t="str">
        <f>IF($K3005="","",IF($L3005="Crédit",$K3005,-$K3005))</f>
        <v/>
      </c>
      <c r="S3005" s="6" t="str">
        <f>IF($C3005="","",IFERROR(INDEX('Paramètres'!$H:$H,MATCH($C3005,'Paramètres'!$D:$D,0))&amp;"",""))</f>
        <v/>
      </c>
      <c r="T3005" s="6" t="str">
        <f>IF($K3005="","",IF($S3005="",0,IF(ISNUMBER(SEARCH("apport-exterieur",IFERROR(INDEX('Paramètres'!$N:$N,MATCH($D3005,'Paramètres'!$M:$M,0))&amp;"",""))),0,IF(OR(IFERROR(INDEX('Paramètres'!$I:$I,MATCH($C3005,'Paramètres'!$D:$D,0))&amp;"","")="Les deux",IFERROR(INDEX('Paramètres'!$I:$I,MATCH($C3005,'Paramètres'!$D:$D,0))&amp;"","")=IF($P3005=1,"Débit",$L3005)),-IF($P3005=1,-$K3005,$K3005),0))))</f>
        <v/>
      </c>
      <c r="U3005" s="6" t="str">
        <f>IF($K3005="","",IF(ISNUMBER(SEARCH("sortie-epargne",IFERROR(INDEX('Paramètres'!$N:$N,MATCH($D3005,'Paramètres'!$M:$M,0))&amp;"",""))),$K3005,0))</f>
        <v/>
      </c>
      <c r="V3005" s="6" t="str">
        <f>IF(AND($A3005&lt;&gt;"",$O3005=1,$L3005="Débit",N($Q3005)&gt;0,$A3005&gt;=Visualisation!$B$1,$A3005&lt;Visualisation!$D$1),MAX($V$1:V3004)+1,"")</f>
        <v/>
      </c>
    </row>
    <row r="3006" spans="1:22" x14ac:dyDescent="0.25">
      <c r="A3006" s="9"/>
      <c r="E3006" s="10"/>
      <c r="K3006" s="11" t="str">
        <f>IF($E3006="","",ROUND($E3006*IF(ISNA(MATCH($C3006,'Paramètres'!$D:$D,0)),1,IF(INDEX('Paramètres'!$J:$J,MATCH($C3006,'Paramètres'!$D:$D,0))="",1,INDEX('Paramètres'!$J:$J,MATCH($C3006,'Paramètres'!$D:$D,0)))),2))</f>
        <v/>
      </c>
      <c r="L3006" s="6" t="str">
        <f>IF($D3006="","",IF($F3006&lt;&gt;"",$F3006,IF(ISNA(MATCH($D3006,'Paramètres'!$M:$M,0)),"⚠ Type inconnu",IFERROR(INDEX('Paramètres'!$P:$P,MATCH($D3006,'Paramètres'!$M:$M,0))&amp;"",""))))</f>
        <v/>
      </c>
      <c r="M3006" s="6" t="str">
        <f>IF($D3006="","",IF(ISNA(MATCH($D3006,'Paramètres'!$M:$M,0)),"⚠ Type inconnu",IF($L3006="Crédit","",IFERROR(INDEX('Paramètres'!$O:$O,MATCH($D3006,'Paramètres'!$M:$M,0))&amp;"",""))))</f>
        <v/>
      </c>
      <c r="N3006" s="6" t="str">
        <f>IF($D3006="","",IFERROR(INDEX('Paramètres'!$Q:$Q,MATCH($D3006,'Paramètres'!$M:$M,0))&amp;"",""))</f>
        <v/>
      </c>
      <c r="O3006" s="6" t="str">
        <f>IF($A3006="","",IF(OR($J3006&lt;&gt;"x",$A3006&lt;=FinReleve),1,0))</f>
        <v/>
      </c>
      <c r="P3006" s="6" t="str">
        <f>IF($D3006="","",IF(AND($L3006="Crédit",OR(IFERROR(INDEX('Paramètres'!$O:$O,MATCH($D3006,'Paramètres'!$M:$M,0))&amp;"","")&lt;&gt;"",ISNUMBER(SEARCH("remboursement",IFERROR(INDEX('Paramètres'!$N:$N,MATCH($D3006,'Paramètres'!$M:$M,0))&amp;"",""))))),1,0))</f>
        <v/>
      </c>
      <c r="Q3006" s="6" t="str">
        <f>IF($K3006="","",IF(ISNUMBER(SEARCH("transfert-interne",IFERROR(INDEX('Paramètres'!$N:$N,MATCH($D3006,'Paramètres'!$M:$M,0))&amp;"",""))),0,IF($L3006="Débit",$K3006,IF($P3006=1,-$K3006,0))))</f>
        <v/>
      </c>
      <c r="R3006" s="6" t="str">
        <f>IF($K3006="","",IF($L3006="Crédit",$K3006,-$K3006))</f>
        <v/>
      </c>
      <c r="S3006" s="6" t="str">
        <f>IF($C3006="","",IFERROR(INDEX('Paramètres'!$H:$H,MATCH($C3006,'Paramètres'!$D:$D,0))&amp;"",""))</f>
        <v/>
      </c>
      <c r="T3006" s="6" t="str">
        <f>IF($K3006="","",IF($S3006="",0,IF(ISNUMBER(SEARCH("apport-exterieur",IFERROR(INDEX('Paramètres'!$N:$N,MATCH($D3006,'Paramètres'!$M:$M,0))&amp;"",""))),0,IF(OR(IFERROR(INDEX('Paramètres'!$I:$I,MATCH($C3006,'Paramètres'!$D:$D,0))&amp;"","")="Les deux",IFERROR(INDEX('Paramètres'!$I:$I,MATCH($C3006,'Paramètres'!$D:$D,0))&amp;"","")=IF($P3006=1,"Débit",$L3006)),-IF($P3006=1,-$K3006,$K3006),0))))</f>
        <v/>
      </c>
      <c r="U3006" s="6" t="str">
        <f>IF($K3006="","",IF(ISNUMBER(SEARCH("sortie-epargne",IFERROR(INDEX('Paramètres'!$N:$N,MATCH($D3006,'Paramètres'!$M:$M,0))&amp;"",""))),$K3006,0))</f>
        <v/>
      </c>
      <c r="V3006" s="6" t="str">
        <f>IF(AND($A3006&lt;&gt;"",$O3006=1,$L3006="Débit",N($Q3006)&gt;0,$A3006&gt;=Visualisation!$B$1,$A3006&lt;Visualisation!$D$1),MAX($V$1:V3005)+1,"")</f>
        <v/>
      </c>
    </row>
    <row r="3007" spans="1:22" x14ac:dyDescent="0.25">
      <c r="A3007" s="9"/>
      <c r="E3007" s="10"/>
      <c r="K3007" s="11" t="str">
        <f>IF($E3007="","",ROUND($E3007*IF(ISNA(MATCH($C3007,'Paramètres'!$D:$D,0)),1,IF(INDEX('Paramètres'!$J:$J,MATCH($C3007,'Paramètres'!$D:$D,0))="",1,INDEX('Paramètres'!$J:$J,MATCH($C3007,'Paramètres'!$D:$D,0)))),2))</f>
        <v/>
      </c>
      <c r="L3007" s="6" t="str">
        <f>IF($D3007="","",IF($F3007&lt;&gt;"",$F3007,IF(ISNA(MATCH($D3007,'Paramètres'!$M:$M,0)),"⚠ Type inconnu",IFERROR(INDEX('Paramètres'!$P:$P,MATCH($D3007,'Paramètres'!$M:$M,0))&amp;"",""))))</f>
        <v/>
      </c>
      <c r="M3007" s="6" t="str">
        <f>IF($D3007="","",IF(ISNA(MATCH($D3007,'Paramètres'!$M:$M,0)),"⚠ Type inconnu",IF($L3007="Crédit","",IFERROR(INDEX('Paramètres'!$O:$O,MATCH($D3007,'Paramètres'!$M:$M,0))&amp;"",""))))</f>
        <v/>
      </c>
      <c r="N3007" s="6" t="str">
        <f>IF($D3007="","",IFERROR(INDEX('Paramètres'!$Q:$Q,MATCH($D3007,'Paramètres'!$M:$M,0))&amp;"",""))</f>
        <v/>
      </c>
      <c r="O3007" s="6" t="str">
        <f>IF($A3007="","",IF(OR($J3007&lt;&gt;"x",$A3007&lt;=FinReleve),1,0))</f>
        <v/>
      </c>
      <c r="P3007" s="6" t="str">
        <f>IF($D3007="","",IF(AND($L3007="Crédit",OR(IFERROR(INDEX('Paramètres'!$O:$O,MATCH($D3007,'Paramètres'!$M:$M,0))&amp;"","")&lt;&gt;"",ISNUMBER(SEARCH("remboursement",IFERROR(INDEX('Paramètres'!$N:$N,MATCH($D3007,'Paramètres'!$M:$M,0))&amp;"",""))))),1,0))</f>
        <v/>
      </c>
      <c r="Q3007" s="6" t="str">
        <f>IF($K3007="","",IF(ISNUMBER(SEARCH("transfert-interne",IFERROR(INDEX('Paramètres'!$N:$N,MATCH($D3007,'Paramètres'!$M:$M,0))&amp;"",""))),0,IF($L3007="Débit",$K3007,IF($P3007=1,-$K3007,0))))</f>
        <v/>
      </c>
      <c r="R3007" s="6" t="str">
        <f>IF($K3007="","",IF($L3007="Crédit",$K3007,-$K3007))</f>
        <v/>
      </c>
      <c r="S3007" s="6" t="str">
        <f>IF($C3007="","",IFERROR(INDEX('Paramètres'!$H:$H,MATCH($C3007,'Paramètres'!$D:$D,0))&amp;"",""))</f>
        <v/>
      </c>
      <c r="T3007" s="6" t="str">
        <f>IF($K3007="","",IF($S3007="",0,IF(ISNUMBER(SEARCH("apport-exterieur",IFERROR(INDEX('Paramètres'!$N:$N,MATCH($D3007,'Paramètres'!$M:$M,0))&amp;"",""))),0,IF(OR(IFERROR(INDEX('Paramètres'!$I:$I,MATCH($C3007,'Paramètres'!$D:$D,0))&amp;"","")="Les deux",IFERROR(INDEX('Paramètres'!$I:$I,MATCH($C3007,'Paramètres'!$D:$D,0))&amp;"","")=IF($P3007=1,"Débit",$L3007)),-IF($P3007=1,-$K3007,$K3007),0))))</f>
        <v/>
      </c>
      <c r="U3007" s="6" t="str">
        <f>IF($K3007="","",IF(ISNUMBER(SEARCH("sortie-epargne",IFERROR(INDEX('Paramètres'!$N:$N,MATCH($D3007,'Paramètres'!$M:$M,0))&amp;"",""))),$K3007,0))</f>
        <v/>
      </c>
      <c r="V3007" s="6" t="str">
        <f>IF(AND($A3007&lt;&gt;"",$O3007=1,$L3007="Débit",N($Q3007)&gt;0,$A3007&gt;=Visualisation!$B$1,$A3007&lt;Visualisation!$D$1),MAX($V$1:V3006)+1,"")</f>
        <v/>
      </c>
    </row>
    <row r="3008" spans="1:22" x14ac:dyDescent="0.25">
      <c r="A3008" s="9"/>
      <c r="E3008" s="10"/>
      <c r="K3008" s="11" t="str">
        <f>IF($E3008="","",ROUND($E3008*IF(ISNA(MATCH($C3008,'Paramètres'!$D:$D,0)),1,IF(INDEX('Paramètres'!$J:$J,MATCH($C3008,'Paramètres'!$D:$D,0))="",1,INDEX('Paramètres'!$J:$J,MATCH($C3008,'Paramètres'!$D:$D,0)))),2))</f>
        <v/>
      </c>
      <c r="L3008" s="6" t="str">
        <f>IF($D3008="","",IF($F3008&lt;&gt;"",$F3008,IF(ISNA(MATCH($D3008,'Paramètres'!$M:$M,0)),"⚠ Type inconnu",IFERROR(INDEX('Paramètres'!$P:$P,MATCH($D3008,'Paramètres'!$M:$M,0))&amp;"",""))))</f>
        <v/>
      </c>
      <c r="M3008" s="6" t="str">
        <f>IF($D3008="","",IF(ISNA(MATCH($D3008,'Paramètres'!$M:$M,0)),"⚠ Type inconnu",IF($L3008="Crédit","",IFERROR(INDEX('Paramètres'!$O:$O,MATCH($D3008,'Paramètres'!$M:$M,0))&amp;"",""))))</f>
        <v/>
      </c>
      <c r="N3008" s="6" t="str">
        <f>IF($D3008="","",IFERROR(INDEX('Paramètres'!$Q:$Q,MATCH($D3008,'Paramètres'!$M:$M,0))&amp;"",""))</f>
        <v/>
      </c>
      <c r="O3008" s="6" t="str">
        <f>IF($A3008="","",IF(OR($J3008&lt;&gt;"x",$A3008&lt;=FinReleve),1,0))</f>
        <v/>
      </c>
      <c r="P3008" s="6" t="str">
        <f>IF($D3008="","",IF(AND($L3008="Crédit",OR(IFERROR(INDEX('Paramètres'!$O:$O,MATCH($D3008,'Paramètres'!$M:$M,0))&amp;"","")&lt;&gt;"",ISNUMBER(SEARCH("remboursement",IFERROR(INDEX('Paramètres'!$N:$N,MATCH($D3008,'Paramètres'!$M:$M,0))&amp;"",""))))),1,0))</f>
        <v/>
      </c>
      <c r="Q3008" s="6" t="str">
        <f>IF($K3008="","",IF(ISNUMBER(SEARCH("transfert-interne",IFERROR(INDEX('Paramètres'!$N:$N,MATCH($D3008,'Paramètres'!$M:$M,0))&amp;"",""))),0,IF($L3008="Débit",$K3008,IF($P3008=1,-$K3008,0))))</f>
        <v/>
      </c>
      <c r="R3008" s="6" t="str">
        <f>IF($K3008="","",IF($L3008="Crédit",$K3008,-$K3008))</f>
        <v/>
      </c>
      <c r="S3008" s="6" t="str">
        <f>IF($C3008="","",IFERROR(INDEX('Paramètres'!$H:$H,MATCH($C3008,'Paramètres'!$D:$D,0))&amp;"",""))</f>
        <v/>
      </c>
      <c r="T3008" s="6" t="str">
        <f>IF($K3008="","",IF($S3008="",0,IF(ISNUMBER(SEARCH("apport-exterieur",IFERROR(INDEX('Paramètres'!$N:$N,MATCH($D3008,'Paramètres'!$M:$M,0))&amp;"",""))),0,IF(OR(IFERROR(INDEX('Paramètres'!$I:$I,MATCH($C3008,'Paramètres'!$D:$D,0))&amp;"","")="Les deux",IFERROR(INDEX('Paramètres'!$I:$I,MATCH($C3008,'Paramètres'!$D:$D,0))&amp;"","")=IF($P3008=1,"Débit",$L3008)),-IF($P3008=1,-$K3008,$K3008),0))))</f>
        <v/>
      </c>
      <c r="U3008" s="6" t="str">
        <f>IF($K3008="","",IF(ISNUMBER(SEARCH("sortie-epargne",IFERROR(INDEX('Paramètres'!$N:$N,MATCH($D3008,'Paramètres'!$M:$M,0))&amp;"",""))),$K3008,0))</f>
        <v/>
      </c>
      <c r="V3008" s="6" t="str">
        <f>IF(AND($A3008&lt;&gt;"",$O3008=1,$L3008="Débit",N($Q3008)&gt;0,$A3008&gt;=Visualisation!$B$1,$A3008&lt;Visualisation!$D$1),MAX($V$1:V3007)+1,"")</f>
        <v/>
      </c>
    </row>
    <row r="3009" spans="1:22" x14ac:dyDescent="0.25">
      <c r="A3009" s="9"/>
      <c r="E3009" s="10"/>
      <c r="K3009" s="11" t="str">
        <f>IF($E3009="","",ROUND($E3009*IF(ISNA(MATCH($C3009,'Paramètres'!$D:$D,0)),1,IF(INDEX('Paramètres'!$J:$J,MATCH($C3009,'Paramètres'!$D:$D,0))="",1,INDEX('Paramètres'!$J:$J,MATCH($C3009,'Paramètres'!$D:$D,0)))),2))</f>
        <v/>
      </c>
      <c r="L3009" s="6" t="str">
        <f>IF($D3009="","",IF($F3009&lt;&gt;"",$F3009,IF(ISNA(MATCH($D3009,'Paramètres'!$M:$M,0)),"⚠ Type inconnu",IFERROR(INDEX('Paramètres'!$P:$P,MATCH($D3009,'Paramètres'!$M:$M,0))&amp;"",""))))</f>
        <v/>
      </c>
      <c r="M3009" s="6" t="str">
        <f>IF($D3009="","",IF(ISNA(MATCH($D3009,'Paramètres'!$M:$M,0)),"⚠ Type inconnu",IF($L3009="Crédit","",IFERROR(INDEX('Paramètres'!$O:$O,MATCH($D3009,'Paramètres'!$M:$M,0))&amp;"",""))))</f>
        <v/>
      </c>
      <c r="N3009" s="6" t="str">
        <f>IF($D3009="","",IFERROR(INDEX('Paramètres'!$Q:$Q,MATCH($D3009,'Paramètres'!$M:$M,0))&amp;"",""))</f>
        <v/>
      </c>
      <c r="O3009" s="6" t="str">
        <f>IF($A3009="","",IF(OR($J3009&lt;&gt;"x",$A3009&lt;=FinReleve),1,0))</f>
        <v/>
      </c>
      <c r="P3009" s="6" t="str">
        <f>IF($D3009="","",IF(AND($L3009="Crédit",OR(IFERROR(INDEX('Paramètres'!$O:$O,MATCH($D3009,'Paramètres'!$M:$M,0))&amp;"","")&lt;&gt;"",ISNUMBER(SEARCH("remboursement",IFERROR(INDEX('Paramètres'!$N:$N,MATCH($D3009,'Paramètres'!$M:$M,0))&amp;"",""))))),1,0))</f>
        <v/>
      </c>
      <c r="Q3009" s="6" t="str">
        <f>IF($K3009="","",IF(ISNUMBER(SEARCH("transfert-interne",IFERROR(INDEX('Paramètres'!$N:$N,MATCH($D3009,'Paramètres'!$M:$M,0))&amp;"",""))),0,IF($L3009="Débit",$K3009,IF($P3009=1,-$K3009,0))))</f>
        <v/>
      </c>
      <c r="R3009" s="6" t="str">
        <f>IF($K3009="","",IF($L3009="Crédit",$K3009,-$K3009))</f>
        <v/>
      </c>
      <c r="S3009" s="6" t="str">
        <f>IF($C3009="","",IFERROR(INDEX('Paramètres'!$H:$H,MATCH($C3009,'Paramètres'!$D:$D,0))&amp;"",""))</f>
        <v/>
      </c>
      <c r="T3009" s="6" t="str">
        <f>IF($K3009="","",IF($S3009="",0,IF(ISNUMBER(SEARCH("apport-exterieur",IFERROR(INDEX('Paramètres'!$N:$N,MATCH($D3009,'Paramètres'!$M:$M,0))&amp;"",""))),0,IF(OR(IFERROR(INDEX('Paramètres'!$I:$I,MATCH($C3009,'Paramètres'!$D:$D,0))&amp;"","")="Les deux",IFERROR(INDEX('Paramètres'!$I:$I,MATCH($C3009,'Paramètres'!$D:$D,0))&amp;"","")=IF($P3009=1,"Débit",$L3009)),-IF($P3009=1,-$K3009,$K3009),0))))</f>
        <v/>
      </c>
      <c r="U3009" s="6" t="str">
        <f>IF($K3009="","",IF(ISNUMBER(SEARCH("sortie-epargne",IFERROR(INDEX('Paramètres'!$N:$N,MATCH($D3009,'Paramètres'!$M:$M,0))&amp;"",""))),$K3009,0))</f>
        <v/>
      </c>
      <c r="V3009" s="6" t="str">
        <f>IF(AND($A3009&lt;&gt;"",$O3009=1,$L3009="Débit",N($Q3009)&gt;0,$A3009&gt;=Visualisation!$B$1,$A3009&lt;Visualisation!$D$1),MAX($V$1:V3008)+1,"")</f>
        <v/>
      </c>
    </row>
    <row r="3010" spans="1:22" x14ac:dyDescent="0.25">
      <c r="A3010" s="9"/>
      <c r="E3010" s="10"/>
      <c r="K3010" s="11" t="str">
        <f>IF($E3010="","",ROUND($E3010*IF(ISNA(MATCH($C3010,'Paramètres'!$D:$D,0)),1,IF(INDEX('Paramètres'!$J:$J,MATCH($C3010,'Paramètres'!$D:$D,0))="",1,INDEX('Paramètres'!$J:$J,MATCH($C3010,'Paramètres'!$D:$D,0)))),2))</f>
        <v/>
      </c>
      <c r="L3010" s="6" t="str">
        <f>IF($D3010="","",IF($F3010&lt;&gt;"",$F3010,IF(ISNA(MATCH($D3010,'Paramètres'!$M:$M,0)),"⚠ Type inconnu",IFERROR(INDEX('Paramètres'!$P:$P,MATCH($D3010,'Paramètres'!$M:$M,0))&amp;"",""))))</f>
        <v/>
      </c>
      <c r="M3010" s="6" t="str">
        <f>IF($D3010="","",IF(ISNA(MATCH($D3010,'Paramètres'!$M:$M,0)),"⚠ Type inconnu",IF($L3010="Crédit","",IFERROR(INDEX('Paramètres'!$O:$O,MATCH($D3010,'Paramètres'!$M:$M,0))&amp;"",""))))</f>
        <v/>
      </c>
      <c r="N3010" s="6" t="str">
        <f>IF($D3010="","",IFERROR(INDEX('Paramètres'!$Q:$Q,MATCH($D3010,'Paramètres'!$M:$M,0))&amp;"",""))</f>
        <v/>
      </c>
      <c r="O3010" s="6" t="str">
        <f>IF($A3010="","",IF(OR($J3010&lt;&gt;"x",$A3010&lt;=FinReleve),1,0))</f>
        <v/>
      </c>
      <c r="P3010" s="6" t="str">
        <f>IF($D3010="","",IF(AND($L3010="Crédit",OR(IFERROR(INDEX('Paramètres'!$O:$O,MATCH($D3010,'Paramètres'!$M:$M,0))&amp;"","")&lt;&gt;"",ISNUMBER(SEARCH("remboursement",IFERROR(INDEX('Paramètres'!$N:$N,MATCH($D3010,'Paramètres'!$M:$M,0))&amp;"",""))))),1,0))</f>
        <v/>
      </c>
      <c r="Q3010" s="6" t="str">
        <f>IF($K3010="","",IF(ISNUMBER(SEARCH("transfert-interne",IFERROR(INDEX('Paramètres'!$N:$N,MATCH($D3010,'Paramètres'!$M:$M,0))&amp;"",""))),0,IF($L3010="Débit",$K3010,IF($P3010=1,-$K3010,0))))</f>
        <v/>
      </c>
      <c r="R3010" s="6" t="str">
        <f>IF($K3010="","",IF($L3010="Crédit",$K3010,-$K3010))</f>
        <v/>
      </c>
      <c r="S3010" s="6" t="str">
        <f>IF($C3010="","",IFERROR(INDEX('Paramètres'!$H:$H,MATCH($C3010,'Paramètres'!$D:$D,0))&amp;"",""))</f>
        <v/>
      </c>
      <c r="T3010" s="6" t="str">
        <f>IF($K3010="","",IF($S3010="",0,IF(ISNUMBER(SEARCH("apport-exterieur",IFERROR(INDEX('Paramètres'!$N:$N,MATCH($D3010,'Paramètres'!$M:$M,0))&amp;"",""))),0,IF(OR(IFERROR(INDEX('Paramètres'!$I:$I,MATCH($C3010,'Paramètres'!$D:$D,0))&amp;"","")="Les deux",IFERROR(INDEX('Paramètres'!$I:$I,MATCH($C3010,'Paramètres'!$D:$D,0))&amp;"","")=IF($P3010=1,"Débit",$L3010)),-IF($P3010=1,-$K3010,$K3010),0))))</f>
        <v/>
      </c>
      <c r="U3010" s="6" t="str">
        <f>IF($K3010="","",IF(ISNUMBER(SEARCH("sortie-epargne",IFERROR(INDEX('Paramètres'!$N:$N,MATCH($D3010,'Paramètres'!$M:$M,0))&amp;"",""))),$K3010,0))</f>
        <v/>
      </c>
      <c r="V3010" s="6" t="str">
        <f>IF(AND($A3010&lt;&gt;"",$O3010=1,$L3010="Débit",N($Q3010)&gt;0,$A3010&gt;=Visualisation!$B$1,$A3010&lt;Visualisation!$D$1),MAX($V$1:V3009)+1,"")</f>
        <v/>
      </c>
    </row>
    <row r="3011" spans="1:22" x14ac:dyDescent="0.25">
      <c r="A3011" s="9"/>
      <c r="E3011" s="10"/>
      <c r="K3011" s="11" t="str">
        <f>IF($E3011="","",ROUND($E3011*IF(ISNA(MATCH($C3011,'Paramètres'!$D:$D,0)),1,IF(INDEX('Paramètres'!$J:$J,MATCH($C3011,'Paramètres'!$D:$D,0))="",1,INDEX('Paramètres'!$J:$J,MATCH($C3011,'Paramètres'!$D:$D,0)))),2))</f>
        <v/>
      </c>
      <c r="L3011" s="6" t="str">
        <f>IF($D3011="","",IF($F3011&lt;&gt;"",$F3011,IF(ISNA(MATCH($D3011,'Paramètres'!$M:$M,0)),"⚠ Type inconnu",IFERROR(INDEX('Paramètres'!$P:$P,MATCH($D3011,'Paramètres'!$M:$M,0))&amp;"",""))))</f>
        <v/>
      </c>
      <c r="M3011" s="6" t="str">
        <f>IF($D3011="","",IF(ISNA(MATCH($D3011,'Paramètres'!$M:$M,0)),"⚠ Type inconnu",IF($L3011="Crédit","",IFERROR(INDEX('Paramètres'!$O:$O,MATCH($D3011,'Paramètres'!$M:$M,0))&amp;"",""))))</f>
        <v/>
      </c>
      <c r="N3011" s="6" t="str">
        <f>IF($D3011="","",IFERROR(INDEX('Paramètres'!$Q:$Q,MATCH($D3011,'Paramètres'!$M:$M,0))&amp;"",""))</f>
        <v/>
      </c>
      <c r="O3011" s="6" t="str">
        <f>IF($A3011="","",IF(OR($J3011&lt;&gt;"x",$A3011&lt;=FinReleve),1,0))</f>
        <v/>
      </c>
      <c r="P3011" s="6" t="str">
        <f>IF($D3011="","",IF(AND($L3011="Crédit",OR(IFERROR(INDEX('Paramètres'!$O:$O,MATCH($D3011,'Paramètres'!$M:$M,0))&amp;"","")&lt;&gt;"",ISNUMBER(SEARCH("remboursement",IFERROR(INDEX('Paramètres'!$N:$N,MATCH($D3011,'Paramètres'!$M:$M,0))&amp;"",""))))),1,0))</f>
        <v/>
      </c>
      <c r="Q3011" s="6" t="str">
        <f>IF($K3011="","",IF(ISNUMBER(SEARCH("transfert-interne",IFERROR(INDEX('Paramètres'!$N:$N,MATCH($D3011,'Paramètres'!$M:$M,0))&amp;"",""))),0,IF($L3011="Débit",$K3011,IF($P3011=1,-$K3011,0))))</f>
        <v/>
      </c>
      <c r="R3011" s="6" t="str">
        <f>IF($K3011="","",IF($L3011="Crédit",$K3011,-$K3011))</f>
        <v/>
      </c>
      <c r="S3011" s="6" t="str">
        <f>IF($C3011="","",IFERROR(INDEX('Paramètres'!$H:$H,MATCH($C3011,'Paramètres'!$D:$D,0))&amp;"",""))</f>
        <v/>
      </c>
      <c r="T3011" s="6" t="str">
        <f>IF($K3011="","",IF($S3011="",0,IF(ISNUMBER(SEARCH("apport-exterieur",IFERROR(INDEX('Paramètres'!$N:$N,MATCH($D3011,'Paramètres'!$M:$M,0))&amp;"",""))),0,IF(OR(IFERROR(INDEX('Paramètres'!$I:$I,MATCH($C3011,'Paramètres'!$D:$D,0))&amp;"","")="Les deux",IFERROR(INDEX('Paramètres'!$I:$I,MATCH($C3011,'Paramètres'!$D:$D,0))&amp;"","")=IF($P3011=1,"Débit",$L3011)),-IF($P3011=1,-$K3011,$K3011),0))))</f>
        <v/>
      </c>
      <c r="U3011" s="6" t="str">
        <f>IF($K3011="","",IF(ISNUMBER(SEARCH("sortie-epargne",IFERROR(INDEX('Paramètres'!$N:$N,MATCH($D3011,'Paramètres'!$M:$M,0))&amp;"",""))),$K3011,0))</f>
        <v/>
      </c>
      <c r="V3011" s="6" t="str">
        <f>IF(AND($A3011&lt;&gt;"",$O3011=1,$L3011="Débit",N($Q3011)&gt;0,$A3011&gt;=Visualisation!$B$1,$A3011&lt;Visualisation!$D$1),MAX($V$1:V3010)+1,"")</f>
        <v/>
      </c>
    </row>
    <row r="3012" spans="1:22" x14ac:dyDescent="0.25">
      <c r="A3012" s="9"/>
      <c r="E3012" s="10"/>
      <c r="K3012" s="11" t="str">
        <f>IF($E3012="","",ROUND($E3012*IF(ISNA(MATCH($C3012,'Paramètres'!$D:$D,0)),1,IF(INDEX('Paramètres'!$J:$J,MATCH($C3012,'Paramètres'!$D:$D,0))="",1,INDEX('Paramètres'!$J:$J,MATCH($C3012,'Paramètres'!$D:$D,0)))),2))</f>
        <v/>
      </c>
      <c r="L3012" s="6" t="str">
        <f>IF($D3012="","",IF($F3012&lt;&gt;"",$F3012,IF(ISNA(MATCH($D3012,'Paramètres'!$M:$M,0)),"⚠ Type inconnu",IFERROR(INDEX('Paramètres'!$P:$P,MATCH($D3012,'Paramètres'!$M:$M,0))&amp;"",""))))</f>
        <v/>
      </c>
      <c r="M3012" s="6" t="str">
        <f>IF($D3012="","",IF(ISNA(MATCH($D3012,'Paramètres'!$M:$M,0)),"⚠ Type inconnu",IF($L3012="Crédit","",IFERROR(INDEX('Paramètres'!$O:$O,MATCH($D3012,'Paramètres'!$M:$M,0))&amp;"",""))))</f>
        <v/>
      </c>
      <c r="N3012" s="6" t="str">
        <f>IF($D3012="","",IFERROR(INDEX('Paramètres'!$Q:$Q,MATCH($D3012,'Paramètres'!$M:$M,0))&amp;"",""))</f>
        <v/>
      </c>
      <c r="O3012" s="6" t="str">
        <f>IF($A3012="","",IF(OR($J3012&lt;&gt;"x",$A3012&lt;=FinReleve),1,0))</f>
        <v/>
      </c>
      <c r="P3012" s="6" t="str">
        <f>IF($D3012="","",IF(AND($L3012="Crédit",OR(IFERROR(INDEX('Paramètres'!$O:$O,MATCH($D3012,'Paramètres'!$M:$M,0))&amp;"","")&lt;&gt;"",ISNUMBER(SEARCH("remboursement",IFERROR(INDEX('Paramètres'!$N:$N,MATCH($D3012,'Paramètres'!$M:$M,0))&amp;"",""))))),1,0))</f>
        <v/>
      </c>
      <c r="Q3012" s="6" t="str">
        <f>IF($K3012="","",IF(ISNUMBER(SEARCH("transfert-interne",IFERROR(INDEX('Paramètres'!$N:$N,MATCH($D3012,'Paramètres'!$M:$M,0))&amp;"",""))),0,IF($L3012="Débit",$K3012,IF($P3012=1,-$K3012,0))))</f>
        <v/>
      </c>
      <c r="R3012" s="6" t="str">
        <f>IF($K3012="","",IF($L3012="Crédit",$K3012,-$K3012))</f>
        <v/>
      </c>
      <c r="S3012" s="6" t="str">
        <f>IF($C3012="","",IFERROR(INDEX('Paramètres'!$H:$H,MATCH($C3012,'Paramètres'!$D:$D,0))&amp;"",""))</f>
        <v/>
      </c>
      <c r="T3012" s="6" t="str">
        <f>IF($K3012="","",IF($S3012="",0,IF(ISNUMBER(SEARCH("apport-exterieur",IFERROR(INDEX('Paramètres'!$N:$N,MATCH($D3012,'Paramètres'!$M:$M,0))&amp;"",""))),0,IF(OR(IFERROR(INDEX('Paramètres'!$I:$I,MATCH($C3012,'Paramètres'!$D:$D,0))&amp;"","")="Les deux",IFERROR(INDEX('Paramètres'!$I:$I,MATCH($C3012,'Paramètres'!$D:$D,0))&amp;"","")=IF($P3012=1,"Débit",$L3012)),-IF($P3012=1,-$K3012,$K3012),0))))</f>
        <v/>
      </c>
      <c r="U3012" s="6" t="str">
        <f>IF($K3012="","",IF(ISNUMBER(SEARCH("sortie-epargne",IFERROR(INDEX('Paramètres'!$N:$N,MATCH($D3012,'Paramètres'!$M:$M,0))&amp;"",""))),$K3012,0))</f>
        <v/>
      </c>
      <c r="V3012" s="6" t="str">
        <f>IF(AND($A3012&lt;&gt;"",$O3012=1,$L3012="Débit",N($Q3012)&gt;0,$A3012&gt;=Visualisation!$B$1,$A3012&lt;Visualisation!$D$1),MAX($V$1:V3011)+1,"")</f>
        <v/>
      </c>
    </row>
    <row r="3013" spans="1:22" x14ac:dyDescent="0.25">
      <c r="A3013" s="9"/>
      <c r="E3013" s="10"/>
      <c r="K3013" s="11" t="str">
        <f>IF($E3013="","",ROUND($E3013*IF(ISNA(MATCH($C3013,'Paramètres'!$D:$D,0)),1,IF(INDEX('Paramètres'!$J:$J,MATCH($C3013,'Paramètres'!$D:$D,0))="",1,INDEX('Paramètres'!$J:$J,MATCH($C3013,'Paramètres'!$D:$D,0)))),2))</f>
        <v/>
      </c>
      <c r="L3013" s="6" t="str">
        <f>IF($D3013="","",IF($F3013&lt;&gt;"",$F3013,IF(ISNA(MATCH($D3013,'Paramètres'!$M:$M,0)),"⚠ Type inconnu",IFERROR(INDEX('Paramètres'!$P:$P,MATCH($D3013,'Paramètres'!$M:$M,0))&amp;"",""))))</f>
        <v/>
      </c>
      <c r="M3013" s="6" t="str">
        <f>IF($D3013="","",IF(ISNA(MATCH($D3013,'Paramètres'!$M:$M,0)),"⚠ Type inconnu",IF($L3013="Crédit","",IFERROR(INDEX('Paramètres'!$O:$O,MATCH($D3013,'Paramètres'!$M:$M,0))&amp;"",""))))</f>
        <v/>
      </c>
      <c r="N3013" s="6" t="str">
        <f>IF($D3013="","",IFERROR(INDEX('Paramètres'!$Q:$Q,MATCH($D3013,'Paramètres'!$M:$M,0))&amp;"",""))</f>
        <v/>
      </c>
      <c r="O3013" s="6" t="str">
        <f>IF($A3013="","",IF(OR($J3013&lt;&gt;"x",$A3013&lt;=FinReleve),1,0))</f>
        <v/>
      </c>
      <c r="P3013" s="6" t="str">
        <f>IF($D3013="","",IF(AND($L3013="Crédit",OR(IFERROR(INDEX('Paramètres'!$O:$O,MATCH($D3013,'Paramètres'!$M:$M,0))&amp;"","")&lt;&gt;"",ISNUMBER(SEARCH("remboursement",IFERROR(INDEX('Paramètres'!$N:$N,MATCH($D3013,'Paramètres'!$M:$M,0))&amp;"",""))))),1,0))</f>
        <v/>
      </c>
      <c r="Q3013" s="6" t="str">
        <f>IF($K3013="","",IF(ISNUMBER(SEARCH("transfert-interne",IFERROR(INDEX('Paramètres'!$N:$N,MATCH($D3013,'Paramètres'!$M:$M,0))&amp;"",""))),0,IF($L3013="Débit",$K3013,IF($P3013=1,-$K3013,0))))</f>
        <v/>
      </c>
      <c r="R3013" s="6" t="str">
        <f>IF($K3013="","",IF($L3013="Crédit",$K3013,-$K3013))</f>
        <v/>
      </c>
      <c r="S3013" s="6" t="str">
        <f>IF($C3013="","",IFERROR(INDEX('Paramètres'!$H:$H,MATCH($C3013,'Paramètres'!$D:$D,0))&amp;"",""))</f>
        <v/>
      </c>
      <c r="T3013" s="6" t="str">
        <f>IF($K3013="","",IF($S3013="",0,IF(ISNUMBER(SEARCH("apport-exterieur",IFERROR(INDEX('Paramètres'!$N:$N,MATCH($D3013,'Paramètres'!$M:$M,0))&amp;"",""))),0,IF(OR(IFERROR(INDEX('Paramètres'!$I:$I,MATCH($C3013,'Paramètres'!$D:$D,0))&amp;"","")="Les deux",IFERROR(INDEX('Paramètres'!$I:$I,MATCH($C3013,'Paramètres'!$D:$D,0))&amp;"","")=IF($P3013=1,"Débit",$L3013)),-IF($P3013=1,-$K3013,$K3013),0))))</f>
        <v/>
      </c>
      <c r="U3013" s="6" t="str">
        <f>IF($K3013="","",IF(ISNUMBER(SEARCH("sortie-epargne",IFERROR(INDEX('Paramètres'!$N:$N,MATCH($D3013,'Paramètres'!$M:$M,0))&amp;"",""))),$K3013,0))</f>
        <v/>
      </c>
      <c r="V3013" s="6" t="str">
        <f>IF(AND($A3013&lt;&gt;"",$O3013=1,$L3013="Débit",N($Q3013)&gt;0,$A3013&gt;=Visualisation!$B$1,$A3013&lt;Visualisation!$D$1),MAX($V$1:V3012)+1,"")</f>
        <v/>
      </c>
    </row>
    <row r="3014" spans="1:22" x14ac:dyDescent="0.25">
      <c r="A3014" s="9"/>
      <c r="E3014" s="10"/>
      <c r="K3014" s="11" t="str">
        <f>IF($E3014="","",ROUND($E3014*IF(ISNA(MATCH($C3014,'Paramètres'!$D:$D,0)),1,IF(INDEX('Paramètres'!$J:$J,MATCH($C3014,'Paramètres'!$D:$D,0))="",1,INDEX('Paramètres'!$J:$J,MATCH($C3014,'Paramètres'!$D:$D,0)))),2))</f>
        <v/>
      </c>
      <c r="L3014" s="6" t="str">
        <f>IF($D3014="","",IF($F3014&lt;&gt;"",$F3014,IF(ISNA(MATCH($D3014,'Paramètres'!$M:$M,0)),"⚠ Type inconnu",IFERROR(INDEX('Paramètres'!$P:$P,MATCH($D3014,'Paramètres'!$M:$M,0))&amp;"",""))))</f>
        <v/>
      </c>
      <c r="M3014" s="6" t="str">
        <f>IF($D3014="","",IF(ISNA(MATCH($D3014,'Paramètres'!$M:$M,0)),"⚠ Type inconnu",IF($L3014="Crédit","",IFERROR(INDEX('Paramètres'!$O:$O,MATCH($D3014,'Paramètres'!$M:$M,0))&amp;"",""))))</f>
        <v/>
      </c>
      <c r="N3014" s="6" t="str">
        <f>IF($D3014="","",IFERROR(INDEX('Paramètres'!$Q:$Q,MATCH($D3014,'Paramètres'!$M:$M,0))&amp;"",""))</f>
        <v/>
      </c>
      <c r="O3014" s="6" t="str">
        <f>IF($A3014="","",IF(OR($J3014&lt;&gt;"x",$A3014&lt;=FinReleve),1,0))</f>
        <v/>
      </c>
      <c r="P3014" s="6" t="str">
        <f>IF($D3014="","",IF(AND($L3014="Crédit",OR(IFERROR(INDEX('Paramètres'!$O:$O,MATCH($D3014,'Paramètres'!$M:$M,0))&amp;"","")&lt;&gt;"",ISNUMBER(SEARCH("remboursement",IFERROR(INDEX('Paramètres'!$N:$N,MATCH($D3014,'Paramètres'!$M:$M,0))&amp;"",""))))),1,0))</f>
        <v/>
      </c>
      <c r="Q3014" s="6" t="str">
        <f>IF($K3014="","",IF(ISNUMBER(SEARCH("transfert-interne",IFERROR(INDEX('Paramètres'!$N:$N,MATCH($D3014,'Paramètres'!$M:$M,0))&amp;"",""))),0,IF($L3014="Débit",$K3014,IF($P3014=1,-$K3014,0))))</f>
        <v/>
      </c>
      <c r="R3014" s="6" t="str">
        <f>IF($K3014="","",IF($L3014="Crédit",$K3014,-$K3014))</f>
        <v/>
      </c>
      <c r="S3014" s="6" t="str">
        <f>IF($C3014="","",IFERROR(INDEX('Paramètres'!$H:$H,MATCH($C3014,'Paramètres'!$D:$D,0))&amp;"",""))</f>
        <v/>
      </c>
      <c r="T3014" s="6" t="str">
        <f>IF($K3014="","",IF($S3014="",0,IF(ISNUMBER(SEARCH("apport-exterieur",IFERROR(INDEX('Paramètres'!$N:$N,MATCH($D3014,'Paramètres'!$M:$M,0))&amp;"",""))),0,IF(OR(IFERROR(INDEX('Paramètres'!$I:$I,MATCH($C3014,'Paramètres'!$D:$D,0))&amp;"","")="Les deux",IFERROR(INDEX('Paramètres'!$I:$I,MATCH($C3014,'Paramètres'!$D:$D,0))&amp;"","")=IF($P3014=1,"Débit",$L3014)),-IF($P3014=1,-$K3014,$K3014),0))))</f>
        <v/>
      </c>
      <c r="U3014" s="6" t="str">
        <f>IF($K3014="","",IF(ISNUMBER(SEARCH("sortie-epargne",IFERROR(INDEX('Paramètres'!$N:$N,MATCH($D3014,'Paramètres'!$M:$M,0))&amp;"",""))),$K3014,0))</f>
        <v/>
      </c>
      <c r="V3014" s="6" t="str">
        <f>IF(AND($A3014&lt;&gt;"",$O3014=1,$L3014="Débit",N($Q3014)&gt;0,$A3014&gt;=Visualisation!$B$1,$A3014&lt;Visualisation!$D$1),MAX($V$1:V3013)+1,"")</f>
        <v/>
      </c>
    </row>
    <row r="3015" spans="1:22" x14ac:dyDescent="0.25">
      <c r="A3015" s="9"/>
      <c r="E3015" s="10"/>
      <c r="K3015" s="11" t="str">
        <f>IF($E3015="","",ROUND($E3015*IF(ISNA(MATCH($C3015,'Paramètres'!$D:$D,0)),1,IF(INDEX('Paramètres'!$J:$J,MATCH($C3015,'Paramètres'!$D:$D,0))="",1,INDEX('Paramètres'!$J:$J,MATCH($C3015,'Paramètres'!$D:$D,0)))),2))</f>
        <v/>
      </c>
      <c r="L3015" s="6" t="str">
        <f>IF($D3015="","",IF($F3015&lt;&gt;"",$F3015,IF(ISNA(MATCH($D3015,'Paramètres'!$M:$M,0)),"⚠ Type inconnu",IFERROR(INDEX('Paramètres'!$P:$P,MATCH($D3015,'Paramètres'!$M:$M,0))&amp;"",""))))</f>
        <v/>
      </c>
      <c r="M3015" s="6" t="str">
        <f>IF($D3015="","",IF(ISNA(MATCH($D3015,'Paramètres'!$M:$M,0)),"⚠ Type inconnu",IF($L3015="Crédit","",IFERROR(INDEX('Paramètres'!$O:$O,MATCH($D3015,'Paramètres'!$M:$M,0))&amp;"",""))))</f>
        <v/>
      </c>
      <c r="N3015" s="6" t="str">
        <f>IF($D3015="","",IFERROR(INDEX('Paramètres'!$Q:$Q,MATCH($D3015,'Paramètres'!$M:$M,0))&amp;"",""))</f>
        <v/>
      </c>
      <c r="O3015" s="6" t="str">
        <f>IF($A3015="","",IF(OR($J3015&lt;&gt;"x",$A3015&lt;=FinReleve),1,0))</f>
        <v/>
      </c>
      <c r="P3015" s="6" t="str">
        <f>IF($D3015="","",IF(AND($L3015="Crédit",OR(IFERROR(INDEX('Paramètres'!$O:$O,MATCH($D3015,'Paramètres'!$M:$M,0))&amp;"","")&lt;&gt;"",ISNUMBER(SEARCH("remboursement",IFERROR(INDEX('Paramètres'!$N:$N,MATCH($D3015,'Paramètres'!$M:$M,0))&amp;"",""))))),1,0))</f>
        <v/>
      </c>
      <c r="Q3015" s="6" t="str">
        <f>IF($K3015="","",IF(ISNUMBER(SEARCH("transfert-interne",IFERROR(INDEX('Paramètres'!$N:$N,MATCH($D3015,'Paramètres'!$M:$M,0))&amp;"",""))),0,IF($L3015="Débit",$K3015,IF($P3015=1,-$K3015,0))))</f>
        <v/>
      </c>
      <c r="R3015" s="6" t="str">
        <f>IF($K3015="","",IF($L3015="Crédit",$K3015,-$K3015))</f>
        <v/>
      </c>
      <c r="S3015" s="6" t="str">
        <f>IF($C3015="","",IFERROR(INDEX('Paramètres'!$H:$H,MATCH($C3015,'Paramètres'!$D:$D,0))&amp;"",""))</f>
        <v/>
      </c>
      <c r="T3015" s="6" t="str">
        <f>IF($K3015="","",IF($S3015="",0,IF(ISNUMBER(SEARCH("apport-exterieur",IFERROR(INDEX('Paramètres'!$N:$N,MATCH($D3015,'Paramètres'!$M:$M,0))&amp;"",""))),0,IF(OR(IFERROR(INDEX('Paramètres'!$I:$I,MATCH($C3015,'Paramètres'!$D:$D,0))&amp;"","")="Les deux",IFERROR(INDEX('Paramètres'!$I:$I,MATCH($C3015,'Paramètres'!$D:$D,0))&amp;"","")=IF($P3015=1,"Débit",$L3015)),-IF($P3015=1,-$K3015,$K3015),0))))</f>
        <v/>
      </c>
      <c r="U3015" s="6" t="str">
        <f>IF($K3015="","",IF(ISNUMBER(SEARCH("sortie-epargne",IFERROR(INDEX('Paramètres'!$N:$N,MATCH($D3015,'Paramètres'!$M:$M,0))&amp;"",""))),$K3015,0))</f>
        <v/>
      </c>
      <c r="V3015" s="6" t="str">
        <f>IF(AND($A3015&lt;&gt;"",$O3015=1,$L3015="Débit",N($Q3015)&gt;0,$A3015&gt;=Visualisation!$B$1,$A3015&lt;Visualisation!$D$1),MAX($V$1:V3014)+1,"")</f>
        <v/>
      </c>
    </row>
    <row r="3016" spans="1:22" x14ac:dyDescent="0.25">
      <c r="A3016" s="9"/>
      <c r="E3016" s="10"/>
      <c r="K3016" s="11" t="str">
        <f>IF($E3016="","",ROUND($E3016*IF(ISNA(MATCH($C3016,'Paramètres'!$D:$D,0)),1,IF(INDEX('Paramètres'!$J:$J,MATCH($C3016,'Paramètres'!$D:$D,0))="",1,INDEX('Paramètres'!$J:$J,MATCH($C3016,'Paramètres'!$D:$D,0)))),2))</f>
        <v/>
      </c>
      <c r="L3016" s="6" t="str">
        <f>IF($D3016="","",IF($F3016&lt;&gt;"",$F3016,IF(ISNA(MATCH($D3016,'Paramètres'!$M:$M,0)),"⚠ Type inconnu",IFERROR(INDEX('Paramètres'!$P:$P,MATCH($D3016,'Paramètres'!$M:$M,0))&amp;"",""))))</f>
        <v/>
      </c>
      <c r="M3016" s="6" t="str">
        <f>IF($D3016="","",IF(ISNA(MATCH($D3016,'Paramètres'!$M:$M,0)),"⚠ Type inconnu",IF($L3016="Crédit","",IFERROR(INDEX('Paramètres'!$O:$O,MATCH($D3016,'Paramètres'!$M:$M,0))&amp;"",""))))</f>
        <v/>
      </c>
      <c r="N3016" s="6" t="str">
        <f>IF($D3016="","",IFERROR(INDEX('Paramètres'!$Q:$Q,MATCH($D3016,'Paramètres'!$M:$M,0))&amp;"",""))</f>
        <v/>
      </c>
      <c r="O3016" s="6" t="str">
        <f>IF($A3016="","",IF(OR($J3016&lt;&gt;"x",$A3016&lt;=FinReleve),1,0))</f>
        <v/>
      </c>
      <c r="P3016" s="6" t="str">
        <f>IF($D3016="","",IF(AND($L3016="Crédit",OR(IFERROR(INDEX('Paramètres'!$O:$O,MATCH($D3016,'Paramètres'!$M:$M,0))&amp;"","")&lt;&gt;"",ISNUMBER(SEARCH("remboursement",IFERROR(INDEX('Paramètres'!$N:$N,MATCH($D3016,'Paramètres'!$M:$M,0))&amp;"",""))))),1,0))</f>
        <v/>
      </c>
      <c r="Q3016" s="6" t="str">
        <f>IF($K3016="","",IF(ISNUMBER(SEARCH("transfert-interne",IFERROR(INDEX('Paramètres'!$N:$N,MATCH($D3016,'Paramètres'!$M:$M,0))&amp;"",""))),0,IF($L3016="Débit",$K3016,IF($P3016=1,-$K3016,0))))</f>
        <v/>
      </c>
      <c r="R3016" s="6" t="str">
        <f>IF($K3016="","",IF($L3016="Crédit",$K3016,-$K3016))</f>
        <v/>
      </c>
      <c r="S3016" s="6" t="str">
        <f>IF($C3016="","",IFERROR(INDEX('Paramètres'!$H:$H,MATCH($C3016,'Paramètres'!$D:$D,0))&amp;"",""))</f>
        <v/>
      </c>
      <c r="T3016" s="6" t="str">
        <f>IF($K3016="","",IF($S3016="",0,IF(ISNUMBER(SEARCH("apport-exterieur",IFERROR(INDEX('Paramètres'!$N:$N,MATCH($D3016,'Paramètres'!$M:$M,0))&amp;"",""))),0,IF(OR(IFERROR(INDEX('Paramètres'!$I:$I,MATCH($C3016,'Paramètres'!$D:$D,0))&amp;"","")="Les deux",IFERROR(INDEX('Paramètres'!$I:$I,MATCH($C3016,'Paramètres'!$D:$D,0))&amp;"","")=IF($P3016=1,"Débit",$L3016)),-IF($P3016=1,-$K3016,$K3016),0))))</f>
        <v/>
      </c>
      <c r="U3016" s="6" t="str">
        <f>IF($K3016="","",IF(ISNUMBER(SEARCH("sortie-epargne",IFERROR(INDEX('Paramètres'!$N:$N,MATCH($D3016,'Paramètres'!$M:$M,0))&amp;"",""))),$K3016,0))</f>
        <v/>
      </c>
      <c r="V3016" s="6" t="str">
        <f>IF(AND($A3016&lt;&gt;"",$O3016=1,$L3016="Débit",N($Q3016)&gt;0,$A3016&gt;=Visualisation!$B$1,$A3016&lt;Visualisation!$D$1),MAX($V$1:V3015)+1,"")</f>
        <v/>
      </c>
    </row>
    <row r="3017" spans="1:22" x14ac:dyDescent="0.25">
      <c r="A3017" s="9"/>
      <c r="E3017" s="10"/>
      <c r="K3017" s="11" t="str">
        <f>IF($E3017="","",ROUND($E3017*IF(ISNA(MATCH($C3017,'Paramètres'!$D:$D,0)),1,IF(INDEX('Paramètres'!$J:$J,MATCH($C3017,'Paramètres'!$D:$D,0))="",1,INDEX('Paramètres'!$J:$J,MATCH($C3017,'Paramètres'!$D:$D,0)))),2))</f>
        <v/>
      </c>
      <c r="L3017" s="6" t="str">
        <f>IF($D3017="","",IF($F3017&lt;&gt;"",$F3017,IF(ISNA(MATCH($D3017,'Paramètres'!$M:$M,0)),"⚠ Type inconnu",IFERROR(INDEX('Paramètres'!$P:$P,MATCH($D3017,'Paramètres'!$M:$M,0))&amp;"",""))))</f>
        <v/>
      </c>
      <c r="M3017" s="6" t="str">
        <f>IF($D3017="","",IF(ISNA(MATCH($D3017,'Paramètres'!$M:$M,0)),"⚠ Type inconnu",IF($L3017="Crédit","",IFERROR(INDEX('Paramètres'!$O:$O,MATCH($D3017,'Paramètres'!$M:$M,0))&amp;"",""))))</f>
        <v/>
      </c>
      <c r="N3017" s="6" t="str">
        <f>IF($D3017="","",IFERROR(INDEX('Paramètres'!$Q:$Q,MATCH($D3017,'Paramètres'!$M:$M,0))&amp;"",""))</f>
        <v/>
      </c>
      <c r="O3017" s="6" t="str">
        <f>IF($A3017="","",IF(OR($J3017&lt;&gt;"x",$A3017&lt;=FinReleve),1,0))</f>
        <v/>
      </c>
      <c r="P3017" s="6" t="str">
        <f>IF($D3017="","",IF(AND($L3017="Crédit",OR(IFERROR(INDEX('Paramètres'!$O:$O,MATCH($D3017,'Paramètres'!$M:$M,0))&amp;"","")&lt;&gt;"",ISNUMBER(SEARCH("remboursement",IFERROR(INDEX('Paramètres'!$N:$N,MATCH($D3017,'Paramètres'!$M:$M,0))&amp;"",""))))),1,0))</f>
        <v/>
      </c>
      <c r="Q3017" s="6" t="str">
        <f>IF($K3017="","",IF(ISNUMBER(SEARCH("transfert-interne",IFERROR(INDEX('Paramètres'!$N:$N,MATCH($D3017,'Paramètres'!$M:$M,0))&amp;"",""))),0,IF($L3017="Débit",$K3017,IF($P3017=1,-$K3017,0))))</f>
        <v/>
      </c>
      <c r="R3017" s="6" t="str">
        <f>IF($K3017="","",IF($L3017="Crédit",$K3017,-$K3017))</f>
        <v/>
      </c>
      <c r="S3017" s="6" t="str">
        <f>IF($C3017="","",IFERROR(INDEX('Paramètres'!$H:$H,MATCH($C3017,'Paramètres'!$D:$D,0))&amp;"",""))</f>
        <v/>
      </c>
      <c r="T3017" s="6" t="str">
        <f>IF($K3017="","",IF($S3017="",0,IF(ISNUMBER(SEARCH("apport-exterieur",IFERROR(INDEX('Paramètres'!$N:$N,MATCH($D3017,'Paramètres'!$M:$M,0))&amp;"",""))),0,IF(OR(IFERROR(INDEX('Paramètres'!$I:$I,MATCH($C3017,'Paramètres'!$D:$D,0))&amp;"","")="Les deux",IFERROR(INDEX('Paramètres'!$I:$I,MATCH($C3017,'Paramètres'!$D:$D,0))&amp;"","")=IF($P3017=1,"Débit",$L3017)),-IF($P3017=1,-$K3017,$K3017),0))))</f>
        <v/>
      </c>
      <c r="U3017" s="6" t="str">
        <f>IF($K3017="","",IF(ISNUMBER(SEARCH("sortie-epargne",IFERROR(INDEX('Paramètres'!$N:$N,MATCH($D3017,'Paramètres'!$M:$M,0))&amp;"",""))),$K3017,0))</f>
        <v/>
      </c>
      <c r="V3017" s="6" t="str">
        <f>IF(AND($A3017&lt;&gt;"",$O3017=1,$L3017="Débit",N($Q3017)&gt;0,$A3017&gt;=Visualisation!$B$1,$A3017&lt;Visualisation!$D$1),MAX($V$1:V3016)+1,"")</f>
        <v/>
      </c>
    </row>
    <row r="3018" spans="1:22" x14ac:dyDescent="0.25">
      <c r="A3018" s="9"/>
      <c r="E3018" s="10"/>
      <c r="K3018" s="11" t="str">
        <f>IF($E3018="","",ROUND($E3018*IF(ISNA(MATCH($C3018,'Paramètres'!$D:$D,0)),1,IF(INDEX('Paramètres'!$J:$J,MATCH($C3018,'Paramètres'!$D:$D,0))="",1,INDEX('Paramètres'!$J:$J,MATCH($C3018,'Paramètres'!$D:$D,0)))),2))</f>
        <v/>
      </c>
      <c r="L3018" s="6" t="str">
        <f>IF($D3018="","",IF($F3018&lt;&gt;"",$F3018,IF(ISNA(MATCH($D3018,'Paramètres'!$M:$M,0)),"⚠ Type inconnu",IFERROR(INDEX('Paramètres'!$P:$P,MATCH($D3018,'Paramètres'!$M:$M,0))&amp;"",""))))</f>
        <v/>
      </c>
      <c r="M3018" s="6" t="str">
        <f>IF($D3018="","",IF(ISNA(MATCH($D3018,'Paramètres'!$M:$M,0)),"⚠ Type inconnu",IF($L3018="Crédit","",IFERROR(INDEX('Paramètres'!$O:$O,MATCH($D3018,'Paramètres'!$M:$M,0))&amp;"",""))))</f>
        <v/>
      </c>
      <c r="N3018" s="6" t="str">
        <f>IF($D3018="","",IFERROR(INDEX('Paramètres'!$Q:$Q,MATCH($D3018,'Paramètres'!$M:$M,0))&amp;"",""))</f>
        <v/>
      </c>
      <c r="O3018" s="6" t="str">
        <f>IF($A3018="","",IF(OR($J3018&lt;&gt;"x",$A3018&lt;=FinReleve),1,0))</f>
        <v/>
      </c>
      <c r="P3018" s="6" t="str">
        <f>IF($D3018="","",IF(AND($L3018="Crédit",OR(IFERROR(INDEX('Paramètres'!$O:$O,MATCH($D3018,'Paramètres'!$M:$M,0))&amp;"","")&lt;&gt;"",ISNUMBER(SEARCH("remboursement",IFERROR(INDEX('Paramètres'!$N:$N,MATCH($D3018,'Paramètres'!$M:$M,0))&amp;"",""))))),1,0))</f>
        <v/>
      </c>
      <c r="Q3018" s="6" t="str">
        <f>IF($K3018="","",IF(ISNUMBER(SEARCH("transfert-interne",IFERROR(INDEX('Paramètres'!$N:$N,MATCH($D3018,'Paramètres'!$M:$M,0))&amp;"",""))),0,IF($L3018="Débit",$K3018,IF($P3018=1,-$K3018,0))))</f>
        <v/>
      </c>
      <c r="R3018" s="6" t="str">
        <f>IF($K3018="","",IF($L3018="Crédit",$K3018,-$K3018))</f>
        <v/>
      </c>
      <c r="S3018" s="6" t="str">
        <f>IF($C3018="","",IFERROR(INDEX('Paramètres'!$H:$H,MATCH($C3018,'Paramètres'!$D:$D,0))&amp;"",""))</f>
        <v/>
      </c>
      <c r="T3018" s="6" t="str">
        <f>IF($K3018="","",IF($S3018="",0,IF(ISNUMBER(SEARCH("apport-exterieur",IFERROR(INDEX('Paramètres'!$N:$N,MATCH($D3018,'Paramètres'!$M:$M,0))&amp;"",""))),0,IF(OR(IFERROR(INDEX('Paramètres'!$I:$I,MATCH($C3018,'Paramètres'!$D:$D,0))&amp;"","")="Les deux",IFERROR(INDEX('Paramètres'!$I:$I,MATCH($C3018,'Paramètres'!$D:$D,0))&amp;"","")=IF($P3018=1,"Débit",$L3018)),-IF($P3018=1,-$K3018,$K3018),0))))</f>
        <v/>
      </c>
      <c r="U3018" s="6" t="str">
        <f>IF($K3018="","",IF(ISNUMBER(SEARCH("sortie-epargne",IFERROR(INDEX('Paramètres'!$N:$N,MATCH($D3018,'Paramètres'!$M:$M,0))&amp;"",""))),$K3018,0))</f>
        <v/>
      </c>
      <c r="V3018" s="6" t="str">
        <f>IF(AND($A3018&lt;&gt;"",$O3018=1,$L3018="Débit",N($Q3018)&gt;0,$A3018&gt;=Visualisation!$B$1,$A3018&lt;Visualisation!$D$1),MAX($V$1:V3017)+1,"")</f>
        <v/>
      </c>
    </row>
    <row r="3019" spans="1:22" x14ac:dyDescent="0.25">
      <c r="A3019" s="9"/>
      <c r="E3019" s="10"/>
      <c r="K3019" s="11" t="str">
        <f>IF($E3019="","",ROUND($E3019*IF(ISNA(MATCH($C3019,'Paramètres'!$D:$D,0)),1,IF(INDEX('Paramètres'!$J:$J,MATCH($C3019,'Paramètres'!$D:$D,0))="",1,INDEX('Paramètres'!$J:$J,MATCH($C3019,'Paramètres'!$D:$D,0)))),2))</f>
        <v/>
      </c>
      <c r="L3019" s="6" t="str">
        <f>IF($D3019="","",IF($F3019&lt;&gt;"",$F3019,IF(ISNA(MATCH($D3019,'Paramètres'!$M:$M,0)),"⚠ Type inconnu",IFERROR(INDEX('Paramètres'!$P:$P,MATCH($D3019,'Paramètres'!$M:$M,0))&amp;"",""))))</f>
        <v/>
      </c>
      <c r="M3019" s="6" t="str">
        <f>IF($D3019="","",IF(ISNA(MATCH($D3019,'Paramètres'!$M:$M,0)),"⚠ Type inconnu",IF($L3019="Crédit","",IFERROR(INDEX('Paramètres'!$O:$O,MATCH($D3019,'Paramètres'!$M:$M,0))&amp;"",""))))</f>
        <v/>
      </c>
      <c r="N3019" s="6" t="str">
        <f>IF($D3019="","",IFERROR(INDEX('Paramètres'!$Q:$Q,MATCH($D3019,'Paramètres'!$M:$M,0))&amp;"",""))</f>
        <v/>
      </c>
      <c r="O3019" s="6" t="str">
        <f>IF($A3019="","",IF(OR($J3019&lt;&gt;"x",$A3019&lt;=FinReleve),1,0))</f>
        <v/>
      </c>
      <c r="P3019" s="6" t="str">
        <f>IF($D3019="","",IF(AND($L3019="Crédit",OR(IFERROR(INDEX('Paramètres'!$O:$O,MATCH($D3019,'Paramètres'!$M:$M,0))&amp;"","")&lt;&gt;"",ISNUMBER(SEARCH("remboursement",IFERROR(INDEX('Paramètres'!$N:$N,MATCH($D3019,'Paramètres'!$M:$M,0))&amp;"",""))))),1,0))</f>
        <v/>
      </c>
      <c r="Q3019" s="6" t="str">
        <f>IF($K3019="","",IF(ISNUMBER(SEARCH("transfert-interne",IFERROR(INDEX('Paramètres'!$N:$N,MATCH($D3019,'Paramètres'!$M:$M,0))&amp;"",""))),0,IF($L3019="Débit",$K3019,IF($P3019=1,-$K3019,0))))</f>
        <v/>
      </c>
      <c r="R3019" s="6" t="str">
        <f>IF($K3019="","",IF($L3019="Crédit",$K3019,-$K3019))</f>
        <v/>
      </c>
      <c r="S3019" s="6" t="str">
        <f>IF($C3019="","",IFERROR(INDEX('Paramètres'!$H:$H,MATCH($C3019,'Paramètres'!$D:$D,0))&amp;"",""))</f>
        <v/>
      </c>
      <c r="T3019" s="6" t="str">
        <f>IF($K3019="","",IF($S3019="",0,IF(ISNUMBER(SEARCH("apport-exterieur",IFERROR(INDEX('Paramètres'!$N:$N,MATCH($D3019,'Paramètres'!$M:$M,0))&amp;"",""))),0,IF(OR(IFERROR(INDEX('Paramètres'!$I:$I,MATCH($C3019,'Paramètres'!$D:$D,0))&amp;"","")="Les deux",IFERROR(INDEX('Paramètres'!$I:$I,MATCH($C3019,'Paramètres'!$D:$D,0))&amp;"","")=IF($P3019=1,"Débit",$L3019)),-IF($P3019=1,-$K3019,$K3019),0))))</f>
        <v/>
      </c>
      <c r="U3019" s="6" t="str">
        <f>IF($K3019="","",IF(ISNUMBER(SEARCH("sortie-epargne",IFERROR(INDEX('Paramètres'!$N:$N,MATCH($D3019,'Paramètres'!$M:$M,0))&amp;"",""))),$K3019,0))</f>
        <v/>
      </c>
      <c r="V3019" s="6" t="str">
        <f>IF(AND($A3019&lt;&gt;"",$O3019=1,$L3019="Débit",N($Q3019)&gt;0,$A3019&gt;=Visualisation!$B$1,$A3019&lt;Visualisation!$D$1),MAX($V$1:V3018)+1,"")</f>
        <v/>
      </c>
    </row>
    <row r="3020" spans="1:22" x14ac:dyDescent="0.25">
      <c r="A3020" s="9"/>
      <c r="E3020" s="10"/>
      <c r="K3020" s="11" t="str">
        <f>IF($E3020="","",ROUND($E3020*IF(ISNA(MATCH($C3020,'Paramètres'!$D:$D,0)),1,IF(INDEX('Paramètres'!$J:$J,MATCH($C3020,'Paramètres'!$D:$D,0))="",1,INDEX('Paramètres'!$J:$J,MATCH($C3020,'Paramètres'!$D:$D,0)))),2))</f>
        <v/>
      </c>
      <c r="L3020" s="6" t="str">
        <f>IF($D3020="","",IF($F3020&lt;&gt;"",$F3020,IF(ISNA(MATCH($D3020,'Paramètres'!$M:$M,0)),"⚠ Type inconnu",IFERROR(INDEX('Paramètres'!$P:$P,MATCH($D3020,'Paramètres'!$M:$M,0))&amp;"",""))))</f>
        <v/>
      </c>
      <c r="M3020" s="6" t="str">
        <f>IF($D3020="","",IF(ISNA(MATCH($D3020,'Paramètres'!$M:$M,0)),"⚠ Type inconnu",IF($L3020="Crédit","",IFERROR(INDEX('Paramètres'!$O:$O,MATCH($D3020,'Paramètres'!$M:$M,0))&amp;"",""))))</f>
        <v/>
      </c>
      <c r="N3020" s="6" t="str">
        <f>IF($D3020="","",IFERROR(INDEX('Paramètres'!$Q:$Q,MATCH($D3020,'Paramètres'!$M:$M,0))&amp;"",""))</f>
        <v/>
      </c>
      <c r="O3020" s="6" t="str">
        <f>IF($A3020="","",IF(OR($J3020&lt;&gt;"x",$A3020&lt;=FinReleve),1,0))</f>
        <v/>
      </c>
      <c r="P3020" s="6" t="str">
        <f>IF($D3020="","",IF(AND($L3020="Crédit",OR(IFERROR(INDEX('Paramètres'!$O:$O,MATCH($D3020,'Paramètres'!$M:$M,0))&amp;"","")&lt;&gt;"",ISNUMBER(SEARCH("remboursement",IFERROR(INDEX('Paramètres'!$N:$N,MATCH($D3020,'Paramètres'!$M:$M,0))&amp;"",""))))),1,0))</f>
        <v/>
      </c>
      <c r="Q3020" s="6" t="str">
        <f>IF($K3020="","",IF(ISNUMBER(SEARCH("transfert-interne",IFERROR(INDEX('Paramètres'!$N:$N,MATCH($D3020,'Paramètres'!$M:$M,0))&amp;"",""))),0,IF($L3020="Débit",$K3020,IF($P3020=1,-$K3020,0))))</f>
        <v/>
      </c>
      <c r="R3020" s="6" t="str">
        <f>IF($K3020="","",IF($L3020="Crédit",$K3020,-$K3020))</f>
        <v/>
      </c>
      <c r="S3020" s="6" t="str">
        <f>IF($C3020="","",IFERROR(INDEX('Paramètres'!$H:$H,MATCH($C3020,'Paramètres'!$D:$D,0))&amp;"",""))</f>
        <v/>
      </c>
      <c r="T3020" s="6" t="str">
        <f>IF($K3020="","",IF($S3020="",0,IF(ISNUMBER(SEARCH("apport-exterieur",IFERROR(INDEX('Paramètres'!$N:$N,MATCH($D3020,'Paramètres'!$M:$M,0))&amp;"",""))),0,IF(OR(IFERROR(INDEX('Paramètres'!$I:$I,MATCH($C3020,'Paramètres'!$D:$D,0))&amp;"","")="Les deux",IFERROR(INDEX('Paramètres'!$I:$I,MATCH($C3020,'Paramètres'!$D:$D,0))&amp;"","")=IF($P3020=1,"Débit",$L3020)),-IF($P3020=1,-$K3020,$K3020),0))))</f>
        <v/>
      </c>
      <c r="U3020" s="6" t="str">
        <f>IF($K3020="","",IF(ISNUMBER(SEARCH("sortie-epargne",IFERROR(INDEX('Paramètres'!$N:$N,MATCH($D3020,'Paramètres'!$M:$M,0))&amp;"",""))),$K3020,0))</f>
        <v/>
      </c>
      <c r="V3020" s="6" t="str">
        <f>IF(AND($A3020&lt;&gt;"",$O3020=1,$L3020="Débit",N($Q3020)&gt;0,$A3020&gt;=Visualisation!$B$1,$A3020&lt;Visualisation!$D$1),MAX($V$1:V3019)+1,"")</f>
        <v/>
      </c>
    </row>
    <row r="3021" spans="1:22" x14ac:dyDescent="0.25">
      <c r="A3021" s="9"/>
      <c r="E3021" s="10"/>
      <c r="K3021" s="11" t="str">
        <f>IF($E3021="","",ROUND($E3021*IF(ISNA(MATCH($C3021,'Paramètres'!$D:$D,0)),1,IF(INDEX('Paramètres'!$J:$J,MATCH($C3021,'Paramètres'!$D:$D,0))="",1,INDEX('Paramètres'!$J:$J,MATCH($C3021,'Paramètres'!$D:$D,0)))),2))</f>
        <v/>
      </c>
      <c r="L3021" s="6" t="str">
        <f>IF($D3021="","",IF($F3021&lt;&gt;"",$F3021,IF(ISNA(MATCH($D3021,'Paramètres'!$M:$M,0)),"⚠ Type inconnu",IFERROR(INDEX('Paramètres'!$P:$P,MATCH($D3021,'Paramètres'!$M:$M,0))&amp;"",""))))</f>
        <v/>
      </c>
      <c r="M3021" s="6" t="str">
        <f>IF($D3021="","",IF(ISNA(MATCH($D3021,'Paramètres'!$M:$M,0)),"⚠ Type inconnu",IF($L3021="Crédit","",IFERROR(INDEX('Paramètres'!$O:$O,MATCH($D3021,'Paramètres'!$M:$M,0))&amp;"",""))))</f>
        <v/>
      </c>
      <c r="N3021" s="6" t="str">
        <f>IF($D3021="","",IFERROR(INDEX('Paramètres'!$Q:$Q,MATCH($D3021,'Paramètres'!$M:$M,0))&amp;"",""))</f>
        <v/>
      </c>
      <c r="O3021" s="6" t="str">
        <f>IF($A3021="","",IF(OR($J3021&lt;&gt;"x",$A3021&lt;=FinReleve),1,0))</f>
        <v/>
      </c>
      <c r="P3021" s="6" t="str">
        <f>IF($D3021="","",IF(AND($L3021="Crédit",OR(IFERROR(INDEX('Paramètres'!$O:$O,MATCH($D3021,'Paramètres'!$M:$M,0))&amp;"","")&lt;&gt;"",ISNUMBER(SEARCH("remboursement",IFERROR(INDEX('Paramètres'!$N:$N,MATCH($D3021,'Paramètres'!$M:$M,0))&amp;"",""))))),1,0))</f>
        <v/>
      </c>
      <c r="Q3021" s="6" t="str">
        <f>IF($K3021="","",IF(ISNUMBER(SEARCH("transfert-interne",IFERROR(INDEX('Paramètres'!$N:$N,MATCH($D3021,'Paramètres'!$M:$M,0))&amp;"",""))),0,IF($L3021="Débit",$K3021,IF($P3021=1,-$K3021,0))))</f>
        <v/>
      </c>
      <c r="R3021" s="6" t="str">
        <f>IF($K3021="","",IF($L3021="Crédit",$K3021,-$K3021))</f>
        <v/>
      </c>
      <c r="S3021" s="6" t="str">
        <f>IF($C3021="","",IFERROR(INDEX('Paramètres'!$H:$H,MATCH($C3021,'Paramètres'!$D:$D,0))&amp;"",""))</f>
        <v/>
      </c>
      <c r="T3021" s="6" t="str">
        <f>IF($K3021="","",IF($S3021="",0,IF(ISNUMBER(SEARCH("apport-exterieur",IFERROR(INDEX('Paramètres'!$N:$N,MATCH($D3021,'Paramètres'!$M:$M,0))&amp;"",""))),0,IF(OR(IFERROR(INDEX('Paramètres'!$I:$I,MATCH($C3021,'Paramètres'!$D:$D,0))&amp;"","")="Les deux",IFERROR(INDEX('Paramètres'!$I:$I,MATCH($C3021,'Paramètres'!$D:$D,0))&amp;"","")=IF($P3021=1,"Débit",$L3021)),-IF($P3021=1,-$K3021,$K3021),0))))</f>
        <v/>
      </c>
      <c r="U3021" s="6" t="str">
        <f>IF($K3021="","",IF(ISNUMBER(SEARCH("sortie-epargne",IFERROR(INDEX('Paramètres'!$N:$N,MATCH($D3021,'Paramètres'!$M:$M,0))&amp;"",""))),$K3021,0))</f>
        <v/>
      </c>
      <c r="V3021" s="6" t="str">
        <f>IF(AND($A3021&lt;&gt;"",$O3021=1,$L3021="Débit",N($Q3021)&gt;0,$A3021&gt;=Visualisation!$B$1,$A3021&lt;Visualisation!$D$1),MAX($V$1:V3020)+1,"")</f>
        <v/>
      </c>
    </row>
    <row r="3022" spans="1:22" x14ac:dyDescent="0.25">
      <c r="A3022" s="9"/>
      <c r="E3022" s="10"/>
      <c r="K3022" s="11" t="str">
        <f>IF($E3022="","",ROUND($E3022*IF(ISNA(MATCH($C3022,'Paramètres'!$D:$D,0)),1,IF(INDEX('Paramètres'!$J:$J,MATCH($C3022,'Paramètres'!$D:$D,0))="",1,INDEX('Paramètres'!$J:$J,MATCH($C3022,'Paramètres'!$D:$D,0)))),2))</f>
        <v/>
      </c>
      <c r="L3022" s="6" t="str">
        <f>IF($D3022="","",IF($F3022&lt;&gt;"",$F3022,IF(ISNA(MATCH($D3022,'Paramètres'!$M:$M,0)),"⚠ Type inconnu",IFERROR(INDEX('Paramètres'!$P:$P,MATCH($D3022,'Paramètres'!$M:$M,0))&amp;"",""))))</f>
        <v/>
      </c>
      <c r="M3022" s="6" t="str">
        <f>IF($D3022="","",IF(ISNA(MATCH($D3022,'Paramètres'!$M:$M,0)),"⚠ Type inconnu",IF($L3022="Crédit","",IFERROR(INDEX('Paramètres'!$O:$O,MATCH($D3022,'Paramètres'!$M:$M,0))&amp;"",""))))</f>
        <v/>
      </c>
      <c r="N3022" s="6" t="str">
        <f>IF($D3022="","",IFERROR(INDEX('Paramètres'!$Q:$Q,MATCH($D3022,'Paramètres'!$M:$M,0))&amp;"",""))</f>
        <v/>
      </c>
      <c r="O3022" s="6" t="str">
        <f>IF($A3022="","",IF(OR($J3022&lt;&gt;"x",$A3022&lt;=FinReleve),1,0))</f>
        <v/>
      </c>
      <c r="P3022" s="6" t="str">
        <f>IF($D3022="","",IF(AND($L3022="Crédit",OR(IFERROR(INDEX('Paramètres'!$O:$O,MATCH($D3022,'Paramètres'!$M:$M,0))&amp;"","")&lt;&gt;"",ISNUMBER(SEARCH("remboursement",IFERROR(INDEX('Paramètres'!$N:$N,MATCH($D3022,'Paramètres'!$M:$M,0))&amp;"",""))))),1,0))</f>
        <v/>
      </c>
      <c r="Q3022" s="6" t="str">
        <f>IF($K3022="","",IF(ISNUMBER(SEARCH("transfert-interne",IFERROR(INDEX('Paramètres'!$N:$N,MATCH($D3022,'Paramètres'!$M:$M,0))&amp;"",""))),0,IF($L3022="Débit",$K3022,IF($P3022=1,-$K3022,0))))</f>
        <v/>
      </c>
      <c r="R3022" s="6" t="str">
        <f>IF($K3022="","",IF($L3022="Crédit",$K3022,-$K3022))</f>
        <v/>
      </c>
      <c r="S3022" s="6" t="str">
        <f>IF($C3022="","",IFERROR(INDEX('Paramètres'!$H:$H,MATCH($C3022,'Paramètres'!$D:$D,0))&amp;"",""))</f>
        <v/>
      </c>
      <c r="T3022" s="6" t="str">
        <f>IF($K3022="","",IF($S3022="",0,IF(ISNUMBER(SEARCH("apport-exterieur",IFERROR(INDEX('Paramètres'!$N:$N,MATCH($D3022,'Paramètres'!$M:$M,0))&amp;"",""))),0,IF(OR(IFERROR(INDEX('Paramètres'!$I:$I,MATCH($C3022,'Paramètres'!$D:$D,0))&amp;"","")="Les deux",IFERROR(INDEX('Paramètres'!$I:$I,MATCH($C3022,'Paramètres'!$D:$D,0))&amp;"","")=IF($P3022=1,"Débit",$L3022)),-IF($P3022=1,-$K3022,$K3022),0))))</f>
        <v/>
      </c>
      <c r="U3022" s="6" t="str">
        <f>IF($K3022="","",IF(ISNUMBER(SEARCH("sortie-epargne",IFERROR(INDEX('Paramètres'!$N:$N,MATCH($D3022,'Paramètres'!$M:$M,0))&amp;"",""))),$K3022,0))</f>
        <v/>
      </c>
      <c r="V3022" s="6" t="str">
        <f>IF(AND($A3022&lt;&gt;"",$O3022=1,$L3022="Débit",N($Q3022)&gt;0,$A3022&gt;=Visualisation!$B$1,$A3022&lt;Visualisation!$D$1),MAX($V$1:V3021)+1,"")</f>
        <v/>
      </c>
    </row>
    <row r="3023" spans="1:22" x14ac:dyDescent="0.25">
      <c r="A3023" s="9"/>
      <c r="E3023" s="10"/>
      <c r="K3023" s="11" t="str">
        <f>IF($E3023="","",ROUND($E3023*IF(ISNA(MATCH($C3023,'Paramètres'!$D:$D,0)),1,IF(INDEX('Paramètres'!$J:$J,MATCH($C3023,'Paramètres'!$D:$D,0))="",1,INDEX('Paramètres'!$J:$J,MATCH($C3023,'Paramètres'!$D:$D,0)))),2))</f>
        <v/>
      </c>
      <c r="L3023" s="6" t="str">
        <f>IF($D3023="","",IF($F3023&lt;&gt;"",$F3023,IF(ISNA(MATCH($D3023,'Paramètres'!$M:$M,0)),"⚠ Type inconnu",IFERROR(INDEX('Paramètres'!$P:$P,MATCH($D3023,'Paramètres'!$M:$M,0))&amp;"",""))))</f>
        <v/>
      </c>
      <c r="M3023" s="6" t="str">
        <f>IF($D3023="","",IF(ISNA(MATCH($D3023,'Paramètres'!$M:$M,0)),"⚠ Type inconnu",IF($L3023="Crédit","",IFERROR(INDEX('Paramètres'!$O:$O,MATCH($D3023,'Paramètres'!$M:$M,0))&amp;"",""))))</f>
        <v/>
      </c>
      <c r="N3023" s="6" t="str">
        <f>IF($D3023="","",IFERROR(INDEX('Paramètres'!$Q:$Q,MATCH($D3023,'Paramètres'!$M:$M,0))&amp;"",""))</f>
        <v/>
      </c>
      <c r="O3023" s="6" t="str">
        <f>IF($A3023="","",IF(OR($J3023&lt;&gt;"x",$A3023&lt;=FinReleve),1,0))</f>
        <v/>
      </c>
      <c r="P3023" s="6" t="str">
        <f>IF($D3023="","",IF(AND($L3023="Crédit",OR(IFERROR(INDEX('Paramètres'!$O:$O,MATCH($D3023,'Paramètres'!$M:$M,0))&amp;"","")&lt;&gt;"",ISNUMBER(SEARCH("remboursement",IFERROR(INDEX('Paramètres'!$N:$N,MATCH($D3023,'Paramètres'!$M:$M,0))&amp;"",""))))),1,0))</f>
        <v/>
      </c>
      <c r="Q3023" s="6" t="str">
        <f>IF($K3023="","",IF(ISNUMBER(SEARCH("transfert-interne",IFERROR(INDEX('Paramètres'!$N:$N,MATCH($D3023,'Paramètres'!$M:$M,0))&amp;"",""))),0,IF($L3023="Débit",$K3023,IF($P3023=1,-$K3023,0))))</f>
        <v/>
      </c>
      <c r="R3023" s="6" t="str">
        <f>IF($K3023="","",IF($L3023="Crédit",$K3023,-$K3023))</f>
        <v/>
      </c>
      <c r="S3023" s="6" t="str">
        <f>IF($C3023="","",IFERROR(INDEX('Paramètres'!$H:$H,MATCH($C3023,'Paramètres'!$D:$D,0))&amp;"",""))</f>
        <v/>
      </c>
      <c r="T3023" s="6" t="str">
        <f>IF($K3023="","",IF($S3023="",0,IF(ISNUMBER(SEARCH("apport-exterieur",IFERROR(INDEX('Paramètres'!$N:$N,MATCH($D3023,'Paramètres'!$M:$M,0))&amp;"",""))),0,IF(OR(IFERROR(INDEX('Paramètres'!$I:$I,MATCH($C3023,'Paramètres'!$D:$D,0))&amp;"","")="Les deux",IFERROR(INDEX('Paramètres'!$I:$I,MATCH($C3023,'Paramètres'!$D:$D,0))&amp;"","")=IF($P3023=1,"Débit",$L3023)),-IF($P3023=1,-$K3023,$K3023),0))))</f>
        <v/>
      </c>
      <c r="U3023" s="6" t="str">
        <f>IF($K3023="","",IF(ISNUMBER(SEARCH("sortie-epargne",IFERROR(INDEX('Paramètres'!$N:$N,MATCH($D3023,'Paramètres'!$M:$M,0))&amp;"",""))),$K3023,0))</f>
        <v/>
      </c>
      <c r="V3023" s="6" t="str">
        <f>IF(AND($A3023&lt;&gt;"",$O3023=1,$L3023="Débit",N($Q3023)&gt;0,$A3023&gt;=Visualisation!$B$1,$A3023&lt;Visualisation!$D$1),MAX($V$1:V3022)+1,"")</f>
        <v/>
      </c>
    </row>
    <row r="3024" spans="1:22" x14ac:dyDescent="0.25">
      <c r="A3024" s="9"/>
      <c r="E3024" s="10"/>
      <c r="K3024" s="11" t="str">
        <f>IF($E3024="","",ROUND($E3024*IF(ISNA(MATCH($C3024,'Paramètres'!$D:$D,0)),1,IF(INDEX('Paramètres'!$J:$J,MATCH($C3024,'Paramètres'!$D:$D,0))="",1,INDEX('Paramètres'!$J:$J,MATCH($C3024,'Paramètres'!$D:$D,0)))),2))</f>
        <v/>
      </c>
      <c r="L3024" s="6" t="str">
        <f>IF($D3024="","",IF($F3024&lt;&gt;"",$F3024,IF(ISNA(MATCH($D3024,'Paramètres'!$M:$M,0)),"⚠ Type inconnu",IFERROR(INDEX('Paramètres'!$P:$P,MATCH($D3024,'Paramètres'!$M:$M,0))&amp;"",""))))</f>
        <v/>
      </c>
      <c r="M3024" s="6" t="str">
        <f>IF($D3024="","",IF(ISNA(MATCH($D3024,'Paramètres'!$M:$M,0)),"⚠ Type inconnu",IF($L3024="Crédit","",IFERROR(INDEX('Paramètres'!$O:$O,MATCH($D3024,'Paramètres'!$M:$M,0))&amp;"",""))))</f>
        <v/>
      </c>
      <c r="N3024" s="6" t="str">
        <f>IF($D3024="","",IFERROR(INDEX('Paramètres'!$Q:$Q,MATCH($D3024,'Paramètres'!$M:$M,0))&amp;"",""))</f>
        <v/>
      </c>
      <c r="O3024" s="6" t="str">
        <f>IF($A3024="","",IF(OR($J3024&lt;&gt;"x",$A3024&lt;=FinReleve),1,0))</f>
        <v/>
      </c>
      <c r="P3024" s="6" t="str">
        <f>IF($D3024="","",IF(AND($L3024="Crédit",OR(IFERROR(INDEX('Paramètres'!$O:$O,MATCH($D3024,'Paramètres'!$M:$M,0))&amp;"","")&lt;&gt;"",ISNUMBER(SEARCH("remboursement",IFERROR(INDEX('Paramètres'!$N:$N,MATCH($D3024,'Paramètres'!$M:$M,0))&amp;"",""))))),1,0))</f>
        <v/>
      </c>
      <c r="Q3024" s="6" t="str">
        <f>IF($K3024="","",IF(ISNUMBER(SEARCH("transfert-interne",IFERROR(INDEX('Paramètres'!$N:$N,MATCH($D3024,'Paramètres'!$M:$M,0))&amp;"",""))),0,IF($L3024="Débit",$K3024,IF($P3024=1,-$K3024,0))))</f>
        <v/>
      </c>
      <c r="R3024" s="6" t="str">
        <f>IF($K3024="","",IF($L3024="Crédit",$K3024,-$K3024))</f>
        <v/>
      </c>
      <c r="S3024" s="6" t="str">
        <f>IF($C3024="","",IFERROR(INDEX('Paramètres'!$H:$H,MATCH($C3024,'Paramètres'!$D:$D,0))&amp;"",""))</f>
        <v/>
      </c>
      <c r="T3024" s="6" t="str">
        <f>IF($K3024="","",IF($S3024="",0,IF(ISNUMBER(SEARCH("apport-exterieur",IFERROR(INDEX('Paramètres'!$N:$N,MATCH($D3024,'Paramètres'!$M:$M,0))&amp;"",""))),0,IF(OR(IFERROR(INDEX('Paramètres'!$I:$I,MATCH($C3024,'Paramètres'!$D:$D,0))&amp;"","")="Les deux",IFERROR(INDEX('Paramètres'!$I:$I,MATCH($C3024,'Paramètres'!$D:$D,0))&amp;"","")=IF($P3024=1,"Débit",$L3024)),-IF($P3024=1,-$K3024,$K3024),0))))</f>
        <v/>
      </c>
      <c r="U3024" s="6" t="str">
        <f>IF($K3024="","",IF(ISNUMBER(SEARCH("sortie-epargne",IFERROR(INDEX('Paramètres'!$N:$N,MATCH($D3024,'Paramètres'!$M:$M,0))&amp;"",""))),$K3024,0))</f>
        <v/>
      </c>
      <c r="V3024" s="6" t="str">
        <f>IF(AND($A3024&lt;&gt;"",$O3024=1,$L3024="Débit",N($Q3024)&gt;0,$A3024&gt;=Visualisation!$B$1,$A3024&lt;Visualisation!$D$1),MAX($V$1:V3023)+1,"")</f>
        <v/>
      </c>
    </row>
    <row r="3025" spans="1:22" x14ac:dyDescent="0.25">
      <c r="A3025" s="9"/>
      <c r="E3025" s="10"/>
      <c r="K3025" s="11" t="str">
        <f>IF($E3025="","",ROUND($E3025*IF(ISNA(MATCH($C3025,'Paramètres'!$D:$D,0)),1,IF(INDEX('Paramètres'!$J:$J,MATCH($C3025,'Paramètres'!$D:$D,0))="",1,INDEX('Paramètres'!$J:$J,MATCH($C3025,'Paramètres'!$D:$D,0)))),2))</f>
        <v/>
      </c>
      <c r="L3025" s="6" t="str">
        <f>IF($D3025="","",IF($F3025&lt;&gt;"",$F3025,IF(ISNA(MATCH($D3025,'Paramètres'!$M:$M,0)),"⚠ Type inconnu",IFERROR(INDEX('Paramètres'!$P:$P,MATCH($D3025,'Paramètres'!$M:$M,0))&amp;"",""))))</f>
        <v/>
      </c>
      <c r="M3025" s="6" t="str">
        <f>IF($D3025="","",IF(ISNA(MATCH($D3025,'Paramètres'!$M:$M,0)),"⚠ Type inconnu",IF($L3025="Crédit","",IFERROR(INDEX('Paramètres'!$O:$O,MATCH($D3025,'Paramètres'!$M:$M,0))&amp;"",""))))</f>
        <v/>
      </c>
      <c r="N3025" s="6" t="str">
        <f>IF($D3025="","",IFERROR(INDEX('Paramètres'!$Q:$Q,MATCH($D3025,'Paramètres'!$M:$M,0))&amp;"",""))</f>
        <v/>
      </c>
      <c r="O3025" s="6" t="str">
        <f>IF($A3025="","",IF(OR($J3025&lt;&gt;"x",$A3025&lt;=FinReleve),1,0))</f>
        <v/>
      </c>
      <c r="P3025" s="6" t="str">
        <f>IF($D3025="","",IF(AND($L3025="Crédit",OR(IFERROR(INDEX('Paramètres'!$O:$O,MATCH($D3025,'Paramètres'!$M:$M,0))&amp;"","")&lt;&gt;"",ISNUMBER(SEARCH("remboursement",IFERROR(INDEX('Paramètres'!$N:$N,MATCH($D3025,'Paramètres'!$M:$M,0))&amp;"",""))))),1,0))</f>
        <v/>
      </c>
      <c r="Q3025" s="6" t="str">
        <f>IF($K3025="","",IF(ISNUMBER(SEARCH("transfert-interne",IFERROR(INDEX('Paramètres'!$N:$N,MATCH($D3025,'Paramètres'!$M:$M,0))&amp;"",""))),0,IF($L3025="Débit",$K3025,IF($P3025=1,-$K3025,0))))</f>
        <v/>
      </c>
      <c r="R3025" s="6" t="str">
        <f>IF($K3025="","",IF($L3025="Crédit",$K3025,-$K3025))</f>
        <v/>
      </c>
      <c r="S3025" s="6" t="str">
        <f>IF($C3025="","",IFERROR(INDEX('Paramètres'!$H:$H,MATCH($C3025,'Paramètres'!$D:$D,0))&amp;"",""))</f>
        <v/>
      </c>
      <c r="T3025" s="6" t="str">
        <f>IF($K3025="","",IF($S3025="",0,IF(ISNUMBER(SEARCH("apport-exterieur",IFERROR(INDEX('Paramètres'!$N:$N,MATCH($D3025,'Paramètres'!$M:$M,0))&amp;"",""))),0,IF(OR(IFERROR(INDEX('Paramètres'!$I:$I,MATCH($C3025,'Paramètres'!$D:$D,0))&amp;"","")="Les deux",IFERROR(INDEX('Paramètres'!$I:$I,MATCH($C3025,'Paramètres'!$D:$D,0))&amp;"","")=IF($P3025=1,"Débit",$L3025)),-IF($P3025=1,-$K3025,$K3025),0))))</f>
        <v/>
      </c>
      <c r="U3025" s="6" t="str">
        <f>IF($K3025="","",IF(ISNUMBER(SEARCH("sortie-epargne",IFERROR(INDEX('Paramètres'!$N:$N,MATCH($D3025,'Paramètres'!$M:$M,0))&amp;"",""))),$K3025,0))</f>
        <v/>
      </c>
      <c r="V3025" s="6" t="str">
        <f>IF(AND($A3025&lt;&gt;"",$O3025=1,$L3025="Débit",N($Q3025)&gt;0,$A3025&gt;=Visualisation!$B$1,$A3025&lt;Visualisation!$D$1),MAX($V$1:V3024)+1,"")</f>
        <v/>
      </c>
    </row>
    <row r="3026" spans="1:22" x14ac:dyDescent="0.25">
      <c r="A3026" s="9"/>
      <c r="E3026" s="10"/>
      <c r="K3026" s="11" t="str">
        <f>IF($E3026="","",ROUND($E3026*IF(ISNA(MATCH($C3026,'Paramètres'!$D:$D,0)),1,IF(INDEX('Paramètres'!$J:$J,MATCH($C3026,'Paramètres'!$D:$D,0))="",1,INDEX('Paramètres'!$J:$J,MATCH($C3026,'Paramètres'!$D:$D,0)))),2))</f>
        <v/>
      </c>
      <c r="L3026" s="6" t="str">
        <f>IF($D3026="","",IF($F3026&lt;&gt;"",$F3026,IF(ISNA(MATCH($D3026,'Paramètres'!$M:$M,0)),"⚠ Type inconnu",IFERROR(INDEX('Paramètres'!$P:$P,MATCH($D3026,'Paramètres'!$M:$M,0))&amp;"",""))))</f>
        <v/>
      </c>
      <c r="M3026" s="6" t="str">
        <f>IF($D3026="","",IF(ISNA(MATCH($D3026,'Paramètres'!$M:$M,0)),"⚠ Type inconnu",IF($L3026="Crédit","",IFERROR(INDEX('Paramètres'!$O:$O,MATCH($D3026,'Paramètres'!$M:$M,0))&amp;"",""))))</f>
        <v/>
      </c>
      <c r="N3026" s="6" t="str">
        <f>IF($D3026="","",IFERROR(INDEX('Paramètres'!$Q:$Q,MATCH($D3026,'Paramètres'!$M:$M,0))&amp;"",""))</f>
        <v/>
      </c>
      <c r="O3026" s="6" t="str">
        <f>IF($A3026="","",IF(OR($J3026&lt;&gt;"x",$A3026&lt;=FinReleve),1,0))</f>
        <v/>
      </c>
      <c r="P3026" s="6" t="str">
        <f>IF($D3026="","",IF(AND($L3026="Crédit",OR(IFERROR(INDEX('Paramètres'!$O:$O,MATCH($D3026,'Paramètres'!$M:$M,0))&amp;"","")&lt;&gt;"",ISNUMBER(SEARCH("remboursement",IFERROR(INDEX('Paramètres'!$N:$N,MATCH($D3026,'Paramètres'!$M:$M,0))&amp;"",""))))),1,0))</f>
        <v/>
      </c>
      <c r="Q3026" s="6" t="str">
        <f>IF($K3026="","",IF(ISNUMBER(SEARCH("transfert-interne",IFERROR(INDEX('Paramètres'!$N:$N,MATCH($D3026,'Paramètres'!$M:$M,0))&amp;"",""))),0,IF($L3026="Débit",$K3026,IF($P3026=1,-$K3026,0))))</f>
        <v/>
      </c>
      <c r="R3026" s="6" t="str">
        <f>IF($K3026="","",IF($L3026="Crédit",$K3026,-$K3026))</f>
        <v/>
      </c>
      <c r="S3026" s="6" t="str">
        <f>IF($C3026="","",IFERROR(INDEX('Paramètres'!$H:$H,MATCH($C3026,'Paramètres'!$D:$D,0))&amp;"",""))</f>
        <v/>
      </c>
      <c r="T3026" s="6" t="str">
        <f>IF($K3026="","",IF($S3026="",0,IF(ISNUMBER(SEARCH("apport-exterieur",IFERROR(INDEX('Paramètres'!$N:$N,MATCH($D3026,'Paramètres'!$M:$M,0))&amp;"",""))),0,IF(OR(IFERROR(INDEX('Paramètres'!$I:$I,MATCH($C3026,'Paramètres'!$D:$D,0))&amp;"","")="Les deux",IFERROR(INDEX('Paramètres'!$I:$I,MATCH($C3026,'Paramètres'!$D:$D,0))&amp;"","")=IF($P3026=1,"Débit",$L3026)),-IF($P3026=1,-$K3026,$K3026),0))))</f>
        <v/>
      </c>
      <c r="U3026" s="6" t="str">
        <f>IF($K3026="","",IF(ISNUMBER(SEARCH("sortie-epargne",IFERROR(INDEX('Paramètres'!$N:$N,MATCH($D3026,'Paramètres'!$M:$M,0))&amp;"",""))),$K3026,0))</f>
        <v/>
      </c>
      <c r="V3026" s="6" t="str">
        <f>IF(AND($A3026&lt;&gt;"",$O3026=1,$L3026="Débit",N($Q3026)&gt;0,$A3026&gt;=Visualisation!$B$1,$A3026&lt;Visualisation!$D$1),MAX($V$1:V3025)+1,"")</f>
        <v/>
      </c>
    </row>
    <row r="3027" spans="1:22" x14ac:dyDescent="0.25">
      <c r="A3027" s="9"/>
      <c r="E3027" s="10"/>
      <c r="K3027" s="11" t="str">
        <f>IF($E3027="","",ROUND($E3027*IF(ISNA(MATCH($C3027,'Paramètres'!$D:$D,0)),1,IF(INDEX('Paramètres'!$J:$J,MATCH($C3027,'Paramètres'!$D:$D,0))="",1,INDEX('Paramètres'!$J:$J,MATCH($C3027,'Paramètres'!$D:$D,0)))),2))</f>
        <v/>
      </c>
      <c r="L3027" s="6" t="str">
        <f>IF($D3027="","",IF($F3027&lt;&gt;"",$F3027,IF(ISNA(MATCH($D3027,'Paramètres'!$M:$M,0)),"⚠ Type inconnu",IFERROR(INDEX('Paramètres'!$P:$P,MATCH($D3027,'Paramètres'!$M:$M,0))&amp;"",""))))</f>
        <v/>
      </c>
      <c r="M3027" s="6" t="str">
        <f>IF($D3027="","",IF(ISNA(MATCH($D3027,'Paramètres'!$M:$M,0)),"⚠ Type inconnu",IF($L3027="Crédit","",IFERROR(INDEX('Paramètres'!$O:$O,MATCH($D3027,'Paramètres'!$M:$M,0))&amp;"",""))))</f>
        <v/>
      </c>
      <c r="N3027" s="6" t="str">
        <f>IF($D3027="","",IFERROR(INDEX('Paramètres'!$Q:$Q,MATCH($D3027,'Paramètres'!$M:$M,0))&amp;"",""))</f>
        <v/>
      </c>
      <c r="O3027" s="6" t="str">
        <f>IF($A3027="","",IF(OR($J3027&lt;&gt;"x",$A3027&lt;=FinReleve),1,0))</f>
        <v/>
      </c>
      <c r="P3027" s="6" t="str">
        <f>IF($D3027="","",IF(AND($L3027="Crédit",OR(IFERROR(INDEX('Paramètres'!$O:$O,MATCH($D3027,'Paramètres'!$M:$M,0))&amp;"","")&lt;&gt;"",ISNUMBER(SEARCH("remboursement",IFERROR(INDEX('Paramètres'!$N:$N,MATCH($D3027,'Paramètres'!$M:$M,0))&amp;"",""))))),1,0))</f>
        <v/>
      </c>
      <c r="Q3027" s="6" t="str">
        <f>IF($K3027="","",IF(ISNUMBER(SEARCH("transfert-interne",IFERROR(INDEX('Paramètres'!$N:$N,MATCH($D3027,'Paramètres'!$M:$M,0))&amp;"",""))),0,IF($L3027="Débit",$K3027,IF($P3027=1,-$K3027,0))))</f>
        <v/>
      </c>
      <c r="R3027" s="6" t="str">
        <f>IF($K3027="","",IF($L3027="Crédit",$K3027,-$K3027))</f>
        <v/>
      </c>
      <c r="S3027" s="6" t="str">
        <f>IF($C3027="","",IFERROR(INDEX('Paramètres'!$H:$H,MATCH($C3027,'Paramètres'!$D:$D,0))&amp;"",""))</f>
        <v/>
      </c>
      <c r="T3027" s="6" t="str">
        <f>IF($K3027="","",IF($S3027="",0,IF(ISNUMBER(SEARCH("apport-exterieur",IFERROR(INDEX('Paramètres'!$N:$N,MATCH($D3027,'Paramètres'!$M:$M,0))&amp;"",""))),0,IF(OR(IFERROR(INDEX('Paramètres'!$I:$I,MATCH($C3027,'Paramètres'!$D:$D,0))&amp;"","")="Les deux",IFERROR(INDEX('Paramètres'!$I:$I,MATCH($C3027,'Paramètres'!$D:$D,0))&amp;"","")=IF($P3027=1,"Débit",$L3027)),-IF($P3027=1,-$K3027,$K3027),0))))</f>
        <v/>
      </c>
      <c r="U3027" s="6" t="str">
        <f>IF($K3027="","",IF(ISNUMBER(SEARCH("sortie-epargne",IFERROR(INDEX('Paramètres'!$N:$N,MATCH($D3027,'Paramètres'!$M:$M,0))&amp;"",""))),$K3027,0))</f>
        <v/>
      </c>
      <c r="V3027" s="6" t="str">
        <f>IF(AND($A3027&lt;&gt;"",$O3027=1,$L3027="Débit",N($Q3027)&gt;0,$A3027&gt;=Visualisation!$B$1,$A3027&lt;Visualisation!$D$1),MAX($V$1:V3026)+1,"")</f>
        <v/>
      </c>
    </row>
    <row r="3028" spans="1:22" x14ac:dyDescent="0.25">
      <c r="A3028" s="9"/>
      <c r="E3028" s="10"/>
      <c r="K3028" s="11" t="str">
        <f>IF($E3028="","",ROUND($E3028*IF(ISNA(MATCH($C3028,'Paramètres'!$D:$D,0)),1,IF(INDEX('Paramètres'!$J:$J,MATCH($C3028,'Paramètres'!$D:$D,0))="",1,INDEX('Paramètres'!$J:$J,MATCH($C3028,'Paramètres'!$D:$D,0)))),2))</f>
        <v/>
      </c>
      <c r="L3028" s="6" t="str">
        <f>IF($D3028="","",IF($F3028&lt;&gt;"",$F3028,IF(ISNA(MATCH($D3028,'Paramètres'!$M:$M,0)),"⚠ Type inconnu",IFERROR(INDEX('Paramètres'!$P:$P,MATCH($D3028,'Paramètres'!$M:$M,0))&amp;"",""))))</f>
        <v/>
      </c>
      <c r="M3028" s="6" t="str">
        <f>IF($D3028="","",IF(ISNA(MATCH($D3028,'Paramètres'!$M:$M,0)),"⚠ Type inconnu",IF($L3028="Crédit","",IFERROR(INDEX('Paramètres'!$O:$O,MATCH($D3028,'Paramètres'!$M:$M,0))&amp;"",""))))</f>
        <v/>
      </c>
      <c r="N3028" s="6" t="str">
        <f>IF($D3028="","",IFERROR(INDEX('Paramètres'!$Q:$Q,MATCH($D3028,'Paramètres'!$M:$M,0))&amp;"",""))</f>
        <v/>
      </c>
      <c r="O3028" s="6" t="str">
        <f>IF($A3028="","",IF(OR($J3028&lt;&gt;"x",$A3028&lt;=FinReleve),1,0))</f>
        <v/>
      </c>
      <c r="P3028" s="6" t="str">
        <f>IF($D3028="","",IF(AND($L3028="Crédit",OR(IFERROR(INDEX('Paramètres'!$O:$O,MATCH($D3028,'Paramètres'!$M:$M,0))&amp;"","")&lt;&gt;"",ISNUMBER(SEARCH("remboursement",IFERROR(INDEX('Paramètres'!$N:$N,MATCH($D3028,'Paramètres'!$M:$M,0))&amp;"",""))))),1,0))</f>
        <v/>
      </c>
      <c r="Q3028" s="6" t="str">
        <f>IF($K3028="","",IF(ISNUMBER(SEARCH("transfert-interne",IFERROR(INDEX('Paramètres'!$N:$N,MATCH($D3028,'Paramètres'!$M:$M,0))&amp;"",""))),0,IF($L3028="Débit",$K3028,IF($P3028=1,-$K3028,0))))</f>
        <v/>
      </c>
      <c r="R3028" s="6" t="str">
        <f>IF($K3028="","",IF($L3028="Crédit",$K3028,-$K3028))</f>
        <v/>
      </c>
      <c r="S3028" s="6" t="str">
        <f>IF($C3028="","",IFERROR(INDEX('Paramètres'!$H:$H,MATCH($C3028,'Paramètres'!$D:$D,0))&amp;"",""))</f>
        <v/>
      </c>
      <c r="T3028" s="6" t="str">
        <f>IF($K3028="","",IF($S3028="",0,IF(ISNUMBER(SEARCH("apport-exterieur",IFERROR(INDEX('Paramètres'!$N:$N,MATCH($D3028,'Paramètres'!$M:$M,0))&amp;"",""))),0,IF(OR(IFERROR(INDEX('Paramètres'!$I:$I,MATCH($C3028,'Paramètres'!$D:$D,0))&amp;"","")="Les deux",IFERROR(INDEX('Paramètres'!$I:$I,MATCH($C3028,'Paramètres'!$D:$D,0))&amp;"","")=IF($P3028=1,"Débit",$L3028)),-IF($P3028=1,-$K3028,$K3028),0))))</f>
        <v/>
      </c>
      <c r="U3028" s="6" t="str">
        <f>IF($K3028="","",IF(ISNUMBER(SEARCH("sortie-epargne",IFERROR(INDEX('Paramètres'!$N:$N,MATCH($D3028,'Paramètres'!$M:$M,0))&amp;"",""))),$K3028,0))</f>
        <v/>
      </c>
      <c r="V3028" s="6" t="str">
        <f>IF(AND($A3028&lt;&gt;"",$O3028=1,$L3028="Débit",N($Q3028)&gt;0,$A3028&gt;=Visualisation!$B$1,$A3028&lt;Visualisation!$D$1),MAX($V$1:V3027)+1,"")</f>
        <v/>
      </c>
    </row>
    <row r="3029" spans="1:22" x14ac:dyDescent="0.25">
      <c r="A3029" s="9"/>
      <c r="E3029" s="10"/>
      <c r="K3029" s="11" t="str">
        <f>IF($E3029="","",ROUND($E3029*IF(ISNA(MATCH($C3029,'Paramètres'!$D:$D,0)),1,IF(INDEX('Paramètres'!$J:$J,MATCH($C3029,'Paramètres'!$D:$D,0))="",1,INDEX('Paramètres'!$J:$J,MATCH($C3029,'Paramètres'!$D:$D,0)))),2))</f>
        <v/>
      </c>
      <c r="L3029" s="6" t="str">
        <f>IF($D3029="","",IF($F3029&lt;&gt;"",$F3029,IF(ISNA(MATCH($D3029,'Paramètres'!$M:$M,0)),"⚠ Type inconnu",IFERROR(INDEX('Paramètres'!$P:$P,MATCH($D3029,'Paramètres'!$M:$M,0))&amp;"",""))))</f>
        <v/>
      </c>
      <c r="M3029" s="6" t="str">
        <f>IF($D3029="","",IF(ISNA(MATCH($D3029,'Paramètres'!$M:$M,0)),"⚠ Type inconnu",IF($L3029="Crédit","",IFERROR(INDEX('Paramètres'!$O:$O,MATCH($D3029,'Paramètres'!$M:$M,0))&amp;"",""))))</f>
        <v/>
      </c>
      <c r="N3029" s="6" t="str">
        <f>IF($D3029="","",IFERROR(INDEX('Paramètres'!$Q:$Q,MATCH($D3029,'Paramètres'!$M:$M,0))&amp;"",""))</f>
        <v/>
      </c>
      <c r="O3029" s="6" t="str">
        <f>IF($A3029="","",IF(OR($J3029&lt;&gt;"x",$A3029&lt;=FinReleve),1,0))</f>
        <v/>
      </c>
      <c r="P3029" s="6" t="str">
        <f>IF($D3029="","",IF(AND($L3029="Crédit",OR(IFERROR(INDEX('Paramètres'!$O:$O,MATCH($D3029,'Paramètres'!$M:$M,0))&amp;"","")&lt;&gt;"",ISNUMBER(SEARCH("remboursement",IFERROR(INDEX('Paramètres'!$N:$N,MATCH($D3029,'Paramètres'!$M:$M,0))&amp;"",""))))),1,0))</f>
        <v/>
      </c>
      <c r="Q3029" s="6" t="str">
        <f>IF($K3029="","",IF(ISNUMBER(SEARCH("transfert-interne",IFERROR(INDEX('Paramètres'!$N:$N,MATCH($D3029,'Paramètres'!$M:$M,0))&amp;"",""))),0,IF($L3029="Débit",$K3029,IF($P3029=1,-$K3029,0))))</f>
        <v/>
      </c>
      <c r="R3029" s="6" t="str">
        <f>IF($K3029="","",IF($L3029="Crédit",$K3029,-$K3029))</f>
        <v/>
      </c>
      <c r="S3029" s="6" t="str">
        <f>IF($C3029="","",IFERROR(INDEX('Paramètres'!$H:$H,MATCH($C3029,'Paramètres'!$D:$D,0))&amp;"",""))</f>
        <v/>
      </c>
      <c r="T3029" s="6" t="str">
        <f>IF($K3029="","",IF($S3029="",0,IF(ISNUMBER(SEARCH("apport-exterieur",IFERROR(INDEX('Paramètres'!$N:$N,MATCH($D3029,'Paramètres'!$M:$M,0))&amp;"",""))),0,IF(OR(IFERROR(INDEX('Paramètres'!$I:$I,MATCH($C3029,'Paramètres'!$D:$D,0))&amp;"","")="Les deux",IFERROR(INDEX('Paramètres'!$I:$I,MATCH($C3029,'Paramètres'!$D:$D,0))&amp;"","")=IF($P3029=1,"Débit",$L3029)),-IF($P3029=1,-$K3029,$K3029),0))))</f>
        <v/>
      </c>
      <c r="U3029" s="6" t="str">
        <f>IF($K3029="","",IF(ISNUMBER(SEARCH("sortie-epargne",IFERROR(INDEX('Paramètres'!$N:$N,MATCH($D3029,'Paramètres'!$M:$M,0))&amp;"",""))),$K3029,0))</f>
        <v/>
      </c>
      <c r="V3029" s="6" t="str">
        <f>IF(AND($A3029&lt;&gt;"",$O3029=1,$L3029="Débit",N($Q3029)&gt;0,$A3029&gt;=Visualisation!$B$1,$A3029&lt;Visualisation!$D$1),MAX($V$1:V3028)+1,"")</f>
        <v/>
      </c>
    </row>
    <row r="3030" spans="1:22" x14ac:dyDescent="0.25">
      <c r="A3030" s="9"/>
      <c r="E3030" s="10"/>
      <c r="K3030" s="11" t="str">
        <f>IF($E3030="","",ROUND($E3030*IF(ISNA(MATCH($C3030,'Paramètres'!$D:$D,0)),1,IF(INDEX('Paramètres'!$J:$J,MATCH($C3030,'Paramètres'!$D:$D,0))="",1,INDEX('Paramètres'!$J:$J,MATCH($C3030,'Paramètres'!$D:$D,0)))),2))</f>
        <v/>
      </c>
      <c r="L3030" s="6" t="str">
        <f>IF($D3030="","",IF($F3030&lt;&gt;"",$F3030,IF(ISNA(MATCH($D3030,'Paramètres'!$M:$M,0)),"⚠ Type inconnu",IFERROR(INDEX('Paramètres'!$P:$P,MATCH($D3030,'Paramètres'!$M:$M,0))&amp;"",""))))</f>
        <v/>
      </c>
      <c r="M3030" s="6" t="str">
        <f>IF($D3030="","",IF(ISNA(MATCH($D3030,'Paramètres'!$M:$M,0)),"⚠ Type inconnu",IF($L3030="Crédit","",IFERROR(INDEX('Paramètres'!$O:$O,MATCH($D3030,'Paramètres'!$M:$M,0))&amp;"",""))))</f>
        <v/>
      </c>
      <c r="N3030" s="6" t="str">
        <f>IF($D3030="","",IFERROR(INDEX('Paramètres'!$Q:$Q,MATCH($D3030,'Paramètres'!$M:$M,0))&amp;"",""))</f>
        <v/>
      </c>
      <c r="O3030" s="6" t="str">
        <f>IF($A3030="","",IF(OR($J3030&lt;&gt;"x",$A3030&lt;=FinReleve),1,0))</f>
        <v/>
      </c>
      <c r="P3030" s="6" t="str">
        <f>IF($D3030="","",IF(AND($L3030="Crédit",OR(IFERROR(INDEX('Paramètres'!$O:$O,MATCH($D3030,'Paramètres'!$M:$M,0))&amp;"","")&lt;&gt;"",ISNUMBER(SEARCH("remboursement",IFERROR(INDEX('Paramètres'!$N:$N,MATCH($D3030,'Paramètres'!$M:$M,0))&amp;"",""))))),1,0))</f>
        <v/>
      </c>
      <c r="Q3030" s="6" t="str">
        <f>IF($K3030="","",IF(ISNUMBER(SEARCH("transfert-interne",IFERROR(INDEX('Paramètres'!$N:$N,MATCH($D3030,'Paramètres'!$M:$M,0))&amp;"",""))),0,IF($L3030="Débit",$K3030,IF($P3030=1,-$K3030,0))))</f>
        <v/>
      </c>
      <c r="R3030" s="6" t="str">
        <f>IF($K3030="","",IF($L3030="Crédit",$K3030,-$K3030))</f>
        <v/>
      </c>
      <c r="S3030" s="6" t="str">
        <f>IF($C3030="","",IFERROR(INDEX('Paramètres'!$H:$H,MATCH($C3030,'Paramètres'!$D:$D,0))&amp;"",""))</f>
        <v/>
      </c>
      <c r="T3030" s="6" t="str">
        <f>IF($K3030="","",IF($S3030="",0,IF(ISNUMBER(SEARCH("apport-exterieur",IFERROR(INDEX('Paramètres'!$N:$N,MATCH($D3030,'Paramètres'!$M:$M,0))&amp;"",""))),0,IF(OR(IFERROR(INDEX('Paramètres'!$I:$I,MATCH($C3030,'Paramètres'!$D:$D,0))&amp;"","")="Les deux",IFERROR(INDEX('Paramètres'!$I:$I,MATCH($C3030,'Paramètres'!$D:$D,0))&amp;"","")=IF($P3030=1,"Débit",$L3030)),-IF($P3030=1,-$K3030,$K3030),0))))</f>
        <v/>
      </c>
      <c r="U3030" s="6" t="str">
        <f>IF($K3030="","",IF(ISNUMBER(SEARCH("sortie-epargne",IFERROR(INDEX('Paramètres'!$N:$N,MATCH($D3030,'Paramètres'!$M:$M,0))&amp;"",""))),$K3030,0))</f>
        <v/>
      </c>
      <c r="V3030" s="6" t="str">
        <f>IF(AND($A3030&lt;&gt;"",$O3030=1,$L3030="Débit",N($Q3030)&gt;0,$A3030&gt;=Visualisation!$B$1,$A3030&lt;Visualisation!$D$1),MAX($V$1:V3029)+1,"")</f>
        <v/>
      </c>
    </row>
    <row r="3031" spans="1:22" x14ac:dyDescent="0.25">
      <c r="A3031" s="9"/>
      <c r="E3031" s="10"/>
      <c r="K3031" s="11" t="str">
        <f>IF($E3031="","",ROUND($E3031*IF(ISNA(MATCH($C3031,'Paramètres'!$D:$D,0)),1,IF(INDEX('Paramètres'!$J:$J,MATCH($C3031,'Paramètres'!$D:$D,0))="",1,INDEX('Paramètres'!$J:$J,MATCH($C3031,'Paramètres'!$D:$D,0)))),2))</f>
        <v/>
      </c>
      <c r="L3031" s="6" t="str">
        <f>IF($D3031="","",IF($F3031&lt;&gt;"",$F3031,IF(ISNA(MATCH($D3031,'Paramètres'!$M:$M,0)),"⚠ Type inconnu",IFERROR(INDEX('Paramètres'!$P:$P,MATCH($D3031,'Paramètres'!$M:$M,0))&amp;"",""))))</f>
        <v/>
      </c>
      <c r="M3031" s="6" t="str">
        <f>IF($D3031="","",IF(ISNA(MATCH($D3031,'Paramètres'!$M:$M,0)),"⚠ Type inconnu",IF($L3031="Crédit","",IFERROR(INDEX('Paramètres'!$O:$O,MATCH($D3031,'Paramètres'!$M:$M,0))&amp;"",""))))</f>
        <v/>
      </c>
      <c r="N3031" s="6" t="str">
        <f>IF($D3031="","",IFERROR(INDEX('Paramètres'!$Q:$Q,MATCH($D3031,'Paramètres'!$M:$M,0))&amp;"",""))</f>
        <v/>
      </c>
      <c r="O3031" s="6" t="str">
        <f>IF($A3031="","",IF(OR($J3031&lt;&gt;"x",$A3031&lt;=FinReleve),1,0))</f>
        <v/>
      </c>
      <c r="P3031" s="6" t="str">
        <f>IF($D3031="","",IF(AND($L3031="Crédit",OR(IFERROR(INDEX('Paramètres'!$O:$O,MATCH($D3031,'Paramètres'!$M:$M,0))&amp;"","")&lt;&gt;"",ISNUMBER(SEARCH("remboursement",IFERROR(INDEX('Paramètres'!$N:$N,MATCH($D3031,'Paramètres'!$M:$M,0))&amp;"",""))))),1,0))</f>
        <v/>
      </c>
      <c r="Q3031" s="6" t="str">
        <f>IF($K3031="","",IF(ISNUMBER(SEARCH("transfert-interne",IFERROR(INDEX('Paramètres'!$N:$N,MATCH($D3031,'Paramètres'!$M:$M,0))&amp;"",""))),0,IF($L3031="Débit",$K3031,IF($P3031=1,-$K3031,0))))</f>
        <v/>
      </c>
      <c r="R3031" s="6" t="str">
        <f>IF($K3031="","",IF($L3031="Crédit",$K3031,-$K3031))</f>
        <v/>
      </c>
      <c r="S3031" s="6" t="str">
        <f>IF($C3031="","",IFERROR(INDEX('Paramètres'!$H:$H,MATCH($C3031,'Paramètres'!$D:$D,0))&amp;"",""))</f>
        <v/>
      </c>
      <c r="T3031" s="6" t="str">
        <f>IF($K3031="","",IF($S3031="",0,IF(ISNUMBER(SEARCH("apport-exterieur",IFERROR(INDEX('Paramètres'!$N:$N,MATCH($D3031,'Paramètres'!$M:$M,0))&amp;"",""))),0,IF(OR(IFERROR(INDEX('Paramètres'!$I:$I,MATCH($C3031,'Paramètres'!$D:$D,0))&amp;"","")="Les deux",IFERROR(INDEX('Paramètres'!$I:$I,MATCH($C3031,'Paramètres'!$D:$D,0))&amp;"","")=IF($P3031=1,"Débit",$L3031)),-IF($P3031=1,-$K3031,$K3031),0))))</f>
        <v/>
      </c>
      <c r="U3031" s="6" t="str">
        <f>IF($K3031="","",IF(ISNUMBER(SEARCH("sortie-epargne",IFERROR(INDEX('Paramètres'!$N:$N,MATCH($D3031,'Paramètres'!$M:$M,0))&amp;"",""))),$K3031,0))</f>
        <v/>
      </c>
      <c r="V3031" s="6" t="str">
        <f>IF(AND($A3031&lt;&gt;"",$O3031=1,$L3031="Débit",N($Q3031)&gt;0,$A3031&gt;=Visualisation!$B$1,$A3031&lt;Visualisation!$D$1),MAX($V$1:V3030)+1,"")</f>
        <v/>
      </c>
    </row>
    <row r="3032" spans="1:22" x14ac:dyDescent="0.25">
      <c r="A3032" s="9"/>
      <c r="E3032" s="10"/>
      <c r="K3032" s="11" t="str">
        <f>IF($E3032="","",ROUND($E3032*IF(ISNA(MATCH($C3032,'Paramètres'!$D:$D,0)),1,IF(INDEX('Paramètres'!$J:$J,MATCH($C3032,'Paramètres'!$D:$D,0))="",1,INDEX('Paramètres'!$J:$J,MATCH($C3032,'Paramètres'!$D:$D,0)))),2))</f>
        <v/>
      </c>
      <c r="L3032" s="6" t="str">
        <f>IF($D3032="","",IF($F3032&lt;&gt;"",$F3032,IF(ISNA(MATCH($D3032,'Paramètres'!$M:$M,0)),"⚠ Type inconnu",IFERROR(INDEX('Paramètres'!$P:$P,MATCH($D3032,'Paramètres'!$M:$M,0))&amp;"",""))))</f>
        <v/>
      </c>
      <c r="M3032" s="6" t="str">
        <f>IF($D3032="","",IF(ISNA(MATCH($D3032,'Paramètres'!$M:$M,0)),"⚠ Type inconnu",IF($L3032="Crédit","",IFERROR(INDEX('Paramètres'!$O:$O,MATCH($D3032,'Paramètres'!$M:$M,0))&amp;"",""))))</f>
        <v/>
      </c>
      <c r="N3032" s="6" t="str">
        <f>IF($D3032="","",IFERROR(INDEX('Paramètres'!$Q:$Q,MATCH($D3032,'Paramètres'!$M:$M,0))&amp;"",""))</f>
        <v/>
      </c>
      <c r="O3032" s="6" t="str">
        <f>IF($A3032="","",IF(OR($J3032&lt;&gt;"x",$A3032&lt;=FinReleve),1,0))</f>
        <v/>
      </c>
      <c r="P3032" s="6" t="str">
        <f>IF($D3032="","",IF(AND($L3032="Crédit",OR(IFERROR(INDEX('Paramètres'!$O:$O,MATCH($D3032,'Paramètres'!$M:$M,0))&amp;"","")&lt;&gt;"",ISNUMBER(SEARCH("remboursement",IFERROR(INDEX('Paramètres'!$N:$N,MATCH($D3032,'Paramètres'!$M:$M,0))&amp;"",""))))),1,0))</f>
        <v/>
      </c>
      <c r="Q3032" s="6" t="str">
        <f>IF($K3032="","",IF(ISNUMBER(SEARCH("transfert-interne",IFERROR(INDEX('Paramètres'!$N:$N,MATCH($D3032,'Paramètres'!$M:$M,0))&amp;"",""))),0,IF($L3032="Débit",$K3032,IF($P3032=1,-$K3032,0))))</f>
        <v/>
      </c>
      <c r="R3032" s="6" t="str">
        <f>IF($K3032="","",IF($L3032="Crédit",$K3032,-$K3032))</f>
        <v/>
      </c>
      <c r="S3032" s="6" t="str">
        <f>IF($C3032="","",IFERROR(INDEX('Paramètres'!$H:$H,MATCH($C3032,'Paramètres'!$D:$D,0))&amp;"",""))</f>
        <v/>
      </c>
      <c r="T3032" s="6" t="str">
        <f>IF($K3032="","",IF($S3032="",0,IF(ISNUMBER(SEARCH("apport-exterieur",IFERROR(INDEX('Paramètres'!$N:$N,MATCH($D3032,'Paramètres'!$M:$M,0))&amp;"",""))),0,IF(OR(IFERROR(INDEX('Paramètres'!$I:$I,MATCH($C3032,'Paramètres'!$D:$D,0))&amp;"","")="Les deux",IFERROR(INDEX('Paramètres'!$I:$I,MATCH($C3032,'Paramètres'!$D:$D,0))&amp;"","")=IF($P3032=1,"Débit",$L3032)),-IF($P3032=1,-$K3032,$K3032),0))))</f>
        <v/>
      </c>
      <c r="U3032" s="6" t="str">
        <f>IF($K3032="","",IF(ISNUMBER(SEARCH("sortie-epargne",IFERROR(INDEX('Paramètres'!$N:$N,MATCH($D3032,'Paramètres'!$M:$M,0))&amp;"",""))),$K3032,0))</f>
        <v/>
      </c>
      <c r="V3032" s="6" t="str">
        <f>IF(AND($A3032&lt;&gt;"",$O3032=1,$L3032="Débit",N($Q3032)&gt;0,$A3032&gt;=Visualisation!$B$1,$A3032&lt;Visualisation!$D$1),MAX($V$1:V3031)+1,"")</f>
        <v/>
      </c>
    </row>
    <row r="3033" spans="1:22" x14ac:dyDescent="0.25">
      <c r="A3033" s="9"/>
      <c r="E3033" s="10"/>
      <c r="K3033" s="11" t="str">
        <f>IF($E3033="","",ROUND($E3033*IF(ISNA(MATCH($C3033,'Paramètres'!$D:$D,0)),1,IF(INDEX('Paramètres'!$J:$J,MATCH($C3033,'Paramètres'!$D:$D,0))="",1,INDEX('Paramètres'!$J:$J,MATCH($C3033,'Paramètres'!$D:$D,0)))),2))</f>
        <v/>
      </c>
      <c r="L3033" s="6" t="str">
        <f>IF($D3033="","",IF($F3033&lt;&gt;"",$F3033,IF(ISNA(MATCH($D3033,'Paramètres'!$M:$M,0)),"⚠ Type inconnu",IFERROR(INDEX('Paramètres'!$P:$P,MATCH($D3033,'Paramètres'!$M:$M,0))&amp;"",""))))</f>
        <v/>
      </c>
      <c r="M3033" s="6" t="str">
        <f>IF($D3033="","",IF(ISNA(MATCH($D3033,'Paramètres'!$M:$M,0)),"⚠ Type inconnu",IF($L3033="Crédit","",IFERROR(INDEX('Paramètres'!$O:$O,MATCH($D3033,'Paramètres'!$M:$M,0))&amp;"",""))))</f>
        <v/>
      </c>
      <c r="N3033" s="6" t="str">
        <f>IF($D3033="","",IFERROR(INDEX('Paramètres'!$Q:$Q,MATCH($D3033,'Paramètres'!$M:$M,0))&amp;"",""))</f>
        <v/>
      </c>
      <c r="O3033" s="6" t="str">
        <f>IF($A3033="","",IF(OR($J3033&lt;&gt;"x",$A3033&lt;=FinReleve),1,0))</f>
        <v/>
      </c>
      <c r="P3033" s="6" t="str">
        <f>IF($D3033="","",IF(AND($L3033="Crédit",OR(IFERROR(INDEX('Paramètres'!$O:$O,MATCH($D3033,'Paramètres'!$M:$M,0))&amp;"","")&lt;&gt;"",ISNUMBER(SEARCH("remboursement",IFERROR(INDEX('Paramètres'!$N:$N,MATCH($D3033,'Paramètres'!$M:$M,0))&amp;"",""))))),1,0))</f>
        <v/>
      </c>
      <c r="Q3033" s="6" t="str">
        <f>IF($K3033="","",IF(ISNUMBER(SEARCH("transfert-interne",IFERROR(INDEX('Paramètres'!$N:$N,MATCH($D3033,'Paramètres'!$M:$M,0))&amp;"",""))),0,IF($L3033="Débit",$K3033,IF($P3033=1,-$K3033,0))))</f>
        <v/>
      </c>
      <c r="R3033" s="6" t="str">
        <f>IF($K3033="","",IF($L3033="Crédit",$K3033,-$K3033))</f>
        <v/>
      </c>
      <c r="S3033" s="6" t="str">
        <f>IF($C3033="","",IFERROR(INDEX('Paramètres'!$H:$H,MATCH($C3033,'Paramètres'!$D:$D,0))&amp;"",""))</f>
        <v/>
      </c>
      <c r="T3033" s="6" t="str">
        <f>IF($K3033="","",IF($S3033="",0,IF(ISNUMBER(SEARCH("apport-exterieur",IFERROR(INDEX('Paramètres'!$N:$N,MATCH($D3033,'Paramètres'!$M:$M,0))&amp;"",""))),0,IF(OR(IFERROR(INDEX('Paramètres'!$I:$I,MATCH($C3033,'Paramètres'!$D:$D,0))&amp;"","")="Les deux",IFERROR(INDEX('Paramètres'!$I:$I,MATCH($C3033,'Paramètres'!$D:$D,0))&amp;"","")=IF($P3033=1,"Débit",$L3033)),-IF($P3033=1,-$K3033,$K3033),0))))</f>
        <v/>
      </c>
      <c r="U3033" s="6" t="str">
        <f>IF($K3033="","",IF(ISNUMBER(SEARCH("sortie-epargne",IFERROR(INDEX('Paramètres'!$N:$N,MATCH($D3033,'Paramètres'!$M:$M,0))&amp;"",""))),$K3033,0))</f>
        <v/>
      </c>
      <c r="V3033" s="6" t="str">
        <f>IF(AND($A3033&lt;&gt;"",$O3033=1,$L3033="Débit",N($Q3033)&gt;0,$A3033&gt;=Visualisation!$B$1,$A3033&lt;Visualisation!$D$1),MAX($V$1:V3032)+1,"")</f>
        <v/>
      </c>
    </row>
    <row r="3034" spans="1:22" x14ac:dyDescent="0.25">
      <c r="A3034" s="9"/>
      <c r="E3034" s="10"/>
      <c r="K3034" s="11" t="str">
        <f>IF($E3034="","",ROUND($E3034*IF(ISNA(MATCH($C3034,'Paramètres'!$D:$D,0)),1,IF(INDEX('Paramètres'!$J:$J,MATCH($C3034,'Paramètres'!$D:$D,0))="",1,INDEX('Paramètres'!$J:$J,MATCH($C3034,'Paramètres'!$D:$D,0)))),2))</f>
        <v/>
      </c>
      <c r="L3034" s="6" t="str">
        <f>IF($D3034="","",IF($F3034&lt;&gt;"",$F3034,IF(ISNA(MATCH($D3034,'Paramètres'!$M:$M,0)),"⚠ Type inconnu",IFERROR(INDEX('Paramètres'!$P:$P,MATCH($D3034,'Paramètres'!$M:$M,0))&amp;"",""))))</f>
        <v/>
      </c>
      <c r="M3034" s="6" t="str">
        <f>IF($D3034="","",IF(ISNA(MATCH($D3034,'Paramètres'!$M:$M,0)),"⚠ Type inconnu",IF($L3034="Crédit","",IFERROR(INDEX('Paramètres'!$O:$O,MATCH($D3034,'Paramètres'!$M:$M,0))&amp;"",""))))</f>
        <v/>
      </c>
      <c r="N3034" s="6" t="str">
        <f>IF($D3034="","",IFERROR(INDEX('Paramètres'!$Q:$Q,MATCH($D3034,'Paramètres'!$M:$M,0))&amp;"",""))</f>
        <v/>
      </c>
      <c r="O3034" s="6" t="str">
        <f>IF($A3034="","",IF(OR($J3034&lt;&gt;"x",$A3034&lt;=FinReleve),1,0))</f>
        <v/>
      </c>
      <c r="P3034" s="6" t="str">
        <f>IF($D3034="","",IF(AND($L3034="Crédit",OR(IFERROR(INDEX('Paramètres'!$O:$O,MATCH($D3034,'Paramètres'!$M:$M,0))&amp;"","")&lt;&gt;"",ISNUMBER(SEARCH("remboursement",IFERROR(INDEX('Paramètres'!$N:$N,MATCH($D3034,'Paramètres'!$M:$M,0))&amp;"",""))))),1,0))</f>
        <v/>
      </c>
      <c r="Q3034" s="6" t="str">
        <f>IF($K3034="","",IF(ISNUMBER(SEARCH("transfert-interne",IFERROR(INDEX('Paramètres'!$N:$N,MATCH($D3034,'Paramètres'!$M:$M,0))&amp;"",""))),0,IF($L3034="Débit",$K3034,IF($P3034=1,-$K3034,0))))</f>
        <v/>
      </c>
      <c r="R3034" s="6" t="str">
        <f>IF($K3034="","",IF($L3034="Crédit",$K3034,-$K3034))</f>
        <v/>
      </c>
      <c r="S3034" s="6" t="str">
        <f>IF($C3034="","",IFERROR(INDEX('Paramètres'!$H:$H,MATCH($C3034,'Paramètres'!$D:$D,0))&amp;"",""))</f>
        <v/>
      </c>
      <c r="T3034" s="6" t="str">
        <f>IF($K3034="","",IF($S3034="",0,IF(ISNUMBER(SEARCH("apport-exterieur",IFERROR(INDEX('Paramètres'!$N:$N,MATCH($D3034,'Paramètres'!$M:$M,0))&amp;"",""))),0,IF(OR(IFERROR(INDEX('Paramètres'!$I:$I,MATCH($C3034,'Paramètres'!$D:$D,0))&amp;"","")="Les deux",IFERROR(INDEX('Paramètres'!$I:$I,MATCH($C3034,'Paramètres'!$D:$D,0))&amp;"","")=IF($P3034=1,"Débit",$L3034)),-IF($P3034=1,-$K3034,$K3034),0))))</f>
        <v/>
      </c>
      <c r="U3034" s="6" t="str">
        <f>IF($K3034="","",IF(ISNUMBER(SEARCH("sortie-epargne",IFERROR(INDEX('Paramètres'!$N:$N,MATCH($D3034,'Paramètres'!$M:$M,0))&amp;"",""))),$K3034,0))</f>
        <v/>
      </c>
      <c r="V3034" s="6" t="str">
        <f>IF(AND($A3034&lt;&gt;"",$O3034=1,$L3034="Débit",N($Q3034)&gt;0,$A3034&gt;=Visualisation!$B$1,$A3034&lt;Visualisation!$D$1),MAX($V$1:V3033)+1,"")</f>
        <v/>
      </c>
    </row>
    <row r="3035" spans="1:22" x14ac:dyDescent="0.25">
      <c r="A3035" s="9"/>
      <c r="E3035" s="10"/>
      <c r="K3035" s="11" t="str">
        <f>IF($E3035="","",ROUND($E3035*IF(ISNA(MATCH($C3035,'Paramètres'!$D:$D,0)),1,IF(INDEX('Paramètres'!$J:$J,MATCH($C3035,'Paramètres'!$D:$D,0))="",1,INDEX('Paramètres'!$J:$J,MATCH($C3035,'Paramètres'!$D:$D,0)))),2))</f>
        <v/>
      </c>
      <c r="L3035" s="6" t="str">
        <f>IF($D3035="","",IF($F3035&lt;&gt;"",$F3035,IF(ISNA(MATCH($D3035,'Paramètres'!$M:$M,0)),"⚠ Type inconnu",IFERROR(INDEX('Paramètres'!$P:$P,MATCH($D3035,'Paramètres'!$M:$M,0))&amp;"",""))))</f>
        <v/>
      </c>
      <c r="M3035" s="6" t="str">
        <f>IF($D3035="","",IF(ISNA(MATCH($D3035,'Paramètres'!$M:$M,0)),"⚠ Type inconnu",IF($L3035="Crédit","",IFERROR(INDEX('Paramètres'!$O:$O,MATCH($D3035,'Paramètres'!$M:$M,0))&amp;"",""))))</f>
        <v/>
      </c>
      <c r="N3035" s="6" t="str">
        <f>IF($D3035="","",IFERROR(INDEX('Paramètres'!$Q:$Q,MATCH($D3035,'Paramètres'!$M:$M,0))&amp;"",""))</f>
        <v/>
      </c>
      <c r="O3035" s="6" t="str">
        <f>IF($A3035="","",IF(OR($J3035&lt;&gt;"x",$A3035&lt;=FinReleve),1,0))</f>
        <v/>
      </c>
      <c r="P3035" s="6" t="str">
        <f>IF($D3035="","",IF(AND($L3035="Crédit",OR(IFERROR(INDEX('Paramètres'!$O:$O,MATCH($D3035,'Paramètres'!$M:$M,0))&amp;"","")&lt;&gt;"",ISNUMBER(SEARCH("remboursement",IFERROR(INDEX('Paramètres'!$N:$N,MATCH($D3035,'Paramètres'!$M:$M,0))&amp;"",""))))),1,0))</f>
        <v/>
      </c>
      <c r="Q3035" s="6" t="str">
        <f>IF($K3035="","",IF(ISNUMBER(SEARCH("transfert-interne",IFERROR(INDEX('Paramètres'!$N:$N,MATCH($D3035,'Paramètres'!$M:$M,0))&amp;"",""))),0,IF($L3035="Débit",$K3035,IF($P3035=1,-$K3035,0))))</f>
        <v/>
      </c>
      <c r="R3035" s="6" t="str">
        <f>IF($K3035="","",IF($L3035="Crédit",$K3035,-$K3035))</f>
        <v/>
      </c>
      <c r="S3035" s="6" t="str">
        <f>IF($C3035="","",IFERROR(INDEX('Paramètres'!$H:$H,MATCH($C3035,'Paramètres'!$D:$D,0))&amp;"",""))</f>
        <v/>
      </c>
      <c r="T3035" s="6" t="str">
        <f>IF($K3035="","",IF($S3035="",0,IF(ISNUMBER(SEARCH("apport-exterieur",IFERROR(INDEX('Paramètres'!$N:$N,MATCH($D3035,'Paramètres'!$M:$M,0))&amp;"",""))),0,IF(OR(IFERROR(INDEX('Paramètres'!$I:$I,MATCH($C3035,'Paramètres'!$D:$D,0))&amp;"","")="Les deux",IFERROR(INDEX('Paramètres'!$I:$I,MATCH($C3035,'Paramètres'!$D:$D,0))&amp;"","")=IF($P3035=1,"Débit",$L3035)),-IF($P3035=1,-$K3035,$K3035),0))))</f>
        <v/>
      </c>
      <c r="U3035" s="6" t="str">
        <f>IF($K3035="","",IF(ISNUMBER(SEARCH("sortie-epargne",IFERROR(INDEX('Paramètres'!$N:$N,MATCH($D3035,'Paramètres'!$M:$M,0))&amp;"",""))),$K3035,0))</f>
        <v/>
      </c>
      <c r="V3035" s="6" t="str">
        <f>IF(AND($A3035&lt;&gt;"",$O3035=1,$L3035="Débit",N($Q3035)&gt;0,$A3035&gt;=Visualisation!$B$1,$A3035&lt;Visualisation!$D$1),MAX($V$1:V3034)+1,"")</f>
        <v/>
      </c>
    </row>
    <row r="3036" spans="1:22" x14ac:dyDescent="0.25">
      <c r="A3036" s="9"/>
      <c r="E3036" s="10"/>
      <c r="K3036" s="11" t="str">
        <f>IF($E3036="","",ROUND($E3036*IF(ISNA(MATCH($C3036,'Paramètres'!$D:$D,0)),1,IF(INDEX('Paramètres'!$J:$J,MATCH($C3036,'Paramètres'!$D:$D,0))="",1,INDEX('Paramètres'!$J:$J,MATCH($C3036,'Paramètres'!$D:$D,0)))),2))</f>
        <v/>
      </c>
      <c r="L3036" s="6" t="str">
        <f>IF($D3036="","",IF($F3036&lt;&gt;"",$F3036,IF(ISNA(MATCH($D3036,'Paramètres'!$M:$M,0)),"⚠ Type inconnu",IFERROR(INDEX('Paramètres'!$P:$P,MATCH($D3036,'Paramètres'!$M:$M,0))&amp;"",""))))</f>
        <v/>
      </c>
      <c r="M3036" s="6" t="str">
        <f>IF($D3036="","",IF(ISNA(MATCH($D3036,'Paramètres'!$M:$M,0)),"⚠ Type inconnu",IF($L3036="Crédit","",IFERROR(INDEX('Paramètres'!$O:$O,MATCH($D3036,'Paramètres'!$M:$M,0))&amp;"",""))))</f>
        <v/>
      </c>
      <c r="N3036" s="6" t="str">
        <f>IF($D3036="","",IFERROR(INDEX('Paramètres'!$Q:$Q,MATCH($D3036,'Paramètres'!$M:$M,0))&amp;"",""))</f>
        <v/>
      </c>
      <c r="O3036" s="6" t="str">
        <f>IF($A3036="","",IF(OR($J3036&lt;&gt;"x",$A3036&lt;=FinReleve),1,0))</f>
        <v/>
      </c>
      <c r="P3036" s="6" t="str">
        <f>IF($D3036="","",IF(AND($L3036="Crédit",OR(IFERROR(INDEX('Paramètres'!$O:$O,MATCH($D3036,'Paramètres'!$M:$M,0))&amp;"","")&lt;&gt;"",ISNUMBER(SEARCH("remboursement",IFERROR(INDEX('Paramètres'!$N:$N,MATCH($D3036,'Paramètres'!$M:$M,0))&amp;"",""))))),1,0))</f>
        <v/>
      </c>
      <c r="Q3036" s="6" t="str">
        <f>IF($K3036="","",IF(ISNUMBER(SEARCH("transfert-interne",IFERROR(INDEX('Paramètres'!$N:$N,MATCH($D3036,'Paramètres'!$M:$M,0))&amp;"",""))),0,IF($L3036="Débit",$K3036,IF($P3036=1,-$K3036,0))))</f>
        <v/>
      </c>
      <c r="R3036" s="6" t="str">
        <f>IF($K3036="","",IF($L3036="Crédit",$K3036,-$K3036))</f>
        <v/>
      </c>
      <c r="S3036" s="6" t="str">
        <f>IF($C3036="","",IFERROR(INDEX('Paramètres'!$H:$H,MATCH($C3036,'Paramètres'!$D:$D,0))&amp;"",""))</f>
        <v/>
      </c>
      <c r="T3036" s="6" t="str">
        <f>IF($K3036="","",IF($S3036="",0,IF(ISNUMBER(SEARCH("apport-exterieur",IFERROR(INDEX('Paramètres'!$N:$N,MATCH($D3036,'Paramètres'!$M:$M,0))&amp;"",""))),0,IF(OR(IFERROR(INDEX('Paramètres'!$I:$I,MATCH($C3036,'Paramètres'!$D:$D,0))&amp;"","")="Les deux",IFERROR(INDEX('Paramètres'!$I:$I,MATCH($C3036,'Paramètres'!$D:$D,0))&amp;"","")=IF($P3036=1,"Débit",$L3036)),-IF($P3036=1,-$K3036,$K3036),0))))</f>
        <v/>
      </c>
      <c r="U3036" s="6" t="str">
        <f>IF($K3036="","",IF(ISNUMBER(SEARCH("sortie-epargne",IFERROR(INDEX('Paramètres'!$N:$N,MATCH($D3036,'Paramètres'!$M:$M,0))&amp;"",""))),$K3036,0))</f>
        <v/>
      </c>
      <c r="V3036" s="6" t="str">
        <f>IF(AND($A3036&lt;&gt;"",$O3036=1,$L3036="Débit",N($Q3036)&gt;0,$A3036&gt;=Visualisation!$B$1,$A3036&lt;Visualisation!$D$1),MAX($V$1:V3035)+1,"")</f>
        <v/>
      </c>
    </row>
    <row r="3037" spans="1:22" x14ac:dyDescent="0.25">
      <c r="A3037" s="9"/>
      <c r="E3037" s="10"/>
      <c r="K3037" s="11" t="str">
        <f>IF($E3037="","",ROUND($E3037*IF(ISNA(MATCH($C3037,'Paramètres'!$D:$D,0)),1,IF(INDEX('Paramètres'!$J:$J,MATCH($C3037,'Paramètres'!$D:$D,0))="",1,INDEX('Paramètres'!$J:$J,MATCH($C3037,'Paramètres'!$D:$D,0)))),2))</f>
        <v/>
      </c>
      <c r="L3037" s="6" t="str">
        <f>IF($D3037="","",IF($F3037&lt;&gt;"",$F3037,IF(ISNA(MATCH($D3037,'Paramètres'!$M:$M,0)),"⚠ Type inconnu",IFERROR(INDEX('Paramètres'!$P:$P,MATCH($D3037,'Paramètres'!$M:$M,0))&amp;"",""))))</f>
        <v/>
      </c>
      <c r="M3037" s="6" t="str">
        <f>IF($D3037="","",IF(ISNA(MATCH($D3037,'Paramètres'!$M:$M,0)),"⚠ Type inconnu",IF($L3037="Crédit","",IFERROR(INDEX('Paramètres'!$O:$O,MATCH($D3037,'Paramètres'!$M:$M,0))&amp;"",""))))</f>
        <v/>
      </c>
      <c r="N3037" s="6" t="str">
        <f>IF($D3037="","",IFERROR(INDEX('Paramètres'!$Q:$Q,MATCH($D3037,'Paramètres'!$M:$M,0))&amp;"",""))</f>
        <v/>
      </c>
      <c r="O3037" s="6" t="str">
        <f>IF($A3037="","",IF(OR($J3037&lt;&gt;"x",$A3037&lt;=FinReleve),1,0))</f>
        <v/>
      </c>
      <c r="P3037" s="6" t="str">
        <f>IF($D3037="","",IF(AND($L3037="Crédit",OR(IFERROR(INDEX('Paramètres'!$O:$O,MATCH($D3037,'Paramètres'!$M:$M,0))&amp;"","")&lt;&gt;"",ISNUMBER(SEARCH("remboursement",IFERROR(INDEX('Paramètres'!$N:$N,MATCH($D3037,'Paramètres'!$M:$M,0))&amp;"",""))))),1,0))</f>
        <v/>
      </c>
      <c r="Q3037" s="6" t="str">
        <f>IF($K3037="","",IF(ISNUMBER(SEARCH("transfert-interne",IFERROR(INDEX('Paramètres'!$N:$N,MATCH($D3037,'Paramètres'!$M:$M,0))&amp;"",""))),0,IF($L3037="Débit",$K3037,IF($P3037=1,-$K3037,0))))</f>
        <v/>
      </c>
      <c r="R3037" s="6" t="str">
        <f>IF($K3037="","",IF($L3037="Crédit",$K3037,-$K3037))</f>
        <v/>
      </c>
      <c r="S3037" s="6" t="str">
        <f>IF($C3037="","",IFERROR(INDEX('Paramètres'!$H:$H,MATCH($C3037,'Paramètres'!$D:$D,0))&amp;"",""))</f>
        <v/>
      </c>
      <c r="T3037" s="6" t="str">
        <f>IF($K3037="","",IF($S3037="",0,IF(ISNUMBER(SEARCH("apport-exterieur",IFERROR(INDEX('Paramètres'!$N:$N,MATCH($D3037,'Paramètres'!$M:$M,0))&amp;"",""))),0,IF(OR(IFERROR(INDEX('Paramètres'!$I:$I,MATCH($C3037,'Paramètres'!$D:$D,0))&amp;"","")="Les deux",IFERROR(INDEX('Paramètres'!$I:$I,MATCH($C3037,'Paramètres'!$D:$D,0))&amp;"","")=IF($P3037=1,"Débit",$L3037)),-IF($P3037=1,-$K3037,$K3037),0))))</f>
        <v/>
      </c>
      <c r="U3037" s="6" t="str">
        <f>IF($K3037="","",IF(ISNUMBER(SEARCH("sortie-epargne",IFERROR(INDEX('Paramètres'!$N:$N,MATCH($D3037,'Paramètres'!$M:$M,0))&amp;"",""))),$K3037,0))</f>
        <v/>
      </c>
      <c r="V3037" s="6" t="str">
        <f>IF(AND($A3037&lt;&gt;"",$O3037=1,$L3037="Débit",N($Q3037)&gt;0,$A3037&gt;=Visualisation!$B$1,$A3037&lt;Visualisation!$D$1),MAX($V$1:V3036)+1,"")</f>
        <v/>
      </c>
    </row>
    <row r="3038" spans="1:22" x14ac:dyDescent="0.25">
      <c r="A3038" s="9"/>
      <c r="E3038" s="10"/>
      <c r="K3038" s="11" t="str">
        <f>IF($E3038="","",ROUND($E3038*IF(ISNA(MATCH($C3038,'Paramètres'!$D:$D,0)),1,IF(INDEX('Paramètres'!$J:$J,MATCH($C3038,'Paramètres'!$D:$D,0))="",1,INDEX('Paramètres'!$J:$J,MATCH($C3038,'Paramètres'!$D:$D,0)))),2))</f>
        <v/>
      </c>
      <c r="L3038" s="6" t="str">
        <f>IF($D3038="","",IF($F3038&lt;&gt;"",$F3038,IF(ISNA(MATCH($D3038,'Paramètres'!$M:$M,0)),"⚠ Type inconnu",IFERROR(INDEX('Paramètres'!$P:$P,MATCH($D3038,'Paramètres'!$M:$M,0))&amp;"",""))))</f>
        <v/>
      </c>
      <c r="M3038" s="6" t="str">
        <f>IF($D3038="","",IF(ISNA(MATCH($D3038,'Paramètres'!$M:$M,0)),"⚠ Type inconnu",IF($L3038="Crédit","",IFERROR(INDEX('Paramètres'!$O:$O,MATCH($D3038,'Paramètres'!$M:$M,0))&amp;"",""))))</f>
        <v/>
      </c>
      <c r="N3038" s="6" t="str">
        <f>IF($D3038="","",IFERROR(INDEX('Paramètres'!$Q:$Q,MATCH($D3038,'Paramètres'!$M:$M,0))&amp;"",""))</f>
        <v/>
      </c>
      <c r="O3038" s="6" t="str">
        <f>IF($A3038="","",IF(OR($J3038&lt;&gt;"x",$A3038&lt;=FinReleve),1,0))</f>
        <v/>
      </c>
      <c r="P3038" s="6" t="str">
        <f>IF($D3038="","",IF(AND($L3038="Crédit",OR(IFERROR(INDEX('Paramètres'!$O:$O,MATCH($D3038,'Paramètres'!$M:$M,0))&amp;"","")&lt;&gt;"",ISNUMBER(SEARCH("remboursement",IFERROR(INDEX('Paramètres'!$N:$N,MATCH($D3038,'Paramètres'!$M:$M,0))&amp;"",""))))),1,0))</f>
        <v/>
      </c>
      <c r="Q3038" s="6" t="str">
        <f>IF($K3038="","",IF(ISNUMBER(SEARCH("transfert-interne",IFERROR(INDEX('Paramètres'!$N:$N,MATCH($D3038,'Paramètres'!$M:$M,0))&amp;"",""))),0,IF($L3038="Débit",$K3038,IF($P3038=1,-$K3038,0))))</f>
        <v/>
      </c>
      <c r="R3038" s="6" t="str">
        <f>IF($K3038="","",IF($L3038="Crédit",$K3038,-$K3038))</f>
        <v/>
      </c>
      <c r="S3038" s="6" t="str">
        <f>IF($C3038="","",IFERROR(INDEX('Paramètres'!$H:$H,MATCH($C3038,'Paramètres'!$D:$D,0))&amp;"",""))</f>
        <v/>
      </c>
      <c r="T3038" s="6" t="str">
        <f>IF($K3038="","",IF($S3038="",0,IF(ISNUMBER(SEARCH("apport-exterieur",IFERROR(INDEX('Paramètres'!$N:$N,MATCH($D3038,'Paramètres'!$M:$M,0))&amp;"",""))),0,IF(OR(IFERROR(INDEX('Paramètres'!$I:$I,MATCH($C3038,'Paramètres'!$D:$D,0))&amp;"","")="Les deux",IFERROR(INDEX('Paramètres'!$I:$I,MATCH($C3038,'Paramètres'!$D:$D,0))&amp;"","")=IF($P3038=1,"Débit",$L3038)),-IF($P3038=1,-$K3038,$K3038),0))))</f>
        <v/>
      </c>
      <c r="U3038" s="6" t="str">
        <f>IF($K3038="","",IF(ISNUMBER(SEARCH("sortie-epargne",IFERROR(INDEX('Paramètres'!$N:$N,MATCH($D3038,'Paramètres'!$M:$M,0))&amp;"",""))),$K3038,0))</f>
        <v/>
      </c>
      <c r="V3038" s="6" t="str">
        <f>IF(AND($A3038&lt;&gt;"",$O3038=1,$L3038="Débit",N($Q3038)&gt;0,$A3038&gt;=Visualisation!$B$1,$A3038&lt;Visualisation!$D$1),MAX($V$1:V3037)+1,"")</f>
        <v/>
      </c>
    </row>
    <row r="3039" spans="1:22" x14ac:dyDescent="0.25">
      <c r="A3039" s="9"/>
      <c r="E3039" s="10"/>
      <c r="K3039" s="11" t="str">
        <f>IF($E3039="","",ROUND($E3039*IF(ISNA(MATCH($C3039,'Paramètres'!$D:$D,0)),1,IF(INDEX('Paramètres'!$J:$J,MATCH($C3039,'Paramètres'!$D:$D,0))="",1,INDEX('Paramètres'!$J:$J,MATCH($C3039,'Paramètres'!$D:$D,0)))),2))</f>
        <v/>
      </c>
      <c r="L3039" s="6" t="str">
        <f>IF($D3039="","",IF($F3039&lt;&gt;"",$F3039,IF(ISNA(MATCH($D3039,'Paramètres'!$M:$M,0)),"⚠ Type inconnu",IFERROR(INDEX('Paramètres'!$P:$P,MATCH($D3039,'Paramètres'!$M:$M,0))&amp;"",""))))</f>
        <v/>
      </c>
      <c r="M3039" s="6" t="str">
        <f>IF($D3039="","",IF(ISNA(MATCH($D3039,'Paramètres'!$M:$M,0)),"⚠ Type inconnu",IF($L3039="Crédit","",IFERROR(INDEX('Paramètres'!$O:$O,MATCH($D3039,'Paramètres'!$M:$M,0))&amp;"",""))))</f>
        <v/>
      </c>
      <c r="N3039" s="6" t="str">
        <f>IF($D3039="","",IFERROR(INDEX('Paramètres'!$Q:$Q,MATCH($D3039,'Paramètres'!$M:$M,0))&amp;"",""))</f>
        <v/>
      </c>
      <c r="O3039" s="6" t="str">
        <f>IF($A3039="","",IF(OR($J3039&lt;&gt;"x",$A3039&lt;=FinReleve),1,0))</f>
        <v/>
      </c>
      <c r="P3039" s="6" t="str">
        <f>IF($D3039="","",IF(AND($L3039="Crédit",OR(IFERROR(INDEX('Paramètres'!$O:$O,MATCH($D3039,'Paramètres'!$M:$M,0))&amp;"","")&lt;&gt;"",ISNUMBER(SEARCH("remboursement",IFERROR(INDEX('Paramètres'!$N:$N,MATCH($D3039,'Paramètres'!$M:$M,0))&amp;"",""))))),1,0))</f>
        <v/>
      </c>
      <c r="Q3039" s="6" t="str">
        <f>IF($K3039="","",IF(ISNUMBER(SEARCH("transfert-interne",IFERROR(INDEX('Paramètres'!$N:$N,MATCH($D3039,'Paramètres'!$M:$M,0))&amp;"",""))),0,IF($L3039="Débit",$K3039,IF($P3039=1,-$K3039,0))))</f>
        <v/>
      </c>
      <c r="R3039" s="6" t="str">
        <f>IF($K3039="","",IF($L3039="Crédit",$K3039,-$K3039))</f>
        <v/>
      </c>
      <c r="S3039" s="6" t="str">
        <f>IF($C3039="","",IFERROR(INDEX('Paramètres'!$H:$H,MATCH($C3039,'Paramètres'!$D:$D,0))&amp;"",""))</f>
        <v/>
      </c>
      <c r="T3039" s="6" t="str">
        <f>IF($K3039="","",IF($S3039="",0,IF(ISNUMBER(SEARCH("apport-exterieur",IFERROR(INDEX('Paramètres'!$N:$N,MATCH($D3039,'Paramètres'!$M:$M,0))&amp;"",""))),0,IF(OR(IFERROR(INDEX('Paramètres'!$I:$I,MATCH($C3039,'Paramètres'!$D:$D,0))&amp;"","")="Les deux",IFERROR(INDEX('Paramètres'!$I:$I,MATCH($C3039,'Paramètres'!$D:$D,0))&amp;"","")=IF($P3039=1,"Débit",$L3039)),-IF($P3039=1,-$K3039,$K3039),0))))</f>
        <v/>
      </c>
      <c r="U3039" s="6" t="str">
        <f>IF($K3039="","",IF(ISNUMBER(SEARCH("sortie-epargne",IFERROR(INDEX('Paramètres'!$N:$N,MATCH($D3039,'Paramètres'!$M:$M,0))&amp;"",""))),$K3039,0))</f>
        <v/>
      </c>
      <c r="V3039" s="6" t="str">
        <f>IF(AND($A3039&lt;&gt;"",$O3039=1,$L3039="Débit",N($Q3039)&gt;0,$A3039&gt;=Visualisation!$B$1,$A3039&lt;Visualisation!$D$1),MAX($V$1:V3038)+1,"")</f>
        <v/>
      </c>
    </row>
    <row r="3040" spans="1:22" x14ac:dyDescent="0.25">
      <c r="A3040" s="9"/>
      <c r="E3040" s="10"/>
      <c r="K3040" s="11" t="str">
        <f>IF($E3040="","",ROUND($E3040*IF(ISNA(MATCH($C3040,'Paramètres'!$D:$D,0)),1,IF(INDEX('Paramètres'!$J:$J,MATCH($C3040,'Paramètres'!$D:$D,0))="",1,INDEX('Paramètres'!$J:$J,MATCH($C3040,'Paramètres'!$D:$D,0)))),2))</f>
        <v/>
      </c>
      <c r="L3040" s="6" t="str">
        <f>IF($D3040="","",IF($F3040&lt;&gt;"",$F3040,IF(ISNA(MATCH($D3040,'Paramètres'!$M:$M,0)),"⚠ Type inconnu",IFERROR(INDEX('Paramètres'!$P:$P,MATCH($D3040,'Paramètres'!$M:$M,0))&amp;"",""))))</f>
        <v/>
      </c>
      <c r="M3040" s="6" t="str">
        <f>IF($D3040="","",IF(ISNA(MATCH($D3040,'Paramètres'!$M:$M,0)),"⚠ Type inconnu",IF($L3040="Crédit","",IFERROR(INDEX('Paramètres'!$O:$O,MATCH($D3040,'Paramètres'!$M:$M,0))&amp;"",""))))</f>
        <v/>
      </c>
      <c r="N3040" s="6" t="str">
        <f>IF($D3040="","",IFERROR(INDEX('Paramètres'!$Q:$Q,MATCH($D3040,'Paramètres'!$M:$M,0))&amp;"",""))</f>
        <v/>
      </c>
      <c r="O3040" s="6" t="str">
        <f>IF($A3040="","",IF(OR($J3040&lt;&gt;"x",$A3040&lt;=FinReleve),1,0))</f>
        <v/>
      </c>
      <c r="P3040" s="6" t="str">
        <f>IF($D3040="","",IF(AND($L3040="Crédit",OR(IFERROR(INDEX('Paramètres'!$O:$O,MATCH($D3040,'Paramètres'!$M:$M,0))&amp;"","")&lt;&gt;"",ISNUMBER(SEARCH("remboursement",IFERROR(INDEX('Paramètres'!$N:$N,MATCH($D3040,'Paramètres'!$M:$M,0))&amp;"",""))))),1,0))</f>
        <v/>
      </c>
      <c r="Q3040" s="6" t="str">
        <f>IF($K3040="","",IF(ISNUMBER(SEARCH("transfert-interne",IFERROR(INDEX('Paramètres'!$N:$N,MATCH($D3040,'Paramètres'!$M:$M,0))&amp;"",""))),0,IF($L3040="Débit",$K3040,IF($P3040=1,-$K3040,0))))</f>
        <v/>
      </c>
      <c r="R3040" s="6" t="str">
        <f>IF($K3040="","",IF($L3040="Crédit",$K3040,-$K3040))</f>
        <v/>
      </c>
      <c r="S3040" s="6" t="str">
        <f>IF($C3040="","",IFERROR(INDEX('Paramètres'!$H:$H,MATCH($C3040,'Paramètres'!$D:$D,0))&amp;"",""))</f>
        <v/>
      </c>
      <c r="T3040" s="6" t="str">
        <f>IF($K3040="","",IF($S3040="",0,IF(ISNUMBER(SEARCH("apport-exterieur",IFERROR(INDEX('Paramètres'!$N:$N,MATCH($D3040,'Paramètres'!$M:$M,0))&amp;"",""))),0,IF(OR(IFERROR(INDEX('Paramètres'!$I:$I,MATCH($C3040,'Paramètres'!$D:$D,0))&amp;"","")="Les deux",IFERROR(INDEX('Paramètres'!$I:$I,MATCH($C3040,'Paramètres'!$D:$D,0))&amp;"","")=IF($P3040=1,"Débit",$L3040)),-IF($P3040=1,-$K3040,$K3040),0))))</f>
        <v/>
      </c>
      <c r="U3040" s="6" t="str">
        <f>IF($K3040="","",IF(ISNUMBER(SEARCH("sortie-epargne",IFERROR(INDEX('Paramètres'!$N:$N,MATCH($D3040,'Paramètres'!$M:$M,0))&amp;"",""))),$K3040,0))</f>
        <v/>
      </c>
      <c r="V3040" s="6" t="str">
        <f>IF(AND($A3040&lt;&gt;"",$O3040=1,$L3040="Débit",N($Q3040)&gt;0,$A3040&gt;=Visualisation!$B$1,$A3040&lt;Visualisation!$D$1),MAX($V$1:V3039)+1,"")</f>
        <v/>
      </c>
    </row>
    <row r="3041" spans="1:22" x14ac:dyDescent="0.25">
      <c r="A3041" s="9"/>
      <c r="E3041" s="10"/>
      <c r="K3041" s="11" t="str">
        <f>IF($E3041="","",ROUND($E3041*IF(ISNA(MATCH($C3041,'Paramètres'!$D:$D,0)),1,IF(INDEX('Paramètres'!$J:$J,MATCH($C3041,'Paramètres'!$D:$D,0))="",1,INDEX('Paramètres'!$J:$J,MATCH($C3041,'Paramètres'!$D:$D,0)))),2))</f>
        <v/>
      </c>
      <c r="L3041" s="6" t="str">
        <f>IF($D3041="","",IF($F3041&lt;&gt;"",$F3041,IF(ISNA(MATCH($D3041,'Paramètres'!$M:$M,0)),"⚠ Type inconnu",IFERROR(INDEX('Paramètres'!$P:$P,MATCH($D3041,'Paramètres'!$M:$M,0))&amp;"",""))))</f>
        <v/>
      </c>
      <c r="M3041" s="6" t="str">
        <f>IF($D3041="","",IF(ISNA(MATCH($D3041,'Paramètres'!$M:$M,0)),"⚠ Type inconnu",IF($L3041="Crédit","",IFERROR(INDEX('Paramètres'!$O:$O,MATCH($D3041,'Paramètres'!$M:$M,0))&amp;"",""))))</f>
        <v/>
      </c>
      <c r="N3041" s="6" t="str">
        <f>IF($D3041="","",IFERROR(INDEX('Paramètres'!$Q:$Q,MATCH($D3041,'Paramètres'!$M:$M,0))&amp;"",""))</f>
        <v/>
      </c>
      <c r="O3041" s="6" t="str">
        <f>IF($A3041="","",IF(OR($J3041&lt;&gt;"x",$A3041&lt;=FinReleve),1,0))</f>
        <v/>
      </c>
      <c r="P3041" s="6" t="str">
        <f>IF($D3041="","",IF(AND($L3041="Crédit",OR(IFERROR(INDEX('Paramètres'!$O:$O,MATCH($D3041,'Paramètres'!$M:$M,0))&amp;"","")&lt;&gt;"",ISNUMBER(SEARCH("remboursement",IFERROR(INDEX('Paramètres'!$N:$N,MATCH($D3041,'Paramètres'!$M:$M,0))&amp;"",""))))),1,0))</f>
        <v/>
      </c>
      <c r="Q3041" s="6" t="str">
        <f>IF($K3041="","",IF(ISNUMBER(SEARCH("transfert-interne",IFERROR(INDEX('Paramètres'!$N:$N,MATCH($D3041,'Paramètres'!$M:$M,0))&amp;"",""))),0,IF($L3041="Débit",$K3041,IF($P3041=1,-$K3041,0))))</f>
        <v/>
      </c>
      <c r="R3041" s="6" t="str">
        <f>IF($K3041="","",IF($L3041="Crédit",$K3041,-$K3041))</f>
        <v/>
      </c>
      <c r="S3041" s="6" t="str">
        <f>IF($C3041="","",IFERROR(INDEX('Paramètres'!$H:$H,MATCH($C3041,'Paramètres'!$D:$D,0))&amp;"",""))</f>
        <v/>
      </c>
      <c r="T3041" s="6" t="str">
        <f>IF($K3041="","",IF($S3041="",0,IF(ISNUMBER(SEARCH("apport-exterieur",IFERROR(INDEX('Paramètres'!$N:$N,MATCH($D3041,'Paramètres'!$M:$M,0))&amp;"",""))),0,IF(OR(IFERROR(INDEX('Paramètres'!$I:$I,MATCH($C3041,'Paramètres'!$D:$D,0))&amp;"","")="Les deux",IFERROR(INDEX('Paramètres'!$I:$I,MATCH($C3041,'Paramètres'!$D:$D,0))&amp;"","")=IF($P3041=1,"Débit",$L3041)),-IF($P3041=1,-$K3041,$K3041),0))))</f>
        <v/>
      </c>
      <c r="U3041" s="6" t="str">
        <f>IF($K3041="","",IF(ISNUMBER(SEARCH("sortie-epargne",IFERROR(INDEX('Paramètres'!$N:$N,MATCH($D3041,'Paramètres'!$M:$M,0))&amp;"",""))),$K3041,0))</f>
        <v/>
      </c>
      <c r="V3041" s="6" t="str">
        <f>IF(AND($A3041&lt;&gt;"",$O3041=1,$L3041="Débit",N($Q3041)&gt;0,$A3041&gt;=Visualisation!$B$1,$A3041&lt;Visualisation!$D$1),MAX($V$1:V3040)+1,"")</f>
        <v/>
      </c>
    </row>
    <row r="3042" spans="1:22" x14ac:dyDescent="0.25">
      <c r="A3042" s="9"/>
      <c r="E3042" s="10"/>
      <c r="K3042" s="11" t="str">
        <f>IF($E3042="","",ROUND($E3042*IF(ISNA(MATCH($C3042,'Paramètres'!$D:$D,0)),1,IF(INDEX('Paramètres'!$J:$J,MATCH($C3042,'Paramètres'!$D:$D,0))="",1,INDEX('Paramètres'!$J:$J,MATCH($C3042,'Paramètres'!$D:$D,0)))),2))</f>
        <v/>
      </c>
      <c r="L3042" s="6" t="str">
        <f>IF($D3042="","",IF($F3042&lt;&gt;"",$F3042,IF(ISNA(MATCH($D3042,'Paramètres'!$M:$M,0)),"⚠ Type inconnu",IFERROR(INDEX('Paramètres'!$P:$P,MATCH($D3042,'Paramètres'!$M:$M,0))&amp;"",""))))</f>
        <v/>
      </c>
      <c r="M3042" s="6" t="str">
        <f>IF($D3042="","",IF(ISNA(MATCH($D3042,'Paramètres'!$M:$M,0)),"⚠ Type inconnu",IF($L3042="Crédit","",IFERROR(INDEX('Paramètres'!$O:$O,MATCH($D3042,'Paramètres'!$M:$M,0))&amp;"",""))))</f>
        <v/>
      </c>
      <c r="N3042" s="6" t="str">
        <f>IF($D3042="","",IFERROR(INDEX('Paramètres'!$Q:$Q,MATCH($D3042,'Paramètres'!$M:$M,0))&amp;"",""))</f>
        <v/>
      </c>
      <c r="O3042" s="6" t="str">
        <f>IF($A3042="","",IF(OR($J3042&lt;&gt;"x",$A3042&lt;=FinReleve),1,0))</f>
        <v/>
      </c>
      <c r="P3042" s="6" t="str">
        <f>IF($D3042="","",IF(AND($L3042="Crédit",OR(IFERROR(INDEX('Paramètres'!$O:$O,MATCH($D3042,'Paramètres'!$M:$M,0))&amp;"","")&lt;&gt;"",ISNUMBER(SEARCH("remboursement",IFERROR(INDEX('Paramètres'!$N:$N,MATCH($D3042,'Paramètres'!$M:$M,0))&amp;"",""))))),1,0))</f>
        <v/>
      </c>
      <c r="Q3042" s="6" t="str">
        <f>IF($K3042="","",IF(ISNUMBER(SEARCH("transfert-interne",IFERROR(INDEX('Paramètres'!$N:$N,MATCH($D3042,'Paramètres'!$M:$M,0))&amp;"",""))),0,IF($L3042="Débit",$K3042,IF($P3042=1,-$K3042,0))))</f>
        <v/>
      </c>
      <c r="R3042" s="6" t="str">
        <f>IF($K3042="","",IF($L3042="Crédit",$K3042,-$K3042))</f>
        <v/>
      </c>
      <c r="S3042" s="6" t="str">
        <f>IF($C3042="","",IFERROR(INDEX('Paramètres'!$H:$H,MATCH($C3042,'Paramètres'!$D:$D,0))&amp;"",""))</f>
        <v/>
      </c>
      <c r="T3042" s="6" t="str">
        <f>IF($K3042="","",IF($S3042="",0,IF(ISNUMBER(SEARCH("apport-exterieur",IFERROR(INDEX('Paramètres'!$N:$N,MATCH($D3042,'Paramètres'!$M:$M,0))&amp;"",""))),0,IF(OR(IFERROR(INDEX('Paramètres'!$I:$I,MATCH($C3042,'Paramètres'!$D:$D,0))&amp;"","")="Les deux",IFERROR(INDEX('Paramètres'!$I:$I,MATCH($C3042,'Paramètres'!$D:$D,0))&amp;"","")=IF($P3042=1,"Débit",$L3042)),-IF($P3042=1,-$K3042,$K3042),0))))</f>
        <v/>
      </c>
      <c r="U3042" s="6" t="str">
        <f>IF($K3042="","",IF(ISNUMBER(SEARCH("sortie-epargne",IFERROR(INDEX('Paramètres'!$N:$N,MATCH($D3042,'Paramètres'!$M:$M,0))&amp;"",""))),$K3042,0))</f>
        <v/>
      </c>
      <c r="V3042" s="6" t="str">
        <f>IF(AND($A3042&lt;&gt;"",$O3042=1,$L3042="Débit",N($Q3042)&gt;0,$A3042&gt;=Visualisation!$B$1,$A3042&lt;Visualisation!$D$1),MAX($V$1:V3041)+1,"")</f>
        <v/>
      </c>
    </row>
    <row r="3043" spans="1:22" x14ac:dyDescent="0.25">
      <c r="A3043" s="9"/>
      <c r="E3043" s="10"/>
      <c r="K3043" s="11" t="str">
        <f>IF($E3043="","",ROUND($E3043*IF(ISNA(MATCH($C3043,'Paramètres'!$D:$D,0)),1,IF(INDEX('Paramètres'!$J:$J,MATCH($C3043,'Paramètres'!$D:$D,0))="",1,INDEX('Paramètres'!$J:$J,MATCH($C3043,'Paramètres'!$D:$D,0)))),2))</f>
        <v/>
      </c>
      <c r="L3043" s="6" t="str">
        <f>IF($D3043="","",IF($F3043&lt;&gt;"",$F3043,IF(ISNA(MATCH($D3043,'Paramètres'!$M:$M,0)),"⚠ Type inconnu",IFERROR(INDEX('Paramètres'!$P:$P,MATCH($D3043,'Paramètres'!$M:$M,0))&amp;"",""))))</f>
        <v/>
      </c>
      <c r="M3043" s="6" t="str">
        <f>IF($D3043="","",IF(ISNA(MATCH($D3043,'Paramètres'!$M:$M,0)),"⚠ Type inconnu",IF($L3043="Crédit","",IFERROR(INDEX('Paramètres'!$O:$O,MATCH($D3043,'Paramètres'!$M:$M,0))&amp;"",""))))</f>
        <v/>
      </c>
      <c r="N3043" s="6" t="str">
        <f>IF($D3043="","",IFERROR(INDEX('Paramètres'!$Q:$Q,MATCH($D3043,'Paramètres'!$M:$M,0))&amp;"",""))</f>
        <v/>
      </c>
      <c r="O3043" s="6" t="str">
        <f>IF($A3043="","",IF(OR($J3043&lt;&gt;"x",$A3043&lt;=FinReleve),1,0))</f>
        <v/>
      </c>
      <c r="P3043" s="6" t="str">
        <f>IF($D3043="","",IF(AND($L3043="Crédit",OR(IFERROR(INDEX('Paramètres'!$O:$O,MATCH($D3043,'Paramètres'!$M:$M,0))&amp;"","")&lt;&gt;"",ISNUMBER(SEARCH("remboursement",IFERROR(INDEX('Paramètres'!$N:$N,MATCH($D3043,'Paramètres'!$M:$M,0))&amp;"",""))))),1,0))</f>
        <v/>
      </c>
      <c r="Q3043" s="6" t="str">
        <f>IF($K3043="","",IF(ISNUMBER(SEARCH("transfert-interne",IFERROR(INDEX('Paramètres'!$N:$N,MATCH($D3043,'Paramètres'!$M:$M,0))&amp;"",""))),0,IF($L3043="Débit",$K3043,IF($P3043=1,-$K3043,0))))</f>
        <v/>
      </c>
      <c r="R3043" s="6" t="str">
        <f>IF($K3043="","",IF($L3043="Crédit",$K3043,-$K3043))</f>
        <v/>
      </c>
      <c r="S3043" s="6" t="str">
        <f>IF($C3043="","",IFERROR(INDEX('Paramètres'!$H:$H,MATCH($C3043,'Paramètres'!$D:$D,0))&amp;"",""))</f>
        <v/>
      </c>
      <c r="T3043" s="6" t="str">
        <f>IF($K3043="","",IF($S3043="",0,IF(ISNUMBER(SEARCH("apport-exterieur",IFERROR(INDEX('Paramètres'!$N:$N,MATCH($D3043,'Paramètres'!$M:$M,0))&amp;"",""))),0,IF(OR(IFERROR(INDEX('Paramètres'!$I:$I,MATCH($C3043,'Paramètres'!$D:$D,0))&amp;"","")="Les deux",IFERROR(INDEX('Paramètres'!$I:$I,MATCH($C3043,'Paramètres'!$D:$D,0))&amp;"","")=IF($P3043=1,"Débit",$L3043)),-IF($P3043=1,-$K3043,$K3043),0))))</f>
        <v/>
      </c>
      <c r="U3043" s="6" t="str">
        <f>IF($K3043="","",IF(ISNUMBER(SEARCH("sortie-epargne",IFERROR(INDEX('Paramètres'!$N:$N,MATCH($D3043,'Paramètres'!$M:$M,0))&amp;"",""))),$K3043,0))</f>
        <v/>
      </c>
      <c r="V3043" s="6" t="str">
        <f>IF(AND($A3043&lt;&gt;"",$O3043=1,$L3043="Débit",N($Q3043)&gt;0,$A3043&gt;=Visualisation!$B$1,$A3043&lt;Visualisation!$D$1),MAX($V$1:V3042)+1,"")</f>
        <v/>
      </c>
    </row>
    <row r="3044" spans="1:22" x14ac:dyDescent="0.25">
      <c r="A3044" s="9"/>
      <c r="E3044" s="10"/>
      <c r="K3044" s="11" t="str">
        <f>IF($E3044="","",ROUND($E3044*IF(ISNA(MATCH($C3044,'Paramètres'!$D:$D,0)),1,IF(INDEX('Paramètres'!$J:$J,MATCH($C3044,'Paramètres'!$D:$D,0))="",1,INDEX('Paramètres'!$J:$J,MATCH($C3044,'Paramètres'!$D:$D,0)))),2))</f>
        <v/>
      </c>
      <c r="L3044" s="6" t="str">
        <f>IF($D3044="","",IF($F3044&lt;&gt;"",$F3044,IF(ISNA(MATCH($D3044,'Paramètres'!$M:$M,0)),"⚠ Type inconnu",IFERROR(INDEX('Paramètres'!$P:$P,MATCH($D3044,'Paramètres'!$M:$M,0))&amp;"",""))))</f>
        <v/>
      </c>
      <c r="M3044" s="6" t="str">
        <f>IF($D3044="","",IF(ISNA(MATCH($D3044,'Paramètres'!$M:$M,0)),"⚠ Type inconnu",IF($L3044="Crédit","",IFERROR(INDEX('Paramètres'!$O:$O,MATCH($D3044,'Paramètres'!$M:$M,0))&amp;"",""))))</f>
        <v/>
      </c>
      <c r="N3044" s="6" t="str">
        <f>IF($D3044="","",IFERROR(INDEX('Paramètres'!$Q:$Q,MATCH($D3044,'Paramètres'!$M:$M,0))&amp;"",""))</f>
        <v/>
      </c>
      <c r="O3044" s="6" t="str">
        <f>IF($A3044="","",IF(OR($J3044&lt;&gt;"x",$A3044&lt;=FinReleve),1,0))</f>
        <v/>
      </c>
      <c r="P3044" s="6" t="str">
        <f>IF($D3044="","",IF(AND($L3044="Crédit",OR(IFERROR(INDEX('Paramètres'!$O:$O,MATCH($D3044,'Paramètres'!$M:$M,0))&amp;"","")&lt;&gt;"",ISNUMBER(SEARCH("remboursement",IFERROR(INDEX('Paramètres'!$N:$N,MATCH($D3044,'Paramètres'!$M:$M,0))&amp;"",""))))),1,0))</f>
        <v/>
      </c>
      <c r="Q3044" s="6" t="str">
        <f>IF($K3044="","",IF(ISNUMBER(SEARCH("transfert-interne",IFERROR(INDEX('Paramètres'!$N:$N,MATCH($D3044,'Paramètres'!$M:$M,0))&amp;"",""))),0,IF($L3044="Débit",$K3044,IF($P3044=1,-$K3044,0))))</f>
        <v/>
      </c>
      <c r="R3044" s="6" t="str">
        <f>IF($K3044="","",IF($L3044="Crédit",$K3044,-$K3044))</f>
        <v/>
      </c>
      <c r="S3044" s="6" t="str">
        <f>IF($C3044="","",IFERROR(INDEX('Paramètres'!$H:$H,MATCH($C3044,'Paramètres'!$D:$D,0))&amp;"",""))</f>
        <v/>
      </c>
      <c r="T3044" s="6" t="str">
        <f>IF($K3044="","",IF($S3044="",0,IF(ISNUMBER(SEARCH("apport-exterieur",IFERROR(INDEX('Paramètres'!$N:$N,MATCH($D3044,'Paramètres'!$M:$M,0))&amp;"",""))),0,IF(OR(IFERROR(INDEX('Paramètres'!$I:$I,MATCH($C3044,'Paramètres'!$D:$D,0))&amp;"","")="Les deux",IFERROR(INDEX('Paramètres'!$I:$I,MATCH($C3044,'Paramètres'!$D:$D,0))&amp;"","")=IF($P3044=1,"Débit",$L3044)),-IF($P3044=1,-$K3044,$K3044),0))))</f>
        <v/>
      </c>
      <c r="U3044" s="6" t="str">
        <f>IF($K3044="","",IF(ISNUMBER(SEARCH("sortie-epargne",IFERROR(INDEX('Paramètres'!$N:$N,MATCH($D3044,'Paramètres'!$M:$M,0))&amp;"",""))),$K3044,0))</f>
        <v/>
      </c>
      <c r="V3044" s="6" t="str">
        <f>IF(AND($A3044&lt;&gt;"",$O3044=1,$L3044="Débit",N($Q3044)&gt;0,$A3044&gt;=Visualisation!$B$1,$A3044&lt;Visualisation!$D$1),MAX($V$1:V3043)+1,"")</f>
        <v/>
      </c>
    </row>
    <row r="3045" spans="1:22" x14ac:dyDescent="0.25">
      <c r="A3045" s="9"/>
      <c r="E3045" s="10"/>
      <c r="K3045" s="11" t="str">
        <f>IF($E3045="","",ROUND($E3045*IF(ISNA(MATCH($C3045,'Paramètres'!$D:$D,0)),1,IF(INDEX('Paramètres'!$J:$J,MATCH($C3045,'Paramètres'!$D:$D,0))="",1,INDEX('Paramètres'!$J:$J,MATCH($C3045,'Paramètres'!$D:$D,0)))),2))</f>
        <v/>
      </c>
      <c r="L3045" s="6" t="str">
        <f>IF($D3045="","",IF($F3045&lt;&gt;"",$F3045,IF(ISNA(MATCH($D3045,'Paramètres'!$M:$M,0)),"⚠ Type inconnu",IFERROR(INDEX('Paramètres'!$P:$P,MATCH($D3045,'Paramètres'!$M:$M,0))&amp;"",""))))</f>
        <v/>
      </c>
      <c r="M3045" s="6" t="str">
        <f>IF($D3045="","",IF(ISNA(MATCH($D3045,'Paramètres'!$M:$M,0)),"⚠ Type inconnu",IF($L3045="Crédit","",IFERROR(INDEX('Paramètres'!$O:$O,MATCH($D3045,'Paramètres'!$M:$M,0))&amp;"",""))))</f>
        <v/>
      </c>
      <c r="N3045" s="6" t="str">
        <f>IF($D3045="","",IFERROR(INDEX('Paramètres'!$Q:$Q,MATCH($D3045,'Paramètres'!$M:$M,0))&amp;"",""))</f>
        <v/>
      </c>
      <c r="O3045" s="6" t="str">
        <f>IF($A3045="","",IF(OR($J3045&lt;&gt;"x",$A3045&lt;=FinReleve),1,0))</f>
        <v/>
      </c>
      <c r="P3045" s="6" t="str">
        <f>IF($D3045="","",IF(AND($L3045="Crédit",OR(IFERROR(INDEX('Paramètres'!$O:$O,MATCH($D3045,'Paramètres'!$M:$M,0))&amp;"","")&lt;&gt;"",ISNUMBER(SEARCH("remboursement",IFERROR(INDEX('Paramètres'!$N:$N,MATCH($D3045,'Paramètres'!$M:$M,0))&amp;"",""))))),1,0))</f>
        <v/>
      </c>
      <c r="Q3045" s="6" t="str">
        <f>IF($K3045="","",IF(ISNUMBER(SEARCH("transfert-interne",IFERROR(INDEX('Paramètres'!$N:$N,MATCH($D3045,'Paramètres'!$M:$M,0))&amp;"",""))),0,IF($L3045="Débit",$K3045,IF($P3045=1,-$K3045,0))))</f>
        <v/>
      </c>
      <c r="R3045" s="6" t="str">
        <f>IF($K3045="","",IF($L3045="Crédit",$K3045,-$K3045))</f>
        <v/>
      </c>
      <c r="S3045" s="6" t="str">
        <f>IF($C3045="","",IFERROR(INDEX('Paramètres'!$H:$H,MATCH($C3045,'Paramètres'!$D:$D,0))&amp;"",""))</f>
        <v/>
      </c>
      <c r="T3045" s="6" t="str">
        <f>IF($K3045="","",IF($S3045="",0,IF(ISNUMBER(SEARCH("apport-exterieur",IFERROR(INDEX('Paramètres'!$N:$N,MATCH($D3045,'Paramètres'!$M:$M,0))&amp;"",""))),0,IF(OR(IFERROR(INDEX('Paramètres'!$I:$I,MATCH($C3045,'Paramètres'!$D:$D,0))&amp;"","")="Les deux",IFERROR(INDEX('Paramètres'!$I:$I,MATCH($C3045,'Paramètres'!$D:$D,0))&amp;"","")=IF($P3045=1,"Débit",$L3045)),-IF($P3045=1,-$K3045,$K3045),0))))</f>
        <v/>
      </c>
      <c r="U3045" s="6" t="str">
        <f>IF($K3045="","",IF(ISNUMBER(SEARCH("sortie-epargne",IFERROR(INDEX('Paramètres'!$N:$N,MATCH($D3045,'Paramètres'!$M:$M,0))&amp;"",""))),$K3045,0))</f>
        <v/>
      </c>
      <c r="V3045" s="6" t="str">
        <f>IF(AND($A3045&lt;&gt;"",$O3045=1,$L3045="Débit",N($Q3045)&gt;0,$A3045&gt;=Visualisation!$B$1,$A3045&lt;Visualisation!$D$1),MAX($V$1:V3044)+1,"")</f>
        <v/>
      </c>
    </row>
    <row r="3046" spans="1:22" x14ac:dyDescent="0.25">
      <c r="A3046" s="9"/>
      <c r="E3046" s="10"/>
      <c r="K3046" s="11" t="str">
        <f>IF($E3046="","",ROUND($E3046*IF(ISNA(MATCH($C3046,'Paramètres'!$D:$D,0)),1,IF(INDEX('Paramètres'!$J:$J,MATCH($C3046,'Paramètres'!$D:$D,0))="",1,INDEX('Paramètres'!$J:$J,MATCH($C3046,'Paramètres'!$D:$D,0)))),2))</f>
        <v/>
      </c>
      <c r="L3046" s="6" t="str">
        <f>IF($D3046="","",IF($F3046&lt;&gt;"",$F3046,IF(ISNA(MATCH($D3046,'Paramètres'!$M:$M,0)),"⚠ Type inconnu",IFERROR(INDEX('Paramètres'!$P:$P,MATCH($D3046,'Paramètres'!$M:$M,0))&amp;"",""))))</f>
        <v/>
      </c>
      <c r="M3046" s="6" t="str">
        <f>IF($D3046="","",IF(ISNA(MATCH($D3046,'Paramètres'!$M:$M,0)),"⚠ Type inconnu",IF($L3046="Crédit","",IFERROR(INDEX('Paramètres'!$O:$O,MATCH($D3046,'Paramètres'!$M:$M,0))&amp;"",""))))</f>
        <v/>
      </c>
      <c r="N3046" s="6" t="str">
        <f>IF($D3046="","",IFERROR(INDEX('Paramètres'!$Q:$Q,MATCH($D3046,'Paramètres'!$M:$M,0))&amp;"",""))</f>
        <v/>
      </c>
      <c r="O3046" s="6" t="str">
        <f>IF($A3046="","",IF(OR($J3046&lt;&gt;"x",$A3046&lt;=FinReleve),1,0))</f>
        <v/>
      </c>
      <c r="P3046" s="6" t="str">
        <f>IF($D3046="","",IF(AND($L3046="Crédit",OR(IFERROR(INDEX('Paramètres'!$O:$O,MATCH($D3046,'Paramètres'!$M:$M,0))&amp;"","")&lt;&gt;"",ISNUMBER(SEARCH("remboursement",IFERROR(INDEX('Paramètres'!$N:$N,MATCH($D3046,'Paramètres'!$M:$M,0))&amp;"",""))))),1,0))</f>
        <v/>
      </c>
      <c r="Q3046" s="6" t="str">
        <f>IF($K3046="","",IF(ISNUMBER(SEARCH("transfert-interne",IFERROR(INDEX('Paramètres'!$N:$N,MATCH($D3046,'Paramètres'!$M:$M,0))&amp;"",""))),0,IF($L3046="Débit",$K3046,IF($P3046=1,-$K3046,0))))</f>
        <v/>
      </c>
      <c r="R3046" s="6" t="str">
        <f>IF($K3046="","",IF($L3046="Crédit",$K3046,-$K3046))</f>
        <v/>
      </c>
      <c r="S3046" s="6" t="str">
        <f>IF($C3046="","",IFERROR(INDEX('Paramètres'!$H:$H,MATCH($C3046,'Paramètres'!$D:$D,0))&amp;"",""))</f>
        <v/>
      </c>
      <c r="T3046" s="6" t="str">
        <f>IF($K3046="","",IF($S3046="",0,IF(ISNUMBER(SEARCH("apport-exterieur",IFERROR(INDEX('Paramètres'!$N:$N,MATCH($D3046,'Paramètres'!$M:$M,0))&amp;"",""))),0,IF(OR(IFERROR(INDEX('Paramètres'!$I:$I,MATCH($C3046,'Paramètres'!$D:$D,0))&amp;"","")="Les deux",IFERROR(INDEX('Paramètres'!$I:$I,MATCH($C3046,'Paramètres'!$D:$D,0))&amp;"","")=IF($P3046=1,"Débit",$L3046)),-IF($P3046=1,-$K3046,$K3046),0))))</f>
        <v/>
      </c>
      <c r="U3046" s="6" t="str">
        <f>IF($K3046="","",IF(ISNUMBER(SEARCH("sortie-epargne",IFERROR(INDEX('Paramètres'!$N:$N,MATCH($D3046,'Paramètres'!$M:$M,0))&amp;"",""))),$K3046,0))</f>
        <v/>
      </c>
      <c r="V3046" s="6" t="str">
        <f>IF(AND($A3046&lt;&gt;"",$O3046=1,$L3046="Débit",N($Q3046)&gt;0,$A3046&gt;=Visualisation!$B$1,$A3046&lt;Visualisation!$D$1),MAX($V$1:V3045)+1,"")</f>
        <v/>
      </c>
    </row>
    <row r="3047" spans="1:22" x14ac:dyDescent="0.25">
      <c r="A3047" s="9"/>
      <c r="E3047" s="10"/>
      <c r="K3047" s="11" t="str">
        <f>IF($E3047="","",ROUND($E3047*IF(ISNA(MATCH($C3047,'Paramètres'!$D:$D,0)),1,IF(INDEX('Paramètres'!$J:$J,MATCH($C3047,'Paramètres'!$D:$D,0))="",1,INDEX('Paramètres'!$J:$J,MATCH($C3047,'Paramètres'!$D:$D,0)))),2))</f>
        <v/>
      </c>
      <c r="L3047" s="6" t="str">
        <f>IF($D3047="","",IF($F3047&lt;&gt;"",$F3047,IF(ISNA(MATCH($D3047,'Paramètres'!$M:$M,0)),"⚠ Type inconnu",IFERROR(INDEX('Paramètres'!$P:$P,MATCH($D3047,'Paramètres'!$M:$M,0))&amp;"",""))))</f>
        <v/>
      </c>
      <c r="M3047" s="6" t="str">
        <f>IF($D3047="","",IF(ISNA(MATCH($D3047,'Paramètres'!$M:$M,0)),"⚠ Type inconnu",IF($L3047="Crédit","",IFERROR(INDEX('Paramètres'!$O:$O,MATCH($D3047,'Paramètres'!$M:$M,0))&amp;"",""))))</f>
        <v/>
      </c>
      <c r="N3047" s="6" t="str">
        <f>IF($D3047="","",IFERROR(INDEX('Paramètres'!$Q:$Q,MATCH($D3047,'Paramètres'!$M:$M,0))&amp;"",""))</f>
        <v/>
      </c>
      <c r="O3047" s="6" t="str">
        <f>IF($A3047="","",IF(OR($J3047&lt;&gt;"x",$A3047&lt;=FinReleve),1,0))</f>
        <v/>
      </c>
      <c r="P3047" s="6" t="str">
        <f>IF($D3047="","",IF(AND($L3047="Crédit",OR(IFERROR(INDEX('Paramètres'!$O:$O,MATCH($D3047,'Paramètres'!$M:$M,0))&amp;"","")&lt;&gt;"",ISNUMBER(SEARCH("remboursement",IFERROR(INDEX('Paramètres'!$N:$N,MATCH($D3047,'Paramètres'!$M:$M,0))&amp;"",""))))),1,0))</f>
        <v/>
      </c>
      <c r="Q3047" s="6" t="str">
        <f>IF($K3047="","",IF(ISNUMBER(SEARCH("transfert-interne",IFERROR(INDEX('Paramètres'!$N:$N,MATCH($D3047,'Paramètres'!$M:$M,0))&amp;"",""))),0,IF($L3047="Débit",$K3047,IF($P3047=1,-$K3047,0))))</f>
        <v/>
      </c>
      <c r="R3047" s="6" t="str">
        <f>IF($K3047="","",IF($L3047="Crédit",$K3047,-$K3047))</f>
        <v/>
      </c>
      <c r="S3047" s="6" t="str">
        <f>IF($C3047="","",IFERROR(INDEX('Paramètres'!$H:$H,MATCH($C3047,'Paramètres'!$D:$D,0))&amp;"",""))</f>
        <v/>
      </c>
      <c r="T3047" s="6" t="str">
        <f>IF($K3047="","",IF($S3047="",0,IF(ISNUMBER(SEARCH("apport-exterieur",IFERROR(INDEX('Paramètres'!$N:$N,MATCH($D3047,'Paramètres'!$M:$M,0))&amp;"",""))),0,IF(OR(IFERROR(INDEX('Paramètres'!$I:$I,MATCH($C3047,'Paramètres'!$D:$D,0))&amp;"","")="Les deux",IFERROR(INDEX('Paramètres'!$I:$I,MATCH($C3047,'Paramètres'!$D:$D,0))&amp;"","")=IF($P3047=1,"Débit",$L3047)),-IF($P3047=1,-$K3047,$K3047),0))))</f>
        <v/>
      </c>
      <c r="U3047" s="6" t="str">
        <f>IF($K3047="","",IF(ISNUMBER(SEARCH("sortie-epargne",IFERROR(INDEX('Paramètres'!$N:$N,MATCH($D3047,'Paramètres'!$M:$M,0))&amp;"",""))),$K3047,0))</f>
        <v/>
      </c>
      <c r="V3047" s="6" t="str">
        <f>IF(AND($A3047&lt;&gt;"",$O3047=1,$L3047="Débit",N($Q3047)&gt;0,$A3047&gt;=Visualisation!$B$1,$A3047&lt;Visualisation!$D$1),MAX($V$1:V3046)+1,"")</f>
        <v/>
      </c>
    </row>
    <row r="3048" spans="1:22" x14ac:dyDescent="0.25">
      <c r="A3048" s="9"/>
      <c r="E3048" s="10"/>
      <c r="K3048" s="11" t="str">
        <f>IF($E3048="","",ROUND($E3048*IF(ISNA(MATCH($C3048,'Paramètres'!$D:$D,0)),1,IF(INDEX('Paramètres'!$J:$J,MATCH($C3048,'Paramètres'!$D:$D,0))="",1,INDEX('Paramètres'!$J:$J,MATCH($C3048,'Paramètres'!$D:$D,0)))),2))</f>
        <v/>
      </c>
      <c r="L3048" s="6" t="str">
        <f>IF($D3048="","",IF($F3048&lt;&gt;"",$F3048,IF(ISNA(MATCH($D3048,'Paramètres'!$M:$M,0)),"⚠ Type inconnu",IFERROR(INDEX('Paramètres'!$P:$P,MATCH($D3048,'Paramètres'!$M:$M,0))&amp;"",""))))</f>
        <v/>
      </c>
      <c r="M3048" s="6" t="str">
        <f>IF($D3048="","",IF(ISNA(MATCH($D3048,'Paramètres'!$M:$M,0)),"⚠ Type inconnu",IF($L3048="Crédit","",IFERROR(INDEX('Paramètres'!$O:$O,MATCH($D3048,'Paramètres'!$M:$M,0))&amp;"",""))))</f>
        <v/>
      </c>
      <c r="N3048" s="6" t="str">
        <f>IF($D3048="","",IFERROR(INDEX('Paramètres'!$Q:$Q,MATCH($D3048,'Paramètres'!$M:$M,0))&amp;"",""))</f>
        <v/>
      </c>
      <c r="O3048" s="6" t="str">
        <f>IF($A3048="","",IF(OR($J3048&lt;&gt;"x",$A3048&lt;=FinReleve),1,0))</f>
        <v/>
      </c>
      <c r="P3048" s="6" t="str">
        <f>IF($D3048="","",IF(AND($L3048="Crédit",OR(IFERROR(INDEX('Paramètres'!$O:$O,MATCH($D3048,'Paramètres'!$M:$M,0))&amp;"","")&lt;&gt;"",ISNUMBER(SEARCH("remboursement",IFERROR(INDEX('Paramètres'!$N:$N,MATCH($D3048,'Paramètres'!$M:$M,0))&amp;"",""))))),1,0))</f>
        <v/>
      </c>
      <c r="Q3048" s="6" t="str">
        <f>IF($K3048="","",IF(ISNUMBER(SEARCH("transfert-interne",IFERROR(INDEX('Paramètres'!$N:$N,MATCH($D3048,'Paramètres'!$M:$M,0))&amp;"",""))),0,IF($L3048="Débit",$K3048,IF($P3048=1,-$K3048,0))))</f>
        <v/>
      </c>
      <c r="R3048" s="6" t="str">
        <f>IF($K3048="","",IF($L3048="Crédit",$K3048,-$K3048))</f>
        <v/>
      </c>
      <c r="S3048" s="6" t="str">
        <f>IF($C3048="","",IFERROR(INDEX('Paramètres'!$H:$H,MATCH($C3048,'Paramètres'!$D:$D,0))&amp;"",""))</f>
        <v/>
      </c>
      <c r="T3048" s="6" t="str">
        <f>IF($K3048="","",IF($S3048="",0,IF(ISNUMBER(SEARCH("apport-exterieur",IFERROR(INDEX('Paramètres'!$N:$N,MATCH($D3048,'Paramètres'!$M:$M,0))&amp;"",""))),0,IF(OR(IFERROR(INDEX('Paramètres'!$I:$I,MATCH($C3048,'Paramètres'!$D:$D,0))&amp;"","")="Les deux",IFERROR(INDEX('Paramètres'!$I:$I,MATCH($C3048,'Paramètres'!$D:$D,0))&amp;"","")=IF($P3048=1,"Débit",$L3048)),-IF($P3048=1,-$K3048,$K3048),0))))</f>
        <v/>
      </c>
      <c r="U3048" s="6" t="str">
        <f>IF($K3048="","",IF(ISNUMBER(SEARCH("sortie-epargne",IFERROR(INDEX('Paramètres'!$N:$N,MATCH($D3048,'Paramètres'!$M:$M,0))&amp;"",""))),$K3048,0))</f>
        <v/>
      </c>
      <c r="V3048" s="6" t="str">
        <f>IF(AND($A3048&lt;&gt;"",$O3048=1,$L3048="Débit",N($Q3048)&gt;0,$A3048&gt;=Visualisation!$B$1,$A3048&lt;Visualisation!$D$1),MAX($V$1:V3047)+1,"")</f>
        <v/>
      </c>
    </row>
    <row r="3049" spans="1:22" x14ac:dyDescent="0.25">
      <c r="A3049" s="9"/>
      <c r="E3049" s="10"/>
      <c r="K3049" s="11" t="str">
        <f>IF($E3049="","",ROUND($E3049*IF(ISNA(MATCH($C3049,'Paramètres'!$D:$D,0)),1,IF(INDEX('Paramètres'!$J:$J,MATCH($C3049,'Paramètres'!$D:$D,0))="",1,INDEX('Paramètres'!$J:$J,MATCH($C3049,'Paramètres'!$D:$D,0)))),2))</f>
        <v/>
      </c>
      <c r="L3049" s="6" t="str">
        <f>IF($D3049="","",IF($F3049&lt;&gt;"",$F3049,IF(ISNA(MATCH($D3049,'Paramètres'!$M:$M,0)),"⚠ Type inconnu",IFERROR(INDEX('Paramètres'!$P:$P,MATCH($D3049,'Paramètres'!$M:$M,0))&amp;"",""))))</f>
        <v/>
      </c>
      <c r="M3049" s="6" t="str">
        <f>IF($D3049="","",IF(ISNA(MATCH($D3049,'Paramètres'!$M:$M,0)),"⚠ Type inconnu",IF($L3049="Crédit","",IFERROR(INDEX('Paramètres'!$O:$O,MATCH($D3049,'Paramètres'!$M:$M,0))&amp;"",""))))</f>
        <v/>
      </c>
      <c r="N3049" s="6" t="str">
        <f>IF($D3049="","",IFERROR(INDEX('Paramètres'!$Q:$Q,MATCH($D3049,'Paramètres'!$M:$M,0))&amp;"",""))</f>
        <v/>
      </c>
      <c r="O3049" s="6" t="str">
        <f>IF($A3049="","",IF(OR($J3049&lt;&gt;"x",$A3049&lt;=FinReleve),1,0))</f>
        <v/>
      </c>
      <c r="P3049" s="6" t="str">
        <f>IF($D3049="","",IF(AND($L3049="Crédit",OR(IFERROR(INDEX('Paramètres'!$O:$O,MATCH($D3049,'Paramètres'!$M:$M,0))&amp;"","")&lt;&gt;"",ISNUMBER(SEARCH("remboursement",IFERROR(INDEX('Paramètres'!$N:$N,MATCH($D3049,'Paramètres'!$M:$M,0))&amp;"",""))))),1,0))</f>
        <v/>
      </c>
      <c r="Q3049" s="6" t="str">
        <f>IF($K3049="","",IF(ISNUMBER(SEARCH("transfert-interne",IFERROR(INDEX('Paramètres'!$N:$N,MATCH($D3049,'Paramètres'!$M:$M,0))&amp;"",""))),0,IF($L3049="Débit",$K3049,IF($P3049=1,-$K3049,0))))</f>
        <v/>
      </c>
      <c r="R3049" s="6" t="str">
        <f>IF($K3049="","",IF($L3049="Crédit",$K3049,-$K3049))</f>
        <v/>
      </c>
      <c r="S3049" s="6" t="str">
        <f>IF($C3049="","",IFERROR(INDEX('Paramètres'!$H:$H,MATCH($C3049,'Paramètres'!$D:$D,0))&amp;"",""))</f>
        <v/>
      </c>
      <c r="T3049" s="6" t="str">
        <f>IF($K3049="","",IF($S3049="",0,IF(ISNUMBER(SEARCH("apport-exterieur",IFERROR(INDEX('Paramètres'!$N:$N,MATCH($D3049,'Paramètres'!$M:$M,0))&amp;"",""))),0,IF(OR(IFERROR(INDEX('Paramètres'!$I:$I,MATCH($C3049,'Paramètres'!$D:$D,0))&amp;"","")="Les deux",IFERROR(INDEX('Paramètres'!$I:$I,MATCH($C3049,'Paramètres'!$D:$D,0))&amp;"","")=IF($P3049=1,"Débit",$L3049)),-IF($P3049=1,-$K3049,$K3049),0))))</f>
        <v/>
      </c>
      <c r="U3049" s="6" t="str">
        <f>IF($K3049="","",IF(ISNUMBER(SEARCH("sortie-epargne",IFERROR(INDEX('Paramètres'!$N:$N,MATCH($D3049,'Paramètres'!$M:$M,0))&amp;"",""))),$K3049,0))</f>
        <v/>
      </c>
      <c r="V3049" s="6" t="str">
        <f>IF(AND($A3049&lt;&gt;"",$O3049=1,$L3049="Débit",N($Q3049)&gt;0,$A3049&gt;=Visualisation!$B$1,$A3049&lt;Visualisation!$D$1),MAX($V$1:V3048)+1,"")</f>
        <v/>
      </c>
    </row>
    <row r="3050" spans="1:22" x14ac:dyDescent="0.25">
      <c r="A3050" s="9"/>
      <c r="E3050" s="10"/>
      <c r="K3050" s="11" t="str">
        <f>IF($E3050="","",ROUND($E3050*IF(ISNA(MATCH($C3050,'Paramètres'!$D:$D,0)),1,IF(INDEX('Paramètres'!$J:$J,MATCH($C3050,'Paramètres'!$D:$D,0))="",1,INDEX('Paramètres'!$J:$J,MATCH($C3050,'Paramètres'!$D:$D,0)))),2))</f>
        <v/>
      </c>
      <c r="L3050" s="6" t="str">
        <f>IF($D3050="","",IF($F3050&lt;&gt;"",$F3050,IF(ISNA(MATCH($D3050,'Paramètres'!$M:$M,0)),"⚠ Type inconnu",IFERROR(INDEX('Paramètres'!$P:$P,MATCH($D3050,'Paramètres'!$M:$M,0))&amp;"",""))))</f>
        <v/>
      </c>
      <c r="M3050" s="6" t="str">
        <f>IF($D3050="","",IF(ISNA(MATCH($D3050,'Paramètres'!$M:$M,0)),"⚠ Type inconnu",IF($L3050="Crédit","",IFERROR(INDEX('Paramètres'!$O:$O,MATCH($D3050,'Paramètres'!$M:$M,0))&amp;"",""))))</f>
        <v/>
      </c>
      <c r="N3050" s="6" t="str">
        <f>IF($D3050="","",IFERROR(INDEX('Paramètres'!$Q:$Q,MATCH($D3050,'Paramètres'!$M:$M,0))&amp;"",""))</f>
        <v/>
      </c>
      <c r="O3050" s="6" t="str">
        <f>IF($A3050="","",IF(OR($J3050&lt;&gt;"x",$A3050&lt;=FinReleve),1,0))</f>
        <v/>
      </c>
      <c r="P3050" s="6" t="str">
        <f>IF($D3050="","",IF(AND($L3050="Crédit",OR(IFERROR(INDEX('Paramètres'!$O:$O,MATCH($D3050,'Paramètres'!$M:$M,0))&amp;"","")&lt;&gt;"",ISNUMBER(SEARCH("remboursement",IFERROR(INDEX('Paramètres'!$N:$N,MATCH($D3050,'Paramètres'!$M:$M,0))&amp;"",""))))),1,0))</f>
        <v/>
      </c>
      <c r="Q3050" s="6" t="str">
        <f>IF($K3050="","",IF(ISNUMBER(SEARCH("transfert-interne",IFERROR(INDEX('Paramètres'!$N:$N,MATCH($D3050,'Paramètres'!$M:$M,0))&amp;"",""))),0,IF($L3050="Débit",$K3050,IF($P3050=1,-$K3050,0))))</f>
        <v/>
      </c>
      <c r="R3050" s="6" t="str">
        <f>IF($K3050="","",IF($L3050="Crédit",$K3050,-$K3050))</f>
        <v/>
      </c>
      <c r="S3050" s="6" t="str">
        <f>IF($C3050="","",IFERROR(INDEX('Paramètres'!$H:$H,MATCH($C3050,'Paramètres'!$D:$D,0))&amp;"",""))</f>
        <v/>
      </c>
      <c r="T3050" s="6" t="str">
        <f>IF($K3050="","",IF($S3050="",0,IF(ISNUMBER(SEARCH("apport-exterieur",IFERROR(INDEX('Paramètres'!$N:$N,MATCH($D3050,'Paramètres'!$M:$M,0))&amp;"",""))),0,IF(OR(IFERROR(INDEX('Paramètres'!$I:$I,MATCH($C3050,'Paramètres'!$D:$D,0))&amp;"","")="Les deux",IFERROR(INDEX('Paramètres'!$I:$I,MATCH($C3050,'Paramètres'!$D:$D,0))&amp;"","")=IF($P3050=1,"Débit",$L3050)),-IF($P3050=1,-$K3050,$K3050),0))))</f>
        <v/>
      </c>
      <c r="U3050" s="6" t="str">
        <f>IF($K3050="","",IF(ISNUMBER(SEARCH("sortie-epargne",IFERROR(INDEX('Paramètres'!$N:$N,MATCH($D3050,'Paramètres'!$M:$M,0))&amp;"",""))),$K3050,0))</f>
        <v/>
      </c>
      <c r="V3050" s="6" t="str">
        <f>IF(AND($A3050&lt;&gt;"",$O3050=1,$L3050="Débit",N($Q3050)&gt;0,$A3050&gt;=Visualisation!$B$1,$A3050&lt;Visualisation!$D$1),MAX($V$1:V3049)+1,"")</f>
        <v/>
      </c>
    </row>
    <row r="3051" spans="1:22" x14ac:dyDescent="0.25">
      <c r="A3051" s="9"/>
      <c r="E3051" s="10"/>
      <c r="K3051" s="11" t="str">
        <f>IF($E3051="","",ROUND($E3051*IF(ISNA(MATCH($C3051,'Paramètres'!$D:$D,0)),1,IF(INDEX('Paramètres'!$J:$J,MATCH($C3051,'Paramètres'!$D:$D,0))="",1,INDEX('Paramètres'!$J:$J,MATCH($C3051,'Paramètres'!$D:$D,0)))),2))</f>
        <v/>
      </c>
      <c r="L3051" s="6" t="str">
        <f>IF($D3051="","",IF($F3051&lt;&gt;"",$F3051,IF(ISNA(MATCH($D3051,'Paramètres'!$M:$M,0)),"⚠ Type inconnu",IFERROR(INDEX('Paramètres'!$P:$P,MATCH($D3051,'Paramètres'!$M:$M,0))&amp;"",""))))</f>
        <v/>
      </c>
      <c r="M3051" s="6" t="str">
        <f>IF($D3051="","",IF(ISNA(MATCH($D3051,'Paramètres'!$M:$M,0)),"⚠ Type inconnu",IF($L3051="Crédit","",IFERROR(INDEX('Paramètres'!$O:$O,MATCH($D3051,'Paramètres'!$M:$M,0))&amp;"",""))))</f>
        <v/>
      </c>
      <c r="N3051" s="6" t="str">
        <f>IF($D3051="","",IFERROR(INDEX('Paramètres'!$Q:$Q,MATCH($D3051,'Paramètres'!$M:$M,0))&amp;"",""))</f>
        <v/>
      </c>
      <c r="O3051" s="6" t="str">
        <f>IF($A3051="","",IF(OR($J3051&lt;&gt;"x",$A3051&lt;=FinReleve),1,0))</f>
        <v/>
      </c>
      <c r="P3051" s="6" t="str">
        <f>IF($D3051="","",IF(AND($L3051="Crédit",OR(IFERROR(INDEX('Paramètres'!$O:$O,MATCH($D3051,'Paramètres'!$M:$M,0))&amp;"","")&lt;&gt;"",ISNUMBER(SEARCH("remboursement",IFERROR(INDEX('Paramètres'!$N:$N,MATCH($D3051,'Paramètres'!$M:$M,0))&amp;"",""))))),1,0))</f>
        <v/>
      </c>
      <c r="Q3051" s="6" t="str">
        <f>IF($K3051="","",IF(ISNUMBER(SEARCH("transfert-interne",IFERROR(INDEX('Paramètres'!$N:$N,MATCH($D3051,'Paramètres'!$M:$M,0))&amp;"",""))),0,IF($L3051="Débit",$K3051,IF($P3051=1,-$K3051,0))))</f>
        <v/>
      </c>
      <c r="R3051" s="6" t="str">
        <f>IF($K3051="","",IF($L3051="Crédit",$K3051,-$K3051))</f>
        <v/>
      </c>
      <c r="S3051" s="6" t="str">
        <f>IF($C3051="","",IFERROR(INDEX('Paramètres'!$H:$H,MATCH($C3051,'Paramètres'!$D:$D,0))&amp;"",""))</f>
        <v/>
      </c>
      <c r="T3051" s="6" t="str">
        <f>IF($K3051="","",IF($S3051="",0,IF(ISNUMBER(SEARCH("apport-exterieur",IFERROR(INDEX('Paramètres'!$N:$N,MATCH($D3051,'Paramètres'!$M:$M,0))&amp;"",""))),0,IF(OR(IFERROR(INDEX('Paramètres'!$I:$I,MATCH($C3051,'Paramètres'!$D:$D,0))&amp;"","")="Les deux",IFERROR(INDEX('Paramètres'!$I:$I,MATCH($C3051,'Paramètres'!$D:$D,0))&amp;"","")=IF($P3051=1,"Débit",$L3051)),-IF($P3051=1,-$K3051,$K3051),0))))</f>
        <v/>
      </c>
      <c r="U3051" s="6" t="str">
        <f>IF($K3051="","",IF(ISNUMBER(SEARCH("sortie-epargne",IFERROR(INDEX('Paramètres'!$N:$N,MATCH($D3051,'Paramètres'!$M:$M,0))&amp;"",""))),$K3051,0))</f>
        <v/>
      </c>
      <c r="V3051" s="6" t="str">
        <f>IF(AND($A3051&lt;&gt;"",$O3051=1,$L3051="Débit",N($Q3051)&gt;0,$A3051&gt;=Visualisation!$B$1,$A3051&lt;Visualisation!$D$1),MAX($V$1:V3050)+1,"")</f>
        <v/>
      </c>
    </row>
    <row r="3052" spans="1:22" x14ac:dyDescent="0.25">
      <c r="A3052" s="9"/>
      <c r="E3052" s="10"/>
      <c r="K3052" s="11" t="str">
        <f>IF($E3052="","",ROUND($E3052*IF(ISNA(MATCH($C3052,'Paramètres'!$D:$D,0)),1,IF(INDEX('Paramètres'!$J:$J,MATCH($C3052,'Paramètres'!$D:$D,0))="",1,INDEX('Paramètres'!$J:$J,MATCH($C3052,'Paramètres'!$D:$D,0)))),2))</f>
        <v/>
      </c>
      <c r="L3052" s="6" t="str">
        <f>IF($D3052="","",IF($F3052&lt;&gt;"",$F3052,IF(ISNA(MATCH($D3052,'Paramètres'!$M:$M,0)),"⚠ Type inconnu",IFERROR(INDEX('Paramètres'!$P:$P,MATCH($D3052,'Paramètres'!$M:$M,0))&amp;"",""))))</f>
        <v/>
      </c>
      <c r="M3052" s="6" t="str">
        <f>IF($D3052="","",IF(ISNA(MATCH($D3052,'Paramètres'!$M:$M,0)),"⚠ Type inconnu",IF($L3052="Crédit","",IFERROR(INDEX('Paramètres'!$O:$O,MATCH($D3052,'Paramètres'!$M:$M,0))&amp;"",""))))</f>
        <v/>
      </c>
      <c r="N3052" s="6" t="str">
        <f>IF($D3052="","",IFERROR(INDEX('Paramètres'!$Q:$Q,MATCH($D3052,'Paramètres'!$M:$M,0))&amp;"",""))</f>
        <v/>
      </c>
      <c r="O3052" s="6" t="str">
        <f>IF($A3052="","",IF(OR($J3052&lt;&gt;"x",$A3052&lt;=FinReleve),1,0))</f>
        <v/>
      </c>
      <c r="P3052" s="6" t="str">
        <f>IF($D3052="","",IF(AND($L3052="Crédit",OR(IFERROR(INDEX('Paramètres'!$O:$O,MATCH($D3052,'Paramètres'!$M:$M,0))&amp;"","")&lt;&gt;"",ISNUMBER(SEARCH("remboursement",IFERROR(INDEX('Paramètres'!$N:$N,MATCH($D3052,'Paramètres'!$M:$M,0))&amp;"",""))))),1,0))</f>
        <v/>
      </c>
      <c r="Q3052" s="6" t="str">
        <f>IF($K3052="","",IF(ISNUMBER(SEARCH("transfert-interne",IFERROR(INDEX('Paramètres'!$N:$N,MATCH($D3052,'Paramètres'!$M:$M,0))&amp;"",""))),0,IF($L3052="Débit",$K3052,IF($P3052=1,-$K3052,0))))</f>
        <v/>
      </c>
      <c r="R3052" s="6" t="str">
        <f>IF($K3052="","",IF($L3052="Crédit",$K3052,-$K3052))</f>
        <v/>
      </c>
      <c r="S3052" s="6" t="str">
        <f>IF($C3052="","",IFERROR(INDEX('Paramètres'!$H:$H,MATCH($C3052,'Paramètres'!$D:$D,0))&amp;"",""))</f>
        <v/>
      </c>
      <c r="T3052" s="6" t="str">
        <f>IF($K3052="","",IF($S3052="",0,IF(ISNUMBER(SEARCH("apport-exterieur",IFERROR(INDEX('Paramètres'!$N:$N,MATCH($D3052,'Paramètres'!$M:$M,0))&amp;"",""))),0,IF(OR(IFERROR(INDEX('Paramètres'!$I:$I,MATCH($C3052,'Paramètres'!$D:$D,0))&amp;"","")="Les deux",IFERROR(INDEX('Paramètres'!$I:$I,MATCH($C3052,'Paramètres'!$D:$D,0))&amp;"","")=IF($P3052=1,"Débit",$L3052)),-IF($P3052=1,-$K3052,$K3052),0))))</f>
        <v/>
      </c>
      <c r="U3052" s="6" t="str">
        <f>IF($K3052="","",IF(ISNUMBER(SEARCH("sortie-epargne",IFERROR(INDEX('Paramètres'!$N:$N,MATCH($D3052,'Paramètres'!$M:$M,0))&amp;"",""))),$K3052,0))</f>
        <v/>
      </c>
      <c r="V3052" s="6" t="str">
        <f>IF(AND($A3052&lt;&gt;"",$O3052=1,$L3052="Débit",N($Q3052)&gt;0,$A3052&gt;=Visualisation!$B$1,$A3052&lt;Visualisation!$D$1),MAX($V$1:V3051)+1,"")</f>
        <v/>
      </c>
    </row>
    <row r="3053" spans="1:22" x14ac:dyDescent="0.25">
      <c r="A3053" s="9"/>
      <c r="E3053" s="10"/>
      <c r="K3053" s="11" t="str">
        <f>IF($E3053="","",ROUND($E3053*IF(ISNA(MATCH($C3053,'Paramètres'!$D:$D,0)),1,IF(INDEX('Paramètres'!$J:$J,MATCH($C3053,'Paramètres'!$D:$D,0))="",1,INDEX('Paramètres'!$J:$J,MATCH($C3053,'Paramètres'!$D:$D,0)))),2))</f>
        <v/>
      </c>
      <c r="L3053" s="6" t="str">
        <f>IF($D3053="","",IF($F3053&lt;&gt;"",$F3053,IF(ISNA(MATCH($D3053,'Paramètres'!$M:$M,0)),"⚠ Type inconnu",IFERROR(INDEX('Paramètres'!$P:$P,MATCH($D3053,'Paramètres'!$M:$M,0))&amp;"",""))))</f>
        <v/>
      </c>
      <c r="M3053" s="6" t="str">
        <f>IF($D3053="","",IF(ISNA(MATCH($D3053,'Paramètres'!$M:$M,0)),"⚠ Type inconnu",IF($L3053="Crédit","",IFERROR(INDEX('Paramètres'!$O:$O,MATCH($D3053,'Paramètres'!$M:$M,0))&amp;"",""))))</f>
        <v/>
      </c>
      <c r="N3053" s="6" t="str">
        <f>IF($D3053="","",IFERROR(INDEX('Paramètres'!$Q:$Q,MATCH($D3053,'Paramètres'!$M:$M,0))&amp;"",""))</f>
        <v/>
      </c>
      <c r="O3053" s="6" t="str">
        <f>IF($A3053="","",IF(OR($J3053&lt;&gt;"x",$A3053&lt;=FinReleve),1,0))</f>
        <v/>
      </c>
      <c r="P3053" s="6" t="str">
        <f>IF($D3053="","",IF(AND($L3053="Crédit",OR(IFERROR(INDEX('Paramètres'!$O:$O,MATCH($D3053,'Paramètres'!$M:$M,0))&amp;"","")&lt;&gt;"",ISNUMBER(SEARCH("remboursement",IFERROR(INDEX('Paramètres'!$N:$N,MATCH($D3053,'Paramètres'!$M:$M,0))&amp;"",""))))),1,0))</f>
        <v/>
      </c>
      <c r="Q3053" s="6" t="str">
        <f>IF($K3053="","",IF(ISNUMBER(SEARCH("transfert-interne",IFERROR(INDEX('Paramètres'!$N:$N,MATCH($D3053,'Paramètres'!$M:$M,0))&amp;"",""))),0,IF($L3053="Débit",$K3053,IF($P3053=1,-$K3053,0))))</f>
        <v/>
      </c>
      <c r="R3053" s="6" t="str">
        <f>IF($K3053="","",IF($L3053="Crédit",$K3053,-$K3053))</f>
        <v/>
      </c>
      <c r="S3053" s="6" t="str">
        <f>IF($C3053="","",IFERROR(INDEX('Paramètres'!$H:$H,MATCH($C3053,'Paramètres'!$D:$D,0))&amp;"",""))</f>
        <v/>
      </c>
      <c r="T3053" s="6" t="str">
        <f>IF($K3053="","",IF($S3053="",0,IF(ISNUMBER(SEARCH("apport-exterieur",IFERROR(INDEX('Paramètres'!$N:$N,MATCH($D3053,'Paramètres'!$M:$M,0))&amp;"",""))),0,IF(OR(IFERROR(INDEX('Paramètres'!$I:$I,MATCH($C3053,'Paramètres'!$D:$D,0))&amp;"","")="Les deux",IFERROR(INDEX('Paramètres'!$I:$I,MATCH($C3053,'Paramètres'!$D:$D,0))&amp;"","")=IF($P3053=1,"Débit",$L3053)),-IF($P3053=1,-$K3053,$K3053),0))))</f>
        <v/>
      </c>
      <c r="U3053" s="6" t="str">
        <f>IF($K3053="","",IF(ISNUMBER(SEARCH("sortie-epargne",IFERROR(INDEX('Paramètres'!$N:$N,MATCH($D3053,'Paramètres'!$M:$M,0))&amp;"",""))),$K3053,0))</f>
        <v/>
      </c>
      <c r="V3053" s="6" t="str">
        <f>IF(AND($A3053&lt;&gt;"",$O3053=1,$L3053="Débit",N($Q3053)&gt;0,$A3053&gt;=Visualisation!$B$1,$A3053&lt;Visualisation!$D$1),MAX($V$1:V3052)+1,"")</f>
        <v/>
      </c>
    </row>
    <row r="3054" spans="1:22" x14ac:dyDescent="0.25">
      <c r="A3054" s="9"/>
      <c r="E3054" s="10"/>
      <c r="K3054" s="11" t="str">
        <f>IF($E3054="","",ROUND($E3054*IF(ISNA(MATCH($C3054,'Paramètres'!$D:$D,0)),1,IF(INDEX('Paramètres'!$J:$J,MATCH($C3054,'Paramètres'!$D:$D,0))="",1,INDEX('Paramètres'!$J:$J,MATCH($C3054,'Paramètres'!$D:$D,0)))),2))</f>
        <v/>
      </c>
      <c r="L3054" s="6" t="str">
        <f>IF($D3054="","",IF($F3054&lt;&gt;"",$F3054,IF(ISNA(MATCH($D3054,'Paramètres'!$M:$M,0)),"⚠ Type inconnu",IFERROR(INDEX('Paramètres'!$P:$P,MATCH($D3054,'Paramètres'!$M:$M,0))&amp;"",""))))</f>
        <v/>
      </c>
      <c r="M3054" s="6" t="str">
        <f>IF($D3054="","",IF(ISNA(MATCH($D3054,'Paramètres'!$M:$M,0)),"⚠ Type inconnu",IF($L3054="Crédit","",IFERROR(INDEX('Paramètres'!$O:$O,MATCH($D3054,'Paramètres'!$M:$M,0))&amp;"",""))))</f>
        <v/>
      </c>
      <c r="N3054" s="6" t="str">
        <f>IF($D3054="","",IFERROR(INDEX('Paramètres'!$Q:$Q,MATCH($D3054,'Paramètres'!$M:$M,0))&amp;"",""))</f>
        <v/>
      </c>
      <c r="O3054" s="6" t="str">
        <f>IF($A3054="","",IF(OR($J3054&lt;&gt;"x",$A3054&lt;=FinReleve),1,0))</f>
        <v/>
      </c>
      <c r="P3054" s="6" t="str">
        <f>IF($D3054="","",IF(AND($L3054="Crédit",OR(IFERROR(INDEX('Paramètres'!$O:$O,MATCH($D3054,'Paramètres'!$M:$M,0))&amp;"","")&lt;&gt;"",ISNUMBER(SEARCH("remboursement",IFERROR(INDEX('Paramètres'!$N:$N,MATCH($D3054,'Paramètres'!$M:$M,0))&amp;"",""))))),1,0))</f>
        <v/>
      </c>
      <c r="Q3054" s="6" t="str">
        <f>IF($K3054="","",IF(ISNUMBER(SEARCH("transfert-interne",IFERROR(INDEX('Paramètres'!$N:$N,MATCH($D3054,'Paramètres'!$M:$M,0))&amp;"",""))),0,IF($L3054="Débit",$K3054,IF($P3054=1,-$K3054,0))))</f>
        <v/>
      </c>
      <c r="R3054" s="6" t="str">
        <f>IF($K3054="","",IF($L3054="Crédit",$K3054,-$K3054))</f>
        <v/>
      </c>
      <c r="S3054" s="6" t="str">
        <f>IF($C3054="","",IFERROR(INDEX('Paramètres'!$H:$H,MATCH($C3054,'Paramètres'!$D:$D,0))&amp;"",""))</f>
        <v/>
      </c>
      <c r="T3054" s="6" t="str">
        <f>IF($K3054="","",IF($S3054="",0,IF(ISNUMBER(SEARCH("apport-exterieur",IFERROR(INDEX('Paramètres'!$N:$N,MATCH($D3054,'Paramètres'!$M:$M,0))&amp;"",""))),0,IF(OR(IFERROR(INDEX('Paramètres'!$I:$I,MATCH($C3054,'Paramètres'!$D:$D,0))&amp;"","")="Les deux",IFERROR(INDEX('Paramètres'!$I:$I,MATCH($C3054,'Paramètres'!$D:$D,0))&amp;"","")=IF($P3054=1,"Débit",$L3054)),-IF($P3054=1,-$K3054,$K3054),0))))</f>
        <v/>
      </c>
      <c r="U3054" s="6" t="str">
        <f>IF($K3054="","",IF(ISNUMBER(SEARCH("sortie-epargne",IFERROR(INDEX('Paramètres'!$N:$N,MATCH($D3054,'Paramètres'!$M:$M,0))&amp;"",""))),$K3054,0))</f>
        <v/>
      </c>
      <c r="V3054" s="6" t="str">
        <f>IF(AND($A3054&lt;&gt;"",$O3054=1,$L3054="Débit",N($Q3054)&gt;0,$A3054&gt;=Visualisation!$B$1,$A3054&lt;Visualisation!$D$1),MAX($V$1:V3053)+1,"")</f>
        <v/>
      </c>
    </row>
    <row r="3055" spans="1:22" x14ac:dyDescent="0.25">
      <c r="A3055" s="9"/>
      <c r="E3055" s="10"/>
      <c r="K3055" s="11" t="str">
        <f>IF($E3055="","",ROUND($E3055*IF(ISNA(MATCH($C3055,'Paramètres'!$D:$D,0)),1,IF(INDEX('Paramètres'!$J:$J,MATCH($C3055,'Paramètres'!$D:$D,0))="",1,INDEX('Paramètres'!$J:$J,MATCH($C3055,'Paramètres'!$D:$D,0)))),2))</f>
        <v/>
      </c>
      <c r="L3055" s="6" t="str">
        <f>IF($D3055="","",IF($F3055&lt;&gt;"",$F3055,IF(ISNA(MATCH($D3055,'Paramètres'!$M:$M,0)),"⚠ Type inconnu",IFERROR(INDEX('Paramètres'!$P:$P,MATCH($D3055,'Paramètres'!$M:$M,0))&amp;"",""))))</f>
        <v/>
      </c>
      <c r="M3055" s="6" t="str">
        <f>IF($D3055="","",IF(ISNA(MATCH($D3055,'Paramètres'!$M:$M,0)),"⚠ Type inconnu",IF($L3055="Crédit","",IFERROR(INDEX('Paramètres'!$O:$O,MATCH($D3055,'Paramètres'!$M:$M,0))&amp;"",""))))</f>
        <v/>
      </c>
      <c r="N3055" s="6" t="str">
        <f>IF($D3055="","",IFERROR(INDEX('Paramètres'!$Q:$Q,MATCH($D3055,'Paramètres'!$M:$M,0))&amp;"",""))</f>
        <v/>
      </c>
      <c r="O3055" s="6" t="str">
        <f>IF($A3055="","",IF(OR($J3055&lt;&gt;"x",$A3055&lt;=FinReleve),1,0))</f>
        <v/>
      </c>
      <c r="P3055" s="6" t="str">
        <f>IF($D3055="","",IF(AND($L3055="Crédit",OR(IFERROR(INDEX('Paramètres'!$O:$O,MATCH($D3055,'Paramètres'!$M:$M,0))&amp;"","")&lt;&gt;"",ISNUMBER(SEARCH("remboursement",IFERROR(INDEX('Paramètres'!$N:$N,MATCH($D3055,'Paramètres'!$M:$M,0))&amp;"",""))))),1,0))</f>
        <v/>
      </c>
      <c r="Q3055" s="6" t="str">
        <f>IF($K3055="","",IF(ISNUMBER(SEARCH("transfert-interne",IFERROR(INDEX('Paramètres'!$N:$N,MATCH($D3055,'Paramètres'!$M:$M,0))&amp;"",""))),0,IF($L3055="Débit",$K3055,IF($P3055=1,-$K3055,0))))</f>
        <v/>
      </c>
      <c r="R3055" s="6" t="str">
        <f>IF($K3055="","",IF($L3055="Crédit",$K3055,-$K3055))</f>
        <v/>
      </c>
      <c r="S3055" s="6" t="str">
        <f>IF($C3055="","",IFERROR(INDEX('Paramètres'!$H:$H,MATCH($C3055,'Paramètres'!$D:$D,0))&amp;"",""))</f>
        <v/>
      </c>
      <c r="T3055" s="6" t="str">
        <f>IF($K3055="","",IF($S3055="",0,IF(ISNUMBER(SEARCH("apport-exterieur",IFERROR(INDEX('Paramètres'!$N:$N,MATCH($D3055,'Paramètres'!$M:$M,0))&amp;"",""))),0,IF(OR(IFERROR(INDEX('Paramètres'!$I:$I,MATCH($C3055,'Paramètres'!$D:$D,0))&amp;"","")="Les deux",IFERROR(INDEX('Paramètres'!$I:$I,MATCH($C3055,'Paramètres'!$D:$D,0))&amp;"","")=IF($P3055=1,"Débit",$L3055)),-IF($P3055=1,-$K3055,$K3055),0))))</f>
        <v/>
      </c>
      <c r="U3055" s="6" t="str">
        <f>IF($K3055="","",IF(ISNUMBER(SEARCH("sortie-epargne",IFERROR(INDEX('Paramètres'!$N:$N,MATCH($D3055,'Paramètres'!$M:$M,0))&amp;"",""))),$K3055,0))</f>
        <v/>
      </c>
      <c r="V3055" s="6" t="str">
        <f>IF(AND($A3055&lt;&gt;"",$O3055=1,$L3055="Débit",N($Q3055)&gt;0,$A3055&gt;=Visualisation!$B$1,$A3055&lt;Visualisation!$D$1),MAX($V$1:V3054)+1,"")</f>
        <v/>
      </c>
    </row>
    <row r="3056" spans="1:22" x14ac:dyDescent="0.25">
      <c r="A3056" s="9"/>
      <c r="E3056" s="10"/>
      <c r="K3056" s="11" t="str">
        <f>IF($E3056="","",ROUND($E3056*IF(ISNA(MATCH($C3056,'Paramètres'!$D:$D,0)),1,IF(INDEX('Paramètres'!$J:$J,MATCH($C3056,'Paramètres'!$D:$D,0))="",1,INDEX('Paramètres'!$J:$J,MATCH($C3056,'Paramètres'!$D:$D,0)))),2))</f>
        <v/>
      </c>
      <c r="L3056" s="6" t="str">
        <f>IF($D3056="","",IF($F3056&lt;&gt;"",$F3056,IF(ISNA(MATCH($D3056,'Paramètres'!$M:$M,0)),"⚠ Type inconnu",IFERROR(INDEX('Paramètres'!$P:$P,MATCH($D3056,'Paramètres'!$M:$M,0))&amp;"",""))))</f>
        <v/>
      </c>
      <c r="M3056" s="6" t="str">
        <f>IF($D3056="","",IF(ISNA(MATCH($D3056,'Paramètres'!$M:$M,0)),"⚠ Type inconnu",IF($L3056="Crédit","",IFERROR(INDEX('Paramètres'!$O:$O,MATCH($D3056,'Paramètres'!$M:$M,0))&amp;"",""))))</f>
        <v/>
      </c>
      <c r="N3056" s="6" t="str">
        <f>IF($D3056="","",IFERROR(INDEX('Paramètres'!$Q:$Q,MATCH($D3056,'Paramètres'!$M:$M,0))&amp;"",""))</f>
        <v/>
      </c>
      <c r="O3056" s="6" t="str">
        <f>IF($A3056="","",IF(OR($J3056&lt;&gt;"x",$A3056&lt;=FinReleve),1,0))</f>
        <v/>
      </c>
      <c r="P3056" s="6" t="str">
        <f>IF($D3056="","",IF(AND($L3056="Crédit",OR(IFERROR(INDEX('Paramètres'!$O:$O,MATCH($D3056,'Paramètres'!$M:$M,0))&amp;"","")&lt;&gt;"",ISNUMBER(SEARCH("remboursement",IFERROR(INDEX('Paramètres'!$N:$N,MATCH($D3056,'Paramètres'!$M:$M,0))&amp;"",""))))),1,0))</f>
        <v/>
      </c>
      <c r="Q3056" s="6" t="str">
        <f>IF($K3056="","",IF(ISNUMBER(SEARCH("transfert-interne",IFERROR(INDEX('Paramètres'!$N:$N,MATCH($D3056,'Paramètres'!$M:$M,0))&amp;"",""))),0,IF($L3056="Débit",$K3056,IF($P3056=1,-$K3056,0))))</f>
        <v/>
      </c>
      <c r="R3056" s="6" t="str">
        <f>IF($K3056="","",IF($L3056="Crédit",$K3056,-$K3056))</f>
        <v/>
      </c>
      <c r="S3056" s="6" t="str">
        <f>IF($C3056="","",IFERROR(INDEX('Paramètres'!$H:$H,MATCH($C3056,'Paramètres'!$D:$D,0))&amp;"",""))</f>
        <v/>
      </c>
      <c r="T3056" s="6" t="str">
        <f>IF($K3056="","",IF($S3056="",0,IF(ISNUMBER(SEARCH("apport-exterieur",IFERROR(INDEX('Paramètres'!$N:$N,MATCH($D3056,'Paramètres'!$M:$M,0))&amp;"",""))),0,IF(OR(IFERROR(INDEX('Paramètres'!$I:$I,MATCH($C3056,'Paramètres'!$D:$D,0))&amp;"","")="Les deux",IFERROR(INDEX('Paramètres'!$I:$I,MATCH($C3056,'Paramètres'!$D:$D,0))&amp;"","")=IF($P3056=1,"Débit",$L3056)),-IF($P3056=1,-$K3056,$K3056),0))))</f>
        <v/>
      </c>
      <c r="U3056" s="6" t="str">
        <f>IF($K3056="","",IF(ISNUMBER(SEARCH("sortie-epargne",IFERROR(INDEX('Paramètres'!$N:$N,MATCH($D3056,'Paramètres'!$M:$M,0))&amp;"",""))),$K3056,0))</f>
        <v/>
      </c>
      <c r="V3056" s="6" t="str">
        <f>IF(AND($A3056&lt;&gt;"",$O3056=1,$L3056="Débit",N($Q3056)&gt;0,$A3056&gt;=Visualisation!$B$1,$A3056&lt;Visualisation!$D$1),MAX($V$1:V3055)+1,"")</f>
        <v/>
      </c>
    </row>
    <row r="3057" spans="1:22" x14ac:dyDescent="0.25">
      <c r="A3057" s="9"/>
      <c r="E3057" s="10"/>
      <c r="K3057" s="11" t="str">
        <f>IF($E3057="","",ROUND($E3057*IF(ISNA(MATCH($C3057,'Paramètres'!$D:$D,0)),1,IF(INDEX('Paramètres'!$J:$J,MATCH($C3057,'Paramètres'!$D:$D,0))="",1,INDEX('Paramètres'!$J:$J,MATCH($C3057,'Paramètres'!$D:$D,0)))),2))</f>
        <v/>
      </c>
      <c r="L3057" s="6" t="str">
        <f>IF($D3057="","",IF($F3057&lt;&gt;"",$F3057,IF(ISNA(MATCH($D3057,'Paramètres'!$M:$M,0)),"⚠ Type inconnu",IFERROR(INDEX('Paramètres'!$P:$P,MATCH($D3057,'Paramètres'!$M:$M,0))&amp;"",""))))</f>
        <v/>
      </c>
      <c r="M3057" s="6" t="str">
        <f>IF($D3057="","",IF(ISNA(MATCH($D3057,'Paramètres'!$M:$M,0)),"⚠ Type inconnu",IF($L3057="Crédit","",IFERROR(INDEX('Paramètres'!$O:$O,MATCH($D3057,'Paramètres'!$M:$M,0))&amp;"",""))))</f>
        <v/>
      </c>
      <c r="N3057" s="6" t="str">
        <f>IF($D3057="","",IFERROR(INDEX('Paramètres'!$Q:$Q,MATCH($D3057,'Paramètres'!$M:$M,0))&amp;"",""))</f>
        <v/>
      </c>
      <c r="O3057" s="6" t="str">
        <f>IF($A3057="","",IF(OR($J3057&lt;&gt;"x",$A3057&lt;=FinReleve),1,0))</f>
        <v/>
      </c>
      <c r="P3057" s="6" t="str">
        <f>IF($D3057="","",IF(AND($L3057="Crédit",OR(IFERROR(INDEX('Paramètres'!$O:$O,MATCH($D3057,'Paramètres'!$M:$M,0))&amp;"","")&lt;&gt;"",ISNUMBER(SEARCH("remboursement",IFERROR(INDEX('Paramètres'!$N:$N,MATCH($D3057,'Paramètres'!$M:$M,0))&amp;"",""))))),1,0))</f>
        <v/>
      </c>
      <c r="Q3057" s="6" t="str">
        <f>IF($K3057="","",IF(ISNUMBER(SEARCH("transfert-interne",IFERROR(INDEX('Paramètres'!$N:$N,MATCH($D3057,'Paramètres'!$M:$M,0))&amp;"",""))),0,IF($L3057="Débit",$K3057,IF($P3057=1,-$K3057,0))))</f>
        <v/>
      </c>
      <c r="R3057" s="6" t="str">
        <f>IF($K3057="","",IF($L3057="Crédit",$K3057,-$K3057))</f>
        <v/>
      </c>
      <c r="S3057" s="6" t="str">
        <f>IF($C3057="","",IFERROR(INDEX('Paramètres'!$H:$H,MATCH($C3057,'Paramètres'!$D:$D,0))&amp;"",""))</f>
        <v/>
      </c>
      <c r="T3057" s="6" t="str">
        <f>IF($K3057="","",IF($S3057="",0,IF(ISNUMBER(SEARCH("apport-exterieur",IFERROR(INDEX('Paramètres'!$N:$N,MATCH($D3057,'Paramètres'!$M:$M,0))&amp;"",""))),0,IF(OR(IFERROR(INDEX('Paramètres'!$I:$I,MATCH($C3057,'Paramètres'!$D:$D,0))&amp;"","")="Les deux",IFERROR(INDEX('Paramètres'!$I:$I,MATCH($C3057,'Paramètres'!$D:$D,0))&amp;"","")=IF($P3057=1,"Débit",$L3057)),-IF($P3057=1,-$K3057,$K3057),0))))</f>
        <v/>
      </c>
      <c r="U3057" s="6" t="str">
        <f>IF($K3057="","",IF(ISNUMBER(SEARCH("sortie-epargne",IFERROR(INDEX('Paramètres'!$N:$N,MATCH($D3057,'Paramètres'!$M:$M,0))&amp;"",""))),$K3057,0))</f>
        <v/>
      </c>
      <c r="V3057" s="6" t="str">
        <f>IF(AND($A3057&lt;&gt;"",$O3057=1,$L3057="Débit",N($Q3057)&gt;0,$A3057&gt;=Visualisation!$B$1,$A3057&lt;Visualisation!$D$1),MAX($V$1:V3056)+1,"")</f>
        <v/>
      </c>
    </row>
    <row r="3058" spans="1:22" x14ac:dyDescent="0.25">
      <c r="A3058" s="9"/>
      <c r="E3058" s="10"/>
      <c r="K3058" s="11" t="str">
        <f>IF($E3058="","",ROUND($E3058*IF(ISNA(MATCH($C3058,'Paramètres'!$D:$D,0)),1,IF(INDEX('Paramètres'!$J:$J,MATCH($C3058,'Paramètres'!$D:$D,0))="",1,INDEX('Paramètres'!$J:$J,MATCH($C3058,'Paramètres'!$D:$D,0)))),2))</f>
        <v/>
      </c>
      <c r="L3058" s="6" t="str">
        <f>IF($D3058="","",IF($F3058&lt;&gt;"",$F3058,IF(ISNA(MATCH($D3058,'Paramètres'!$M:$M,0)),"⚠ Type inconnu",IFERROR(INDEX('Paramètres'!$P:$P,MATCH($D3058,'Paramètres'!$M:$M,0))&amp;"",""))))</f>
        <v/>
      </c>
      <c r="M3058" s="6" t="str">
        <f>IF($D3058="","",IF(ISNA(MATCH($D3058,'Paramètres'!$M:$M,0)),"⚠ Type inconnu",IF($L3058="Crédit","",IFERROR(INDEX('Paramètres'!$O:$O,MATCH($D3058,'Paramètres'!$M:$M,0))&amp;"",""))))</f>
        <v/>
      </c>
      <c r="N3058" s="6" t="str">
        <f>IF($D3058="","",IFERROR(INDEX('Paramètres'!$Q:$Q,MATCH($D3058,'Paramètres'!$M:$M,0))&amp;"",""))</f>
        <v/>
      </c>
      <c r="O3058" s="6" t="str">
        <f>IF($A3058="","",IF(OR($J3058&lt;&gt;"x",$A3058&lt;=FinReleve),1,0))</f>
        <v/>
      </c>
      <c r="P3058" s="6" t="str">
        <f>IF($D3058="","",IF(AND($L3058="Crédit",OR(IFERROR(INDEX('Paramètres'!$O:$O,MATCH($D3058,'Paramètres'!$M:$M,0))&amp;"","")&lt;&gt;"",ISNUMBER(SEARCH("remboursement",IFERROR(INDEX('Paramètres'!$N:$N,MATCH($D3058,'Paramètres'!$M:$M,0))&amp;"",""))))),1,0))</f>
        <v/>
      </c>
      <c r="Q3058" s="6" t="str">
        <f>IF($K3058="","",IF(ISNUMBER(SEARCH("transfert-interne",IFERROR(INDEX('Paramètres'!$N:$N,MATCH($D3058,'Paramètres'!$M:$M,0))&amp;"",""))),0,IF($L3058="Débit",$K3058,IF($P3058=1,-$K3058,0))))</f>
        <v/>
      </c>
      <c r="R3058" s="6" t="str">
        <f>IF($K3058="","",IF($L3058="Crédit",$K3058,-$K3058))</f>
        <v/>
      </c>
      <c r="S3058" s="6" t="str">
        <f>IF($C3058="","",IFERROR(INDEX('Paramètres'!$H:$H,MATCH($C3058,'Paramètres'!$D:$D,0))&amp;"",""))</f>
        <v/>
      </c>
      <c r="T3058" s="6" t="str">
        <f>IF($K3058="","",IF($S3058="",0,IF(ISNUMBER(SEARCH("apport-exterieur",IFERROR(INDEX('Paramètres'!$N:$N,MATCH($D3058,'Paramètres'!$M:$M,0))&amp;"",""))),0,IF(OR(IFERROR(INDEX('Paramètres'!$I:$I,MATCH($C3058,'Paramètres'!$D:$D,0))&amp;"","")="Les deux",IFERROR(INDEX('Paramètres'!$I:$I,MATCH($C3058,'Paramètres'!$D:$D,0))&amp;"","")=IF($P3058=1,"Débit",$L3058)),-IF($P3058=1,-$K3058,$K3058),0))))</f>
        <v/>
      </c>
      <c r="U3058" s="6" t="str">
        <f>IF($K3058="","",IF(ISNUMBER(SEARCH("sortie-epargne",IFERROR(INDEX('Paramètres'!$N:$N,MATCH($D3058,'Paramètres'!$M:$M,0))&amp;"",""))),$K3058,0))</f>
        <v/>
      </c>
      <c r="V3058" s="6" t="str">
        <f>IF(AND($A3058&lt;&gt;"",$O3058=1,$L3058="Débit",N($Q3058)&gt;0,$A3058&gt;=Visualisation!$B$1,$A3058&lt;Visualisation!$D$1),MAX($V$1:V3057)+1,"")</f>
        <v/>
      </c>
    </row>
    <row r="3059" spans="1:22" x14ac:dyDescent="0.25">
      <c r="A3059" s="9"/>
      <c r="E3059" s="10"/>
      <c r="K3059" s="11" t="str">
        <f>IF($E3059="","",ROUND($E3059*IF(ISNA(MATCH($C3059,'Paramètres'!$D:$D,0)),1,IF(INDEX('Paramètres'!$J:$J,MATCH($C3059,'Paramètres'!$D:$D,0))="",1,INDEX('Paramètres'!$J:$J,MATCH($C3059,'Paramètres'!$D:$D,0)))),2))</f>
        <v/>
      </c>
      <c r="L3059" s="6" t="str">
        <f>IF($D3059="","",IF($F3059&lt;&gt;"",$F3059,IF(ISNA(MATCH($D3059,'Paramètres'!$M:$M,0)),"⚠ Type inconnu",IFERROR(INDEX('Paramètres'!$P:$P,MATCH($D3059,'Paramètres'!$M:$M,0))&amp;"",""))))</f>
        <v/>
      </c>
      <c r="M3059" s="6" t="str">
        <f>IF($D3059="","",IF(ISNA(MATCH($D3059,'Paramètres'!$M:$M,0)),"⚠ Type inconnu",IF($L3059="Crédit","",IFERROR(INDEX('Paramètres'!$O:$O,MATCH($D3059,'Paramètres'!$M:$M,0))&amp;"",""))))</f>
        <v/>
      </c>
      <c r="N3059" s="6" t="str">
        <f>IF($D3059="","",IFERROR(INDEX('Paramètres'!$Q:$Q,MATCH($D3059,'Paramètres'!$M:$M,0))&amp;"",""))</f>
        <v/>
      </c>
      <c r="O3059" s="6" t="str">
        <f>IF($A3059="","",IF(OR($J3059&lt;&gt;"x",$A3059&lt;=FinReleve),1,0))</f>
        <v/>
      </c>
      <c r="P3059" s="6" t="str">
        <f>IF($D3059="","",IF(AND($L3059="Crédit",OR(IFERROR(INDEX('Paramètres'!$O:$O,MATCH($D3059,'Paramètres'!$M:$M,0))&amp;"","")&lt;&gt;"",ISNUMBER(SEARCH("remboursement",IFERROR(INDEX('Paramètres'!$N:$N,MATCH($D3059,'Paramètres'!$M:$M,0))&amp;"",""))))),1,0))</f>
        <v/>
      </c>
      <c r="Q3059" s="6" t="str">
        <f>IF($K3059="","",IF(ISNUMBER(SEARCH("transfert-interne",IFERROR(INDEX('Paramètres'!$N:$N,MATCH($D3059,'Paramètres'!$M:$M,0))&amp;"",""))),0,IF($L3059="Débit",$K3059,IF($P3059=1,-$K3059,0))))</f>
        <v/>
      </c>
      <c r="R3059" s="6" t="str">
        <f>IF($K3059="","",IF($L3059="Crédit",$K3059,-$K3059))</f>
        <v/>
      </c>
      <c r="S3059" s="6" t="str">
        <f>IF($C3059="","",IFERROR(INDEX('Paramètres'!$H:$H,MATCH($C3059,'Paramètres'!$D:$D,0))&amp;"",""))</f>
        <v/>
      </c>
      <c r="T3059" s="6" t="str">
        <f>IF($K3059="","",IF($S3059="",0,IF(ISNUMBER(SEARCH("apport-exterieur",IFERROR(INDEX('Paramètres'!$N:$N,MATCH($D3059,'Paramètres'!$M:$M,0))&amp;"",""))),0,IF(OR(IFERROR(INDEX('Paramètres'!$I:$I,MATCH($C3059,'Paramètres'!$D:$D,0))&amp;"","")="Les deux",IFERROR(INDEX('Paramètres'!$I:$I,MATCH($C3059,'Paramètres'!$D:$D,0))&amp;"","")=IF($P3059=1,"Débit",$L3059)),-IF($P3059=1,-$K3059,$K3059),0))))</f>
        <v/>
      </c>
      <c r="U3059" s="6" t="str">
        <f>IF($K3059="","",IF(ISNUMBER(SEARCH("sortie-epargne",IFERROR(INDEX('Paramètres'!$N:$N,MATCH($D3059,'Paramètres'!$M:$M,0))&amp;"",""))),$K3059,0))</f>
        <v/>
      </c>
      <c r="V3059" s="6" t="str">
        <f>IF(AND($A3059&lt;&gt;"",$O3059=1,$L3059="Débit",N($Q3059)&gt;0,$A3059&gt;=Visualisation!$B$1,$A3059&lt;Visualisation!$D$1),MAX($V$1:V3058)+1,"")</f>
        <v/>
      </c>
    </row>
    <row r="3060" spans="1:22" x14ac:dyDescent="0.25">
      <c r="A3060" s="9"/>
      <c r="E3060" s="10"/>
      <c r="K3060" s="11" t="str">
        <f>IF($E3060="","",ROUND($E3060*IF(ISNA(MATCH($C3060,'Paramètres'!$D:$D,0)),1,IF(INDEX('Paramètres'!$J:$J,MATCH($C3060,'Paramètres'!$D:$D,0))="",1,INDEX('Paramètres'!$J:$J,MATCH($C3060,'Paramètres'!$D:$D,0)))),2))</f>
        <v/>
      </c>
      <c r="L3060" s="6" t="str">
        <f>IF($D3060="","",IF($F3060&lt;&gt;"",$F3060,IF(ISNA(MATCH($D3060,'Paramètres'!$M:$M,0)),"⚠ Type inconnu",IFERROR(INDEX('Paramètres'!$P:$P,MATCH($D3060,'Paramètres'!$M:$M,0))&amp;"",""))))</f>
        <v/>
      </c>
      <c r="M3060" s="6" t="str">
        <f>IF($D3060="","",IF(ISNA(MATCH($D3060,'Paramètres'!$M:$M,0)),"⚠ Type inconnu",IF($L3060="Crédit","",IFERROR(INDEX('Paramètres'!$O:$O,MATCH($D3060,'Paramètres'!$M:$M,0))&amp;"",""))))</f>
        <v/>
      </c>
      <c r="N3060" s="6" t="str">
        <f>IF($D3060="","",IFERROR(INDEX('Paramètres'!$Q:$Q,MATCH($D3060,'Paramètres'!$M:$M,0))&amp;"",""))</f>
        <v/>
      </c>
      <c r="O3060" s="6" t="str">
        <f>IF($A3060="","",IF(OR($J3060&lt;&gt;"x",$A3060&lt;=FinReleve),1,0))</f>
        <v/>
      </c>
      <c r="P3060" s="6" t="str">
        <f>IF($D3060="","",IF(AND($L3060="Crédit",OR(IFERROR(INDEX('Paramètres'!$O:$O,MATCH($D3060,'Paramètres'!$M:$M,0))&amp;"","")&lt;&gt;"",ISNUMBER(SEARCH("remboursement",IFERROR(INDEX('Paramètres'!$N:$N,MATCH($D3060,'Paramètres'!$M:$M,0))&amp;"",""))))),1,0))</f>
        <v/>
      </c>
      <c r="Q3060" s="6" t="str">
        <f>IF($K3060="","",IF(ISNUMBER(SEARCH("transfert-interne",IFERROR(INDEX('Paramètres'!$N:$N,MATCH($D3060,'Paramètres'!$M:$M,0))&amp;"",""))),0,IF($L3060="Débit",$K3060,IF($P3060=1,-$K3060,0))))</f>
        <v/>
      </c>
      <c r="R3060" s="6" t="str">
        <f>IF($K3060="","",IF($L3060="Crédit",$K3060,-$K3060))</f>
        <v/>
      </c>
      <c r="S3060" s="6" t="str">
        <f>IF($C3060="","",IFERROR(INDEX('Paramètres'!$H:$H,MATCH($C3060,'Paramètres'!$D:$D,0))&amp;"",""))</f>
        <v/>
      </c>
      <c r="T3060" s="6" t="str">
        <f>IF($K3060="","",IF($S3060="",0,IF(ISNUMBER(SEARCH("apport-exterieur",IFERROR(INDEX('Paramètres'!$N:$N,MATCH($D3060,'Paramètres'!$M:$M,0))&amp;"",""))),0,IF(OR(IFERROR(INDEX('Paramètres'!$I:$I,MATCH($C3060,'Paramètres'!$D:$D,0))&amp;"","")="Les deux",IFERROR(INDEX('Paramètres'!$I:$I,MATCH($C3060,'Paramètres'!$D:$D,0))&amp;"","")=IF($P3060=1,"Débit",$L3060)),-IF($P3060=1,-$K3060,$K3060),0))))</f>
        <v/>
      </c>
      <c r="U3060" s="6" t="str">
        <f>IF($K3060="","",IF(ISNUMBER(SEARCH("sortie-epargne",IFERROR(INDEX('Paramètres'!$N:$N,MATCH($D3060,'Paramètres'!$M:$M,0))&amp;"",""))),$K3060,0))</f>
        <v/>
      </c>
      <c r="V3060" s="6" t="str">
        <f>IF(AND($A3060&lt;&gt;"",$O3060=1,$L3060="Débit",N($Q3060)&gt;0,$A3060&gt;=Visualisation!$B$1,$A3060&lt;Visualisation!$D$1),MAX($V$1:V3059)+1,"")</f>
        <v/>
      </c>
    </row>
    <row r="3061" spans="1:22" x14ac:dyDescent="0.25">
      <c r="A3061" s="9"/>
      <c r="E3061" s="10"/>
      <c r="K3061" s="11" t="str">
        <f>IF($E3061="","",ROUND($E3061*IF(ISNA(MATCH($C3061,'Paramètres'!$D:$D,0)),1,IF(INDEX('Paramètres'!$J:$J,MATCH($C3061,'Paramètres'!$D:$D,0))="",1,INDEX('Paramètres'!$J:$J,MATCH($C3061,'Paramètres'!$D:$D,0)))),2))</f>
        <v/>
      </c>
      <c r="L3061" s="6" t="str">
        <f>IF($D3061="","",IF($F3061&lt;&gt;"",$F3061,IF(ISNA(MATCH($D3061,'Paramètres'!$M:$M,0)),"⚠ Type inconnu",IFERROR(INDEX('Paramètres'!$P:$P,MATCH($D3061,'Paramètres'!$M:$M,0))&amp;"",""))))</f>
        <v/>
      </c>
      <c r="M3061" s="6" t="str">
        <f>IF($D3061="","",IF(ISNA(MATCH($D3061,'Paramètres'!$M:$M,0)),"⚠ Type inconnu",IF($L3061="Crédit","",IFERROR(INDEX('Paramètres'!$O:$O,MATCH($D3061,'Paramètres'!$M:$M,0))&amp;"",""))))</f>
        <v/>
      </c>
      <c r="N3061" s="6" t="str">
        <f>IF($D3061="","",IFERROR(INDEX('Paramètres'!$Q:$Q,MATCH($D3061,'Paramètres'!$M:$M,0))&amp;"",""))</f>
        <v/>
      </c>
      <c r="O3061" s="6" t="str">
        <f>IF($A3061="","",IF(OR($J3061&lt;&gt;"x",$A3061&lt;=FinReleve),1,0))</f>
        <v/>
      </c>
      <c r="P3061" s="6" t="str">
        <f>IF($D3061="","",IF(AND($L3061="Crédit",OR(IFERROR(INDEX('Paramètres'!$O:$O,MATCH($D3061,'Paramètres'!$M:$M,0))&amp;"","")&lt;&gt;"",ISNUMBER(SEARCH("remboursement",IFERROR(INDEX('Paramètres'!$N:$N,MATCH($D3061,'Paramètres'!$M:$M,0))&amp;"",""))))),1,0))</f>
        <v/>
      </c>
      <c r="Q3061" s="6" t="str">
        <f>IF($K3061="","",IF(ISNUMBER(SEARCH("transfert-interne",IFERROR(INDEX('Paramètres'!$N:$N,MATCH($D3061,'Paramètres'!$M:$M,0))&amp;"",""))),0,IF($L3061="Débit",$K3061,IF($P3061=1,-$K3061,0))))</f>
        <v/>
      </c>
      <c r="R3061" s="6" t="str">
        <f>IF($K3061="","",IF($L3061="Crédit",$K3061,-$K3061))</f>
        <v/>
      </c>
      <c r="S3061" s="6" t="str">
        <f>IF($C3061="","",IFERROR(INDEX('Paramètres'!$H:$H,MATCH($C3061,'Paramètres'!$D:$D,0))&amp;"",""))</f>
        <v/>
      </c>
      <c r="T3061" s="6" t="str">
        <f>IF($K3061="","",IF($S3061="",0,IF(ISNUMBER(SEARCH("apport-exterieur",IFERROR(INDEX('Paramètres'!$N:$N,MATCH($D3061,'Paramètres'!$M:$M,0))&amp;"",""))),0,IF(OR(IFERROR(INDEX('Paramètres'!$I:$I,MATCH($C3061,'Paramètres'!$D:$D,0))&amp;"","")="Les deux",IFERROR(INDEX('Paramètres'!$I:$I,MATCH($C3061,'Paramètres'!$D:$D,0))&amp;"","")=IF($P3061=1,"Débit",$L3061)),-IF($P3061=1,-$K3061,$K3061),0))))</f>
        <v/>
      </c>
      <c r="U3061" s="6" t="str">
        <f>IF($K3061="","",IF(ISNUMBER(SEARCH("sortie-epargne",IFERROR(INDEX('Paramètres'!$N:$N,MATCH($D3061,'Paramètres'!$M:$M,0))&amp;"",""))),$K3061,0))</f>
        <v/>
      </c>
      <c r="V3061" s="6" t="str">
        <f>IF(AND($A3061&lt;&gt;"",$O3061=1,$L3061="Débit",N($Q3061)&gt;0,$A3061&gt;=Visualisation!$B$1,$A3061&lt;Visualisation!$D$1),MAX($V$1:V3060)+1,"")</f>
        <v/>
      </c>
    </row>
    <row r="3062" spans="1:22" x14ac:dyDescent="0.25">
      <c r="A3062" s="9"/>
      <c r="E3062" s="10"/>
      <c r="K3062" s="11" t="str">
        <f>IF($E3062="","",ROUND($E3062*IF(ISNA(MATCH($C3062,'Paramètres'!$D:$D,0)),1,IF(INDEX('Paramètres'!$J:$J,MATCH($C3062,'Paramètres'!$D:$D,0))="",1,INDEX('Paramètres'!$J:$J,MATCH($C3062,'Paramètres'!$D:$D,0)))),2))</f>
        <v/>
      </c>
      <c r="L3062" s="6" t="str">
        <f>IF($D3062="","",IF($F3062&lt;&gt;"",$F3062,IF(ISNA(MATCH($D3062,'Paramètres'!$M:$M,0)),"⚠ Type inconnu",IFERROR(INDEX('Paramètres'!$P:$P,MATCH($D3062,'Paramètres'!$M:$M,0))&amp;"",""))))</f>
        <v/>
      </c>
      <c r="M3062" s="6" t="str">
        <f>IF($D3062="","",IF(ISNA(MATCH($D3062,'Paramètres'!$M:$M,0)),"⚠ Type inconnu",IF($L3062="Crédit","",IFERROR(INDEX('Paramètres'!$O:$O,MATCH($D3062,'Paramètres'!$M:$M,0))&amp;"",""))))</f>
        <v/>
      </c>
      <c r="N3062" s="6" t="str">
        <f>IF($D3062="","",IFERROR(INDEX('Paramètres'!$Q:$Q,MATCH($D3062,'Paramètres'!$M:$M,0))&amp;"",""))</f>
        <v/>
      </c>
      <c r="O3062" s="6" t="str">
        <f>IF($A3062="","",IF(OR($J3062&lt;&gt;"x",$A3062&lt;=FinReleve),1,0))</f>
        <v/>
      </c>
      <c r="P3062" s="6" t="str">
        <f>IF($D3062="","",IF(AND($L3062="Crédit",OR(IFERROR(INDEX('Paramètres'!$O:$O,MATCH($D3062,'Paramètres'!$M:$M,0))&amp;"","")&lt;&gt;"",ISNUMBER(SEARCH("remboursement",IFERROR(INDEX('Paramètres'!$N:$N,MATCH($D3062,'Paramètres'!$M:$M,0))&amp;"",""))))),1,0))</f>
        <v/>
      </c>
      <c r="Q3062" s="6" t="str">
        <f>IF($K3062="","",IF(ISNUMBER(SEARCH("transfert-interne",IFERROR(INDEX('Paramètres'!$N:$N,MATCH($D3062,'Paramètres'!$M:$M,0))&amp;"",""))),0,IF($L3062="Débit",$K3062,IF($P3062=1,-$K3062,0))))</f>
        <v/>
      </c>
      <c r="R3062" s="6" t="str">
        <f>IF($K3062="","",IF($L3062="Crédit",$K3062,-$K3062))</f>
        <v/>
      </c>
      <c r="S3062" s="6" t="str">
        <f>IF($C3062="","",IFERROR(INDEX('Paramètres'!$H:$H,MATCH($C3062,'Paramètres'!$D:$D,0))&amp;"",""))</f>
        <v/>
      </c>
      <c r="T3062" s="6" t="str">
        <f>IF($K3062="","",IF($S3062="",0,IF(ISNUMBER(SEARCH("apport-exterieur",IFERROR(INDEX('Paramètres'!$N:$N,MATCH($D3062,'Paramètres'!$M:$M,0))&amp;"",""))),0,IF(OR(IFERROR(INDEX('Paramètres'!$I:$I,MATCH($C3062,'Paramètres'!$D:$D,0))&amp;"","")="Les deux",IFERROR(INDEX('Paramètres'!$I:$I,MATCH($C3062,'Paramètres'!$D:$D,0))&amp;"","")=IF($P3062=1,"Débit",$L3062)),-IF($P3062=1,-$K3062,$K3062),0))))</f>
        <v/>
      </c>
      <c r="U3062" s="6" t="str">
        <f>IF($K3062="","",IF(ISNUMBER(SEARCH("sortie-epargne",IFERROR(INDEX('Paramètres'!$N:$N,MATCH($D3062,'Paramètres'!$M:$M,0))&amp;"",""))),$K3062,0))</f>
        <v/>
      </c>
      <c r="V3062" s="6" t="str">
        <f>IF(AND($A3062&lt;&gt;"",$O3062=1,$L3062="Débit",N($Q3062)&gt;0,$A3062&gt;=Visualisation!$B$1,$A3062&lt;Visualisation!$D$1),MAX($V$1:V3061)+1,"")</f>
        <v/>
      </c>
    </row>
    <row r="3063" spans="1:22" x14ac:dyDescent="0.25">
      <c r="A3063" s="9"/>
      <c r="E3063" s="10"/>
      <c r="K3063" s="11" t="str">
        <f>IF($E3063="","",ROUND($E3063*IF(ISNA(MATCH($C3063,'Paramètres'!$D:$D,0)),1,IF(INDEX('Paramètres'!$J:$J,MATCH($C3063,'Paramètres'!$D:$D,0))="",1,INDEX('Paramètres'!$J:$J,MATCH($C3063,'Paramètres'!$D:$D,0)))),2))</f>
        <v/>
      </c>
      <c r="L3063" s="6" t="str">
        <f>IF($D3063="","",IF($F3063&lt;&gt;"",$F3063,IF(ISNA(MATCH($D3063,'Paramètres'!$M:$M,0)),"⚠ Type inconnu",IFERROR(INDEX('Paramètres'!$P:$P,MATCH($D3063,'Paramètres'!$M:$M,0))&amp;"",""))))</f>
        <v/>
      </c>
      <c r="M3063" s="6" t="str">
        <f>IF($D3063="","",IF(ISNA(MATCH($D3063,'Paramètres'!$M:$M,0)),"⚠ Type inconnu",IF($L3063="Crédit","",IFERROR(INDEX('Paramètres'!$O:$O,MATCH($D3063,'Paramètres'!$M:$M,0))&amp;"",""))))</f>
        <v/>
      </c>
      <c r="N3063" s="6" t="str">
        <f>IF($D3063="","",IFERROR(INDEX('Paramètres'!$Q:$Q,MATCH($D3063,'Paramètres'!$M:$M,0))&amp;"",""))</f>
        <v/>
      </c>
      <c r="O3063" s="6" t="str">
        <f>IF($A3063="","",IF(OR($J3063&lt;&gt;"x",$A3063&lt;=FinReleve),1,0))</f>
        <v/>
      </c>
      <c r="P3063" s="6" t="str">
        <f>IF($D3063="","",IF(AND($L3063="Crédit",OR(IFERROR(INDEX('Paramètres'!$O:$O,MATCH($D3063,'Paramètres'!$M:$M,0))&amp;"","")&lt;&gt;"",ISNUMBER(SEARCH("remboursement",IFERROR(INDEX('Paramètres'!$N:$N,MATCH($D3063,'Paramètres'!$M:$M,0))&amp;"",""))))),1,0))</f>
        <v/>
      </c>
      <c r="Q3063" s="6" t="str">
        <f>IF($K3063="","",IF(ISNUMBER(SEARCH("transfert-interne",IFERROR(INDEX('Paramètres'!$N:$N,MATCH($D3063,'Paramètres'!$M:$M,0))&amp;"",""))),0,IF($L3063="Débit",$K3063,IF($P3063=1,-$K3063,0))))</f>
        <v/>
      </c>
      <c r="R3063" s="6" t="str">
        <f>IF($K3063="","",IF($L3063="Crédit",$K3063,-$K3063))</f>
        <v/>
      </c>
      <c r="S3063" s="6" t="str">
        <f>IF($C3063="","",IFERROR(INDEX('Paramètres'!$H:$H,MATCH($C3063,'Paramètres'!$D:$D,0))&amp;"",""))</f>
        <v/>
      </c>
      <c r="T3063" s="6" t="str">
        <f>IF($K3063="","",IF($S3063="",0,IF(ISNUMBER(SEARCH("apport-exterieur",IFERROR(INDEX('Paramètres'!$N:$N,MATCH($D3063,'Paramètres'!$M:$M,0))&amp;"",""))),0,IF(OR(IFERROR(INDEX('Paramètres'!$I:$I,MATCH($C3063,'Paramètres'!$D:$D,0))&amp;"","")="Les deux",IFERROR(INDEX('Paramètres'!$I:$I,MATCH($C3063,'Paramètres'!$D:$D,0))&amp;"","")=IF($P3063=1,"Débit",$L3063)),-IF($P3063=1,-$K3063,$K3063),0))))</f>
        <v/>
      </c>
      <c r="U3063" s="6" t="str">
        <f>IF($K3063="","",IF(ISNUMBER(SEARCH("sortie-epargne",IFERROR(INDEX('Paramètres'!$N:$N,MATCH($D3063,'Paramètres'!$M:$M,0))&amp;"",""))),$K3063,0))</f>
        <v/>
      </c>
      <c r="V3063" s="6" t="str">
        <f>IF(AND($A3063&lt;&gt;"",$O3063=1,$L3063="Débit",N($Q3063)&gt;0,$A3063&gt;=Visualisation!$B$1,$A3063&lt;Visualisation!$D$1),MAX($V$1:V3062)+1,"")</f>
        <v/>
      </c>
    </row>
    <row r="3064" spans="1:22" x14ac:dyDescent="0.25">
      <c r="A3064" s="9"/>
      <c r="E3064" s="10"/>
      <c r="K3064" s="11" t="str">
        <f>IF($E3064="","",ROUND($E3064*IF(ISNA(MATCH($C3064,'Paramètres'!$D:$D,0)),1,IF(INDEX('Paramètres'!$J:$J,MATCH($C3064,'Paramètres'!$D:$D,0))="",1,INDEX('Paramètres'!$J:$J,MATCH($C3064,'Paramètres'!$D:$D,0)))),2))</f>
        <v/>
      </c>
      <c r="L3064" s="6" t="str">
        <f>IF($D3064="","",IF($F3064&lt;&gt;"",$F3064,IF(ISNA(MATCH($D3064,'Paramètres'!$M:$M,0)),"⚠ Type inconnu",IFERROR(INDEX('Paramètres'!$P:$P,MATCH($D3064,'Paramètres'!$M:$M,0))&amp;"",""))))</f>
        <v/>
      </c>
      <c r="M3064" s="6" t="str">
        <f>IF($D3064="","",IF(ISNA(MATCH($D3064,'Paramètres'!$M:$M,0)),"⚠ Type inconnu",IF($L3064="Crédit","",IFERROR(INDEX('Paramètres'!$O:$O,MATCH($D3064,'Paramètres'!$M:$M,0))&amp;"",""))))</f>
        <v/>
      </c>
      <c r="N3064" s="6" t="str">
        <f>IF($D3064="","",IFERROR(INDEX('Paramètres'!$Q:$Q,MATCH($D3064,'Paramètres'!$M:$M,0))&amp;"",""))</f>
        <v/>
      </c>
      <c r="O3064" s="6" t="str">
        <f>IF($A3064="","",IF(OR($J3064&lt;&gt;"x",$A3064&lt;=FinReleve),1,0))</f>
        <v/>
      </c>
      <c r="P3064" s="6" t="str">
        <f>IF($D3064="","",IF(AND($L3064="Crédit",OR(IFERROR(INDEX('Paramètres'!$O:$O,MATCH($D3064,'Paramètres'!$M:$M,0))&amp;"","")&lt;&gt;"",ISNUMBER(SEARCH("remboursement",IFERROR(INDEX('Paramètres'!$N:$N,MATCH($D3064,'Paramètres'!$M:$M,0))&amp;"",""))))),1,0))</f>
        <v/>
      </c>
      <c r="Q3064" s="6" t="str">
        <f>IF($K3064="","",IF(ISNUMBER(SEARCH("transfert-interne",IFERROR(INDEX('Paramètres'!$N:$N,MATCH($D3064,'Paramètres'!$M:$M,0))&amp;"",""))),0,IF($L3064="Débit",$K3064,IF($P3064=1,-$K3064,0))))</f>
        <v/>
      </c>
      <c r="R3064" s="6" t="str">
        <f>IF($K3064="","",IF($L3064="Crédit",$K3064,-$K3064))</f>
        <v/>
      </c>
      <c r="S3064" s="6" t="str">
        <f>IF($C3064="","",IFERROR(INDEX('Paramètres'!$H:$H,MATCH($C3064,'Paramètres'!$D:$D,0))&amp;"",""))</f>
        <v/>
      </c>
      <c r="T3064" s="6" t="str">
        <f>IF($K3064="","",IF($S3064="",0,IF(ISNUMBER(SEARCH("apport-exterieur",IFERROR(INDEX('Paramètres'!$N:$N,MATCH($D3064,'Paramètres'!$M:$M,0))&amp;"",""))),0,IF(OR(IFERROR(INDEX('Paramètres'!$I:$I,MATCH($C3064,'Paramètres'!$D:$D,0))&amp;"","")="Les deux",IFERROR(INDEX('Paramètres'!$I:$I,MATCH($C3064,'Paramètres'!$D:$D,0))&amp;"","")=IF($P3064=1,"Débit",$L3064)),-IF($P3064=1,-$K3064,$K3064),0))))</f>
        <v/>
      </c>
      <c r="U3064" s="6" t="str">
        <f>IF($K3064="","",IF(ISNUMBER(SEARCH("sortie-epargne",IFERROR(INDEX('Paramètres'!$N:$N,MATCH($D3064,'Paramètres'!$M:$M,0))&amp;"",""))),$K3064,0))</f>
        <v/>
      </c>
      <c r="V3064" s="6" t="str">
        <f>IF(AND($A3064&lt;&gt;"",$O3064=1,$L3064="Débit",N($Q3064)&gt;0,$A3064&gt;=Visualisation!$B$1,$A3064&lt;Visualisation!$D$1),MAX($V$1:V3063)+1,"")</f>
        <v/>
      </c>
    </row>
    <row r="3065" spans="1:22" x14ac:dyDescent="0.25">
      <c r="A3065" s="9"/>
      <c r="E3065" s="10"/>
      <c r="K3065" s="11" t="str">
        <f>IF($E3065="","",ROUND($E3065*IF(ISNA(MATCH($C3065,'Paramètres'!$D:$D,0)),1,IF(INDEX('Paramètres'!$J:$J,MATCH($C3065,'Paramètres'!$D:$D,0))="",1,INDEX('Paramètres'!$J:$J,MATCH($C3065,'Paramètres'!$D:$D,0)))),2))</f>
        <v/>
      </c>
      <c r="L3065" s="6" t="str">
        <f>IF($D3065="","",IF($F3065&lt;&gt;"",$F3065,IF(ISNA(MATCH($D3065,'Paramètres'!$M:$M,0)),"⚠ Type inconnu",IFERROR(INDEX('Paramètres'!$P:$P,MATCH($D3065,'Paramètres'!$M:$M,0))&amp;"",""))))</f>
        <v/>
      </c>
      <c r="M3065" s="6" t="str">
        <f>IF($D3065="","",IF(ISNA(MATCH($D3065,'Paramètres'!$M:$M,0)),"⚠ Type inconnu",IF($L3065="Crédit","",IFERROR(INDEX('Paramètres'!$O:$O,MATCH($D3065,'Paramètres'!$M:$M,0))&amp;"",""))))</f>
        <v/>
      </c>
      <c r="N3065" s="6" t="str">
        <f>IF($D3065="","",IFERROR(INDEX('Paramètres'!$Q:$Q,MATCH($D3065,'Paramètres'!$M:$M,0))&amp;"",""))</f>
        <v/>
      </c>
      <c r="O3065" s="6" t="str">
        <f>IF($A3065="","",IF(OR($J3065&lt;&gt;"x",$A3065&lt;=FinReleve),1,0))</f>
        <v/>
      </c>
      <c r="P3065" s="6" t="str">
        <f>IF($D3065="","",IF(AND($L3065="Crédit",OR(IFERROR(INDEX('Paramètres'!$O:$O,MATCH($D3065,'Paramètres'!$M:$M,0))&amp;"","")&lt;&gt;"",ISNUMBER(SEARCH("remboursement",IFERROR(INDEX('Paramètres'!$N:$N,MATCH($D3065,'Paramètres'!$M:$M,0))&amp;"",""))))),1,0))</f>
        <v/>
      </c>
      <c r="Q3065" s="6" t="str">
        <f>IF($K3065="","",IF(ISNUMBER(SEARCH("transfert-interne",IFERROR(INDEX('Paramètres'!$N:$N,MATCH($D3065,'Paramètres'!$M:$M,0))&amp;"",""))),0,IF($L3065="Débit",$K3065,IF($P3065=1,-$K3065,0))))</f>
        <v/>
      </c>
      <c r="R3065" s="6" t="str">
        <f>IF($K3065="","",IF($L3065="Crédit",$K3065,-$K3065))</f>
        <v/>
      </c>
      <c r="S3065" s="6" t="str">
        <f>IF($C3065="","",IFERROR(INDEX('Paramètres'!$H:$H,MATCH($C3065,'Paramètres'!$D:$D,0))&amp;"",""))</f>
        <v/>
      </c>
      <c r="T3065" s="6" t="str">
        <f>IF($K3065="","",IF($S3065="",0,IF(ISNUMBER(SEARCH("apport-exterieur",IFERROR(INDEX('Paramètres'!$N:$N,MATCH($D3065,'Paramètres'!$M:$M,0))&amp;"",""))),0,IF(OR(IFERROR(INDEX('Paramètres'!$I:$I,MATCH($C3065,'Paramètres'!$D:$D,0))&amp;"","")="Les deux",IFERROR(INDEX('Paramètres'!$I:$I,MATCH($C3065,'Paramètres'!$D:$D,0))&amp;"","")=IF($P3065=1,"Débit",$L3065)),-IF($P3065=1,-$K3065,$K3065),0))))</f>
        <v/>
      </c>
      <c r="U3065" s="6" t="str">
        <f>IF($K3065="","",IF(ISNUMBER(SEARCH("sortie-epargne",IFERROR(INDEX('Paramètres'!$N:$N,MATCH($D3065,'Paramètres'!$M:$M,0))&amp;"",""))),$K3065,0))</f>
        <v/>
      </c>
      <c r="V3065" s="6" t="str">
        <f>IF(AND($A3065&lt;&gt;"",$O3065=1,$L3065="Débit",N($Q3065)&gt;0,$A3065&gt;=Visualisation!$B$1,$A3065&lt;Visualisation!$D$1),MAX($V$1:V3064)+1,"")</f>
        <v/>
      </c>
    </row>
    <row r="3066" spans="1:22" x14ac:dyDescent="0.25">
      <c r="A3066" s="9"/>
      <c r="E3066" s="10"/>
      <c r="K3066" s="11" t="str">
        <f>IF($E3066="","",ROUND($E3066*IF(ISNA(MATCH($C3066,'Paramètres'!$D:$D,0)),1,IF(INDEX('Paramètres'!$J:$J,MATCH($C3066,'Paramètres'!$D:$D,0))="",1,INDEX('Paramètres'!$J:$J,MATCH($C3066,'Paramètres'!$D:$D,0)))),2))</f>
        <v/>
      </c>
      <c r="L3066" s="6" t="str">
        <f>IF($D3066="","",IF($F3066&lt;&gt;"",$F3066,IF(ISNA(MATCH($D3066,'Paramètres'!$M:$M,0)),"⚠ Type inconnu",IFERROR(INDEX('Paramètres'!$P:$P,MATCH($D3066,'Paramètres'!$M:$M,0))&amp;"",""))))</f>
        <v/>
      </c>
      <c r="M3066" s="6" t="str">
        <f>IF($D3066="","",IF(ISNA(MATCH($D3066,'Paramètres'!$M:$M,0)),"⚠ Type inconnu",IF($L3066="Crédit","",IFERROR(INDEX('Paramètres'!$O:$O,MATCH($D3066,'Paramètres'!$M:$M,0))&amp;"",""))))</f>
        <v/>
      </c>
      <c r="N3066" s="6" t="str">
        <f>IF($D3066="","",IFERROR(INDEX('Paramètres'!$Q:$Q,MATCH($D3066,'Paramètres'!$M:$M,0))&amp;"",""))</f>
        <v/>
      </c>
      <c r="O3066" s="6" t="str">
        <f>IF($A3066="","",IF(OR($J3066&lt;&gt;"x",$A3066&lt;=FinReleve),1,0))</f>
        <v/>
      </c>
      <c r="P3066" s="6" t="str">
        <f>IF($D3066="","",IF(AND($L3066="Crédit",OR(IFERROR(INDEX('Paramètres'!$O:$O,MATCH($D3066,'Paramètres'!$M:$M,0))&amp;"","")&lt;&gt;"",ISNUMBER(SEARCH("remboursement",IFERROR(INDEX('Paramètres'!$N:$N,MATCH($D3066,'Paramètres'!$M:$M,0))&amp;"",""))))),1,0))</f>
        <v/>
      </c>
      <c r="Q3066" s="6" t="str">
        <f>IF($K3066="","",IF(ISNUMBER(SEARCH("transfert-interne",IFERROR(INDEX('Paramètres'!$N:$N,MATCH($D3066,'Paramètres'!$M:$M,0))&amp;"",""))),0,IF($L3066="Débit",$K3066,IF($P3066=1,-$K3066,0))))</f>
        <v/>
      </c>
      <c r="R3066" s="6" t="str">
        <f>IF($K3066="","",IF($L3066="Crédit",$K3066,-$K3066))</f>
        <v/>
      </c>
      <c r="S3066" s="6" t="str">
        <f>IF($C3066="","",IFERROR(INDEX('Paramètres'!$H:$H,MATCH($C3066,'Paramètres'!$D:$D,0))&amp;"",""))</f>
        <v/>
      </c>
      <c r="T3066" s="6" t="str">
        <f>IF($K3066="","",IF($S3066="",0,IF(ISNUMBER(SEARCH("apport-exterieur",IFERROR(INDEX('Paramètres'!$N:$N,MATCH($D3066,'Paramètres'!$M:$M,0))&amp;"",""))),0,IF(OR(IFERROR(INDEX('Paramètres'!$I:$I,MATCH($C3066,'Paramètres'!$D:$D,0))&amp;"","")="Les deux",IFERROR(INDEX('Paramètres'!$I:$I,MATCH($C3066,'Paramètres'!$D:$D,0))&amp;"","")=IF($P3066=1,"Débit",$L3066)),-IF($P3066=1,-$K3066,$K3066),0))))</f>
        <v/>
      </c>
      <c r="U3066" s="6" t="str">
        <f>IF($K3066="","",IF(ISNUMBER(SEARCH("sortie-epargne",IFERROR(INDEX('Paramètres'!$N:$N,MATCH($D3066,'Paramètres'!$M:$M,0))&amp;"",""))),$K3066,0))</f>
        <v/>
      </c>
      <c r="V3066" s="6" t="str">
        <f>IF(AND($A3066&lt;&gt;"",$O3066=1,$L3066="Débit",N($Q3066)&gt;0,$A3066&gt;=Visualisation!$B$1,$A3066&lt;Visualisation!$D$1),MAX($V$1:V3065)+1,"")</f>
        <v/>
      </c>
    </row>
    <row r="3067" spans="1:22" x14ac:dyDescent="0.25">
      <c r="A3067" s="9"/>
      <c r="E3067" s="10"/>
      <c r="K3067" s="11" t="str">
        <f>IF($E3067="","",ROUND($E3067*IF(ISNA(MATCH($C3067,'Paramètres'!$D:$D,0)),1,IF(INDEX('Paramètres'!$J:$J,MATCH($C3067,'Paramètres'!$D:$D,0))="",1,INDEX('Paramètres'!$J:$J,MATCH($C3067,'Paramètres'!$D:$D,0)))),2))</f>
        <v/>
      </c>
      <c r="L3067" s="6" t="str">
        <f>IF($D3067="","",IF($F3067&lt;&gt;"",$F3067,IF(ISNA(MATCH($D3067,'Paramètres'!$M:$M,0)),"⚠ Type inconnu",IFERROR(INDEX('Paramètres'!$P:$P,MATCH($D3067,'Paramètres'!$M:$M,0))&amp;"",""))))</f>
        <v/>
      </c>
      <c r="M3067" s="6" t="str">
        <f>IF($D3067="","",IF(ISNA(MATCH($D3067,'Paramètres'!$M:$M,0)),"⚠ Type inconnu",IF($L3067="Crédit","",IFERROR(INDEX('Paramètres'!$O:$O,MATCH($D3067,'Paramètres'!$M:$M,0))&amp;"",""))))</f>
        <v/>
      </c>
      <c r="N3067" s="6" t="str">
        <f>IF($D3067="","",IFERROR(INDEX('Paramètres'!$Q:$Q,MATCH($D3067,'Paramètres'!$M:$M,0))&amp;"",""))</f>
        <v/>
      </c>
      <c r="O3067" s="6" t="str">
        <f>IF($A3067="","",IF(OR($J3067&lt;&gt;"x",$A3067&lt;=FinReleve),1,0))</f>
        <v/>
      </c>
      <c r="P3067" s="6" t="str">
        <f>IF($D3067="","",IF(AND($L3067="Crédit",OR(IFERROR(INDEX('Paramètres'!$O:$O,MATCH($D3067,'Paramètres'!$M:$M,0))&amp;"","")&lt;&gt;"",ISNUMBER(SEARCH("remboursement",IFERROR(INDEX('Paramètres'!$N:$N,MATCH($D3067,'Paramètres'!$M:$M,0))&amp;"",""))))),1,0))</f>
        <v/>
      </c>
      <c r="Q3067" s="6" t="str">
        <f>IF($K3067="","",IF(ISNUMBER(SEARCH("transfert-interne",IFERROR(INDEX('Paramètres'!$N:$N,MATCH($D3067,'Paramètres'!$M:$M,0))&amp;"",""))),0,IF($L3067="Débit",$K3067,IF($P3067=1,-$K3067,0))))</f>
        <v/>
      </c>
      <c r="R3067" s="6" t="str">
        <f>IF($K3067="","",IF($L3067="Crédit",$K3067,-$K3067))</f>
        <v/>
      </c>
      <c r="S3067" s="6" t="str">
        <f>IF($C3067="","",IFERROR(INDEX('Paramètres'!$H:$H,MATCH($C3067,'Paramètres'!$D:$D,0))&amp;"",""))</f>
        <v/>
      </c>
      <c r="T3067" s="6" t="str">
        <f>IF($K3067="","",IF($S3067="",0,IF(ISNUMBER(SEARCH("apport-exterieur",IFERROR(INDEX('Paramètres'!$N:$N,MATCH($D3067,'Paramètres'!$M:$M,0))&amp;"",""))),0,IF(OR(IFERROR(INDEX('Paramètres'!$I:$I,MATCH($C3067,'Paramètres'!$D:$D,0))&amp;"","")="Les deux",IFERROR(INDEX('Paramètres'!$I:$I,MATCH($C3067,'Paramètres'!$D:$D,0))&amp;"","")=IF($P3067=1,"Débit",$L3067)),-IF($P3067=1,-$K3067,$K3067),0))))</f>
        <v/>
      </c>
      <c r="U3067" s="6" t="str">
        <f>IF($K3067="","",IF(ISNUMBER(SEARCH("sortie-epargne",IFERROR(INDEX('Paramètres'!$N:$N,MATCH($D3067,'Paramètres'!$M:$M,0))&amp;"",""))),$K3067,0))</f>
        <v/>
      </c>
      <c r="V3067" s="6" t="str">
        <f>IF(AND($A3067&lt;&gt;"",$O3067=1,$L3067="Débit",N($Q3067)&gt;0,$A3067&gt;=Visualisation!$B$1,$A3067&lt;Visualisation!$D$1),MAX($V$1:V3066)+1,"")</f>
        <v/>
      </c>
    </row>
    <row r="3068" spans="1:22" x14ac:dyDescent="0.25">
      <c r="A3068" s="9"/>
      <c r="E3068" s="10"/>
      <c r="K3068" s="11" t="str">
        <f>IF($E3068="","",ROUND($E3068*IF(ISNA(MATCH($C3068,'Paramètres'!$D:$D,0)),1,IF(INDEX('Paramètres'!$J:$J,MATCH($C3068,'Paramètres'!$D:$D,0))="",1,INDEX('Paramètres'!$J:$J,MATCH($C3068,'Paramètres'!$D:$D,0)))),2))</f>
        <v/>
      </c>
      <c r="L3068" s="6" t="str">
        <f>IF($D3068="","",IF($F3068&lt;&gt;"",$F3068,IF(ISNA(MATCH($D3068,'Paramètres'!$M:$M,0)),"⚠ Type inconnu",IFERROR(INDEX('Paramètres'!$P:$P,MATCH($D3068,'Paramètres'!$M:$M,0))&amp;"",""))))</f>
        <v/>
      </c>
      <c r="M3068" s="6" t="str">
        <f>IF($D3068="","",IF(ISNA(MATCH($D3068,'Paramètres'!$M:$M,0)),"⚠ Type inconnu",IF($L3068="Crédit","",IFERROR(INDEX('Paramètres'!$O:$O,MATCH($D3068,'Paramètres'!$M:$M,0))&amp;"",""))))</f>
        <v/>
      </c>
      <c r="N3068" s="6" t="str">
        <f>IF($D3068="","",IFERROR(INDEX('Paramètres'!$Q:$Q,MATCH($D3068,'Paramètres'!$M:$M,0))&amp;"",""))</f>
        <v/>
      </c>
      <c r="O3068" s="6" t="str">
        <f>IF($A3068="","",IF(OR($J3068&lt;&gt;"x",$A3068&lt;=FinReleve),1,0))</f>
        <v/>
      </c>
      <c r="P3068" s="6" t="str">
        <f>IF($D3068="","",IF(AND($L3068="Crédit",OR(IFERROR(INDEX('Paramètres'!$O:$O,MATCH($D3068,'Paramètres'!$M:$M,0))&amp;"","")&lt;&gt;"",ISNUMBER(SEARCH("remboursement",IFERROR(INDEX('Paramètres'!$N:$N,MATCH($D3068,'Paramètres'!$M:$M,0))&amp;"",""))))),1,0))</f>
        <v/>
      </c>
      <c r="Q3068" s="6" t="str">
        <f>IF($K3068="","",IF(ISNUMBER(SEARCH("transfert-interne",IFERROR(INDEX('Paramètres'!$N:$N,MATCH($D3068,'Paramètres'!$M:$M,0))&amp;"",""))),0,IF($L3068="Débit",$K3068,IF($P3068=1,-$K3068,0))))</f>
        <v/>
      </c>
      <c r="R3068" s="6" t="str">
        <f>IF($K3068="","",IF($L3068="Crédit",$K3068,-$K3068))</f>
        <v/>
      </c>
      <c r="S3068" s="6" t="str">
        <f>IF($C3068="","",IFERROR(INDEX('Paramètres'!$H:$H,MATCH($C3068,'Paramètres'!$D:$D,0))&amp;"",""))</f>
        <v/>
      </c>
      <c r="T3068" s="6" t="str">
        <f>IF($K3068="","",IF($S3068="",0,IF(ISNUMBER(SEARCH("apport-exterieur",IFERROR(INDEX('Paramètres'!$N:$N,MATCH($D3068,'Paramètres'!$M:$M,0))&amp;"",""))),0,IF(OR(IFERROR(INDEX('Paramètres'!$I:$I,MATCH($C3068,'Paramètres'!$D:$D,0))&amp;"","")="Les deux",IFERROR(INDEX('Paramètres'!$I:$I,MATCH($C3068,'Paramètres'!$D:$D,0))&amp;"","")=IF($P3068=1,"Débit",$L3068)),-IF($P3068=1,-$K3068,$K3068),0))))</f>
        <v/>
      </c>
      <c r="U3068" s="6" t="str">
        <f>IF($K3068="","",IF(ISNUMBER(SEARCH("sortie-epargne",IFERROR(INDEX('Paramètres'!$N:$N,MATCH($D3068,'Paramètres'!$M:$M,0))&amp;"",""))),$K3068,0))</f>
        <v/>
      </c>
      <c r="V3068" s="6" t="str">
        <f>IF(AND($A3068&lt;&gt;"",$O3068=1,$L3068="Débit",N($Q3068)&gt;0,$A3068&gt;=Visualisation!$B$1,$A3068&lt;Visualisation!$D$1),MAX($V$1:V3067)+1,"")</f>
        <v/>
      </c>
    </row>
    <row r="3069" spans="1:22" x14ac:dyDescent="0.25">
      <c r="A3069" s="9"/>
      <c r="E3069" s="10"/>
      <c r="K3069" s="11" t="str">
        <f>IF($E3069="","",ROUND($E3069*IF(ISNA(MATCH($C3069,'Paramètres'!$D:$D,0)),1,IF(INDEX('Paramètres'!$J:$J,MATCH($C3069,'Paramètres'!$D:$D,0))="",1,INDEX('Paramètres'!$J:$J,MATCH($C3069,'Paramètres'!$D:$D,0)))),2))</f>
        <v/>
      </c>
      <c r="L3069" s="6" t="str">
        <f>IF($D3069="","",IF($F3069&lt;&gt;"",$F3069,IF(ISNA(MATCH($D3069,'Paramètres'!$M:$M,0)),"⚠ Type inconnu",IFERROR(INDEX('Paramètres'!$P:$P,MATCH($D3069,'Paramètres'!$M:$M,0))&amp;"",""))))</f>
        <v/>
      </c>
      <c r="M3069" s="6" t="str">
        <f>IF($D3069="","",IF(ISNA(MATCH($D3069,'Paramètres'!$M:$M,0)),"⚠ Type inconnu",IF($L3069="Crédit","",IFERROR(INDEX('Paramètres'!$O:$O,MATCH($D3069,'Paramètres'!$M:$M,0))&amp;"",""))))</f>
        <v/>
      </c>
      <c r="N3069" s="6" t="str">
        <f>IF($D3069="","",IFERROR(INDEX('Paramètres'!$Q:$Q,MATCH($D3069,'Paramètres'!$M:$M,0))&amp;"",""))</f>
        <v/>
      </c>
      <c r="O3069" s="6" t="str">
        <f>IF($A3069="","",IF(OR($J3069&lt;&gt;"x",$A3069&lt;=FinReleve),1,0))</f>
        <v/>
      </c>
      <c r="P3069" s="6" t="str">
        <f>IF($D3069="","",IF(AND($L3069="Crédit",OR(IFERROR(INDEX('Paramètres'!$O:$O,MATCH($D3069,'Paramètres'!$M:$M,0))&amp;"","")&lt;&gt;"",ISNUMBER(SEARCH("remboursement",IFERROR(INDEX('Paramètres'!$N:$N,MATCH($D3069,'Paramètres'!$M:$M,0))&amp;"",""))))),1,0))</f>
        <v/>
      </c>
      <c r="Q3069" s="6" t="str">
        <f>IF($K3069="","",IF(ISNUMBER(SEARCH("transfert-interne",IFERROR(INDEX('Paramètres'!$N:$N,MATCH($D3069,'Paramètres'!$M:$M,0))&amp;"",""))),0,IF($L3069="Débit",$K3069,IF($P3069=1,-$K3069,0))))</f>
        <v/>
      </c>
      <c r="R3069" s="6" t="str">
        <f>IF($K3069="","",IF($L3069="Crédit",$K3069,-$K3069))</f>
        <v/>
      </c>
      <c r="S3069" s="6" t="str">
        <f>IF($C3069="","",IFERROR(INDEX('Paramètres'!$H:$H,MATCH($C3069,'Paramètres'!$D:$D,0))&amp;"",""))</f>
        <v/>
      </c>
      <c r="T3069" s="6" t="str">
        <f>IF($K3069="","",IF($S3069="",0,IF(ISNUMBER(SEARCH("apport-exterieur",IFERROR(INDEX('Paramètres'!$N:$N,MATCH($D3069,'Paramètres'!$M:$M,0))&amp;"",""))),0,IF(OR(IFERROR(INDEX('Paramètres'!$I:$I,MATCH($C3069,'Paramètres'!$D:$D,0))&amp;"","")="Les deux",IFERROR(INDEX('Paramètres'!$I:$I,MATCH($C3069,'Paramètres'!$D:$D,0))&amp;"","")=IF($P3069=1,"Débit",$L3069)),-IF($P3069=1,-$K3069,$K3069),0))))</f>
        <v/>
      </c>
      <c r="U3069" s="6" t="str">
        <f>IF($K3069="","",IF(ISNUMBER(SEARCH("sortie-epargne",IFERROR(INDEX('Paramètres'!$N:$N,MATCH($D3069,'Paramètres'!$M:$M,0))&amp;"",""))),$K3069,0))</f>
        <v/>
      </c>
      <c r="V3069" s="6" t="str">
        <f>IF(AND($A3069&lt;&gt;"",$O3069=1,$L3069="Débit",N($Q3069)&gt;0,$A3069&gt;=Visualisation!$B$1,$A3069&lt;Visualisation!$D$1),MAX($V$1:V3068)+1,"")</f>
        <v/>
      </c>
    </row>
    <row r="3070" spans="1:22" x14ac:dyDescent="0.25">
      <c r="A3070" s="9"/>
      <c r="E3070" s="10"/>
      <c r="K3070" s="11" t="str">
        <f>IF($E3070="","",ROUND($E3070*IF(ISNA(MATCH($C3070,'Paramètres'!$D:$D,0)),1,IF(INDEX('Paramètres'!$J:$J,MATCH($C3070,'Paramètres'!$D:$D,0))="",1,INDEX('Paramètres'!$J:$J,MATCH($C3070,'Paramètres'!$D:$D,0)))),2))</f>
        <v/>
      </c>
      <c r="L3070" s="6" t="str">
        <f>IF($D3070="","",IF($F3070&lt;&gt;"",$F3070,IF(ISNA(MATCH($D3070,'Paramètres'!$M:$M,0)),"⚠ Type inconnu",IFERROR(INDEX('Paramètres'!$P:$P,MATCH($D3070,'Paramètres'!$M:$M,0))&amp;"",""))))</f>
        <v/>
      </c>
      <c r="M3070" s="6" t="str">
        <f>IF($D3070="","",IF(ISNA(MATCH($D3070,'Paramètres'!$M:$M,0)),"⚠ Type inconnu",IF($L3070="Crédit","",IFERROR(INDEX('Paramètres'!$O:$O,MATCH($D3070,'Paramètres'!$M:$M,0))&amp;"",""))))</f>
        <v/>
      </c>
      <c r="N3070" s="6" t="str">
        <f>IF($D3070="","",IFERROR(INDEX('Paramètres'!$Q:$Q,MATCH($D3070,'Paramètres'!$M:$M,0))&amp;"",""))</f>
        <v/>
      </c>
      <c r="O3070" s="6" t="str">
        <f>IF($A3070="","",IF(OR($J3070&lt;&gt;"x",$A3070&lt;=FinReleve),1,0))</f>
        <v/>
      </c>
      <c r="P3070" s="6" t="str">
        <f>IF($D3070="","",IF(AND($L3070="Crédit",OR(IFERROR(INDEX('Paramètres'!$O:$O,MATCH($D3070,'Paramètres'!$M:$M,0))&amp;"","")&lt;&gt;"",ISNUMBER(SEARCH("remboursement",IFERROR(INDEX('Paramètres'!$N:$N,MATCH($D3070,'Paramètres'!$M:$M,0))&amp;"",""))))),1,0))</f>
        <v/>
      </c>
      <c r="Q3070" s="6" t="str">
        <f>IF($K3070="","",IF(ISNUMBER(SEARCH("transfert-interne",IFERROR(INDEX('Paramètres'!$N:$N,MATCH($D3070,'Paramètres'!$M:$M,0))&amp;"",""))),0,IF($L3070="Débit",$K3070,IF($P3070=1,-$K3070,0))))</f>
        <v/>
      </c>
      <c r="R3070" s="6" t="str">
        <f>IF($K3070="","",IF($L3070="Crédit",$K3070,-$K3070))</f>
        <v/>
      </c>
      <c r="S3070" s="6" t="str">
        <f>IF($C3070="","",IFERROR(INDEX('Paramètres'!$H:$H,MATCH($C3070,'Paramètres'!$D:$D,0))&amp;"",""))</f>
        <v/>
      </c>
      <c r="T3070" s="6" t="str">
        <f>IF($K3070="","",IF($S3070="",0,IF(ISNUMBER(SEARCH("apport-exterieur",IFERROR(INDEX('Paramètres'!$N:$N,MATCH($D3070,'Paramètres'!$M:$M,0))&amp;"",""))),0,IF(OR(IFERROR(INDEX('Paramètres'!$I:$I,MATCH($C3070,'Paramètres'!$D:$D,0))&amp;"","")="Les deux",IFERROR(INDEX('Paramètres'!$I:$I,MATCH($C3070,'Paramètres'!$D:$D,0))&amp;"","")=IF($P3070=1,"Débit",$L3070)),-IF($P3070=1,-$K3070,$K3070),0))))</f>
        <v/>
      </c>
      <c r="U3070" s="6" t="str">
        <f>IF($K3070="","",IF(ISNUMBER(SEARCH("sortie-epargne",IFERROR(INDEX('Paramètres'!$N:$N,MATCH($D3070,'Paramètres'!$M:$M,0))&amp;"",""))),$K3070,0))</f>
        <v/>
      </c>
      <c r="V3070" s="6" t="str">
        <f>IF(AND($A3070&lt;&gt;"",$O3070=1,$L3070="Débit",N($Q3070)&gt;0,$A3070&gt;=Visualisation!$B$1,$A3070&lt;Visualisation!$D$1),MAX($V$1:V3069)+1,"")</f>
        <v/>
      </c>
    </row>
    <row r="3071" spans="1:22" x14ac:dyDescent="0.25">
      <c r="A3071" s="9"/>
      <c r="E3071" s="10"/>
      <c r="K3071" s="11" t="str">
        <f>IF($E3071="","",ROUND($E3071*IF(ISNA(MATCH($C3071,'Paramètres'!$D:$D,0)),1,IF(INDEX('Paramètres'!$J:$J,MATCH($C3071,'Paramètres'!$D:$D,0))="",1,INDEX('Paramètres'!$J:$J,MATCH($C3071,'Paramètres'!$D:$D,0)))),2))</f>
        <v/>
      </c>
      <c r="L3071" s="6" t="str">
        <f>IF($D3071="","",IF($F3071&lt;&gt;"",$F3071,IF(ISNA(MATCH($D3071,'Paramètres'!$M:$M,0)),"⚠ Type inconnu",IFERROR(INDEX('Paramètres'!$P:$P,MATCH($D3071,'Paramètres'!$M:$M,0))&amp;"",""))))</f>
        <v/>
      </c>
      <c r="M3071" s="6" t="str">
        <f>IF($D3071="","",IF(ISNA(MATCH($D3071,'Paramètres'!$M:$M,0)),"⚠ Type inconnu",IF($L3071="Crédit","",IFERROR(INDEX('Paramètres'!$O:$O,MATCH($D3071,'Paramètres'!$M:$M,0))&amp;"",""))))</f>
        <v/>
      </c>
      <c r="N3071" s="6" t="str">
        <f>IF($D3071="","",IFERROR(INDEX('Paramètres'!$Q:$Q,MATCH($D3071,'Paramètres'!$M:$M,0))&amp;"",""))</f>
        <v/>
      </c>
      <c r="O3071" s="6" t="str">
        <f>IF($A3071="","",IF(OR($J3071&lt;&gt;"x",$A3071&lt;=FinReleve),1,0))</f>
        <v/>
      </c>
      <c r="P3071" s="6" t="str">
        <f>IF($D3071="","",IF(AND($L3071="Crédit",OR(IFERROR(INDEX('Paramètres'!$O:$O,MATCH($D3071,'Paramètres'!$M:$M,0))&amp;"","")&lt;&gt;"",ISNUMBER(SEARCH("remboursement",IFERROR(INDEX('Paramètres'!$N:$N,MATCH($D3071,'Paramètres'!$M:$M,0))&amp;"",""))))),1,0))</f>
        <v/>
      </c>
      <c r="Q3071" s="6" t="str">
        <f>IF($K3071="","",IF(ISNUMBER(SEARCH("transfert-interne",IFERROR(INDEX('Paramètres'!$N:$N,MATCH($D3071,'Paramètres'!$M:$M,0))&amp;"",""))),0,IF($L3071="Débit",$K3071,IF($P3071=1,-$K3071,0))))</f>
        <v/>
      </c>
      <c r="R3071" s="6" t="str">
        <f>IF($K3071="","",IF($L3071="Crédit",$K3071,-$K3071))</f>
        <v/>
      </c>
      <c r="S3071" s="6" t="str">
        <f>IF($C3071="","",IFERROR(INDEX('Paramètres'!$H:$H,MATCH($C3071,'Paramètres'!$D:$D,0))&amp;"",""))</f>
        <v/>
      </c>
      <c r="T3071" s="6" t="str">
        <f>IF($K3071="","",IF($S3071="",0,IF(ISNUMBER(SEARCH("apport-exterieur",IFERROR(INDEX('Paramètres'!$N:$N,MATCH($D3071,'Paramètres'!$M:$M,0))&amp;"",""))),0,IF(OR(IFERROR(INDEX('Paramètres'!$I:$I,MATCH($C3071,'Paramètres'!$D:$D,0))&amp;"","")="Les deux",IFERROR(INDEX('Paramètres'!$I:$I,MATCH($C3071,'Paramètres'!$D:$D,0))&amp;"","")=IF($P3071=1,"Débit",$L3071)),-IF($P3071=1,-$K3071,$K3071),0))))</f>
        <v/>
      </c>
      <c r="U3071" s="6" t="str">
        <f>IF($K3071="","",IF(ISNUMBER(SEARCH("sortie-epargne",IFERROR(INDEX('Paramètres'!$N:$N,MATCH($D3071,'Paramètres'!$M:$M,0))&amp;"",""))),$K3071,0))</f>
        <v/>
      </c>
      <c r="V3071" s="6" t="str">
        <f>IF(AND($A3071&lt;&gt;"",$O3071=1,$L3071="Débit",N($Q3071)&gt;0,$A3071&gt;=Visualisation!$B$1,$A3071&lt;Visualisation!$D$1),MAX($V$1:V3070)+1,"")</f>
        <v/>
      </c>
    </row>
    <row r="3072" spans="1:22" x14ac:dyDescent="0.25">
      <c r="A3072" s="9"/>
      <c r="E3072" s="10"/>
      <c r="K3072" s="11" t="str">
        <f>IF($E3072="","",ROUND($E3072*IF(ISNA(MATCH($C3072,'Paramètres'!$D:$D,0)),1,IF(INDEX('Paramètres'!$J:$J,MATCH($C3072,'Paramètres'!$D:$D,0))="",1,INDEX('Paramètres'!$J:$J,MATCH($C3072,'Paramètres'!$D:$D,0)))),2))</f>
        <v/>
      </c>
      <c r="L3072" s="6" t="str">
        <f>IF($D3072="","",IF($F3072&lt;&gt;"",$F3072,IF(ISNA(MATCH($D3072,'Paramètres'!$M:$M,0)),"⚠ Type inconnu",IFERROR(INDEX('Paramètres'!$P:$P,MATCH($D3072,'Paramètres'!$M:$M,0))&amp;"",""))))</f>
        <v/>
      </c>
      <c r="M3072" s="6" t="str">
        <f>IF($D3072="","",IF(ISNA(MATCH($D3072,'Paramètres'!$M:$M,0)),"⚠ Type inconnu",IF($L3072="Crédit","",IFERROR(INDEX('Paramètres'!$O:$O,MATCH($D3072,'Paramètres'!$M:$M,0))&amp;"",""))))</f>
        <v/>
      </c>
      <c r="N3072" s="6" t="str">
        <f>IF($D3072="","",IFERROR(INDEX('Paramètres'!$Q:$Q,MATCH($D3072,'Paramètres'!$M:$M,0))&amp;"",""))</f>
        <v/>
      </c>
      <c r="O3072" s="6" t="str">
        <f>IF($A3072="","",IF(OR($J3072&lt;&gt;"x",$A3072&lt;=FinReleve),1,0))</f>
        <v/>
      </c>
      <c r="P3072" s="6" t="str">
        <f>IF($D3072="","",IF(AND($L3072="Crédit",OR(IFERROR(INDEX('Paramètres'!$O:$O,MATCH($D3072,'Paramètres'!$M:$M,0))&amp;"","")&lt;&gt;"",ISNUMBER(SEARCH("remboursement",IFERROR(INDEX('Paramètres'!$N:$N,MATCH($D3072,'Paramètres'!$M:$M,0))&amp;"",""))))),1,0))</f>
        <v/>
      </c>
      <c r="Q3072" s="6" t="str">
        <f>IF($K3072="","",IF(ISNUMBER(SEARCH("transfert-interne",IFERROR(INDEX('Paramètres'!$N:$N,MATCH($D3072,'Paramètres'!$M:$M,0))&amp;"",""))),0,IF($L3072="Débit",$K3072,IF($P3072=1,-$K3072,0))))</f>
        <v/>
      </c>
      <c r="R3072" s="6" t="str">
        <f>IF($K3072="","",IF($L3072="Crédit",$K3072,-$K3072))</f>
        <v/>
      </c>
      <c r="S3072" s="6" t="str">
        <f>IF($C3072="","",IFERROR(INDEX('Paramètres'!$H:$H,MATCH($C3072,'Paramètres'!$D:$D,0))&amp;"",""))</f>
        <v/>
      </c>
      <c r="T3072" s="6" t="str">
        <f>IF($K3072="","",IF($S3072="",0,IF(ISNUMBER(SEARCH("apport-exterieur",IFERROR(INDEX('Paramètres'!$N:$N,MATCH($D3072,'Paramètres'!$M:$M,0))&amp;"",""))),0,IF(OR(IFERROR(INDEX('Paramètres'!$I:$I,MATCH($C3072,'Paramètres'!$D:$D,0))&amp;"","")="Les deux",IFERROR(INDEX('Paramètres'!$I:$I,MATCH($C3072,'Paramètres'!$D:$D,0))&amp;"","")=IF($P3072=1,"Débit",$L3072)),-IF($P3072=1,-$K3072,$K3072),0))))</f>
        <v/>
      </c>
      <c r="U3072" s="6" t="str">
        <f>IF($K3072="","",IF(ISNUMBER(SEARCH("sortie-epargne",IFERROR(INDEX('Paramètres'!$N:$N,MATCH($D3072,'Paramètres'!$M:$M,0))&amp;"",""))),$K3072,0))</f>
        <v/>
      </c>
      <c r="V3072" s="6" t="str">
        <f>IF(AND($A3072&lt;&gt;"",$O3072=1,$L3072="Débit",N($Q3072)&gt;0,$A3072&gt;=Visualisation!$B$1,$A3072&lt;Visualisation!$D$1),MAX($V$1:V3071)+1,"")</f>
        <v/>
      </c>
    </row>
    <row r="3073" spans="1:22" x14ac:dyDescent="0.25">
      <c r="A3073" s="9"/>
      <c r="E3073" s="10"/>
      <c r="K3073" s="11" t="str">
        <f>IF($E3073="","",ROUND($E3073*IF(ISNA(MATCH($C3073,'Paramètres'!$D:$D,0)),1,IF(INDEX('Paramètres'!$J:$J,MATCH($C3073,'Paramètres'!$D:$D,0))="",1,INDEX('Paramètres'!$J:$J,MATCH($C3073,'Paramètres'!$D:$D,0)))),2))</f>
        <v/>
      </c>
      <c r="L3073" s="6" t="str">
        <f>IF($D3073="","",IF($F3073&lt;&gt;"",$F3073,IF(ISNA(MATCH($D3073,'Paramètres'!$M:$M,0)),"⚠ Type inconnu",IFERROR(INDEX('Paramètres'!$P:$P,MATCH($D3073,'Paramètres'!$M:$M,0))&amp;"",""))))</f>
        <v/>
      </c>
      <c r="M3073" s="6" t="str">
        <f>IF($D3073="","",IF(ISNA(MATCH($D3073,'Paramètres'!$M:$M,0)),"⚠ Type inconnu",IF($L3073="Crédit","",IFERROR(INDEX('Paramètres'!$O:$O,MATCH($D3073,'Paramètres'!$M:$M,0))&amp;"",""))))</f>
        <v/>
      </c>
      <c r="N3073" s="6" t="str">
        <f>IF($D3073="","",IFERROR(INDEX('Paramètres'!$Q:$Q,MATCH($D3073,'Paramètres'!$M:$M,0))&amp;"",""))</f>
        <v/>
      </c>
      <c r="O3073" s="6" t="str">
        <f>IF($A3073="","",IF(OR($J3073&lt;&gt;"x",$A3073&lt;=FinReleve),1,0))</f>
        <v/>
      </c>
      <c r="P3073" s="6" t="str">
        <f>IF($D3073="","",IF(AND($L3073="Crédit",OR(IFERROR(INDEX('Paramètres'!$O:$O,MATCH($D3073,'Paramètres'!$M:$M,0))&amp;"","")&lt;&gt;"",ISNUMBER(SEARCH("remboursement",IFERROR(INDEX('Paramètres'!$N:$N,MATCH($D3073,'Paramètres'!$M:$M,0))&amp;"",""))))),1,0))</f>
        <v/>
      </c>
      <c r="Q3073" s="6" t="str">
        <f>IF($K3073="","",IF(ISNUMBER(SEARCH("transfert-interne",IFERROR(INDEX('Paramètres'!$N:$N,MATCH($D3073,'Paramètres'!$M:$M,0))&amp;"",""))),0,IF($L3073="Débit",$K3073,IF($P3073=1,-$K3073,0))))</f>
        <v/>
      </c>
      <c r="R3073" s="6" t="str">
        <f>IF($K3073="","",IF($L3073="Crédit",$K3073,-$K3073))</f>
        <v/>
      </c>
      <c r="S3073" s="6" t="str">
        <f>IF($C3073="","",IFERROR(INDEX('Paramètres'!$H:$H,MATCH($C3073,'Paramètres'!$D:$D,0))&amp;"",""))</f>
        <v/>
      </c>
      <c r="T3073" s="6" t="str">
        <f>IF($K3073="","",IF($S3073="",0,IF(ISNUMBER(SEARCH("apport-exterieur",IFERROR(INDEX('Paramètres'!$N:$N,MATCH($D3073,'Paramètres'!$M:$M,0))&amp;"",""))),0,IF(OR(IFERROR(INDEX('Paramètres'!$I:$I,MATCH($C3073,'Paramètres'!$D:$D,0))&amp;"","")="Les deux",IFERROR(INDEX('Paramètres'!$I:$I,MATCH($C3073,'Paramètres'!$D:$D,0))&amp;"","")=IF($P3073=1,"Débit",$L3073)),-IF($P3073=1,-$K3073,$K3073),0))))</f>
        <v/>
      </c>
      <c r="U3073" s="6" t="str">
        <f>IF($K3073="","",IF(ISNUMBER(SEARCH("sortie-epargne",IFERROR(INDEX('Paramètres'!$N:$N,MATCH($D3073,'Paramètres'!$M:$M,0))&amp;"",""))),$K3073,0))</f>
        <v/>
      </c>
      <c r="V3073" s="6" t="str">
        <f>IF(AND($A3073&lt;&gt;"",$O3073=1,$L3073="Débit",N($Q3073)&gt;0,$A3073&gt;=Visualisation!$B$1,$A3073&lt;Visualisation!$D$1),MAX($V$1:V3072)+1,"")</f>
        <v/>
      </c>
    </row>
    <row r="3074" spans="1:22" x14ac:dyDescent="0.25">
      <c r="A3074" s="9"/>
      <c r="E3074" s="10"/>
      <c r="K3074" s="11" t="str">
        <f>IF($E3074="","",ROUND($E3074*IF(ISNA(MATCH($C3074,'Paramètres'!$D:$D,0)),1,IF(INDEX('Paramètres'!$J:$J,MATCH($C3074,'Paramètres'!$D:$D,0))="",1,INDEX('Paramètres'!$J:$J,MATCH($C3074,'Paramètres'!$D:$D,0)))),2))</f>
        <v/>
      </c>
      <c r="L3074" s="6" t="str">
        <f>IF($D3074="","",IF($F3074&lt;&gt;"",$F3074,IF(ISNA(MATCH($D3074,'Paramètres'!$M:$M,0)),"⚠ Type inconnu",IFERROR(INDEX('Paramètres'!$P:$P,MATCH($D3074,'Paramètres'!$M:$M,0))&amp;"",""))))</f>
        <v/>
      </c>
      <c r="M3074" s="6" t="str">
        <f>IF($D3074="","",IF(ISNA(MATCH($D3074,'Paramètres'!$M:$M,0)),"⚠ Type inconnu",IF($L3074="Crédit","",IFERROR(INDEX('Paramètres'!$O:$O,MATCH($D3074,'Paramètres'!$M:$M,0))&amp;"",""))))</f>
        <v/>
      </c>
      <c r="N3074" s="6" t="str">
        <f>IF($D3074="","",IFERROR(INDEX('Paramètres'!$Q:$Q,MATCH($D3074,'Paramètres'!$M:$M,0))&amp;"",""))</f>
        <v/>
      </c>
      <c r="O3074" s="6" t="str">
        <f>IF($A3074="","",IF(OR($J3074&lt;&gt;"x",$A3074&lt;=FinReleve),1,0))</f>
        <v/>
      </c>
      <c r="P3074" s="6" t="str">
        <f>IF($D3074="","",IF(AND($L3074="Crédit",OR(IFERROR(INDEX('Paramètres'!$O:$O,MATCH($D3074,'Paramètres'!$M:$M,0))&amp;"","")&lt;&gt;"",ISNUMBER(SEARCH("remboursement",IFERROR(INDEX('Paramètres'!$N:$N,MATCH($D3074,'Paramètres'!$M:$M,0))&amp;"",""))))),1,0))</f>
        <v/>
      </c>
      <c r="Q3074" s="6" t="str">
        <f>IF($K3074="","",IF(ISNUMBER(SEARCH("transfert-interne",IFERROR(INDEX('Paramètres'!$N:$N,MATCH($D3074,'Paramètres'!$M:$M,0))&amp;"",""))),0,IF($L3074="Débit",$K3074,IF($P3074=1,-$K3074,0))))</f>
        <v/>
      </c>
      <c r="R3074" s="6" t="str">
        <f>IF($K3074="","",IF($L3074="Crédit",$K3074,-$K3074))</f>
        <v/>
      </c>
      <c r="S3074" s="6" t="str">
        <f>IF($C3074="","",IFERROR(INDEX('Paramètres'!$H:$H,MATCH($C3074,'Paramètres'!$D:$D,0))&amp;"",""))</f>
        <v/>
      </c>
      <c r="T3074" s="6" t="str">
        <f>IF($K3074="","",IF($S3074="",0,IF(ISNUMBER(SEARCH("apport-exterieur",IFERROR(INDEX('Paramètres'!$N:$N,MATCH($D3074,'Paramètres'!$M:$M,0))&amp;"",""))),0,IF(OR(IFERROR(INDEX('Paramètres'!$I:$I,MATCH($C3074,'Paramètres'!$D:$D,0))&amp;"","")="Les deux",IFERROR(INDEX('Paramètres'!$I:$I,MATCH($C3074,'Paramètres'!$D:$D,0))&amp;"","")=IF($P3074=1,"Débit",$L3074)),-IF($P3074=1,-$K3074,$K3074),0))))</f>
        <v/>
      </c>
      <c r="U3074" s="6" t="str">
        <f>IF($K3074="","",IF(ISNUMBER(SEARCH("sortie-epargne",IFERROR(INDEX('Paramètres'!$N:$N,MATCH($D3074,'Paramètres'!$M:$M,0))&amp;"",""))),$K3074,0))</f>
        <v/>
      </c>
      <c r="V3074" s="6" t="str">
        <f>IF(AND($A3074&lt;&gt;"",$O3074=1,$L3074="Débit",N($Q3074)&gt;0,$A3074&gt;=Visualisation!$B$1,$A3074&lt;Visualisation!$D$1),MAX($V$1:V3073)+1,"")</f>
        <v/>
      </c>
    </row>
    <row r="3075" spans="1:22" x14ac:dyDescent="0.25">
      <c r="A3075" s="9"/>
      <c r="E3075" s="10"/>
      <c r="K3075" s="11" t="str">
        <f>IF($E3075="","",ROUND($E3075*IF(ISNA(MATCH($C3075,'Paramètres'!$D:$D,0)),1,IF(INDEX('Paramètres'!$J:$J,MATCH($C3075,'Paramètres'!$D:$D,0))="",1,INDEX('Paramètres'!$J:$J,MATCH($C3075,'Paramètres'!$D:$D,0)))),2))</f>
        <v/>
      </c>
      <c r="L3075" s="6" t="str">
        <f>IF($D3075="","",IF($F3075&lt;&gt;"",$F3075,IF(ISNA(MATCH($D3075,'Paramètres'!$M:$M,0)),"⚠ Type inconnu",IFERROR(INDEX('Paramètres'!$P:$P,MATCH($D3075,'Paramètres'!$M:$M,0))&amp;"",""))))</f>
        <v/>
      </c>
      <c r="M3075" s="6" t="str">
        <f>IF($D3075="","",IF(ISNA(MATCH($D3075,'Paramètres'!$M:$M,0)),"⚠ Type inconnu",IF($L3075="Crédit","",IFERROR(INDEX('Paramètres'!$O:$O,MATCH($D3075,'Paramètres'!$M:$M,0))&amp;"",""))))</f>
        <v/>
      </c>
      <c r="N3075" s="6" t="str">
        <f>IF($D3075="","",IFERROR(INDEX('Paramètres'!$Q:$Q,MATCH($D3075,'Paramètres'!$M:$M,0))&amp;"",""))</f>
        <v/>
      </c>
      <c r="O3075" s="6" t="str">
        <f>IF($A3075="","",IF(OR($J3075&lt;&gt;"x",$A3075&lt;=FinReleve),1,0))</f>
        <v/>
      </c>
      <c r="P3075" s="6" t="str">
        <f>IF($D3075="","",IF(AND($L3075="Crédit",OR(IFERROR(INDEX('Paramètres'!$O:$O,MATCH($D3075,'Paramètres'!$M:$M,0))&amp;"","")&lt;&gt;"",ISNUMBER(SEARCH("remboursement",IFERROR(INDEX('Paramètres'!$N:$N,MATCH($D3075,'Paramètres'!$M:$M,0))&amp;"",""))))),1,0))</f>
        <v/>
      </c>
      <c r="Q3075" s="6" t="str">
        <f>IF($K3075="","",IF(ISNUMBER(SEARCH("transfert-interne",IFERROR(INDEX('Paramètres'!$N:$N,MATCH($D3075,'Paramètres'!$M:$M,0))&amp;"",""))),0,IF($L3075="Débit",$K3075,IF($P3075=1,-$K3075,0))))</f>
        <v/>
      </c>
      <c r="R3075" s="6" t="str">
        <f>IF($K3075="","",IF($L3075="Crédit",$K3075,-$K3075))</f>
        <v/>
      </c>
      <c r="S3075" s="6" t="str">
        <f>IF($C3075="","",IFERROR(INDEX('Paramètres'!$H:$H,MATCH($C3075,'Paramètres'!$D:$D,0))&amp;"",""))</f>
        <v/>
      </c>
      <c r="T3075" s="6" t="str">
        <f>IF($K3075="","",IF($S3075="",0,IF(ISNUMBER(SEARCH("apport-exterieur",IFERROR(INDEX('Paramètres'!$N:$N,MATCH($D3075,'Paramètres'!$M:$M,0))&amp;"",""))),0,IF(OR(IFERROR(INDEX('Paramètres'!$I:$I,MATCH($C3075,'Paramètres'!$D:$D,0))&amp;"","")="Les deux",IFERROR(INDEX('Paramètres'!$I:$I,MATCH($C3075,'Paramètres'!$D:$D,0))&amp;"","")=IF($P3075=1,"Débit",$L3075)),-IF($P3075=1,-$K3075,$K3075),0))))</f>
        <v/>
      </c>
      <c r="U3075" s="6" t="str">
        <f>IF($K3075="","",IF(ISNUMBER(SEARCH("sortie-epargne",IFERROR(INDEX('Paramètres'!$N:$N,MATCH($D3075,'Paramètres'!$M:$M,0))&amp;"",""))),$K3075,0))</f>
        <v/>
      </c>
      <c r="V3075" s="6" t="str">
        <f>IF(AND($A3075&lt;&gt;"",$O3075=1,$L3075="Débit",N($Q3075)&gt;0,$A3075&gt;=Visualisation!$B$1,$A3075&lt;Visualisation!$D$1),MAX($V$1:V3074)+1,"")</f>
        <v/>
      </c>
    </row>
    <row r="3076" spans="1:22" x14ac:dyDescent="0.25">
      <c r="A3076" s="9"/>
      <c r="E3076" s="10"/>
      <c r="K3076" s="11" t="str">
        <f>IF($E3076="","",ROUND($E3076*IF(ISNA(MATCH($C3076,'Paramètres'!$D:$D,0)),1,IF(INDEX('Paramètres'!$J:$J,MATCH($C3076,'Paramètres'!$D:$D,0))="",1,INDEX('Paramètres'!$J:$J,MATCH($C3076,'Paramètres'!$D:$D,0)))),2))</f>
        <v/>
      </c>
      <c r="L3076" s="6" t="str">
        <f>IF($D3076="","",IF($F3076&lt;&gt;"",$F3076,IF(ISNA(MATCH($D3076,'Paramètres'!$M:$M,0)),"⚠ Type inconnu",IFERROR(INDEX('Paramètres'!$P:$P,MATCH($D3076,'Paramètres'!$M:$M,0))&amp;"",""))))</f>
        <v/>
      </c>
      <c r="M3076" s="6" t="str">
        <f>IF($D3076="","",IF(ISNA(MATCH($D3076,'Paramètres'!$M:$M,0)),"⚠ Type inconnu",IF($L3076="Crédit","",IFERROR(INDEX('Paramètres'!$O:$O,MATCH($D3076,'Paramètres'!$M:$M,0))&amp;"",""))))</f>
        <v/>
      </c>
      <c r="N3076" s="6" t="str">
        <f>IF($D3076="","",IFERROR(INDEX('Paramètres'!$Q:$Q,MATCH($D3076,'Paramètres'!$M:$M,0))&amp;"",""))</f>
        <v/>
      </c>
      <c r="O3076" s="6" t="str">
        <f>IF($A3076="","",IF(OR($J3076&lt;&gt;"x",$A3076&lt;=FinReleve),1,0))</f>
        <v/>
      </c>
      <c r="P3076" s="6" t="str">
        <f>IF($D3076="","",IF(AND($L3076="Crédit",OR(IFERROR(INDEX('Paramètres'!$O:$O,MATCH($D3076,'Paramètres'!$M:$M,0))&amp;"","")&lt;&gt;"",ISNUMBER(SEARCH("remboursement",IFERROR(INDEX('Paramètres'!$N:$N,MATCH($D3076,'Paramètres'!$M:$M,0))&amp;"",""))))),1,0))</f>
        <v/>
      </c>
      <c r="Q3076" s="6" t="str">
        <f>IF($K3076="","",IF(ISNUMBER(SEARCH("transfert-interne",IFERROR(INDEX('Paramètres'!$N:$N,MATCH($D3076,'Paramètres'!$M:$M,0))&amp;"",""))),0,IF($L3076="Débit",$K3076,IF($P3076=1,-$K3076,0))))</f>
        <v/>
      </c>
      <c r="R3076" s="6" t="str">
        <f>IF($K3076="","",IF($L3076="Crédit",$K3076,-$K3076))</f>
        <v/>
      </c>
      <c r="S3076" s="6" t="str">
        <f>IF($C3076="","",IFERROR(INDEX('Paramètres'!$H:$H,MATCH($C3076,'Paramètres'!$D:$D,0))&amp;"",""))</f>
        <v/>
      </c>
      <c r="T3076" s="6" t="str">
        <f>IF($K3076="","",IF($S3076="",0,IF(ISNUMBER(SEARCH("apport-exterieur",IFERROR(INDEX('Paramètres'!$N:$N,MATCH($D3076,'Paramètres'!$M:$M,0))&amp;"",""))),0,IF(OR(IFERROR(INDEX('Paramètres'!$I:$I,MATCH($C3076,'Paramètres'!$D:$D,0))&amp;"","")="Les deux",IFERROR(INDEX('Paramètres'!$I:$I,MATCH($C3076,'Paramètres'!$D:$D,0))&amp;"","")=IF($P3076=1,"Débit",$L3076)),-IF($P3076=1,-$K3076,$K3076),0))))</f>
        <v/>
      </c>
      <c r="U3076" s="6" t="str">
        <f>IF($K3076="","",IF(ISNUMBER(SEARCH("sortie-epargne",IFERROR(INDEX('Paramètres'!$N:$N,MATCH($D3076,'Paramètres'!$M:$M,0))&amp;"",""))),$K3076,0))</f>
        <v/>
      </c>
      <c r="V3076" s="6" t="str">
        <f>IF(AND($A3076&lt;&gt;"",$O3076=1,$L3076="Débit",N($Q3076)&gt;0,$A3076&gt;=Visualisation!$B$1,$A3076&lt;Visualisation!$D$1),MAX($V$1:V3075)+1,"")</f>
        <v/>
      </c>
    </row>
    <row r="3077" spans="1:22" x14ac:dyDescent="0.25">
      <c r="A3077" s="9"/>
      <c r="E3077" s="10"/>
      <c r="K3077" s="11" t="str">
        <f>IF($E3077="","",ROUND($E3077*IF(ISNA(MATCH($C3077,'Paramètres'!$D:$D,0)),1,IF(INDEX('Paramètres'!$J:$J,MATCH($C3077,'Paramètres'!$D:$D,0))="",1,INDEX('Paramètres'!$J:$J,MATCH($C3077,'Paramètres'!$D:$D,0)))),2))</f>
        <v/>
      </c>
      <c r="L3077" s="6" t="str">
        <f>IF($D3077="","",IF($F3077&lt;&gt;"",$F3077,IF(ISNA(MATCH($D3077,'Paramètres'!$M:$M,0)),"⚠ Type inconnu",IFERROR(INDEX('Paramètres'!$P:$P,MATCH($D3077,'Paramètres'!$M:$M,0))&amp;"",""))))</f>
        <v/>
      </c>
      <c r="M3077" s="6" t="str">
        <f>IF($D3077="","",IF(ISNA(MATCH($D3077,'Paramètres'!$M:$M,0)),"⚠ Type inconnu",IF($L3077="Crédit","",IFERROR(INDEX('Paramètres'!$O:$O,MATCH($D3077,'Paramètres'!$M:$M,0))&amp;"",""))))</f>
        <v/>
      </c>
      <c r="N3077" s="6" t="str">
        <f>IF($D3077="","",IFERROR(INDEX('Paramètres'!$Q:$Q,MATCH($D3077,'Paramètres'!$M:$M,0))&amp;"",""))</f>
        <v/>
      </c>
      <c r="O3077" s="6" t="str">
        <f>IF($A3077="","",IF(OR($J3077&lt;&gt;"x",$A3077&lt;=FinReleve),1,0))</f>
        <v/>
      </c>
      <c r="P3077" s="6" t="str">
        <f>IF($D3077="","",IF(AND($L3077="Crédit",OR(IFERROR(INDEX('Paramètres'!$O:$O,MATCH($D3077,'Paramètres'!$M:$M,0))&amp;"","")&lt;&gt;"",ISNUMBER(SEARCH("remboursement",IFERROR(INDEX('Paramètres'!$N:$N,MATCH($D3077,'Paramètres'!$M:$M,0))&amp;"",""))))),1,0))</f>
        <v/>
      </c>
      <c r="Q3077" s="6" t="str">
        <f>IF($K3077="","",IF(ISNUMBER(SEARCH("transfert-interne",IFERROR(INDEX('Paramètres'!$N:$N,MATCH($D3077,'Paramètres'!$M:$M,0))&amp;"",""))),0,IF($L3077="Débit",$K3077,IF($P3077=1,-$K3077,0))))</f>
        <v/>
      </c>
      <c r="R3077" s="6" t="str">
        <f>IF($K3077="","",IF($L3077="Crédit",$K3077,-$K3077))</f>
        <v/>
      </c>
      <c r="S3077" s="6" t="str">
        <f>IF($C3077="","",IFERROR(INDEX('Paramètres'!$H:$H,MATCH($C3077,'Paramètres'!$D:$D,0))&amp;"",""))</f>
        <v/>
      </c>
      <c r="T3077" s="6" t="str">
        <f>IF($K3077="","",IF($S3077="",0,IF(ISNUMBER(SEARCH("apport-exterieur",IFERROR(INDEX('Paramètres'!$N:$N,MATCH($D3077,'Paramètres'!$M:$M,0))&amp;"",""))),0,IF(OR(IFERROR(INDEX('Paramètres'!$I:$I,MATCH($C3077,'Paramètres'!$D:$D,0))&amp;"","")="Les deux",IFERROR(INDEX('Paramètres'!$I:$I,MATCH($C3077,'Paramètres'!$D:$D,0))&amp;"","")=IF($P3077=1,"Débit",$L3077)),-IF($P3077=1,-$K3077,$K3077),0))))</f>
        <v/>
      </c>
      <c r="U3077" s="6" t="str">
        <f>IF($K3077="","",IF(ISNUMBER(SEARCH("sortie-epargne",IFERROR(INDEX('Paramètres'!$N:$N,MATCH($D3077,'Paramètres'!$M:$M,0))&amp;"",""))),$K3077,0))</f>
        <v/>
      </c>
      <c r="V3077" s="6" t="str">
        <f>IF(AND($A3077&lt;&gt;"",$O3077=1,$L3077="Débit",N($Q3077)&gt;0,$A3077&gt;=Visualisation!$B$1,$A3077&lt;Visualisation!$D$1),MAX($V$1:V3076)+1,"")</f>
        <v/>
      </c>
    </row>
    <row r="3078" spans="1:22" x14ac:dyDescent="0.25">
      <c r="A3078" s="9"/>
      <c r="E3078" s="10"/>
      <c r="K3078" s="11" t="str">
        <f>IF($E3078="","",ROUND($E3078*IF(ISNA(MATCH($C3078,'Paramètres'!$D:$D,0)),1,IF(INDEX('Paramètres'!$J:$J,MATCH($C3078,'Paramètres'!$D:$D,0))="",1,INDEX('Paramètres'!$J:$J,MATCH($C3078,'Paramètres'!$D:$D,0)))),2))</f>
        <v/>
      </c>
      <c r="L3078" s="6" t="str">
        <f>IF($D3078="","",IF($F3078&lt;&gt;"",$F3078,IF(ISNA(MATCH($D3078,'Paramètres'!$M:$M,0)),"⚠ Type inconnu",IFERROR(INDEX('Paramètres'!$P:$P,MATCH($D3078,'Paramètres'!$M:$M,0))&amp;"",""))))</f>
        <v/>
      </c>
      <c r="M3078" s="6" t="str">
        <f>IF($D3078="","",IF(ISNA(MATCH($D3078,'Paramètres'!$M:$M,0)),"⚠ Type inconnu",IF($L3078="Crédit","",IFERROR(INDEX('Paramètres'!$O:$O,MATCH($D3078,'Paramètres'!$M:$M,0))&amp;"",""))))</f>
        <v/>
      </c>
      <c r="N3078" s="6" t="str">
        <f>IF($D3078="","",IFERROR(INDEX('Paramètres'!$Q:$Q,MATCH($D3078,'Paramètres'!$M:$M,0))&amp;"",""))</f>
        <v/>
      </c>
      <c r="O3078" s="6" t="str">
        <f>IF($A3078="","",IF(OR($J3078&lt;&gt;"x",$A3078&lt;=FinReleve),1,0))</f>
        <v/>
      </c>
      <c r="P3078" s="6" t="str">
        <f>IF($D3078="","",IF(AND($L3078="Crédit",OR(IFERROR(INDEX('Paramètres'!$O:$O,MATCH($D3078,'Paramètres'!$M:$M,0))&amp;"","")&lt;&gt;"",ISNUMBER(SEARCH("remboursement",IFERROR(INDEX('Paramètres'!$N:$N,MATCH($D3078,'Paramètres'!$M:$M,0))&amp;"",""))))),1,0))</f>
        <v/>
      </c>
      <c r="Q3078" s="6" t="str">
        <f>IF($K3078="","",IF(ISNUMBER(SEARCH("transfert-interne",IFERROR(INDEX('Paramètres'!$N:$N,MATCH($D3078,'Paramètres'!$M:$M,0))&amp;"",""))),0,IF($L3078="Débit",$K3078,IF($P3078=1,-$K3078,0))))</f>
        <v/>
      </c>
      <c r="R3078" s="6" t="str">
        <f>IF($K3078="","",IF($L3078="Crédit",$K3078,-$K3078))</f>
        <v/>
      </c>
      <c r="S3078" s="6" t="str">
        <f>IF($C3078="","",IFERROR(INDEX('Paramètres'!$H:$H,MATCH($C3078,'Paramètres'!$D:$D,0))&amp;"",""))</f>
        <v/>
      </c>
      <c r="T3078" s="6" t="str">
        <f>IF($K3078="","",IF($S3078="",0,IF(ISNUMBER(SEARCH("apport-exterieur",IFERROR(INDEX('Paramètres'!$N:$N,MATCH($D3078,'Paramètres'!$M:$M,0))&amp;"",""))),0,IF(OR(IFERROR(INDEX('Paramètres'!$I:$I,MATCH($C3078,'Paramètres'!$D:$D,0))&amp;"","")="Les deux",IFERROR(INDEX('Paramètres'!$I:$I,MATCH($C3078,'Paramètres'!$D:$D,0))&amp;"","")=IF($P3078=1,"Débit",$L3078)),-IF($P3078=1,-$K3078,$K3078),0))))</f>
        <v/>
      </c>
      <c r="U3078" s="6" t="str">
        <f>IF($K3078="","",IF(ISNUMBER(SEARCH("sortie-epargne",IFERROR(INDEX('Paramètres'!$N:$N,MATCH($D3078,'Paramètres'!$M:$M,0))&amp;"",""))),$K3078,0))</f>
        <v/>
      </c>
      <c r="V3078" s="6" t="str">
        <f>IF(AND($A3078&lt;&gt;"",$O3078=1,$L3078="Débit",N($Q3078)&gt;0,$A3078&gt;=Visualisation!$B$1,$A3078&lt;Visualisation!$D$1),MAX($V$1:V3077)+1,"")</f>
        <v/>
      </c>
    </row>
    <row r="3079" spans="1:22" x14ac:dyDescent="0.25">
      <c r="A3079" s="9"/>
      <c r="E3079" s="10"/>
      <c r="K3079" s="11" t="str">
        <f>IF($E3079="","",ROUND($E3079*IF(ISNA(MATCH($C3079,'Paramètres'!$D:$D,0)),1,IF(INDEX('Paramètres'!$J:$J,MATCH($C3079,'Paramètres'!$D:$D,0))="",1,INDEX('Paramètres'!$J:$J,MATCH($C3079,'Paramètres'!$D:$D,0)))),2))</f>
        <v/>
      </c>
      <c r="L3079" s="6" t="str">
        <f>IF($D3079="","",IF($F3079&lt;&gt;"",$F3079,IF(ISNA(MATCH($D3079,'Paramètres'!$M:$M,0)),"⚠ Type inconnu",IFERROR(INDEX('Paramètres'!$P:$P,MATCH($D3079,'Paramètres'!$M:$M,0))&amp;"",""))))</f>
        <v/>
      </c>
      <c r="M3079" s="6" t="str">
        <f>IF($D3079="","",IF(ISNA(MATCH($D3079,'Paramètres'!$M:$M,0)),"⚠ Type inconnu",IF($L3079="Crédit","",IFERROR(INDEX('Paramètres'!$O:$O,MATCH($D3079,'Paramètres'!$M:$M,0))&amp;"",""))))</f>
        <v/>
      </c>
      <c r="N3079" s="6" t="str">
        <f>IF($D3079="","",IFERROR(INDEX('Paramètres'!$Q:$Q,MATCH($D3079,'Paramètres'!$M:$M,0))&amp;"",""))</f>
        <v/>
      </c>
      <c r="O3079" s="6" t="str">
        <f>IF($A3079="","",IF(OR($J3079&lt;&gt;"x",$A3079&lt;=FinReleve),1,0))</f>
        <v/>
      </c>
      <c r="P3079" s="6" t="str">
        <f>IF($D3079="","",IF(AND($L3079="Crédit",OR(IFERROR(INDEX('Paramètres'!$O:$O,MATCH($D3079,'Paramètres'!$M:$M,0))&amp;"","")&lt;&gt;"",ISNUMBER(SEARCH("remboursement",IFERROR(INDEX('Paramètres'!$N:$N,MATCH($D3079,'Paramètres'!$M:$M,0))&amp;"",""))))),1,0))</f>
        <v/>
      </c>
      <c r="Q3079" s="6" t="str">
        <f>IF($K3079="","",IF(ISNUMBER(SEARCH("transfert-interne",IFERROR(INDEX('Paramètres'!$N:$N,MATCH($D3079,'Paramètres'!$M:$M,0))&amp;"",""))),0,IF($L3079="Débit",$K3079,IF($P3079=1,-$K3079,0))))</f>
        <v/>
      </c>
      <c r="R3079" s="6" t="str">
        <f>IF($K3079="","",IF($L3079="Crédit",$K3079,-$K3079))</f>
        <v/>
      </c>
      <c r="S3079" s="6" t="str">
        <f>IF($C3079="","",IFERROR(INDEX('Paramètres'!$H:$H,MATCH($C3079,'Paramètres'!$D:$D,0))&amp;"",""))</f>
        <v/>
      </c>
      <c r="T3079" s="6" t="str">
        <f>IF($K3079="","",IF($S3079="",0,IF(ISNUMBER(SEARCH("apport-exterieur",IFERROR(INDEX('Paramètres'!$N:$N,MATCH($D3079,'Paramètres'!$M:$M,0))&amp;"",""))),0,IF(OR(IFERROR(INDEX('Paramètres'!$I:$I,MATCH($C3079,'Paramètres'!$D:$D,0))&amp;"","")="Les deux",IFERROR(INDEX('Paramètres'!$I:$I,MATCH($C3079,'Paramètres'!$D:$D,0))&amp;"","")=IF($P3079=1,"Débit",$L3079)),-IF($P3079=1,-$K3079,$K3079),0))))</f>
        <v/>
      </c>
      <c r="U3079" s="6" t="str">
        <f>IF($K3079="","",IF(ISNUMBER(SEARCH("sortie-epargne",IFERROR(INDEX('Paramètres'!$N:$N,MATCH($D3079,'Paramètres'!$M:$M,0))&amp;"",""))),$K3079,0))</f>
        <v/>
      </c>
      <c r="V3079" s="6" t="str">
        <f>IF(AND($A3079&lt;&gt;"",$O3079=1,$L3079="Débit",N($Q3079)&gt;0,$A3079&gt;=Visualisation!$B$1,$A3079&lt;Visualisation!$D$1),MAX($V$1:V3078)+1,"")</f>
        <v/>
      </c>
    </row>
    <row r="3080" spans="1:22" x14ac:dyDescent="0.25">
      <c r="A3080" s="9"/>
      <c r="E3080" s="10"/>
      <c r="K3080" s="11" t="str">
        <f>IF($E3080="","",ROUND($E3080*IF(ISNA(MATCH($C3080,'Paramètres'!$D:$D,0)),1,IF(INDEX('Paramètres'!$J:$J,MATCH($C3080,'Paramètres'!$D:$D,0))="",1,INDEX('Paramètres'!$J:$J,MATCH($C3080,'Paramètres'!$D:$D,0)))),2))</f>
        <v/>
      </c>
      <c r="L3080" s="6" t="str">
        <f>IF($D3080="","",IF($F3080&lt;&gt;"",$F3080,IF(ISNA(MATCH($D3080,'Paramètres'!$M:$M,0)),"⚠ Type inconnu",IFERROR(INDEX('Paramètres'!$P:$P,MATCH($D3080,'Paramètres'!$M:$M,0))&amp;"",""))))</f>
        <v/>
      </c>
      <c r="M3080" s="6" t="str">
        <f>IF($D3080="","",IF(ISNA(MATCH($D3080,'Paramètres'!$M:$M,0)),"⚠ Type inconnu",IF($L3080="Crédit","",IFERROR(INDEX('Paramètres'!$O:$O,MATCH($D3080,'Paramètres'!$M:$M,0))&amp;"",""))))</f>
        <v/>
      </c>
      <c r="N3080" s="6" t="str">
        <f>IF($D3080="","",IFERROR(INDEX('Paramètres'!$Q:$Q,MATCH($D3080,'Paramètres'!$M:$M,0))&amp;"",""))</f>
        <v/>
      </c>
      <c r="O3080" s="6" t="str">
        <f>IF($A3080="","",IF(OR($J3080&lt;&gt;"x",$A3080&lt;=FinReleve),1,0))</f>
        <v/>
      </c>
      <c r="P3080" s="6" t="str">
        <f>IF($D3080="","",IF(AND($L3080="Crédit",OR(IFERROR(INDEX('Paramètres'!$O:$O,MATCH($D3080,'Paramètres'!$M:$M,0))&amp;"","")&lt;&gt;"",ISNUMBER(SEARCH("remboursement",IFERROR(INDEX('Paramètres'!$N:$N,MATCH($D3080,'Paramètres'!$M:$M,0))&amp;"",""))))),1,0))</f>
        <v/>
      </c>
      <c r="Q3080" s="6" t="str">
        <f>IF($K3080="","",IF(ISNUMBER(SEARCH("transfert-interne",IFERROR(INDEX('Paramètres'!$N:$N,MATCH($D3080,'Paramètres'!$M:$M,0))&amp;"",""))),0,IF($L3080="Débit",$K3080,IF($P3080=1,-$K3080,0))))</f>
        <v/>
      </c>
      <c r="R3080" s="6" t="str">
        <f>IF($K3080="","",IF($L3080="Crédit",$K3080,-$K3080))</f>
        <v/>
      </c>
      <c r="S3080" s="6" t="str">
        <f>IF($C3080="","",IFERROR(INDEX('Paramètres'!$H:$H,MATCH($C3080,'Paramètres'!$D:$D,0))&amp;"",""))</f>
        <v/>
      </c>
      <c r="T3080" s="6" t="str">
        <f>IF($K3080="","",IF($S3080="",0,IF(ISNUMBER(SEARCH("apport-exterieur",IFERROR(INDEX('Paramètres'!$N:$N,MATCH($D3080,'Paramètres'!$M:$M,0))&amp;"",""))),0,IF(OR(IFERROR(INDEX('Paramètres'!$I:$I,MATCH($C3080,'Paramètres'!$D:$D,0))&amp;"","")="Les deux",IFERROR(INDEX('Paramètres'!$I:$I,MATCH($C3080,'Paramètres'!$D:$D,0))&amp;"","")=IF($P3080=1,"Débit",$L3080)),-IF($P3080=1,-$K3080,$K3080),0))))</f>
        <v/>
      </c>
      <c r="U3080" s="6" t="str">
        <f>IF($K3080="","",IF(ISNUMBER(SEARCH("sortie-epargne",IFERROR(INDEX('Paramètres'!$N:$N,MATCH($D3080,'Paramètres'!$M:$M,0))&amp;"",""))),$K3080,0))</f>
        <v/>
      </c>
      <c r="V3080" s="6" t="str">
        <f>IF(AND($A3080&lt;&gt;"",$O3080=1,$L3080="Débit",N($Q3080)&gt;0,$A3080&gt;=Visualisation!$B$1,$A3080&lt;Visualisation!$D$1),MAX($V$1:V3079)+1,"")</f>
        <v/>
      </c>
    </row>
    <row r="3081" spans="1:22" x14ac:dyDescent="0.25">
      <c r="A3081" s="9"/>
      <c r="E3081" s="10"/>
      <c r="K3081" s="11" t="str">
        <f>IF($E3081="","",ROUND($E3081*IF(ISNA(MATCH($C3081,'Paramètres'!$D:$D,0)),1,IF(INDEX('Paramètres'!$J:$J,MATCH($C3081,'Paramètres'!$D:$D,0))="",1,INDEX('Paramètres'!$J:$J,MATCH($C3081,'Paramètres'!$D:$D,0)))),2))</f>
        <v/>
      </c>
      <c r="L3081" s="6" t="str">
        <f>IF($D3081="","",IF($F3081&lt;&gt;"",$F3081,IF(ISNA(MATCH($D3081,'Paramètres'!$M:$M,0)),"⚠ Type inconnu",IFERROR(INDEX('Paramètres'!$P:$P,MATCH($D3081,'Paramètres'!$M:$M,0))&amp;"",""))))</f>
        <v/>
      </c>
      <c r="M3081" s="6" t="str">
        <f>IF($D3081="","",IF(ISNA(MATCH($D3081,'Paramètres'!$M:$M,0)),"⚠ Type inconnu",IF($L3081="Crédit","",IFERROR(INDEX('Paramètres'!$O:$O,MATCH($D3081,'Paramètres'!$M:$M,0))&amp;"",""))))</f>
        <v/>
      </c>
      <c r="N3081" s="6" t="str">
        <f>IF($D3081="","",IFERROR(INDEX('Paramètres'!$Q:$Q,MATCH($D3081,'Paramètres'!$M:$M,0))&amp;"",""))</f>
        <v/>
      </c>
      <c r="O3081" s="6" t="str">
        <f>IF($A3081="","",IF(OR($J3081&lt;&gt;"x",$A3081&lt;=FinReleve),1,0))</f>
        <v/>
      </c>
      <c r="P3081" s="6" t="str">
        <f>IF($D3081="","",IF(AND($L3081="Crédit",OR(IFERROR(INDEX('Paramètres'!$O:$O,MATCH($D3081,'Paramètres'!$M:$M,0))&amp;"","")&lt;&gt;"",ISNUMBER(SEARCH("remboursement",IFERROR(INDEX('Paramètres'!$N:$N,MATCH($D3081,'Paramètres'!$M:$M,0))&amp;"",""))))),1,0))</f>
        <v/>
      </c>
      <c r="Q3081" s="6" t="str">
        <f>IF($K3081="","",IF(ISNUMBER(SEARCH("transfert-interne",IFERROR(INDEX('Paramètres'!$N:$N,MATCH($D3081,'Paramètres'!$M:$M,0))&amp;"",""))),0,IF($L3081="Débit",$K3081,IF($P3081=1,-$K3081,0))))</f>
        <v/>
      </c>
      <c r="R3081" s="6" t="str">
        <f>IF($K3081="","",IF($L3081="Crédit",$K3081,-$K3081))</f>
        <v/>
      </c>
      <c r="S3081" s="6" t="str">
        <f>IF($C3081="","",IFERROR(INDEX('Paramètres'!$H:$H,MATCH($C3081,'Paramètres'!$D:$D,0))&amp;"",""))</f>
        <v/>
      </c>
      <c r="T3081" s="6" t="str">
        <f>IF($K3081="","",IF($S3081="",0,IF(ISNUMBER(SEARCH("apport-exterieur",IFERROR(INDEX('Paramètres'!$N:$N,MATCH($D3081,'Paramètres'!$M:$M,0))&amp;"",""))),0,IF(OR(IFERROR(INDEX('Paramètres'!$I:$I,MATCH($C3081,'Paramètres'!$D:$D,0))&amp;"","")="Les deux",IFERROR(INDEX('Paramètres'!$I:$I,MATCH($C3081,'Paramètres'!$D:$D,0))&amp;"","")=IF($P3081=1,"Débit",$L3081)),-IF($P3081=1,-$K3081,$K3081),0))))</f>
        <v/>
      </c>
      <c r="U3081" s="6" t="str">
        <f>IF($K3081="","",IF(ISNUMBER(SEARCH("sortie-epargne",IFERROR(INDEX('Paramètres'!$N:$N,MATCH($D3081,'Paramètres'!$M:$M,0))&amp;"",""))),$K3081,0))</f>
        <v/>
      </c>
      <c r="V3081" s="6" t="str">
        <f>IF(AND($A3081&lt;&gt;"",$O3081=1,$L3081="Débit",N($Q3081)&gt;0,$A3081&gt;=Visualisation!$B$1,$A3081&lt;Visualisation!$D$1),MAX($V$1:V3080)+1,"")</f>
        <v/>
      </c>
    </row>
    <row r="3082" spans="1:22" x14ac:dyDescent="0.25">
      <c r="A3082" s="9"/>
      <c r="E3082" s="10"/>
      <c r="K3082" s="11" t="str">
        <f>IF($E3082="","",ROUND($E3082*IF(ISNA(MATCH($C3082,'Paramètres'!$D:$D,0)),1,IF(INDEX('Paramètres'!$J:$J,MATCH($C3082,'Paramètres'!$D:$D,0))="",1,INDEX('Paramètres'!$J:$J,MATCH($C3082,'Paramètres'!$D:$D,0)))),2))</f>
        <v/>
      </c>
      <c r="L3082" s="6" t="str">
        <f>IF($D3082="","",IF($F3082&lt;&gt;"",$F3082,IF(ISNA(MATCH($D3082,'Paramètres'!$M:$M,0)),"⚠ Type inconnu",IFERROR(INDEX('Paramètres'!$P:$P,MATCH($D3082,'Paramètres'!$M:$M,0))&amp;"",""))))</f>
        <v/>
      </c>
      <c r="M3082" s="6" t="str">
        <f>IF($D3082="","",IF(ISNA(MATCH($D3082,'Paramètres'!$M:$M,0)),"⚠ Type inconnu",IF($L3082="Crédit","",IFERROR(INDEX('Paramètres'!$O:$O,MATCH($D3082,'Paramètres'!$M:$M,0))&amp;"",""))))</f>
        <v/>
      </c>
      <c r="N3082" s="6" t="str">
        <f>IF($D3082="","",IFERROR(INDEX('Paramètres'!$Q:$Q,MATCH($D3082,'Paramètres'!$M:$M,0))&amp;"",""))</f>
        <v/>
      </c>
      <c r="O3082" s="6" t="str">
        <f>IF($A3082="","",IF(OR($J3082&lt;&gt;"x",$A3082&lt;=FinReleve),1,0))</f>
        <v/>
      </c>
      <c r="P3082" s="6" t="str">
        <f>IF($D3082="","",IF(AND($L3082="Crédit",OR(IFERROR(INDEX('Paramètres'!$O:$O,MATCH($D3082,'Paramètres'!$M:$M,0))&amp;"","")&lt;&gt;"",ISNUMBER(SEARCH("remboursement",IFERROR(INDEX('Paramètres'!$N:$N,MATCH($D3082,'Paramètres'!$M:$M,0))&amp;"",""))))),1,0))</f>
        <v/>
      </c>
      <c r="Q3082" s="6" t="str">
        <f>IF($K3082="","",IF(ISNUMBER(SEARCH("transfert-interne",IFERROR(INDEX('Paramètres'!$N:$N,MATCH($D3082,'Paramètres'!$M:$M,0))&amp;"",""))),0,IF($L3082="Débit",$K3082,IF($P3082=1,-$K3082,0))))</f>
        <v/>
      </c>
      <c r="R3082" s="6" t="str">
        <f>IF($K3082="","",IF($L3082="Crédit",$K3082,-$K3082))</f>
        <v/>
      </c>
      <c r="S3082" s="6" t="str">
        <f>IF($C3082="","",IFERROR(INDEX('Paramètres'!$H:$H,MATCH($C3082,'Paramètres'!$D:$D,0))&amp;"",""))</f>
        <v/>
      </c>
      <c r="T3082" s="6" t="str">
        <f>IF($K3082="","",IF($S3082="",0,IF(ISNUMBER(SEARCH("apport-exterieur",IFERROR(INDEX('Paramètres'!$N:$N,MATCH($D3082,'Paramètres'!$M:$M,0))&amp;"",""))),0,IF(OR(IFERROR(INDEX('Paramètres'!$I:$I,MATCH($C3082,'Paramètres'!$D:$D,0))&amp;"","")="Les deux",IFERROR(INDEX('Paramètres'!$I:$I,MATCH($C3082,'Paramètres'!$D:$D,0))&amp;"","")=IF($P3082=1,"Débit",$L3082)),-IF($P3082=1,-$K3082,$K3082),0))))</f>
        <v/>
      </c>
      <c r="U3082" s="6" t="str">
        <f>IF($K3082="","",IF(ISNUMBER(SEARCH("sortie-epargne",IFERROR(INDEX('Paramètres'!$N:$N,MATCH($D3082,'Paramètres'!$M:$M,0))&amp;"",""))),$K3082,0))</f>
        <v/>
      </c>
      <c r="V3082" s="6" t="str">
        <f>IF(AND($A3082&lt;&gt;"",$O3082=1,$L3082="Débit",N($Q3082)&gt;0,$A3082&gt;=Visualisation!$B$1,$A3082&lt;Visualisation!$D$1),MAX($V$1:V3081)+1,"")</f>
        <v/>
      </c>
    </row>
    <row r="3083" spans="1:22" x14ac:dyDescent="0.25">
      <c r="A3083" s="9"/>
      <c r="E3083" s="10"/>
      <c r="K3083" s="11" t="str">
        <f>IF($E3083="","",ROUND($E3083*IF(ISNA(MATCH($C3083,'Paramètres'!$D:$D,0)),1,IF(INDEX('Paramètres'!$J:$J,MATCH($C3083,'Paramètres'!$D:$D,0))="",1,INDEX('Paramètres'!$J:$J,MATCH($C3083,'Paramètres'!$D:$D,0)))),2))</f>
        <v/>
      </c>
      <c r="L3083" s="6" t="str">
        <f>IF($D3083="","",IF($F3083&lt;&gt;"",$F3083,IF(ISNA(MATCH($D3083,'Paramètres'!$M:$M,0)),"⚠ Type inconnu",IFERROR(INDEX('Paramètres'!$P:$P,MATCH($D3083,'Paramètres'!$M:$M,0))&amp;"",""))))</f>
        <v/>
      </c>
      <c r="M3083" s="6" t="str">
        <f>IF($D3083="","",IF(ISNA(MATCH($D3083,'Paramètres'!$M:$M,0)),"⚠ Type inconnu",IF($L3083="Crédit","",IFERROR(INDEX('Paramètres'!$O:$O,MATCH($D3083,'Paramètres'!$M:$M,0))&amp;"",""))))</f>
        <v/>
      </c>
      <c r="N3083" s="6" t="str">
        <f>IF($D3083="","",IFERROR(INDEX('Paramètres'!$Q:$Q,MATCH($D3083,'Paramètres'!$M:$M,0))&amp;"",""))</f>
        <v/>
      </c>
      <c r="O3083" s="6" t="str">
        <f>IF($A3083="","",IF(OR($J3083&lt;&gt;"x",$A3083&lt;=FinReleve),1,0))</f>
        <v/>
      </c>
      <c r="P3083" s="6" t="str">
        <f>IF($D3083="","",IF(AND($L3083="Crédit",OR(IFERROR(INDEX('Paramètres'!$O:$O,MATCH($D3083,'Paramètres'!$M:$M,0))&amp;"","")&lt;&gt;"",ISNUMBER(SEARCH("remboursement",IFERROR(INDEX('Paramètres'!$N:$N,MATCH($D3083,'Paramètres'!$M:$M,0))&amp;"",""))))),1,0))</f>
        <v/>
      </c>
      <c r="Q3083" s="6" t="str">
        <f>IF($K3083="","",IF(ISNUMBER(SEARCH("transfert-interne",IFERROR(INDEX('Paramètres'!$N:$N,MATCH($D3083,'Paramètres'!$M:$M,0))&amp;"",""))),0,IF($L3083="Débit",$K3083,IF($P3083=1,-$K3083,0))))</f>
        <v/>
      </c>
      <c r="R3083" s="6" t="str">
        <f>IF($K3083="","",IF($L3083="Crédit",$K3083,-$K3083))</f>
        <v/>
      </c>
      <c r="S3083" s="6" t="str">
        <f>IF($C3083="","",IFERROR(INDEX('Paramètres'!$H:$H,MATCH($C3083,'Paramètres'!$D:$D,0))&amp;"",""))</f>
        <v/>
      </c>
      <c r="T3083" s="6" t="str">
        <f>IF($K3083="","",IF($S3083="",0,IF(ISNUMBER(SEARCH("apport-exterieur",IFERROR(INDEX('Paramètres'!$N:$N,MATCH($D3083,'Paramètres'!$M:$M,0))&amp;"",""))),0,IF(OR(IFERROR(INDEX('Paramètres'!$I:$I,MATCH($C3083,'Paramètres'!$D:$D,0))&amp;"","")="Les deux",IFERROR(INDEX('Paramètres'!$I:$I,MATCH($C3083,'Paramètres'!$D:$D,0))&amp;"","")=IF($P3083=1,"Débit",$L3083)),-IF($P3083=1,-$K3083,$K3083),0))))</f>
        <v/>
      </c>
      <c r="U3083" s="6" t="str">
        <f>IF($K3083="","",IF(ISNUMBER(SEARCH("sortie-epargne",IFERROR(INDEX('Paramètres'!$N:$N,MATCH($D3083,'Paramètres'!$M:$M,0))&amp;"",""))),$K3083,0))</f>
        <v/>
      </c>
      <c r="V3083" s="6" t="str">
        <f>IF(AND($A3083&lt;&gt;"",$O3083=1,$L3083="Débit",N($Q3083)&gt;0,$A3083&gt;=Visualisation!$B$1,$A3083&lt;Visualisation!$D$1),MAX($V$1:V3082)+1,"")</f>
        <v/>
      </c>
    </row>
    <row r="3084" spans="1:22" x14ac:dyDescent="0.25">
      <c r="A3084" s="9"/>
      <c r="E3084" s="10"/>
      <c r="K3084" s="11" t="str">
        <f>IF($E3084="","",ROUND($E3084*IF(ISNA(MATCH($C3084,'Paramètres'!$D:$D,0)),1,IF(INDEX('Paramètres'!$J:$J,MATCH($C3084,'Paramètres'!$D:$D,0))="",1,INDEX('Paramètres'!$J:$J,MATCH($C3084,'Paramètres'!$D:$D,0)))),2))</f>
        <v/>
      </c>
      <c r="L3084" s="6" t="str">
        <f>IF($D3084="","",IF($F3084&lt;&gt;"",$F3084,IF(ISNA(MATCH($D3084,'Paramètres'!$M:$M,0)),"⚠ Type inconnu",IFERROR(INDEX('Paramètres'!$P:$P,MATCH($D3084,'Paramètres'!$M:$M,0))&amp;"",""))))</f>
        <v/>
      </c>
      <c r="M3084" s="6" t="str">
        <f>IF($D3084="","",IF(ISNA(MATCH($D3084,'Paramètres'!$M:$M,0)),"⚠ Type inconnu",IF($L3084="Crédit","",IFERROR(INDEX('Paramètres'!$O:$O,MATCH($D3084,'Paramètres'!$M:$M,0))&amp;"",""))))</f>
        <v/>
      </c>
      <c r="N3084" s="6" t="str">
        <f>IF($D3084="","",IFERROR(INDEX('Paramètres'!$Q:$Q,MATCH($D3084,'Paramètres'!$M:$M,0))&amp;"",""))</f>
        <v/>
      </c>
      <c r="O3084" s="6" t="str">
        <f>IF($A3084="","",IF(OR($J3084&lt;&gt;"x",$A3084&lt;=FinReleve),1,0))</f>
        <v/>
      </c>
      <c r="P3084" s="6" t="str">
        <f>IF($D3084="","",IF(AND($L3084="Crédit",OR(IFERROR(INDEX('Paramètres'!$O:$O,MATCH($D3084,'Paramètres'!$M:$M,0))&amp;"","")&lt;&gt;"",ISNUMBER(SEARCH("remboursement",IFERROR(INDEX('Paramètres'!$N:$N,MATCH($D3084,'Paramètres'!$M:$M,0))&amp;"",""))))),1,0))</f>
        <v/>
      </c>
      <c r="Q3084" s="6" t="str">
        <f>IF($K3084="","",IF(ISNUMBER(SEARCH("transfert-interne",IFERROR(INDEX('Paramètres'!$N:$N,MATCH($D3084,'Paramètres'!$M:$M,0))&amp;"",""))),0,IF($L3084="Débit",$K3084,IF($P3084=1,-$K3084,0))))</f>
        <v/>
      </c>
      <c r="R3084" s="6" t="str">
        <f>IF($K3084="","",IF($L3084="Crédit",$K3084,-$K3084))</f>
        <v/>
      </c>
      <c r="S3084" s="6" t="str">
        <f>IF($C3084="","",IFERROR(INDEX('Paramètres'!$H:$H,MATCH($C3084,'Paramètres'!$D:$D,0))&amp;"",""))</f>
        <v/>
      </c>
      <c r="T3084" s="6" t="str">
        <f>IF($K3084="","",IF($S3084="",0,IF(ISNUMBER(SEARCH("apport-exterieur",IFERROR(INDEX('Paramètres'!$N:$N,MATCH($D3084,'Paramètres'!$M:$M,0))&amp;"",""))),0,IF(OR(IFERROR(INDEX('Paramètres'!$I:$I,MATCH($C3084,'Paramètres'!$D:$D,0))&amp;"","")="Les deux",IFERROR(INDEX('Paramètres'!$I:$I,MATCH($C3084,'Paramètres'!$D:$D,0))&amp;"","")=IF($P3084=1,"Débit",$L3084)),-IF($P3084=1,-$K3084,$K3084),0))))</f>
        <v/>
      </c>
      <c r="U3084" s="6" t="str">
        <f>IF($K3084="","",IF(ISNUMBER(SEARCH("sortie-epargne",IFERROR(INDEX('Paramètres'!$N:$N,MATCH($D3084,'Paramètres'!$M:$M,0))&amp;"",""))),$K3084,0))</f>
        <v/>
      </c>
      <c r="V3084" s="6" t="str">
        <f>IF(AND($A3084&lt;&gt;"",$O3084=1,$L3084="Débit",N($Q3084)&gt;0,$A3084&gt;=Visualisation!$B$1,$A3084&lt;Visualisation!$D$1),MAX($V$1:V3083)+1,"")</f>
        <v/>
      </c>
    </row>
    <row r="3085" spans="1:22" x14ac:dyDescent="0.25">
      <c r="A3085" s="9"/>
      <c r="E3085" s="10"/>
      <c r="K3085" s="11" t="str">
        <f>IF($E3085="","",ROUND($E3085*IF(ISNA(MATCH($C3085,'Paramètres'!$D:$D,0)),1,IF(INDEX('Paramètres'!$J:$J,MATCH($C3085,'Paramètres'!$D:$D,0))="",1,INDEX('Paramètres'!$J:$J,MATCH($C3085,'Paramètres'!$D:$D,0)))),2))</f>
        <v/>
      </c>
      <c r="L3085" s="6" t="str">
        <f>IF($D3085="","",IF($F3085&lt;&gt;"",$F3085,IF(ISNA(MATCH($D3085,'Paramètres'!$M:$M,0)),"⚠ Type inconnu",IFERROR(INDEX('Paramètres'!$P:$P,MATCH($D3085,'Paramètres'!$M:$M,0))&amp;"",""))))</f>
        <v/>
      </c>
      <c r="M3085" s="6" t="str">
        <f>IF($D3085="","",IF(ISNA(MATCH($D3085,'Paramètres'!$M:$M,0)),"⚠ Type inconnu",IF($L3085="Crédit","",IFERROR(INDEX('Paramètres'!$O:$O,MATCH($D3085,'Paramètres'!$M:$M,0))&amp;"",""))))</f>
        <v/>
      </c>
      <c r="N3085" s="6" t="str">
        <f>IF($D3085="","",IFERROR(INDEX('Paramètres'!$Q:$Q,MATCH($D3085,'Paramètres'!$M:$M,0))&amp;"",""))</f>
        <v/>
      </c>
      <c r="O3085" s="6" t="str">
        <f>IF($A3085="","",IF(OR($J3085&lt;&gt;"x",$A3085&lt;=FinReleve),1,0))</f>
        <v/>
      </c>
      <c r="P3085" s="6" t="str">
        <f>IF($D3085="","",IF(AND($L3085="Crédit",OR(IFERROR(INDEX('Paramètres'!$O:$O,MATCH($D3085,'Paramètres'!$M:$M,0))&amp;"","")&lt;&gt;"",ISNUMBER(SEARCH("remboursement",IFERROR(INDEX('Paramètres'!$N:$N,MATCH($D3085,'Paramètres'!$M:$M,0))&amp;"",""))))),1,0))</f>
        <v/>
      </c>
      <c r="Q3085" s="6" t="str">
        <f>IF($K3085="","",IF(ISNUMBER(SEARCH("transfert-interne",IFERROR(INDEX('Paramètres'!$N:$N,MATCH($D3085,'Paramètres'!$M:$M,0))&amp;"",""))),0,IF($L3085="Débit",$K3085,IF($P3085=1,-$K3085,0))))</f>
        <v/>
      </c>
      <c r="R3085" s="6" t="str">
        <f>IF($K3085="","",IF($L3085="Crédit",$K3085,-$K3085))</f>
        <v/>
      </c>
      <c r="S3085" s="6" t="str">
        <f>IF($C3085="","",IFERROR(INDEX('Paramètres'!$H:$H,MATCH($C3085,'Paramètres'!$D:$D,0))&amp;"",""))</f>
        <v/>
      </c>
      <c r="T3085" s="6" t="str">
        <f>IF($K3085="","",IF($S3085="",0,IF(ISNUMBER(SEARCH("apport-exterieur",IFERROR(INDEX('Paramètres'!$N:$N,MATCH($D3085,'Paramètres'!$M:$M,0))&amp;"",""))),0,IF(OR(IFERROR(INDEX('Paramètres'!$I:$I,MATCH($C3085,'Paramètres'!$D:$D,0))&amp;"","")="Les deux",IFERROR(INDEX('Paramètres'!$I:$I,MATCH($C3085,'Paramètres'!$D:$D,0))&amp;"","")=IF($P3085=1,"Débit",$L3085)),-IF($P3085=1,-$K3085,$K3085),0))))</f>
        <v/>
      </c>
      <c r="U3085" s="6" t="str">
        <f>IF($K3085="","",IF(ISNUMBER(SEARCH("sortie-epargne",IFERROR(INDEX('Paramètres'!$N:$N,MATCH($D3085,'Paramètres'!$M:$M,0))&amp;"",""))),$K3085,0))</f>
        <v/>
      </c>
      <c r="V3085" s="6" t="str">
        <f>IF(AND($A3085&lt;&gt;"",$O3085=1,$L3085="Débit",N($Q3085)&gt;0,$A3085&gt;=Visualisation!$B$1,$A3085&lt;Visualisation!$D$1),MAX($V$1:V3084)+1,"")</f>
        <v/>
      </c>
    </row>
    <row r="3086" spans="1:22" x14ac:dyDescent="0.25">
      <c r="A3086" s="9"/>
      <c r="E3086" s="10"/>
      <c r="K3086" s="11" t="str">
        <f>IF($E3086="","",ROUND($E3086*IF(ISNA(MATCH($C3086,'Paramètres'!$D:$D,0)),1,IF(INDEX('Paramètres'!$J:$J,MATCH($C3086,'Paramètres'!$D:$D,0))="",1,INDEX('Paramètres'!$J:$J,MATCH($C3086,'Paramètres'!$D:$D,0)))),2))</f>
        <v/>
      </c>
      <c r="L3086" s="6" t="str">
        <f>IF($D3086="","",IF($F3086&lt;&gt;"",$F3086,IF(ISNA(MATCH($D3086,'Paramètres'!$M:$M,0)),"⚠ Type inconnu",IFERROR(INDEX('Paramètres'!$P:$P,MATCH($D3086,'Paramètres'!$M:$M,0))&amp;"",""))))</f>
        <v/>
      </c>
      <c r="M3086" s="6" t="str">
        <f>IF($D3086="","",IF(ISNA(MATCH($D3086,'Paramètres'!$M:$M,0)),"⚠ Type inconnu",IF($L3086="Crédit","",IFERROR(INDEX('Paramètres'!$O:$O,MATCH($D3086,'Paramètres'!$M:$M,0))&amp;"",""))))</f>
        <v/>
      </c>
      <c r="N3086" s="6" t="str">
        <f>IF($D3086="","",IFERROR(INDEX('Paramètres'!$Q:$Q,MATCH($D3086,'Paramètres'!$M:$M,0))&amp;"",""))</f>
        <v/>
      </c>
      <c r="O3086" s="6" t="str">
        <f>IF($A3086="","",IF(OR($J3086&lt;&gt;"x",$A3086&lt;=FinReleve),1,0))</f>
        <v/>
      </c>
      <c r="P3086" s="6" t="str">
        <f>IF($D3086="","",IF(AND($L3086="Crédit",OR(IFERROR(INDEX('Paramètres'!$O:$O,MATCH($D3086,'Paramètres'!$M:$M,0))&amp;"","")&lt;&gt;"",ISNUMBER(SEARCH("remboursement",IFERROR(INDEX('Paramètres'!$N:$N,MATCH($D3086,'Paramètres'!$M:$M,0))&amp;"",""))))),1,0))</f>
        <v/>
      </c>
      <c r="Q3086" s="6" t="str">
        <f>IF($K3086="","",IF(ISNUMBER(SEARCH("transfert-interne",IFERROR(INDEX('Paramètres'!$N:$N,MATCH($D3086,'Paramètres'!$M:$M,0))&amp;"",""))),0,IF($L3086="Débit",$K3086,IF($P3086=1,-$K3086,0))))</f>
        <v/>
      </c>
      <c r="R3086" s="6" t="str">
        <f>IF($K3086="","",IF($L3086="Crédit",$K3086,-$K3086))</f>
        <v/>
      </c>
      <c r="S3086" s="6" t="str">
        <f>IF($C3086="","",IFERROR(INDEX('Paramètres'!$H:$H,MATCH($C3086,'Paramètres'!$D:$D,0))&amp;"",""))</f>
        <v/>
      </c>
      <c r="T3086" s="6" t="str">
        <f>IF($K3086="","",IF($S3086="",0,IF(ISNUMBER(SEARCH("apport-exterieur",IFERROR(INDEX('Paramètres'!$N:$N,MATCH($D3086,'Paramètres'!$M:$M,0))&amp;"",""))),0,IF(OR(IFERROR(INDEX('Paramètres'!$I:$I,MATCH($C3086,'Paramètres'!$D:$D,0))&amp;"","")="Les deux",IFERROR(INDEX('Paramètres'!$I:$I,MATCH($C3086,'Paramètres'!$D:$D,0))&amp;"","")=IF($P3086=1,"Débit",$L3086)),-IF($P3086=1,-$K3086,$K3086),0))))</f>
        <v/>
      </c>
      <c r="U3086" s="6" t="str">
        <f>IF($K3086="","",IF(ISNUMBER(SEARCH("sortie-epargne",IFERROR(INDEX('Paramètres'!$N:$N,MATCH($D3086,'Paramètres'!$M:$M,0))&amp;"",""))),$K3086,0))</f>
        <v/>
      </c>
      <c r="V3086" s="6" t="str">
        <f>IF(AND($A3086&lt;&gt;"",$O3086=1,$L3086="Débit",N($Q3086)&gt;0,$A3086&gt;=Visualisation!$B$1,$A3086&lt;Visualisation!$D$1),MAX($V$1:V3085)+1,"")</f>
        <v/>
      </c>
    </row>
    <row r="3087" spans="1:22" x14ac:dyDescent="0.25">
      <c r="A3087" s="9"/>
      <c r="E3087" s="10"/>
      <c r="K3087" s="11" t="str">
        <f>IF($E3087="","",ROUND($E3087*IF(ISNA(MATCH($C3087,'Paramètres'!$D:$D,0)),1,IF(INDEX('Paramètres'!$J:$J,MATCH($C3087,'Paramètres'!$D:$D,0))="",1,INDEX('Paramètres'!$J:$J,MATCH($C3087,'Paramètres'!$D:$D,0)))),2))</f>
        <v/>
      </c>
      <c r="L3087" s="6" t="str">
        <f>IF($D3087="","",IF($F3087&lt;&gt;"",$F3087,IF(ISNA(MATCH($D3087,'Paramètres'!$M:$M,0)),"⚠ Type inconnu",IFERROR(INDEX('Paramètres'!$P:$P,MATCH($D3087,'Paramètres'!$M:$M,0))&amp;"",""))))</f>
        <v/>
      </c>
      <c r="M3087" s="6" t="str">
        <f>IF($D3087="","",IF(ISNA(MATCH($D3087,'Paramètres'!$M:$M,0)),"⚠ Type inconnu",IF($L3087="Crédit","",IFERROR(INDEX('Paramètres'!$O:$O,MATCH($D3087,'Paramètres'!$M:$M,0))&amp;"",""))))</f>
        <v/>
      </c>
      <c r="N3087" s="6" t="str">
        <f>IF($D3087="","",IFERROR(INDEX('Paramètres'!$Q:$Q,MATCH($D3087,'Paramètres'!$M:$M,0))&amp;"",""))</f>
        <v/>
      </c>
      <c r="O3087" s="6" t="str">
        <f>IF($A3087="","",IF(OR($J3087&lt;&gt;"x",$A3087&lt;=FinReleve),1,0))</f>
        <v/>
      </c>
      <c r="P3087" s="6" t="str">
        <f>IF($D3087="","",IF(AND($L3087="Crédit",OR(IFERROR(INDEX('Paramètres'!$O:$O,MATCH($D3087,'Paramètres'!$M:$M,0))&amp;"","")&lt;&gt;"",ISNUMBER(SEARCH("remboursement",IFERROR(INDEX('Paramètres'!$N:$N,MATCH($D3087,'Paramètres'!$M:$M,0))&amp;"",""))))),1,0))</f>
        <v/>
      </c>
      <c r="Q3087" s="6" t="str">
        <f>IF($K3087="","",IF(ISNUMBER(SEARCH("transfert-interne",IFERROR(INDEX('Paramètres'!$N:$N,MATCH($D3087,'Paramètres'!$M:$M,0))&amp;"",""))),0,IF($L3087="Débit",$K3087,IF($P3087=1,-$K3087,0))))</f>
        <v/>
      </c>
      <c r="R3087" s="6" t="str">
        <f>IF($K3087="","",IF($L3087="Crédit",$K3087,-$K3087))</f>
        <v/>
      </c>
      <c r="S3087" s="6" t="str">
        <f>IF($C3087="","",IFERROR(INDEX('Paramètres'!$H:$H,MATCH($C3087,'Paramètres'!$D:$D,0))&amp;"",""))</f>
        <v/>
      </c>
      <c r="T3087" s="6" t="str">
        <f>IF($K3087="","",IF($S3087="",0,IF(ISNUMBER(SEARCH("apport-exterieur",IFERROR(INDEX('Paramètres'!$N:$N,MATCH($D3087,'Paramètres'!$M:$M,0))&amp;"",""))),0,IF(OR(IFERROR(INDEX('Paramètres'!$I:$I,MATCH($C3087,'Paramètres'!$D:$D,0))&amp;"","")="Les deux",IFERROR(INDEX('Paramètres'!$I:$I,MATCH($C3087,'Paramètres'!$D:$D,0))&amp;"","")=IF($P3087=1,"Débit",$L3087)),-IF($P3087=1,-$K3087,$K3087),0))))</f>
        <v/>
      </c>
      <c r="U3087" s="6" t="str">
        <f>IF($K3087="","",IF(ISNUMBER(SEARCH("sortie-epargne",IFERROR(INDEX('Paramètres'!$N:$N,MATCH($D3087,'Paramètres'!$M:$M,0))&amp;"",""))),$K3087,0))</f>
        <v/>
      </c>
      <c r="V3087" s="6" t="str">
        <f>IF(AND($A3087&lt;&gt;"",$O3087=1,$L3087="Débit",N($Q3087)&gt;0,$A3087&gt;=Visualisation!$B$1,$A3087&lt;Visualisation!$D$1),MAX($V$1:V3086)+1,"")</f>
        <v/>
      </c>
    </row>
    <row r="3088" spans="1:22" x14ac:dyDescent="0.25">
      <c r="A3088" s="9"/>
      <c r="E3088" s="10"/>
      <c r="K3088" s="11" t="str">
        <f>IF($E3088="","",ROUND($E3088*IF(ISNA(MATCH($C3088,'Paramètres'!$D:$D,0)),1,IF(INDEX('Paramètres'!$J:$J,MATCH($C3088,'Paramètres'!$D:$D,0))="",1,INDEX('Paramètres'!$J:$J,MATCH($C3088,'Paramètres'!$D:$D,0)))),2))</f>
        <v/>
      </c>
      <c r="L3088" s="6" t="str">
        <f>IF($D3088="","",IF($F3088&lt;&gt;"",$F3088,IF(ISNA(MATCH($D3088,'Paramètres'!$M:$M,0)),"⚠ Type inconnu",IFERROR(INDEX('Paramètres'!$P:$P,MATCH($D3088,'Paramètres'!$M:$M,0))&amp;"",""))))</f>
        <v/>
      </c>
      <c r="M3088" s="6" t="str">
        <f>IF($D3088="","",IF(ISNA(MATCH($D3088,'Paramètres'!$M:$M,0)),"⚠ Type inconnu",IF($L3088="Crédit","",IFERROR(INDEX('Paramètres'!$O:$O,MATCH($D3088,'Paramètres'!$M:$M,0))&amp;"",""))))</f>
        <v/>
      </c>
      <c r="N3088" s="6" t="str">
        <f>IF($D3088="","",IFERROR(INDEX('Paramètres'!$Q:$Q,MATCH($D3088,'Paramètres'!$M:$M,0))&amp;"",""))</f>
        <v/>
      </c>
      <c r="O3088" s="6" t="str">
        <f>IF($A3088="","",IF(OR($J3088&lt;&gt;"x",$A3088&lt;=FinReleve),1,0))</f>
        <v/>
      </c>
      <c r="P3088" s="6" t="str">
        <f>IF($D3088="","",IF(AND($L3088="Crédit",OR(IFERROR(INDEX('Paramètres'!$O:$O,MATCH($D3088,'Paramètres'!$M:$M,0))&amp;"","")&lt;&gt;"",ISNUMBER(SEARCH("remboursement",IFERROR(INDEX('Paramètres'!$N:$N,MATCH($D3088,'Paramètres'!$M:$M,0))&amp;"",""))))),1,0))</f>
        <v/>
      </c>
      <c r="Q3088" s="6" t="str">
        <f>IF($K3088="","",IF(ISNUMBER(SEARCH("transfert-interne",IFERROR(INDEX('Paramètres'!$N:$N,MATCH($D3088,'Paramètres'!$M:$M,0))&amp;"",""))),0,IF($L3088="Débit",$K3088,IF($P3088=1,-$K3088,0))))</f>
        <v/>
      </c>
      <c r="R3088" s="6" t="str">
        <f>IF($K3088="","",IF($L3088="Crédit",$K3088,-$K3088))</f>
        <v/>
      </c>
      <c r="S3088" s="6" t="str">
        <f>IF($C3088="","",IFERROR(INDEX('Paramètres'!$H:$H,MATCH($C3088,'Paramètres'!$D:$D,0))&amp;"",""))</f>
        <v/>
      </c>
      <c r="T3088" s="6" t="str">
        <f>IF($K3088="","",IF($S3088="",0,IF(ISNUMBER(SEARCH("apport-exterieur",IFERROR(INDEX('Paramètres'!$N:$N,MATCH($D3088,'Paramètres'!$M:$M,0))&amp;"",""))),0,IF(OR(IFERROR(INDEX('Paramètres'!$I:$I,MATCH($C3088,'Paramètres'!$D:$D,0))&amp;"","")="Les deux",IFERROR(INDEX('Paramètres'!$I:$I,MATCH($C3088,'Paramètres'!$D:$D,0))&amp;"","")=IF($P3088=1,"Débit",$L3088)),-IF($P3088=1,-$K3088,$K3088),0))))</f>
        <v/>
      </c>
      <c r="U3088" s="6" t="str">
        <f>IF($K3088="","",IF(ISNUMBER(SEARCH("sortie-epargne",IFERROR(INDEX('Paramètres'!$N:$N,MATCH($D3088,'Paramètres'!$M:$M,0))&amp;"",""))),$K3088,0))</f>
        <v/>
      </c>
      <c r="V3088" s="6" t="str">
        <f>IF(AND($A3088&lt;&gt;"",$O3088=1,$L3088="Débit",N($Q3088)&gt;0,$A3088&gt;=Visualisation!$B$1,$A3088&lt;Visualisation!$D$1),MAX($V$1:V3087)+1,"")</f>
        <v/>
      </c>
    </row>
    <row r="3089" spans="1:22" x14ac:dyDescent="0.25">
      <c r="A3089" s="9"/>
      <c r="E3089" s="10"/>
      <c r="K3089" s="11" t="str">
        <f>IF($E3089="","",ROUND($E3089*IF(ISNA(MATCH($C3089,'Paramètres'!$D:$D,0)),1,IF(INDEX('Paramètres'!$J:$J,MATCH($C3089,'Paramètres'!$D:$D,0))="",1,INDEX('Paramètres'!$J:$J,MATCH($C3089,'Paramètres'!$D:$D,0)))),2))</f>
        <v/>
      </c>
      <c r="L3089" s="6" t="str">
        <f>IF($D3089="","",IF($F3089&lt;&gt;"",$F3089,IF(ISNA(MATCH($D3089,'Paramètres'!$M:$M,0)),"⚠ Type inconnu",IFERROR(INDEX('Paramètres'!$P:$P,MATCH($D3089,'Paramètres'!$M:$M,0))&amp;"",""))))</f>
        <v/>
      </c>
      <c r="M3089" s="6" t="str">
        <f>IF($D3089="","",IF(ISNA(MATCH($D3089,'Paramètres'!$M:$M,0)),"⚠ Type inconnu",IF($L3089="Crédit","",IFERROR(INDEX('Paramètres'!$O:$O,MATCH($D3089,'Paramètres'!$M:$M,0))&amp;"",""))))</f>
        <v/>
      </c>
      <c r="N3089" s="6" t="str">
        <f>IF($D3089="","",IFERROR(INDEX('Paramètres'!$Q:$Q,MATCH($D3089,'Paramètres'!$M:$M,0))&amp;"",""))</f>
        <v/>
      </c>
      <c r="O3089" s="6" t="str">
        <f>IF($A3089="","",IF(OR($J3089&lt;&gt;"x",$A3089&lt;=FinReleve),1,0))</f>
        <v/>
      </c>
      <c r="P3089" s="6" t="str">
        <f>IF($D3089="","",IF(AND($L3089="Crédit",OR(IFERROR(INDEX('Paramètres'!$O:$O,MATCH($D3089,'Paramètres'!$M:$M,0))&amp;"","")&lt;&gt;"",ISNUMBER(SEARCH("remboursement",IFERROR(INDEX('Paramètres'!$N:$N,MATCH($D3089,'Paramètres'!$M:$M,0))&amp;"",""))))),1,0))</f>
        <v/>
      </c>
      <c r="Q3089" s="6" t="str">
        <f>IF($K3089="","",IF(ISNUMBER(SEARCH("transfert-interne",IFERROR(INDEX('Paramètres'!$N:$N,MATCH($D3089,'Paramètres'!$M:$M,0))&amp;"",""))),0,IF($L3089="Débit",$K3089,IF($P3089=1,-$K3089,0))))</f>
        <v/>
      </c>
      <c r="R3089" s="6" t="str">
        <f>IF($K3089="","",IF($L3089="Crédit",$K3089,-$K3089))</f>
        <v/>
      </c>
      <c r="S3089" s="6" t="str">
        <f>IF($C3089="","",IFERROR(INDEX('Paramètres'!$H:$H,MATCH($C3089,'Paramètres'!$D:$D,0))&amp;"",""))</f>
        <v/>
      </c>
      <c r="T3089" s="6" t="str">
        <f>IF($K3089="","",IF($S3089="",0,IF(ISNUMBER(SEARCH("apport-exterieur",IFERROR(INDEX('Paramètres'!$N:$N,MATCH($D3089,'Paramètres'!$M:$M,0))&amp;"",""))),0,IF(OR(IFERROR(INDEX('Paramètres'!$I:$I,MATCH($C3089,'Paramètres'!$D:$D,0))&amp;"","")="Les deux",IFERROR(INDEX('Paramètres'!$I:$I,MATCH($C3089,'Paramètres'!$D:$D,0))&amp;"","")=IF($P3089=1,"Débit",$L3089)),-IF($P3089=1,-$K3089,$K3089),0))))</f>
        <v/>
      </c>
      <c r="U3089" s="6" t="str">
        <f>IF($K3089="","",IF(ISNUMBER(SEARCH("sortie-epargne",IFERROR(INDEX('Paramètres'!$N:$N,MATCH($D3089,'Paramètres'!$M:$M,0))&amp;"",""))),$K3089,0))</f>
        <v/>
      </c>
      <c r="V3089" s="6" t="str">
        <f>IF(AND($A3089&lt;&gt;"",$O3089=1,$L3089="Débit",N($Q3089)&gt;0,$A3089&gt;=Visualisation!$B$1,$A3089&lt;Visualisation!$D$1),MAX($V$1:V3088)+1,"")</f>
        <v/>
      </c>
    </row>
    <row r="3090" spans="1:22" x14ac:dyDescent="0.25">
      <c r="A3090" s="9"/>
      <c r="E3090" s="10"/>
      <c r="K3090" s="11" t="str">
        <f>IF($E3090="","",ROUND($E3090*IF(ISNA(MATCH($C3090,'Paramètres'!$D:$D,0)),1,IF(INDEX('Paramètres'!$J:$J,MATCH($C3090,'Paramètres'!$D:$D,0))="",1,INDEX('Paramètres'!$J:$J,MATCH($C3090,'Paramètres'!$D:$D,0)))),2))</f>
        <v/>
      </c>
      <c r="L3090" s="6" t="str">
        <f>IF($D3090="","",IF($F3090&lt;&gt;"",$F3090,IF(ISNA(MATCH($D3090,'Paramètres'!$M:$M,0)),"⚠ Type inconnu",IFERROR(INDEX('Paramètres'!$P:$P,MATCH($D3090,'Paramètres'!$M:$M,0))&amp;"",""))))</f>
        <v/>
      </c>
      <c r="M3090" s="6" t="str">
        <f>IF($D3090="","",IF(ISNA(MATCH($D3090,'Paramètres'!$M:$M,0)),"⚠ Type inconnu",IF($L3090="Crédit","",IFERROR(INDEX('Paramètres'!$O:$O,MATCH($D3090,'Paramètres'!$M:$M,0))&amp;"",""))))</f>
        <v/>
      </c>
      <c r="N3090" s="6" t="str">
        <f>IF($D3090="","",IFERROR(INDEX('Paramètres'!$Q:$Q,MATCH($D3090,'Paramètres'!$M:$M,0))&amp;"",""))</f>
        <v/>
      </c>
      <c r="O3090" s="6" t="str">
        <f>IF($A3090="","",IF(OR($J3090&lt;&gt;"x",$A3090&lt;=FinReleve),1,0))</f>
        <v/>
      </c>
      <c r="P3090" s="6" t="str">
        <f>IF($D3090="","",IF(AND($L3090="Crédit",OR(IFERROR(INDEX('Paramètres'!$O:$O,MATCH($D3090,'Paramètres'!$M:$M,0))&amp;"","")&lt;&gt;"",ISNUMBER(SEARCH("remboursement",IFERROR(INDEX('Paramètres'!$N:$N,MATCH($D3090,'Paramètres'!$M:$M,0))&amp;"",""))))),1,0))</f>
        <v/>
      </c>
      <c r="Q3090" s="6" t="str">
        <f>IF($K3090="","",IF(ISNUMBER(SEARCH("transfert-interne",IFERROR(INDEX('Paramètres'!$N:$N,MATCH($D3090,'Paramètres'!$M:$M,0))&amp;"",""))),0,IF($L3090="Débit",$K3090,IF($P3090=1,-$K3090,0))))</f>
        <v/>
      </c>
      <c r="R3090" s="6" t="str">
        <f>IF($K3090="","",IF($L3090="Crédit",$K3090,-$K3090))</f>
        <v/>
      </c>
      <c r="S3090" s="6" t="str">
        <f>IF($C3090="","",IFERROR(INDEX('Paramètres'!$H:$H,MATCH($C3090,'Paramètres'!$D:$D,0))&amp;"",""))</f>
        <v/>
      </c>
      <c r="T3090" s="6" t="str">
        <f>IF($K3090="","",IF($S3090="",0,IF(ISNUMBER(SEARCH("apport-exterieur",IFERROR(INDEX('Paramètres'!$N:$N,MATCH($D3090,'Paramètres'!$M:$M,0))&amp;"",""))),0,IF(OR(IFERROR(INDEX('Paramètres'!$I:$I,MATCH($C3090,'Paramètres'!$D:$D,0))&amp;"","")="Les deux",IFERROR(INDEX('Paramètres'!$I:$I,MATCH($C3090,'Paramètres'!$D:$D,0))&amp;"","")=IF($P3090=1,"Débit",$L3090)),-IF($P3090=1,-$K3090,$K3090),0))))</f>
        <v/>
      </c>
      <c r="U3090" s="6" t="str">
        <f>IF($K3090="","",IF(ISNUMBER(SEARCH("sortie-epargne",IFERROR(INDEX('Paramètres'!$N:$N,MATCH($D3090,'Paramètres'!$M:$M,0))&amp;"",""))),$K3090,0))</f>
        <v/>
      </c>
      <c r="V3090" s="6" t="str">
        <f>IF(AND($A3090&lt;&gt;"",$O3090=1,$L3090="Débit",N($Q3090)&gt;0,$A3090&gt;=Visualisation!$B$1,$A3090&lt;Visualisation!$D$1),MAX($V$1:V3089)+1,"")</f>
        <v/>
      </c>
    </row>
    <row r="3091" spans="1:22" x14ac:dyDescent="0.25">
      <c r="A3091" s="9"/>
      <c r="E3091" s="10"/>
      <c r="K3091" s="11" t="str">
        <f>IF($E3091="","",ROUND($E3091*IF(ISNA(MATCH($C3091,'Paramètres'!$D:$D,0)),1,IF(INDEX('Paramètres'!$J:$J,MATCH($C3091,'Paramètres'!$D:$D,0))="",1,INDEX('Paramètres'!$J:$J,MATCH($C3091,'Paramètres'!$D:$D,0)))),2))</f>
        <v/>
      </c>
      <c r="L3091" s="6" t="str">
        <f>IF($D3091="","",IF($F3091&lt;&gt;"",$F3091,IF(ISNA(MATCH($D3091,'Paramètres'!$M:$M,0)),"⚠ Type inconnu",IFERROR(INDEX('Paramètres'!$P:$P,MATCH($D3091,'Paramètres'!$M:$M,0))&amp;"",""))))</f>
        <v/>
      </c>
      <c r="M3091" s="6" t="str">
        <f>IF($D3091="","",IF(ISNA(MATCH($D3091,'Paramètres'!$M:$M,0)),"⚠ Type inconnu",IF($L3091="Crédit","",IFERROR(INDEX('Paramètres'!$O:$O,MATCH($D3091,'Paramètres'!$M:$M,0))&amp;"",""))))</f>
        <v/>
      </c>
      <c r="N3091" s="6" t="str">
        <f>IF($D3091="","",IFERROR(INDEX('Paramètres'!$Q:$Q,MATCH($D3091,'Paramètres'!$M:$M,0))&amp;"",""))</f>
        <v/>
      </c>
      <c r="O3091" s="6" t="str">
        <f>IF($A3091="","",IF(OR($J3091&lt;&gt;"x",$A3091&lt;=FinReleve),1,0))</f>
        <v/>
      </c>
      <c r="P3091" s="6" t="str">
        <f>IF($D3091="","",IF(AND($L3091="Crédit",OR(IFERROR(INDEX('Paramètres'!$O:$O,MATCH($D3091,'Paramètres'!$M:$M,0))&amp;"","")&lt;&gt;"",ISNUMBER(SEARCH("remboursement",IFERROR(INDEX('Paramètres'!$N:$N,MATCH($D3091,'Paramètres'!$M:$M,0))&amp;"",""))))),1,0))</f>
        <v/>
      </c>
      <c r="Q3091" s="6" t="str">
        <f>IF($K3091="","",IF(ISNUMBER(SEARCH("transfert-interne",IFERROR(INDEX('Paramètres'!$N:$N,MATCH($D3091,'Paramètres'!$M:$M,0))&amp;"",""))),0,IF($L3091="Débit",$K3091,IF($P3091=1,-$K3091,0))))</f>
        <v/>
      </c>
      <c r="R3091" s="6" t="str">
        <f>IF($K3091="","",IF($L3091="Crédit",$K3091,-$K3091))</f>
        <v/>
      </c>
      <c r="S3091" s="6" t="str">
        <f>IF($C3091="","",IFERROR(INDEX('Paramètres'!$H:$H,MATCH($C3091,'Paramètres'!$D:$D,0))&amp;"",""))</f>
        <v/>
      </c>
      <c r="T3091" s="6" t="str">
        <f>IF($K3091="","",IF($S3091="",0,IF(ISNUMBER(SEARCH("apport-exterieur",IFERROR(INDEX('Paramètres'!$N:$N,MATCH($D3091,'Paramètres'!$M:$M,0))&amp;"",""))),0,IF(OR(IFERROR(INDEX('Paramètres'!$I:$I,MATCH($C3091,'Paramètres'!$D:$D,0))&amp;"","")="Les deux",IFERROR(INDEX('Paramètres'!$I:$I,MATCH($C3091,'Paramètres'!$D:$D,0))&amp;"","")=IF($P3091=1,"Débit",$L3091)),-IF($P3091=1,-$K3091,$K3091),0))))</f>
        <v/>
      </c>
      <c r="U3091" s="6" t="str">
        <f>IF($K3091="","",IF(ISNUMBER(SEARCH("sortie-epargne",IFERROR(INDEX('Paramètres'!$N:$N,MATCH($D3091,'Paramètres'!$M:$M,0))&amp;"",""))),$K3091,0))</f>
        <v/>
      </c>
      <c r="V3091" s="6" t="str">
        <f>IF(AND($A3091&lt;&gt;"",$O3091=1,$L3091="Débit",N($Q3091)&gt;0,$A3091&gt;=Visualisation!$B$1,$A3091&lt;Visualisation!$D$1),MAX($V$1:V3090)+1,"")</f>
        <v/>
      </c>
    </row>
    <row r="3092" spans="1:22" x14ac:dyDescent="0.25">
      <c r="A3092" s="9"/>
      <c r="E3092" s="10"/>
      <c r="K3092" s="11" t="str">
        <f>IF($E3092="","",ROUND($E3092*IF(ISNA(MATCH($C3092,'Paramètres'!$D:$D,0)),1,IF(INDEX('Paramètres'!$J:$J,MATCH($C3092,'Paramètres'!$D:$D,0))="",1,INDEX('Paramètres'!$J:$J,MATCH($C3092,'Paramètres'!$D:$D,0)))),2))</f>
        <v/>
      </c>
      <c r="L3092" s="6" t="str">
        <f>IF($D3092="","",IF($F3092&lt;&gt;"",$F3092,IF(ISNA(MATCH($D3092,'Paramètres'!$M:$M,0)),"⚠ Type inconnu",IFERROR(INDEX('Paramètres'!$P:$P,MATCH($D3092,'Paramètres'!$M:$M,0))&amp;"",""))))</f>
        <v/>
      </c>
      <c r="M3092" s="6" t="str">
        <f>IF($D3092="","",IF(ISNA(MATCH($D3092,'Paramètres'!$M:$M,0)),"⚠ Type inconnu",IF($L3092="Crédit","",IFERROR(INDEX('Paramètres'!$O:$O,MATCH($D3092,'Paramètres'!$M:$M,0))&amp;"",""))))</f>
        <v/>
      </c>
      <c r="N3092" s="6" t="str">
        <f>IF($D3092="","",IFERROR(INDEX('Paramètres'!$Q:$Q,MATCH($D3092,'Paramètres'!$M:$M,0))&amp;"",""))</f>
        <v/>
      </c>
      <c r="O3092" s="6" t="str">
        <f>IF($A3092="","",IF(OR($J3092&lt;&gt;"x",$A3092&lt;=FinReleve),1,0))</f>
        <v/>
      </c>
      <c r="P3092" s="6" t="str">
        <f>IF($D3092="","",IF(AND($L3092="Crédit",OR(IFERROR(INDEX('Paramètres'!$O:$O,MATCH($D3092,'Paramètres'!$M:$M,0))&amp;"","")&lt;&gt;"",ISNUMBER(SEARCH("remboursement",IFERROR(INDEX('Paramètres'!$N:$N,MATCH($D3092,'Paramètres'!$M:$M,0))&amp;"",""))))),1,0))</f>
        <v/>
      </c>
      <c r="Q3092" s="6" t="str">
        <f>IF($K3092="","",IF(ISNUMBER(SEARCH("transfert-interne",IFERROR(INDEX('Paramètres'!$N:$N,MATCH($D3092,'Paramètres'!$M:$M,0))&amp;"",""))),0,IF($L3092="Débit",$K3092,IF($P3092=1,-$K3092,0))))</f>
        <v/>
      </c>
      <c r="R3092" s="6" t="str">
        <f>IF($K3092="","",IF($L3092="Crédit",$K3092,-$K3092))</f>
        <v/>
      </c>
      <c r="S3092" s="6" t="str">
        <f>IF($C3092="","",IFERROR(INDEX('Paramètres'!$H:$H,MATCH($C3092,'Paramètres'!$D:$D,0))&amp;"",""))</f>
        <v/>
      </c>
      <c r="T3092" s="6" t="str">
        <f>IF($K3092="","",IF($S3092="",0,IF(ISNUMBER(SEARCH("apport-exterieur",IFERROR(INDEX('Paramètres'!$N:$N,MATCH($D3092,'Paramètres'!$M:$M,0))&amp;"",""))),0,IF(OR(IFERROR(INDEX('Paramètres'!$I:$I,MATCH($C3092,'Paramètres'!$D:$D,0))&amp;"","")="Les deux",IFERROR(INDEX('Paramètres'!$I:$I,MATCH($C3092,'Paramètres'!$D:$D,0))&amp;"","")=IF($P3092=1,"Débit",$L3092)),-IF($P3092=1,-$K3092,$K3092),0))))</f>
        <v/>
      </c>
      <c r="U3092" s="6" t="str">
        <f>IF($K3092="","",IF(ISNUMBER(SEARCH("sortie-epargne",IFERROR(INDEX('Paramètres'!$N:$N,MATCH($D3092,'Paramètres'!$M:$M,0))&amp;"",""))),$K3092,0))</f>
        <v/>
      </c>
      <c r="V3092" s="6" t="str">
        <f>IF(AND($A3092&lt;&gt;"",$O3092=1,$L3092="Débit",N($Q3092)&gt;0,$A3092&gt;=Visualisation!$B$1,$A3092&lt;Visualisation!$D$1),MAX($V$1:V3091)+1,"")</f>
        <v/>
      </c>
    </row>
    <row r="3093" spans="1:22" x14ac:dyDescent="0.25">
      <c r="A3093" s="9"/>
      <c r="E3093" s="10"/>
      <c r="K3093" s="11" t="str">
        <f>IF($E3093="","",ROUND($E3093*IF(ISNA(MATCH($C3093,'Paramètres'!$D:$D,0)),1,IF(INDEX('Paramètres'!$J:$J,MATCH($C3093,'Paramètres'!$D:$D,0))="",1,INDEX('Paramètres'!$J:$J,MATCH($C3093,'Paramètres'!$D:$D,0)))),2))</f>
        <v/>
      </c>
      <c r="L3093" s="6" t="str">
        <f>IF($D3093="","",IF($F3093&lt;&gt;"",$F3093,IF(ISNA(MATCH($D3093,'Paramètres'!$M:$M,0)),"⚠ Type inconnu",IFERROR(INDEX('Paramètres'!$P:$P,MATCH($D3093,'Paramètres'!$M:$M,0))&amp;"",""))))</f>
        <v/>
      </c>
      <c r="M3093" s="6" t="str">
        <f>IF($D3093="","",IF(ISNA(MATCH($D3093,'Paramètres'!$M:$M,0)),"⚠ Type inconnu",IF($L3093="Crédit","",IFERROR(INDEX('Paramètres'!$O:$O,MATCH($D3093,'Paramètres'!$M:$M,0))&amp;"",""))))</f>
        <v/>
      </c>
      <c r="N3093" s="6" t="str">
        <f>IF($D3093="","",IFERROR(INDEX('Paramètres'!$Q:$Q,MATCH($D3093,'Paramètres'!$M:$M,0))&amp;"",""))</f>
        <v/>
      </c>
      <c r="O3093" s="6" t="str">
        <f>IF($A3093="","",IF(OR($J3093&lt;&gt;"x",$A3093&lt;=FinReleve),1,0))</f>
        <v/>
      </c>
      <c r="P3093" s="6" t="str">
        <f>IF($D3093="","",IF(AND($L3093="Crédit",OR(IFERROR(INDEX('Paramètres'!$O:$O,MATCH($D3093,'Paramètres'!$M:$M,0))&amp;"","")&lt;&gt;"",ISNUMBER(SEARCH("remboursement",IFERROR(INDEX('Paramètres'!$N:$N,MATCH($D3093,'Paramètres'!$M:$M,0))&amp;"",""))))),1,0))</f>
        <v/>
      </c>
      <c r="Q3093" s="6" t="str">
        <f>IF($K3093="","",IF(ISNUMBER(SEARCH("transfert-interne",IFERROR(INDEX('Paramètres'!$N:$N,MATCH($D3093,'Paramètres'!$M:$M,0))&amp;"",""))),0,IF($L3093="Débit",$K3093,IF($P3093=1,-$K3093,0))))</f>
        <v/>
      </c>
      <c r="R3093" s="6" t="str">
        <f>IF($K3093="","",IF($L3093="Crédit",$K3093,-$K3093))</f>
        <v/>
      </c>
      <c r="S3093" s="6" t="str">
        <f>IF($C3093="","",IFERROR(INDEX('Paramètres'!$H:$H,MATCH($C3093,'Paramètres'!$D:$D,0))&amp;"",""))</f>
        <v/>
      </c>
      <c r="T3093" s="6" t="str">
        <f>IF($K3093="","",IF($S3093="",0,IF(ISNUMBER(SEARCH("apport-exterieur",IFERROR(INDEX('Paramètres'!$N:$N,MATCH($D3093,'Paramètres'!$M:$M,0))&amp;"",""))),0,IF(OR(IFERROR(INDEX('Paramètres'!$I:$I,MATCH($C3093,'Paramètres'!$D:$D,0))&amp;"","")="Les deux",IFERROR(INDEX('Paramètres'!$I:$I,MATCH($C3093,'Paramètres'!$D:$D,0))&amp;"","")=IF($P3093=1,"Débit",$L3093)),-IF($P3093=1,-$K3093,$K3093),0))))</f>
        <v/>
      </c>
      <c r="U3093" s="6" t="str">
        <f>IF($K3093="","",IF(ISNUMBER(SEARCH("sortie-epargne",IFERROR(INDEX('Paramètres'!$N:$N,MATCH($D3093,'Paramètres'!$M:$M,0))&amp;"",""))),$K3093,0))</f>
        <v/>
      </c>
      <c r="V3093" s="6" t="str">
        <f>IF(AND($A3093&lt;&gt;"",$O3093=1,$L3093="Débit",N($Q3093)&gt;0,$A3093&gt;=Visualisation!$B$1,$A3093&lt;Visualisation!$D$1),MAX($V$1:V3092)+1,"")</f>
        <v/>
      </c>
    </row>
    <row r="3094" spans="1:22" x14ac:dyDescent="0.25">
      <c r="A3094" s="9"/>
      <c r="E3094" s="10"/>
      <c r="K3094" s="11" t="str">
        <f>IF($E3094="","",ROUND($E3094*IF(ISNA(MATCH($C3094,'Paramètres'!$D:$D,0)),1,IF(INDEX('Paramètres'!$J:$J,MATCH($C3094,'Paramètres'!$D:$D,0))="",1,INDEX('Paramètres'!$J:$J,MATCH($C3094,'Paramètres'!$D:$D,0)))),2))</f>
        <v/>
      </c>
      <c r="L3094" s="6" t="str">
        <f>IF($D3094="","",IF($F3094&lt;&gt;"",$F3094,IF(ISNA(MATCH($D3094,'Paramètres'!$M:$M,0)),"⚠ Type inconnu",IFERROR(INDEX('Paramètres'!$P:$P,MATCH($D3094,'Paramètres'!$M:$M,0))&amp;"",""))))</f>
        <v/>
      </c>
      <c r="M3094" s="6" t="str">
        <f>IF($D3094="","",IF(ISNA(MATCH($D3094,'Paramètres'!$M:$M,0)),"⚠ Type inconnu",IF($L3094="Crédit","",IFERROR(INDEX('Paramètres'!$O:$O,MATCH($D3094,'Paramètres'!$M:$M,0))&amp;"",""))))</f>
        <v/>
      </c>
      <c r="N3094" s="6" t="str">
        <f>IF($D3094="","",IFERROR(INDEX('Paramètres'!$Q:$Q,MATCH($D3094,'Paramètres'!$M:$M,0))&amp;"",""))</f>
        <v/>
      </c>
      <c r="O3094" s="6" t="str">
        <f>IF($A3094="","",IF(OR($J3094&lt;&gt;"x",$A3094&lt;=FinReleve),1,0))</f>
        <v/>
      </c>
      <c r="P3094" s="6" t="str">
        <f>IF($D3094="","",IF(AND($L3094="Crédit",OR(IFERROR(INDEX('Paramètres'!$O:$O,MATCH($D3094,'Paramètres'!$M:$M,0))&amp;"","")&lt;&gt;"",ISNUMBER(SEARCH("remboursement",IFERROR(INDEX('Paramètres'!$N:$N,MATCH($D3094,'Paramètres'!$M:$M,0))&amp;"",""))))),1,0))</f>
        <v/>
      </c>
      <c r="Q3094" s="6" t="str">
        <f>IF($K3094="","",IF(ISNUMBER(SEARCH("transfert-interne",IFERROR(INDEX('Paramètres'!$N:$N,MATCH($D3094,'Paramètres'!$M:$M,0))&amp;"",""))),0,IF($L3094="Débit",$K3094,IF($P3094=1,-$K3094,0))))</f>
        <v/>
      </c>
      <c r="R3094" s="6" t="str">
        <f>IF($K3094="","",IF($L3094="Crédit",$K3094,-$K3094))</f>
        <v/>
      </c>
      <c r="S3094" s="6" t="str">
        <f>IF($C3094="","",IFERROR(INDEX('Paramètres'!$H:$H,MATCH($C3094,'Paramètres'!$D:$D,0))&amp;"",""))</f>
        <v/>
      </c>
      <c r="T3094" s="6" t="str">
        <f>IF($K3094="","",IF($S3094="",0,IF(ISNUMBER(SEARCH("apport-exterieur",IFERROR(INDEX('Paramètres'!$N:$N,MATCH($D3094,'Paramètres'!$M:$M,0))&amp;"",""))),0,IF(OR(IFERROR(INDEX('Paramètres'!$I:$I,MATCH($C3094,'Paramètres'!$D:$D,0))&amp;"","")="Les deux",IFERROR(INDEX('Paramètres'!$I:$I,MATCH($C3094,'Paramètres'!$D:$D,0))&amp;"","")=IF($P3094=1,"Débit",$L3094)),-IF($P3094=1,-$K3094,$K3094),0))))</f>
        <v/>
      </c>
      <c r="U3094" s="6" t="str">
        <f>IF($K3094="","",IF(ISNUMBER(SEARCH("sortie-epargne",IFERROR(INDEX('Paramètres'!$N:$N,MATCH($D3094,'Paramètres'!$M:$M,0))&amp;"",""))),$K3094,0))</f>
        <v/>
      </c>
      <c r="V3094" s="6" t="str">
        <f>IF(AND($A3094&lt;&gt;"",$O3094=1,$L3094="Débit",N($Q3094)&gt;0,$A3094&gt;=Visualisation!$B$1,$A3094&lt;Visualisation!$D$1),MAX($V$1:V3093)+1,"")</f>
        <v/>
      </c>
    </row>
    <row r="3095" spans="1:22" x14ac:dyDescent="0.25">
      <c r="A3095" s="9"/>
      <c r="E3095" s="10"/>
      <c r="K3095" s="11" t="str">
        <f>IF($E3095="","",ROUND($E3095*IF(ISNA(MATCH($C3095,'Paramètres'!$D:$D,0)),1,IF(INDEX('Paramètres'!$J:$J,MATCH($C3095,'Paramètres'!$D:$D,0))="",1,INDEX('Paramètres'!$J:$J,MATCH($C3095,'Paramètres'!$D:$D,0)))),2))</f>
        <v/>
      </c>
      <c r="L3095" s="6" t="str">
        <f>IF($D3095="","",IF($F3095&lt;&gt;"",$F3095,IF(ISNA(MATCH($D3095,'Paramètres'!$M:$M,0)),"⚠ Type inconnu",IFERROR(INDEX('Paramètres'!$P:$P,MATCH($D3095,'Paramètres'!$M:$M,0))&amp;"",""))))</f>
        <v/>
      </c>
      <c r="M3095" s="6" t="str">
        <f>IF($D3095="","",IF(ISNA(MATCH($D3095,'Paramètres'!$M:$M,0)),"⚠ Type inconnu",IF($L3095="Crédit","",IFERROR(INDEX('Paramètres'!$O:$O,MATCH($D3095,'Paramètres'!$M:$M,0))&amp;"",""))))</f>
        <v/>
      </c>
      <c r="N3095" s="6" t="str">
        <f>IF($D3095="","",IFERROR(INDEX('Paramètres'!$Q:$Q,MATCH($D3095,'Paramètres'!$M:$M,0))&amp;"",""))</f>
        <v/>
      </c>
      <c r="O3095" s="6" t="str">
        <f>IF($A3095="","",IF(OR($J3095&lt;&gt;"x",$A3095&lt;=FinReleve),1,0))</f>
        <v/>
      </c>
      <c r="P3095" s="6" t="str">
        <f>IF($D3095="","",IF(AND($L3095="Crédit",OR(IFERROR(INDEX('Paramètres'!$O:$O,MATCH($D3095,'Paramètres'!$M:$M,0))&amp;"","")&lt;&gt;"",ISNUMBER(SEARCH("remboursement",IFERROR(INDEX('Paramètres'!$N:$N,MATCH($D3095,'Paramètres'!$M:$M,0))&amp;"",""))))),1,0))</f>
        <v/>
      </c>
      <c r="Q3095" s="6" t="str">
        <f>IF($K3095="","",IF(ISNUMBER(SEARCH("transfert-interne",IFERROR(INDEX('Paramètres'!$N:$N,MATCH($D3095,'Paramètres'!$M:$M,0))&amp;"",""))),0,IF($L3095="Débit",$K3095,IF($P3095=1,-$K3095,0))))</f>
        <v/>
      </c>
      <c r="R3095" s="6" t="str">
        <f>IF($K3095="","",IF($L3095="Crédit",$K3095,-$K3095))</f>
        <v/>
      </c>
      <c r="S3095" s="6" t="str">
        <f>IF($C3095="","",IFERROR(INDEX('Paramètres'!$H:$H,MATCH($C3095,'Paramètres'!$D:$D,0))&amp;"",""))</f>
        <v/>
      </c>
      <c r="T3095" s="6" t="str">
        <f>IF($K3095="","",IF($S3095="",0,IF(ISNUMBER(SEARCH("apport-exterieur",IFERROR(INDEX('Paramètres'!$N:$N,MATCH($D3095,'Paramètres'!$M:$M,0))&amp;"",""))),0,IF(OR(IFERROR(INDEX('Paramètres'!$I:$I,MATCH($C3095,'Paramètres'!$D:$D,0))&amp;"","")="Les deux",IFERROR(INDEX('Paramètres'!$I:$I,MATCH($C3095,'Paramètres'!$D:$D,0))&amp;"","")=IF($P3095=1,"Débit",$L3095)),-IF($P3095=1,-$K3095,$K3095),0))))</f>
        <v/>
      </c>
      <c r="U3095" s="6" t="str">
        <f>IF($K3095="","",IF(ISNUMBER(SEARCH("sortie-epargne",IFERROR(INDEX('Paramètres'!$N:$N,MATCH($D3095,'Paramètres'!$M:$M,0))&amp;"",""))),$K3095,0))</f>
        <v/>
      </c>
      <c r="V3095" s="6" t="str">
        <f>IF(AND($A3095&lt;&gt;"",$O3095=1,$L3095="Débit",N($Q3095)&gt;0,$A3095&gt;=Visualisation!$B$1,$A3095&lt;Visualisation!$D$1),MAX($V$1:V3094)+1,"")</f>
        <v/>
      </c>
    </row>
    <row r="3096" spans="1:22" x14ac:dyDescent="0.25">
      <c r="A3096" s="9"/>
      <c r="E3096" s="10"/>
      <c r="K3096" s="11" t="str">
        <f>IF($E3096="","",ROUND($E3096*IF(ISNA(MATCH($C3096,'Paramètres'!$D:$D,0)),1,IF(INDEX('Paramètres'!$J:$J,MATCH($C3096,'Paramètres'!$D:$D,0))="",1,INDEX('Paramètres'!$J:$J,MATCH($C3096,'Paramètres'!$D:$D,0)))),2))</f>
        <v/>
      </c>
      <c r="L3096" s="6" t="str">
        <f>IF($D3096="","",IF($F3096&lt;&gt;"",$F3096,IF(ISNA(MATCH($D3096,'Paramètres'!$M:$M,0)),"⚠ Type inconnu",IFERROR(INDEX('Paramètres'!$P:$P,MATCH($D3096,'Paramètres'!$M:$M,0))&amp;"",""))))</f>
        <v/>
      </c>
      <c r="M3096" s="6" t="str">
        <f>IF($D3096="","",IF(ISNA(MATCH($D3096,'Paramètres'!$M:$M,0)),"⚠ Type inconnu",IF($L3096="Crédit","",IFERROR(INDEX('Paramètres'!$O:$O,MATCH($D3096,'Paramètres'!$M:$M,0))&amp;"",""))))</f>
        <v/>
      </c>
      <c r="N3096" s="6" t="str">
        <f>IF($D3096="","",IFERROR(INDEX('Paramètres'!$Q:$Q,MATCH($D3096,'Paramètres'!$M:$M,0))&amp;"",""))</f>
        <v/>
      </c>
      <c r="O3096" s="6" t="str">
        <f>IF($A3096="","",IF(OR($J3096&lt;&gt;"x",$A3096&lt;=FinReleve),1,0))</f>
        <v/>
      </c>
      <c r="P3096" s="6" t="str">
        <f>IF($D3096="","",IF(AND($L3096="Crédit",OR(IFERROR(INDEX('Paramètres'!$O:$O,MATCH($D3096,'Paramètres'!$M:$M,0))&amp;"","")&lt;&gt;"",ISNUMBER(SEARCH("remboursement",IFERROR(INDEX('Paramètres'!$N:$N,MATCH($D3096,'Paramètres'!$M:$M,0))&amp;"",""))))),1,0))</f>
        <v/>
      </c>
      <c r="Q3096" s="6" t="str">
        <f>IF($K3096="","",IF(ISNUMBER(SEARCH("transfert-interne",IFERROR(INDEX('Paramètres'!$N:$N,MATCH($D3096,'Paramètres'!$M:$M,0))&amp;"",""))),0,IF($L3096="Débit",$K3096,IF($P3096=1,-$K3096,0))))</f>
        <v/>
      </c>
      <c r="R3096" s="6" t="str">
        <f>IF($K3096="","",IF($L3096="Crédit",$K3096,-$K3096))</f>
        <v/>
      </c>
      <c r="S3096" s="6" t="str">
        <f>IF($C3096="","",IFERROR(INDEX('Paramètres'!$H:$H,MATCH($C3096,'Paramètres'!$D:$D,0))&amp;"",""))</f>
        <v/>
      </c>
      <c r="T3096" s="6" t="str">
        <f>IF($K3096="","",IF($S3096="",0,IF(ISNUMBER(SEARCH("apport-exterieur",IFERROR(INDEX('Paramètres'!$N:$N,MATCH($D3096,'Paramètres'!$M:$M,0))&amp;"",""))),0,IF(OR(IFERROR(INDEX('Paramètres'!$I:$I,MATCH($C3096,'Paramètres'!$D:$D,0))&amp;"","")="Les deux",IFERROR(INDEX('Paramètres'!$I:$I,MATCH($C3096,'Paramètres'!$D:$D,0))&amp;"","")=IF($P3096=1,"Débit",$L3096)),-IF($P3096=1,-$K3096,$K3096),0))))</f>
        <v/>
      </c>
      <c r="U3096" s="6" t="str">
        <f>IF($K3096="","",IF(ISNUMBER(SEARCH("sortie-epargne",IFERROR(INDEX('Paramètres'!$N:$N,MATCH($D3096,'Paramètres'!$M:$M,0))&amp;"",""))),$K3096,0))</f>
        <v/>
      </c>
      <c r="V3096" s="6" t="str">
        <f>IF(AND($A3096&lt;&gt;"",$O3096=1,$L3096="Débit",N($Q3096)&gt;0,$A3096&gt;=Visualisation!$B$1,$A3096&lt;Visualisation!$D$1),MAX($V$1:V3095)+1,"")</f>
        <v/>
      </c>
    </row>
    <row r="3097" spans="1:22" x14ac:dyDescent="0.25">
      <c r="A3097" s="9"/>
      <c r="E3097" s="10"/>
      <c r="K3097" s="11" t="str">
        <f>IF($E3097="","",ROUND($E3097*IF(ISNA(MATCH($C3097,'Paramètres'!$D:$D,0)),1,IF(INDEX('Paramètres'!$J:$J,MATCH($C3097,'Paramètres'!$D:$D,0))="",1,INDEX('Paramètres'!$J:$J,MATCH($C3097,'Paramètres'!$D:$D,0)))),2))</f>
        <v/>
      </c>
      <c r="L3097" s="6" t="str">
        <f>IF($D3097="","",IF($F3097&lt;&gt;"",$F3097,IF(ISNA(MATCH($D3097,'Paramètres'!$M:$M,0)),"⚠ Type inconnu",IFERROR(INDEX('Paramètres'!$P:$P,MATCH($D3097,'Paramètres'!$M:$M,0))&amp;"",""))))</f>
        <v/>
      </c>
      <c r="M3097" s="6" t="str">
        <f>IF($D3097="","",IF(ISNA(MATCH($D3097,'Paramètres'!$M:$M,0)),"⚠ Type inconnu",IF($L3097="Crédit","",IFERROR(INDEX('Paramètres'!$O:$O,MATCH($D3097,'Paramètres'!$M:$M,0))&amp;"",""))))</f>
        <v/>
      </c>
      <c r="N3097" s="6" t="str">
        <f>IF($D3097="","",IFERROR(INDEX('Paramètres'!$Q:$Q,MATCH($D3097,'Paramètres'!$M:$M,0))&amp;"",""))</f>
        <v/>
      </c>
      <c r="O3097" s="6" t="str">
        <f>IF($A3097="","",IF(OR($J3097&lt;&gt;"x",$A3097&lt;=FinReleve),1,0))</f>
        <v/>
      </c>
      <c r="P3097" s="6" t="str">
        <f>IF($D3097="","",IF(AND($L3097="Crédit",OR(IFERROR(INDEX('Paramètres'!$O:$O,MATCH($D3097,'Paramètres'!$M:$M,0))&amp;"","")&lt;&gt;"",ISNUMBER(SEARCH("remboursement",IFERROR(INDEX('Paramètres'!$N:$N,MATCH($D3097,'Paramètres'!$M:$M,0))&amp;"",""))))),1,0))</f>
        <v/>
      </c>
      <c r="Q3097" s="6" t="str">
        <f>IF($K3097="","",IF(ISNUMBER(SEARCH("transfert-interne",IFERROR(INDEX('Paramètres'!$N:$N,MATCH($D3097,'Paramètres'!$M:$M,0))&amp;"",""))),0,IF($L3097="Débit",$K3097,IF($P3097=1,-$K3097,0))))</f>
        <v/>
      </c>
      <c r="R3097" s="6" t="str">
        <f>IF($K3097="","",IF($L3097="Crédit",$K3097,-$K3097))</f>
        <v/>
      </c>
      <c r="S3097" s="6" t="str">
        <f>IF($C3097="","",IFERROR(INDEX('Paramètres'!$H:$H,MATCH($C3097,'Paramètres'!$D:$D,0))&amp;"",""))</f>
        <v/>
      </c>
      <c r="T3097" s="6" t="str">
        <f>IF($K3097="","",IF($S3097="",0,IF(ISNUMBER(SEARCH("apport-exterieur",IFERROR(INDEX('Paramètres'!$N:$N,MATCH($D3097,'Paramètres'!$M:$M,0))&amp;"",""))),0,IF(OR(IFERROR(INDEX('Paramètres'!$I:$I,MATCH($C3097,'Paramètres'!$D:$D,0))&amp;"","")="Les deux",IFERROR(INDEX('Paramètres'!$I:$I,MATCH($C3097,'Paramètres'!$D:$D,0))&amp;"","")=IF($P3097=1,"Débit",$L3097)),-IF($P3097=1,-$K3097,$K3097),0))))</f>
        <v/>
      </c>
      <c r="U3097" s="6" t="str">
        <f>IF($K3097="","",IF(ISNUMBER(SEARCH("sortie-epargne",IFERROR(INDEX('Paramètres'!$N:$N,MATCH($D3097,'Paramètres'!$M:$M,0))&amp;"",""))),$K3097,0))</f>
        <v/>
      </c>
      <c r="V3097" s="6" t="str">
        <f>IF(AND($A3097&lt;&gt;"",$O3097=1,$L3097="Débit",N($Q3097)&gt;0,$A3097&gt;=Visualisation!$B$1,$A3097&lt;Visualisation!$D$1),MAX($V$1:V3096)+1,"")</f>
        <v/>
      </c>
    </row>
    <row r="3098" spans="1:22" x14ac:dyDescent="0.25">
      <c r="A3098" s="9"/>
      <c r="E3098" s="10"/>
      <c r="K3098" s="11" t="str">
        <f>IF($E3098="","",ROUND($E3098*IF(ISNA(MATCH($C3098,'Paramètres'!$D:$D,0)),1,IF(INDEX('Paramètres'!$J:$J,MATCH($C3098,'Paramètres'!$D:$D,0))="",1,INDEX('Paramètres'!$J:$J,MATCH($C3098,'Paramètres'!$D:$D,0)))),2))</f>
        <v/>
      </c>
      <c r="L3098" s="6" t="str">
        <f>IF($D3098="","",IF($F3098&lt;&gt;"",$F3098,IF(ISNA(MATCH($D3098,'Paramètres'!$M:$M,0)),"⚠ Type inconnu",IFERROR(INDEX('Paramètres'!$P:$P,MATCH($D3098,'Paramètres'!$M:$M,0))&amp;"",""))))</f>
        <v/>
      </c>
      <c r="M3098" s="6" t="str">
        <f>IF($D3098="","",IF(ISNA(MATCH($D3098,'Paramètres'!$M:$M,0)),"⚠ Type inconnu",IF($L3098="Crédit","",IFERROR(INDEX('Paramètres'!$O:$O,MATCH($D3098,'Paramètres'!$M:$M,0))&amp;"",""))))</f>
        <v/>
      </c>
      <c r="N3098" s="6" t="str">
        <f>IF($D3098="","",IFERROR(INDEX('Paramètres'!$Q:$Q,MATCH($D3098,'Paramètres'!$M:$M,0))&amp;"",""))</f>
        <v/>
      </c>
      <c r="O3098" s="6" t="str">
        <f>IF($A3098="","",IF(OR($J3098&lt;&gt;"x",$A3098&lt;=FinReleve),1,0))</f>
        <v/>
      </c>
      <c r="P3098" s="6" t="str">
        <f>IF($D3098="","",IF(AND($L3098="Crédit",OR(IFERROR(INDEX('Paramètres'!$O:$O,MATCH($D3098,'Paramètres'!$M:$M,0))&amp;"","")&lt;&gt;"",ISNUMBER(SEARCH("remboursement",IFERROR(INDEX('Paramètres'!$N:$N,MATCH($D3098,'Paramètres'!$M:$M,0))&amp;"",""))))),1,0))</f>
        <v/>
      </c>
      <c r="Q3098" s="6" t="str">
        <f>IF($K3098="","",IF(ISNUMBER(SEARCH("transfert-interne",IFERROR(INDEX('Paramètres'!$N:$N,MATCH($D3098,'Paramètres'!$M:$M,0))&amp;"",""))),0,IF($L3098="Débit",$K3098,IF($P3098=1,-$K3098,0))))</f>
        <v/>
      </c>
      <c r="R3098" s="6" t="str">
        <f>IF($K3098="","",IF($L3098="Crédit",$K3098,-$K3098))</f>
        <v/>
      </c>
      <c r="S3098" s="6" t="str">
        <f>IF($C3098="","",IFERROR(INDEX('Paramètres'!$H:$H,MATCH($C3098,'Paramètres'!$D:$D,0))&amp;"",""))</f>
        <v/>
      </c>
      <c r="T3098" s="6" t="str">
        <f>IF($K3098="","",IF($S3098="",0,IF(ISNUMBER(SEARCH("apport-exterieur",IFERROR(INDEX('Paramètres'!$N:$N,MATCH($D3098,'Paramètres'!$M:$M,0))&amp;"",""))),0,IF(OR(IFERROR(INDEX('Paramètres'!$I:$I,MATCH($C3098,'Paramètres'!$D:$D,0))&amp;"","")="Les deux",IFERROR(INDEX('Paramètres'!$I:$I,MATCH($C3098,'Paramètres'!$D:$D,0))&amp;"","")=IF($P3098=1,"Débit",$L3098)),-IF($P3098=1,-$K3098,$K3098),0))))</f>
        <v/>
      </c>
      <c r="U3098" s="6" t="str">
        <f>IF($K3098="","",IF(ISNUMBER(SEARCH("sortie-epargne",IFERROR(INDEX('Paramètres'!$N:$N,MATCH($D3098,'Paramètres'!$M:$M,0))&amp;"",""))),$K3098,0))</f>
        <v/>
      </c>
      <c r="V3098" s="6" t="str">
        <f>IF(AND($A3098&lt;&gt;"",$O3098=1,$L3098="Débit",N($Q3098)&gt;0,$A3098&gt;=Visualisation!$B$1,$A3098&lt;Visualisation!$D$1),MAX($V$1:V3097)+1,"")</f>
        <v/>
      </c>
    </row>
    <row r="3099" spans="1:22" x14ac:dyDescent="0.25">
      <c r="A3099" s="9"/>
      <c r="E3099" s="10"/>
      <c r="K3099" s="11" t="str">
        <f>IF($E3099="","",ROUND($E3099*IF(ISNA(MATCH($C3099,'Paramètres'!$D:$D,0)),1,IF(INDEX('Paramètres'!$J:$J,MATCH($C3099,'Paramètres'!$D:$D,0))="",1,INDEX('Paramètres'!$J:$J,MATCH($C3099,'Paramètres'!$D:$D,0)))),2))</f>
        <v/>
      </c>
      <c r="L3099" s="6" t="str">
        <f>IF($D3099="","",IF($F3099&lt;&gt;"",$F3099,IF(ISNA(MATCH($D3099,'Paramètres'!$M:$M,0)),"⚠ Type inconnu",IFERROR(INDEX('Paramètres'!$P:$P,MATCH($D3099,'Paramètres'!$M:$M,0))&amp;"",""))))</f>
        <v/>
      </c>
      <c r="M3099" s="6" t="str">
        <f>IF($D3099="","",IF(ISNA(MATCH($D3099,'Paramètres'!$M:$M,0)),"⚠ Type inconnu",IF($L3099="Crédit","",IFERROR(INDEX('Paramètres'!$O:$O,MATCH($D3099,'Paramètres'!$M:$M,0))&amp;"",""))))</f>
        <v/>
      </c>
      <c r="N3099" s="6" t="str">
        <f>IF($D3099="","",IFERROR(INDEX('Paramètres'!$Q:$Q,MATCH($D3099,'Paramètres'!$M:$M,0))&amp;"",""))</f>
        <v/>
      </c>
      <c r="O3099" s="6" t="str">
        <f>IF($A3099="","",IF(OR($J3099&lt;&gt;"x",$A3099&lt;=FinReleve),1,0))</f>
        <v/>
      </c>
      <c r="P3099" s="6" t="str">
        <f>IF($D3099="","",IF(AND($L3099="Crédit",OR(IFERROR(INDEX('Paramètres'!$O:$O,MATCH($D3099,'Paramètres'!$M:$M,0))&amp;"","")&lt;&gt;"",ISNUMBER(SEARCH("remboursement",IFERROR(INDEX('Paramètres'!$N:$N,MATCH($D3099,'Paramètres'!$M:$M,0))&amp;"",""))))),1,0))</f>
        <v/>
      </c>
      <c r="Q3099" s="6" t="str">
        <f>IF($K3099="","",IF(ISNUMBER(SEARCH("transfert-interne",IFERROR(INDEX('Paramètres'!$N:$N,MATCH($D3099,'Paramètres'!$M:$M,0))&amp;"",""))),0,IF($L3099="Débit",$K3099,IF($P3099=1,-$K3099,0))))</f>
        <v/>
      </c>
      <c r="R3099" s="6" t="str">
        <f>IF($K3099="","",IF($L3099="Crédit",$K3099,-$K3099))</f>
        <v/>
      </c>
      <c r="S3099" s="6" t="str">
        <f>IF($C3099="","",IFERROR(INDEX('Paramètres'!$H:$H,MATCH($C3099,'Paramètres'!$D:$D,0))&amp;"",""))</f>
        <v/>
      </c>
      <c r="T3099" s="6" t="str">
        <f>IF($K3099="","",IF($S3099="",0,IF(ISNUMBER(SEARCH("apport-exterieur",IFERROR(INDEX('Paramètres'!$N:$N,MATCH($D3099,'Paramètres'!$M:$M,0))&amp;"",""))),0,IF(OR(IFERROR(INDEX('Paramètres'!$I:$I,MATCH($C3099,'Paramètres'!$D:$D,0))&amp;"","")="Les deux",IFERROR(INDEX('Paramètres'!$I:$I,MATCH($C3099,'Paramètres'!$D:$D,0))&amp;"","")=IF($P3099=1,"Débit",$L3099)),-IF($P3099=1,-$K3099,$K3099),0))))</f>
        <v/>
      </c>
      <c r="U3099" s="6" t="str">
        <f>IF($K3099="","",IF(ISNUMBER(SEARCH("sortie-epargne",IFERROR(INDEX('Paramètres'!$N:$N,MATCH($D3099,'Paramètres'!$M:$M,0))&amp;"",""))),$K3099,0))</f>
        <v/>
      </c>
      <c r="V3099" s="6" t="str">
        <f>IF(AND($A3099&lt;&gt;"",$O3099=1,$L3099="Débit",N($Q3099)&gt;0,$A3099&gt;=Visualisation!$B$1,$A3099&lt;Visualisation!$D$1),MAX($V$1:V3098)+1,"")</f>
        <v/>
      </c>
    </row>
    <row r="3100" spans="1:22" x14ac:dyDescent="0.25">
      <c r="A3100" s="9"/>
      <c r="E3100" s="10"/>
      <c r="K3100" s="11" t="str">
        <f>IF($E3100="","",ROUND($E3100*IF(ISNA(MATCH($C3100,'Paramètres'!$D:$D,0)),1,IF(INDEX('Paramètres'!$J:$J,MATCH($C3100,'Paramètres'!$D:$D,0))="",1,INDEX('Paramètres'!$J:$J,MATCH($C3100,'Paramètres'!$D:$D,0)))),2))</f>
        <v/>
      </c>
      <c r="L3100" s="6" t="str">
        <f>IF($D3100="","",IF($F3100&lt;&gt;"",$F3100,IF(ISNA(MATCH($D3100,'Paramètres'!$M:$M,0)),"⚠ Type inconnu",IFERROR(INDEX('Paramètres'!$P:$P,MATCH($D3100,'Paramètres'!$M:$M,0))&amp;"",""))))</f>
        <v/>
      </c>
      <c r="M3100" s="6" t="str">
        <f>IF($D3100="","",IF(ISNA(MATCH($D3100,'Paramètres'!$M:$M,0)),"⚠ Type inconnu",IF($L3100="Crédit","",IFERROR(INDEX('Paramètres'!$O:$O,MATCH($D3100,'Paramètres'!$M:$M,0))&amp;"",""))))</f>
        <v/>
      </c>
      <c r="N3100" s="6" t="str">
        <f>IF($D3100="","",IFERROR(INDEX('Paramètres'!$Q:$Q,MATCH($D3100,'Paramètres'!$M:$M,0))&amp;"",""))</f>
        <v/>
      </c>
      <c r="O3100" s="6" t="str">
        <f>IF($A3100="","",IF(OR($J3100&lt;&gt;"x",$A3100&lt;=FinReleve),1,0))</f>
        <v/>
      </c>
      <c r="P3100" s="6" t="str">
        <f>IF($D3100="","",IF(AND($L3100="Crédit",OR(IFERROR(INDEX('Paramètres'!$O:$O,MATCH($D3100,'Paramètres'!$M:$M,0))&amp;"","")&lt;&gt;"",ISNUMBER(SEARCH("remboursement",IFERROR(INDEX('Paramètres'!$N:$N,MATCH($D3100,'Paramètres'!$M:$M,0))&amp;"",""))))),1,0))</f>
        <v/>
      </c>
      <c r="Q3100" s="6" t="str">
        <f>IF($K3100="","",IF(ISNUMBER(SEARCH("transfert-interne",IFERROR(INDEX('Paramètres'!$N:$N,MATCH($D3100,'Paramètres'!$M:$M,0))&amp;"",""))),0,IF($L3100="Débit",$K3100,IF($P3100=1,-$K3100,0))))</f>
        <v/>
      </c>
      <c r="R3100" s="6" t="str">
        <f>IF($K3100="","",IF($L3100="Crédit",$K3100,-$K3100))</f>
        <v/>
      </c>
      <c r="S3100" s="6" t="str">
        <f>IF($C3100="","",IFERROR(INDEX('Paramètres'!$H:$H,MATCH($C3100,'Paramètres'!$D:$D,0))&amp;"",""))</f>
        <v/>
      </c>
      <c r="T3100" s="6" t="str">
        <f>IF($K3100="","",IF($S3100="",0,IF(ISNUMBER(SEARCH("apport-exterieur",IFERROR(INDEX('Paramètres'!$N:$N,MATCH($D3100,'Paramètres'!$M:$M,0))&amp;"",""))),0,IF(OR(IFERROR(INDEX('Paramètres'!$I:$I,MATCH($C3100,'Paramètres'!$D:$D,0))&amp;"","")="Les deux",IFERROR(INDEX('Paramètres'!$I:$I,MATCH($C3100,'Paramètres'!$D:$D,0))&amp;"","")=IF($P3100=1,"Débit",$L3100)),-IF($P3100=1,-$K3100,$K3100),0))))</f>
        <v/>
      </c>
      <c r="U3100" s="6" t="str">
        <f>IF($K3100="","",IF(ISNUMBER(SEARCH("sortie-epargne",IFERROR(INDEX('Paramètres'!$N:$N,MATCH($D3100,'Paramètres'!$M:$M,0))&amp;"",""))),$K3100,0))</f>
        <v/>
      </c>
      <c r="V3100" s="6" t="str">
        <f>IF(AND($A3100&lt;&gt;"",$O3100=1,$L3100="Débit",N($Q3100)&gt;0,$A3100&gt;=Visualisation!$B$1,$A3100&lt;Visualisation!$D$1),MAX($V$1:V3099)+1,"")</f>
        <v/>
      </c>
    </row>
    <row r="3101" spans="1:22" x14ac:dyDescent="0.25">
      <c r="A3101" s="9"/>
      <c r="E3101" s="10"/>
      <c r="K3101" s="11" t="str">
        <f>IF($E3101="","",ROUND($E3101*IF(ISNA(MATCH($C3101,'Paramètres'!$D:$D,0)),1,IF(INDEX('Paramètres'!$J:$J,MATCH($C3101,'Paramètres'!$D:$D,0))="",1,INDEX('Paramètres'!$J:$J,MATCH($C3101,'Paramètres'!$D:$D,0)))),2))</f>
        <v/>
      </c>
      <c r="L3101" s="6" t="str">
        <f>IF($D3101="","",IF($F3101&lt;&gt;"",$F3101,IF(ISNA(MATCH($D3101,'Paramètres'!$M:$M,0)),"⚠ Type inconnu",IFERROR(INDEX('Paramètres'!$P:$P,MATCH($D3101,'Paramètres'!$M:$M,0))&amp;"",""))))</f>
        <v/>
      </c>
      <c r="M3101" s="6" t="str">
        <f>IF($D3101="","",IF(ISNA(MATCH($D3101,'Paramètres'!$M:$M,0)),"⚠ Type inconnu",IF($L3101="Crédit","",IFERROR(INDEX('Paramètres'!$O:$O,MATCH($D3101,'Paramètres'!$M:$M,0))&amp;"",""))))</f>
        <v/>
      </c>
      <c r="N3101" s="6" t="str">
        <f>IF($D3101="","",IFERROR(INDEX('Paramètres'!$Q:$Q,MATCH($D3101,'Paramètres'!$M:$M,0))&amp;"",""))</f>
        <v/>
      </c>
      <c r="O3101" s="6" t="str">
        <f>IF($A3101="","",IF(OR($J3101&lt;&gt;"x",$A3101&lt;=FinReleve),1,0))</f>
        <v/>
      </c>
      <c r="P3101" s="6" t="str">
        <f>IF($D3101="","",IF(AND($L3101="Crédit",OR(IFERROR(INDEX('Paramètres'!$O:$O,MATCH($D3101,'Paramètres'!$M:$M,0))&amp;"","")&lt;&gt;"",ISNUMBER(SEARCH("remboursement",IFERROR(INDEX('Paramètres'!$N:$N,MATCH($D3101,'Paramètres'!$M:$M,0))&amp;"",""))))),1,0))</f>
        <v/>
      </c>
      <c r="Q3101" s="6" t="str">
        <f>IF($K3101="","",IF(ISNUMBER(SEARCH("transfert-interne",IFERROR(INDEX('Paramètres'!$N:$N,MATCH($D3101,'Paramètres'!$M:$M,0))&amp;"",""))),0,IF($L3101="Débit",$K3101,IF($P3101=1,-$K3101,0))))</f>
        <v/>
      </c>
      <c r="R3101" s="6" t="str">
        <f>IF($K3101="","",IF($L3101="Crédit",$K3101,-$K3101))</f>
        <v/>
      </c>
      <c r="S3101" s="6" t="str">
        <f>IF($C3101="","",IFERROR(INDEX('Paramètres'!$H:$H,MATCH($C3101,'Paramètres'!$D:$D,0))&amp;"",""))</f>
        <v/>
      </c>
      <c r="T3101" s="6" t="str">
        <f>IF($K3101="","",IF($S3101="",0,IF(ISNUMBER(SEARCH("apport-exterieur",IFERROR(INDEX('Paramètres'!$N:$N,MATCH($D3101,'Paramètres'!$M:$M,0))&amp;"",""))),0,IF(OR(IFERROR(INDEX('Paramètres'!$I:$I,MATCH($C3101,'Paramètres'!$D:$D,0))&amp;"","")="Les deux",IFERROR(INDEX('Paramètres'!$I:$I,MATCH($C3101,'Paramètres'!$D:$D,0))&amp;"","")=IF($P3101=1,"Débit",$L3101)),-IF($P3101=1,-$K3101,$K3101),0))))</f>
        <v/>
      </c>
      <c r="U3101" s="6" t="str">
        <f>IF($K3101="","",IF(ISNUMBER(SEARCH("sortie-epargne",IFERROR(INDEX('Paramètres'!$N:$N,MATCH($D3101,'Paramètres'!$M:$M,0))&amp;"",""))),$K3101,0))</f>
        <v/>
      </c>
      <c r="V3101" s="6" t="str">
        <f>IF(AND($A3101&lt;&gt;"",$O3101=1,$L3101="Débit",N($Q3101)&gt;0,$A3101&gt;=Visualisation!$B$1,$A3101&lt;Visualisation!$D$1),MAX($V$1:V3100)+1,"")</f>
        <v/>
      </c>
    </row>
    <row r="3102" spans="1:22" x14ac:dyDescent="0.25">
      <c r="A3102" s="9"/>
      <c r="E3102" s="10"/>
      <c r="K3102" s="11" t="str">
        <f>IF($E3102="","",ROUND($E3102*IF(ISNA(MATCH($C3102,'Paramètres'!$D:$D,0)),1,IF(INDEX('Paramètres'!$J:$J,MATCH($C3102,'Paramètres'!$D:$D,0))="",1,INDEX('Paramètres'!$J:$J,MATCH($C3102,'Paramètres'!$D:$D,0)))),2))</f>
        <v/>
      </c>
      <c r="L3102" s="6" t="str">
        <f>IF($D3102="","",IF($F3102&lt;&gt;"",$F3102,IF(ISNA(MATCH($D3102,'Paramètres'!$M:$M,0)),"⚠ Type inconnu",IFERROR(INDEX('Paramètres'!$P:$P,MATCH($D3102,'Paramètres'!$M:$M,0))&amp;"",""))))</f>
        <v/>
      </c>
      <c r="M3102" s="6" t="str">
        <f>IF($D3102="","",IF(ISNA(MATCH($D3102,'Paramètres'!$M:$M,0)),"⚠ Type inconnu",IF($L3102="Crédit","",IFERROR(INDEX('Paramètres'!$O:$O,MATCH($D3102,'Paramètres'!$M:$M,0))&amp;"",""))))</f>
        <v/>
      </c>
      <c r="N3102" s="6" t="str">
        <f>IF($D3102="","",IFERROR(INDEX('Paramètres'!$Q:$Q,MATCH($D3102,'Paramètres'!$M:$M,0))&amp;"",""))</f>
        <v/>
      </c>
      <c r="O3102" s="6" t="str">
        <f>IF($A3102="","",IF(OR($J3102&lt;&gt;"x",$A3102&lt;=FinReleve),1,0))</f>
        <v/>
      </c>
      <c r="P3102" s="6" t="str">
        <f>IF($D3102="","",IF(AND($L3102="Crédit",OR(IFERROR(INDEX('Paramètres'!$O:$O,MATCH($D3102,'Paramètres'!$M:$M,0))&amp;"","")&lt;&gt;"",ISNUMBER(SEARCH("remboursement",IFERROR(INDEX('Paramètres'!$N:$N,MATCH($D3102,'Paramètres'!$M:$M,0))&amp;"",""))))),1,0))</f>
        <v/>
      </c>
      <c r="Q3102" s="6" t="str">
        <f>IF($K3102="","",IF(ISNUMBER(SEARCH("transfert-interne",IFERROR(INDEX('Paramètres'!$N:$N,MATCH($D3102,'Paramètres'!$M:$M,0))&amp;"",""))),0,IF($L3102="Débit",$K3102,IF($P3102=1,-$K3102,0))))</f>
        <v/>
      </c>
      <c r="R3102" s="6" t="str">
        <f>IF($K3102="","",IF($L3102="Crédit",$K3102,-$K3102))</f>
        <v/>
      </c>
      <c r="S3102" s="6" t="str">
        <f>IF($C3102="","",IFERROR(INDEX('Paramètres'!$H:$H,MATCH($C3102,'Paramètres'!$D:$D,0))&amp;"",""))</f>
        <v/>
      </c>
      <c r="T3102" s="6" t="str">
        <f>IF($K3102="","",IF($S3102="",0,IF(ISNUMBER(SEARCH("apport-exterieur",IFERROR(INDEX('Paramètres'!$N:$N,MATCH($D3102,'Paramètres'!$M:$M,0))&amp;"",""))),0,IF(OR(IFERROR(INDEX('Paramètres'!$I:$I,MATCH($C3102,'Paramètres'!$D:$D,0))&amp;"","")="Les deux",IFERROR(INDEX('Paramètres'!$I:$I,MATCH($C3102,'Paramètres'!$D:$D,0))&amp;"","")=IF($P3102=1,"Débit",$L3102)),-IF($P3102=1,-$K3102,$K3102),0))))</f>
        <v/>
      </c>
      <c r="U3102" s="6" t="str">
        <f>IF($K3102="","",IF(ISNUMBER(SEARCH("sortie-epargne",IFERROR(INDEX('Paramètres'!$N:$N,MATCH($D3102,'Paramètres'!$M:$M,0))&amp;"",""))),$K3102,0))</f>
        <v/>
      </c>
      <c r="V3102" s="6" t="str">
        <f>IF(AND($A3102&lt;&gt;"",$O3102=1,$L3102="Débit",N($Q3102)&gt;0,$A3102&gt;=Visualisation!$B$1,$A3102&lt;Visualisation!$D$1),MAX($V$1:V3101)+1,"")</f>
        <v/>
      </c>
    </row>
    <row r="3103" spans="1:22" x14ac:dyDescent="0.25">
      <c r="A3103" s="9"/>
      <c r="E3103" s="10"/>
      <c r="K3103" s="11" t="str">
        <f>IF($E3103="","",ROUND($E3103*IF(ISNA(MATCH($C3103,'Paramètres'!$D:$D,0)),1,IF(INDEX('Paramètres'!$J:$J,MATCH($C3103,'Paramètres'!$D:$D,0))="",1,INDEX('Paramètres'!$J:$J,MATCH($C3103,'Paramètres'!$D:$D,0)))),2))</f>
        <v/>
      </c>
      <c r="L3103" s="6" t="str">
        <f>IF($D3103="","",IF($F3103&lt;&gt;"",$F3103,IF(ISNA(MATCH($D3103,'Paramètres'!$M:$M,0)),"⚠ Type inconnu",IFERROR(INDEX('Paramètres'!$P:$P,MATCH($D3103,'Paramètres'!$M:$M,0))&amp;"",""))))</f>
        <v/>
      </c>
      <c r="M3103" s="6" t="str">
        <f>IF($D3103="","",IF(ISNA(MATCH($D3103,'Paramètres'!$M:$M,0)),"⚠ Type inconnu",IF($L3103="Crédit","",IFERROR(INDEX('Paramètres'!$O:$O,MATCH($D3103,'Paramètres'!$M:$M,0))&amp;"",""))))</f>
        <v/>
      </c>
      <c r="N3103" s="6" t="str">
        <f>IF($D3103="","",IFERROR(INDEX('Paramètres'!$Q:$Q,MATCH($D3103,'Paramètres'!$M:$M,0))&amp;"",""))</f>
        <v/>
      </c>
      <c r="O3103" s="6" t="str">
        <f>IF($A3103="","",IF(OR($J3103&lt;&gt;"x",$A3103&lt;=FinReleve),1,0))</f>
        <v/>
      </c>
      <c r="P3103" s="6" t="str">
        <f>IF($D3103="","",IF(AND($L3103="Crédit",OR(IFERROR(INDEX('Paramètres'!$O:$O,MATCH($D3103,'Paramètres'!$M:$M,0))&amp;"","")&lt;&gt;"",ISNUMBER(SEARCH("remboursement",IFERROR(INDEX('Paramètres'!$N:$N,MATCH($D3103,'Paramètres'!$M:$M,0))&amp;"",""))))),1,0))</f>
        <v/>
      </c>
      <c r="Q3103" s="6" t="str">
        <f>IF($K3103="","",IF(ISNUMBER(SEARCH("transfert-interne",IFERROR(INDEX('Paramètres'!$N:$N,MATCH($D3103,'Paramètres'!$M:$M,0))&amp;"",""))),0,IF($L3103="Débit",$K3103,IF($P3103=1,-$K3103,0))))</f>
        <v/>
      </c>
      <c r="R3103" s="6" t="str">
        <f>IF($K3103="","",IF($L3103="Crédit",$K3103,-$K3103))</f>
        <v/>
      </c>
      <c r="S3103" s="6" t="str">
        <f>IF($C3103="","",IFERROR(INDEX('Paramètres'!$H:$H,MATCH($C3103,'Paramètres'!$D:$D,0))&amp;"",""))</f>
        <v/>
      </c>
      <c r="T3103" s="6" t="str">
        <f>IF($K3103="","",IF($S3103="",0,IF(ISNUMBER(SEARCH("apport-exterieur",IFERROR(INDEX('Paramètres'!$N:$N,MATCH($D3103,'Paramètres'!$M:$M,0))&amp;"",""))),0,IF(OR(IFERROR(INDEX('Paramètres'!$I:$I,MATCH($C3103,'Paramètres'!$D:$D,0))&amp;"","")="Les deux",IFERROR(INDEX('Paramètres'!$I:$I,MATCH($C3103,'Paramètres'!$D:$D,0))&amp;"","")=IF($P3103=1,"Débit",$L3103)),-IF($P3103=1,-$K3103,$K3103),0))))</f>
        <v/>
      </c>
      <c r="U3103" s="6" t="str">
        <f>IF($K3103="","",IF(ISNUMBER(SEARCH("sortie-epargne",IFERROR(INDEX('Paramètres'!$N:$N,MATCH($D3103,'Paramètres'!$M:$M,0))&amp;"",""))),$K3103,0))</f>
        <v/>
      </c>
      <c r="V3103" s="6" t="str">
        <f>IF(AND($A3103&lt;&gt;"",$O3103=1,$L3103="Débit",N($Q3103)&gt;0,$A3103&gt;=Visualisation!$B$1,$A3103&lt;Visualisation!$D$1),MAX($V$1:V3102)+1,"")</f>
        <v/>
      </c>
    </row>
    <row r="3104" spans="1:22" x14ac:dyDescent="0.25">
      <c r="A3104" s="9"/>
      <c r="E3104" s="10"/>
      <c r="K3104" s="11" t="str">
        <f>IF($E3104="","",ROUND($E3104*IF(ISNA(MATCH($C3104,'Paramètres'!$D:$D,0)),1,IF(INDEX('Paramètres'!$J:$J,MATCH($C3104,'Paramètres'!$D:$D,0))="",1,INDEX('Paramètres'!$J:$J,MATCH($C3104,'Paramètres'!$D:$D,0)))),2))</f>
        <v/>
      </c>
      <c r="L3104" s="6" t="str">
        <f>IF($D3104="","",IF($F3104&lt;&gt;"",$F3104,IF(ISNA(MATCH($D3104,'Paramètres'!$M:$M,0)),"⚠ Type inconnu",IFERROR(INDEX('Paramètres'!$P:$P,MATCH($D3104,'Paramètres'!$M:$M,0))&amp;"",""))))</f>
        <v/>
      </c>
      <c r="M3104" s="6" t="str">
        <f>IF($D3104="","",IF(ISNA(MATCH($D3104,'Paramètres'!$M:$M,0)),"⚠ Type inconnu",IF($L3104="Crédit","",IFERROR(INDEX('Paramètres'!$O:$O,MATCH($D3104,'Paramètres'!$M:$M,0))&amp;"",""))))</f>
        <v/>
      </c>
      <c r="N3104" s="6" t="str">
        <f>IF($D3104="","",IFERROR(INDEX('Paramètres'!$Q:$Q,MATCH($D3104,'Paramètres'!$M:$M,0))&amp;"",""))</f>
        <v/>
      </c>
      <c r="O3104" s="6" t="str">
        <f>IF($A3104="","",IF(OR($J3104&lt;&gt;"x",$A3104&lt;=FinReleve),1,0))</f>
        <v/>
      </c>
      <c r="P3104" s="6" t="str">
        <f>IF($D3104="","",IF(AND($L3104="Crédit",OR(IFERROR(INDEX('Paramètres'!$O:$O,MATCH($D3104,'Paramètres'!$M:$M,0))&amp;"","")&lt;&gt;"",ISNUMBER(SEARCH("remboursement",IFERROR(INDEX('Paramètres'!$N:$N,MATCH($D3104,'Paramètres'!$M:$M,0))&amp;"",""))))),1,0))</f>
        <v/>
      </c>
      <c r="Q3104" s="6" t="str">
        <f>IF($K3104="","",IF(ISNUMBER(SEARCH("transfert-interne",IFERROR(INDEX('Paramètres'!$N:$N,MATCH($D3104,'Paramètres'!$M:$M,0))&amp;"",""))),0,IF($L3104="Débit",$K3104,IF($P3104=1,-$K3104,0))))</f>
        <v/>
      </c>
      <c r="R3104" s="6" t="str">
        <f>IF($K3104="","",IF($L3104="Crédit",$K3104,-$K3104))</f>
        <v/>
      </c>
      <c r="S3104" s="6" t="str">
        <f>IF($C3104="","",IFERROR(INDEX('Paramètres'!$H:$H,MATCH($C3104,'Paramètres'!$D:$D,0))&amp;"",""))</f>
        <v/>
      </c>
      <c r="T3104" s="6" t="str">
        <f>IF($K3104="","",IF($S3104="",0,IF(ISNUMBER(SEARCH("apport-exterieur",IFERROR(INDEX('Paramètres'!$N:$N,MATCH($D3104,'Paramètres'!$M:$M,0))&amp;"",""))),0,IF(OR(IFERROR(INDEX('Paramètres'!$I:$I,MATCH($C3104,'Paramètres'!$D:$D,0))&amp;"","")="Les deux",IFERROR(INDEX('Paramètres'!$I:$I,MATCH($C3104,'Paramètres'!$D:$D,0))&amp;"","")=IF($P3104=1,"Débit",$L3104)),-IF($P3104=1,-$K3104,$K3104),0))))</f>
        <v/>
      </c>
      <c r="U3104" s="6" t="str">
        <f>IF($K3104="","",IF(ISNUMBER(SEARCH("sortie-epargne",IFERROR(INDEX('Paramètres'!$N:$N,MATCH($D3104,'Paramètres'!$M:$M,0))&amp;"",""))),$K3104,0))</f>
        <v/>
      </c>
      <c r="V3104" s="6" t="str">
        <f>IF(AND($A3104&lt;&gt;"",$O3104=1,$L3104="Débit",N($Q3104)&gt;0,$A3104&gt;=Visualisation!$B$1,$A3104&lt;Visualisation!$D$1),MAX($V$1:V3103)+1,"")</f>
        <v/>
      </c>
    </row>
    <row r="3105" spans="1:22" x14ac:dyDescent="0.25">
      <c r="A3105" s="9"/>
      <c r="E3105" s="10"/>
      <c r="K3105" s="11" t="str">
        <f>IF($E3105="","",ROUND($E3105*IF(ISNA(MATCH($C3105,'Paramètres'!$D:$D,0)),1,IF(INDEX('Paramètres'!$J:$J,MATCH($C3105,'Paramètres'!$D:$D,0))="",1,INDEX('Paramètres'!$J:$J,MATCH($C3105,'Paramètres'!$D:$D,0)))),2))</f>
        <v/>
      </c>
      <c r="L3105" s="6" t="str">
        <f>IF($D3105="","",IF($F3105&lt;&gt;"",$F3105,IF(ISNA(MATCH($D3105,'Paramètres'!$M:$M,0)),"⚠ Type inconnu",IFERROR(INDEX('Paramètres'!$P:$P,MATCH($D3105,'Paramètres'!$M:$M,0))&amp;"",""))))</f>
        <v/>
      </c>
      <c r="M3105" s="6" t="str">
        <f>IF($D3105="","",IF(ISNA(MATCH($D3105,'Paramètres'!$M:$M,0)),"⚠ Type inconnu",IF($L3105="Crédit","",IFERROR(INDEX('Paramètres'!$O:$O,MATCH($D3105,'Paramètres'!$M:$M,0))&amp;"",""))))</f>
        <v/>
      </c>
      <c r="N3105" s="6" t="str">
        <f>IF($D3105="","",IFERROR(INDEX('Paramètres'!$Q:$Q,MATCH($D3105,'Paramètres'!$M:$M,0))&amp;"",""))</f>
        <v/>
      </c>
      <c r="O3105" s="6" t="str">
        <f>IF($A3105="","",IF(OR($J3105&lt;&gt;"x",$A3105&lt;=FinReleve),1,0))</f>
        <v/>
      </c>
      <c r="P3105" s="6" t="str">
        <f>IF($D3105="","",IF(AND($L3105="Crédit",OR(IFERROR(INDEX('Paramètres'!$O:$O,MATCH($D3105,'Paramètres'!$M:$M,0))&amp;"","")&lt;&gt;"",ISNUMBER(SEARCH("remboursement",IFERROR(INDEX('Paramètres'!$N:$N,MATCH($D3105,'Paramètres'!$M:$M,0))&amp;"",""))))),1,0))</f>
        <v/>
      </c>
      <c r="Q3105" s="6" t="str">
        <f>IF($K3105="","",IF(ISNUMBER(SEARCH("transfert-interne",IFERROR(INDEX('Paramètres'!$N:$N,MATCH($D3105,'Paramètres'!$M:$M,0))&amp;"",""))),0,IF($L3105="Débit",$K3105,IF($P3105=1,-$K3105,0))))</f>
        <v/>
      </c>
      <c r="R3105" s="6" t="str">
        <f>IF($K3105="","",IF($L3105="Crédit",$K3105,-$K3105))</f>
        <v/>
      </c>
      <c r="S3105" s="6" t="str">
        <f>IF($C3105="","",IFERROR(INDEX('Paramètres'!$H:$H,MATCH($C3105,'Paramètres'!$D:$D,0))&amp;"",""))</f>
        <v/>
      </c>
      <c r="T3105" s="6" t="str">
        <f>IF($K3105="","",IF($S3105="",0,IF(ISNUMBER(SEARCH("apport-exterieur",IFERROR(INDEX('Paramètres'!$N:$N,MATCH($D3105,'Paramètres'!$M:$M,0))&amp;"",""))),0,IF(OR(IFERROR(INDEX('Paramètres'!$I:$I,MATCH($C3105,'Paramètres'!$D:$D,0))&amp;"","")="Les deux",IFERROR(INDEX('Paramètres'!$I:$I,MATCH($C3105,'Paramètres'!$D:$D,0))&amp;"","")=IF($P3105=1,"Débit",$L3105)),-IF($P3105=1,-$K3105,$K3105),0))))</f>
        <v/>
      </c>
      <c r="U3105" s="6" t="str">
        <f>IF($K3105="","",IF(ISNUMBER(SEARCH("sortie-epargne",IFERROR(INDEX('Paramètres'!$N:$N,MATCH($D3105,'Paramètres'!$M:$M,0))&amp;"",""))),$K3105,0))</f>
        <v/>
      </c>
      <c r="V3105" s="6" t="str">
        <f>IF(AND($A3105&lt;&gt;"",$O3105=1,$L3105="Débit",N($Q3105)&gt;0,$A3105&gt;=Visualisation!$B$1,$A3105&lt;Visualisation!$D$1),MAX($V$1:V3104)+1,"")</f>
        <v/>
      </c>
    </row>
    <row r="3106" spans="1:22" x14ac:dyDescent="0.25">
      <c r="A3106" s="9"/>
      <c r="E3106" s="10"/>
      <c r="K3106" s="11" t="str">
        <f>IF($E3106="","",ROUND($E3106*IF(ISNA(MATCH($C3106,'Paramètres'!$D:$D,0)),1,IF(INDEX('Paramètres'!$J:$J,MATCH($C3106,'Paramètres'!$D:$D,0))="",1,INDEX('Paramètres'!$J:$J,MATCH($C3106,'Paramètres'!$D:$D,0)))),2))</f>
        <v/>
      </c>
      <c r="L3106" s="6" t="str">
        <f>IF($D3106="","",IF($F3106&lt;&gt;"",$F3106,IF(ISNA(MATCH($D3106,'Paramètres'!$M:$M,0)),"⚠ Type inconnu",IFERROR(INDEX('Paramètres'!$P:$P,MATCH($D3106,'Paramètres'!$M:$M,0))&amp;"",""))))</f>
        <v/>
      </c>
      <c r="M3106" s="6" t="str">
        <f>IF($D3106="","",IF(ISNA(MATCH($D3106,'Paramètres'!$M:$M,0)),"⚠ Type inconnu",IF($L3106="Crédit","",IFERROR(INDEX('Paramètres'!$O:$O,MATCH($D3106,'Paramètres'!$M:$M,0))&amp;"",""))))</f>
        <v/>
      </c>
      <c r="N3106" s="6" t="str">
        <f>IF($D3106="","",IFERROR(INDEX('Paramètres'!$Q:$Q,MATCH($D3106,'Paramètres'!$M:$M,0))&amp;"",""))</f>
        <v/>
      </c>
      <c r="O3106" s="6" t="str">
        <f>IF($A3106="","",IF(OR($J3106&lt;&gt;"x",$A3106&lt;=FinReleve),1,0))</f>
        <v/>
      </c>
      <c r="P3106" s="6" t="str">
        <f>IF($D3106="","",IF(AND($L3106="Crédit",OR(IFERROR(INDEX('Paramètres'!$O:$O,MATCH($D3106,'Paramètres'!$M:$M,0))&amp;"","")&lt;&gt;"",ISNUMBER(SEARCH("remboursement",IFERROR(INDEX('Paramètres'!$N:$N,MATCH($D3106,'Paramètres'!$M:$M,0))&amp;"",""))))),1,0))</f>
        <v/>
      </c>
      <c r="Q3106" s="6" t="str">
        <f>IF($K3106="","",IF(ISNUMBER(SEARCH("transfert-interne",IFERROR(INDEX('Paramètres'!$N:$N,MATCH($D3106,'Paramètres'!$M:$M,0))&amp;"",""))),0,IF($L3106="Débit",$K3106,IF($P3106=1,-$K3106,0))))</f>
        <v/>
      </c>
      <c r="R3106" s="6" t="str">
        <f>IF($K3106="","",IF($L3106="Crédit",$K3106,-$K3106))</f>
        <v/>
      </c>
      <c r="S3106" s="6" t="str">
        <f>IF($C3106="","",IFERROR(INDEX('Paramètres'!$H:$H,MATCH($C3106,'Paramètres'!$D:$D,0))&amp;"",""))</f>
        <v/>
      </c>
      <c r="T3106" s="6" t="str">
        <f>IF($K3106="","",IF($S3106="",0,IF(ISNUMBER(SEARCH("apport-exterieur",IFERROR(INDEX('Paramètres'!$N:$N,MATCH($D3106,'Paramètres'!$M:$M,0))&amp;"",""))),0,IF(OR(IFERROR(INDEX('Paramètres'!$I:$I,MATCH($C3106,'Paramètres'!$D:$D,0))&amp;"","")="Les deux",IFERROR(INDEX('Paramètres'!$I:$I,MATCH($C3106,'Paramètres'!$D:$D,0))&amp;"","")=IF($P3106=1,"Débit",$L3106)),-IF($P3106=1,-$K3106,$K3106),0))))</f>
        <v/>
      </c>
      <c r="U3106" s="6" t="str">
        <f>IF($K3106="","",IF(ISNUMBER(SEARCH("sortie-epargne",IFERROR(INDEX('Paramètres'!$N:$N,MATCH($D3106,'Paramètres'!$M:$M,0))&amp;"",""))),$K3106,0))</f>
        <v/>
      </c>
      <c r="V3106" s="6" t="str">
        <f>IF(AND($A3106&lt;&gt;"",$O3106=1,$L3106="Débit",N($Q3106)&gt;0,$A3106&gt;=Visualisation!$B$1,$A3106&lt;Visualisation!$D$1),MAX($V$1:V3105)+1,"")</f>
        <v/>
      </c>
    </row>
    <row r="3107" spans="1:22" x14ac:dyDescent="0.25">
      <c r="A3107" s="9"/>
      <c r="E3107" s="10"/>
      <c r="K3107" s="11" t="str">
        <f>IF($E3107="","",ROUND($E3107*IF(ISNA(MATCH($C3107,'Paramètres'!$D:$D,0)),1,IF(INDEX('Paramètres'!$J:$J,MATCH($C3107,'Paramètres'!$D:$D,0))="",1,INDEX('Paramètres'!$J:$J,MATCH($C3107,'Paramètres'!$D:$D,0)))),2))</f>
        <v/>
      </c>
      <c r="L3107" s="6" t="str">
        <f>IF($D3107="","",IF($F3107&lt;&gt;"",$F3107,IF(ISNA(MATCH($D3107,'Paramètres'!$M:$M,0)),"⚠ Type inconnu",IFERROR(INDEX('Paramètres'!$P:$P,MATCH($D3107,'Paramètres'!$M:$M,0))&amp;"",""))))</f>
        <v/>
      </c>
      <c r="M3107" s="6" t="str">
        <f>IF($D3107="","",IF(ISNA(MATCH($D3107,'Paramètres'!$M:$M,0)),"⚠ Type inconnu",IF($L3107="Crédit","",IFERROR(INDEX('Paramètres'!$O:$O,MATCH($D3107,'Paramètres'!$M:$M,0))&amp;"",""))))</f>
        <v/>
      </c>
      <c r="N3107" s="6" t="str">
        <f>IF($D3107="","",IFERROR(INDEX('Paramètres'!$Q:$Q,MATCH($D3107,'Paramètres'!$M:$M,0))&amp;"",""))</f>
        <v/>
      </c>
      <c r="O3107" s="6" t="str">
        <f>IF($A3107="","",IF(OR($J3107&lt;&gt;"x",$A3107&lt;=FinReleve),1,0))</f>
        <v/>
      </c>
      <c r="P3107" s="6" t="str">
        <f>IF($D3107="","",IF(AND($L3107="Crédit",OR(IFERROR(INDEX('Paramètres'!$O:$O,MATCH($D3107,'Paramètres'!$M:$M,0))&amp;"","")&lt;&gt;"",ISNUMBER(SEARCH("remboursement",IFERROR(INDEX('Paramètres'!$N:$N,MATCH($D3107,'Paramètres'!$M:$M,0))&amp;"",""))))),1,0))</f>
        <v/>
      </c>
      <c r="Q3107" s="6" t="str">
        <f>IF($K3107="","",IF(ISNUMBER(SEARCH("transfert-interne",IFERROR(INDEX('Paramètres'!$N:$N,MATCH($D3107,'Paramètres'!$M:$M,0))&amp;"",""))),0,IF($L3107="Débit",$K3107,IF($P3107=1,-$K3107,0))))</f>
        <v/>
      </c>
      <c r="R3107" s="6" t="str">
        <f>IF($K3107="","",IF($L3107="Crédit",$K3107,-$K3107))</f>
        <v/>
      </c>
      <c r="S3107" s="6" t="str">
        <f>IF($C3107="","",IFERROR(INDEX('Paramètres'!$H:$H,MATCH($C3107,'Paramètres'!$D:$D,0))&amp;"",""))</f>
        <v/>
      </c>
      <c r="T3107" s="6" t="str">
        <f>IF($K3107="","",IF($S3107="",0,IF(ISNUMBER(SEARCH("apport-exterieur",IFERROR(INDEX('Paramètres'!$N:$N,MATCH($D3107,'Paramètres'!$M:$M,0))&amp;"",""))),0,IF(OR(IFERROR(INDEX('Paramètres'!$I:$I,MATCH($C3107,'Paramètres'!$D:$D,0))&amp;"","")="Les deux",IFERROR(INDEX('Paramètres'!$I:$I,MATCH($C3107,'Paramètres'!$D:$D,0))&amp;"","")=IF($P3107=1,"Débit",$L3107)),-IF($P3107=1,-$K3107,$K3107),0))))</f>
        <v/>
      </c>
      <c r="U3107" s="6" t="str">
        <f>IF($K3107="","",IF(ISNUMBER(SEARCH("sortie-epargne",IFERROR(INDEX('Paramètres'!$N:$N,MATCH($D3107,'Paramètres'!$M:$M,0))&amp;"",""))),$K3107,0))</f>
        <v/>
      </c>
      <c r="V3107" s="6" t="str">
        <f>IF(AND($A3107&lt;&gt;"",$O3107=1,$L3107="Débit",N($Q3107)&gt;0,$A3107&gt;=Visualisation!$B$1,$A3107&lt;Visualisation!$D$1),MAX($V$1:V3106)+1,"")</f>
        <v/>
      </c>
    </row>
    <row r="3108" spans="1:22" x14ac:dyDescent="0.25">
      <c r="A3108" s="9"/>
      <c r="E3108" s="10"/>
      <c r="K3108" s="11" t="str">
        <f>IF($E3108="","",ROUND($E3108*IF(ISNA(MATCH($C3108,'Paramètres'!$D:$D,0)),1,IF(INDEX('Paramètres'!$J:$J,MATCH($C3108,'Paramètres'!$D:$D,0))="",1,INDEX('Paramètres'!$J:$J,MATCH($C3108,'Paramètres'!$D:$D,0)))),2))</f>
        <v/>
      </c>
      <c r="L3108" s="6" t="str">
        <f>IF($D3108="","",IF($F3108&lt;&gt;"",$F3108,IF(ISNA(MATCH($D3108,'Paramètres'!$M:$M,0)),"⚠ Type inconnu",IFERROR(INDEX('Paramètres'!$P:$P,MATCH($D3108,'Paramètres'!$M:$M,0))&amp;"",""))))</f>
        <v/>
      </c>
      <c r="M3108" s="6" t="str">
        <f>IF($D3108="","",IF(ISNA(MATCH($D3108,'Paramètres'!$M:$M,0)),"⚠ Type inconnu",IF($L3108="Crédit","",IFERROR(INDEX('Paramètres'!$O:$O,MATCH($D3108,'Paramètres'!$M:$M,0))&amp;"",""))))</f>
        <v/>
      </c>
      <c r="N3108" s="6" t="str">
        <f>IF($D3108="","",IFERROR(INDEX('Paramètres'!$Q:$Q,MATCH($D3108,'Paramètres'!$M:$M,0))&amp;"",""))</f>
        <v/>
      </c>
      <c r="O3108" s="6" t="str">
        <f>IF($A3108="","",IF(OR($J3108&lt;&gt;"x",$A3108&lt;=FinReleve),1,0))</f>
        <v/>
      </c>
      <c r="P3108" s="6" t="str">
        <f>IF($D3108="","",IF(AND($L3108="Crédit",OR(IFERROR(INDEX('Paramètres'!$O:$O,MATCH($D3108,'Paramètres'!$M:$M,0))&amp;"","")&lt;&gt;"",ISNUMBER(SEARCH("remboursement",IFERROR(INDEX('Paramètres'!$N:$N,MATCH($D3108,'Paramètres'!$M:$M,0))&amp;"",""))))),1,0))</f>
        <v/>
      </c>
      <c r="Q3108" s="6" t="str">
        <f>IF($K3108="","",IF(ISNUMBER(SEARCH("transfert-interne",IFERROR(INDEX('Paramètres'!$N:$N,MATCH($D3108,'Paramètres'!$M:$M,0))&amp;"",""))),0,IF($L3108="Débit",$K3108,IF($P3108=1,-$K3108,0))))</f>
        <v/>
      </c>
      <c r="R3108" s="6" t="str">
        <f>IF($K3108="","",IF($L3108="Crédit",$K3108,-$K3108))</f>
        <v/>
      </c>
      <c r="S3108" s="6" t="str">
        <f>IF($C3108="","",IFERROR(INDEX('Paramètres'!$H:$H,MATCH($C3108,'Paramètres'!$D:$D,0))&amp;"",""))</f>
        <v/>
      </c>
      <c r="T3108" s="6" t="str">
        <f>IF($K3108="","",IF($S3108="",0,IF(ISNUMBER(SEARCH("apport-exterieur",IFERROR(INDEX('Paramètres'!$N:$N,MATCH($D3108,'Paramètres'!$M:$M,0))&amp;"",""))),0,IF(OR(IFERROR(INDEX('Paramètres'!$I:$I,MATCH($C3108,'Paramètres'!$D:$D,0))&amp;"","")="Les deux",IFERROR(INDEX('Paramètres'!$I:$I,MATCH($C3108,'Paramètres'!$D:$D,0))&amp;"","")=IF($P3108=1,"Débit",$L3108)),-IF($P3108=1,-$K3108,$K3108),0))))</f>
        <v/>
      </c>
      <c r="U3108" s="6" t="str">
        <f>IF($K3108="","",IF(ISNUMBER(SEARCH("sortie-epargne",IFERROR(INDEX('Paramètres'!$N:$N,MATCH($D3108,'Paramètres'!$M:$M,0))&amp;"",""))),$K3108,0))</f>
        <v/>
      </c>
      <c r="V3108" s="6" t="str">
        <f>IF(AND($A3108&lt;&gt;"",$O3108=1,$L3108="Débit",N($Q3108)&gt;0,$A3108&gt;=Visualisation!$B$1,$A3108&lt;Visualisation!$D$1),MAX($V$1:V3107)+1,"")</f>
        <v/>
      </c>
    </row>
    <row r="3109" spans="1:22" x14ac:dyDescent="0.25">
      <c r="A3109" s="9"/>
      <c r="E3109" s="10"/>
      <c r="K3109" s="11" t="str">
        <f>IF($E3109="","",ROUND($E3109*IF(ISNA(MATCH($C3109,'Paramètres'!$D:$D,0)),1,IF(INDEX('Paramètres'!$J:$J,MATCH($C3109,'Paramètres'!$D:$D,0))="",1,INDEX('Paramètres'!$J:$J,MATCH($C3109,'Paramètres'!$D:$D,0)))),2))</f>
        <v/>
      </c>
      <c r="L3109" s="6" t="str">
        <f>IF($D3109="","",IF($F3109&lt;&gt;"",$F3109,IF(ISNA(MATCH($D3109,'Paramètres'!$M:$M,0)),"⚠ Type inconnu",IFERROR(INDEX('Paramètres'!$P:$P,MATCH($D3109,'Paramètres'!$M:$M,0))&amp;"",""))))</f>
        <v/>
      </c>
      <c r="M3109" s="6" t="str">
        <f>IF($D3109="","",IF(ISNA(MATCH($D3109,'Paramètres'!$M:$M,0)),"⚠ Type inconnu",IF($L3109="Crédit","",IFERROR(INDEX('Paramètres'!$O:$O,MATCH($D3109,'Paramètres'!$M:$M,0))&amp;"",""))))</f>
        <v/>
      </c>
      <c r="N3109" s="6" t="str">
        <f>IF($D3109="","",IFERROR(INDEX('Paramètres'!$Q:$Q,MATCH($D3109,'Paramètres'!$M:$M,0))&amp;"",""))</f>
        <v/>
      </c>
      <c r="O3109" s="6" t="str">
        <f>IF($A3109="","",IF(OR($J3109&lt;&gt;"x",$A3109&lt;=FinReleve),1,0))</f>
        <v/>
      </c>
      <c r="P3109" s="6" t="str">
        <f>IF($D3109="","",IF(AND($L3109="Crédit",OR(IFERROR(INDEX('Paramètres'!$O:$O,MATCH($D3109,'Paramètres'!$M:$M,0))&amp;"","")&lt;&gt;"",ISNUMBER(SEARCH("remboursement",IFERROR(INDEX('Paramètres'!$N:$N,MATCH($D3109,'Paramètres'!$M:$M,0))&amp;"",""))))),1,0))</f>
        <v/>
      </c>
      <c r="Q3109" s="6" t="str">
        <f>IF($K3109="","",IF(ISNUMBER(SEARCH("transfert-interne",IFERROR(INDEX('Paramètres'!$N:$N,MATCH($D3109,'Paramètres'!$M:$M,0))&amp;"",""))),0,IF($L3109="Débit",$K3109,IF($P3109=1,-$K3109,0))))</f>
        <v/>
      </c>
      <c r="R3109" s="6" t="str">
        <f>IF($K3109="","",IF($L3109="Crédit",$K3109,-$K3109))</f>
        <v/>
      </c>
      <c r="S3109" s="6" t="str">
        <f>IF($C3109="","",IFERROR(INDEX('Paramètres'!$H:$H,MATCH($C3109,'Paramètres'!$D:$D,0))&amp;"",""))</f>
        <v/>
      </c>
      <c r="T3109" s="6" t="str">
        <f>IF($K3109="","",IF($S3109="",0,IF(ISNUMBER(SEARCH("apport-exterieur",IFERROR(INDEX('Paramètres'!$N:$N,MATCH($D3109,'Paramètres'!$M:$M,0))&amp;"",""))),0,IF(OR(IFERROR(INDEX('Paramètres'!$I:$I,MATCH($C3109,'Paramètres'!$D:$D,0))&amp;"","")="Les deux",IFERROR(INDEX('Paramètres'!$I:$I,MATCH($C3109,'Paramètres'!$D:$D,0))&amp;"","")=IF($P3109=1,"Débit",$L3109)),-IF($P3109=1,-$K3109,$K3109),0))))</f>
        <v/>
      </c>
      <c r="U3109" s="6" t="str">
        <f>IF($K3109="","",IF(ISNUMBER(SEARCH("sortie-epargne",IFERROR(INDEX('Paramètres'!$N:$N,MATCH($D3109,'Paramètres'!$M:$M,0))&amp;"",""))),$K3109,0))</f>
        <v/>
      </c>
      <c r="V3109" s="6" t="str">
        <f>IF(AND($A3109&lt;&gt;"",$O3109=1,$L3109="Débit",N($Q3109)&gt;0,$A3109&gt;=Visualisation!$B$1,$A3109&lt;Visualisation!$D$1),MAX($V$1:V3108)+1,"")</f>
        <v/>
      </c>
    </row>
    <row r="3110" spans="1:22" x14ac:dyDescent="0.25">
      <c r="A3110" s="9"/>
      <c r="E3110" s="10"/>
      <c r="K3110" s="11" t="str">
        <f>IF($E3110="","",ROUND($E3110*IF(ISNA(MATCH($C3110,'Paramètres'!$D:$D,0)),1,IF(INDEX('Paramètres'!$J:$J,MATCH($C3110,'Paramètres'!$D:$D,0))="",1,INDEX('Paramètres'!$J:$J,MATCH($C3110,'Paramètres'!$D:$D,0)))),2))</f>
        <v/>
      </c>
      <c r="L3110" s="6" t="str">
        <f>IF($D3110="","",IF($F3110&lt;&gt;"",$F3110,IF(ISNA(MATCH($D3110,'Paramètres'!$M:$M,0)),"⚠ Type inconnu",IFERROR(INDEX('Paramètres'!$P:$P,MATCH($D3110,'Paramètres'!$M:$M,0))&amp;"",""))))</f>
        <v/>
      </c>
      <c r="M3110" s="6" t="str">
        <f>IF($D3110="","",IF(ISNA(MATCH($D3110,'Paramètres'!$M:$M,0)),"⚠ Type inconnu",IF($L3110="Crédit","",IFERROR(INDEX('Paramètres'!$O:$O,MATCH($D3110,'Paramètres'!$M:$M,0))&amp;"",""))))</f>
        <v/>
      </c>
      <c r="N3110" s="6" t="str">
        <f>IF($D3110="","",IFERROR(INDEX('Paramètres'!$Q:$Q,MATCH($D3110,'Paramètres'!$M:$M,0))&amp;"",""))</f>
        <v/>
      </c>
      <c r="O3110" s="6" t="str">
        <f>IF($A3110="","",IF(OR($J3110&lt;&gt;"x",$A3110&lt;=FinReleve),1,0))</f>
        <v/>
      </c>
      <c r="P3110" s="6" t="str">
        <f>IF($D3110="","",IF(AND($L3110="Crédit",OR(IFERROR(INDEX('Paramètres'!$O:$O,MATCH($D3110,'Paramètres'!$M:$M,0))&amp;"","")&lt;&gt;"",ISNUMBER(SEARCH("remboursement",IFERROR(INDEX('Paramètres'!$N:$N,MATCH($D3110,'Paramètres'!$M:$M,0))&amp;"",""))))),1,0))</f>
        <v/>
      </c>
      <c r="Q3110" s="6" t="str">
        <f>IF($K3110="","",IF(ISNUMBER(SEARCH("transfert-interne",IFERROR(INDEX('Paramètres'!$N:$N,MATCH($D3110,'Paramètres'!$M:$M,0))&amp;"",""))),0,IF($L3110="Débit",$K3110,IF($P3110=1,-$K3110,0))))</f>
        <v/>
      </c>
      <c r="R3110" s="6" t="str">
        <f>IF($K3110="","",IF($L3110="Crédit",$K3110,-$K3110))</f>
        <v/>
      </c>
      <c r="S3110" s="6" t="str">
        <f>IF($C3110="","",IFERROR(INDEX('Paramètres'!$H:$H,MATCH($C3110,'Paramètres'!$D:$D,0))&amp;"",""))</f>
        <v/>
      </c>
      <c r="T3110" s="6" t="str">
        <f>IF($K3110="","",IF($S3110="",0,IF(ISNUMBER(SEARCH("apport-exterieur",IFERROR(INDEX('Paramètres'!$N:$N,MATCH($D3110,'Paramètres'!$M:$M,0))&amp;"",""))),0,IF(OR(IFERROR(INDEX('Paramètres'!$I:$I,MATCH($C3110,'Paramètres'!$D:$D,0))&amp;"","")="Les deux",IFERROR(INDEX('Paramètres'!$I:$I,MATCH($C3110,'Paramètres'!$D:$D,0))&amp;"","")=IF($P3110=1,"Débit",$L3110)),-IF($P3110=1,-$K3110,$K3110),0))))</f>
        <v/>
      </c>
      <c r="U3110" s="6" t="str">
        <f>IF($K3110="","",IF(ISNUMBER(SEARCH("sortie-epargne",IFERROR(INDEX('Paramètres'!$N:$N,MATCH($D3110,'Paramètres'!$M:$M,0))&amp;"",""))),$K3110,0))</f>
        <v/>
      </c>
      <c r="V3110" s="6" t="str">
        <f>IF(AND($A3110&lt;&gt;"",$O3110=1,$L3110="Débit",N($Q3110)&gt;0,$A3110&gt;=Visualisation!$B$1,$A3110&lt;Visualisation!$D$1),MAX($V$1:V3109)+1,"")</f>
        <v/>
      </c>
    </row>
    <row r="3111" spans="1:22" x14ac:dyDescent="0.25">
      <c r="A3111" s="9"/>
      <c r="E3111" s="10"/>
      <c r="K3111" s="11" t="str">
        <f>IF($E3111="","",ROUND($E3111*IF(ISNA(MATCH($C3111,'Paramètres'!$D:$D,0)),1,IF(INDEX('Paramètres'!$J:$J,MATCH($C3111,'Paramètres'!$D:$D,0))="",1,INDEX('Paramètres'!$J:$J,MATCH($C3111,'Paramètres'!$D:$D,0)))),2))</f>
        <v/>
      </c>
      <c r="L3111" s="6" t="str">
        <f>IF($D3111="","",IF($F3111&lt;&gt;"",$F3111,IF(ISNA(MATCH($D3111,'Paramètres'!$M:$M,0)),"⚠ Type inconnu",IFERROR(INDEX('Paramètres'!$P:$P,MATCH($D3111,'Paramètres'!$M:$M,0))&amp;"",""))))</f>
        <v/>
      </c>
      <c r="M3111" s="6" t="str">
        <f>IF($D3111="","",IF(ISNA(MATCH($D3111,'Paramètres'!$M:$M,0)),"⚠ Type inconnu",IF($L3111="Crédit","",IFERROR(INDEX('Paramètres'!$O:$O,MATCH($D3111,'Paramètres'!$M:$M,0))&amp;"",""))))</f>
        <v/>
      </c>
      <c r="N3111" s="6" t="str">
        <f>IF($D3111="","",IFERROR(INDEX('Paramètres'!$Q:$Q,MATCH($D3111,'Paramètres'!$M:$M,0))&amp;"",""))</f>
        <v/>
      </c>
      <c r="O3111" s="6" t="str">
        <f>IF($A3111="","",IF(OR($J3111&lt;&gt;"x",$A3111&lt;=FinReleve),1,0))</f>
        <v/>
      </c>
      <c r="P3111" s="6" t="str">
        <f>IF($D3111="","",IF(AND($L3111="Crédit",OR(IFERROR(INDEX('Paramètres'!$O:$O,MATCH($D3111,'Paramètres'!$M:$M,0))&amp;"","")&lt;&gt;"",ISNUMBER(SEARCH("remboursement",IFERROR(INDEX('Paramètres'!$N:$N,MATCH($D3111,'Paramètres'!$M:$M,0))&amp;"",""))))),1,0))</f>
        <v/>
      </c>
      <c r="Q3111" s="6" t="str">
        <f>IF($K3111="","",IF(ISNUMBER(SEARCH("transfert-interne",IFERROR(INDEX('Paramètres'!$N:$N,MATCH($D3111,'Paramètres'!$M:$M,0))&amp;"",""))),0,IF($L3111="Débit",$K3111,IF($P3111=1,-$K3111,0))))</f>
        <v/>
      </c>
      <c r="R3111" s="6" t="str">
        <f>IF($K3111="","",IF($L3111="Crédit",$K3111,-$K3111))</f>
        <v/>
      </c>
      <c r="S3111" s="6" t="str">
        <f>IF($C3111="","",IFERROR(INDEX('Paramètres'!$H:$H,MATCH($C3111,'Paramètres'!$D:$D,0))&amp;"",""))</f>
        <v/>
      </c>
      <c r="T3111" s="6" t="str">
        <f>IF($K3111="","",IF($S3111="",0,IF(ISNUMBER(SEARCH("apport-exterieur",IFERROR(INDEX('Paramètres'!$N:$N,MATCH($D3111,'Paramètres'!$M:$M,0))&amp;"",""))),0,IF(OR(IFERROR(INDEX('Paramètres'!$I:$I,MATCH($C3111,'Paramètres'!$D:$D,0))&amp;"","")="Les deux",IFERROR(INDEX('Paramètres'!$I:$I,MATCH($C3111,'Paramètres'!$D:$D,0))&amp;"","")=IF($P3111=1,"Débit",$L3111)),-IF($P3111=1,-$K3111,$K3111),0))))</f>
        <v/>
      </c>
      <c r="U3111" s="6" t="str">
        <f>IF($K3111="","",IF(ISNUMBER(SEARCH("sortie-epargne",IFERROR(INDEX('Paramètres'!$N:$N,MATCH($D3111,'Paramètres'!$M:$M,0))&amp;"",""))),$K3111,0))</f>
        <v/>
      </c>
      <c r="V3111" s="6" t="str">
        <f>IF(AND($A3111&lt;&gt;"",$O3111=1,$L3111="Débit",N($Q3111)&gt;0,$A3111&gt;=Visualisation!$B$1,$A3111&lt;Visualisation!$D$1),MAX($V$1:V3110)+1,"")</f>
        <v/>
      </c>
    </row>
    <row r="3112" spans="1:22" x14ac:dyDescent="0.25">
      <c r="A3112" s="9"/>
      <c r="E3112" s="10"/>
      <c r="K3112" s="11" t="str">
        <f>IF($E3112="","",ROUND($E3112*IF(ISNA(MATCH($C3112,'Paramètres'!$D:$D,0)),1,IF(INDEX('Paramètres'!$J:$J,MATCH($C3112,'Paramètres'!$D:$D,0))="",1,INDEX('Paramètres'!$J:$J,MATCH($C3112,'Paramètres'!$D:$D,0)))),2))</f>
        <v/>
      </c>
      <c r="L3112" s="6" t="str">
        <f>IF($D3112="","",IF($F3112&lt;&gt;"",$F3112,IF(ISNA(MATCH($D3112,'Paramètres'!$M:$M,0)),"⚠ Type inconnu",IFERROR(INDEX('Paramètres'!$P:$P,MATCH($D3112,'Paramètres'!$M:$M,0))&amp;"",""))))</f>
        <v/>
      </c>
      <c r="M3112" s="6" t="str">
        <f>IF($D3112="","",IF(ISNA(MATCH($D3112,'Paramètres'!$M:$M,0)),"⚠ Type inconnu",IF($L3112="Crédit","",IFERROR(INDEX('Paramètres'!$O:$O,MATCH($D3112,'Paramètres'!$M:$M,0))&amp;"",""))))</f>
        <v/>
      </c>
      <c r="N3112" s="6" t="str">
        <f>IF($D3112="","",IFERROR(INDEX('Paramètres'!$Q:$Q,MATCH($D3112,'Paramètres'!$M:$M,0))&amp;"",""))</f>
        <v/>
      </c>
      <c r="O3112" s="6" t="str">
        <f>IF($A3112="","",IF(OR($J3112&lt;&gt;"x",$A3112&lt;=FinReleve),1,0))</f>
        <v/>
      </c>
      <c r="P3112" s="6" t="str">
        <f>IF($D3112="","",IF(AND($L3112="Crédit",OR(IFERROR(INDEX('Paramètres'!$O:$O,MATCH($D3112,'Paramètres'!$M:$M,0))&amp;"","")&lt;&gt;"",ISNUMBER(SEARCH("remboursement",IFERROR(INDEX('Paramètres'!$N:$N,MATCH($D3112,'Paramètres'!$M:$M,0))&amp;"",""))))),1,0))</f>
        <v/>
      </c>
      <c r="Q3112" s="6" t="str">
        <f>IF($K3112="","",IF(ISNUMBER(SEARCH("transfert-interne",IFERROR(INDEX('Paramètres'!$N:$N,MATCH($D3112,'Paramètres'!$M:$M,0))&amp;"",""))),0,IF($L3112="Débit",$K3112,IF($P3112=1,-$K3112,0))))</f>
        <v/>
      </c>
      <c r="R3112" s="6" t="str">
        <f>IF($K3112="","",IF($L3112="Crédit",$K3112,-$K3112))</f>
        <v/>
      </c>
      <c r="S3112" s="6" t="str">
        <f>IF($C3112="","",IFERROR(INDEX('Paramètres'!$H:$H,MATCH($C3112,'Paramètres'!$D:$D,0))&amp;"",""))</f>
        <v/>
      </c>
      <c r="T3112" s="6" t="str">
        <f>IF($K3112="","",IF($S3112="",0,IF(ISNUMBER(SEARCH("apport-exterieur",IFERROR(INDEX('Paramètres'!$N:$N,MATCH($D3112,'Paramètres'!$M:$M,0))&amp;"",""))),0,IF(OR(IFERROR(INDEX('Paramètres'!$I:$I,MATCH($C3112,'Paramètres'!$D:$D,0))&amp;"","")="Les deux",IFERROR(INDEX('Paramètres'!$I:$I,MATCH($C3112,'Paramètres'!$D:$D,0))&amp;"","")=IF($P3112=1,"Débit",$L3112)),-IF($P3112=1,-$K3112,$K3112),0))))</f>
        <v/>
      </c>
      <c r="U3112" s="6" t="str">
        <f>IF($K3112="","",IF(ISNUMBER(SEARCH("sortie-epargne",IFERROR(INDEX('Paramètres'!$N:$N,MATCH($D3112,'Paramètres'!$M:$M,0))&amp;"",""))),$K3112,0))</f>
        <v/>
      </c>
      <c r="V3112" s="6" t="str">
        <f>IF(AND($A3112&lt;&gt;"",$O3112=1,$L3112="Débit",N($Q3112)&gt;0,$A3112&gt;=Visualisation!$B$1,$A3112&lt;Visualisation!$D$1),MAX($V$1:V3111)+1,"")</f>
        <v/>
      </c>
    </row>
    <row r="3113" spans="1:22" x14ac:dyDescent="0.25">
      <c r="A3113" s="9"/>
      <c r="E3113" s="10"/>
      <c r="K3113" s="11" t="str">
        <f>IF($E3113="","",ROUND($E3113*IF(ISNA(MATCH($C3113,'Paramètres'!$D:$D,0)),1,IF(INDEX('Paramètres'!$J:$J,MATCH($C3113,'Paramètres'!$D:$D,0))="",1,INDEX('Paramètres'!$J:$J,MATCH($C3113,'Paramètres'!$D:$D,0)))),2))</f>
        <v/>
      </c>
      <c r="L3113" s="6" t="str">
        <f>IF($D3113="","",IF($F3113&lt;&gt;"",$F3113,IF(ISNA(MATCH($D3113,'Paramètres'!$M:$M,0)),"⚠ Type inconnu",IFERROR(INDEX('Paramètres'!$P:$P,MATCH($D3113,'Paramètres'!$M:$M,0))&amp;"",""))))</f>
        <v/>
      </c>
      <c r="M3113" s="6" t="str">
        <f>IF($D3113="","",IF(ISNA(MATCH($D3113,'Paramètres'!$M:$M,0)),"⚠ Type inconnu",IF($L3113="Crédit","",IFERROR(INDEX('Paramètres'!$O:$O,MATCH($D3113,'Paramètres'!$M:$M,0))&amp;"",""))))</f>
        <v/>
      </c>
      <c r="N3113" s="6" t="str">
        <f>IF($D3113="","",IFERROR(INDEX('Paramètres'!$Q:$Q,MATCH($D3113,'Paramètres'!$M:$M,0))&amp;"",""))</f>
        <v/>
      </c>
      <c r="O3113" s="6" t="str">
        <f>IF($A3113="","",IF(OR($J3113&lt;&gt;"x",$A3113&lt;=FinReleve),1,0))</f>
        <v/>
      </c>
      <c r="P3113" s="6" t="str">
        <f>IF($D3113="","",IF(AND($L3113="Crédit",OR(IFERROR(INDEX('Paramètres'!$O:$O,MATCH($D3113,'Paramètres'!$M:$M,0))&amp;"","")&lt;&gt;"",ISNUMBER(SEARCH("remboursement",IFERROR(INDEX('Paramètres'!$N:$N,MATCH($D3113,'Paramètres'!$M:$M,0))&amp;"",""))))),1,0))</f>
        <v/>
      </c>
      <c r="Q3113" s="6" t="str">
        <f>IF($K3113="","",IF(ISNUMBER(SEARCH("transfert-interne",IFERROR(INDEX('Paramètres'!$N:$N,MATCH($D3113,'Paramètres'!$M:$M,0))&amp;"",""))),0,IF($L3113="Débit",$K3113,IF($P3113=1,-$K3113,0))))</f>
        <v/>
      </c>
      <c r="R3113" s="6" t="str">
        <f>IF($K3113="","",IF($L3113="Crédit",$K3113,-$K3113))</f>
        <v/>
      </c>
      <c r="S3113" s="6" t="str">
        <f>IF($C3113="","",IFERROR(INDEX('Paramètres'!$H:$H,MATCH($C3113,'Paramètres'!$D:$D,0))&amp;"",""))</f>
        <v/>
      </c>
      <c r="T3113" s="6" t="str">
        <f>IF($K3113="","",IF($S3113="",0,IF(ISNUMBER(SEARCH("apport-exterieur",IFERROR(INDEX('Paramètres'!$N:$N,MATCH($D3113,'Paramètres'!$M:$M,0))&amp;"",""))),0,IF(OR(IFERROR(INDEX('Paramètres'!$I:$I,MATCH($C3113,'Paramètres'!$D:$D,0))&amp;"","")="Les deux",IFERROR(INDEX('Paramètres'!$I:$I,MATCH($C3113,'Paramètres'!$D:$D,0))&amp;"","")=IF($P3113=1,"Débit",$L3113)),-IF($P3113=1,-$K3113,$K3113),0))))</f>
        <v/>
      </c>
      <c r="U3113" s="6" t="str">
        <f>IF($K3113="","",IF(ISNUMBER(SEARCH("sortie-epargne",IFERROR(INDEX('Paramètres'!$N:$N,MATCH($D3113,'Paramètres'!$M:$M,0))&amp;"",""))),$K3113,0))</f>
        <v/>
      </c>
      <c r="V3113" s="6" t="str">
        <f>IF(AND($A3113&lt;&gt;"",$O3113=1,$L3113="Débit",N($Q3113)&gt;0,$A3113&gt;=Visualisation!$B$1,$A3113&lt;Visualisation!$D$1),MAX($V$1:V3112)+1,"")</f>
        <v/>
      </c>
    </row>
    <row r="3114" spans="1:22" x14ac:dyDescent="0.25">
      <c r="A3114" s="9"/>
      <c r="E3114" s="10"/>
      <c r="K3114" s="11" t="str">
        <f>IF($E3114="","",ROUND($E3114*IF(ISNA(MATCH($C3114,'Paramètres'!$D:$D,0)),1,IF(INDEX('Paramètres'!$J:$J,MATCH($C3114,'Paramètres'!$D:$D,0))="",1,INDEX('Paramètres'!$J:$J,MATCH($C3114,'Paramètres'!$D:$D,0)))),2))</f>
        <v/>
      </c>
      <c r="L3114" s="6" t="str">
        <f>IF($D3114="","",IF($F3114&lt;&gt;"",$F3114,IF(ISNA(MATCH($D3114,'Paramètres'!$M:$M,0)),"⚠ Type inconnu",IFERROR(INDEX('Paramètres'!$P:$P,MATCH($D3114,'Paramètres'!$M:$M,0))&amp;"",""))))</f>
        <v/>
      </c>
      <c r="M3114" s="6" t="str">
        <f>IF($D3114="","",IF(ISNA(MATCH($D3114,'Paramètres'!$M:$M,0)),"⚠ Type inconnu",IF($L3114="Crédit","",IFERROR(INDEX('Paramètres'!$O:$O,MATCH($D3114,'Paramètres'!$M:$M,0))&amp;"",""))))</f>
        <v/>
      </c>
      <c r="N3114" s="6" t="str">
        <f>IF($D3114="","",IFERROR(INDEX('Paramètres'!$Q:$Q,MATCH($D3114,'Paramètres'!$M:$M,0))&amp;"",""))</f>
        <v/>
      </c>
      <c r="O3114" s="6" t="str">
        <f>IF($A3114="","",IF(OR($J3114&lt;&gt;"x",$A3114&lt;=FinReleve),1,0))</f>
        <v/>
      </c>
      <c r="P3114" s="6" t="str">
        <f>IF($D3114="","",IF(AND($L3114="Crédit",OR(IFERROR(INDEX('Paramètres'!$O:$O,MATCH($D3114,'Paramètres'!$M:$M,0))&amp;"","")&lt;&gt;"",ISNUMBER(SEARCH("remboursement",IFERROR(INDEX('Paramètres'!$N:$N,MATCH($D3114,'Paramètres'!$M:$M,0))&amp;"",""))))),1,0))</f>
        <v/>
      </c>
      <c r="Q3114" s="6" t="str">
        <f>IF($K3114="","",IF(ISNUMBER(SEARCH("transfert-interne",IFERROR(INDEX('Paramètres'!$N:$N,MATCH($D3114,'Paramètres'!$M:$M,0))&amp;"",""))),0,IF($L3114="Débit",$K3114,IF($P3114=1,-$K3114,0))))</f>
        <v/>
      </c>
      <c r="R3114" s="6" t="str">
        <f>IF($K3114="","",IF($L3114="Crédit",$K3114,-$K3114))</f>
        <v/>
      </c>
      <c r="S3114" s="6" t="str">
        <f>IF($C3114="","",IFERROR(INDEX('Paramètres'!$H:$H,MATCH($C3114,'Paramètres'!$D:$D,0))&amp;"",""))</f>
        <v/>
      </c>
      <c r="T3114" s="6" t="str">
        <f>IF($K3114="","",IF($S3114="",0,IF(ISNUMBER(SEARCH("apport-exterieur",IFERROR(INDEX('Paramètres'!$N:$N,MATCH($D3114,'Paramètres'!$M:$M,0))&amp;"",""))),0,IF(OR(IFERROR(INDEX('Paramètres'!$I:$I,MATCH($C3114,'Paramètres'!$D:$D,0))&amp;"","")="Les deux",IFERROR(INDEX('Paramètres'!$I:$I,MATCH($C3114,'Paramètres'!$D:$D,0))&amp;"","")=IF($P3114=1,"Débit",$L3114)),-IF($P3114=1,-$K3114,$K3114),0))))</f>
        <v/>
      </c>
      <c r="U3114" s="6" t="str">
        <f>IF($K3114="","",IF(ISNUMBER(SEARCH("sortie-epargne",IFERROR(INDEX('Paramètres'!$N:$N,MATCH($D3114,'Paramètres'!$M:$M,0))&amp;"",""))),$K3114,0))</f>
        <v/>
      </c>
      <c r="V3114" s="6" t="str">
        <f>IF(AND($A3114&lt;&gt;"",$O3114=1,$L3114="Débit",N($Q3114)&gt;0,$A3114&gt;=Visualisation!$B$1,$A3114&lt;Visualisation!$D$1),MAX($V$1:V3113)+1,"")</f>
        <v/>
      </c>
    </row>
    <row r="3115" spans="1:22" x14ac:dyDescent="0.25">
      <c r="A3115" s="9"/>
      <c r="E3115" s="10"/>
      <c r="K3115" s="11" t="str">
        <f>IF($E3115="","",ROUND($E3115*IF(ISNA(MATCH($C3115,'Paramètres'!$D:$D,0)),1,IF(INDEX('Paramètres'!$J:$J,MATCH($C3115,'Paramètres'!$D:$D,0))="",1,INDEX('Paramètres'!$J:$J,MATCH($C3115,'Paramètres'!$D:$D,0)))),2))</f>
        <v/>
      </c>
      <c r="L3115" s="6" t="str">
        <f>IF($D3115="","",IF($F3115&lt;&gt;"",$F3115,IF(ISNA(MATCH($D3115,'Paramètres'!$M:$M,0)),"⚠ Type inconnu",IFERROR(INDEX('Paramètres'!$P:$P,MATCH($D3115,'Paramètres'!$M:$M,0))&amp;"",""))))</f>
        <v/>
      </c>
      <c r="M3115" s="6" t="str">
        <f>IF($D3115="","",IF(ISNA(MATCH($D3115,'Paramètres'!$M:$M,0)),"⚠ Type inconnu",IF($L3115="Crédit","",IFERROR(INDEX('Paramètres'!$O:$O,MATCH($D3115,'Paramètres'!$M:$M,0))&amp;"",""))))</f>
        <v/>
      </c>
      <c r="N3115" s="6" t="str">
        <f>IF($D3115="","",IFERROR(INDEX('Paramètres'!$Q:$Q,MATCH($D3115,'Paramètres'!$M:$M,0))&amp;"",""))</f>
        <v/>
      </c>
      <c r="O3115" s="6" t="str">
        <f>IF($A3115="","",IF(OR($J3115&lt;&gt;"x",$A3115&lt;=FinReleve),1,0))</f>
        <v/>
      </c>
      <c r="P3115" s="6" t="str">
        <f>IF($D3115="","",IF(AND($L3115="Crédit",OR(IFERROR(INDEX('Paramètres'!$O:$O,MATCH($D3115,'Paramètres'!$M:$M,0))&amp;"","")&lt;&gt;"",ISNUMBER(SEARCH("remboursement",IFERROR(INDEX('Paramètres'!$N:$N,MATCH($D3115,'Paramètres'!$M:$M,0))&amp;"",""))))),1,0))</f>
        <v/>
      </c>
      <c r="Q3115" s="6" t="str">
        <f>IF($K3115="","",IF(ISNUMBER(SEARCH("transfert-interne",IFERROR(INDEX('Paramètres'!$N:$N,MATCH($D3115,'Paramètres'!$M:$M,0))&amp;"",""))),0,IF($L3115="Débit",$K3115,IF($P3115=1,-$K3115,0))))</f>
        <v/>
      </c>
      <c r="R3115" s="6" t="str">
        <f>IF($K3115="","",IF($L3115="Crédit",$K3115,-$K3115))</f>
        <v/>
      </c>
      <c r="S3115" s="6" t="str">
        <f>IF($C3115="","",IFERROR(INDEX('Paramètres'!$H:$H,MATCH($C3115,'Paramètres'!$D:$D,0))&amp;"",""))</f>
        <v/>
      </c>
      <c r="T3115" s="6" t="str">
        <f>IF($K3115="","",IF($S3115="",0,IF(ISNUMBER(SEARCH("apport-exterieur",IFERROR(INDEX('Paramètres'!$N:$N,MATCH($D3115,'Paramètres'!$M:$M,0))&amp;"",""))),0,IF(OR(IFERROR(INDEX('Paramètres'!$I:$I,MATCH($C3115,'Paramètres'!$D:$D,0))&amp;"","")="Les deux",IFERROR(INDEX('Paramètres'!$I:$I,MATCH($C3115,'Paramètres'!$D:$D,0))&amp;"","")=IF($P3115=1,"Débit",$L3115)),-IF($P3115=1,-$K3115,$K3115),0))))</f>
        <v/>
      </c>
      <c r="U3115" s="6" t="str">
        <f>IF($K3115="","",IF(ISNUMBER(SEARCH("sortie-epargne",IFERROR(INDEX('Paramètres'!$N:$N,MATCH($D3115,'Paramètres'!$M:$M,0))&amp;"",""))),$K3115,0))</f>
        <v/>
      </c>
      <c r="V3115" s="6" t="str">
        <f>IF(AND($A3115&lt;&gt;"",$O3115=1,$L3115="Débit",N($Q3115)&gt;0,$A3115&gt;=Visualisation!$B$1,$A3115&lt;Visualisation!$D$1),MAX($V$1:V3114)+1,"")</f>
        <v/>
      </c>
    </row>
    <row r="3116" spans="1:22" x14ac:dyDescent="0.25">
      <c r="A3116" s="9"/>
      <c r="E3116" s="10"/>
      <c r="K3116" s="11" t="str">
        <f>IF($E3116="","",ROUND($E3116*IF(ISNA(MATCH($C3116,'Paramètres'!$D:$D,0)),1,IF(INDEX('Paramètres'!$J:$J,MATCH($C3116,'Paramètres'!$D:$D,0))="",1,INDEX('Paramètres'!$J:$J,MATCH($C3116,'Paramètres'!$D:$D,0)))),2))</f>
        <v/>
      </c>
      <c r="L3116" s="6" t="str">
        <f>IF($D3116="","",IF($F3116&lt;&gt;"",$F3116,IF(ISNA(MATCH($D3116,'Paramètres'!$M:$M,0)),"⚠ Type inconnu",IFERROR(INDEX('Paramètres'!$P:$P,MATCH($D3116,'Paramètres'!$M:$M,0))&amp;"",""))))</f>
        <v/>
      </c>
      <c r="M3116" s="6" t="str">
        <f>IF($D3116="","",IF(ISNA(MATCH($D3116,'Paramètres'!$M:$M,0)),"⚠ Type inconnu",IF($L3116="Crédit","",IFERROR(INDEX('Paramètres'!$O:$O,MATCH($D3116,'Paramètres'!$M:$M,0))&amp;"",""))))</f>
        <v/>
      </c>
      <c r="N3116" s="6" t="str">
        <f>IF($D3116="","",IFERROR(INDEX('Paramètres'!$Q:$Q,MATCH($D3116,'Paramètres'!$M:$M,0))&amp;"",""))</f>
        <v/>
      </c>
      <c r="O3116" s="6" t="str">
        <f>IF($A3116="","",IF(OR($J3116&lt;&gt;"x",$A3116&lt;=FinReleve),1,0))</f>
        <v/>
      </c>
      <c r="P3116" s="6" t="str">
        <f>IF($D3116="","",IF(AND($L3116="Crédit",OR(IFERROR(INDEX('Paramètres'!$O:$O,MATCH($D3116,'Paramètres'!$M:$M,0))&amp;"","")&lt;&gt;"",ISNUMBER(SEARCH("remboursement",IFERROR(INDEX('Paramètres'!$N:$N,MATCH($D3116,'Paramètres'!$M:$M,0))&amp;"",""))))),1,0))</f>
        <v/>
      </c>
      <c r="Q3116" s="6" t="str">
        <f>IF($K3116="","",IF(ISNUMBER(SEARCH("transfert-interne",IFERROR(INDEX('Paramètres'!$N:$N,MATCH($D3116,'Paramètres'!$M:$M,0))&amp;"",""))),0,IF($L3116="Débit",$K3116,IF($P3116=1,-$K3116,0))))</f>
        <v/>
      </c>
      <c r="R3116" s="6" t="str">
        <f>IF($K3116="","",IF($L3116="Crédit",$K3116,-$K3116))</f>
        <v/>
      </c>
      <c r="S3116" s="6" t="str">
        <f>IF($C3116="","",IFERROR(INDEX('Paramètres'!$H:$H,MATCH($C3116,'Paramètres'!$D:$D,0))&amp;"",""))</f>
        <v/>
      </c>
      <c r="T3116" s="6" t="str">
        <f>IF($K3116="","",IF($S3116="",0,IF(ISNUMBER(SEARCH("apport-exterieur",IFERROR(INDEX('Paramètres'!$N:$N,MATCH($D3116,'Paramètres'!$M:$M,0))&amp;"",""))),0,IF(OR(IFERROR(INDEX('Paramètres'!$I:$I,MATCH($C3116,'Paramètres'!$D:$D,0))&amp;"","")="Les deux",IFERROR(INDEX('Paramètres'!$I:$I,MATCH($C3116,'Paramètres'!$D:$D,0))&amp;"","")=IF($P3116=1,"Débit",$L3116)),-IF($P3116=1,-$K3116,$K3116),0))))</f>
        <v/>
      </c>
      <c r="U3116" s="6" t="str">
        <f>IF($K3116="","",IF(ISNUMBER(SEARCH("sortie-epargne",IFERROR(INDEX('Paramètres'!$N:$N,MATCH($D3116,'Paramètres'!$M:$M,0))&amp;"",""))),$K3116,0))</f>
        <v/>
      </c>
      <c r="V3116" s="6" t="str">
        <f>IF(AND($A3116&lt;&gt;"",$O3116=1,$L3116="Débit",N($Q3116)&gt;0,$A3116&gt;=Visualisation!$B$1,$A3116&lt;Visualisation!$D$1),MAX($V$1:V3115)+1,"")</f>
        <v/>
      </c>
    </row>
    <row r="3117" spans="1:22" x14ac:dyDescent="0.25">
      <c r="A3117" s="9"/>
      <c r="E3117" s="10"/>
      <c r="K3117" s="11" t="str">
        <f>IF($E3117="","",ROUND($E3117*IF(ISNA(MATCH($C3117,'Paramètres'!$D:$D,0)),1,IF(INDEX('Paramètres'!$J:$J,MATCH($C3117,'Paramètres'!$D:$D,0))="",1,INDEX('Paramètres'!$J:$J,MATCH($C3117,'Paramètres'!$D:$D,0)))),2))</f>
        <v/>
      </c>
      <c r="L3117" s="6" t="str">
        <f>IF($D3117="","",IF($F3117&lt;&gt;"",$F3117,IF(ISNA(MATCH($D3117,'Paramètres'!$M:$M,0)),"⚠ Type inconnu",IFERROR(INDEX('Paramètres'!$P:$P,MATCH($D3117,'Paramètres'!$M:$M,0))&amp;"",""))))</f>
        <v/>
      </c>
      <c r="M3117" s="6" t="str">
        <f>IF($D3117="","",IF(ISNA(MATCH($D3117,'Paramètres'!$M:$M,0)),"⚠ Type inconnu",IF($L3117="Crédit","",IFERROR(INDEX('Paramètres'!$O:$O,MATCH($D3117,'Paramètres'!$M:$M,0))&amp;"",""))))</f>
        <v/>
      </c>
      <c r="N3117" s="6" t="str">
        <f>IF($D3117="","",IFERROR(INDEX('Paramètres'!$Q:$Q,MATCH($D3117,'Paramètres'!$M:$M,0))&amp;"",""))</f>
        <v/>
      </c>
      <c r="O3117" s="6" t="str">
        <f>IF($A3117="","",IF(OR($J3117&lt;&gt;"x",$A3117&lt;=FinReleve),1,0))</f>
        <v/>
      </c>
      <c r="P3117" s="6" t="str">
        <f>IF($D3117="","",IF(AND($L3117="Crédit",OR(IFERROR(INDEX('Paramètres'!$O:$O,MATCH($D3117,'Paramètres'!$M:$M,0))&amp;"","")&lt;&gt;"",ISNUMBER(SEARCH("remboursement",IFERROR(INDEX('Paramètres'!$N:$N,MATCH($D3117,'Paramètres'!$M:$M,0))&amp;"",""))))),1,0))</f>
        <v/>
      </c>
      <c r="Q3117" s="6" t="str">
        <f>IF($K3117="","",IF(ISNUMBER(SEARCH("transfert-interne",IFERROR(INDEX('Paramètres'!$N:$N,MATCH($D3117,'Paramètres'!$M:$M,0))&amp;"",""))),0,IF($L3117="Débit",$K3117,IF($P3117=1,-$K3117,0))))</f>
        <v/>
      </c>
      <c r="R3117" s="6" t="str">
        <f>IF($K3117="","",IF($L3117="Crédit",$K3117,-$K3117))</f>
        <v/>
      </c>
      <c r="S3117" s="6" t="str">
        <f>IF($C3117="","",IFERROR(INDEX('Paramètres'!$H:$H,MATCH($C3117,'Paramètres'!$D:$D,0))&amp;"",""))</f>
        <v/>
      </c>
      <c r="T3117" s="6" t="str">
        <f>IF($K3117="","",IF($S3117="",0,IF(ISNUMBER(SEARCH("apport-exterieur",IFERROR(INDEX('Paramètres'!$N:$N,MATCH($D3117,'Paramètres'!$M:$M,0))&amp;"",""))),0,IF(OR(IFERROR(INDEX('Paramètres'!$I:$I,MATCH($C3117,'Paramètres'!$D:$D,0))&amp;"","")="Les deux",IFERROR(INDEX('Paramètres'!$I:$I,MATCH($C3117,'Paramètres'!$D:$D,0))&amp;"","")=IF($P3117=1,"Débit",$L3117)),-IF($P3117=1,-$K3117,$K3117),0))))</f>
        <v/>
      </c>
      <c r="U3117" s="6" t="str">
        <f>IF($K3117="","",IF(ISNUMBER(SEARCH("sortie-epargne",IFERROR(INDEX('Paramètres'!$N:$N,MATCH($D3117,'Paramètres'!$M:$M,0))&amp;"",""))),$K3117,0))</f>
        <v/>
      </c>
      <c r="V3117" s="6" t="str">
        <f>IF(AND($A3117&lt;&gt;"",$O3117=1,$L3117="Débit",N($Q3117)&gt;0,$A3117&gt;=Visualisation!$B$1,$A3117&lt;Visualisation!$D$1),MAX($V$1:V3116)+1,"")</f>
        <v/>
      </c>
    </row>
    <row r="3118" spans="1:22" x14ac:dyDescent="0.25">
      <c r="A3118" s="9"/>
      <c r="E3118" s="10"/>
      <c r="K3118" s="11" t="str">
        <f>IF($E3118="","",ROUND($E3118*IF(ISNA(MATCH($C3118,'Paramètres'!$D:$D,0)),1,IF(INDEX('Paramètres'!$J:$J,MATCH($C3118,'Paramètres'!$D:$D,0))="",1,INDEX('Paramètres'!$J:$J,MATCH($C3118,'Paramètres'!$D:$D,0)))),2))</f>
        <v/>
      </c>
      <c r="L3118" s="6" t="str">
        <f>IF($D3118="","",IF($F3118&lt;&gt;"",$F3118,IF(ISNA(MATCH($D3118,'Paramètres'!$M:$M,0)),"⚠ Type inconnu",IFERROR(INDEX('Paramètres'!$P:$P,MATCH($D3118,'Paramètres'!$M:$M,0))&amp;"",""))))</f>
        <v/>
      </c>
      <c r="M3118" s="6" t="str">
        <f>IF($D3118="","",IF(ISNA(MATCH($D3118,'Paramètres'!$M:$M,0)),"⚠ Type inconnu",IF($L3118="Crédit","",IFERROR(INDEX('Paramètres'!$O:$O,MATCH($D3118,'Paramètres'!$M:$M,0))&amp;"",""))))</f>
        <v/>
      </c>
      <c r="N3118" s="6" t="str">
        <f>IF($D3118="","",IFERROR(INDEX('Paramètres'!$Q:$Q,MATCH($D3118,'Paramètres'!$M:$M,0))&amp;"",""))</f>
        <v/>
      </c>
      <c r="O3118" s="6" t="str">
        <f>IF($A3118="","",IF(OR($J3118&lt;&gt;"x",$A3118&lt;=FinReleve),1,0))</f>
        <v/>
      </c>
      <c r="P3118" s="6" t="str">
        <f>IF($D3118="","",IF(AND($L3118="Crédit",OR(IFERROR(INDEX('Paramètres'!$O:$O,MATCH($D3118,'Paramètres'!$M:$M,0))&amp;"","")&lt;&gt;"",ISNUMBER(SEARCH("remboursement",IFERROR(INDEX('Paramètres'!$N:$N,MATCH($D3118,'Paramètres'!$M:$M,0))&amp;"",""))))),1,0))</f>
        <v/>
      </c>
      <c r="Q3118" s="6" t="str">
        <f>IF($K3118="","",IF(ISNUMBER(SEARCH("transfert-interne",IFERROR(INDEX('Paramètres'!$N:$N,MATCH($D3118,'Paramètres'!$M:$M,0))&amp;"",""))),0,IF($L3118="Débit",$K3118,IF($P3118=1,-$K3118,0))))</f>
        <v/>
      </c>
      <c r="R3118" s="6" t="str">
        <f>IF($K3118="","",IF($L3118="Crédit",$K3118,-$K3118))</f>
        <v/>
      </c>
      <c r="S3118" s="6" t="str">
        <f>IF($C3118="","",IFERROR(INDEX('Paramètres'!$H:$H,MATCH($C3118,'Paramètres'!$D:$D,0))&amp;"",""))</f>
        <v/>
      </c>
      <c r="T3118" s="6" t="str">
        <f>IF($K3118="","",IF($S3118="",0,IF(ISNUMBER(SEARCH("apport-exterieur",IFERROR(INDEX('Paramètres'!$N:$N,MATCH($D3118,'Paramètres'!$M:$M,0))&amp;"",""))),0,IF(OR(IFERROR(INDEX('Paramètres'!$I:$I,MATCH($C3118,'Paramètres'!$D:$D,0))&amp;"","")="Les deux",IFERROR(INDEX('Paramètres'!$I:$I,MATCH($C3118,'Paramètres'!$D:$D,0))&amp;"","")=IF($P3118=1,"Débit",$L3118)),-IF($P3118=1,-$K3118,$K3118),0))))</f>
        <v/>
      </c>
      <c r="U3118" s="6" t="str">
        <f>IF($K3118="","",IF(ISNUMBER(SEARCH("sortie-epargne",IFERROR(INDEX('Paramètres'!$N:$N,MATCH($D3118,'Paramètres'!$M:$M,0))&amp;"",""))),$K3118,0))</f>
        <v/>
      </c>
      <c r="V3118" s="6" t="str">
        <f>IF(AND($A3118&lt;&gt;"",$O3118=1,$L3118="Débit",N($Q3118)&gt;0,$A3118&gt;=Visualisation!$B$1,$A3118&lt;Visualisation!$D$1),MAX($V$1:V3117)+1,"")</f>
        <v/>
      </c>
    </row>
    <row r="3119" spans="1:22" x14ac:dyDescent="0.25">
      <c r="A3119" s="9"/>
      <c r="E3119" s="10"/>
      <c r="K3119" s="11" t="str">
        <f>IF($E3119="","",ROUND($E3119*IF(ISNA(MATCH($C3119,'Paramètres'!$D:$D,0)),1,IF(INDEX('Paramètres'!$J:$J,MATCH($C3119,'Paramètres'!$D:$D,0))="",1,INDEX('Paramètres'!$J:$J,MATCH($C3119,'Paramètres'!$D:$D,0)))),2))</f>
        <v/>
      </c>
      <c r="L3119" s="6" t="str">
        <f>IF($D3119="","",IF($F3119&lt;&gt;"",$F3119,IF(ISNA(MATCH($D3119,'Paramètres'!$M:$M,0)),"⚠ Type inconnu",IFERROR(INDEX('Paramètres'!$P:$P,MATCH($D3119,'Paramètres'!$M:$M,0))&amp;"",""))))</f>
        <v/>
      </c>
      <c r="M3119" s="6" t="str">
        <f>IF($D3119="","",IF(ISNA(MATCH($D3119,'Paramètres'!$M:$M,0)),"⚠ Type inconnu",IF($L3119="Crédit","",IFERROR(INDEX('Paramètres'!$O:$O,MATCH($D3119,'Paramètres'!$M:$M,0))&amp;"",""))))</f>
        <v/>
      </c>
      <c r="N3119" s="6" t="str">
        <f>IF($D3119="","",IFERROR(INDEX('Paramètres'!$Q:$Q,MATCH($D3119,'Paramètres'!$M:$M,0))&amp;"",""))</f>
        <v/>
      </c>
      <c r="O3119" s="6" t="str">
        <f>IF($A3119="","",IF(OR($J3119&lt;&gt;"x",$A3119&lt;=FinReleve),1,0))</f>
        <v/>
      </c>
      <c r="P3119" s="6" t="str">
        <f>IF($D3119="","",IF(AND($L3119="Crédit",OR(IFERROR(INDEX('Paramètres'!$O:$O,MATCH($D3119,'Paramètres'!$M:$M,0))&amp;"","")&lt;&gt;"",ISNUMBER(SEARCH("remboursement",IFERROR(INDEX('Paramètres'!$N:$N,MATCH($D3119,'Paramètres'!$M:$M,0))&amp;"",""))))),1,0))</f>
        <v/>
      </c>
      <c r="Q3119" s="6" t="str">
        <f>IF($K3119="","",IF(ISNUMBER(SEARCH("transfert-interne",IFERROR(INDEX('Paramètres'!$N:$N,MATCH($D3119,'Paramètres'!$M:$M,0))&amp;"",""))),0,IF($L3119="Débit",$K3119,IF($P3119=1,-$K3119,0))))</f>
        <v/>
      </c>
      <c r="R3119" s="6" t="str">
        <f>IF($K3119="","",IF($L3119="Crédit",$K3119,-$K3119))</f>
        <v/>
      </c>
      <c r="S3119" s="6" t="str">
        <f>IF($C3119="","",IFERROR(INDEX('Paramètres'!$H:$H,MATCH($C3119,'Paramètres'!$D:$D,0))&amp;"",""))</f>
        <v/>
      </c>
      <c r="T3119" s="6" t="str">
        <f>IF($K3119="","",IF($S3119="",0,IF(ISNUMBER(SEARCH("apport-exterieur",IFERROR(INDEX('Paramètres'!$N:$N,MATCH($D3119,'Paramètres'!$M:$M,0))&amp;"",""))),0,IF(OR(IFERROR(INDEX('Paramètres'!$I:$I,MATCH($C3119,'Paramètres'!$D:$D,0))&amp;"","")="Les deux",IFERROR(INDEX('Paramètres'!$I:$I,MATCH($C3119,'Paramètres'!$D:$D,0))&amp;"","")=IF($P3119=1,"Débit",$L3119)),-IF($P3119=1,-$K3119,$K3119),0))))</f>
        <v/>
      </c>
      <c r="U3119" s="6" t="str">
        <f>IF($K3119="","",IF(ISNUMBER(SEARCH("sortie-epargne",IFERROR(INDEX('Paramètres'!$N:$N,MATCH($D3119,'Paramètres'!$M:$M,0))&amp;"",""))),$K3119,0))</f>
        <v/>
      </c>
      <c r="V3119" s="6" t="str">
        <f>IF(AND($A3119&lt;&gt;"",$O3119=1,$L3119="Débit",N($Q3119)&gt;0,$A3119&gt;=Visualisation!$B$1,$A3119&lt;Visualisation!$D$1),MAX($V$1:V3118)+1,"")</f>
        <v/>
      </c>
    </row>
    <row r="3120" spans="1:22" x14ac:dyDescent="0.25">
      <c r="A3120" s="9"/>
      <c r="E3120" s="10"/>
      <c r="K3120" s="11" t="str">
        <f>IF($E3120="","",ROUND($E3120*IF(ISNA(MATCH($C3120,'Paramètres'!$D:$D,0)),1,IF(INDEX('Paramètres'!$J:$J,MATCH($C3120,'Paramètres'!$D:$D,0))="",1,INDEX('Paramètres'!$J:$J,MATCH($C3120,'Paramètres'!$D:$D,0)))),2))</f>
        <v/>
      </c>
      <c r="L3120" s="6" t="str">
        <f>IF($D3120="","",IF($F3120&lt;&gt;"",$F3120,IF(ISNA(MATCH($D3120,'Paramètres'!$M:$M,0)),"⚠ Type inconnu",IFERROR(INDEX('Paramètres'!$P:$P,MATCH($D3120,'Paramètres'!$M:$M,0))&amp;"",""))))</f>
        <v/>
      </c>
      <c r="M3120" s="6" t="str">
        <f>IF($D3120="","",IF(ISNA(MATCH($D3120,'Paramètres'!$M:$M,0)),"⚠ Type inconnu",IF($L3120="Crédit","",IFERROR(INDEX('Paramètres'!$O:$O,MATCH($D3120,'Paramètres'!$M:$M,0))&amp;"",""))))</f>
        <v/>
      </c>
      <c r="N3120" s="6" t="str">
        <f>IF($D3120="","",IFERROR(INDEX('Paramètres'!$Q:$Q,MATCH($D3120,'Paramètres'!$M:$M,0))&amp;"",""))</f>
        <v/>
      </c>
      <c r="O3120" s="6" t="str">
        <f>IF($A3120="","",IF(OR($J3120&lt;&gt;"x",$A3120&lt;=FinReleve),1,0))</f>
        <v/>
      </c>
      <c r="P3120" s="6" t="str">
        <f>IF($D3120="","",IF(AND($L3120="Crédit",OR(IFERROR(INDEX('Paramètres'!$O:$O,MATCH($D3120,'Paramètres'!$M:$M,0))&amp;"","")&lt;&gt;"",ISNUMBER(SEARCH("remboursement",IFERROR(INDEX('Paramètres'!$N:$N,MATCH($D3120,'Paramètres'!$M:$M,0))&amp;"",""))))),1,0))</f>
        <v/>
      </c>
      <c r="Q3120" s="6" t="str">
        <f>IF($K3120="","",IF(ISNUMBER(SEARCH("transfert-interne",IFERROR(INDEX('Paramètres'!$N:$N,MATCH($D3120,'Paramètres'!$M:$M,0))&amp;"",""))),0,IF($L3120="Débit",$K3120,IF($P3120=1,-$K3120,0))))</f>
        <v/>
      </c>
      <c r="R3120" s="6" t="str">
        <f>IF($K3120="","",IF($L3120="Crédit",$K3120,-$K3120))</f>
        <v/>
      </c>
      <c r="S3120" s="6" t="str">
        <f>IF($C3120="","",IFERROR(INDEX('Paramètres'!$H:$H,MATCH($C3120,'Paramètres'!$D:$D,0))&amp;"",""))</f>
        <v/>
      </c>
      <c r="T3120" s="6" t="str">
        <f>IF($K3120="","",IF($S3120="",0,IF(ISNUMBER(SEARCH("apport-exterieur",IFERROR(INDEX('Paramètres'!$N:$N,MATCH($D3120,'Paramètres'!$M:$M,0))&amp;"",""))),0,IF(OR(IFERROR(INDEX('Paramètres'!$I:$I,MATCH($C3120,'Paramètres'!$D:$D,0))&amp;"","")="Les deux",IFERROR(INDEX('Paramètres'!$I:$I,MATCH($C3120,'Paramètres'!$D:$D,0))&amp;"","")=IF($P3120=1,"Débit",$L3120)),-IF($P3120=1,-$K3120,$K3120),0))))</f>
        <v/>
      </c>
      <c r="U3120" s="6" t="str">
        <f>IF($K3120="","",IF(ISNUMBER(SEARCH("sortie-epargne",IFERROR(INDEX('Paramètres'!$N:$N,MATCH($D3120,'Paramètres'!$M:$M,0))&amp;"",""))),$K3120,0))</f>
        <v/>
      </c>
      <c r="V3120" s="6" t="str">
        <f>IF(AND($A3120&lt;&gt;"",$O3120=1,$L3120="Débit",N($Q3120)&gt;0,$A3120&gt;=Visualisation!$B$1,$A3120&lt;Visualisation!$D$1),MAX($V$1:V3119)+1,"")</f>
        <v/>
      </c>
    </row>
    <row r="3121" spans="1:22" x14ac:dyDescent="0.25">
      <c r="A3121" s="9"/>
      <c r="E3121" s="10"/>
      <c r="K3121" s="11" t="str">
        <f>IF($E3121="","",ROUND($E3121*IF(ISNA(MATCH($C3121,'Paramètres'!$D:$D,0)),1,IF(INDEX('Paramètres'!$J:$J,MATCH($C3121,'Paramètres'!$D:$D,0))="",1,INDEX('Paramètres'!$J:$J,MATCH($C3121,'Paramètres'!$D:$D,0)))),2))</f>
        <v/>
      </c>
      <c r="L3121" s="6" t="str">
        <f>IF($D3121="","",IF($F3121&lt;&gt;"",$F3121,IF(ISNA(MATCH($D3121,'Paramètres'!$M:$M,0)),"⚠ Type inconnu",IFERROR(INDEX('Paramètres'!$P:$P,MATCH($D3121,'Paramètres'!$M:$M,0))&amp;"",""))))</f>
        <v/>
      </c>
      <c r="M3121" s="6" t="str">
        <f>IF($D3121="","",IF(ISNA(MATCH($D3121,'Paramètres'!$M:$M,0)),"⚠ Type inconnu",IF($L3121="Crédit","",IFERROR(INDEX('Paramètres'!$O:$O,MATCH($D3121,'Paramètres'!$M:$M,0))&amp;"",""))))</f>
        <v/>
      </c>
      <c r="N3121" s="6" t="str">
        <f>IF($D3121="","",IFERROR(INDEX('Paramètres'!$Q:$Q,MATCH($D3121,'Paramètres'!$M:$M,0))&amp;"",""))</f>
        <v/>
      </c>
      <c r="O3121" s="6" t="str">
        <f>IF($A3121="","",IF(OR($J3121&lt;&gt;"x",$A3121&lt;=FinReleve),1,0))</f>
        <v/>
      </c>
      <c r="P3121" s="6" t="str">
        <f>IF($D3121="","",IF(AND($L3121="Crédit",OR(IFERROR(INDEX('Paramètres'!$O:$O,MATCH($D3121,'Paramètres'!$M:$M,0))&amp;"","")&lt;&gt;"",ISNUMBER(SEARCH("remboursement",IFERROR(INDEX('Paramètres'!$N:$N,MATCH($D3121,'Paramètres'!$M:$M,0))&amp;"",""))))),1,0))</f>
        <v/>
      </c>
      <c r="Q3121" s="6" t="str">
        <f>IF($K3121="","",IF(ISNUMBER(SEARCH("transfert-interne",IFERROR(INDEX('Paramètres'!$N:$N,MATCH($D3121,'Paramètres'!$M:$M,0))&amp;"",""))),0,IF($L3121="Débit",$K3121,IF($P3121=1,-$K3121,0))))</f>
        <v/>
      </c>
      <c r="R3121" s="6" t="str">
        <f>IF($K3121="","",IF($L3121="Crédit",$K3121,-$K3121))</f>
        <v/>
      </c>
      <c r="S3121" s="6" t="str">
        <f>IF($C3121="","",IFERROR(INDEX('Paramètres'!$H:$H,MATCH($C3121,'Paramètres'!$D:$D,0))&amp;"",""))</f>
        <v/>
      </c>
      <c r="T3121" s="6" t="str">
        <f>IF($K3121="","",IF($S3121="",0,IF(ISNUMBER(SEARCH("apport-exterieur",IFERROR(INDEX('Paramètres'!$N:$N,MATCH($D3121,'Paramètres'!$M:$M,0))&amp;"",""))),0,IF(OR(IFERROR(INDEX('Paramètres'!$I:$I,MATCH($C3121,'Paramètres'!$D:$D,0))&amp;"","")="Les deux",IFERROR(INDEX('Paramètres'!$I:$I,MATCH($C3121,'Paramètres'!$D:$D,0))&amp;"","")=IF($P3121=1,"Débit",$L3121)),-IF($P3121=1,-$K3121,$K3121),0))))</f>
        <v/>
      </c>
      <c r="U3121" s="6" t="str">
        <f>IF($K3121="","",IF(ISNUMBER(SEARCH("sortie-epargne",IFERROR(INDEX('Paramètres'!$N:$N,MATCH($D3121,'Paramètres'!$M:$M,0))&amp;"",""))),$K3121,0))</f>
        <v/>
      </c>
      <c r="V3121" s="6" t="str">
        <f>IF(AND($A3121&lt;&gt;"",$O3121=1,$L3121="Débit",N($Q3121)&gt;0,$A3121&gt;=Visualisation!$B$1,$A3121&lt;Visualisation!$D$1),MAX($V$1:V3120)+1,"")</f>
        <v/>
      </c>
    </row>
    <row r="3122" spans="1:22" x14ac:dyDescent="0.25">
      <c r="A3122" s="9"/>
      <c r="E3122" s="10"/>
      <c r="K3122" s="11" t="str">
        <f>IF($E3122="","",ROUND($E3122*IF(ISNA(MATCH($C3122,'Paramètres'!$D:$D,0)),1,IF(INDEX('Paramètres'!$J:$J,MATCH($C3122,'Paramètres'!$D:$D,0))="",1,INDEX('Paramètres'!$J:$J,MATCH($C3122,'Paramètres'!$D:$D,0)))),2))</f>
        <v/>
      </c>
      <c r="L3122" s="6" t="str">
        <f>IF($D3122="","",IF($F3122&lt;&gt;"",$F3122,IF(ISNA(MATCH($D3122,'Paramètres'!$M:$M,0)),"⚠ Type inconnu",IFERROR(INDEX('Paramètres'!$P:$P,MATCH($D3122,'Paramètres'!$M:$M,0))&amp;"",""))))</f>
        <v/>
      </c>
      <c r="M3122" s="6" t="str">
        <f>IF($D3122="","",IF(ISNA(MATCH($D3122,'Paramètres'!$M:$M,0)),"⚠ Type inconnu",IF($L3122="Crédit","",IFERROR(INDEX('Paramètres'!$O:$O,MATCH($D3122,'Paramètres'!$M:$M,0))&amp;"",""))))</f>
        <v/>
      </c>
      <c r="N3122" s="6" t="str">
        <f>IF($D3122="","",IFERROR(INDEX('Paramètres'!$Q:$Q,MATCH($D3122,'Paramètres'!$M:$M,0))&amp;"",""))</f>
        <v/>
      </c>
      <c r="O3122" s="6" t="str">
        <f>IF($A3122="","",IF(OR($J3122&lt;&gt;"x",$A3122&lt;=FinReleve),1,0))</f>
        <v/>
      </c>
      <c r="P3122" s="6" t="str">
        <f>IF($D3122="","",IF(AND($L3122="Crédit",OR(IFERROR(INDEX('Paramètres'!$O:$O,MATCH($D3122,'Paramètres'!$M:$M,0))&amp;"","")&lt;&gt;"",ISNUMBER(SEARCH("remboursement",IFERROR(INDEX('Paramètres'!$N:$N,MATCH($D3122,'Paramètres'!$M:$M,0))&amp;"",""))))),1,0))</f>
        <v/>
      </c>
      <c r="Q3122" s="6" t="str">
        <f>IF($K3122="","",IF(ISNUMBER(SEARCH("transfert-interne",IFERROR(INDEX('Paramètres'!$N:$N,MATCH($D3122,'Paramètres'!$M:$M,0))&amp;"",""))),0,IF($L3122="Débit",$K3122,IF($P3122=1,-$K3122,0))))</f>
        <v/>
      </c>
      <c r="R3122" s="6" t="str">
        <f>IF($K3122="","",IF($L3122="Crédit",$K3122,-$K3122))</f>
        <v/>
      </c>
      <c r="S3122" s="6" t="str">
        <f>IF($C3122="","",IFERROR(INDEX('Paramètres'!$H:$H,MATCH($C3122,'Paramètres'!$D:$D,0))&amp;"",""))</f>
        <v/>
      </c>
      <c r="T3122" s="6" t="str">
        <f>IF($K3122="","",IF($S3122="",0,IF(ISNUMBER(SEARCH("apport-exterieur",IFERROR(INDEX('Paramètres'!$N:$N,MATCH($D3122,'Paramètres'!$M:$M,0))&amp;"",""))),0,IF(OR(IFERROR(INDEX('Paramètres'!$I:$I,MATCH($C3122,'Paramètres'!$D:$D,0))&amp;"","")="Les deux",IFERROR(INDEX('Paramètres'!$I:$I,MATCH($C3122,'Paramètres'!$D:$D,0))&amp;"","")=IF($P3122=1,"Débit",$L3122)),-IF($P3122=1,-$K3122,$K3122),0))))</f>
        <v/>
      </c>
      <c r="U3122" s="6" t="str">
        <f>IF($K3122="","",IF(ISNUMBER(SEARCH("sortie-epargne",IFERROR(INDEX('Paramètres'!$N:$N,MATCH($D3122,'Paramètres'!$M:$M,0))&amp;"",""))),$K3122,0))</f>
        <v/>
      </c>
      <c r="V3122" s="6" t="str">
        <f>IF(AND($A3122&lt;&gt;"",$O3122=1,$L3122="Débit",N($Q3122)&gt;0,$A3122&gt;=Visualisation!$B$1,$A3122&lt;Visualisation!$D$1),MAX($V$1:V3121)+1,"")</f>
        <v/>
      </c>
    </row>
    <row r="3123" spans="1:22" x14ac:dyDescent="0.25">
      <c r="A3123" s="9"/>
      <c r="E3123" s="10"/>
      <c r="K3123" s="11" t="str">
        <f>IF($E3123="","",ROUND($E3123*IF(ISNA(MATCH($C3123,'Paramètres'!$D:$D,0)),1,IF(INDEX('Paramètres'!$J:$J,MATCH($C3123,'Paramètres'!$D:$D,0))="",1,INDEX('Paramètres'!$J:$J,MATCH($C3123,'Paramètres'!$D:$D,0)))),2))</f>
        <v/>
      </c>
      <c r="L3123" s="6" t="str">
        <f>IF($D3123="","",IF($F3123&lt;&gt;"",$F3123,IF(ISNA(MATCH($D3123,'Paramètres'!$M:$M,0)),"⚠ Type inconnu",IFERROR(INDEX('Paramètres'!$P:$P,MATCH($D3123,'Paramètres'!$M:$M,0))&amp;"",""))))</f>
        <v/>
      </c>
      <c r="M3123" s="6" t="str">
        <f>IF($D3123="","",IF(ISNA(MATCH($D3123,'Paramètres'!$M:$M,0)),"⚠ Type inconnu",IF($L3123="Crédit","",IFERROR(INDEX('Paramètres'!$O:$O,MATCH($D3123,'Paramètres'!$M:$M,0))&amp;"",""))))</f>
        <v/>
      </c>
      <c r="N3123" s="6" t="str">
        <f>IF($D3123="","",IFERROR(INDEX('Paramètres'!$Q:$Q,MATCH($D3123,'Paramètres'!$M:$M,0))&amp;"",""))</f>
        <v/>
      </c>
      <c r="O3123" s="6" t="str">
        <f>IF($A3123="","",IF(OR($J3123&lt;&gt;"x",$A3123&lt;=FinReleve),1,0))</f>
        <v/>
      </c>
      <c r="P3123" s="6" t="str">
        <f>IF($D3123="","",IF(AND($L3123="Crédit",OR(IFERROR(INDEX('Paramètres'!$O:$O,MATCH($D3123,'Paramètres'!$M:$M,0))&amp;"","")&lt;&gt;"",ISNUMBER(SEARCH("remboursement",IFERROR(INDEX('Paramètres'!$N:$N,MATCH($D3123,'Paramètres'!$M:$M,0))&amp;"",""))))),1,0))</f>
        <v/>
      </c>
      <c r="Q3123" s="6" t="str">
        <f>IF($K3123="","",IF(ISNUMBER(SEARCH("transfert-interne",IFERROR(INDEX('Paramètres'!$N:$N,MATCH($D3123,'Paramètres'!$M:$M,0))&amp;"",""))),0,IF($L3123="Débit",$K3123,IF($P3123=1,-$K3123,0))))</f>
        <v/>
      </c>
      <c r="R3123" s="6" t="str">
        <f>IF($K3123="","",IF($L3123="Crédit",$K3123,-$K3123))</f>
        <v/>
      </c>
      <c r="S3123" s="6" t="str">
        <f>IF($C3123="","",IFERROR(INDEX('Paramètres'!$H:$H,MATCH($C3123,'Paramètres'!$D:$D,0))&amp;"",""))</f>
        <v/>
      </c>
      <c r="T3123" s="6" t="str">
        <f>IF($K3123="","",IF($S3123="",0,IF(ISNUMBER(SEARCH("apport-exterieur",IFERROR(INDEX('Paramètres'!$N:$N,MATCH($D3123,'Paramètres'!$M:$M,0))&amp;"",""))),0,IF(OR(IFERROR(INDEX('Paramètres'!$I:$I,MATCH($C3123,'Paramètres'!$D:$D,0))&amp;"","")="Les deux",IFERROR(INDEX('Paramètres'!$I:$I,MATCH($C3123,'Paramètres'!$D:$D,0))&amp;"","")=IF($P3123=1,"Débit",$L3123)),-IF($P3123=1,-$K3123,$K3123),0))))</f>
        <v/>
      </c>
      <c r="U3123" s="6" t="str">
        <f>IF($K3123="","",IF(ISNUMBER(SEARCH("sortie-epargne",IFERROR(INDEX('Paramètres'!$N:$N,MATCH($D3123,'Paramètres'!$M:$M,0))&amp;"",""))),$K3123,0))</f>
        <v/>
      </c>
      <c r="V3123" s="6" t="str">
        <f>IF(AND($A3123&lt;&gt;"",$O3123=1,$L3123="Débit",N($Q3123)&gt;0,$A3123&gt;=Visualisation!$B$1,$A3123&lt;Visualisation!$D$1),MAX($V$1:V3122)+1,"")</f>
        <v/>
      </c>
    </row>
    <row r="3124" spans="1:22" x14ac:dyDescent="0.25">
      <c r="A3124" s="9"/>
      <c r="E3124" s="10"/>
      <c r="K3124" s="11" t="str">
        <f>IF($E3124="","",ROUND($E3124*IF(ISNA(MATCH($C3124,'Paramètres'!$D:$D,0)),1,IF(INDEX('Paramètres'!$J:$J,MATCH($C3124,'Paramètres'!$D:$D,0))="",1,INDEX('Paramètres'!$J:$J,MATCH($C3124,'Paramètres'!$D:$D,0)))),2))</f>
        <v/>
      </c>
      <c r="L3124" s="6" t="str">
        <f>IF($D3124="","",IF($F3124&lt;&gt;"",$F3124,IF(ISNA(MATCH($D3124,'Paramètres'!$M:$M,0)),"⚠ Type inconnu",IFERROR(INDEX('Paramètres'!$P:$P,MATCH($D3124,'Paramètres'!$M:$M,0))&amp;"",""))))</f>
        <v/>
      </c>
      <c r="M3124" s="6" t="str">
        <f>IF($D3124="","",IF(ISNA(MATCH($D3124,'Paramètres'!$M:$M,0)),"⚠ Type inconnu",IF($L3124="Crédit","",IFERROR(INDEX('Paramètres'!$O:$O,MATCH($D3124,'Paramètres'!$M:$M,0))&amp;"",""))))</f>
        <v/>
      </c>
      <c r="N3124" s="6" t="str">
        <f>IF($D3124="","",IFERROR(INDEX('Paramètres'!$Q:$Q,MATCH($D3124,'Paramètres'!$M:$M,0))&amp;"",""))</f>
        <v/>
      </c>
      <c r="O3124" s="6" t="str">
        <f>IF($A3124="","",IF(OR($J3124&lt;&gt;"x",$A3124&lt;=FinReleve),1,0))</f>
        <v/>
      </c>
      <c r="P3124" s="6" t="str">
        <f>IF($D3124="","",IF(AND($L3124="Crédit",OR(IFERROR(INDEX('Paramètres'!$O:$O,MATCH($D3124,'Paramètres'!$M:$M,0))&amp;"","")&lt;&gt;"",ISNUMBER(SEARCH("remboursement",IFERROR(INDEX('Paramètres'!$N:$N,MATCH($D3124,'Paramètres'!$M:$M,0))&amp;"",""))))),1,0))</f>
        <v/>
      </c>
      <c r="Q3124" s="6" t="str">
        <f>IF($K3124="","",IF(ISNUMBER(SEARCH("transfert-interne",IFERROR(INDEX('Paramètres'!$N:$N,MATCH($D3124,'Paramètres'!$M:$M,0))&amp;"",""))),0,IF($L3124="Débit",$K3124,IF($P3124=1,-$K3124,0))))</f>
        <v/>
      </c>
      <c r="R3124" s="6" t="str">
        <f>IF($K3124="","",IF($L3124="Crédit",$K3124,-$K3124))</f>
        <v/>
      </c>
      <c r="S3124" s="6" t="str">
        <f>IF($C3124="","",IFERROR(INDEX('Paramètres'!$H:$H,MATCH($C3124,'Paramètres'!$D:$D,0))&amp;"",""))</f>
        <v/>
      </c>
      <c r="T3124" s="6" t="str">
        <f>IF($K3124="","",IF($S3124="",0,IF(ISNUMBER(SEARCH("apport-exterieur",IFERROR(INDEX('Paramètres'!$N:$N,MATCH($D3124,'Paramètres'!$M:$M,0))&amp;"",""))),0,IF(OR(IFERROR(INDEX('Paramètres'!$I:$I,MATCH($C3124,'Paramètres'!$D:$D,0))&amp;"","")="Les deux",IFERROR(INDEX('Paramètres'!$I:$I,MATCH($C3124,'Paramètres'!$D:$D,0))&amp;"","")=IF($P3124=1,"Débit",$L3124)),-IF($P3124=1,-$K3124,$K3124),0))))</f>
        <v/>
      </c>
      <c r="U3124" s="6" t="str">
        <f>IF($K3124="","",IF(ISNUMBER(SEARCH("sortie-epargne",IFERROR(INDEX('Paramètres'!$N:$N,MATCH($D3124,'Paramètres'!$M:$M,0))&amp;"",""))),$K3124,0))</f>
        <v/>
      </c>
      <c r="V3124" s="6" t="str">
        <f>IF(AND($A3124&lt;&gt;"",$O3124=1,$L3124="Débit",N($Q3124)&gt;0,$A3124&gt;=Visualisation!$B$1,$A3124&lt;Visualisation!$D$1),MAX($V$1:V3123)+1,"")</f>
        <v/>
      </c>
    </row>
    <row r="3125" spans="1:22" x14ac:dyDescent="0.25">
      <c r="A3125" s="9"/>
      <c r="E3125" s="10"/>
      <c r="K3125" s="11" t="str">
        <f>IF($E3125="","",ROUND($E3125*IF(ISNA(MATCH($C3125,'Paramètres'!$D:$D,0)),1,IF(INDEX('Paramètres'!$J:$J,MATCH($C3125,'Paramètres'!$D:$D,0))="",1,INDEX('Paramètres'!$J:$J,MATCH($C3125,'Paramètres'!$D:$D,0)))),2))</f>
        <v/>
      </c>
      <c r="L3125" s="6" t="str">
        <f>IF($D3125="","",IF($F3125&lt;&gt;"",$F3125,IF(ISNA(MATCH($D3125,'Paramètres'!$M:$M,0)),"⚠ Type inconnu",IFERROR(INDEX('Paramètres'!$P:$P,MATCH($D3125,'Paramètres'!$M:$M,0))&amp;"",""))))</f>
        <v/>
      </c>
      <c r="M3125" s="6" t="str">
        <f>IF($D3125="","",IF(ISNA(MATCH($D3125,'Paramètres'!$M:$M,0)),"⚠ Type inconnu",IF($L3125="Crédit","",IFERROR(INDEX('Paramètres'!$O:$O,MATCH($D3125,'Paramètres'!$M:$M,0))&amp;"",""))))</f>
        <v/>
      </c>
      <c r="N3125" s="6" t="str">
        <f>IF($D3125="","",IFERROR(INDEX('Paramètres'!$Q:$Q,MATCH($D3125,'Paramètres'!$M:$M,0))&amp;"",""))</f>
        <v/>
      </c>
      <c r="O3125" s="6" t="str">
        <f>IF($A3125="","",IF(OR($J3125&lt;&gt;"x",$A3125&lt;=FinReleve),1,0))</f>
        <v/>
      </c>
      <c r="P3125" s="6" t="str">
        <f>IF($D3125="","",IF(AND($L3125="Crédit",OR(IFERROR(INDEX('Paramètres'!$O:$O,MATCH($D3125,'Paramètres'!$M:$M,0))&amp;"","")&lt;&gt;"",ISNUMBER(SEARCH("remboursement",IFERROR(INDEX('Paramètres'!$N:$N,MATCH($D3125,'Paramètres'!$M:$M,0))&amp;"",""))))),1,0))</f>
        <v/>
      </c>
      <c r="Q3125" s="6" t="str">
        <f>IF($K3125="","",IF(ISNUMBER(SEARCH("transfert-interne",IFERROR(INDEX('Paramètres'!$N:$N,MATCH($D3125,'Paramètres'!$M:$M,0))&amp;"",""))),0,IF($L3125="Débit",$K3125,IF($P3125=1,-$K3125,0))))</f>
        <v/>
      </c>
      <c r="R3125" s="6" t="str">
        <f>IF($K3125="","",IF($L3125="Crédit",$K3125,-$K3125))</f>
        <v/>
      </c>
      <c r="S3125" s="6" t="str">
        <f>IF($C3125="","",IFERROR(INDEX('Paramètres'!$H:$H,MATCH($C3125,'Paramètres'!$D:$D,0))&amp;"",""))</f>
        <v/>
      </c>
      <c r="T3125" s="6" t="str">
        <f>IF($K3125="","",IF($S3125="",0,IF(ISNUMBER(SEARCH("apport-exterieur",IFERROR(INDEX('Paramètres'!$N:$N,MATCH($D3125,'Paramètres'!$M:$M,0))&amp;"",""))),0,IF(OR(IFERROR(INDEX('Paramètres'!$I:$I,MATCH($C3125,'Paramètres'!$D:$D,0))&amp;"","")="Les deux",IFERROR(INDEX('Paramètres'!$I:$I,MATCH($C3125,'Paramètres'!$D:$D,0))&amp;"","")=IF($P3125=1,"Débit",$L3125)),-IF($P3125=1,-$K3125,$K3125),0))))</f>
        <v/>
      </c>
      <c r="U3125" s="6" t="str">
        <f>IF($K3125="","",IF(ISNUMBER(SEARCH("sortie-epargne",IFERROR(INDEX('Paramètres'!$N:$N,MATCH($D3125,'Paramètres'!$M:$M,0))&amp;"",""))),$K3125,0))</f>
        <v/>
      </c>
      <c r="V3125" s="6" t="str">
        <f>IF(AND($A3125&lt;&gt;"",$O3125=1,$L3125="Débit",N($Q3125)&gt;0,$A3125&gt;=Visualisation!$B$1,$A3125&lt;Visualisation!$D$1),MAX($V$1:V3124)+1,"")</f>
        <v/>
      </c>
    </row>
    <row r="3126" spans="1:22" x14ac:dyDescent="0.25">
      <c r="A3126" s="9"/>
      <c r="E3126" s="10"/>
      <c r="K3126" s="11" t="str">
        <f>IF($E3126="","",ROUND($E3126*IF(ISNA(MATCH($C3126,'Paramètres'!$D:$D,0)),1,IF(INDEX('Paramètres'!$J:$J,MATCH($C3126,'Paramètres'!$D:$D,0))="",1,INDEX('Paramètres'!$J:$J,MATCH($C3126,'Paramètres'!$D:$D,0)))),2))</f>
        <v/>
      </c>
      <c r="L3126" s="6" t="str">
        <f>IF($D3126="","",IF($F3126&lt;&gt;"",$F3126,IF(ISNA(MATCH($D3126,'Paramètres'!$M:$M,0)),"⚠ Type inconnu",IFERROR(INDEX('Paramètres'!$P:$P,MATCH($D3126,'Paramètres'!$M:$M,0))&amp;"",""))))</f>
        <v/>
      </c>
      <c r="M3126" s="6" t="str">
        <f>IF($D3126="","",IF(ISNA(MATCH($D3126,'Paramètres'!$M:$M,0)),"⚠ Type inconnu",IF($L3126="Crédit","",IFERROR(INDEX('Paramètres'!$O:$O,MATCH($D3126,'Paramètres'!$M:$M,0))&amp;"",""))))</f>
        <v/>
      </c>
      <c r="N3126" s="6" t="str">
        <f>IF($D3126="","",IFERROR(INDEX('Paramètres'!$Q:$Q,MATCH($D3126,'Paramètres'!$M:$M,0))&amp;"",""))</f>
        <v/>
      </c>
      <c r="O3126" s="6" t="str">
        <f>IF($A3126="","",IF(OR($J3126&lt;&gt;"x",$A3126&lt;=FinReleve),1,0))</f>
        <v/>
      </c>
      <c r="P3126" s="6" t="str">
        <f>IF($D3126="","",IF(AND($L3126="Crédit",OR(IFERROR(INDEX('Paramètres'!$O:$O,MATCH($D3126,'Paramètres'!$M:$M,0))&amp;"","")&lt;&gt;"",ISNUMBER(SEARCH("remboursement",IFERROR(INDEX('Paramètres'!$N:$N,MATCH($D3126,'Paramètres'!$M:$M,0))&amp;"",""))))),1,0))</f>
        <v/>
      </c>
      <c r="Q3126" s="6" t="str">
        <f>IF($K3126="","",IF(ISNUMBER(SEARCH("transfert-interne",IFERROR(INDEX('Paramètres'!$N:$N,MATCH($D3126,'Paramètres'!$M:$M,0))&amp;"",""))),0,IF($L3126="Débit",$K3126,IF($P3126=1,-$K3126,0))))</f>
        <v/>
      </c>
      <c r="R3126" s="6" t="str">
        <f>IF($K3126="","",IF($L3126="Crédit",$K3126,-$K3126))</f>
        <v/>
      </c>
      <c r="S3126" s="6" t="str">
        <f>IF($C3126="","",IFERROR(INDEX('Paramètres'!$H:$H,MATCH($C3126,'Paramètres'!$D:$D,0))&amp;"",""))</f>
        <v/>
      </c>
      <c r="T3126" s="6" t="str">
        <f>IF($K3126="","",IF($S3126="",0,IF(ISNUMBER(SEARCH("apport-exterieur",IFERROR(INDEX('Paramètres'!$N:$N,MATCH($D3126,'Paramètres'!$M:$M,0))&amp;"",""))),0,IF(OR(IFERROR(INDEX('Paramètres'!$I:$I,MATCH($C3126,'Paramètres'!$D:$D,0))&amp;"","")="Les deux",IFERROR(INDEX('Paramètres'!$I:$I,MATCH($C3126,'Paramètres'!$D:$D,0))&amp;"","")=IF($P3126=1,"Débit",$L3126)),-IF($P3126=1,-$K3126,$K3126),0))))</f>
        <v/>
      </c>
      <c r="U3126" s="6" t="str">
        <f>IF($K3126="","",IF(ISNUMBER(SEARCH("sortie-epargne",IFERROR(INDEX('Paramètres'!$N:$N,MATCH($D3126,'Paramètres'!$M:$M,0))&amp;"",""))),$K3126,0))</f>
        <v/>
      </c>
      <c r="V3126" s="6" t="str">
        <f>IF(AND($A3126&lt;&gt;"",$O3126=1,$L3126="Débit",N($Q3126)&gt;0,$A3126&gt;=Visualisation!$B$1,$A3126&lt;Visualisation!$D$1),MAX($V$1:V3125)+1,"")</f>
        <v/>
      </c>
    </row>
    <row r="3127" spans="1:22" x14ac:dyDescent="0.25">
      <c r="A3127" s="9"/>
      <c r="E3127" s="10"/>
      <c r="K3127" s="11" t="str">
        <f>IF($E3127="","",ROUND($E3127*IF(ISNA(MATCH($C3127,'Paramètres'!$D:$D,0)),1,IF(INDEX('Paramètres'!$J:$J,MATCH($C3127,'Paramètres'!$D:$D,0))="",1,INDEX('Paramètres'!$J:$J,MATCH($C3127,'Paramètres'!$D:$D,0)))),2))</f>
        <v/>
      </c>
      <c r="L3127" s="6" t="str">
        <f>IF($D3127="","",IF($F3127&lt;&gt;"",$F3127,IF(ISNA(MATCH($D3127,'Paramètres'!$M:$M,0)),"⚠ Type inconnu",IFERROR(INDEX('Paramètres'!$P:$P,MATCH($D3127,'Paramètres'!$M:$M,0))&amp;"",""))))</f>
        <v/>
      </c>
      <c r="M3127" s="6" t="str">
        <f>IF($D3127="","",IF(ISNA(MATCH($D3127,'Paramètres'!$M:$M,0)),"⚠ Type inconnu",IF($L3127="Crédit","",IFERROR(INDEX('Paramètres'!$O:$O,MATCH($D3127,'Paramètres'!$M:$M,0))&amp;"",""))))</f>
        <v/>
      </c>
      <c r="N3127" s="6" t="str">
        <f>IF($D3127="","",IFERROR(INDEX('Paramètres'!$Q:$Q,MATCH($D3127,'Paramètres'!$M:$M,0))&amp;"",""))</f>
        <v/>
      </c>
      <c r="O3127" s="6" t="str">
        <f>IF($A3127="","",IF(OR($J3127&lt;&gt;"x",$A3127&lt;=FinReleve),1,0))</f>
        <v/>
      </c>
      <c r="P3127" s="6" t="str">
        <f>IF($D3127="","",IF(AND($L3127="Crédit",OR(IFERROR(INDEX('Paramètres'!$O:$O,MATCH($D3127,'Paramètres'!$M:$M,0))&amp;"","")&lt;&gt;"",ISNUMBER(SEARCH("remboursement",IFERROR(INDEX('Paramètres'!$N:$N,MATCH($D3127,'Paramètres'!$M:$M,0))&amp;"",""))))),1,0))</f>
        <v/>
      </c>
      <c r="Q3127" s="6" t="str">
        <f>IF($K3127="","",IF(ISNUMBER(SEARCH("transfert-interne",IFERROR(INDEX('Paramètres'!$N:$N,MATCH($D3127,'Paramètres'!$M:$M,0))&amp;"",""))),0,IF($L3127="Débit",$K3127,IF($P3127=1,-$K3127,0))))</f>
        <v/>
      </c>
      <c r="R3127" s="6" t="str">
        <f>IF($K3127="","",IF($L3127="Crédit",$K3127,-$K3127))</f>
        <v/>
      </c>
      <c r="S3127" s="6" t="str">
        <f>IF($C3127="","",IFERROR(INDEX('Paramètres'!$H:$H,MATCH($C3127,'Paramètres'!$D:$D,0))&amp;"",""))</f>
        <v/>
      </c>
      <c r="T3127" s="6" t="str">
        <f>IF($K3127="","",IF($S3127="",0,IF(ISNUMBER(SEARCH("apport-exterieur",IFERROR(INDEX('Paramètres'!$N:$N,MATCH($D3127,'Paramètres'!$M:$M,0))&amp;"",""))),0,IF(OR(IFERROR(INDEX('Paramètres'!$I:$I,MATCH($C3127,'Paramètres'!$D:$D,0))&amp;"","")="Les deux",IFERROR(INDEX('Paramètres'!$I:$I,MATCH($C3127,'Paramètres'!$D:$D,0))&amp;"","")=IF($P3127=1,"Débit",$L3127)),-IF($P3127=1,-$K3127,$K3127),0))))</f>
        <v/>
      </c>
      <c r="U3127" s="6" t="str">
        <f>IF($K3127="","",IF(ISNUMBER(SEARCH("sortie-epargne",IFERROR(INDEX('Paramètres'!$N:$N,MATCH($D3127,'Paramètres'!$M:$M,0))&amp;"",""))),$K3127,0))</f>
        <v/>
      </c>
      <c r="V3127" s="6" t="str">
        <f>IF(AND($A3127&lt;&gt;"",$O3127=1,$L3127="Débit",N($Q3127)&gt;0,$A3127&gt;=Visualisation!$B$1,$A3127&lt;Visualisation!$D$1),MAX($V$1:V3126)+1,"")</f>
        <v/>
      </c>
    </row>
    <row r="3128" spans="1:22" x14ac:dyDescent="0.25">
      <c r="A3128" s="9"/>
      <c r="E3128" s="10"/>
      <c r="K3128" s="11" t="str">
        <f>IF($E3128="","",ROUND($E3128*IF(ISNA(MATCH($C3128,'Paramètres'!$D:$D,0)),1,IF(INDEX('Paramètres'!$J:$J,MATCH($C3128,'Paramètres'!$D:$D,0))="",1,INDEX('Paramètres'!$J:$J,MATCH($C3128,'Paramètres'!$D:$D,0)))),2))</f>
        <v/>
      </c>
      <c r="L3128" s="6" t="str">
        <f>IF($D3128="","",IF($F3128&lt;&gt;"",$F3128,IF(ISNA(MATCH($D3128,'Paramètres'!$M:$M,0)),"⚠ Type inconnu",IFERROR(INDEX('Paramètres'!$P:$P,MATCH($D3128,'Paramètres'!$M:$M,0))&amp;"",""))))</f>
        <v/>
      </c>
      <c r="M3128" s="6" t="str">
        <f>IF($D3128="","",IF(ISNA(MATCH($D3128,'Paramètres'!$M:$M,0)),"⚠ Type inconnu",IF($L3128="Crédit","",IFERROR(INDEX('Paramètres'!$O:$O,MATCH($D3128,'Paramètres'!$M:$M,0))&amp;"",""))))</f>
        <v/>
      </c>
      <c r="N3128" s="6" t="str">
        <f>IF($D3128="","",IFERROR(INDEX('Paramètres'!$Q:$Q,MATCH($D3128,'Paramètres'!$M:$M,0))&amp;"",""))</f>
        <v/>
      </c>
      <c r="O3128" s="6" t="str">
        <f>IF($A3128="","",IF(OR($J3128&lt;&gt;"x",$A3128&lt;=FinReleve),1,0))</f>
        <v/>
      </c>
      <c r="P3128" s="6" t="str">
        <f>IF($D3128="","",IF(AND($L3128="Crédit",OR(IFERROR(INDEX('Paramètres'!$O:$O,MATCH($D3128,'Paramètres'!$M:$M,0))&amp;"","")&lt;&gt;"",ISNUMBER(SEARCH("remboursement",IFERROR(INDEX('Paramètres'!$N:$N,MATCH($D3128,'Paramètres'!$M:$M,0))&amp;"",""))))),1,0))</f>
        <v/>
      </c>
      <c r="Q3128" s="6" t="str">
        <f>IF($K3128="","",IF(ISNUMBER(SEARCH("transfert-interne",IFERROR(INDEX('Paramètres'!$N:$N,MATCH($D3128,'Paramètres'!$M:$M,0))&amp;"",""))),0,IF($L3128="Débit",$K3128,IF($P3128=1,-$K3128,0))))</f>
        <v/>
      </c>
      <c r="R3128" s="6" t="str">
        <f>IF($K3128="","",IF($L3128="Crédit",$K3128,-$K3128))</f>
        <v/>
      </c>
      <c r="S3128" s="6" t="str">
        <f>IF($C3128="","",IFERROR(INDEX('Paramètres'!$H:$H,MATCH($C3128,'Paramètres'!$D:$D,0))&amp;"",""))</f>
        <v/>
      </c>
      <c r="T3128" s="6" t="str">
        <f>IF($K3128="","",IF($S3128="",0,IF(ISNUMBER(SEARCH("apport-exterieur",IFERROR(INDEX('Paramètres'!$N:$N,MATCH($D3128,'Paramètres'!$M:$M,0))&amp;"",""))),0,IF(OR(IFERROR(INDEX('Paramètres'!$I:$I,MATCH($C3128,'Paramètres'!$D:$D,0))&amp;"","")="Les deux",IFERROR(INDEX('Paramètres'!$I:$I,MATCH($C3128,'Paramètres'!$D:$D,0))&amp;"","")=IF($P3128=1,"Débit",$L3128)),-IF($P3128=1,-$K3128,$K3128),0))))</f>
        <v/>
      </c>
      <c r="U3128" s="6" t="str">
        <f>IF($K3128="","",IF(ISNUMBER(SEARCH("sortie-epargne",IFERROR(INDEX('Paramètres'!$N:$N,MATCH($D3128,'Paramètres'!$M:$M,0))&amp;"",""))),$K3128,0))</f>
        <v/>
      </c>
      <c r="V3128" s="6" t="str">
        <f>IF(AND($A3128&lt;&gt;"",$O3128=1,$L3128="Débit",N($Q3128)&gt;0,$A3128&gt;=Visualisation!$B$1,$A3128&lt;Visualisation!$D$1),MAX($V$1:V3127)+1,"")</f>
        <v/>
      </c>
    </row>
    <row r="3129" spans="1:22" x14ac:dyDescent="0.25">
      <c r="A3129" s="9"/>
      <c r="E3129" s="10"/>
      <c r="K3129" s="11" t="str">
        <f>IF($E3129="","",ROUND($E3129*IF(ISNA(MATCH($C3129,'Paramètres'!$D:$D,0)),1,IF(INDEX('Paramètres'!$J:$J,MATCH($C3129,'Paramètres'!$D:$D,0))="",1,INDEX('Paramètres'!$J:$J,MATCH($C3129,'Paramètres'!$D:$D,0)))),2))</f>
        <v/>
      </c>
      <c r="L3129" s="6" t="str">
        <f>IF($D3129="","",IF($F3129&lt;&gt;"",$F3129,IF(ISNA(MATCH($D3129,'Paramètres'!$M:$M,0)),"⚠ Type inconnu",IFERROR(INDEX('Paramètres'!$P:$P,MATCH($D3129,'Paramètres'!$M:$M,0))&amp;"",""))))</f>
        <v/>
      </c>
      <c r="M3129" s="6" t="str">
        <f>IF($D3129="","",IF(ISNA(MATCH($D3129,'Paramètres'!$M:$M,0)),"⚠ Type inconnu",IF($L3129="Crédit","",IFERROR(INDEX('Paramètres'!$O:$O,MATCH($D3129,'Paramètres'!$M:$M,0))&amp;"",""))))</f>
        <v/>
      </c>
      <c r="N3129" s="6" t="str">
        <f>IF($D3129="","",IFERROR(INDEX('Paramètres'!$Q:$Q,MATCH($D3129,'Paramètres'!$M:$M,0))&amp;"",""))</f>
        <v/>
      </c>
      <c r="O3129" s="6" t="str">
        <f>IF($A3129="","",IF(OR($J3129&lt;&gt;"x",$A3129&lt;=FinReleve),1,0))</f>
        <v/>
      </c>
      <c r="P3129" s="6" t="str">
        <f>IF($D3129="","",IF(AND($L3129="Crédit",OR(IFERROR(INDEX('Paramètres'!$O:$O,MATCH($D3129,'Paramètres'!$M:$M,0))&amp;"","")&lt;&gt;"",ISNUMBER(SEARCH("remboursement",IFERROR(INDEX('Paramètres'!$N:$N,MATCH($D3129,'Paramètres'!$M:$M,0))&amp;"",""))))),1,0))</f>
        <v/>
      </c>
      <c r="Q3129" s="6" t="str">
        <f>IF($K3129="","",IF(ISNUMBER(SEARCH("transfert-interne",IFERROR(INDEX('Paramètres'!$N:$N,MATCH($D3129,'Paramètres'!$M:$M,0))&amp;"",""))),0,IF($L3129="Débit",$K3129,IF($P3129=1,-$K3129,0))))</f>
        <v/>
      </c>
      <c r="R3129" s="6" t="str">
        <f>IF($K3129="","",IF($L3129="Crédit",$K3129,-$K3129))</f>
        <v/>
      </c>
      <c r="S3129" s="6" t="str">
        <f>IF($C3129="","",IFERROR(INDEX('Paramètres'!$H:$H,MATCH($C3129,'Paramètres'!$D:$D,0))&amp;"",""))</f>
        <v/>
      </c>
      <c r="T3129" s="6" t="str">
        <f>IF($K3129="","",IF($S3129="",0,IF(ISNUMBER(SEARCH("apport-exterieur",IFERROR(INDEX('Paramètres'!$N:$N,MATCH($D3129,'Paramètres'!$M:$M,0))&amp;"",""))),0,IF(OR(IFERROR(INDEX('Paramètres'!$I:$I,MATCH($C3129,'Paramètres'!$D:$D,0))&amp;"","")="Les deux",IFERROR(INDEX('Paramètres'!$I:$I,MATCH($C3129,'Paramètres'!$D:$D,0))&amp;"","")=IF($P3129=1,"Débit",$L3129)),-IF($P3129=1,-$K3129,$K3129),0))))</f>
        <v/>
      </c>
      <c r="U3129" s="6" t="str">
        <f>IF($K3129="","",IF(ISNUMBER(SEARCH("sortie-epargne",IFERROR(INDEX('Paramètres'!$N:$N,MATCH($D3129,'Paramètres'!$M:$M,0))&amp;"",""))),$K3129,0))</f>
        <v/>
      </c>
      <c r="V3129" s="6" t="str">
        <f>IF(AND($A3129&lt;&gt;"",$O3129=1,$L3129="Débit",N($Q3129)&gt;0,$A3129&gt;=Visualisation!$B$1,$A3129&lt;Visualisation!$D$1),MAX($V$1:V3128)+1,"")</f>
        <v/>
      </c>
    </row>
    <row r="3130" spans="1:22" x14ac:dyDescent="0.25">
      <c r="A3130" s="9"/>
      <c r="E3130" s="10"/>
      <c r="K3130" s="11" t="str">
        <f>IF($E3130="","",ROUND($E3130*IF(ISNA(MATCH($C3130,'Paramètres'!$D:$D,0)),1,IF(INDEX('Paramètres'!$J:$J,MATCH($C3130,'Paramètres'!$D:$D,0))="",1,INDEX('Paramètres'!$J:$J,MATCH($C3130,'Paramètres'!$D:$D,0)))),2))</f>
        <v/>
      </c>
      <c r="L3130" s="6" t="str">
        <f>IF($D3130="","",IF($F3130&lt;&gt;"",$F3130,IF(ISNA(MATCH($D3130,'Paramètres'!$M:$M,0)),"⚠ Type inconnu",IFERROR(INDEX('Paramètres'!$P:$P,MATCH($D3130,'Paramètres'!$M:$M,0))&amp;"",""))))</f>
        <v/>
      </c>
      <c r="M3130" s="6" t="str">
        <f>IF($D3130="","",IF(ISNA(MATCH($D3130,'Paramètres'!$M:$M,0)),"⚠ Type inconnu",IF($L3130="Crédit","",IFERROR(INDEX('Paramètres'!$O:$O,MATCH($D3130,'Paramètres'!$M:$M,0))&amp;"",""))))</f>
        <v/>
      </c>
      <c r="N3130" s="6" t="str">
        <f>IF($D3130="","",IFERROR(INDEX('Paramètres'!$Q:$Q,MATCH($D3130,'Paramètres'!$M:$M,0))&amp;"",""))</f>
        <v/>
      </c>
      <c r="O3130" s="6" t="str">
        <f>IF($A3130="","",IF(OR($J3130&lt;&gt;"x",$A3130&lt;=FinReleve),1,0))</f>
        <v/>
      </c>
      <c r="P3130" s="6" t="str">
        <f>IF($D3130="","",IF(AND($L3130="Crédit",OR(IFERROR(INDEX('Paramètres'!$O:$O,MATCH($D3130,'Paramètres'!$M:$M,0))&amp;"","")&lt;&gt;"",ISNUMBER(SEARCH("remboursement",IFERROR(INDEX('Paramètres'!$N:$N,MATCH($D3130,'Paramètres'!$M:$M,0))&amp;"",""))))),1,0))</f>
        <v/>
      </c>
      <c r="Q3130" s="6" t="str">
        <f>IF($K3130="","",IF(ISNUMBER(SEARCH("transfert-interne",IFERROR(INDEX('Paramètres'!$N:$N,MATCH($D3130,'Paramètres'!$M:$M,0))&amp;"",""))),0,IF($L3130="Débit",$K3130,IF($P3130=1,-$K3130,0))))</f>
        <v/>
      </c>
      <c r="R3130" s="6" t="str">
        <f>IF($K3130="","",IF($L3130="Crédit",$K3130,-$K3130))</f>
        <v/>
      </c>
      <c r="S3130" s="6" t="str">
        <f>IF($C3130="","",IFERROR(INDEX('Paramètres'!$H:$H,MATCH($C3130,'Paramètres'!$D:$D,0))&amp;"",""))</f>
        <v/>
      </c>
      <c r="T3130" s="6" t="str">
        <f>IF($K3130="","",IF($S3130="",0,IF(ISNUMBER(SEARCH("apport-exterieur",IFERROR(INDEX('Paramètres'!$N:$N,MATCH($D3130,'Paramètres'!$M:$M,0))&amp;"",""))),0,IF(OR(IFERROR(INDEX('Paramètres'!$I:$I,MATCH($C3130,'Paramètres'!$D:$D,0))&amp;"","")="Les deux",IFERROR(INDEX('Paramètres'!$I:$I,MATCH($C3130,'Paramètres'!$D:$D,0))&amp;"","")=IF($P3130=1,"Débit",$L3130)),-IF($P3130=1,-$K3130,$K3130),0))))</f>
        <v/>
      </c>
      <c r="U3130" s="6" t="str">
        <f>IF($K3130="","",IF(ISNUMBER(SEARCH("sortie-epargne",IFERROR(INDEX('Paramètres'!$N:$N,MATCH($D3130,'Paramètres'!$M:$M,0))&amp;"",""))),$K3130,0))</f>
        <v/>
      </c>
      <c r="V3130" s="6" t="str">
        <f>IF(AND($A3130&lt;&gt;"",$O3130=1,$L3130="Débit",N($Q3130)&gt;0,$A3130&gt;=Visualisation!$B$1,$A3130&lt;Visualisation!$D$1),MAX($V$1:V3129)+1,"")</f>
        <v/>
      </c>
    </row>
    <row r="3131" spans="1:22" x14ac:dyDescent="0.25">
      <c r="A3131" s="9"/>
      <c r="E3131" s="10"/>
      <c r="K3131" s="11" t="str">
        <f>IF($E3131="","",ROUND($E3131*IF(ISNA(MATCH($C3131,'Paramètres'!$D:$D,0)),1,IF(INDEX('Paramètres'!$J:$J,MATCH($C3131,'Paramètres'!$D:$D,0))="",1,INDEX('Paramètres'!$J:$J,MATCH($C3131,'Paramètres'!$D:$D,0)))),2))</f>
        <v/>
      </c>
      <c r="L3131" s="6" t="str">
        <f>IF($D3131="","",IF($F3131&lt;&gt;"",$F3131,IF(ISNA(MATCH($D3131,'Paramètres'!$M:$M,0)),"⚠ Type inconnu",IFERROR(INDEX('Paramètres'!$P:$P,MATCH($D3131,'Paramètres'!$M:$M,0))&amp;"",""))))</f>
        <v/>
      </c>
      <c r="M3131" s="6" t="str">
        <f>IF($D3131="","",IF(ISNA(MATCH($D3131,'Paramètres'!$M:$M,0)),"⚠ Type inconnu",IF($L3131="Crédit","",IFERROR(INDEX('Paramètres'!$O:$O,MATCH($D3131,'Paramètres'!$M:$M,0))&amp;"",""))))</f>
        <v/>
      </c>
      <c r="N3131" s="6" t="str">
        <f>IF($D3131="","",IFERROR(INDEX('Paramètres'!$Q:$Q,MATCH($D3131,'Paramètres'!$M:$M,0))&amp;"",""))</f>
        <v/>
      </c>
      <c r="O3131" s="6" t="str">
        <f>IF($A3131="","",IF(OR($J3131&lt;&gt;"x",$A3131&lt;=FinReleve),1,0))</f>
        <v/>
      </c>
      <c r="P3131" s="6" t="str">
        <f>IF($D3131="","",IF(AND($L3131="Crédit",OR(IFERROR(INDEX('Paramètres'!$O:$O,MATCH($D3131,'Paramètres'!$M:$M,0))&amp;"","")&lt;&gt;"",ISNUMBER(SEARCH("remboursement",IFERROR(INDEX('Paramètres'!$N:$N,MATCH($D3131,'Paramètres'!$M:$M,0))&amp;"",""))))),1,0))</f>
        <v/>
      </c>
      <c r="Q3131" s="6" t="str">
        <f>IF($K3131="","",IF(ISNUMBER(SEARCH("transfert-interne",IFERROR(INDEX('Paramètres'!$N:$N,MATCH($D3131,'Paramètres'!$M:$M,0))&amp;"",""))),0,IF($L3131="Débit",$K3131,IF($P3131=1,-$K3131,0))))</f>
        <v/>
      </c>
      <c r="R3131" s="6" t="str">
        <f>IF($K3131="","",IF($L3131="Crédit",$K3131,-$K3131))</f>
        <v/>
      </c>
      <c r="S3131" s="6" t="str">
        <f>IF($C3131="","",IFERROR(INDEX('Paramètres'!$H:$H,MATCH($C3131,'Paramètres'!$D:$D,0))&amp;"",""))</f>
        <v/>
      </c>
      <c r="T3131" s="6" t="str">
        <f>IF($K3131="","",IF($S3131="",0,IF(ISNUMBER(SEARCH("apport-exterieur",IFERROR(INDEX('Paramètres'!$N:$N,MATCH($D3131,'Paramètres'!$M:$M,0))&amp;"",""))),0,IF(OR(IFERROR(INDEX('Paramètres'!$I:$I,MATCH($C3131,'Paramètres'!$D:$D,0))&amp;"","")="Les deux",IFERROR(INDEX('Paramètres'!$I:$I,MATCH($C3131,'Paramètres'!$D:$D,0))&amp;"","")=IF($P3131=1,"Débit",$L3131)),-IF($P3131=1,-$K3131,$K3131),0))))</f>
        <v/>
      </c>
      <c r="U3131" s="6" t="str">
        <f>IF($K3131="","",IF(ISNUMBER(SEARCH("sortie-epargne",IFERROR(INDEX('Paramètres'!$N:$N,MATCH($D3131,'Paramètres'!$M:$M,0))&amp;"",""))),$K3131,0))</f>
        <v/>
      </c>
      <c r="V3131" s="6" t="str">
        <f>IF(AND($A3131&lt;&gt;"",$O3131=1,$L3131="Débit",N($Q3131)&gt;0,$A3131&gt;=Visualisation!$B$1,$A3131&lt;Visualisation!$D$1),MAX($V$1:V3130)+1,"")</f>
        <v/>
      </c>
    </row>
    <row r="3132" spans="1:22" x14ac:dyDescent="0.25">
      <c r="A3132" s="9"/>
      <c r="E3132" s="10"/>
      <c r="K3132" s="11" t="str">
        <f>IF($E3132="","",ROUND($E3132*IF(ISNA(MATCH($C3132,'Paramètres'!$D:$D,0)),1,IF(INDEX('Paramètres'!$J:$J,MATCH($C3132,'Paramètres'!$D:$D,0))="",1,INDEX('Paramètres'!$J:$J,MATCH($C3132,'Paramètres'!$D:$D,0)))),2))</f>
        <v/>
      </c>
      <c r="L3132" s="6" t="str">
        <f>IF($D3132="","",IF($F3132&lt;&gt;"",$F3132,IF(ISNA(MATCH($D3132,'Paramètres'!$M:$M,0)),"⚠ Type inconnu",IFERROR(INDEX('Paramètres'!$P:$P,MATCH($D3132,'Paramètres'!$M:$M,0))&amp;"",""))))</f>
        <v/>
      </c>
      <c r="M3132" s="6" t="str">
        <f>IF($D3132="","",IF(ISNA(MATCH($D3132,'Paramètres'!$M:$M,0)),"⚠ Type inconnu",IF($L3132="Crédit","",IFERROR(INDEX('Paramètres'!$O:$O,MATCH($D3132,'Paramètres'!$M:$M,0))&amp;"",""))))</f>
        <v/>
      </c>
      <c r="N3132" s="6" t="str">
        <f>IF($D3132="","",IFERROR(INDEX('Paramètres'!$Q:$Q,MATCH($D3132,'Paramètres'!$M:$M,0))&amp;"",""))</f>
        <v/>
      </c>
      <c r="O3132" s="6" t="str">
        <f>IF($A3132="","",IF(OR($J3132&lt;&gt;"x",$A3132&lt;=FinReleve),1,0))</f>
        <v/>
      </c>
      <c r="P3132" s="6" t="str">
        <f>IF($D3132="","",IF(AND($L3132="Crédit",OR(IFERROR(INDEX('Paramètres'!$O:$O,MATCH($D3132,'Paramètres'!$M:$M,0))&amp;"","")&lt;&gt;"",ISNUMBER(SEARCH("remboursement",IFERROR(INDEX('Paramètres'!$N:$N,MATCH($D3132,'Paramètres'!$M:$M,0))&amp;"",""))))),1,0))</f>
        <v/>
      </c>
      <c r="Q3132" s="6" t="str">
        <f>IF($K3132="","",IF(ISNUMBER(SEARCH("transfert-interne",IFERROR(INDEX('Paramètres'!$N:$N,MATCH($D3132,'Paramètres'!$M:$M,0))&amp;"",""))),0,IF($L3132="Débit",$K3132,IF($P3132=1,-$K3132,0))))</f>
        <v/>
      </c>
      <c r="R3132" s="6" t="str">
        <f>IF($K3132="","",IF($L3132="Crédit",$K3132,-$K3132))</f>
        <v/>
      </c>
      <c r="S3132" s="6" t="str">
        <f>IF($C3132="","",IFERROR(INDEX('Paramètres'!$H:$H,MATCH($C3132,'Paramètres'!$D:$D,0))&amp;"",""))</f>
        <v/>
      </c>
      <c r="T3132" s="6" t="str">
        <f>IF($K3132="","",IF($S3132="",0,IF(ISNUMBER(SEARCH("apport-exterieur",IFERROR(INDEX('Paramètres'!$N:$N,MATCH($D3132,'Paramètres'!$M:$M,0))&amp;"",""))),0,IF(OR(IFERROR(INDEX('Paramètres'!$I:$I,MATCH($C3132,'Paramètres'!$D:$D,0))&amp;"","")="Les deux",IFERROR(INDEX('Paramètres'!$I:$I,MATCH($C3132,'Paramètres'!$D:$D,0))&amp;"","")=IF($P3132=1,"Débit",$L3132)),-IF($P3132=1,-$K3132,$K3132),0))))</f>
        <v/>
      </c>
      <c r="U3132" s="6" t="str">
        <f>IF($K3132="","",IF(ISNUMBER(SEARCH("sortie-epargne",IFERROR(INDEX('Paramètres'!$N:$N,MATCH($D3132,'Paramètres'!$M:$M,0))&amp;"",""))),$K3132,0))</f>
        <v/>
      </c>
      <c r="V3132" s="6" t="str">
        <f>IF(AND($A3132&lt;&gt;"",$O3132=1,$L3132="Débit",N($Q3132)&gt;0,$A3132&gt;=Visualisation!$B$1,$A3132&lt;Visualisation!$D$1),MAX($V$1:V3131)+1,"")</f>
        <v/>
      </c>
    </row>
    <row r="3133" spans="1:22" x14ac:dyDescent="0.25">
      <c r="A3133" s="9"/>
      <c r="E3133" s="10"/>
      <c r="K3133" s="11" t="str">
        <f>IF($E3133="","",ROUND($E3133*IF(ISNA(MATCH($C3133,'Paramètres'!$D:$D,0)),1,IF(INDEX('Paramètres'!$J:$J,MATCH($C3133,'Paramètres'!$D:$D,0))="",1,INDEX('Paramètres'!$J:$J,MATCH($C3133,'Paramètres'!$D:$D,0)))),2))</f>
        <v/>
      </c>
      <c r="L3133" s="6" t="str">
        <f>IF($D3133="","",IF($F3133&lt;&gt;"",$F3133,IF(ISNA(MATCH($D3133,'Paramètres'!$M:$M,0)),"⚠ Type inconnu",IFERROR(INDEX('Paramètres'!$P:$P,MATCH($D3133,'Paramètres'!$M:$M,0))&amp;"",""))))</f>
        <v/>
      </c>
      <c r="M3133" s="6" t="str">
        <f>IF($D3133="","",IF(ISNA(MATCH($D3133,'Paramètres'!$M:$M,0)),"⚠ Type inconnu",IF($L3133="Crédit","",IFERROR(INDEX('Paramètres'!$O:$O,MATCH($D3133,'Paramètres'!$M:$M,0))&amp;"",""))))</f>
        <v/>
      </c>
      <c r="N3133" s="6" t="str">
        <f>IF($D3133="","",IFERROR(INDEX('Paramètres'!$Q:$Q,MATCH($D3133,'Paramètres'!$M:$M,0))&amp;"",""))</f>
        <v/>
      </c>
      <c r="O3133" s="6" t="str">
        <f>IF($A3133="","",IF(OR($J3133&lt;&gt;"x",$A3133&lt;=FinReleve),1,0))</f>
        <v/>
      </c>
      <c r="P3133" s="6" t="str">
        <f>IF($D3133="","",IF(AND($L3133="Crédit",OR(IFERROR(INDEX('Paramètres'!$O:$O,MATCH($D3133,'Paramètres'!$M:$M,0))&amp;"","")&lt;&gt;"",ISNUMBER(SEARCH("remboursement",IFERROR(INDEX('Paramètres'!$N:$N,MATCH($D3133,'Paramètres'!$M:$M,0))&amp;"",""))))),1,0))</f>
        <v/>
      </c>
      <c r="Q3133" s="6" t="str">
        <f>IF($K3133="","",IF(ISNUMBER(SEARCH("transfert-interne",IFERROR(INDEX('Paramètres'!$N:$N,MATCH($D3133,'Paramètres'!$M:$M,0))&amp;"",""))),0,IF($L3133="Débit",$K3133,IF($P3133=1,-$K3133,0))))</f>
        <v/>
      </c>
      <c r="R3133" s="6" t="str">
        <f>IF($K3133="","",IF($L3133="Crédit",$K3133,-$K3133))</f>
        <v/>
      </c>
      <c r="S3133" s="6" t="str">
        <f>IF($C3133="","",IFERROR(INDEX('Paramètres'!$H:$H,MATCH($C3133,'Paramètres'!$D:$D,0))&amp;"",""))</f>
        <v/>
      </c>
      <c r="T3133" s="6" t="str">
        <f>IF($K3133="","",IF($S3133="",0,IF(ISNUMBER(SEARCH("apport-exterieur",IFERROR(INDEX('Paramètres'!$N:$N,MATCH($D3133,'Paramètres'!$M:$M,0))&amp;"",""))),0,IF(OR(IFERROR(INDEX('Paramètres'!$I:$I,MATCH($C3133,'Paramètres'!$D:$D,0))&amp;"","")="Les deux",IFERROR(INDEX('Paramètres'!$I:$I,MATCH($C3133,'Paramètres'!$D:$D,0))&amp;"","")=IF($P3133=1,"Débit",$L3133)),-IF($P3133=1,-$K3133,$K3133),0))))</f>
        <v/>
      </c>
      <c r="U3133" s="6" t="str">
        <f>IF($K3133="","",IF(ISNUMBER(SEARCH("sortie-epargne",IFERROR(INDEX('Paramètres'!$N:$N,MATCH($D3133,'Paramètres'!$M:$M,0))&amp;"",""))),$K3133,0))</f>
        <v/>
      </c>
      <c r="V3133" s="6" t="str">
        <f>IF(AND($A3133&lt;&gt;"",$O3133=1,$L3133="Débit",N($Q3133)&gt;0,$A3133&gt;=Visualisation!$B$1,$A3133&lt;Visualisation!$D$1),MAX($V$1:V3132)+1,"")</f>
        <v/>
      </c>
    </row>
    <row r="3134" spans="1:22" x14ac:dyDescent="0.25">
      <c r="A3134" s="9"/>
      <c r="E3134" s="10"/>
      <c r="K3134" s="11" t="str">
        <f>IF($E3134="","",ROUND($E3134*IF(ISNA(MATCH($C3134,'Paramètres'!$D:$D,0)),1,IF(INDEX('Paramètres'!$J:$J,MATCH($C3134,'Paramètres'!$D:$D,0))="",1,INDEX('Paramètres'!$J:$J,MATCH($C3134,'Paramètres'!$D:$D,0)))),2))</f>
        <v/>
      </c>
      <c r="L3134" s="6" t="str">
        <f>IF($D3134="","",IF($F3134&lt;&gt;"",$F3134,IF(ISNA(MATCH($D3134,'Paramètres'!$M:$M,0)),"⚠ Type inconnu",IFERROR(INDEX('Paramètres'!$P:$P,MATCH($D3134,'Paramètres'!$M:$M,0))&amp;"",""))))</f>
        <v/>
      </c>
      <c r="M3134" s="6" t="str">
        <f>IF($D3134="","",IF(ISNA(MATCH($D3134,'Paramètres'!$M:$M,0)),"⚠ Type inconnu",IF($L3134="Crédit","",IFERROR(INDEX('Paramètres'!$O:$O,MATCH($D3134,'Paramètres'!$M:$M,0))&amp;"",""))))</f>
        <v/>
      </c>
      <c r="N3134" s="6" t="str">
        <f>IF($D3134="","",IFERROR(INDEX('Paramètres'!$Q:$Q,MATCH($D3134,'Paramètres'!$M:$M,0))&amp;"",""))</f>
        <v/>
      </c>
      <c r="O3134" s="6" t="str">
        <f>IF($A3134="","",IF(OR($J3134&lt;&gt;"x",$A3134&lt;=FinReleve),1,0))</f>
        <v/>
      </c>
      <c r="P3134" s="6" t="str">
        <f>IF($D3134="","",IF(AND($L3134="Crédit",OR(IFERROR(INDEX('Paramètres'!$O:$O,MATCH($D3134,'Paramètres'!$M:$M,0))&amp;"","")&lt;&gt;"",ISNUMBER(SEARCH("remboursement",IFERROR(INDEX('Paramètres'!$N:$N,MATCH($D3134,'Paramètres'!$M:$M,0))&amp;"",""))))),1,0))</f>
        <v/>
      </c>
      <c r="Q3134" s="6" t="str">
        <f>IF($K3134="","",IF(ISNUMBER(SEARCH("transfert-interne",IFERROR(INDEX('Paramètres'!$N:$N,MATCH($D3134,'Paramètres'!$M:$M,0))&amp;"",""))),0,IF($L3134="Débit",$K3134,IF($P3134=1,-$K3134,0))))</f>
        <v/>
      </c>
      <c r="R3134" s="6" t="str">
        <f>IF($K3134="","",IF($L3134="Crédit",$K3134,-$K3134))</f>
        <v/>
      </c>
      <c r="S3134" s="6" t="str">
        <f>IF($C3134="","",IFERROR(INDEX('Paramètres'!$H:$H,MATCH($C3134,'Paramètres'!$D:$D,0))&amp;"",""))</f>
        <v/>
      </c>
      <c r="T3134" s="6" t="str">
        <f>IF($K3134="","",IF($S3134="",0,IF(ISNUMBER(SEARCH("apport-exterieur",IFERROR(INDEX('Paramètres'!$N:$N,MATCH($D3134,'Paramètres'!$M:$M,0))&amp;"",""))),0,IF(OR(IFERROR(INDEX('Paramètres'!$I:$I,MATCH($C3134,'Paramètres'!$D:$D,0))&amp;"","")="Les deux",IFERROR(INDEX('Paramètres'!$I:$I,MATCH($C3134,'Paramètres'!$D:$D,0))&amp;"","")=IF($P3134=1,"Débit",$L3134)),-IF($P3134=1,-$K3134,$K3134),0))))</f>
        <v/>
      </c>
      <c r="U3134" s="6" t="str">
        <f>IF($K3134="","",IF(ISNUMBER(SEARCH("sortie-epargne",IFERROR(INDEX('Paramètres'!$N:$N,MATCH($D3134,'Paramètres'!$M:$M,0))&amp;"",""))),$K3134,0))</f>
        <v/>
      </c>
      <c r="V3134" s="6" t="str">
        <f>IF(AND($A3134&lt;&gt;"",$O3134=1,$L3134="Débit",N($Q3134)&gt;0,$A3134&gt;=Visualisation!$B$1,$A3134&lt;Visualisation!$D$1),MAX($V$1:V3133)+1,"")</f>
        <v/>
      </c>
    </row>
    <row r="3135" spans="1:22" x14ac:dyDescent="0.25">
      <c r="A3135" s="9"/>
      <c r="E3135" s="10"/>
      <c r="K3135" s="11" t="str">
        <f>IF($E3135="","",ROUND($E3135*IF(ISNA(MATCH($C3135,'Paramètres'!$D:$D,0)),1,IF(INDEX('Paramètres'!$J:$J,MATCH($C3135,'Paramètres'!$D:$D,0))="",1,INDEX('Paramètres'!$J:$J,MATCH($C3135,'Paramètres'!$D:$D,0)))),2))</f>
        <v/>
      </c>
      <c r="L3135" s="6" t="str">
        <f>IF($D3135="","",IF($F3135&lt;&gt;"",$F3135,IF(ISNA(MATCH($D3135,'Paramètres'!$M:$M,0)),"⚠ Type inconnu",IFERROR(INDEX('Paramètres'!$P:$P,MATCH($D3135,'Paramètres'!$M:$M,0))&amp;"",""))))</f>
        <v/>
      </c>
      <c r="M3135" s="6" t="str">
        <f>IF($D3135="","",IF(ISNA(MATCH($D3135,'Paramètres'!$M:$M,0)),"⚠ Type inconnu",IF($L3135="Crédit","",IFERROR(INDEX('Paramètres'!$O:$O,MATCH($D3135,'Paramètres'!$M:$M,0))&amp;"",""))))</f>
        <v/>
      </c>
      <c r="N3135" s="6" t="str">
        <f>IF($D3135="","",IFERROR(INDEX('Paramètres'!$Q:$Q,MATCH($D3135,'Paramètres'!$M:$M,0))&amp;"",""))</f>
        <v/>
      </c>
      <c r="O3135" s="6" t="str">
        <f>IF($A3135="","",IF(OR($J3135&lt;&gt;"x",$A3135&lt;=FinReleve),1,0))</f>
        <v/>
      </c>
      <c r="P3135" s="6" t="str">
        <f>IF($D3135="","",IF(AND($L3135="Crédit",OR(IFERROR(INDEX('Paramètres'!$O:$O,MATCH($D3135,'Paramètres'!$M:$M,0))&amp;"","")&lt;&gt;"",ISNUMBER(SEARCH("remboursement",IFERROR(INDEX('Paramètres'!$N:$N,MATCH($D3135,'Paramètres'!$M:$M,0))&amp;"",""))))),1,0))</f>
        <v/>
      </c>
      <c r="Q3135" s="6" t="str">
        <f>IF($K3135="","",IF(ISNUMBER(SEARCH("transfert-interne",IFERROR(INDEX('Paramètres'!$N:$N,MATCH($D3135,'Paramètres'!$M:$M,0))&amp;"",""))),0,IF($L3135="Débit",$K3135,IF($P3135=1,-$K3135,0))))</f>
        <v/>
      </c>
      <c r="R3135" s="6" t="str">
        <f>IF($K3135="","",IF($L3135="Crédit",$K3135,-$K3135))</f>
        <v/>
      </c>
      <c r="S3135" s="6" t="str">
        <f>IF($C3135="","",IFERROR(INDEX('Paramètres'!$H:$H,MATCH($C3135,'Paramètres'!$D:$D,0))&amp;"",""))</f>
        <v/>
      </c>
      <c r="T3135" s="6" t="str">
        <f>IF($K3135="","",IF($S3135="",0,IF(ISNUMBER(SEARCH("apport-exterieur",IFERROR(INDEX('Paramètres'!$N:$N,MATCH($D3135,'Paramètres'!$M:$M,0))&amp;"",""))),0,IF(OR(IFERROR(INDEX('Paramètres'!$I:$I,MATCH($C3135,'Paramètres'!$D:$D,0))&amp;"","")="Les deux",IFERROR(INDEX('Paramètres'!$I:$I,MATCH($C3135,'Paramètres'!$D:$D,0))&amp;"","")=IF($P3135=1,"Débit",$L3135)),-IF($P3135=1,-$K3135,$K3135),0))))</f>
        <v/>
      </c>
      <c r="U3135" s="6" t="str">
        <f>IF($K3135="","",IF(ISNUMBER(SEARCH("sortie-epargne",IFERROR(INDEX('Paramètres'!$N:$N,MATCH($D3135,'Paramètres'!$M:$M,0))&amp;"",""))),$K3135,0))</f>
        <v/>
      </c>
      <c r="V3135" s="6" t="str">
        <f>IF(AND($A3135&lt;&gt;"",$O3135=1,$L3135="Débit",N($Q3135)&gt;0,$A3135&gt;=Visualisation!$B$1,$A3135&lt;Visualisation!$D$1),MAX($V$1:V3134)+1,"")</f>
        <v/>
      </c>
    </row>
    <row r="3136" spans="1:22" x14ac:dyDescent="0.25">
      <c r="A3136" s="9"/>
      <c r="E3136" s="10"/>
      <c r="K3136" s="11" t="str">
        <f>IF($E3136="","",ROUND($E3136*IF(ISNA(MATCH($C3136,'Paramètres'!$D:$D,0)),1,IF(INDEX('Paramètres'!$J:$J,MATCH($C3136,'Paramètres'!$D:$D,0))="",1,INDEX('Paramètres'!$J:$J,MATCH($C3136,'Paramètres'!$D:$D,0)))),2))</f>
        <v/>
      </c>
      <c r="L3136" s="6" t="str">
        <f>IF($D3136="","",IF($F3136&lt;&gt;"",$F3136,IF(ISNA(MATCH($D3136,'Paramètres'!$M:$M,0)),"⚠ Type inconnu",IFERROR(INDEX('Paramètres'!$P:$P,MATCH($D3136,'Paramètres'!$M:$M,0))&amp;"",""))))</f>
        <v/>
      </c>
      <c r="M3136" s="6" t="str">
        <f>IF($D3136="","",IF(ISNA(MATCH($D3136,'Paramètres'!$M:$M,0)),"⚠ Type inconnu",IF($L3136="Crédit","",IFERROR(INDEX('Paramètres'!$O:$O,MATCH($D3136,'Paramètres'!$M:$M,0))&amp;"",""))))</f>
        <v/>
      </c>
      <c r="N3136" s="6" t="str">
        <f>IF($D3136="","",IFERROR(INDEX('Paramètres'!$Q:$Q,MATCH($D3136,'Paramètres'!$M:$M,0))&amp;"",""))</f>
        <v/>
      </c>
      <c r="O3136" s="6" t="str">
        <f>IF($A3136="","",IF(OR($J3136&lt;&gt;"x",$A3136&lt;=FinReleve),1,0))</f>
        <v/>
      </c>
      <c r="P3136" s="6" t="str">
        <f>IF($D3136="","",IF(AND($L3136="Crédit",OR(IFERROR(INDEX('Paramètres'!$O:$O,MATCH($D3136,'Paramètres'!$M:$M,0))&amp;"","")&lt;&gt;"",ISNUMBER(SEARCH("remboursement",IFERROR(INDEX('Paramètres'!$N:$N,MATCH($D3136,'Paramètres'!$M:$M,0))&amp;"",""))))),1,0))</f>
        <v/>
      </c>
      <c r="Q3136" s="6" t="str">
        <f>IF($K3136="","",IF(ISNUMBER(SEARCH("transfert-interne",IFERROR(INDEX('Paramètres'!$N:$N,MATCH($D3136,'Paramètres'!$M:$M,0))&amp;"",""))),0,IF($L3136="Débit",$K3136,IF($P3136=1,-$K3136,0))))</f>
        <v/>
      </c>
      <c r="R3136" s="6" t="str">
        <f>IF($K3136="","",IF($L3136="Crédit",$K3136,-$K3136))</f>
        <v/>
      </c>
      <c r="S3136" s="6" t="str">
        <f>IF($C3136="","",IFERROR(INDEX('Paramètres'!$H:$H,MATCH($C3136,'Paramètres'!$D:$D,0))&amp;"",""))</f>
        <v/>
      </c>
      <c r="T3136" s="6" t="str">
        <f>IF($K3136="","",IF($S3136="",0,IF(ISNUMBER(SEARCH("apport-exterieur",IFERROR(INDEX('Paramètres'!$N:$N,MATCH($D3136,'Paramètres'!$M:$M,0))&amp;"",""))),0,IF(OR(IFERROR(INDEX('Paramètres'!$I:$I,MATCH($C3136,'Paramètres'!$D:$D,0))&amp;"","")="Les deux",IFERROR(INDEX('Paramètres'!$I:$I,MATCH($C3136,'Paramètres'!$D:$D,0))&amp;"","")=IF($P3136=1,"Débit",$L3136)),-IF($P3136=1,-$K3136,$K3136),0))))</f>
        <v/>
      </c>
      <c r="U3136" s="6" t="str">
        <f>IF($K3136="","",IF(ISNUMBER(SEARCH("sortie-epargne",IFERROR(INDEX('Paramètres'!$N:$N,MATCH($D3136,'Paramètres'!$M:$M,0))&amp;"",""))),$K3136,0))</f>
        <v/>
      </c>
      <c r="V3136" s="6" t="str">
        <f>IF(AND($A3136&lt;&gt;"",$O3136=1,$L3136="Débit",N($Q3136)&gt;0,$A3136&gt;=Visualisation!$B$1,$A3136&lt;Visualisation!$D$1),MAX($V$1:V3135)+1,"")</f>
        <v/>
      </c>
    </row>
    <row r="3137" spans="1:22" x14ac:dyDescent="0.25">
      <c r="A3137" s="9"/>
      <c r="E3137" s="10"/>
      <c r="K3137" s="11" t="str">
        <f>IF($E3137="","",ROUND($E3137*IF(ISNA(MATCH($C3137,'Paramètres'!$D:$D,0)),1,IF(INDEX('Paramètres'!$J:$J,MATCH($C3137,'Paramètres'!$D:$D,0))="",1,INDEX('Paramètres'!$J:$J,MATCH($C3137,'Paramètres'!$D:$D,0)))),2))</f>
        <v/>
      </c>
      <c r="L3137" s="6" t="str">
        <f>IF($D3137="","",IF($F3137&lt;&gt;"",$F3137,IF(ISNA(MATCH($D3137,'Paramètres'!$M:$M,0)),"⚠ Type inconnu",IFERROR(INDEX('Paramètres'!$P:$P,MATCH($D3137,'Paramètres'!$M:$M,0))&amp;"",""))))</f>
        <v/>
      </c>
      <c r="M3137" s="6" t="str">
        <f>IF($D3137="","",IF(ISNA(MATCH($D3137,'Paramètres'!$M:$M,0)),"⚠ Type inconnu",IF($L3137="Crédit","",IFERROR(INDEX('Paramètres'!$O:$O,MATCH($D3137,'Paramètres'!$M:$M,0))&amp;"",""))))</f>
        <v/>
      </c>
      <c r="N3137" s="6" t="str">
        <f>IF($D3137="","",IFERROR(INDEX('Paramètres'!$Q:$Q,MATCH($D3137,'Paramètres'!$M:$M,0))&amp;"",""))</f>
        <v/>
      </c>
      <c r="O3137" s="6" t="str">
        <f>IF($A3137="","",IF(OR($J3137&lt;&gt;"x",$A3137&lt;=FinReleve),1,0))</f>
        <v/>
      </c>
      <c r="P3137" s="6" t="str">
        <f>IF($D3137="","",IF(AND($L3137="Crédit",OR(IFERROR(INDEX('Paramètres'!$O:$O,MATCH($D3137,'Paramètres'!$M:$M,0))&amp;"","")&lt;&gt;"",ISNUMBER(SEARCH("remboursement",IFERROR(INDEX('Paramètres'!$N:$N,MATCH($D3137,'Paramètres'!$M:$M,0))&amp;"",""))))),1,0))</f>
        <v/>
      </c>
      <c r="Q3137" s="6" t="str">
        <f>IF($K3137="","",IF(ISNUMBER(SEARCH("transfert-interne",IFERROR(INDEX('Paramètres'!$N:$N,MATCH($D3137,'Paramètres'!$M:$M,0))&amp;"",""))),0,IF($L3137="Débit",$K3137,IF($P3137=1,-$K3137,0))))</f>
        <v/>
      </c>
      <c r="R3137" s="6" t="str">
        <f>IF($K3137="","",IF($L3137="Crédit",$K3137,-$K3137))</f>
        <v/>
      </c>
      <c r="S3137" s="6" t="str">
        <f>IF($C3137="","",IFERROR(INDEX('Paramètres'!$H:$H,MATCH($C3137,'Paramètres'!$D:$D,0))&amp;"",""))</f>
        <v/>
      </c>
      <c r="T3137" s="6" t="str">
        <f>IF($K3137="","",IF($S3137="",0,IF(ISNUMBER(SEARCH("apport-exterieur",IFERROR(INDEX('Paramètres'!$N:$N,MATCH($D3137,'Paramètres'!$M:$M,0))&amp;"",""))),0,IF(OR(IFERROR(INDEX('Paramètres'!$I:$I,MATCH($C3137,'Paramètres'!$D:$D,0))&amp;"","")="Les deux",IFERROR(INDEX('Paramètres'!$I:$I,MATCH($C3137,'Paramètres'!$D:$D,0))&amp;"","")=IF($P3137=1,"Débit",$L3137)),-IF($P3137=1,-$K3137,$K3137),0))))</f>
        <v/>
      </c>
      <c r="U3137" s="6" t="str">
        <f>IF($K3137="","",IF(ISNUMBER(SEARCH("sortie-epargne",IFERROR(INDEX('Paramètres'!$N:$N,MATCH($D3137,'Paramètres'!$M:$M,0))&amp;"",""))),$K3137,0))</f>
        <v/>
      </c>
      <c r="V3137" s="6" t="str">
        <f>IF(AND($A3137&lt;&gt;"",$O3137=1,$L3137="Débit",N($Q3137)&gt;0,$A3137&gt;=Visualisation!$B$1,$A3137&lt;Visualisation!$D$1),MAX($V$1:V3136)+1,"")</f>
        <v/>
      </c>
    </row>
    <row r="3138" spans="1:22" x14ac:dyDescent="0.25">
      <c r="A3138" s="9"/>
      <c r="E3138" s="10"/>
      <c r="K3138" s="11" t="str">
        <f>IF($E3138="","",ROUND($E3138*IF(ISNA(MATCH($C3138,'Paramètres'!$D:$D,0)),1,IF(INDEX('Paramètres'!$J:$J,MATCH($C3138,'Paramètres'!$D:$D,0))="",1,INDEX('Paramètres'!$J:$J,MATCH($C3138,'Paramètres'!$D:$D,0)))),2))</f>
        <v/>
      </c>
      <c r="L3138" s="6" t="str">
        <f>IF($D3138="","",IF($F3138&lt;&gt;"",$F3138,IF(ISNA(MATCH($D3138,'Paramètres'!$M:$M,0)),"⚠ Type inconnu",IFERROR(INDEX('Paramètres'!$P:$P,MATCH($D3138,'Paramètres'!$M:$M,0))&amp;"",""))))</f>
        <v/>
      </c>
      <c r="M3138" s="6" t="str">
        <f>IF($D3138="","",IF(ISNA(MATCH($D3138,'Paramètres'!$M:$M,0)),"⚠ Type inconnu",IF($L3138="Crédit","",IFERROR(INDEX('Paramètres'!$O:$O,MATCH($D3138,'Paramètres'!$M:$M,0))&amp;"",""))))</f>
        <v/>
      </c>
      <c r="N3138" s="6" t="str">
        <f>IF($D3138="","",IFERROR(INDEX('Paramètres'!$Q:$Q,MATCH($D3138,'Paramètres'!$M:$M,0))&amp;"",""))</f>
        <v/>
      </c>
      <c r="O3138" s="6" t="str">
        <f>IF($A3138="","",IF(OR($J3138&lt;&gt;"x",$A3138&lt;=FinReleve),1,0))</f>
        <v/>
      </c>
      <c r="P3138" s="6" t="str">
        <f>IF($D3138="","",IF(AND($L3138="Crédit",OR(IFERROR(INDEX('Paramètres'!$O:$O,MATCH($D3138,'Paramètres'!$M:$M,0))&amp;"","")&lt;&gt;"",ISNUMBER(SEARCH("remboursement",IFERROR(INDEX('Paramètres'!$N:$N,MATCH($D3138,'Paramètres'!$M:$M,0))&amp;"",""))))),1,0))</f>
        <v/>
      </c>
      <c r="Q3138" s="6" t="str">
        <f>IF($K3138="","",IF(ISNUMBER(SEARCH("transfert-interne",IFERROR(INDEX('Paramètres'!$N:$N,MATCH($D3138,'Paramètres'!$M:$M,0))&amp;"",""))),0,IF($L3138="Débit",$K3138,IF($P3138=1,-$K3138,0))))</f>
        <v/>
      </c>
      <c r="R3138" s="6" t="str">
        <f>IF($K3138="","",IF($L3138="Crédit",$K3138,-$K3138))</f>
        <v/>
      </c>
      <c r="S3138" s="6" t="str">
        <f>IF($C3138="","",IFERROR(INDEX('Paramètres'!$H:$H,MATCH($C3138,'Paramètres'!$D:$D,0))&amp;"",""))</f>
        <v/>
      </c>
      <c r="T3138" s="6" t="str">
        <f>IF($K3138="","",IF($S3138="",0,IF(ISNUMBER(SEARCH("apport-exterieur",IFERROR(INDEX('Paramètres'!$N:$N,MATCH($D3138,'Paramètres'!$M:$M,0))&amp;"",""))),0,IF(OR(IFERROR(INDEX('Paramètres'!$I:$I,MATCH($C3138,'Paramètres'!$D:$D,0))&amp;"","")="Les deux",IFERROR(INDEX('Paramètres'!$I:$I,MATCH($C3138,'Paramètres'!$D:$D,0))&amp;"","")=IF($P3138=1,"Débit",$L3138)),-IF($P3138=1,-$K3138,$K3138),0))))</f>
        <v/>
      </c>
      <c r="U3138" s="6" t="str">
        <f>IF($K3138="","",IF(ISNUMBER(SEARCH("sortie-epargne",IFERROR(INDEX('Paramètres'!$N:$N,MATCH($D3138,'Paramètres'!$M:$M,0))&amp;"",""))),$K3138,0))</f>
        <v/>
      </c>
      <c r="V3138" s="6" t="str">
        <f>IF(AND($A3138&lt;&gt;"",$O3138=1,$L3138="Débit",N($Q3138)&gt;0,$A3138&gt;=Visualisation!$B$1,$A3138&lt;Visualisation!$D$1),MAX($V$1:V3137)+1,"")</f>
        <v/>
      </c>
    </row>
    <row r="3139" spans="1:22" x14ac:dyDescent="0.25">
      <c r="A3139" s="9"/>
      <c r="E3139" s="10"/>
      <c r="K3139" s="11" t="str">
        <f>IF($E3139="","",ROUND($E3139*IF(ISNA(MATCH($C3139,'Paramètres'!$D:$D,0)),1,IF(INDEX('Paramètres'!$J:$J,MATCH($C3139,'Paramètres'!$D:$D,0))="",1,INDEX('Paramètres'!$J:$J,MATCH($C3139,'Paramètres'!$D:$D,0)))),2))</f>
        <v/>
      </c>
      <c r="L3139" s="6" t="str">
        <f>IF($D3139="","",IF($F3139&lt;&gt;"",$F3139,IF(ISNA(MATCH($D3139,'Paramètres'!$M:$M,0)),"⚠ Type inconnu",IFERROR(INDEX('Paramètres'!$P:$P,MATCH($D3139,'Paramètres'!$M:$M,0))&amp;"",""))))</f>
        <v/>
      </c>
      <c r="M3139" s="6" t="str">
        <f>IF($D3139="","",IF(ISNA(MATCH($D3139,'Paramètres'!$M:$M,0)),"⚠ Type inconnu",IF($L3139="Crédit","",IFERROR(INDEX('Paramètres'!$O:$O,MATCH($D3139,'Paramètres'!$M:$M,0))&amp;"",""))))</f>
        <v/>
      </c>
      <c r="N3139" s="6" t="str">
        <f>IF($D3139="","",IFERROR(INDEX('Paramètres'!$Q:$Q,MATCH($D3139,'Paramètres'!$M:$M,0))&amp;"",""))</f>
        <v/>
      </c>
      <c r="O3139" s="6" t="str">
        <f>IF($A3139="","",IF(OR($J3139&lt;&gt;"x",$A3139&lt;=FinReleve),1,0))</f>
        <v/>
      </c>
      <c r="P3139" s="6" t="str">
        <f>IF($D3139="","",IF(AND($L3139="Crédit",OR(IFERROR(INDEX('Paramètres'!$O:$O,MATCH($D3139,'Paramètres'!$M:$M,0))&amp;"","")&lt;&gt;"",ISNUMBER(SEARCH("remboursement",IFERROR(INDEX('Paramètres'!$N:$N,MATCH($D3139,'Paramètres'!$M:$M,0))&amp;"",""))))),1,0))</f>
        <v/>
      </c>
      <c r="Q3139" s="6" t="str">
        <f>IF($K3139="","",IF(ISNUMBER(SEARCH("transfert-interne",IFERROR(INDEX('Paramètres'!$N:$N,MATCH($D3139,'Paramètres'!$M:$M,0))&amp;"",""))),0,IF($L3139="Débit",$K3139,IF($P3139=1,-$K3139,0))))</f>
        <v/>
      </c>
      <c r="R3139" s="6" t="str">
        <f>IF($K3139="","",IF($L3139="Crédit",$K3139,-$K3139))</f>
        <v/>
      </c>
      <c r="S3139" s="6" t="str">
        <f>IF($C3139="","",IFERROR(INDEX('Paramètres'!$H:$H,MATCH($C3139,'Paramètres'!$D:$D,0))&amp;"",""))</f>
        <v/>
      </c>
      <c r="T3139" s="6" t="str">
        <f>IF($K3139="","",IF($S3139="",0,IF(ISNUMBER(SEARCH("apport-exterieur",IFERROR(INDEX('Paramètres'!$N:$N,MATCH($D3139,'Paramètres'!$M:$M,0))&amp;"",""))),0,IF(OR(IFERROR(INDEX('Paramètres'!$I:$I,MATCH($C3139,'Paramètres'!$D:$D,0))&amp;"","")="Les deux",IFERROR(INDEX('Paramètres'!$I:$I,MATCH($C3139,'Paramètres'!$D:$D,0))&amp;"","")=IF($P3139=1,"Débit",$L3139)),-IF($P3139=1,-$K3139,$K3139),0))))</f>
        <v/>
      </c>
      <c r="U3139" s="6" t="str">
        <f>IF($K3139="","",IF(ISNUMBER(SEARCH("sortie-epargne",IFERROR(INDEX('Paramètres'!$N:$N,MATCH($D3139,'Paramètres'!$M:$M,0))&amp;"",""))),$K3139,0))</f>
        <v/>
      </c>
      <c r="V3139" s="6" t="str">
        <f>IF(AND($A3139&lt;&gt;"",$O3139=1,$L3139="Débit",N($Q3139)&gt;0,$A3139&gt;=Visualisation!$B$1,$A3139&lt;Visualisation!$D$1),MAX($V$1:V3138)+1,"")</f>
        <v/>
      </c>
    </row>
    <row r="3140" spans="1:22" x14ac:dyDescent="0.25">
      <c r="A3140" s="9"/>
      <c r="E3140" s="10"/>
      <c r="K3140" s="11" t="str">
        <f>IF($E3140="","",ROUND($E3140*IF(ISNA(MATCH($C3140,'Paramètres'!$D:$D,0)),1,IF(INDEX('Paramètres'!$J:$J,MATCH($C3140,'Paramètres'!$D:$D,0))="",1,INDEX('Paramètres'!$J:$J,MATCH($C3140,'Paramètres'!$D:$D,0)))),2))</f>
        <v/>
      </c>
      <c r="L3140" s="6" t="str">
        <f>IF($D3140="","",IF($F3140&lt;&gt;"",$F3140,IF(ISNA(MATCH($D3140,'Paramètres'!$M:$M,0)),"⚠ Type inconnu",IFERROR(INDEX('Paramètres'!$P:$P,MATCH($D3140,'Paramètres'!$M:$M,0))&amp;"",""))))</f>
        <v/>
      </c>
      <c r="M3140" s="6" t="str">
        <f>IF($D3140="","",IF(ISNA(MATCH($D3140,'Paramètres'!$M:$M,0)),"⚠ Type inconnu",IF($L3140="Crédit","",IFERROR(INDEX('Paramètres'!$O:$O,MATCH($D3140,'Paramètres'!$M:$M,0))&amp;"",""))))</f>
        <v/>
      </c>
      <c r="N3140" s="6" t="str">
        <f>IF($D3140="","",IFERROR(INDEX('Paramètres'!$Q:$Q,MATCH($D3140,'Paramètres'!$M:$M,0))&amp;"",""))</f>
        <v/>
      </c>
      <c r="O3140" s="6" t="str">
        <f>IF($A3140="","",IF(OR($J3140&lt;&gt;"x",$A3140&lt;=FinReleve),1,0))</f>
        <v/>
      </c>
      <c r="P3140" s="6" t="str">
        <f>IF($D3140="","",IF(AND($L3140="Crédit",OR(IFERROR(INDEX('Paramètres'!$O:$O,MATCH($D3140,'Paramètres'!$M:$M,0))&amp;"","")&lt;&gt;"",ISNUMBER(SEARCH("remboursement",IFERROR(INDEX('Paramètres'!$N:$N,MATCH($D3140,'Paramètres'!$M:$M,0))&amp;"",""))))),1,0))</f>
        <v/>
      </c>
      <c r="Q3140" s="6" t="str">
        <f>IF($K3140="","",IF(ISNUMBER(SEARCH("transfert-interne",IFERROR(INDEX('Paramètres'!$N:$N,MATCH($D3140,'Paramètres'!$M:$M,0))&amp;"",""))),0,IF($L3140="Débit",$K3140,IF($P3140=1,-$K3140,0))))</f>
        <v/>
      </c>
      <c r="R3140" s="6" t="str">
        <f>IF($K3140="","",IF($L3140="Crédit",$K3140,-$K3140))</f>
        <v/>
      </c>
      <c r="S3140" s="6" t="str">
        <f>IF($C3140="","",IFERROR(INDEX('Paramètres'!$H:$H,MATCH($C3140,'Paramètres'!$D:$D,0))&amp;"",""))</f>
        <v/>
      </c>
      <c r="T3140" s="6" t="str">
        <f>IF($K3140="","",IF($S3140="",0,IF(ISNUMBER(SEARCH("apport-exterieur",IFERROR(INDEX('Paramètres'!$N:$N,MATCH($D3140,'Paramètres'!$M:$M,0))&amp;"",""))),0,IF(OR(IFERROR(INDEX('Paramètres'!$I:$I,MATCH($C3140,'Paramètres'!$D:$D,0))&amp;"","")="Les deux",IFERROR(INDEX('Paramètres'!$I:$I,MATCH($C3140,'Paramètres'!$D:$D,0))&amp;"","")=IF($P3140=1,"Débit",$L3140)),-IF($P3140=1,-$K3140,$K3140),0))))</f>
        <v/>
      </c>
      <c r="U3140" s="6" t="str">
        <f>IF($K3140="","",IF(ISNUMBER(SEARCH("sortie-epargne",IFERROR(INDEX('Paramètres'!$N:$N,MATCH($D3140,'Paramètres'!$M:$M,0))&amp;"",""))),$K3140,0))</f>
        <v/>
      </c>
      <c r="V3140" s="6" t="str">
        <f>IF(AND($A3140&lt;&gt;"",$O3140=1,$L3140="Débit",N($Q3140)&gt;0,$A3140&gt;=Visualisation!$B$1,$A3140&lt;Visualisation!$D$1),MAX($V$1:V3139)+1,"")</f>
        <v/>
      </c>
    </row>
    <row r="3141" spans="1:22" x14ac:dyDescent="0.25">
      <c r="A3141" s="9"/>
      <c r="E3141" s="10"/>
      <c r="K3141" s="11" t="str">
        <f>IF($E3141="","",ROUND($E3141*IF(ISNA(MATCH($C3141,'Paramètres'!$D:$D,0)),1,IF(INDEX('Paramètres'!$J:$J,MATCH($C3141,'Paramètres'!$D:$D,0))="",1,INDEX('Paramètres'!$J:$J,MATCH($C3141,'Paramètres'!$D:$D,0)))),2))</f>
        <v/>
      </c>
      <c r="L3141" s="6" t="str">
        <f>IF($D3141="","",IF($F3141&lt;&gt;"",$F3141,IF(ISNA(MATCH($D3141,'Paramètres'!$M:$M,0)),"⚠ Type inconnu",IFERROR(INDEX('Paramètres'!$P:$P,MATCH($D3141,'Paramètres'!$M:$M,0))&amp;"",""))))</f>
        <v/>
      </c>
      <c r="M3141" s="6" t="str">
        <f>IF($D3141="","",IF(ISNA(MATCH($D3141,'Paramètres'!$M:$M,0)),"⚠ Type inconnu",IF($L3141="Crédit","",IFERROR(INDEX('Paramètres'!$O:$O,MATCH($D3141,'Paramètres'!$M:$M,0))&amp;"",""))))</f>
        <v/>
      </c>
      <c r="N3141" s="6" t="str">
        <f>IF($D3141="","",IFERROR(INDEX('Paramètres'!$Q:$Q,MATCH($D3141,'Paramètres'!$M:$M,0))&amp;"",""))</f>
        <v/>
      </c>
      <c r="O3141" s="6" t="str">
        <f>IF($A3141="","",IF(OR($J3141&lt;&gt;"x",$A3141&lt;=FinReleve),1,0))</f>
        <v/>
      </c>
      <c r="P3141" s="6" t="str">
        <f>IF($D3141="","",IF(AND($L3141="Crédit",OR(IFERROR(INDEX('Paramètres'!$O:$O,MATCH($D3141,'Paramètres'!$M:$M,0))&amp;"","")&lt;&gt;"",ISNUMBER(SEARCH("remboursement",IFERROR(INDEX('Paramètres'!$N:$N,MATCH($D3141,'Paramètres'!$M:$M,0))&amp;"",""))))),1,0))</f>
        <v/>
      </c>
      <c r="Q3141" s="6" t="str">
        <f>IF($K3141="","",IF(ISNUMBER(SEARCH("transfert-interne",IFERROR(INDEX('Paramètres'!$N:$N,MATCH($D3141,'Paramètres'!$M:$M,0))&amp;"",""))),0,IF($L3141="Débit",$K3141,IF($P3141=1,-$K3141,0))))</f>
        <v/>
      </c>
      <c r="R3141" s="6" t="str">
        <f>IF($K3141="","",IF($L3141="Crédit",$K3141,-$K3141))</f>
        <v/>
      </c>
      <c r="S3141" s="6" t="str">
        <f>IF($C3141="","",IFERROR(INDEX('Paramètres'!$H:$H,MATCH($C3141,'Paramètres'!$D:$D,0))&amp;"",""))</f>
        <v/>
      </c>
      <c r="T3141" s="6" t="str">
        <f>IF($K3141="","",IF($S3141="",0,IF(ISNUMBER(SEARCH("apport-exterieur",IFERROR(INDEX('Paramètres'!$N:$N,MATCH($D3141,'Paramètres'!$M:$M,0))&amp;"",""))),0,IF(OR(IFERROR(INDEX('Paramètres'!$I:$I,MATCH($C3141,'Paramètres'!$D:$D,0))&amp;"","")="Les deux",IFERROR(INDEX('Paramètres'!$I:$I,MATCH($C3141,'Paramètres'!$D:$D,0))&amp;"","")=IF($P3141=1,"Débit",$L3141)),-IF($P3141=1,-$K3141,$K3141),0))))</f>
        <v/>
      </c>
      <c r="U3141" s="6" t="str">
        <f>IF($K3141="","",IF(ISNUMBER(SEARCH("sortie-epargne",IFERROR(INDEX('Paramètres'!$N:$N,MATCH($D3141,'Paramètres'!$M:$M,0))&amp;"",""))),$K3141,0))</f>
        <v/>
      </c>
      <c r="V3141" s="6" t="str">
        <f>IF(AND($A3141&lt;&gt;"",$O3141=1,$L3141="Débit",N($Q3141)&gt;0,$A3141&gt;=Visualisation!$B$1,$A3141&lt;Visualisation!$D$1),MAX($V$1:V3140)+1,"")</f>
        <v/>
      </c>
    </row>
    <row r="3142" spans="1:22" x14ac:dyDescent="0.25">
      <c r="A3142" s="9"/>
      <c r="E3142" s="10"/>
      <c r="K3142" s="11" t="str">
        <f>IF($E3142="","",ROUND($E3142*IF(ISNA(MATCH($C3142,'Paramètres'!$D:$D,0)),1,IF(INDEX('Paramètres'!$J:$J,MATCH($C3142,'Paramètres'!$D:$D,0))="",1,INDEX('Paramètres'!$J:$J,MATCH($C3142,'Paramètres'!$D:$D,0)))),2))</f>
        <v/>
      </c>
      <c r="L3142" s="6" t="str">
        <f>IF($D3142="","",IF($F3142&lt;&gt;"",$F3142,IF(ISNA(MATCH($D3142,'Paramètres'!$M:$M,0)),"⚠ Type inconnu",IFERROR(INDEX('Paramètres'!$P:$P,MATCH($D3142,'Paramètres'!$M:$M,0))&amp;"",""))))</f>
        <v/>
      </c>
      <c r="M3142" s="6" t="str">
        <f>IF($D3142="","",IF(ISNA(MATCH($D3142,'Paramètres'!$M:$M,0)),"⚠ Type inconnu",IF($L3142="Crédit","",IFERROR(INDEX('Paramètres'!$O:$O,MATCH($D3142,'Paramètres'!$M:$M,0))&amp;"",""))))</f>
        <v/>
      </c>
      <c r="N3142" s="6" t="str">
        <f>IF($D3142="","",IFERROR(INDEX('Paramètres'!$Q:$Q,MATCH($D3142,'Paramètres'!$M:$M,0))&amp;"",""))</f>
        <v/>
      </c>
      <c r="O3142" s="6" t="str">
        <f>IF($A3142="","",IF(OR($J3142&lt;&gt;"x",$A3142&lt;=FinReleve),1,0))</f>
        <v/>
      </c>
      <c r="P3142" s="6" t="str">
        <f>IF($D3142="","",IF(AND($L3142="Crédit",OR(IFERROR(INDEX('Paramètres'!$O:$O,MATCH($D3142,'Paramètres'!$M:$M,0))&amp;"","")&lt;&gt;"",ISNUMBER(SEARCH("remboursement",IFERROR(INDEX('Paramètres'!$N:$N,MATCH($D3142,'Paramètres'!$M:$M,0))&amp;"",""))))),1,0))</f>
        <v/>
      </c>
      <c r="Q3142" s="6" t="str">
        <f>IF($K3142="","",IF(ISNUMBER(SEARCH("transfert-interne",IFERROR(INDEX('Paramètres'!$N:$N,MATCH($D3142,'Paramètres'!$M:$M,0))&amp;"",""))),0,IF($L3142="Débit",$K3142,IF($P3142=1,-$K3142,0))))</f>
        <v/>
      </c>
      <c r="R3142" s="6" t="str">
        <f>IF($K3142="","",IF($L3142="Crédit",$K3142,-$K3142))</f>
        <v/>
      </c>
      <c r="S3142" s="6" t="str">
        <f>IF($C3142="","",IFERROR(INDEX('Paramètres'!$H:$H,MATCH($C3142,'Paramètres'!$D:$D,0))&amp;"",""))</f>
        <v/>
      </c>
      <c r="T3142" s="6" t="str">
        <f>IF($K3142="","",IF($S3142="",0,IF(ISNUMBER(SEARCH("apport-exterieur",IFERROR(INDEX('Paramètres'!$N:$N,MATCH($D3142,'Paramètres'!$M:$M,0))&amp;"",""))),0,IF(OR(IFERROR(INDEX('Paramètres'!$I:$I,MATCH($C3142,'Paramètres'!$D:$D,0))&amp;"","")="Les deux",IFERROR(INDEX('Paramètres'!$I:$I,MATCH($C3142,'Paramètres'!$D:$D,0))&amp;"","")=IF($P3142=1,"Débit",$L3142)),-IF($P3142=1,-$K3142,$K3142),0))))</f>
        <v/>
      </c>
      <c r="U3142" s="6" t="str">
        <f>IF($K3142="","",IF(ISNUMBER(SEARCH("sortie-epargne",IFERROR(INDEX('Paramètres'!$N:$N,MATCH($D3142,'Paramètres'!$M:$M,0))&amp;"",""))),$K3142,0))</f>
        <v/>
      </c>
      <c r="V3142" s="6" t="str">
        <f>IF(AND($A3142&lt;&gt;"",$O3142=1,$L3142="Débit",N($Q3142)&gt;0,$A3142&gt;=Visualisation!$B$1,$A3142&lt;Visualisation!$D$1),MAX($V$1:V3141)+1,"")</f>
        <v/>
      </c>
    </row>
    <row r="3143" spans="1:22" x14ac:dyDescent="0.25">
      <c r="A3143" s="9"/>
      <c r="E3143" s="10"/>
      <c r="K3143" s="11" t="str">
        <f>IF($E3143="","",ROUND($E3143*IF(ISNA(MATCH($C3143,'Paramètres'!$D:$D,0)),1,IF(INDEX('Paramètres'!$J:$J,MATCH($C3143,'Paramètres'!$D:$D,0))="",1,INDEX('Paramètres'!$J:$J,MATCH($C3143,'Paramètres'!$D:$D,0)))),2))</f>
        <v/>
      </c>
      <c r="L3143" s="6" t="str">
        <f>IF($D3143="","",IF($F3143&lt;&gt;"",$F3143,IF(ISNA(MATCH($D3143,'Paramètres'!$M:$M,0)),"⚠ Type inconnu",IFERROR(INDEX('Paramètres'!$P:$P,MATCH($D3143,'Paramètres'!$M:$M,0))&amp;"",""))))</f>
        <v/>
      </c>
      <c r="M3143" s="6" t="str">
        <f>IF($D3143="","",IF(ISNA(MATCH($D3143,'Paramètres'!$M:$M,0)),"⚠ Type inconnu",IF($L3143="Crédit","",IFERROR(INDEX('Paramètres'!$O:$O,MATCH($D3143,'Paramètres'!$M:$M,0))&amp;"",""))))</f>
        <v/>
      </c>
      <c r="N3143" s="6" t="str">
        <f>IF($D3143="","",IFERROR(INDEX('Paramètres'!$Q:$Q,MATCH($D3143,'Paramètres'!$M:$M,0))&amp;"",""))</f>
        <v/>
      </c>
      <c r="O3143" s="6" t="str">
        <f>IF($A3143="","",IF(OR($J3143&lt;&gt;"x",$A3143&lt;=FinReleve),1,0))</f>
        <v/>
      </c>
      <c r="P3143" s="6" t="str">
        <f>IF($D3143="","",IF(AND($L3143="Crédit",OR(IFERROR(INDEX('Paramètres'!$O:$O,MATCH($D3143,'Paramètres'!$M:$M,0))&amp;"","")&lt;&gt;"",ISNUMBER(SEARCH("remboursement",IFERROR(INDEX('Paramètres'!$N:$N,MATCH($D3143,'Paramètres'!$M:$M,0))&amp;"",""))))),1,0))</f>
        <v/>
      </c>
      <c r="Q3143" s="6" t="str">
        <f>IF($K3143="","",IF(ISNUMBER(SEARCH("transfert-interne",IFERROR(INDEX('Paramètres'!$N:$N,MATCH($D3143,'Paramètres'!$M:$M,0))&amp;"",""))),0,IF($L3143="Débit",$K3143,IF($P3143=1,-$K3143,0))))</f>
        <v/>
      </c>
      <c r="R3143" s="6" t="str">
        <f>IF($K3143="","",IF($L3143="Crédit",$K3143,-$K3143))</f>
        <v/>
      </c>
      <c r="S3143" s="6" t="str">
        <f>IF($C3143="","",IFERROR(INDEX('Paramètres'!$H:$H,MATCH($C3143,'Paramètres'!$D:$D,0))&amp;"",""))</f>
        <v/>
      </c>
      <c r="T3143" s="6" t="str">
        <f>IF($K3143="","",IF($S3143="",0,IF(ISNUMBER(SEARCH("apport-exterieur",IFERROR(INDEX('Paramètres'!$N:$N,MATCH($D3143,'Paramètres'!$M:$M,0))&amp;"",""))),0,IF(OR(IFERROR(INDEX('Paramètres'!$I:$I,MATCH($C3143,'Paramètres'!$D:$D,0))&amp;"","")="Les deux",IFERROR(INDEX('Paramètres'!$I:$I,MATCH($C3143,'Paramètres'!$D:$D,0))&amp;"","")=IF($P3143=1,"Débit",$L3143)),-IF($P3143=1,-$K3143,$K3143),0))))</f>
        <v/>
      </c>
      <c r="U3143" s="6" t="str">
        <f>IF($K3143="","",IF(ISNUMBER(SEARCH("sortie-epargne",IFERROR(INDEX('Paramètres'!$N:$N,MATCH($D3143,'Paramètres'!$M:$M,0))&amp;"",""))),$K3143,0))</f>
        <v/>
      </c>
      <c r="V3143" s="6" t="str">
        <f>IF(AND($A3143&lt;&gt;"",$O3143=1,$L3143="Débit",N($Q3143)&gt;0,$A3143&gt;=Visualisation!$B$1,$A3143&lt;Visualisation!$D$1),MAX($V$1:V3142)+1,"")</f>
        <v/>
      </c>
    </row>
    <row r="3144" spans="1:22" x14ac:dyDescent="0.25">
      <c r="A3144" s="9"/>
      <c r="E3144" s="10"/>
      <c r="K3144" s="11" t="str">
        <f>IF($E3144="","",ROUND($E3144*IF(ISNA(MATCH($C3144,'Paramètres'!$D:$D,0)),1,IF(INDEX('Paramètres'!$J:$J,MATCH($C3144,'Paramètres'!$D:$D,0))="",1,INDEX('Paramètres'!$J:$J,MATCH($C3144,'Paramètres'!$D:$D,0)))),2))</f>
        <v/>
      </c>
      <c r="L3144" s="6" t="str">
        <f>IF($D3144="","",IF($F3144&lt;&gt;"",$F3144,IF(ISNA(MATCH($D3144,'Paramètres'!$M:$M,0)),"⚠ Type inconnu",IFERROR(INDEX('Paramètres'!$P:$P,MATCH($D3144,'Paramètres'!$M:$M,0))&amp;"",""))))</f>
        <v/>
      </c>
      <c r="M3144" s="6" t="str">
        <f>IF($D3144="","",IF(ISNA(MATCH($D3144,'Paramètres'!$M:$M,0)),"⚠ Type inconnu",IF($L3144="Crédit","",IFERROR(INDEX('Paramètres'!$O:$O,MATCH($D3144,'Paramètres'!$M:$M,0))&amp;"",""))))</f>
        <v/>
      </c>
      <c r="N3144" s="6" t="str">
        <f>IF($D3144="","",IFERROR(INDEX('Paramètres'!$Q:$Q,MATCH($D3144,'Paramètres'!$M:$M,0))&amp;"",""))</f>
        <v/>
      </c>
      <c r="O3144" s="6" t="str">
        <f>IF($A3144="","",IF(OR($J3144&lt;&gt;"x",$A3144&lt;=FinReleve),1,0))</f>
        <v/>
      </c>
      <c r="P3144" s="6" t="str">
        <f>IF($D3144="","",IF(AND($L3144="Crédit",OR(IFERROR(INDEX('Paramètres'!$O:$O,MATCH($D3144,'Paramètres'!$M:$M,0))&amp;"","")&lt;&gt;"",ISNUMBER(SEARCH("remboursement",IFERROR(INDEX('Paramètres'!$N:$N,MATCH($D3144,'Paramètres'!$M:$M,0))&amp;"",""))))),1,0))</f>
        <v/>
      </c>
      <c r="Q3144" s="6" t="str">
        <f>IF($K3144="","",IF(ISNUMBER(SEARCH("transfert-interne",IFERROR(INDEX('Paramètres'!$N:$N,MATCH($D3144,'Paramètres'!$M:$M,0))&amp;"",""))),0,IF($L3144="Débit",$K3144,IF($P3144=1,-$K3144,0))))</f>
        <v/>
      </c>
      <c r="R3144" s="6" t="str">
        <f>IF($K3144="","",IF($L3144="Crédit",$K3144,-$K3144))</f>
        <v/>
      </c>
      <c r="S3144" s="6" t="str">
        <f>IF($C3144="","",IFERROR(INDEX('Paramètres'!$H:$H,MATCH($C3144,'Paramètres'!$D:$D,0))&amp;"",""))</f>
        <v/>
      </c>
      <c r="T3144" s="6" t="str">
        <f>IF($K3144="","",IF($S3144="",0,IF(ISNUMBER(SEARCH("apport-exterieur",IFERROR(INDEX('Paramètres'!$N:$N,MATCH($D3144,'Paramètres'!$M:$M,0))&amp;"",""))),0,IF(OR(IFERROR(INDEX('Paramètres'!$I:$I,MATCH($C3144,'Paramètres'!$D:$D,0))&amp;"","")="Les deux",IFERROR(INDEX('Paramètres'!$I:$I,MATCH($C3144,'Paramètres'!$D:$D,0))&amp;"","")=IF($P3144=1,"Débit",$L3144)),-IF($P3144=1,-$K3144,$K3144),0))))</f>
        <v/>
      </c>
      <c r="U3144" s="6" t="str">
        <f>IF($K3144="","",IF(ISNUMBER(SEARCH("sortie-epargne",IFERROR(INDEX('Paramètres'!$N:$N,MATCH($D3144,'Paramètres'!$M:$M,0))&amp;"",""))),$K3144,0))</f>
        <v/>
      </c>
      <c r="V3144" s="6" t="str">
        <f>IF(AND($A3144&lt;&gt;"",$O3144=1,$L3144="Débit",N($Q3144)&gt;0,$A3144&gt;=Visualisation!$B$1,$A3144&lt;Visualisation!$D$1),MAX($V$1:V3143)+1,"")</f>
        <v/>
      </c>
    </row>
    <row r="3145" spans="1:22" x14ac:dyDescent="0.25">
      <c r="A3145" s="9"/>
      <c r="E3145" s="10"/>
      <c r="K3145" s="11" t="str">
        <f>IF($E3145="","",ROUND($E3145*IF(ISNA(MATCH($C3145,'Paramètres'!$D:$D,0)),1,IF(INDEX('Paramètres'!$J:$J,MATCH($C3145,'Paramètres'!$D:$D,0))="",1,INDEX('Paramètres'!$J:$J,MATCH($C3145,'Paramètres'!$D:$D,0)))),2))</f>
        <v/>
      </c>
      <c r="L3145" s="6" t="str">
        <f>IF($D3145="","",IF($F3145&lt;&gt;"",$F3145,IF(ISNA(MATCH($D3145,'Paramètres'!$M:$M,0)),"⚠ Type inconnu",IFERROR(INDEX('Paramètres'!$P:$P,MATCH($D3145,'Paramètres'!$M:$M,0))&amp;"",""))))</f>
        <v/>
      </c>
      <c r="M3145" s="6" t="str">
        <f>IF($D3145="","",IF(ISNA(MATCH($D3145,'Paramètres'!$M:$M,0)),"⚠ Type inconnu",IF($L3145="Crédit","",IFERROR(INDEX('Paramètres'!$O:$O,MATCH($D3145,'Paramètres'!$M:$M,0))&amp;"",""))))</f>
        <v/>
      </c>
      <c r="N3145" s="6" t="str">
        <f>IF($D3145="","",IFERROR(INDEX('Paramètres'!$Q:$Q,MATCH($D3145,'Paramètres'!$M:$M,0))&amp;"",""))</f>
        <v/>
      </c>
      <c r="O3145" s="6" t="str">
        <f>IF($A3145="","",IF(OR($J3145&lt;&gt;"x",$A3145&lt;=FinReleve),1,0))</f>
        <v/>
      </c>
      <c r="P3145" s="6" t="str">
        <f>IF($D3145="","",IF(AND($L3145="Crédit",OR(IFERROR(INDEX('Paramètres'!$O:$O,MATCH($D3145,'Paramètres'!$M:$M,0))&amp;"","")&lt;&gt;"",ISNUMBER(SEARCH("remboursement",IFERROR(INDEX('Paramètres'!$N:$N,MATCH($D3145,'Paramètres'!$M:$M,0))&amp;"",""))))),1,0))</f>
        <v/>
      </c>
      <c r="Q3145" s="6" t="str">
        <f>IF($K3145="","",IF(ISNUMBER(SEARCH("transfert-interne",IFERROR(INDEX('Paramètres'!$N:$N,MATCH($D3145,'Paramètres'!$M:$M,0))&amp;"",""))),0,IF($L3145="Débit",$K3145,IF($P3145=1,-$K3145,0))))</f>
        <v/>
      </c>
      <c r="R3145" s="6" t="str">
        <f>IF($K3145="","",IF($L3145="Crédit",$K3145,-$K3145))</f>
        <v/>
      </c>
      <c r="S3145" s="6" t="str">
        <f>IF($C3145="","",IFERROR(INDEX('Paramètres'!$H:$H,MATCH($C3145,'Paramètres'!$D:$D,0))&amp;"",""))</f>
        <v/>
      </c>
      <c r="T3145" s="6" t="str">
        <f>IF($K3145="","",IF($S3145="",0,IF(ISNUMBER(SEARCH("apport-exterieur",IFERROR(INDEX('Paramètres'!$N:$N,MATCH($D3145,'Paramètres'!$M:$M,0))&amp;"",""))),0,IF(OR(IFERROR(INDEX('Paramètres'!$I:$I,MATCH($C3145,'Paramètres'!$D:$D,0))&amp;"","")="Les deux",IFERROR(INDEX('Paramètres'!$I:$I,MATCH($C3145,'Paramètres'!$D:$D,0))&amp;"","")=IF($P3145=1,"Débit",$L3145)),-IF($P3145=1,-$K3145,$K3145),0))))</f>
        <v/>
      </c>
      <c r="U3145" s="6" t="str">
        <f>IF($K3145="","",IF(ISNUMBER(SEARCH("sortie-epargne",IFERROR(INDEX('Paramètres'!$N:$N,MATCH($D3145,'Paramètres'!$M:$M,0))&amp;"",""))),$K3145,0))</f>
        <v/>
      </c>
      <c r="V3145" s="6" t="str">
        <f>IF(AND($A3145&lt;&gt;"",$O3145=1,$L3145="Débit",N($Q3145)&gt;0,$A3145&gt;=Visualisation!$B$1,$A3145&lt;Visualisation!$D$1),MAX($V$1:V3144)+1,"")</f>
        <v/>
      </c>
    </row>
    <row r="3146" spans="1:22" x14ac:dyDescent="0.25">
      <c r="A3146" s="9"/>
      <c r="E3146" s="10"/>
      <c r="K3146" s="11" t="str">
        <f>IF($E3146="","",ROUND($E3146*IF(ISNA(MATCH($C3146,'Paramètres'!$D:$D,0)),1,IF(INDEX('Paramètres'!$J:$J,MATCH($C3146,'Paramètres'!$D:$D,0))="",1,INDEX('Paramètres'!$J:$J,MATCH($C3146,'Paramètres'!$D:$D,0)))),2))</f>
        <v/>
      </c>
      <c r="L3146" s="6" t="str">
        <f>IF($D3146="","",IF($F3146&lt;&gt;"",$F3146,IF(ISNA(MATCH($D3146,'Paramètres'!$M:$M,0)),"⚠ Type inconnu",IFERROR(INDEX('Paramètres'!$P:$P,MATCH($D3146,'Paramètres'!$M:$M,0))&amp;"",""))))</f>
        <v/>
      </c>
      <c r="M3146" s="6" t="str">
        <f>IF($D3146="","",IF(ISNA(MATCH($D3146,'Paramètres'!$M:$M,0)),"⚠ Type inconnu",IF($L3146="Crédit","",IFERROR(INDEX('Paramètres'!$O:$O,MATCH($D3146,'Paramètres'!$M:$M,0))&amp;"",""))))</f>
        <v/>
      </c>
      <c r="N3146" s="6" t="str">
        <f>IF($D3146="","",IFERROR(INDEX('Paramètres'!$Q:$Q,MATCH($D3146,'Paramètres'!$M:$M,0))&amp;"",""))</f>
        <v/>
      </c>
      <c r="O3146" s="6" t="str">
        <f>IF($A3146="","",IF(OR($J3146&lt;&gt;"x",$A3146&lt;=FinReleve),1,0))</f>
        <v/>
      </c>
      <c r="P3146" s="6" t="str">
        <f>IF($D3146="","",IF(AND($L3146="Crédit",OR(IFERROR(INDEX('Paramètres'!$O:$O,MATCH($D3146,'Paramètres'!$M:$M,0))&amp;"","")&lt;&gt;"",ISNUMBER(SEARCH("remboursement",IFERROR(INDEX('Paramètres'!$N:$N,MATCH($D3146,'Paramètres'!$M:$M,0))&amp;"",""))))),1,0))</f>
        <v/>
      </c>
      <c r="Q3146" s="6" t="str">
        <f>IF($K3146="","",IF(ISNUMBER(SEARCH("transfert-interne",IFERROR(INDEX('Paramètres'!$N:$N,MATCH($D3146,'Paramètres'!$M:$M,0))&amp;"",""))),0,IF($L3146="Débit",$K3146,IF($P3146=1,-$K3146,0))))</f>
        <v/>
      </c>
      <c r="R3146" s="6" t="str">
        <f>IF($K3146="","",IF($L3146="Crédit",$K3146,-$K3146))</f>
        <v/>
      </c>
      <c r="S3146" s="6" t="str">
        <f>IF($C3146="","",IFERROR(INDEX('Paramètres'!$H:$H,MATCH($C3146,'Paramètres'!$D:$D,0))&amp;"",""))</f>
        <v/>
      </c>
      <c r="T3146" s="6" t="str">
        <f>IF($K3146="","",IF($S3146="",0,IF(ISNUMBER(SEARCH("apport-exterieur",IFERROR(INDEX('Paramètres'!$N:$N,MATCH($D3146,'Paramètres'!$M:$M,0))&amp;"",""))),0,IF(OR(IFERROR(INDEX('Paramètres'!$I:$I,MATCH($C3146,'Paramètres'!$D:$D,0))&amp;"","")="Les deux",IFERROR(INDEX('Paramètres'!$I:$I,MATCH($C3146,'Paramètres'!$D:$D,0))&amp;"","")=IF($P3146=1,"Débit",$L3146)),-IF($P3146=1,-$K3146,$K3146),0))))</f>
        <v/>
      </c>
      <c r="U3146" s="6" t="str">
        <f>IF($K3146="","",IF(ISNUMBER(SEARCH("sortie-epargne",IFERROR(INDEX('Paramètres'!$N:$N,MATCH($D3146,'Paramètres'!$M:$M,0))&amp;"",""))),$K3146,0))</f>
        <v/>
      </c>
      <c r="V3146" s="6" t="str">
        <f>IF(AND($A3146&lt;&gt;"",$O3146=1,$L3146="Débit",N($Q3146)&gt;0,$A3146&gt;=Visualisation!$B$1,$A3146&lt;Visualisation!$D$1),MAX($V$1:V3145)+1,"")</f>
        <v/>
      </c>
    </row>
    <row r="3147" spans="1:22" x14ac:dyDescent="0.25">
      <c r="A3147" s="9"/>
      <c r="E3147" s="10"/>
      <c r="K3147" s="11" t="str">
        <f>IF($E3147="","",ROUND($E3147*IF(ISNA(MATCH($C3147,'Paramètres'!$D:$D,0)),1,IF(INDEX('Paramètres'!$J:$J,MATCH($C3147,'Paramètres'!$D:$D,0))="",1,INDEX('Paramètres'!$J:$J,MATCH($C3147,'Paramètres'!$D:$D,0)))),2))</f>
        <v/>
      </c>
      <c r="L3147" s="6" t="str">
        <f>IF($D3147="","",IF($F3147&lt;&gt;"",$F3147,IF(ISNA(MATCH($D3147,'Paramètres'!$M:$M,0)),"⚠ Type inconnu",IFERROR(INDEX('Paramètres'!$P:$P,MATCH($D3147,'Paramètres'!$M:$M,0))&amp;"",""))))</f>
        <v/>
      </c>
      <c r="M3147" s="6" t="str">
        <f>IF($D3147="","",IF(ISNA(MATCH($D3147,'Paramètres'!$M:$M,0)),"⚠ Type inconnu",IF($L3147="Crédit","",IFERROR(INDEX('Paramètres'!$O:$O,MATCH($D3147,'Paramètres'!$M:$M,0))&amp;"",""))))</f>
        <v/>
      </c>
      <c r="N3147" s="6" t="str">
        <f>IF($D3147="","",IFERROR(INDEX('Paramètres'!$Q:$Q,MATCH($D3147,'Paramètres'!$M:$M,0))&amp;"",""))</f>
        <v/>
      </c>
      <c r="O3147" s="6" t="str">
        <f>IF($A3147="","",IF(OR($J3147&lt;&gt;"x",$A3147&lt;=FinReleve),1,0))</f>
        <v/>
      </c>
      <c r="P3147" s="6" t="str">
        <f>IF($D3147="","",IF(AND($L3147="Crédit",OR(IFERROR(INDEX('Paramètres'!$O:$O,MATCH($D3147,'Paramètres'!$M:$M,0))&amp;"","")&lt;&gt;"",ISNUMBER(SEARCH("remboursement",IFERROR(INDEX('Paramètres'!$N:$N,MATCH($D3147,'Paramètres'!$M:$M,0))&amp;"",""))))),1,0))</f>
        <v/>
      </c>
      <c r="Q3147" s="6" t="str">
        <f>IF($K3147="","",IF(ISNUMBER(SEARCH("transfert-interne",IFERROR(INDEX('Paramètres'!$N:$N,MATCH($D3147,'Paramètres'!$M:$M,0))&amp;"",""))),0,IF($L3147="Débit",$K3147,IF($P3147=1,-$K3147,0))))</f>
        <v/>
      </c>
      <c r="R3147" s="6" t="str">
        <f>IF($K3147="","",IF($L3147="Crédit",$K3147,-$K3147))</f>
        <v/>
      </c>
      <c r="S3147" s="6" t="str">
        <f>IF($C3147="","",IFERROR(INDEX('Paramètres'!$H:$H,MATCH($C3147,'Paramètres'!$D:$D,0))&amp;"",""))</f>
        <v/>
      </c>
      <c r="T3147" s="6" t="str">
        <f>IF($K3147="","",IF($S3147="",0,IF(ISNUMBER(SEARCH("apport-exterieur",IFERROR(INDEX('Paramètres'!$N:$N,MATCH($D3147,'Paramètres'!$M:$M,0))&amp;"",""))),0,IF(OR(IFERROR(INDEX('Paramètres'!$I:$I,MATCH($C3147,'Paramètres'!$D:$D,0))&amp;"","")="Les deux",IFERROR(INDEX('Paramètres'!$I:$I,MATCH($C3147,'Paramètres'!$D:$D,0))&amp;"","")=IF($P3147=1,"Débit",$L3147)),-IF($P3147=1,-$K3147,$K3147),0))))</f>
        <v/>
      </c>
      <c r="U3147" s="6" t="str">
        <f>IF($K3147="","",IF(ISNUMBER(SEARCH("sortie-epargne",IFERROR(INDEX('Paramètres'!$N:$N,MATCH($D3147,'Paramètres'!$M:$M,0))&amp;"",""))),$K3147,0))</f>
        <v/>
      </c>
      <c r="V3147" s="6" t="str">
        <f>IF(AND($A3147&lt;&gt;"",$O3147=1,$L3147="Débit",N($Q3147)&gt;0,$A3147&gt;=Visualisation!$B$1,$A3147&lt;Visualisation!$D$1),MAX($V$1:V3146)+1,"")</f>
        <v/>
      </c>
    </row>
    <row r="3148" spans="1:22" x14ac:dyDescent="0.25">
      <c r="A3148" s="9"/>
      <c r="E3148" s="10"/>
      <c r="K3148" s="11" t="str">
        <f>IF($E3148="","",ROUND($E3148*IF(ISNA(MATCH($C3148,'Paramètres'!$D:$D,0)),1,IF(INDEX('Paramètres'!$J:$J,MATCH($C3148,'Paramètres'!$D:$D,0))="",1,INDEX('Paramètres'!$J:$J,MATCH($C3148,'Paramètres'!$D:$D,0)))),2))</f>
        <v/>
      </c>
      <c r="L3148" s="6" t="str">
        <f>IF($D3148="","",IF($F3148&lt;&gt;"",$F3148,IF(ISNA(MATCH($D3148,'Paramètres'!$M:$M,0)),"⚠ Type inconnu",IFERROR(INDEX('Paramètres'!$P:$P,MATCH($D3148,'Paramètres'!$M:$M,0))&amp;"",""))))</f>
        <v/>
      </c>
      <c r="M3148" s="6" t="str">
        <f>IF($D3148="","",IF(ISNA(MATCH($D3148,'Paramètres'!$M:$M,0)),"⚠ Type inconnu",IF($L3148="Crédit","",IFERROR(INDEX('Paramètres'!$O:$O,MATCH($D3148,'Paramètres'!$M:$M,0))&amp;"",""))))</f>
        <v/>
      </c>
      <c r="N3148" s="6" t="str">
        <f>IF($D3148="","",IFERROR(INDEX('Paramètres'!$Q:$Q,MATCH($D3148,'Paramètres'!$M:$M,0))&amp;"",""))</f>
        <v/>
      </c>
      <c r="O3148" s="6" t="str">
        <f>IF($A3148="","",IF(OR($J3148&lt;&gt;"x",$A3148&lt;=FinReleve),1,0))</f>
        <v/>
      </c>
      <c r="P3148" s="6" t="str">
        <f>IF($D3148="","",IF(AND($L3148="Crédit",OR(IFERROR(INDEX('Paramètres'!$O:$O,MATCH($D3148,'Paramètres'!$M:$M,0))&amp;"","")&lt;&gt;"",ISNUMBER(SEARCH("remboursement",IFERROR(INDEX('Paramètres'!$N:$N,MATCH($D3148,'Paramètres'!$M:$M,0))&amp;"",""))))),1,0))</f>
        <v/>
      </c>
      <c r="Q3148" s="6" t="str">
        <f>IF($K3148="","",IF(ISNUMBER(SEARCH("transfert-interne",IFERROR(INDEX('Paramètres'!$N:$N,MATCH($D3148,'Paramètres'!$M:$M,0))&amp;"",""))),0,IF($L3148="Débit",$K3148,IF($P3148=1,-$K3148,0))))</f>
        <v/>
      </c>
      <c r="R3148" s="6" t="str">
        <f>IF($K3148="","",IF($L3148="Crédit",$K3148,-$K3148))</f>
        <v/>
      </c>
      <c r="S3148" s="6" t="str">
        <f>IF($C3148="","",IFERROR(INDEX('Paramètres'!$H:$H,MATCH($C3148,'Paramètres'!$D:$D,0))&amp;"",""))</f>
        <v/>
      </c>
      <c r="T3148" s="6" t="str">
        <f>IF($K3148="","",IF($S3148="",0,IF(ISNUMBER(SEARCH("apport-exterieur",IFERROR(INDEX('Paramètres'!$N:$N,MATCH($D3148,'Paramètres'!$M:$M,0))&amp;"",""))),0,IF(OR(IFERROR(INDEX('Paramètres'!$I:$I,MATCH($C3148,'Paramètres'!$D:$D,0))&amp;"","")="Les deux",IFERROR(INDEX('Paramètres'!$I:$I,MATCH($C3148,'Paramètres'!$D:$D,0))&amp;"","")=IF($P3148=1,"Débit",$L3148)),-IF($P3148=1,-$K3148,$K3148),0))))</f>
        <v/>
      </c>
      <c r="U3148" s="6" t="str">
        <f>IF($K3148="","",IF(ISNUMBER(SEARCH("sortie-epargne",IFERROR(INDEX('Paramètres'!$N:$N,MATCH($D3148,'Paramètres'!$M:$M,0))&amp;"",""))),$K3148,0))</f>
        <v/>
      </c>
      <c r="V3148" s="6" t="str">
        <f>IF(AND($A3148&lt;&gt;"",$O3148=1,$L3148="Débit",N($Q3148)&gt;0,$A3148&gt;=Visualisation!$B$1,$A3148&lt;Visualisation!$D$1),MAX($V$1:V3147)+1,"")</f>
        <v/>
      </c>
    </row>
    <row r="3149" spans="1:22" x14ac:dyDescent="0.25">
      <c r="A3149" s="9"/>
      <c r="E3149" s="10"/>
      <c r="K3149" s="11" t="str">
        <f>IF($E3149="","",ROUND($E3149*IF(ISNA(MATCH($C3149,'Paramètres'!$D:$D,0)),1,IF(INDEX('Paramètres'!$J:$J,MATCH($C3149,'Paramètres'!$D:$D,0))="",1,INDEX('Paramètres'!$J:$J,MATCH($C3149,'Paramètres'!$D:$D,0)))),2))</f>
        <v/>
      </c>
      <c r="L3149" s="6" t="str">
        <f>IF($D3149="","",IF($F3149&lt;&gt;"",$F3149,IF(ISNA(MATCH($D3149,'Paramètres'!$M:$M,0)),"⚠ Type inconnu",IFERROR(INDEX('Paramètres'!$P:$P,MATCH($D3149,'Paramètres'!$M:$M,0))&amp;"",""))))</f>
        <v/>
      </c>
      <c r="M3149" s="6" t="str">
        <f>IF($D3149="","",IF(ISNA(MATCH($D3149,'Paramètres'!$M:$M,0)),"⚠ Type inconnu",IF($L3149="Crédit","",IFERROR(INDEX('Paramètres'!$O:$O,MATCH($D3149,'Paramètres'!$M:$M,0))&amp;"",""))))</f>
        <v/>
      </c>
      <c r="N3149" s="6" t="str">
        <f>IF($D3149="","",IFERROR(INDEX('Paramètres'!$Q:$Q,MATCH($D3149,'Paramètres'!$M:$M,0))&amp;"",""))</f>
        <v/>
      </c>
      <c r="O3149" s="6" t="str">
        <f>IF($A3149="","",IF(OR($J3149&lt;&gt;"x",$A3149&lt;=FinReleve),1,0))</f>
        <v/>
      </c>
      <c r="P3149" s="6" t="str">
        <f>IF($D3149="","",IF(AND($L3149="Crédit",OR(IFERROR(INDEX('Paramètres'!$O:$O,MATCH($D3149,'Paramètres'!$M:$M,0))&amp;"","")&lt;&gt;"",ISNUMBER(SEARCH("remboursement",IFERROR(INDEX('Paramètres'!$N:$N,MATCH($D3149,'Paramètres'!$M:$M,0))&amp;"",""))))),1,0))</f>
        <v/>
      </c>
      <c r="Q3149" s="6" t="str">
        <f>IF($K3149="","",IF(ISNUMBER(SEARCH("transfert-interne",IFERROR(INDEX('Paramètres'!$N:$N,MATCH($D3149,'Paramètres'!$M:$M,0))&amp;"",""))),0,IF($L3149="Débit",$K3149,IF($P3149=1,-$K3149,0))))</f>
        <v/>
      </c>
      <c r="R3149" s="6" t="str">
        <f>IF($K3149="","",IF($L3149="Crédit",$K3149,-$K3149))</f>
        <v/>
      </c>
      <c r="S3149" s="6" t="str">
        <f>IF($C3149="","",IFERROR(INDEX('Paramètres'!$H:$H,MATCH($C3149,'Paramètres'!$D:$D,0))&amp;"",""))</f>
        <v/>
      </c>
      <c r="T3149" s="6" t="str">
        <f>IF($K3149="","",IF($S3149="",0,IF(ISNUMBER(SEARCH("apport-exterieur",IFERROR(INDEX('Paramètres'!$N:$N,MATCH($D3149,'Paramètres'!$M:$M,0))&amp;"",""))),0,IF(OR(IFERROR(INDEX('Paramètres'!$I:$I,MATCH($C3149,'Paramètres'!$D:$D,0))&amp;"","")="Les deux",IFERROR(INDEX('Paramètres'!$I:$I,MATCH($C3149,'Paramètres'!$D:$D,0))&amp;"","")=IF($P3149=1,"Débit",$L3149)),-IF($P3149=1,-$K3149,$K3149),0))))</f>
        <v/>
      </c>
      <c r="U3149" s="6" t="str">
        <f>IF($K3149="","",IF(ISNUMBER(SEARCH("sortie-epargne",IFERROR(INDEX('Paramètres'!$N:$N,MATCH($D3149,'Paramètres'!$M:$M,0))&amp;"",""))),$K3149,0))</f>
        <v/>
      </c>
      <c r="V3149" s="6" t="str">
        <f>IF(AND($A3149&lt;&gt;"",$O3149=1,$L3149="Débit",N($Q3149)&gt;0,$A3149&gt;=Visualisation!$B$1,$A3149&lt;Visualisation!$D$1),MAX($V$1:V3148)+1,"")</f>
        <v/>
      </c>
    </row>
    <row r="3150" spans="1:22" x14ac:dyDescent="0.25">
      <c r="A3150" s="9"/>
      <c r="E3150" s="10"/>
      <c r="K3150" s="11" t="str">
        <f>IF($E3150="","",ROUND($E3150*IF(ISNA(MATCH($C3150,'Paramètres'!$D:$D,0)),1,IF(INDEX('Paramètres'!$J:$J,MATCH($C3150,'Paramètres'!$D:$D,0))="",1,INDEX('Paramètres'!$J:$J,MATCH($C3150,'Paramètres'!$D:$D,0)))),2))</f>
        <v/>
      </c>
      <c r="L3150" s="6" t="str">
        <f>IF($D3150="","",IF($F3150&lt;&gt;"",$F3150,IF(ISNA(MATCH($D3150,'Paramètres'!$M:$M,0)),"⚠ Type inconnu",IFERROR(INDEX('Paramètres'!$P:$P,MATCH($D3150,'Paramètres'!$M:$M,0))&amp;"",""))))</f>
        <v/>
      </c>
      <c r="M3150" s="6" t="str">
        <f>IF($D3150="","",IF(ISNA(MATCH($D3150,'Paramètres'!$M:$M,0)),"⚠ Type inconnu",IF($L3150="Crédit","",IFERROR(INDEX('Paramètres'!$O:$O,MATCH($D3150,'Paramètres'!$M:$M,0))&amp;"",""))))</f>
        <v/>
      </c>
      <c r="N3150" s="6" t="str">
        <f>IF($D3150="","",IFERROR(INDEX('Paramètres'!$Q:$Q,MATCH($D3150,'Paramètres'!$M:$M,0))&amp;"",""))</f>
        <v/>
      </c>
      <c r="O3150" s="6" t="str">
        <f>IF($A3150="","",IF(OR($J3150&lt;&gt;"x",$A3150&lt;=FinReleve),1,0))</f>
        <v/>
      </c>
      <c r="P3150" s="6" t="str">
        <f>IF($D3150="","",IF(AND($L3150="Crédit",OR(IFERROR(INDEX('Paramètres'!$O:$O,MATCH($D3150,'Paramètres'!$M:$M,0))&amp;"","")&lt;&gt;"",ISNUMBER(SEARCH("remboursement",IFERROR(INDEX('Paramètres'!$N:$N,MATCH($D3150,'Paramètres'!$M:$M,0))&amp;"",""))))),1,0))</f>
        <v/>
      </c>
      <c r="Q3150" s="6" t="str">
        <f>IF($K3150="","",IF(ISNUMBER(SEARCH("transfert-interne",IFERROR(INDEX('Paramètres'!$N:$N,MATCH($D3150,'Paramètres'!$M:$M,0))&amp;"",""))),0,IF($L3150="Débit",$K3150,IF($P3150=1,-$K3150,0))))</f>
        <v/>
      </c>
      <c r="R3150" s="6" t="str">
        <f>IF($K3150="","",IF($L3150="Crédit",$K3150,-$K3150))</f>
        <v/>
      </c>
      <c r="S3150" s="6" t="str">
        <f>IF($C3150="","",IFERROR(INDEX('Paramètres'!$H:$H,MATCH($C3150,'Paramètres'!$D:$D,0))&amp;"",""))</f>
        <v/>
      </c>
      <c r="T3150" s="6" t="str">
        <f>IF($K3150="","",IF($S3150="",0,IF(ISNUMBER(SEARCH("apport-exterieur",IFERROR(INDEX('Paramètres'!$N:$N,MATCH($D3150,'Paramètres'!$M:$M,0))&amp;"",""))),0,IF(OR(IFERROR(INDEX('Paramètres'!$I:$I,MATCH($C3150,'Paramètres'!$D:$D,0))&amp;"","")="Les deux",IFERROR(INDEX('Paramètres'!$I:$I,MATCH($C3150,'Paramètres'!$D:$D,0))&amp;"","")=IF($P3150=1,"Débit",$L3150)),-IF($P3150=1,-$K3150,$K3150),0))))</f>
        <v/>
      </c>
      <c r="U3150" s="6" t="str">
        <f>IF($K3150="","",IF(ISNUMBER(SEARCH("sortie-epargne",IFERROR(INDEX('Paramètres'!$N:$N,MATCH($D3150,'Paramètres'!$M:$M,0))&amp;"",""))),$K3150,0))</f>
        <v/>
      </c>
      <c r="V3150" s="6" t="str">
        <f>IF(AND($A3150&lt;&gt;"",$O3150=1,$L3150="Débit",N($Q3150)&gt;0,$A3150&gt;=Visualisation!$B$1,$A3150&lt;Visualisation!$D$1),MAX($V$1:V3149)+1,"")</f>
        <v/>
      </c>
    </row>
    <row r="3151" spans="1:22" x14ac:dyDescent="0.25">
      <c r="A3151" s="9"/>
      <c r="E3151" s="10"/>
      <c r="K3151" s="11" t="str">
        <f>IF($E3151="","",ROUND($E3151*IF(ISNA(MATCH($C3151,'Paramètres'!$D:$D,0)),1,IF(INDEX('Paramètres'!$J:$J,MATCH($C3151,'Paramètres'!$D:$D,0))="",1,INDEX('Paramètres'!$J:$J,MATCH($C3151,'Paramètres'!$D:$D,0)))),2))</f>
        <v/>
      </c>
      <c r="L3151" s="6" t="str">
        <f>IF($D3151="","",IF($F3151&lt;&gt;"",$F3151,IF(ISNA(MATCH($D3151,'Paramètres'!$M:$M,0)),"⚠ Type inconnu",IFERROR(INDEX('Paramètres'!$P:$P,MATCH($D3151,'Paramètres'!$M:$M,0))&amp;"",""))))</f>
        <v/>
      </c>
      <c r="M3151" s="6" t="str">
        <f>IF($D3151="","",IF(ISNA(MATCH($D3151,'Paramètres'!$M:$M,0)),"⚠ Type inconnu",IF($L3151="Crédit","",IFERROR(INDEX('Paramètres'!$O:$O,MATCH($D3151,'Paramètres'!$M:$M,0))&amp;"",""))))</f>
        <v/>
      </c>
      <c r="N3151" s="6" t="str">
        <f>IF($D3151="","",IFERROR(INDEX('Paramètres'!$Q:$Q,MATCH($D3151,'Paramètres'!$M:$M,0))&amp;"",""))</f>
        <v/>
      </c>
      <c r="O3151" s="6" t="str">
        <f>IF($A3151="","",IF(OR($J3151&lt;&gt;"x",$A3151&lt;=FinReleve),1,0))</f>
        <v/>
      </c>
      <c r="P3151" s="6" t="str">
        <f>IF($D3151="","",IF(AND($L3151="Crédit",OR(IFERROR(INDEX('Paramètres'!$O:$O,MATCH($D3151,'Paramètres'!$M:$M,0))&amp;"","")&lt;&gt;"",ISNUMBER(SEARCH("remboursement",IFERROR(INDEX('Paramètres'!$N:$N,MATCH($D3151,'Paramètres'!$M:$M,0))&amp;"",""))))),1,0))</f>
        <v/>
      </c>
      <c r="Q3151" s="6" t="str">
        <f>IF($K3151="","",IF(ISNUMBER(SEARCH("transfert-interne",IFERROR(INDEX('Paramètres'!$N:$N,MATCH($D3151,'Paramètres'!$M:$M,0))&amp;"",""))),0,IF($L3151="Débit",$K3151,IF($P3151=1,-$K3151,0))))</f>
        <v/>
      </c>
      <c r="R3151" s="6" t="str">
        <f>IF($K3151="","",IF($L3151="Crédit",$K3151,-$K3151))</f>
        <v/>
      </c>
      <c r="S3151" s="6" t="str">
        <f>IF($C3151="","",IFERROR(INDEX('Paramètres'!$H:$H,MATCH($C3151,'Paramètres'!$D:$D,0))&amp;"",""))</f>
        <v/>
      </c>
      <c r="T3151" s="6" t="str">
        <f>IF($K3151="","",IF($S3151="",0,IF(ISNUMBER(SEARCH("apport-exterieur",IFERROR(INDEX('Paramètres'!$N:$N,MATCH($D3151,'Paramètres'!$M:$M,0))&amp;"",""))),0,IF(OR(IFERROR(INDEX('Paramètres'!$I:$I,MATCH($C3151,'Paramètres'!$D:$D,0))&amp;"","")="Les deux",IFERROR(INDEX('Paramètres'!$I:$I,MATCH($C3151,'Paramètres'!$D:$D,0))&amp;"","")=IF($P3151=1,"Débit",$L3151)),-IF($P3151=1,-$K3151,$K3151),0))))</f>
        <v/>
      </c>
      <c r="U3151" s="6" t="str">
        <f>IF($K3151="","",IF(ISNUMBER(SEARCH("sortie-epargne",IFERROR(INDEX('Paramètres'!$N:$N,MATCH($D3151,'Paramètres'!$M:$M,0))&amp;"",""))),$K3151,0))</f>
        <v/>
      </c>
      <c r="V3151" s="6" t="str">
        <f>IF(AND($A3151&lt;&gt;"",$O3151=1,$L3151="Débit",N($Q3151)&gt;0,$A3151&gt;=Visualisation!$B$1,$A3151&lt;Visualisation!$D$1),MAX($V$1:V3150)+1,"")</f>
        <v/>
      </c>
    </row>
    <row r="3152" spans="1:22" x14ac:dyDescent="0.25">
      <c r="A3152" s="9"/>
      <c r="E3152" s="10"/>
      <c r="K3152" s="11" t="str">
        <f>IF($E3152="","",ROUND($E3152*IF(ISNA(MATCH($C3152,'Paramètres'!$D:$D,0)),1,IF(INDEX('Paramètres'!$J:$J,MATCH($C3152,'Paramètres'!$D:$D,0))="",1,INDEX('Paramètres'!$J:$J,MATCH($C3152,'Paramètres'!$D:$D,0)))),2))</f>
        <v/>
      </c>
      <c r="L3152" s="6" t="str">
        <f>IF($D3152="","",IF($F3152&lt;&gt;"",$F3152,IF(ISNA(MATCH($D3152,'Paramètres'!$M:$M,0)),"⚠ Type inconnu",IFERROR(INDEX('Paramètres'!$P:$P,MATCH($D3152,'Paramètres'!$M:$M,0))&amp;"",""))))</f>
        <v/>
      </c>
      <c r="M3152" s="6" t="str">
        <f>IF($D3152="","",IF(ISNA(MATCH($D3152,'Paramètres'!$M:$M,0)),"⚠ Type inconnu",IF($L3152="Crédit","",IFERROR(INDEX('Paramètres'!$O:$O,MATCH($D3152,'Paramètres'!$M:$M,0))&amp;"",""))))</f>
        <v/>
      </c>
      <c r="N3152" s="6" t="str">
        <f>IF($D3152="","",IFERROR(INDEX('Paramètres'!$Q:$Q,MATCH($D3152,'Paramètres'!$M:$M,0))&amp;"",""))</f>
        <v/>
      </c>
      <c r="O3152" s="6" t="str">
        <f>IF($A3152="","",IF(OR($J3152&lt;&gt;"x",$A3152&lt;=FinReleve),1,0))</f>
        <v/>
      </c>
      <c r="P3152" s="6" t="str">
        <f>IF($D3152="","",IF(AND($L3152="Crédit",OR(IFERROR(INDEX('Paramètres'!$O:$O,MATCH($D3152,'Paramètres'!$M:$M,0))&amp;"","")&lt;&gt;"",ISNUMBER(SEARCH("remboursement",IFERROR(INDEX('Paramètres'!$N:$N,MATCH($D3152,'Paramètres'!$M:$M,0))&amp;"",""))))),1,0))</f>
        <v/>
      </c>
      <c r="Q3152" s="6" t="str">
        <f>IF($K3152="","",IF(ISNUMBER(SEARCH("transfert-interne",IFERROR(INDEX('Paramètres'!$N:$N,MATCH($D3152,'Paramètres'!$M:$M,0))&amp;"",""))),0,IF($L3152="Débit",$K3152,IF($P3152=1,-$K3152,0))))</f>
        <v/>
      </c>
      <c r="R3152" s="6" t="str">
        <f>IF($K3152="","",IF($L3152="Crédit",$K3152,-$K3152))</f>
        <v/>
      </c>
      <c r="S3152" s="6" t="str">
        <f>IF($C3152="","",IFERROR(INDEX('Paramètres'!$H:$H,MATCH($C3152,'Paramètres'!$D:$D,0))&amp;"",""))</f>
        <v/>
      </c>
      <c r="T3152" s="6" t="str">
        <f>IF($K3152="","",IF($S3152="",0,IF(ISNUMBER(SEARCH("apport-exterieur",IFERROR(INDEX('Paramètres'!$N:$N,MATCH($D3152,'Paramètres'!$M:$M,0))&amp;"",""))),0,IF(OR(IFERROR(INDEX('Paramètres'!$I:$I,MATCH($C3152,'Paramètres'!$D:$D,0))&amp;"","")="Les deux",IFERROR(INDEX('Paramètres'!$I:$I,MATCH($C3152,'Paramètres'!$D:$D,0))&amp;"","")=IF($P3152=1,"Débit",$L3152)),-IF($P3152=1,-$K3152,$K3152),0))))</f>
        <v/>
      </c>
      <c r="U3152" s="6" t="str">
        <f>IF($K3152="","",IF(ISNUMBER(SEARCH("sortie-epargne",IFERROR(INDEX('Paramètres'!$N:$N,MATCH($D3152,'Paramètres'!$M:$M,0))&amp;"",""))),$K3152,0))</f>
        <v/>
      </c>
      <c r="V3152" s="6" t="str">
        <f>IF(AND($A3152&lt;&gt;"",$O3152=1,$L3152="Débit",N($Q3152)&gt;0,$A3152&gt;=Visualisation!$B$1,$A3152&lt;Visualisation!$D$1),MAX($V$1:V3151)+1,"")</f>
        <v/>
      </c>
    </row>
    <row r="3153" spans="1:22" x14ac:dyDescent="0.25">
      <c r="A3153" s="9"/>
      <c r="E3153" s="10"/>
      <c r="K3153" s="11" t="str">
        <f>IF($E3153="","",ROUND($E3153*IF(ISNA(MATCH($C3153,'Paramètres'!$D:$D,0)),1,IF(INDEX('Paramètres'!$J:$J,MATCH($C3153,'Paramètres'!$D:$D,0))="",1,INDEX('Paramètres'!$J:$J,MATCH($C3153,'Paramètres'!$D:$D,0)))),2))</f>
        <v/>
      </c>
      <c r="L3153" s="6" t="str">
        <f>IF($D3153="","",IF($F3153&lt;&gt;"",$F3153,IF(ISNA(MATCH($D3153,'Paramètres'!$M:$M,0)),"⚠ Type inconnu",IFERROR(INDEX('Paramètres'!$P:$P,MATCH($D3153,'Paramètres'!$M:$M,0))&amp;"",""))))</f>
        <v/>
      </c>
      <c r="M3153" s="6" t="str">
        <f>IF($D3153="","",IF(ISNA(MATCH($D3153,'Paramètres'!$M:$M,0)),"⚠ Type inconnu",IF($L3153="Crédit","",IFERROR(INDEX('Paramètres'!$O:$O,MATCH($D3153,'Paramètres'!$M:$M,0))&amp;"",""))))</f>
        <v/>
      </c>
      <c r="N3153" s="6" t="str">
        <f>IF($D3153="","",IFERROR(INDEX('Paramètres'!$Q:$Q,MATCH($D3153,'Paramètres'!$M:$M,0))&amp;"",""))</f>
        <v/>
      </c>
      <c r="O3153" s="6" t="str">
        <f>IF($A3153="","",IF(OR($J3153&lt;&gt;"x",$A3153&lt;=FinReleve),1,0))</f>
        <v/>
      </c>
      <c r="P3153" s="6" t="str">
        <f>IF($D3153="","",IF(AND($L3153="Crédit",OR(IFERROR(INDEX('Paramètres'!$O:$O,MATCH($D3153,'Paramètres'!$M:$M,0))&amp;"","")&lt;&gt;"",ISNUMBER(SEARCH("remboursement",IFERROR(INDEX('Paramètres'!$N:$N,MATCH($D3153,'Paramètres'!$M:$M,0))&amp;"",""))))),1,0))</f>
        <v/>
      </c>
      <c r="Q3153" s="6" t="str">
        <f>IF($K3153="","",IF(ISNUMBER(SEARCH("transfert-interne",IFERROR(INDEX('Paramètres'!$N:$N,MATCH($D3153,'Paramètres'!$M:$M,0))&amp;"",""))),0,IF($L3153="Débit",$K3153,IF($P3153=1,-$K3153,0))))</f>
        <v/>
      </c>
      <c r="R3153" s="6" t="str">
        <f>IF($K3153="","",IF($L3153="Crédit",$K3153,-$K3153))</f>
        <v/>
      </c>
      <c r="S3153" s="6" t="str">
        <f>IF($C3153="","",IFERROR(INDEX('Paramètres'!$H:$H,MATCH($C3153,'Paramètres'!$D:$D,0))&amp;"",""))</f>
        <v/>
      </c>
      <c r="T3153" s="6" t="str">
        <f>IF($K3153="","",IF($S3153="",0,IF(ISNUMBER(SEARCH("apport-exterieur",IFERROR(INDEX('Paramètres'!$N:$N,MATCH($D3153,'Paramètres'!$M:$M,0))&amp;"",""))),0,IF(OR(IFERROR(INDEX('Paramètres'!$I:$I,MATCH($C3153,'Paramètres'!$D:$D,0))&amp;"","")="Les deux",IFERROR(INDEX('Paramètres'!$I:$I,MATCH($C3153,'Paramètres'!$D:$D,0))&amp;"","")=IF($P3153=1,"Débit",$L3153)),-IF($P3153=1,-$K3153,$K3153),0))))</f>
        <v/>
      </c>
      <c r="U3153" s="6" t="str">
        <f>IF($K3153="","",IF(ISNUMBER(SEARCH("sortie-epargne",IFERROR(INDEX('Paramètres'!$N:$N,MATCH($D3153,'Paramètres'!$M:$M,0))&amp;"",""))),$K3153,0))</f>
        <v/>
      </c>
      <c r="V3153" s="6" t="str">
        <f>IF(AND($A3153&lt;&gt;"",$O3153=1,$L3153="Débit",N($Q3153)&gt;0,$A3153&gt;=Visualisation!$B$1,$A3153&lt;Visualisation!$D$1),MAX($V$1:V3152)+1,"")</f>
        <v/>
      </c>
    </row>
    <row r="3154" spans="1:22" x14ac:dyDescent="0.25">
      <c r="A3154" s="9"/>
      <c r="E3154" s="10"/>
      <c r="K3154" s="11" t="str">
        <f>IF($E3154="","",ROUND($E3154*IF(ISNA(MATCH($C3154,'Paramètres'!$D:$D,0)),1,IF(INDEX('Paramètres'!$J:$J,MATCH($C3154,'Paramètres'!$D:$D,0))="",1,INDEX('Paramètres'!$J:$J,MATCH($C3154,'Paramètres'!$D:$D,0)))),2))</f>
        <v/>
      </c>
      <c r="L3154" s="6" t="str">
        <f>IF($D3154="","",IF($F3154&lt;&gt;"",$F3154,IF(ISNA(MATCH($D3154,'Paramètres'!$M:$M,0)),"⚠ Type inconnu",IFERROR(INDEX('Paramètres'!$P:$P,MATCH($D3154,'Paramètres'!$M:$M,0))&amp;"",""))))</f>
        <v/>
      </c>
      <c r="M3154" s="6" t="str">
        <f>IF($D3154="","",IF(ISNA(MATCH($D3154,'Paramètres'!$M:$M,0)),"⚠ Type inconnu",IF($L3154="Crédit","",IFERROR(INDEX('Paramètres'!$O:$O,MATCH($D3154,'Paramètres'!$M:$M,0))&amp;"",""))))</f>
        <v/>
      </c>
      <c r="N3154" s="6" t="str">
        <f>IF($D3154="","",IFERROR(INDEX('Paramètres'!$Q:$Q,MATCH($D3154,'Paramètres'!$M:$M,0))&amp;"",""))</f>
        <v/>
      </c>
      <c r="O3154" s="6" t="str">
        <f>IF($A3154="","",IF(OR($J3154&lt;&gt;"x",$A3154&lt;=FinReleve),1,0))</f>
        <v/>
      </c>
      <c r="P3154" s="6" t="str">
        <f>IF($D3154="","",IF(AND($L3154="Crédit",OR(IFERROR(INDEX('Paramètres'!$O:$O,MATCH($D3154,'Paramètres'!$M:$M,0))&amp;"","")&lt;&gt;"",ISNUMBER(SEARCH("remboursement",IFERROR(INDEX('Paramètres'!$N:$N,MATCH($D3154,'Paramètres'!$M:$M,0))&amp;"",""))))),1,0))</f>
        <v/>
      </c>
      <c r="Q3154" s="6" t="str">
        <f>IF($K3154="","",IF(ISNUMBER(SEARCH("transfert-interne",IFERROR(INDEX('Paramètres'!$N:$N,MATCH($D3154,'Paramètres'!$M:$M,0))&amp;"",""))),0,IF($L3154="Débit",$K3154,IF($P3154=1,-$K3154,0))))</f>
        <v/>
      </c>
      <c r="R3154" s="6" t="str">
        <f>IF($K3154="","",IF($L3154="Crédit",$K3154,-$K3154))</f>
        <v/>
      </c>
      <c r="S3154" s="6" t="str">
        <f>IF($C3154="","",IFERROR(INDEX('Paramètres'!$H:$H,MATCH($C3154,'Paramètres'!$D:$D,0))&amp;"",""))</f>
        <v/>
      </c>
      <c r="T3154" s="6" t="str">
        <f>IF($K3154="","",IF($S3154="",0,IF(ISNUMBER(SEARCH("apport-exterieur",IFERROR(INDEX('Paramètres'!$N:$N,MATCH($D3154,'Paramètres'!$M:$M,0))&amp;"",""))),0,IF(OR(IFERROR(INDEX('Paramètres'!$I:$I,MATCH($C3154,'Paramètres'!$D:$D,0))&amp;"","")="Les deux",IFERROR(INDEX('Paramètres'!$I:$I,MATCH($C3154,'Paramètres'!$D:$D,0))&amp;"","")=IF($P3154=1,"Débit",$L3154)),-IF($P3154=1,-$K3154,$K3154),0))))</f>
        <v/>
      </c>
      <c r="U3154" s="6" t="str">
        <f>IF($K3154="","",IF(ISNUMBER(SEARCH("sortie-epargne",IFERROR(INDEX('Paramètres'!$N:$N,MATCH($D3154,'Paramètres'!$M:$M,0))&amp;"",""))),$K3154,0))</f>
        <v/>
      </c>
      <c r="V3154" s="6" t="str">
        <f>IF(AND($A3154&lt;&gt;"",$O3154=1,$L3154="Débit",N($Q3154)&gt;0,$A3154&gt;=Visualisation!$B$1,$A3154&lt;Visualisation!$D$1),MAX($V$1:V3153)+1,"")</f>
        <v/>
      </c>
    </row>
    <row r="3155" spans="1:22" x14ac:dyDescent="0.25">
      <c r="A3155" s="9"/>
      <c r="E3155" s="10"/>
      <c r="K3155" s="11" t="str">
        <f>IF($E3155="","",ROUND($E3155*IF(ISNA(MATCH($C3155,'Paramètres'!$D:$D,0)),1,IF(INDEX('Paramètres'!$J:$J,MATCH($C3155,'Paramètres'!$D:$D,0))="",1,INDEX('Paramètres'!$J:$J,MATCH($C3155,'Paramètres'!$D:$D,0)))),2))</f>
        <v/>
      </c>
      <c r="L3155" s="6" t="str">
        <f>IF($D3155="","",IF($F3155&lt;&gt;"",$F3155,IF(ISNA(MATCH($D3155,'Paramètres'!$M:$M,0)),"⚠ Type inconnu",IFERROR(INDEX('Paramètres'!$P:$P,MATCH($D3155,'Paramètres'!$M:$M,0))&amp;"",""))))</f>
        <v/>
      </c>
      <c r="M3155" s="6" t="str">
        <f>IF($D3155="","",IF(ISNA(MATCH($D3155,'Paramètres'!$M:$M,0)),"⚠ Type inconnu",IF($L3155="Crédit","",IFERROR(INDEX('Paramètres'!$O:$O,MATCH($D3155,'Paramètres'!$M:$M,0))&amp;"",""))))</f>
        <v/>
      </c>
      <c r="N3155" s="6" t="str">
        <f>IF($D3155="","",IFERROR(INDEX('Paramètres'!$Q:$Q,MATCH($D3155,'Paramètres'!$M:$M,0))&amp;"",""))</f>
        <v/>
      </c>
      <c r="O3155" s="6" t="str">
        <f>IF($A3155="","",IF(OR($J3155&lt;&gt;"x",$A3155&lt;=FinReleve),1,0))</f>
        <v/>
      </c>
      <c r="P3155" s="6" t="str">
        <f>IF($D3155="","",IF(AND($L3155="Crédit",OR(IFERROR(INDEX('Paramètres'!$O:$O,MATCH($D3155,'Paramètres'!$M:$M,0))&amp;"","")&lt;&gt;"",ISNUMBER(SEARCH("remboursement",IFERROR(INDEX('Paramètres'!$N:$N,MATCH($D3155,'Paramètres'!$M:$M,0))&amp;"",""))))),1,0))</f>
        <v/>
      </c>
      <c r="Q3155" s="6" t="str">
        <f>IF($K3155="","",IF(ISNUMBER(SEARCH("transfert-interne",IFERROR(INDEX('Paramètres'!$N:$N,MATCH($D3155,'Paramètres'!$M:$M,0))&amp;"",""))),0,IF($L3155="Débit",$K3155,IF($P3155=1,-$K3155,0))))</f>
        <v/>
      </c>
      <c r="R3155" s="6" t="str">
        <f>IF($K3155="","",IF($L3155="Crédit",$K3155,-$K3155))</f>
        <v/>
      </c>
      <c r="S3155" s="6" t="str">
        <f>IF($C3155="","",IFERROR(INDEX('Paramètres'!$H:$H,MATCH($C3155,'Paramètres'!$D:$D,0))&amp;"",""))</f>
        <v/>
      </c>
      <c r="T3155" s="6" t="str">
        <f>IF($K3155="","",IF($S3155="",0,IF(ISNUMBER(SEARCH("apport-exterieur",IFERROR(INDEX('Paramètres'!$N:$N,MATCH($D3155,'Paramètres'!$M:$M,0))&amp;"",""))),0,IF(OR(IFERROR(INDEX('Paramètres'!$I:$I,MATCH($C3155,'Paramètres'!$D:$D,0))&amp;"","")="Les deux",IFERROR(INDEX('Paramètres'!$I:$I,MATCH($C3155,'Paramètres'!$D:$D,0))&amp;"","")=IF($P3155=1,"Débit",$L3155)),-IF($P3155=1,-$K3155,$K3155),0))))</f>
        <v/>
      </c>
      <c r="U3155" s="6" t="str">
        <f>IF($K3155="","",IF(ISNUMBER(SEARCH("sortie-epargne",IFERROR(INDEX('Paramètres'!$N:$N,MATCH($D3155,'Paramètres'!$M:$M,0))&amp;"",""))),$K3155,0))</f>
        <v/>
      </c>
      <c r="V3155" s="6" t="str">
        <f>IF(AND($A3155&lt;&gt;"",$O3155=1,$L3155="Débit",N($Q3155)&gt;0,$A3155&gt;=Visualisation!$B$1,$A3155&lt;Visualisation!$D$1),MAX($V$1:V3154)+1,"")</f>
        <v/>
      </c>
    </row>
    <row r="3156" spans="1:22" x14ac:dyDescent="0.25">
      <c r="A3156" s="9"/>
      <c r="E3156" s="10"/>
      <c r="K3156" s="11" t="str">
        <f>IF($E3156="","",ROUND($E3156*IF(ISNA(MATCH($C3156,'Paramètres'!$D:$D,0)),1,IF(INDEX('Paramètres'!$J:$J,MATCH($C3156,'Paramètres'!$D:$D,0))="",1,INDEX('Paramètres'!$J:$J,MATCH($C3156,'Paramètres'!$D:$D,0)))),2))</f>
        <v/>
      </c>
      <c r="L3156" s="6" t="str">
        <f>IF($D3156="","",IF($F3156&lt;&gt;"",$F3156,IF(ISNA(MATCH($D3156,'Paramètres'!$M:$M,0)),"⚠ Type inconnu",IFERROR(INDEX('Paramètres'!$P:$P,MATCH($D3156,'Paramètres'!$M:$M,0))&amp;"",""))))</f>
        <v/>
      </c>
      <c r="M3156" s="6" t="str">
        <f>IF($D3156="","",IF(ISNA(MATCH($D3156,'Paramètres'!$M:$M,0)),"⚠ Type inconnu",IF($L3156="Crédit","",IFERROR(INDEX('Paramètres'!$O:$O,MATCH($D3156,'Paramètres'!$M:$M,0))&amp;"",""))))</f>
        <v/>
      </c>
      <c r="N3156" s="6" t="str">
        <f>IF($D3156="","",IFERROR(INDEX('Paramètres'!$Q:$Q,MATCH($D3156,'Paramètres'!$M:$M,0))&amp;"",""))</f>
        <v/>
      </c>
      <c r="O3156" s="6" t="str">
        <f>IF($A3156="","",IF(OR($J3156&lt;&gt;"x",$A3156&lt;=FinReleve),1,0))</f>
        <v/>
      </c>
      <c r="P3156" s="6" t="str">
        <f>IF($D3156="","",IF(AND($L3156="Crédit",OR(IFERROR(INDEX('Paramètres'!$O:$O,MATCH($D3156,'Paramètres'!$M:$M,0))&amp;"","")&lt;&gt;"",ISNUMBER(SEARCH("remboursement",IFERROR(INDEX('Paramètres'!$N:$N,MATCH($D3156,'Paramètres'!$M:$M,0))&amp;"",""))))),1,0))</f>
        <v/>
      </c>
      <c r="Q3156" s="6" t="str">
        <f>IF($K3156="","",IF(ISNUMBER(SEARCH("transfert-interne",IFERROR(INDEX('Paramètres'!$N:$N,MATCH($D3156,'Paramètres'!$M:$M,0))&amp;"",""))),0,IF($L3156="Débit",$K3156,IF($P3156=1,-$K3156,0))))</f>
        <v/>
      </c>
      <c r="R3156" s="6" t="str">
        <f>IF($K3156="","",IF($L3156="Crédit",$K3156,-$K3156))</f>
        <v/>
      </c>
      <c r="S3156" s="6" t="str">
        <f>IF($C3156="","",IFERROR(INDEX('Paramètres'!$H:$H,MATCH($C3156,'Paramètres'!$D:$D,0))&amp;"",""))</f>
        <v/>
      </c>
      <c r="T3156" s="6" t="str">
        <f>IF($K3156="","",IF($S3156="",0,IF(ISNUMBER(SEARCH("apport-exterieur",IFERROR(INDEX('Paramètres'!$N:$N,MATCH($D3156,'Paramètres'!$M:$M,0))&amp;"",""))),0,IF(OR(IFERROR(INDEX('Paramètres'!$I:$I,MATCH($C3156,'Paramètres'!$D:$D,0))&amp;"","")="Les deux",IFERROR(INDEX('Paramètres'!$I:$I,MATCH($C3156,'Paramètres'!$D:$D,0))&amp;"","")=IF($P3156=1,"Débit",$L3156)),-IF($P3156=1,-$K3156,$K3156),0))))</f>
        <v/>
      </c>
      <c r="U3156" s="6" t="str">
        <f>IF($K3156="","",IF(ISNUMBER(SEARCH("sortie-epargne",IFERROR(INDEX('Paramètres'!$N:$N,MATCH($D3156,'Paramètres'!$M:$M,0))&amp;"",""))),$K3156,0))</f>
        <v/>
      </c>
      <c r="V3156" s="6" t="str">
        <f>IF(AND($A3156&lt;&gt;"",$O3156=1,$L3156="Débit",N($Q3156)&gt;0,$A3156&gt;=Visualisation!$B$1,$A3156&lt;Visualisation!$D$1),MAX($V$1:V3155)+1,"")</f>
        <v/>
      </c>
    </row>
    <row r="3157" spans="1:22" x14ac:dyDescent="0.25">
      <c r="A3157" s="9"/>
      <c r="E3157" s="10"/>
      <c r="K3157" s="11" t="str">
        <f>IF($E3157="","",ROUND($E3157*IF(ISNA(MATCH($C3157,'Paramètres'!$D:$D,0)),1,IF(INDEX('Paramètres'!$J:$J,MATCH($C3157,'Paramètres'!$D:$D,0))="",1,INDEX('Paramètres'!$J:$J,MATCH($C3157,'Paramètres'!$D:$D,0)))),2))</f>
        <v/>
      </c>
      <c r="L3157" s="6" t="str">
        <f>IF($D3157="","",IF($F3157&lt;&gt;"",$F3157,IF(ISNA(MATCH($D3157,'Paramètres'!$M:$M,0)),"⚠ Type inconnu",IFERROR(INDEX('Paramètres'!$P:$P,MATCH($D3157,'Paramètres'!$M:$M,0))&amp;"",""))))</f>
        <v/>
      </c>
      <c r="M3157" s="6" t="str">
        <f>IF($D3157="","",IF(ISNA(MATCH($D3157,'Paramètres'!$M:$M,0)),"⚠ Type inconnu",IF($L3157="Crédit","",IFERROR(INDEX('Paramètres'!$O:$O,MATCH($D3157,'Paramètres'!$M:$M,0))&amp;"",""))))</f>
        <v/>
      </c>
      <c r="N3157" s="6" t="str">
        <f>IF($D3157="","",IFERROR(INDEX('Paramètres'!$Q:$Q,MATCH($D3157,'Paramètres'!$M:$M,0))&amp;"",""))</f>
        <v/>
      </c>
      <c r="O3157" s="6" t="str">
        <f>IF($A3157="","",IF(OR($J3157&lt;&gt;"x",$A3157&lt;=FinReleve),1,0))</f>
        <v/>
      </c>
      <c r="P3157" s="6" t="str">
        <f>IF($D3157="","",IF(AND($L3157="Crédit",OR(IFERROR(INDEX('Paramètres'!$O:$O,MATCH($D3157,'Paramètres'!$M:$M,0))&amp;"","")&lt;&gt;"",ISNUMBER(SEARCH("remboursement",IFERROR(INDEX('Paramètres'!$N:$N,MATCH($D3157,'Paramètres'!$M:$M,0))&amp;"",""))))),1,0))</f>
        <v/>
      </c>
      <c r="Q3157" s="6" t="str">
        <f>IF($K3157="","",IF(ISNUMBER(SEARCH("transfert-interne",IFERROR(INDEX('Paramètres'!$N:$N,MATCH($D3157,'Paramètres'!$M:$M,0))&amp;"",""))),0,IF($L3157="Débit",$K3157,IF($P3157=1,-$K3157,0))))</f>
        <v/>
      </c>
      <c r="R3157" s="6" t="str">
        <f>IF($K3157="","",IF($L3157="Crédit",$K3157,-$K3157))</f>
        <v/>
      </c>
      <c r="S3157" s="6" t="str">
        <f>IF($C3157="","",IFERROR(INDEX('Paramètres'!$H:$H,MATCH($C3157,'Paramètres'!$D:$D,0))&amp;"",""))</f>
        <v/>
      </c>
      <c r="T3157" s="6" t="str">
        <f>IF($K3157="","",IF($S3157="",0,IF(ISNUMBER(SEARCH("apport-exterieur",IFERROR(INDEX('Paramètres'!$N:$N,MATCH($D3157,'Paramètres'!$M:$M,0))&amp;"",""))),0,IF(OR(IFERROR(INDEX('Paramètres'!$I:$I,MATCH($C3157,'Paramètres'!$D:$D,0))&amp;"","")="Les deux",IFERROR(INDEX('Paramètres'!$I:$I,MATCH($C3157,'Paramètres'!$D:$D,0))&amp;"","")=IF($P3157=1,"Débit",$L3157)),-IF($P3157=1,-$K3157,$K3157),0))))</f>
        <v/>
      </c>
      <c r="U3157" s="6" t="str">
        <f>IF($K3157="","",IF(ISNUMBER(SEARCH("sortie-epargne",IFERROR(INDEX('Paramètres'!$N:$N,MATCH($D3157,'Paramètres'!$M:$M,0))&amp;"",""))),$K3157,0))</f>
        <v/>
      </c>
      <c r="V3157" s="6" t="str">
        <f>IF(AND($A3157&lt;&gt;"",$O3157=1,$L3157="Débit",N($Q3157)&gt;0,$A3157&gt;=Visualisation!$B$1,$A3157&lt;Visualisation!$D$1),MAX($V$1:V3156)+1,"")</f>
        <v/>
      </c>
    </row>
    <row r="3158" spans="1:22" x14ac:dyDescent="0.25">
      <c r="A3158" s="9"/>
      <c r="E3158" s="10"/>
      <c r="K3158" s="11" t="str">
        <f>IF($E3158="","",ROUND($E3158*IF(ISNA(MATCH($C3158,'Paramètres'!$D:$D,0)),1,IF(INDEX('Paramètres'!$J:$J,MATCH($C3158,'Paramètres'!$D:$D,0))="",1,INDEX('Paramètres'!$J:$J,MATCH($C3158,'Paramètres'!$D:$D,0)))),2))</f>
        <v/>
      </c>
      <c r="L3158" s="6" t="str">
        <f>IF($D3158="","",IF($F3158&lt;&gt;"",$F3158,IF(ISNA(MATCH($D3158,'Paramètres'!$M:$M,0)),"⚠ Type inconnu",IFERROR(INDEX('Paramètres'!$P:$P,MATCH($D3158,'Paramètres'!$M:$M,0))&amp;"",""))))</f>
        <v/>
      </c>
      <c r="M3158" s="6" t="str">
        <f>IF($D3158="","",IF(ISNA(MATCH($D3158,'Paramètres'!$M:$M,0)),"⚠ Type inconnu",IF($L3158="Crédit","",IFERROR(INDEX('Paramètres'!$O:$O,MATCH($D3158,'Paramètres'!$M:$M,0))&amp;"",""))))</f>
        <v/>
      </c>
      <c r="N3158" s="6" t="str">
        <f>IF($D3158="","",IFERROR(INDEX('Paramètres'!$Q:$Q,MATCH($D3158,'Paramètres'!$M:$M,0))&amp;"",""))</f>
        <v/>
      </c>
      <c r="O3158" s="6" t="str">
        <f>IF($A3158="","",IF(OR($J3158&lt;&gt;"x",$A3158&lt;=FinReleve),1,0))</f>
        <v/>
      </c>
      <c r="P3158" s="6" t="str">
        <f>IF($D3158="","",IF(AND($L3158="Crédit",OR(IFERROR(INDEX('Paramètres'!$O:$O,MATCH($D3158,'Paramètres'!$M:$M,0))&amp;"","")&lt;&gt;"",ISNUMBER(SEARCH("remboursement",IFERROR(INDEX('Paramètres'!$N:$N,MATCH($D3158,'Paramètres'!$M:$M,0))&amp;"",""))))),1,0))</f>
        <v/>
      </c>
      <c r="Q3158" s="6" t="str">
        <f>IF($K3158="","",IF(ISNUMBER(SEARCH("transfert-interne",IFERROR(INDEX('Paramètres'!$N:$N,MATCH($D3158,'Paramètres'!$M:$M,0))&amp;"",""))),0,IF($L3158="Débit",$K3158,IF($P3158=1,-$K3158,0))))</f>
        <v/>
      </c>
      <c r="R3158" s="6" t="str">
        <f>IF($K3158="","",IF($L3158="Crédit",$K3158,-$K3158))</f>
        <v/>
      </c>
      <c r="S3158" s="6" t="str">
        <f>IF($C3158="","",IFERROR(INDEX('Paramètres'!$H:$H,MATCH($C3158,'Paramètres'!$D:$D,0))&amp;"",""))</f>
        <v/>
      </c>
      <c r="T3158" s="6" t="str">
        <f>IF($K3158="","",IF($S3158="",0,IF(ISNUMBER(SEARCH("apport-exterieur",IFERROR(INDEX('Paramètres'!$N:$N,MATCH($D3158,'Paramètres'!$M:$M,0))&amp;"",""))),0,IF(OR(IFERROR(INDEX('Paramètres'!$I:$I,MATCH($C3158,'Paramètres'!$D:$D,0))&amp;"","")="Les deux",IFERROR(INDEX('Paramètres'!$I:$I,MATCH($C3158,'Paramètres'!$D:$D,0))&amp;"","")=IF($P3158=1,"Débit",$L3158)),-IF($P3158=1,-$K3158,$K3158),0))))</f>
        <v/>
      </c>
      <c r="U3158" s="6" t="str">
        <f>IF($K3158="","",IF(ISNUMBER(SEARCH("sortie-epargne",IFERROR(INDEX('Paramètres'!$N:$N,MATCH($D3158,'Paramètres'!$M:$M,0))&amp;"",""))),$K3158,0))</f>
        <v/>
      </c>
      <c r="V3158" s="6" t="str">
        <f>IF(AND($A3158&lt;&gt;"",$O3158=1,$L3158="Débit",N($Q3158)&gt;0,$A3158&gt;=Visualisation!$B$1,$A3158&lt;Visualisation!$D$1),MAX($V$1:V3157)+1,"")</f>
        <v/>
      </c>
    </row>
    <row r="3159" spans="1:22" x14ac:dyDescent="0.25">
      <c r="A3159" s="9"/>
      <c r="E3159" s="10"/>
      <c r="K3159" s="11" t="str">
        <f>IF($E3159="","",ROUND($E3159*IF(ISNA(MATCH($C3159,'Paramètres'!$D:$D,0)),1,IF(INDEX('Paramètres'!$J:$J,MATCH($C3159,'Paramètres'!$D:$D,0))="",1,INDEX('Paramètres'!$J:$J,MATCH($C3159,'Paramètres'!$D:$D,0)))),2))</f>
        <v/>
      </c>
      <c r="L3159" s="6" t="str">
        <f>IF($D3159="","",IF($F3159&lt;&gt;"",$F3159,IF(ISNA(MATCH($D3159,'Paramètres'!$M:$M,0)),"⚠ Type inconnu",IFERROR(INDEX('Paramètres'!$P:$P,MATCH($D3159,'Paramètres'!$M:$M,0))&amp;"",""))))</f>
        <v/>
      </c>
      <c r="M3159" s="6" t="str">
        <f>IF($D3159="","",IF(ISNA(MATCH($D3159,'Paramètres'!$M:$M,0)),"⚠ Type inconnu",IF($L3159="Crédit","",IFERROR(INDEX('Paramètres'!$O:$O,MATCH($D3159,'Paramètres'!$M:$M,0))&amp;"",""))))</f>
        <v/>
      </c>
      <c r="N3159" s="6" t="str">
        <f>IF($D3159="","",IFERROR(INDEX('Paramètres'!$Q:$Q,MATCH($D3159,'Paramètres'!$M:$M,0))&amp;"",""))</f>
        <v/>
      </c>
      <c r="O3159" s="6" t="str">
        <f>IF($A3159="","",IF(OR($J3159&lt;&gt;"x",$A3159&lt;=FinReleve),1,0))</f>
        <v/>
      </c>
      <c r="P3159" s="6" t="str">
        <f>IF($D3159="","",IF(AND($L3159="Crédit",OR(IFERROR(INDEX('Paramètres'!$O:$O,MATCH($D3159,'Paramètres'!$M:$M,0))&amp;"","")&lt;&gt;"",ISNUMBER(SEARCH("remboursement",IFERROR(INDEX('Paramètres'!$N:$N,MATCH($D3159,'Paramètres'!$M:$M,0))&amp;"",""))))),1,0))</f>
        <v/>
      </c>
      <c r="Q3159" s="6" t="str">
        <f>IF($K3159="","",IF(ISNUMBER(SEARCH("transfert-interne",IFERROR(INDEX('Paramètres'!$N:$N,MATCH($D3159,'Paramètres'!$M:$M,0))&amp;"",""))),0,IF($L3159="Débit",$K3159,IF($P3159=1,-$K3159,0))))</f>
        <v/>
      </c>
      <c r="R3159" s="6" t="str">
        <f>IF($K3159="","",IF($L3159="Crédit",$K3159,-$K3159))</f>
        <v/>
      </c>
      <c r="S3159" s="6" t="str">
        <f>IF($C3159="","",IFERROR(INDEX('Paramètres'!$H:$H,MATCH($C3159,'Paramètres'!$D:$D,0))&amp;"",""))</f>
        <v/>
      </c>
      <c r="T3159" s="6" t="str">
        <f>IF($K3159="","",IF($S3159="",0,IF(ISNUMBER(SEARCH("apport-exterieur",IFERROR(INDEX('Paramètres'!$N:$N,MATCH($D3159,'Paramètres'!$M:$M,0))&amp;"",""))),0,IF(OR(IFERROR(INDEX('Paramètres'!$I:$I,MATCH($C3159,'Paramètres'!$D:$D,0))&amp;"","")="Les deux",IFERROR(INDEX('Paramètres'!$I:$I,MATCH($C3159,'Paramètres'!$D:$D,0))&amp;"","")=IF($P3159=1,"Débit",$L3159)),-IF($P3159=1,-$K3159,$K3159),0))))</f>
        <v/>
      </c>
      <c r="U3159" s="6" t="str">
        <f>IF($K3159="","",IF(ISNUMBER(SEARCH("sortie-epargne",IFERROR(INDEX('Paramètres'!$N:$N,MATCH($D3159,'Paramètres'!$M:$M,0))&amp;"",""))),$K3159,0))</f>
        <v/>
      </c>
      <c r="V3159" s="6" t="str">
        <f>IF(AND($A3159&lt;&gt;"",$O3159=1,$L3159="Débit",N($Q3159)&gt;0,$A3159&gt;=Visualisation!$B$1,$A3159&lt;Visualisation!$D$1),MAX($V$1:V3158)+1,"")</f>
        <v/>
      </c>
    </row>
    <row r="3160" spans="1:22" x14ac:dyDescent="0.25">
      <c r="A3160" s="9"/>
      <c r="E3160" s="10"/>
      <c r="K3160" s="11" t="str">
        <f>IF($E3160="","",ROUND($E3160*IF(ISNA(MATCH($C3160,'Paramètres'!$D:$D,0)),1,IF(INDEX('Paramètres'!$J:$J,MATCH($C3160,'Paramètres'!$D:$D,0))="",1,INDEX('Paramètres'!$J:$J,MATCH($C3160,'Paramètres'!$D:$D,0)))),2))</f>
        <v/>
      </c>
      <c r="L3160" s="6" t="str">
        <f>IF($D3160="","",IF($F3160&lt;&gt;"",$F3160,IF(ISNA(MATCH($D3160,'Paramètres'!$M:$M,0)),"⚠ Type inconnu",IFERROR(INDEX('Paramètres'!$P:$P,MATCH($D3160,'Paramètres'!$M:$M,0))&amp;"",""))))</f>
        <v/>
      </c>
      <c r="M3160" s="6" t="str">
        <f>IF($D3160="","",IF(ISNA(MATCH($D3160,'Paramètres'!$M:$M,0)),"⚠ Type inconnu",IF($L3160="Crédit","",IFERROR(INDEX('Paramètres'!$O:$O,MATCH($D3160,'Paramètres'!$M:$M,0))&amp;"",""))))</f>
        <v/>
      </c>
      <c r="N3160" s="6" t="str">
        <f>IF($D3160="","",IFERROR(INDEX('Paramètres'!$Q:$Q,MATCH($D3160,'Paramètres'!$M:$M,0))&amp;"",""))</f>
        <v/>
      </c>
      <c r="O3160" s="6" t="str">
        <f>IF($A3160="","",IF(OR($J3160&lt;&gt;"x",$A3160&lt;=FinReleve),1,0))</f>
        <v/>
      </c>
      <c r="P3160" s="6" t="str">
        <f>IF($D3160="","",IF(AND($L3160="Crédit",OR(IFERROR(INDEX('Paramètres'!$O:$O,MATCH($D3160,'Paramètres'!$M:$M,0))&amp;"","")&lt;&gt;"",ISNUMBER(SEARCH("remboursement",IFERROR(INDEX('Paramètres'!$N:$N,MATCH($D3160,'Paramètres'!$M:$M,0))&amp;"",""))))),1,0))</f>
        <v/>
      </c>
      <c r="Q3160" s="6" t="str">
        <f>IF($K3160="","",IF(ISNUMBER(SEARCH("transfert-interne",IFERROR(INDEX('Paramètres'!$N:$N,MATCH($D3160,'Paramètres'!$M:$M,0))&amp;"",""))),0,IF($L3160="Débit",$K3160,IF($P3160=1,-$K3160,0))))</f>
        <v/>
      </c>
      <c r="R3160" s="6" t="str">
        <f>IF($K3160="","",IF($L3160="Crédit",$K3160,-$K3160))</f>
        <v/>
      </c>
      <c r="S3160" s="6" t="str">
        <f>IF($C3160="","",IFERROR(INDEX('Paramètres'!$H:$H,MATCH($C3160,'Paramètres'!$D:$D,0))&amp;"",""))</f>
        <v/>
      </c>
      <c r="T3160" s="6" t="str">
        <f>IF($K3160="","",IF($S3160="",0,IF(ISNUMBER(SEARCH("apport-exterieur",IFERROR(INDEX('Paramètres'!$N:$N,MATCH($D3160,'Paramètres'!$M:$M,0))&amp;"",""))),0,IF(OR(IFERROR(INDEX('Paramètres'!$I:$I,MATCH($C3160,'Paramètres'!$D:$D,0))&amp;"","")="Les deux",IFERROR(INDEX('Paramètres'!$I:$I,MATCH($C3160,'Paramètres'!$D:$D,0))&amp;"","")=IF($P3160=1,"Débit",$L3160)),-IF($P3160=1,-$K3160,$K3160),0))))</f>
        <v/>
      </c>
      <c r="U3160" s="6" t="str">
        <f>IF($K3160="","",IF(ISNUMBER(SEARCH("sortie-epargne",IFERROR(INDEX('Paramètres'!$N:$N,MATCH($D3160,'Paramètres'!$M:$M,0))&amp;"",""))),$K3160,0))</f>
        <v/>
      </c>
      <c r="V3160" s="6" t="str">
        <f>IF(AND($A3160&lt;&gt;"",$O3160=1,$L3160="Débit",N($Q3160)&gt;0,$A3160&gt;=Visualisation!$B$1,$A3160&lt;Visualisation!$D$1),MAX($V$1:V3159)+1,"")</f>
        <v/>
      </c>
    </row>
    <row r="3161" spans="1:22" x14ac:dyDescent="0.25">
      <c r="A3161" s="9"/>
      <c r="E3161" s="10"/>
      <c r="K3161" s="11" t="str">
        <f>IF($E3161="","",ROUND($E3161*IF(ISNA(MATCH($C3161,'Paramètres'!$D:$D,0)),1,IF(INDEX('Paramètres'!$J:$J,MATCH($C3161,'Paramètres'!$D:$D,0))="",1,INDEX('Paramètres'!$J:$J,MATCH($C3161,'Paramètres'!$D:$D,0)))),2))</f>
        <v/>
      </c>
      <c r="L3161" s="6" t="str">
        <f>IF($D3161="","",IF($F3161&lt;&gt;"",$F3161,IF(ISNA(MATCH($D3161,'Paramètres'!$M:$M,0)),"⚠ Type inconnu",IFERROR(INDEX('Paramètres'!$P:$P,MATCH($D3161,'Paramètres'!$M:$M,0))&amp;"",""))))</f>
        <v/>
      </c>
      <c r="M3161" s="6" t="str">
        <f>IF($D3161="","",IF(ISNA(MATCH($D3161,'Paramètres'!$M:$M,0)),"⚠ Type inconnu",IF($L3161="Crédit","",IFERROR(INDEX('Paramètres'!$O:$O,MATCH($D3161,'Paramètres'!$M:$M,0))&amp;"",""))))</f>
        <v/>
      </c>
      <c r="N3161" s="6" t="str">
        <f>IF($D3161="","",IFERROR(INDEX('Paramètres'!$Q:$Q,MATCH($D3161,'Paramètres'!$M:$M,0))&amp;"",""))</f>
        <v/>
      </c>
      <c r="O3161" s="6" t="str">
        <f>IF($A3161="","",IF(OR($J3161&lt;&gt;"x",$A3161&lt;=FinReleve),1,0))</f>
        <v/>
      </c>
      <c r="P3161" s="6" t="str">
        <f>IF($D3161="","",IF(AND($L3161="Crédit",OR(IFERROR(INDEX('Paramètres'!$O:$O,MATCH($D3161,'Paramètres'!$M:$M,0))&amp;"","")&lt;&gt;"",ISNUMBER(SEARCH("remboursement",IFERROR(INDEX('Paramètres'!$N:$N,MATCH($D3161,'Paramètres'!$M:$M,0))&amp;"",""))))),1,0))</f>
        <v/>
      </c>
      <c r="Q3161" s="6" t="str">
        <f>IF($K3161="","",IF(ISNUMBER(SEARCH("transfert-interne",IFERROR(INDEX('Paramètres'!$N:$N,MATCH($D3161,'Paramètres'!$M:$M,0))&amp;"",""))),0,IF($L3161="Débit",$K3161,IF($P3161=1,-$K3161,0))))</f>
        <v/>
      </c>
      <c r="R3161" s="6" t="str">
        <f>IF($K3161="","",IF($L3161="Crédit",$K3161,-$K3161))</f>
        <v/>
      </c>
      <c r="S3161" s="6" t="str">
        <f>IF($C3161="","",IFERROR(INDEX('Paramètres'!$H:$H,MATCH($C3161,'Paramètres'!$D:$D,0))&amp;"",""))</f>
        <v/>
      </c>
      <c r="T3161" s="6" t="str">
        <f>IF($K3161="","",IF($S3161="",0,IF(ISNUMBER(SEARCH("apport-exterieur",IFERROR(INDEX('Paramètres'!$N:$N,MATCH($D3161,'Paramètres'!$M:$M,0))&amp;"",""))),0,IF(OR(IFERROR(INDEX('Paramètres'!$I:$I,MATCH($C3161,'Paramètres'!$D:$D,0))&amp;"","")="Les deux",IFERROR(INDEX('Paramètres'!$I:$I,MATCH($C3161,'Paramètres'!$D:$D,0))&amp;"","")=IF($P3161=1,"Débit",$L3161)),-IF($P3161=1,-$K3161,$K3161),0))))</f>
        <v/>
      </c>
      <c r="U3161" s="6" t="str">
        <f>IF($K3161="","",IF(ISNUMBER(SEARCH("sortie-epargne",IFERROR(INDEX('Paramètres'!$N:$N,MATCH($D3161,'Paramètres'!$M:$M,0))&amp;"",""))),$K3161,0))</f>
        <v/>
      </c>
      <c r="V3161" s="6" t="str">
        <f>IF(AND($A3161&lt;&gt;"",$O3161=1,$L3161="Débit",N($Q3161)&gt;0,$A3161&gt;=Visualisation!$B$1,$A3161&lt;Visualisation!$D$1),MAX($V$1:V3160)+1,"")</f>
        <v/>
      </c>
    </row>
    <row r="3162" spans="1:22" x14ac:dyDescent="0.25">
      <c r="A3162" s="9"/>
      <c r="E3162" s="10"/>
      <c r="K3162" s="11" t="str">
        <f>IF($E3162="","",ROUND($E3162*IF(ISNA(MATCH($C3162,'Paramètres'!$D:$D,0)),1,IF(INDEX('Paramètres'!$J:$J,MATCH($C3162,'Paramètres'!$D:$D,0))="",1,INDEX('Paramètres'!$J:$J,MATCH($C3162,'Paramètres'!$D:$D,0)))),2))</f>
        <v/>
      </c>
      <c r="L3162" s="6" t="str">
        <f>IF($D3162="","",IF($F3162&lt;&gt;"",$F3162,IF(ISNA(MATCH($D3162,'Paramètres'!$M:$M,0)),"⚠ Type inconnu",IFERROR(INDEX('Paramètres'!$P:$P,MATCH($D3162,'Paramètres'!$M:$M,0))&amp;"",""))))</f>
        <v/>
      </c>
      <c r="M3162" s="6" t="str">
        <f>IF($D3162="","",IF(ISNA(MATCH($D3162,'Paramètres'!$M:$M,0)),"⚠ Type inconnu",IF($L3162="Crédit","",IFERROR(INDEX('Paramètres'!$O:$O,MATCH($D3162,'Paramètres'!$M:$M,0))&amp;"",""))))</f>
        <v/>
      </c>
      <c r="N3162" s="6" t="str">
        <f>IF($D3162="","",IFERROR(INDEX('Paramètres'!$Q:$Q,MATCH($D3162,'Paramètres'!$M:$M,0))&amp;"",""))</f>
        <v/>
      </c>
      <c r="O3162" s="6" t="str">
        <f>IF($A3162="","",IF(OR($J3162&lt;&gt;"x",$A3162&lt;=FinReleve),1,0))</f>
        <v/>
      </c>
      <c r="P3162" s="6" t="str">
        <f>IF($D3162="","",IF(AND($L3162="Crédit",OR(IFERROR(INDEX('Paramètres'!$O:$O,MATCH($D3162,'Paramètres'!$M:$M,0))&amp;"","")&lt;&gt;"",ISNUMBER(SEARCH("remboursement",IFERROR(INDEX('Paramètres'!$N:$N,MATCH($D3162,'Paramètres'!$M:$M,0))&amp;"",""))))),1,0))</f>
        <v/>
      </c>
      <c r="Q3162" s="6" t="str">
        <f>IF($K3162="","",IF(ISNUMBER(SEARCH("transfert-interne",IFERROR(INDEX('Paramètres'!$N:$N,MATCH($D3162,'Paramètres'!$M:$M,0))&amp;"",""))),0,IF($L3162="Débit",$K3162,IF($P3162=1,-$K3162,0))))</f>
        <v/>
      </c>
      <c r="R3162" s="6" t="str">
        <f>IF($K3162="","",IF($L3162="Crédit",$K3162,-$K3162))</f>
        <v/>
      </c>
      <c r="S3162" s="6" t="str">
        <f>IF($C3162="","",IFERROR(INDEX('Paramètres'!$H:$H,MATCH($C3162,'Paramètres'!$D:$D,0))&amp;"",""))</f>
        <v/>
      </c>
      <c r="T3162" s="6" t="str">
        <f>IF($K3162="","",IF($S3162="",0,IF(ISNUMBER(SEARCH("apport-exterieur",IFERROR(INDEX('Paramètres'!$N:$N,MATCH($D3162,'Paramètres'!$M:$M,0))&amp;"",""))),0,IF(OR(IFERROR(INDEX('Paramètres'!$I:$I,MATCH($C3162,'Paramètres'!$D:$D,0))&amp;"","")="Les deux",IFERROR(INDEX('Paramètres'!$I:$I,MATCH($C3162,'Paramètres'!$D:$D,0))&amp;"","")=IF($P3162=1,"Débit",$L3162)),-IF($P3162=1,-$K3162,$K3162),0))))</f>
        <v/>
      </c>
      <c r="U3162" s="6" t="str">
        <f>IF($K3162="","",IF(ISNUMBER(SEARCH("sortie-epargne",IFERROR(INDEX('Paramètres'!$N:$N,MATCH($D3162,'Paramètres'!$M:$M,0))&amp;"",""))),$K3162,0))</f>
        <v/>
      </c>
      <c r="V3162" s="6" t="str">
        <f>IF(AND($A3162&lt;&gt;"",$O3162=1,$L3162="Débit",N($Q3162)&gt;0,$A3162&gt;=Visualisation!$B$1,$A3162&lt;Visualisation!$D$1),MAX($V$1:V3161)+1,"")</f>
        <v/>
      </c>
    </row>
    <row r="3163" spans="1:22" x14ac:dyDescent="0.25">
      <c r="A3163" s="9"/>
      <c r="E3163" s="10"/>
      <c r="K3163" s="11" t="str">
        <f>IF($E3163="","",ROUND($E3163*IF(ISNA(MATCH($C3163,'Paramètres'!$D:$D,0)),1,IF(INDEX('Paramètres'!$J:$J,MATCH($C3163,'Paramètres'!$D:$D,0))="",1,INDEX('Paramètres'!$J:$J,MATCH($C3163,'Paramètres'!$D:$D,0)))),2))</f>
        <v/>
      </c>
      <c r="L3163" s="6" t="str">
        <f>IF($D3163="","",IF($F3163&lt;&gt;"",$F3163,IF(ISNA(MATCH($D3163,'Paramètres'!$M:$M,0)),"⚠ Type inconnu",IFERROR(INDEX('Paramètres'!$P:$P,MATCH($D3163,'Paramètres'!$M:$M,0))&amp;"",""))))</f>
        <v/>
      </c>
      <c r="M3163" s="6" t="str">
        <f>IF($D3163="","",IF(ISNA(MATCH($D3163,'Paramètres'!$M:$M,0)),"⚠ Type inconnu",IF($L3163="Crédit","",IFERROR(INDEX('Paramètres'!$O:$O,MATCH($D3163,'Paramètres'!$M:$M,0))&amp;"",""))))</f>
        <v/>
      </c>
      <c r="N3163" s="6" t="str">
        <f>IF($D3163="","",IFERROR(INDEX('Paramètres'!$Q:$Q,MATCH($D3163,'Paramètres'!$M:$M,0))&amp;"",""))</f>
        <v/>
      </c>
      <c r="O3163" s="6" t="str">
        <f>IF($A3163="","",IF(OR($J3163&lt;&gt;"x",$A3163&lt;=FinReleve),1,0))</f>
        <v/>
      </c>
      <c r="P3163" s="6" t="str">
        <f>IF($D3163="","",IF(AND($L3163="Crédit",OR(IFERROR(INDEX('Paramètres'!$O:$O,MATCH($D3163,'Paramètres'!$M:$M,0))&amp;"","")&lt;&gt;"",ISNUMBER(SEARCH("remboursement",IFERROR(INDEX('Paramètres'!$N:$N,MATCH($D3163,'Paramètres'!$M:$M,0))&amp;"",""))))),1,0))</f>
        <v/>
      </c>
      <c r="Q3163" s="6" t="str">
        <f>IF($K3163="","",IF(ISNUMBER(SEARCH("transfert-interne",IFERROR(INDEX('Paramètres'!$N:$N,MATCH($D3163,'Paramètres'!$M:$M,0))&amp;"",""))),0,IF($L3163="Débit",$K3163,IF($P3163=1,-$K3163,0))))</f>
        <v/>
      </c>
      <c r="R3163" s="6" t="str">
        <f>IF($K3163="","",IF($L3163="Crédit",$K3163,-$K3163))</f>
        <v/>
      </c>
      <c r="S3163" s="6" t="str">
        <f>IF($C3163="","",IFERROR(INDEX('Paramètres'!$H:$H,MATCH($C3163,'Paramètres'!$D:$D,0))&amp;"",""))</f>
        <v/>
      </c>
      <c r="T3163" s="6" t="str">
        <f>IF($K3163="","",IF($S3163="",0,IF(ISNUMBER(SEARCH("apport-exterieur",IFERROR(INDEX('Paramètres'!$N:$N,MATCH($D3163,'Paramètres'!$M:$M,0))&amp;"",""))),0,IF(OR(IFERROR(INDEX('Paramètres'!$I:$I,MATCH($C3163,'Paramètres'!$D:$D,0))&amp;"","")="Les deux",IFERROR(INDEX('Paramètres'!$I:$I,MATCH($C3163,'Paramètres'!$D:$D,0))&amp;"","")=IF($P3163=1,"Débit",$L3163)),-IF($P3163=1,-$K3163,$K3163),0))))</f>
        <v/>
      </c>
      <c r="U3163" s="6" t="str">
        <f>IF($K3163="","",IF(ISNUMBER(SEARCH("sortie-epargne",IFERROR(INDEX('Paramètres'!$N:$N,MATCH($D3163,'Paramètres'!$M:$M,0))&amp;"",""))),$K3163,0))</f>
        <v/>
      </c>
      <c r="V3163" s="6" t="str">
        <f>IF(AND($A3163&lt;&gt;"",$O3163=1,$L3163="Débit",N($Q3163)&gt;0,$A3163&gt;=Visualisation!$B$1,$A3163&lt;Visualisation!$D$1),MAX($V$1:V3162)+1,"")</f>
        <v/>
      </c>
    </row>
    <row r="3164" spans="1:22" x14ac:dyDescent="0.25">
      <c r="A3164" s="9"/>
      <c r="E3164" s="10"/>
      <c r="K3164" s="11" t="str">
        <f>IF($E3164="","",ROUND($E3164*IF(ISNA(MATCH($C3164,'Paramètres'!$D:$D,0)),1,IF(INDEX('Paramètres'!$J:$J,MATCH($C3164,'Paramètres'!$D:$D,0))="",1,INDEX('Paramètres'!$J:$J,MATCH($C3164,'Paramètres'!$D:$D,0)))),2))</f>
        <v/>
      </c>
      <c r="L3164" s="6" t="str">
        <f>IF($D3164="","",IF($F3164&lt;&gt;"",$F3164,IF(ISNA(MATCH($D3164,'Paramètres'!$M:$M,0)),"⚠ Type inconnu",IFERROR(INDEX('Paramètres'!$P:$P,MATCH($D3164,'Paramètres'!$M:$M,0))&amp;"",""))))</f>
        <v/>
      </c>
      <c r="M3164" s="6" t="str">
        <f>IF($D3164="","",IF(ISNA(MATCH($D3164,'Paramètres'!$M:$M,0)),"⚠ Type inconnu",IF($L3164="Crédit","",IFERROR(INDEX('Paramètres'!$O:$O,MATCH($D3164,'Paramètres'!$M:$M,0))&amp;"",""))))</f>
        <v/>
      </c>
      <c r="N3164" s="6" t="str">
        <f>IF($D3164="","",IFERROR(INDEX('Paramètres'!$Q:$Q,MATCH($D3164,'Paramètres'!$M:$M,0))&amp;"",""))</f>
        <v/>
      </c>
      <c r="O3164" s="6" t="str">
        <f>IF($A3164="","",IF(OR($J3164&lt;&gt;"x",$A3164&lt;=FinReleve),1,0))</f>
        <v/>
      </c>
      <c r="P3164" s="6" t="str">
        <f>IF($D3164="","",IF(AND($L3164="Crédit",OR(IFERROR(INDEX('Paramètres'!$O:$O,MATCH($D3164,'Paramètres'!$M:$M,0))&amp;"","")&lt;&gt;"",ISNUMBER(SEARCH("remboursement",IFERROR(INDEX('Paramètres'!$N:$N,MATCH($D3164,'Paramètres'!$M:$M,0))&amp;"",""))))),1,0))</f>
        <v/>
      </c>
      <c r="Q3164" s="6" t="str">
        <f>IF($K3164="","",IF(ISNUMBER(SEARCH("transfert-interne",IFERROR(INDEX('Paramètres'!$N:$N,MATCH($D3164,'Paramètres'!$M:$M,0))&amp;"",""))),0,IF($L3164="Débit",$K3164,IF($P3164=1,-$K3164,0))))</f>
        <v/>
      </c>
      <c r="R3164" s="6" t="str">
        <f>IF($K3164="","",IF($L3164="Crédit",$K3164,-$K3164))</f>
        <v/>
      </c>
      <c r="S3164" s="6" t="str">
        <f>IF($C3164="","",IFERROR(INDEX('Paramètres'!$H:$H,MATCH($C3164,'Paramètres'!$D:$D,0))&amp;"",""))</f>
        <v/>
      </c>
      <c r="T3164" s="6" t="str">
        <f>IF($K3164="","",IF($S3164="",0,IF(ISNUMBER(SEARCH("apport-exterieur",IFERROR(INDEX('Paramètres'!$N:$N,MATCH($D3164,'Paramètres'!$M:$M,0))&amp;"",""))),0,IF(OR(IFERROR(INDEX('Paramètres'!$I:$I,MATCH($C3164,'Paramètres'!$D:$D,0))&amp;"","")="Les deux",IFERROR(INDEX('Paramètres'!$I:$I,MATCH($C3164,'Paramètres'!$D:$D,0))&amp;"","")=IF($P3164=1,"Débit",$L3164)),-IF($P3164=1,-$K3164,$K3164),0))))</f>
        <v/>
      </c>
      <c r="U3164" s="6" t="str">
        <f>IF($K3164="","",IF(ISNUMBER(SEARCH("sortie-epargne",IFERROR(INDEX('Paramètres'!$N:$N,MATCH($D3164,'Paramètres'!$M:$M,0))&amp;"",""))),$K3164,0))</f>
        <v/>
      </c>
      <c r="V3164" s="6" t="str">
        <f>IF(AND($A3164&lt;&gt;"",$O3164=1,$L3164="Débit",N($Q3164)&gt;0,$A3164&gt;=Visualisation!$B$1,$A3164&lt;Visualisation!$D$1),MAX($V$1:V3163)+1,"")</f>
        <v/>
      </c>
    </row>
    <row r="3165" spans="1:22" x14ac:dyDescent="0.25">
      <c r="A3165" s="9"/>
      <c r="E3165" s="10"/>
      <c r="K3165" s="11" t="str">
        <f>IF($E3165="","",ROUND($E3165*IF(ISNA(MATCH($C3165,'Paramètres'!$D:$D,0)),1,IF(INDEX('Paramètres'!$J:$J,MATCH($C3165,'Paramètres'!$D:$D,0))="",1,INDEX('Paramètres'!$J:$J,MATCH($C3165,'Paramètres'!$D:$D,0)))),2))</f>
        <v/>
      </c>
      <c r="L3165" s="6" t="str">
        <f>IF($D3165="","",IF($F3165&lt;&gt;"",$F3165,IF(ISNA(MATCH($D3165,'Paramètres'!$M:$M,0)),"⚠ Type inconnu",IFERROR(INDEX('Paramètres'!$P:$P,MATCH($D3165,'Paramètres'!$M:$M,0))&amp;"",""))))</f>
        <v/>
      </c>
      <c r="M3165" s="6" t="str">
        <f>IF($D3165="","",IF(ISNA(MATCH($D3165,'Paramètres'!$M:$M,0)),"⚠ Type inconnu",IF($L3165="Crédit","",IFERROR(INDEX('Paramètres'!$O:$O,MATCH($D3165,'Paramètres'!$M:$M,0))&amp;"",""))))</f>
        <v/>
      </c>
      <c r="N3165" s="6" t="str">
        <f>IF($D3165="","",IFERROR(INDEX('Paramètres'!$Q:$Q,MATCH($D3165,'Paramètres'!$M:$M,0))&amp;"",""))</f>
        <v/>
      </c>
      <c r="O3165" s="6" t="str">
        <f>IF($A3165="","",IF(OR($J3165&lt;&gt;"x",$A3165&lt;=FinReleve),1,0))</f>
        <v/>
      </c>
      <c r="P3165" s="6" t="str">
        <f>IF($D3165="","",IF(AND($L3165="Crédit",OR(IFERROR(INDEX('Paramètres'!$O:$O,MATCH($D3165,'Paramètres'!$M:$M,0))&amp;"","")&lt;&gt;"",ISNUMBER(SEARCH("remboursement",IFERROR(INDEX('Paramètres'!$N:$N,MATCH($D3165,'Paramètres'!$M:$M,0))&amp;"",""))))),1,0))</f>
        <v/>
      </c>
      <c r="Q3165" s="6" t="str">
        <f>IF($K3165="","",IF(ISNUMBER(SEARCH("transfert-interne",IFERROR(INDEX('Paramètres'!$N:$N,MATCH($D3165,'Paramètres'!$M:$M,0))&amp;"",""))),0,IF($L3165="Débit",$K3165,IF($P3165=1,-$K3165,0))))</f>
        <v/>
      </c>
      <c r="R3165" s="6" t="str">
        <f>IF($K3165="","",IF($L3165="Crédit",$K3165,-$K3165))</f>
        <v/>
      </c>
      <c r="S3165" s="6" t="str">
        <f>IF($C3165="","",IFERROR(INDEX('Paramètres'!$H:$H,MATCH($C3165,'Paramètres'!$D:$D,0))&amp;"",""))</f>
        <v/>
      </c>
      <c r="T3165" s="6" t="str">
        <f>IF($K3165="","",IF($S3165="",0,IF(ISNUMBER(SEARCH("apport-exterieur",IFERROR(INDEX('Paramètres'!$N:$N,MATCH($D3165,'Paramètres'!$M:$M,0))&amp;"",""))),0,IF(OR(IFERROR(INDEX('Paramètres'!$I:$I,MATCH($C3165,'Paramètres'!$D:$D,0))&amp;"","")="Les deux",IFERROR(INDEX('Paramètres'!$I:$I,MATCH($C3165,'Paramètres'!$D:$D,0))&amp;"","")=IF($P3165=1,"Débit",$L3165)),-IF($P3165=1,-$K3165,$K3165),0))))</f>
        <v/>
      </c>
      <c r="U3165" s="6" t="str">
        <f>IF($K3165="","",IF(ISNUMBER(SEARCH("sortie-epargne",IFERROR(INDEX('Paramètres'!$N:$N,MATCH($D3165,'Paramètres'!$M:$M,0))&amp;"",""))),$K3165,0))</f>
        <v/>
      </c>
      <c r="V3165" s="6" t="str">
        <f>IF(AND($A3165&lt;&gt;"",$O3165=1,$L3165="Débit",N($Q3165)&gt;0,$A3165&gt;=Visualisation!$B$1,$A3165&lt;Visualisation!$D$1),MAX($V$1:V3164)+1,"")</f>
        <v/>
      </c>
    </row>
    <row r="3166" spans="1:22" x14ac:dyDescent="0.25">
      <c r="A3166" s="9"/>
      <c r="E3166" s="10"/>
      <c r="K3166" s="11" t="str">
        <f>IF($E3166="","",ROUND($E3166*IF(ISNA(MATCH($C3166,'Paramètres'!$D:$D,0)),1,IF(INDEX('Paramètres'!$J:$J,MATCH($C3166,'Paramètres'!$D:$D,0))="",1,INDEX('Paramètres'!$J:$J,MATCH($C3166,'Paramètres'!$D:$D,0)))),2))</f>
        <v/>
      </c>
      <c r="L3166" s="6" t="str">
        <f>IF($D3166="","",IF($F3166&lt;&gt;"",$F3166,IF(ISNA(MATCH($D3166,'Paramètres'!$M:$M,0)),"⚠ Type inconnu",IFERROR(INDEX('Paramètres'!$P:$P,MATCH($D3166,'Paramètres'!$M:$M,0))&amp;"",""))))</f>
        <v/>
      </c>
      <c r="M3166" s="6" t="str">
        <f>IF($D3166="","",IF(ISNA(MATCH($D3166,'Paramètres'!$M:$M,0)),"⚠ Type inconnu",IF($L3166="Crédit","",IFERROR(INDEX('Paramètres'!$O:$O,MATCH($D3166,'Paramètres'!$M:$M,0))&amp;"",""))))</f>
        <v/>
      </c>
      <c r="N3166" s="6" t="str">
        <f>IF($D3166="","",IFERROR(INDEX('Paramètres'!$Q:$Q,MATCH($D3166,'Paramètres'!$M:$M,0))&amp;"",""))</f>
        <v/>
      </c>
      <c r="O3166" s="6" t="str">
        <f>IF($A3166="","",IF(OR($J3166&lt;&gt;"x",$A3166&lt;=FinReleve),1,0))</f>
        <v/>
      </c>
      <c r="P3166" s="6" t="str">
        <f>IF($D3166="","",IF(AND($L3166="Crédit",OR(IFERROR(INDEX('Paramètres'!$O:$O,MATCH($D3166,'Paramètres'!$M:$M,0))&amp;"","")&lt;&gt;"",ISNUMBER(SEARCH("remboursement",IFERROR(INDEX('Paramètres'!$N:$N,MATCH($D3166,'Paramètres'!$M:$M,0))&amp;"",""))))),1,0))</f>
        <v/>
      </c>
      <c r="Q3166" s="6" t="str">
        <f>IF($K3166="","",IF(ISNUMBER(SEARCH("transfert-interne",IFERROR(INDEX('Paramètres'!$N:$N,MATCH($D3166,'Paramètres'!$M:$M,0))&amp;"",""))),0,IF($L3166="Débit",$K3166,IF($P3166=1,-$K3166,0))))</f>
        <v/>
      </c>
      <c r="R3166" s="6" t="str">
        <f>IF($K3166="","",IF($L3166="Crédit",$K3166,-$K3166))</f>
        <v/>
      </c>
      <c r="S3166" s="6" t="str">
        <f>IF($C3166="","",IFERROR(INDEX('Paramètres'!$H:$H,MATCH($C3166,'Paramètres'!$D:$D,0))&amp;"",""))</f>
        <v/>
      </c>
      <c r="T3166" s="6" t="str">
        <f>IF($K3166="","",IF($S3166="",0,IF(ISNUMBER(SEARCH("apport-exterieur",IFERROR(INDEX('Paramètres'!$N:$N,MATCH($D3166,'Paramètres'!$M:$M,0))&amp;"",""))),0,IF(OR(IFERROR(INDEX('Paramètres'!$I:$I,MATCH($C3166,'Paramètres'!$D:$D,0))&amp;"","")="Les deux",IFERROR(INDEX('Paramètres'!$I:$I,MATCH($C3166,'Paramètres'!$D:$D,0))&amp;"","")=IF($P3166=1,"Débit",$L3166)),-IF($P3166=1,-$K3166,$K3166),0))))</f>
        <v/>
      </c>
      <c r="U3166" s="6" t="str">
        <f>IF($K3166="","",IF(ISNUMBER(SEARCH("sortie-epargne",IFERROR(INDEX('Paramètres'!$N:$N,MATCH($D3166,'Paramètres'!$M:$M,0))&amp;"",""))),$K3166,0))</f>
        <v/>
      </c>
      <c r="V3166" s="6" t="str">
        <f>IF(AND($A3166&lt;&gt;"",$O3166=1,$L3166="Débit",N($Q3166)&gt;0,$A3166&gt;=Visualisation!$B$1,$A3166&lt;Visualisation!$D$1),MAX($V$1:V3165)+1,"")</f>
        <v/>
      </c>
    </row>
    <row r="3167" spans="1:22" x14ac:dyDescent="0.25">
      <c r="A3167" s="9"/>
      <c r="E3167" s="10"/>
      <c r="K3167" s="11" t="str">
        <f>IF($E3167="","",ROUND($E3167*IF(ISNA(MATCH($C3167,'Paramètres'!$D:$D,0)),1,IF(INDEX('Paramètres'!$J:$J,MATCH($C3167,'Paramètres'!$D:$D,0))="",1,INDEX('Paramètres'!$J:$J,MATCH($C3167,'Paramètres'!$D:$D,0)))),2))</f>
        <v/>
      </c>
      <c r="L3167" s="6" t="str">
        <f>IF($D3167="","",IF($F3167&lt;&gt;"",$F3167,IF(ISNA(MATCH($D3167,'Paramètres'!$M:$M,0)),"⚠ Type inconnu",IFERROR(INDEX('Paramètres'!$P:$P,MATCH($D3167,'Paramètres'!$M:$M,0))&amp;"",""))))</f>
        <v/>
      </c>
      <c r="M3167" s="6" t="str">
        <f>IF($D3167="","",IF(ISNA(MATCH($D3167,'Paramètres'!$M:$M,0)),"⚠ Type inconnu",IF($L3167="Crédit","",IFERROR(INDEX('Paramètres'!$O:$O,MATCH($D3167,'Paramètres'!$M:$M,0))&amp;"",""))))</f>
        <v/>
      </c>
      <c r="N3167" s="6" t="str">
        <f>IF($D3167="","",IFERROR(INDEX('Paramètres'!$Q:$Q,MATCH($D3167,'Paramètres'!$M:$M,0))&amp;"",""))</f>
        <v/>
      </c>
      <c r="O3167" s="6" t="str">
        <f>IF($A3167="","",IF(OR($J3167&lt;&gt;"x",$A3167&lt;=FinReleve),1,0))</f>
        <v/>
      </c>
      <c r="P3167" s="6" t="str">
        <f>IF($D3167="","",IF(AND($L3167="Crédit",OR(IFERROR(INDEX('Paramètres'!$O:$O,MATCH($D3167,'Paramètres'!$M:$M,0))&amp;"","")&lt;&gt;"",ISNUMBER(SEARCH("remboursement",IFERROR(INDEX('Paramètres'!$N:$N,MATCH($D3167,'Paramètres'!$M:$M,0))&amp;"",""))))),1,0))</f>
        <v/>
      </c>
      <c r="Q3167" s="6" t="str">
        <f>IF($K3167="","",IF(ISNUMBER(SEARCH("transfert-interne",IFERROR(INDEX('Paramètres'!$N:$N,MATCH($D3167,'Paramètres'!$M:$M,0))&amp;"",""))),0,IF($L3167="Débit",$K3167,IF($P3167=1,-$K3167,0))))</f>
        <v/>
      </c>
      <c r="R3167" s="6" t="str">
        <f>IF($K3167="","",IF($L3167="Crédit",$K3167,-$K3167))</f>
        <v/>
      </c>
      <c r="S3167" s="6" t="str">
        <f>IF($C3167="","",IFERROR(INDEX('Paramètres'!$H:$H,MATCH($C3167,'Paramètres'!$D:$D,0))&amp;"",""))</f>
        <v/>
      </c>
      <c r="T3167" s="6" t="str">
        <f>IF($K3167="","",IF($S3167="",0,IF(ISNUMBER(SEARCH("apport-exterieur",IFERROR(INDEX('Paramètres'!$N:$N,MATCH($D3167,'Paramètres'!$M:$M,0))&amp;"",""))),0,IF(OR(IFERROR(INDEX('Paramètres'!$I:$I,MATCH($C3167,'Paramètres'!$D:$D,0))&amp;"","")="Les deux",IFERROR(INDEX('Paramètres'!$I:$I,MATCH($C3167,'Paramètres'!$D:$D,0))&amp;"","")=IF($P3167=1,"Débit",$L3167)),-IF($P3167=1,-$K3167,$K3167),0))))</f>
        <v/>
      </c>
      <c r="U3167" s="6" t="str">
        <f>IF($K3167="","",IF(ISNUMBER(SEARCH("sortie-epargne",IFERROR(INDEX('Paramètres'!$N:$N,MATCH($D3167,'Paramètres'!$M:$M,0))&amp;"",""))),$K3167,0))</f>
        <v/>
      </c>
      <c r="V3167" s="6" t="str">
        <f>IF(AND($A3167&lt;&gt;"",$O3167=1,$L3167="Débit",N($Q3167)&gt;0,$A3167&gt;=Visualisation!$B$1,$A3167&lt;Visualisation!$D$1),MAX($V$1:V3166)+1,"")</f>
        <v/>
      </c>
    </row>
    <row r="3168" spans="1:22" x14ac:dyDescent="0.25">
      <c r="A3168" s="9"/>
      <c r="E3168" s="10"/>
      <c r="K3168" s="11" t="str">
        <f>IF($E3168="","",ROUND($E3168*IF(ISNA(MATCH($C3168,'Paramètres'!$D:$D,0)),1,IF(INDEX('Paramètres'!$J:$J,MATCH($C3168,'Paramètres'!$D:$D,0))="",1,INDEX('Paramètres'!$J:$J,MATCH($C3168,'Paramètres'!$D:$D,0)))),2))</f>
        <v/>
      </c>
      <c r="L3168" s="6" t="str">
        <f>IF($D3168="","",IF($F3168&lt;&gt;"",$F3168,IF(ISNA(MATCH($D3168,'Paramètres'!$M:$M,0)),"⚠ Type inconnu",IFERROR(INDEX('Paramètres'!$P:$P,MATCH($D3168,'Paramètres'!$M:$M,0))&amp;"",""))))</f>
        <v/>
      </c>
      <c r="M3168" s="6" t="str">
        <f>IF($D3168="","",IF(ISNA(MATCH($D3168,'Paramètres'!$M:$M,0)),"⚠ Type inconnu",IF($L3168="Crédit","",IFERROR(INDEX('Paramètres'!$O:$O,MATCH($D3168,'Paramètres'!$M:$M,0))&amp;"",""))))</f>
        <v/>
      </c>
      <c r="N3168" s="6" t="str">
        <f>IF($D3168="","",IFERROR(INDEX('Paramètres'!$Q:$Q,MATCH($D3168,'Paramètres'!$M:$M,0))&amp;"",""))</f>
        <v/>
      </c>
      <c r="O3168" s="6" t="str">
        <f>IF($A3168="","",IF(OR($J3168&lt;&gt;"x",$A3168&lt;=FinReleve),1,0))</f>
        <v/>
      </c>
      <c r="P3168" s="6" t="str">
        <f>IF($D3168="","",IF(AND($L3168="Crédit",OR(IFERROR(INDEX('Paramètres'!$O:$O,MATCH($D3168,'Paramètres'!$M:$M,0))&amp;"","")&lt;&gt;"",ISNUMBER(SEARCH("remboursement",IFERROR(INDEX('Paramètres'!$N:$N,MATCH($D3168,'Paramètres'!$M:$M,0))&amp;"",""))))),1,0))</f>
        <v/>
      </c>
      <c r="Q3168" s="6" t="str">
        <f>IF($K3168="","",IF(ISNUMBER(SEARCH("transfert-interne",IFERROR(INDEX('Paramètres'!$N:$N,MATCH($D3168,'Paramètres'!$M:$M,0))&amp;"",""))),0,IF($L3168="Débit",$K3168,IF($P3168=1,-$K3168,0))))</f>
        <v/>
      </c>
      <c r="R3168" s="6" t="str">
        <f>IF($K3168="","",IF($L3168="Crédit",$K3168,-$K3168))</f>
        <v/>
      </c>
      <c r="S3168" s="6" t="str">
        <f>IF($C3168="","",IFERROR(INDEX('Paramètres'!$H:$H,MATCH($C3168,'Paramètres'!$D:$D,0))&amp;"",""))</f>
        <v/>
      </c>
      <c r="T3168" s="6" t="str">
        <f>IF($K3168="","",IF($S3168="",0,IF(ISNUMBER(SEARCH("apport-exterieur",IFERROR(INDEX('Paramètres'!$N:$N,MATCH($D3168,'Paramètres'!$M:$M,0))&amp;"",""))),0,IF(OR(IFERROR(INDEX('Paramètres'!$I:$I,MATCH($C3168,'Paramètres'!$D:$D,0))&amp;"","")="Les deux",IFERROR(INDEX('Paramètres'!$I:$I,MATCH($C3168,'Paramètres'!$D:$D,0))&amp;"","")=IF($P3168=1,"Débit",$L3168)),-IF($P3168=1,-$K3168,$K3168),0))))</f>
        <v/>
      </c>
      <c r="U3168" s="6" t="str">
        <f>IF($K3168="","",IF(ISNUMBER(SEARCH("sortie-epargne",IFERROR(INDEX('Paramètres'!$N:$N,MATCH($D3168,'Paramètres'!$M:$M,0))&amp;"",""))),$K3168,0))</f>
        <v/>
      </c>
      <c r="V3168" s="6" t="str">
        <f>IF(AND($A3168&lt;&gt;"",$O3168=1,$L3168="Débit",N($Q3168)&gt;0,$A3168&gt;=Visualisation!$B$1,$A3168&lt;Visualisation!$D$1),MAX($V$1:V3167)+1,"")</f>
        <v/>
      </c>
    </row>
    <row r="3169" spans="1:22" x14ac:dyDescent="0.25">
      <c r="A3169" s="9"/>
      <c r="E3169" s="10"/>
      <c r="K3169" s="11" t="str">
        <f>IF($E3169="","",ROUND($E3169*IF(ISNA(MATCH($C3169,'Paramètres'!$D:$D,0)),1,IF(INDEX('Paramètres'!$J:$J,MATCH($C3169,'Paramètres'!$D:$D,0))="",1,INDEX('Paramètres'!$J:$J,MATCH($C3169,'Paramètres'!$D:$D,0)))),2))</f>
        <v/>
      </c>
      <c r="L3169" s="6" t="str">
        <f>IF($D3169="","",IF($F3169&lt;&gt;"",$F3169,IF(ISNA(MATCH($D3169,'Paramètres'!$M:$M,0)),"⚠ Type inconnu",IFERROR(INDEX('Paramètres'!$P:$P,MATCH($D3169,'Paramètres'!$M:$M,0))&amp;"",""))))</f>
        <v/>
      </c>
      <c r="M3169" s="6" t="str">
        <f>IF($D3169="","",IF(ISNA(MATCH($D3169,'Paramètres'!$M:$M,0)),"⚠ Type inconnu",IF($L3169="Crédit","",IFERROR(INDEX('Paramètres'!$O:$O,MATCH($D3169,'Paramètres'!$M:$M,0))&amp;"",""))))</f>
        <v/>
      </c>
      <c r="N3169" s="6" t="str">
        <f>IF($D3169="","",IFERROR(INDEX('Paramètres'!$Q:$Q,MATCH($D3169,'Paramètres'!$M:$M,0))&amp;"",""))</f>
        <v/>
      </c>
      <c r="O3169" s="6" t="str">
        <f>IF($A3169="","",IF(OR($J3169&lt;&gt;"x",$A3169&lt;=FinReleve),1,0))</f>
        <v/>
      </c>
      <c r="P3169" s="6" t="str">
        <f>IF($D3169="","",IF(AND($L3169="Crédit",OR(IFERROR(INDEX('Paramètres'!$O:$O,MATCH($D3169,'Paramètres'!$M:$M,0))&amp;"","")&lt;&gt;"",ISNUMBER(SEARCH("remboursement",IFERROR(INDEX('Paramètres'!$N:$N,MATCH($D3169,'Paramètres'!$M:$M,0))&amp;"",""))))),1,0))</f>
        <v/>
      </c>
      <c r="Q3169" s="6" t="str">
        <f>IF($K3169="","",IF(ISNUMBER(SEARCH("transfert-interne",IFERROR(INDEX('Paramètres'!$N:$N,MATCH($D3169,'Paramètres'!$M:$M,0))&amp;"",""))),0,IF($L3169="Débit",$K3169,IF($P3169=1,-$K3169,0))))</f>
        <v/>
      </c>
      <c r="R3169" s="6" t="str">
        <f>IF($K3169="","",IF($L3169="Crédit",$K3169,-$K3169))</f>
        <v/>
      </c>
      <c r="S3169" s="6" t="str">
        <f>IF($C3169="","",IFERROR(INDEX('Paramètres'!$H:$H,MATCH($C3169,'Paramètres'!$D:$D,0))&amp;"",""))</f>
        <v/>
      </c>
      <c r="T3169" s="6" t="str">
        <f>IF($K3169="","",IF($S3169="",0,IF(ISNUMBER(SEARCH("apport-exterieur",IFERROR(INDEX('Paramètres'!$N:$N,MATCH($D3169,'Paramètres'!$M:$M,0))&amp;"",""))),0,IF(OR(IFERROR(INDEX('Paramètres'!$I:$I,MATCH($C3169,'Paramètres'!$D:$D,0))&amp;"","")="Les deux",IFERROR(INDEX('Paramètres'!$I:$I,MATCH($C3169,'Paramètres'!$D:$D,0))&amp;"","")=IF($P3169=1,"Débit",$L3169)),-IF($P3169=1,-$K3169,$K3169),0))))</f>
        <v/>
      </c>
      <c r="U3169" s="6" t="str">
        <f>IF($K3169="","",IF(ISNUMBER(SEARCH("sortie-epargne",IFERROR(INDEX('Paramètres'!$N:$N,MATCH($D3169,'Paramètres'!$M:$M,0))&amp;"",""))),$K3169,0))</f>
        <v/>
      </c>
      <c r="V3169" s="6" t="str">
        <f>IF(AND($A3169&lt;&gt;"",$O3169=1,$L3169="Débit",N($Q3169)&gt;0,$A3169&gt;=Visualisation!$B$1,$A3169&lt;Visualisation!$D$1),MAX($V$1:V3168)+1,"")</f>
        <v/>
      </c>
    </row>
    <row r="3170" spans="1:22" x14ac:dyDescent="0.25">
      <c r="A3170" s="9"/>
      <c r="E3170" s="10"/>
      <c r="K3170" s="11" t="str">
        <f>IF($E3170="","",ROUND($E3170*IF(ISNA(MATCH($C3170,'Paramètres'!$D:$D,0)),1,IF(INDEX('Paramètres'!$J:$J,MATCH($C3170,'Paramètres'!$D:$D,0))="",1,INDEX('Paramètres'!$J:$J,MATCH($C3170,'Paramètres'!$D:$D,0)))),2))</f>
        <v/>
      </c>
      <c r="L3170" s="6" t="str">
        <f>IF($D3170="","",IF($F3170&lt;&gt;"",$F3170,IF(ISNA(MATCH($D3170,'Paramètres'!$M:$M,0)),"⚠ Type inconnu",IFERROR(INDEX('Paramètres'!$P:$P,MATCH($D3170,'Paramètres'!$M:$M,0))&amp;"",""))))</f>
        <v/>
      </c>
      <c r="M3170" s="6" t="str">
        <f>IF($D3170="","",IF(ISNA(MATCH($D3170,'Paramètres'!$M:$M,0)),"⚠ Type inconnu",IF($L3170="Crédit","",IFERROR(INDEX('Paramètres'!$O:$O,MATCH($D3170,'Paramètres'!$M:$M,0))&amp;"",""))))</f>
        <v/>
      </c>
      <c r="N3170" s="6" t="str">
        <f>IF($D3170="","",IFERROR(INDEX('Paramètres'!$Q:$Q,MATCH($D3170,'Paramètres'!$M:$M,0))&amp;"",""))</f>
        <v/>
      </c>
      <c r="O3170" s="6" t="str">
        <f>IF($A3170="","",IF(OR($J3170&lt;&gt;"x",$A3170&lt;=FinReleve),1,0))</f>
        <v/>
      </c>
      <c r="P3170" s="6" t="str">
        <f>IF($D3170="","",IF(AND($L3170="Crédit",OR(IFERROR(INDEX('Paramètres'!$O:$O,MATCH($D3170,'Paramètres'!$M:$M,0))&amp;"","")&lt;&gt;"",ISNUMBER(SEARCH("remboursement",IFERROR(INDEX('Paramètres'!$N:$N,MATCH($D3170,'Paramètres'!$M:$M,0))&amp;"",""))))),1,0))</f>
        <v/>
      </c>
      <c r="Q3170" s="6" t="str">
        <f>IF($K3170="","",IF(ISNUMBER(SEARCH("transfert-interne",IFERROR(INDEX('Paramètres'!$N:$N,MATCH($D3170,'Paramètres'!$M:$M,0))&amp;"",""))),0,IF($L3170="Débit",$K3170,IF($P3170=1,-$K3170,0))))</f>
        <v/>
      </c>
      <c r="R3170" s="6" t="str">
        <f>IF($K3170="","",IF($L3170="Crédit",$K3170,-$K3170))</f>
        <v/>
      </c>
      <c r="S3170" s="6" t="str">
        <f>IF($C3170="","",IFERROR(INDEX('Paramètres'!$H:$H,MATCH($C3170,'Paramètres'!$D:$D,0))&amp;"",""))</f>
        <v/>
      </c>
      <c r="T3170" s="6" t="str">
        <f>IF($K3170="","",IF($S3170="",0,IF(ISNUMBER(SEARCH("apport-exterieur",IFERROR(INDEX('Paramètres'!$N:$N,MATCH($D3170,'Paramètres'!$M:$M,0))&amp;"",""))),0,IF(OR(IFERROR(INDEX('Paramètres'!$I:$I,MATCH($C3170,'Paramètres'!$D:$D,0))&amp;"","")="Les deux",IFERROR(INDEX('Paramètres'!$I:$I,MATCH($C3170,'Paramètres'!$D:$D,0))&amp;"","")=IF($P3170=1,"Débit",$L3170)),-IF($P3170=1,-$K3170,$K3170),0))))</f>
        <v/>
      </c>
      <c r="U3170" s="6" t="str">
        <f>IF($K3170="","",IF(ISNUMBER(SEARCH("sortie-epargne",IFERROR(INDEX('Paramètres'!$N:$N,MATCH($D3170,'Paramètres'!$M:$M,0))&amp;"",""))),$K3170,0))</f>
        <v/>
      </c>
      <c r="V3170" s="6" t="str">
        <f>IF(AND($A3170&lt;&gt;"",$O3170=1,$L3170="Débit",N($Q3170)&gt;0,$A3170&gt;=Visualisation!$B$1,$A3170&lt;Visualisation!$D$1),MAX($V$1:V3169)+1,"")</f>
        <v/>
      </c>
    </row>
    <row r="3171" spans="1:22" x14ac:dyDescent="0.25">
      <c r="A3171" s="9"/>
      <c r="E3171" s="10"/>
      <c r="K3171" s="11" t="str">
        <f>IF($E3171="","",ROUND($E3171*IF(ISNA(MATCH($C3171,'Paramètres'!$D:$D,0)),1,IF(INDEX('Paramètres'!$J:$J,MATCH($C3171,'Paramètres'!$D:$D,0))="",1,INDEX('Paramètres'!$J:$J,MATCH($C3171,'Paramètres'!$D:$D,0)))),2))</f>
        <v/>
      </c>
      <c r="L3171" s="6" t="str">
        <f>IF($D3171="","",IF($F3171&lt;&gt;"",$F3171,IF(ISNA(MATCH($D3171,'Paramètres'!$M:$M,0)),"⚠ Type inconnu",IFERROR(INDEX('Paramètres'!$P:$P,MATCH($D3171,'Paramètres'!$M:$M,0))&amp;"",""))))</f>
        <v/>
      </c>
      <c r="M3171" s="6" t="str">
        <f>IF($D3171="","",IF(ISNA(MATCH($D3171,'Paramètres'!$M:$M,0)),"⚠ Type inconnu",IF($L3171="Crédit","",IFERROR(INDEX('Paramètres'!$O:$O,MATCH($D3171,'Paramètres'!$M:$M,0))&amp;"",""))))</f>
        <v/>
      </c>
      <c r="N3171" s="6" t="str">
        <f>IF($D3171="","",IFERROR(INDEX('Paramètres'!$Q:$Q,MATCH($D3171,'Paramètres'!$M:$M,0))&amp;"",""))</f>
        <v/>
      </c>
      <c r="O3171" s="6" t="str">
        <f>IF($A3171="","",IF(OR($J3171&lt;&gt;"x",$A3171&lt;=FinReleve),1,0))</f>
        <v/>
      </c>
      <c r="P3171" s="6" t="str">
        <f>IF($D3171="","",IF(AND($L3171="Crédit",OR(IFERROR(INDEX('Paramètres'!$O:$O,MATCH($D3171,'Paramètres'!$M:$M,0))&amp;"","")&lt;&gt;"",ISNUMBER(SEARCH("remboursement",IFERROR(INDEX('Paramètres'!$N:$N,MATCH($D3171,'Paramètres'!$M:$M,0))&amp;"",""))))),1,0))</f>
        <v/>
      </c>
      <c r="Q3171" s="6" t="str">
        <f>IF($K3171="","",IF(ISNUMBER(SEARCH("transfert-interne",IFERROR(INDEX('Paramètres'!$N:$N,MATCH($D3171,'Paramètres'!$M:$M,0))&amp;"",""))),0,IF($L3171="Débit",$K3171,IF($P3171=1,-$K3171,0))))</f>
        <v/>
      </c>
      <c r="R3171" s="6" t="str">
        <f>IF($K3171="","",IF($L3171="Crédit",$K3171,-$K3171))</f>
        <v/>
      </c>
      <c r="S3171" s="6" t="str">
        <f>IF($C3171="","",IFERROR(INDEX('Paramètres'!$H:$H,MATCH($C3171,'Paramètres'!$D:$D,0))&amp;"",""))</f>
        <v/>
      </c>
      <c r="T3171" s="6" t="str">
        <f>IF($K3171="","",IF($S3171="",0,IF(ISNUMBER(SEARCH("apport-exterieur",IFERROR(INDEX('Paramètres'!$N:$N,MATCH($D3171,'Paramètres'!$M:$M,0))&amp;"",""))),0,IF(OR(IFERROR(INDEX('Paramètres'!$I:$I,MATCH($C3171,'Paramètres'!$D:$D,0))&amp;"","")="Les deux",IFERROR(INDEX('Paramètres'!$I:$I,MATCH($C3171,'Paramètres'!$D:$D,0))&amp;"","")=IF($P3171=1,"Débit",$L3171)),-IF($P3171=1,-$K3171,$K3171),0))))</f>
        <v/>
      </c>
      <c r="U3171" s="6" t="str">
        <f>IF($K3171="","",IF(ISNUMBER(SEARCH("sortie-epargne",IFERROR(INDEX('Paramètres'!$N:$N,MATCH($D3171,'Paramètres'!$M:$M,0))&amp;"",""))),$K3171,0))</f>
        <v/>
      </c>
      <c r="V3171" s="6" t="str">
        <f>IF(AND($A3171&lt;&gt;"",$O3171=1,$L3171="Débit",N($Q3171)&gt;0,$A3171&gt;=Visualisation!$B$1,$A3171&lt;Visualisation!$D$1),MAX($V$1:V3170)+1,"")</f>
        <v/>
      </c>
    </row>
    <row r="3172" spans="1:22" x14ac:dyDescent="0.25">
      <c r="A3172" s="9"/>
      <c r="E3172" s="10"/>
      <c r="K3172" s="11" t="str">
        <f>IF($E3172="","",ROUND($E3172*IF(ISNA(MATCH($C3172,'Paramètres'!$D:$D,0)),1,IF(INDEX('Paramètres'!$J:$J,MATCH($C3172,'Paramètres'!$D:$D,0))="",1,INDEX('Paramètres'!$J:$J,MATCH($C3172,'Paramètres'!$D:$D,0)))),2))</f>
        <v/>
      </c>
      <c r="L3172" s="6" t="str">
        <f>IF($D3172="","",IF($F3172&lt;&gt;"",$F3172,IF(ISNA(MATCH($D3172,'Paramètres'!$M:$M,0)),"⚠ Type inconnu",IFERROR(INDEX('Paramètres'!$P:$P,MATCH($D3172,'Paramètres'!$M:$M,0))&amp;"",""))))</f>
        <v/>
      </c>
      <c r="M3172" s="6" t="str">
        <f>IF($D3172="","",IF(ISNA(MATCH($D3172,'Paramètres'!$M:$M,0)),"⚠ Type inconnu",IF($L3172="Crédit","",IFERROR(INDEX('Paramètres'!$O:$O,MATCH($D3172,'Paramètres'!$M:$M,0))&amp;"",""))))</f>
        <v/>
      </c>
      <c r="N3172" s="6" t="str">
        <f>IF($D3172="","",IFERROR(INDEX('Paramètres'!$Q:$Q,MATCH($D3172,'Paramètres'!$M:$M,0))&amp;"",""))</f>
        <v/>
      </c>
      <c r="O3172" s="6" t="str">
        <f>IF($A3172="","",IF(OR($J3172&lt;&gt;"x",$A3172&lt;=FinReleve),1,0))</f>
        <v/>
      </c>
      <c r="P3172" s="6" t="str">
        <f>IF($D3172="","",IF(AND($L3172="Crédit",OR(IFERROR(INDEX('Paramètres'!$O:$O,MATCH($D3172,'Paramètres'!$M:$M,0))&amp;"","")&lt;&gt;"",ISNUMBER(SEARCH("remboursement",IFERROR(INDEX('Paramètres'!$N:$N,MATCH($D3172,'Paramètres'!$M:$M,0))&amp;"",""))))),1,0))</f>
        <v/>
      </c>
      <c r="Q3172" s="6" t="str">
        <f>IF($K3172="","",IF(ISNUMBER(SEARCH("transfert-interne",IFERROR(INDEX('Paramètres'!$N:$N,MATCH($D3172,'Paramètres'!$M:$M,0))&amp;"",""))),0,IF($L3172="Débit",$K3172,IF($P3172=1,-$K3172,0))))</f>
        <v/>
      </c>
      <c r="R3172" s="6" t="str">
        <f>IF($K3172="","",IF($L3172="Crédit",$K3172,-$K3172))</f>
        <v/>
      </c>
      <c r="S3172" s="6" t="str">
        <f>IF($C3172="","",IFERROR(INDEX('Paramètres'!$H:$H,MATCH($C3172,'Paramètres'!$D:$D,0))&amp;"",""))</f>
        <v/>
      </c>
      <c r="T3172" s="6" t="str">
        <f>IF($K3172="","",IF($S3172="",0,IF(ISNUMBER(SEARCH("apport-exterieur",IFERROR(INDEX('Paramètres'!$N:$N,MATCH($D3172,'Paramètres'!$M:$M,0))&amp;"",""))),0,IF(OR(IFERROR(INDEX('Paramètres'!$I:$I,MATCH($C3172,'Paramètres'!$D:$D,0))&amp;"","")="Les deux",IFERROR(INDEX('Paramètres'!$I:$I,MATCH($C3172,'Paramètres'!$D:$D,0))&amp;"","")=IF($P3172=1,"Débit",$L3172)),-IF($P3172=1,-$K3172,$K3172),0))))</f>
        <v/>
      </c>
      <c r="U3172" s="6" t="str">
        <f>IF($K3172="","",IF(ISNUMBER(SEARCH("sortie-epargne",IFERROR(INDEX('Paramètres'!$N:$N,MATCH($D3172,'Paramètres'!$M:$M,0))&amp;"",""))),$K3172,0))</f>
        <v/>
      </c>
      <c r="V3172" s="6" t="str">
        <f>IF(AND($A3172&lt;&gt;"",$O3172=1,$L3172="Débit",N($Q3172)&gt;0,$A3172&gt;=Visualisation!$B$1,$A3172&lt;Visualisation!$D$1),MAX($V$1:V3171)+1,"")</f>
        <v/>
      </c>
    </row>
    <row r="3173" spans="1:22" x14ac:dyDescent="0.25">
      <c r="A3173" s="9"/>
      <c r="E3173" s="10"/>
      <c r="K3173" s="11" t="str">
        <f>IF($E3173="","",ROUND($E3173*IF(ISNA(MATCH($C3173,'Paramètres'!$D:$D,0)),1,IF(INDEX('Paramètres'!$J:$J,MATCH($C3173,'Paramètres'!$D:$D,0))="",1,INDEX('Paramètres'!$J:$J,MATCH($C3173,'Paramètres'!$D:$D,0)))),2))</f>
        <v/>
      </c>
      <c r="L3173" s="6" t="str">
        <f>IF($D3173="","",IF($F3173&lt;&gt;"",$F3173,IF(ISNA(MATCH($D3173,'Paramètres'!$M:$M,0)),"⚠ Type inconnu",IFERROR(INDEX('Paramètres'!$P:$P,MATCH($D3173,'Paramètres'!$M:$M,0))&amp;"",""))))</f>
        <v/>
      </c>
      <c r="M3173" s="6" t="str">
        <f>IF($D3173="","",IF(ISNA(MATCH($D3173,'Paramètres'!$M:$M,0)),"⚠ Type inconnu",IF($L3173="Crédit","",IFERROR(INDEX('Paramètres'!$O:$O,MATCH($D3173,'Paramètres'!$M:$M,0))&amp;"",""))))</f>
        <v/>
      </c>
      <c r="N3173" s="6" t="str">
        <f>IF($D3173="","",IFERROR(INDEX('Paramètres'!$Q:$Q,MATCH($D3173,'Paramètres'!$M:$M,0))&amp;"",""))</f>
        <v/>
      </c>
      <c r="O3173" s="6" t="str">
        <f>IF($A3173="","",IF(OR($J3173&lt;&gt;"x",$A3173&lt;=FinReleve),1,0))</f>
        <v/>
      </c>
      <c r="P3173" s="6" t="str">
        <f>IF($D3173="","",IF(AND($L3173="Crédit",OR(IFERROR(INDEX('Paramètres'!$O:$O,MATCH($D3173,'Paramètres'!$M:$M,0))&amp;"","")&lt;&gt;"",ISNUMBER(SEARCH("remboursement",IFERROR(INDEX('Paramètres'!$N:$N,MATCH($D3173,'Paramètres'!$M:$M,0))&amp;"",""))))),1,0))</f>
        <v/>
      </c>
      <c r="Q3173" s="6" t="str">
        <f>IF($K3173="","",IF(ISNUMBER(SEARCH("transfert-interne",IFERROR(INDEX('Paramètres'!$N:$N,MATCH($D3173,'Paramètres'!$M:$M,0))&amp;"",""))),0,IF($L3173="Débit",$K3173,IF($P3173=1,-$K3173,0))))</f>
        <v/>
      </c>
      <c r="R3173" s="6" t="str">
        <f>IF($K3173="","",IF($L3173="Crédit",$K3173,-$K3173))</f>
        <v/>
      </c>
      <c r="S3173" s="6" t="str">
        <f>IF($C3173="","",IFERROR(INDEX('Paramètres'!$H:$H,MATCH($C3173,'Paramètres'!$D:$D,0))&amp;"",""))</f>
        <v/>
      </c>
      <c r="T3173" s="6" t="str">
        <f>IF($K3173="","",IF($S3173="",0,IF(ISNUMBER(SEARCH("apport-exterieur",IFERROR(INDEX('Paramètres'!$N:$N,MATCH($D3173,'Paramètres'!$M:$M,0))&amp;"",""))),0,IF(OR(IFERROR(INDEX('Paramètres'!$I:$I,MATCH($C3173,'Paramètres'!$D:$D,0))&amp;"","")="Les deux",IFERROR(INDEX('Paramètres'!$I:$I,MATCH($C3173,'Paramètres'!$D:$D,0))&amp;"","")=IF($P3173=1,"Débit",$L3173)),-IF($P3173=1,-$K3173,$K3173),0))))</f>
        <v/>
      </c>
      <c r="U3173" s="6" t="str">
        <f>IF($K3173="","",IF(ISNUMBER(SEARCH("sortie-epargne",IFERROR(INDEX('Paramètres'!$N:$N,MATCH($D3173,'Paramètres'!$M:$M,0))&amp;"",""))),$K3173,0))</f>
        <v/>
      </c>
      <c r="V3173" s="6" t="str">
        <f>IF(AND($A3173&lt;&gt;"",$O3173=1,$L3173="Débit",N($Q3173)&gt;0,$A3173&gt;=Visualisation!$B$1,$A3173&lt;Visualisation!$D$1),MAX($V$1:V3172)+1,"")</f>
        <v/>
      </c>
    </row>
    <row r="3174" spans="1:22" x14ac:dyDescent="0.25">
      <c r="A3174" s="9"/>
      <c r="E3174" s="10"/>
      <c r="K3174" s="11" t="str">
        <f>IF($E3174="","",ROUND($E3174*IF(ISNA(MATCH($C3174,'Paramètres'!$D:$D,0)),1,IF(INDEX('Paramètres'!$J:$J,MATCH($C3174,'Paramètres'!$D:$D,0))="",1,INDEX('Paramètres'!$J:$J,MATCH($C3174,'Paramètres'!$D:$D,0)))),2))</f>
        <v/>
      </c>
      <c r="L3174" s="6" t="str">
        <f>IF($D3174="","",IF($F3174&lt;&gt;"",$F3174,IF(ISNA(MATCH($D3174,'Paramètres'!$M:$M,0)),"⚠ Type inconnu",IFERROR(INDEX('Paramètres'!$P:$P,MATCH($D3174,'Paramètres'!$M:$M,0))&amp;"",""))))</f>
        <v/>
      </c>
      <c r="M3174" s="6" t="str">
        <f>IF($D3174="","",IF(ISNA(MATCH($D3174,'Paramètres'!$M:$M,0)),"⚠ Type inconnu",IF($L3174="Crédit","",IFERROR(INDEX('Paramètres'!$O:$O,MATCH($D3174,'Paramètres'!$M:$M,0))&amp;"",""))))</f>
        <v/>
      </c>
      <c r="N3174" s="6" t="str">
        <f>IF($D3174="","",IFERROR(INDEX('Paramètres'!$Q:$Q,MATCH($D3174,'Paramètres'!$M:$M,0))&amp;"",""))</f>
        <v/>
      </c>
      <c r="O3174" s="6" t="str">
        <f>IF($A3174="","",IF(OR($J3174&lt;&gt;"x",$A3174&lt;=FinReleve),1,0))</f>
        <v/>
      </c>
      <c r="P3174" s="6" t="str">
        <f>IF($D3174="","",IF(AND($L3174="Crédit",OR(IFERROR(INDEX('Paramètres'!$O:$O,MATCH($D3174,'Paramètres'!$M:$M,0))&amp;"","")&lt;&gt;"",ISNUMBER(SEARCH("remboursement",IFERROR(INDEX('Paramètres'!$N:$N,MATCH($D3174,'Paramètres'!$M:$M,0))&amp;"",""))))),1,0))</f>
        <v/>
      </c>
      <c r="Q3174" s="6" t="str">
        <f>IF($K3174="","",IF(ISNUMBER(SEARCH("transfert-interne",IFERROR(INDEX('Paramètres'!$N:$N,MATCH($D3174,'Paramètres'!$M:$M,0))&amp;"",""))),0,IF($L3174="Débit",$K3174,IF($P3174=1,-$K3174,0))))</f>
        <v/>
      </c>
      <c r="R3174" s="6" t="str">
        <f>IF($K3174="","",IF($L3174="Crédit",$K3174,-$K3174))</f>
        <v/>
      </c>
      <c r="S3174" s="6" t="str">
        <f>IF($C3174="","",IFERROR(INDEX('Paramètres'!$H:$H,MATCH($C3174,'Paramètres'!$D:$D,0))&amp;"",""))</f>
        <v/>
      </c>
      <c r="T3174" s="6" t="str">
        <f>IF($K3174="","",IF($S3174="",0,IF(ISNUMBER(SEARCH("apport-exterieur",IFERROR(INDEX('Paramètres'!$N:$N,MATCH($D3174,'Paramètres'!$M:$M,0))&amp;"",""))),0,IF(OR(IFERROR(INDEX('Paramètres'!$I:$I,MATCH($C3174,'Paramètres'!$D:$D,0))&amp;"","")="Les deux",IFERROR(INDEX('Paramètres'!$I:$I,MATCH($C3174,'Paramètres'!$D:$D,0))&amp;"","")=IF($P3174=1,"Débit",$L3174)),-IF($P3174=1,-$K3174,$K3174),0))))</f>
        <v/>
      </c>
      <c r="U3174" s="6" t="str">
        <f>IF($K3174="","",IF(ISNUMBER(SEARCH("sortie-epargne",IFERROR(INDEX('Paramètres'!$N:$N,MATCH($D3174,'Paramètres'!$M:$M,0))&amp;"",""))),$K3174,0))</f>
        <v/>
      </c>
      <c r="V3174" s="6" t="str">
        <f>IF(AND($A3174&lt;&gt;"",$O3174=1,$L3174="Débit",N($Q3174)&gt;0,$A3174&gt;=Visualisation!$B$1,$A3174&lt;Visualisation!$D$1),MAX($V$1:V3173)+1,"")</f>
        <v/>
      </c>
    </row>
    <row r="3175" spans="1:22" x14ac:dyDescent="0.25">
      <c r="A3175" s="9"/>
      <c r="E3175" s="10"/>
      <c r="K3175" s="11" t="str">
        <f>IF($E3175="","",ROUND($E3175*IF(ISNA(MATCH($C3175,'Paramètres'!$D:$D,0)),1,IF(INDEX('Paramètres'!$J:$J,MATCH($C3175,'Paramètres'!$D:$D,0))="",1,INDEX('Paramètres'!$J:$J,MATCH($C3175,'Paramètres'!$D:$D,0)))),2))</f>
        <v/>
      </c>
      <c r="L3175" s="6" t="str">
        <f>IF($D3175="","",IF($F3175&lt;&gt;"",$F3175,IF(ISNA(MATCH($D3175,'Paramètres'!$M:$M,0)),"⚠ Type inconnu",IFERROR(INDEX('Paramètres'!$P:$P,MATCH($D3175,'Paramètres'!$M:$M,0))&amp;"",""))))</f>
        <v/>
      </c>
      <c r="M3175" s="6" t="str">
        <f>IF($D3175="","",IF(ISNA(MATCH($D3175,'Paramètres'!$M:$M,0)),"⚠ Type inconnu",IF($L3175="Crédit","",IFERROR(INDEX('Paramètres'!$O:$O,MATCH($D3175,'Paramètres'!$M:$M,0))&amp;"",""))))</f>
        <v/>
      </c>
      <c r="N3175" s="6" t="str">
        <f>IF($D3175="","",IFERROR(INDEX('Paramètres'!$Q:$Q,MATCH($D3175,'Paramètres'!$M:$M,0))&amp;"",""))</f>
        <v/>
      </c>
      <c r="O3175" s="6" t="str">
        <f>IF($A3175="","",IF(OR($J3175&lt;&gt;"x",$A3175&lt;=FinReleve),1,0))</f>
        <v/>
      </c>
      <c r="P3175" s="6" t="str">
        <f>IF($D3175="","",IF(AND($L3175="Crédit",OR(IFERROR(INDEX('Paramètres'!$O:$O,MATCH($D3175,'Paramètres'!$M:$M,0))&amp;"","")&lt;&gt;"",ISNUMBER(SEARCH("remboursement",IFERROR(INDEX('Paramètres'!$N:$N,MATCH($D3175,'Paramètres'!$M:$M,0))&amp;"",""))))),1,0))</f>
        <v/>
      </c>
      <c r="Q3175" s="6" t="str">
        <f>IF($K3175="","",IF(ISNUMBER(SEARCH("transfert-interne",IFERROR(INDEX('Paramètres'!$N:$N,MATCH($D3175,'Paramètres'!$M:$M,0))&amp;"",""))),0,IF($L3175="Débit",$K3175,IF($P3175=1,-$K3175,0))))</f>
        <v/>
      </c>
      <c r="R3175" s="6" t="str">
        <f>IF($K3175="","",IF($L3175="Crédit",$K3175,-$K3175))</f>
        <v/>
      </c>
      <c r="S3175" s="6" t="str">
        <f>IF($C3175="","",IFERROR(INDEX('Paramètres'!$H:$H,MATCH($C3175,'Paramètres'!$D:$D,0))&amp;"",""))</f>
        <v/>
      </c>
      <c r="T3175" s="6" t="str">
        <f>IF($K3175="","",IF($S3175="",0,IF(ISNUMBER(SEARCH("apport-exterieur",IFERROR(INDEX('Paramètres'!$N:$N,MATCH($D3175,'Paramètres'!$M:$M,0))&amp;"",""))),0,IF(OR(IFERROR(INDEX('Paramètres'!$I:$I,MATCH($C3175,'Paramètres'!$D:$D,0))&amp;"","")="Les deux",IFERROR(INDEX('Paramètres'!$I:$I,MATCH($C3175,'Paramètres'!$D:$D,0))&amp;"","")=IF($P3175=1,"Débit",$L3175)),-IF($P3175=1,-$K3175,$K3175),0))))</f>
        <v/>
      </c>
      <c r="U3175" s="6" t="str">
        <f>IF($K3175="","",IF(ISNUMBER(SEARCH("sortie-epargne",IFERROR(INDEX('Paramètres'!$N:$N,MATCH($D3175,'Paramètres'!$M:$M,0))&amp;"",""))),$K3175,0))</f>
        <v/>
      </c>
      <c r="V3175" s="6" t="str">
        <f>IF(AND($A3175&lt;&gt;"",$O3175=1,$L3175="Débit",N($Q3175)&gt;0,$A3175&gt;=Visualisation!$B$1,$A3175&lt;Visualisation!$D$1),MAX($V$1:V3174)+1,"")</f>
        <v/>
      </c>
    </row>
    <row r="3176" spans="1:22" x14ac:dyDescent="0.25">
      <c r="A3176" s="9"/>
      <c r="E3176" s="10"/>
      <c r="K3176" s="11" t="str">
        <f>IF($E3176="","",ROUND($E3176*IF(ISNA(MATCH($C3176,'Paramètres'!$D:$D,0)),1,IF(INDEX('Paramètres'!$J:$J,MATCH($C3176,'Paramètres'!$D:$D,0))="",1,INDEX('Paramètres'!$J:$J,MATCH($C3176,'Paramètres'!$D:$D,0)))),2))</f>
        <v/>
      </c>
      <c r="L3176" s="6" t="str">
        <f>IF($D3176="","",IF($F3176&lt;&gt;"",$F3176,IF(ISNA(MATCH($D3176,'Paramètres'!$M:$M,0)),"⚠ Type inconnu",IFERROR(INDEX('Paramètres'!$P:$P,MATCH($D3176,'Paramètres'!$M:$M,0))&amp;"",""))))</f>
        <v/>
      </c>
      <c r="M3176" s="6" t="str">
        <f>IF($D3176="","",IF(ISNA(MATCH($D3176,'Paramètres'!$M:$M,0)),"⚠ Type inconnu",IF($L3176="Crédit","",IFERROR(INDEX('Paramètres'!$O:$O,MATCH($D3176,'Paramètres'!$M:$M,0))&amp;"",""))))</f>
        <v/>
      </c>
      <c r="N3176" s="6" t="str">
        <f>IF($D3176="","",IFERROR(INDEX('Paramètres'!$Q:$Q,MATCH($D3176,'Paramètres'!$M:$M,0))&amp;"",""))</f>
        <v/>
      </c>
      <c r="O3176" s="6" t="str">
        <f>IF($A3176="","",IF(OR($J3176&lt;&gt;"x",$A3176&lt;=FinReleve),1,0))</f>
        <v/>
      </c>
      <c r="P3176" s="6" t="str">
        <f>IF($D3176="","",IF(AND($L3176="Crédit",OR(IFERROR(INDEX('Paramètres'!$O:$O,MATCH($D3176,'Paramètres'!$M:$M,0))&amp;"","")&lt;&gt;"",ISNUMBER(SEARCH("remboursement",IFERROR(INDEX('Paramètres'!$N:$N,MATCH($D3176,'Paramètres'!$M:$M,0))&amp;"",""))))),1,0))</f>
        <v/>
      </c>
      <c r="Q3176" s="6" t="str">
        <f>IF($K3176="","",IF(ISNUMBER(SEARCH("transfert-interne",IFERROR(INDEX('Paramètres'!$N:$N,MATCH($D3176,'Paramètres'!$M:$M,0))&amp;"",""))),0,IF($L3176="Débit",$K3176,IF($P3176=1,-$K3176,0))))</f>
        <v/>
      </c>
      <c r="R3176" s="6" t="str">
        <f>IF($K3176="","",IF($L3176="Crédit",$K3176,-$K3176))</f>
        <v/>
      </c>
      <c r="S3176" s="6" t="str">
        <f>IF($C3176="","",IFERROR(INDEX('Paramètres'!$H:$H,MATCH($C3176,'Paramètres'!$D:$D,0))&amp;"",""))</f>
        <v/>
      </c>
      <c r="T3176" s="6" t="str">
        <f>IF($K3176="","",IF($S3176="",0,IF(ISNUMBER(SEARCH("apport-exterieur",IFERROR(INDEX('Paramètres'!$N:$N,MATCH($D3176,'Paramètres'!$M:$M,0))&amp;"",""))),0,IF(OR(IFERROR(INDEX('Paramètres'!$I:$I,MATCH($C3176,'Paramètres'!$D:$D,0))&amp;"","")="Les deux",IFERROR(INDEX('Paramètres'!$I:$I,MATCH($C3176,'Paramètres'!$D:$D,0))&amp;"","")=IF($P3176=1,"Débit",$L3176)),-IF($P3176=1,-$K3176,$K3176),0))))</f>
        <v/>
      </c>
      <c r="U3176" s="6" t="str">
        <f>IF($K3176="","",IF(ISNUMBER(SEARCH("sortie-epargne",IFERROR(INDEX('Paramètres'!$N:$N,MATCH($D3176,'Paramètres'!$M:$M,0))&amp;"",""))),$K3176,0))</f>
        <v/>
      </c>
      <c r="V3176" s="6" t="str">
        <f>IF(AND($A3176&lt;&gt;"",$O3176=1,$L3176="Débit",N($Q3176)&gt;0,$A3176&gt;=Visualisation!$B$1,$A3176&lt;Visualisation!$D$1),MAX($V$1:V3175)+1,"")</f>
        <v/>
      </c>
    </row>
    <row r="3177" spans="1:22" x14ac:dyDescent="0.25">
      <c r="A3177" s="9"/>
      <c r="E3177" s="10"/>
      <c r="K3177" s="11" t="str">
        <f>IF($E3177="","",ROUND($E3177*IF(ISNA(MATCH($C3177,'Paramètres'!$D:$D,0)),1,IF(INDEX('Paramètres'!$J:$J,MATCH($C3177,'Paramètres'!$D:$D,0))="",1,INDEX('Paramètres'!$J:$J,MATCH($C3177,'Paramètres'!$D:$D,0)))),2))</f>
        <v/>
      </c>
      <c r="L3177" s="6" t="str">
        <f>IF($D3177="","",IF($F3177&lt;&gt;"",$F3177,IF(ISNA(MATCH($D3177,'Paramètres'!$M:$M,0)),"⚠ Type inconnu",IFERROR(INDEX('Paramètres'!$P:$P,MATCH($D3177,'Paramètres'!$M:$M,0))&amp;"",""))))</f>
        <v/>
      </c>
      <c r="M3177" s="6" t="str">
        <f>IF($D3177="","",IF(ISNA(MATCH($D3177,'Paramètres'!$M:$M,0)),"⚠ Type inconnu",IF($L3177="Crédit","",IFERROR(INDEX('Paramètres'!$O:$O,MATCH($D3177,'Paramètres'!$M:$M,0))&amp;"",""))))</f>
        <v/>
      </c>
      <c r="N3177" s="6" t="str">
        <f>IF($D3177="","",IFERROR(INDEX('Paramètres'!$Q:$Q,MATCH($D3177,'Paramètres'!$M:$M,0))&amp;"",""))</f>
        <v/>
      </c>
      <c r="O3177" s="6" t="str">
        <f>IF($A3177="","",IF(OR($J3177&lt;&gt;"x",$A3177&lt;=FinReleve),1,0))</f>
        <v/>
      </c>
      <c r="P3177" s="6" t="str">
        <f>IF($D3177="","",IF(AND($L3177="Crédit",OR(IFERROR(INDEX('Paramètres'!$O:$O,MATCH($D3177,'Paramètres'!$M:$M,0))&amp;"","")&lt;&gt;"",ISNUMBER(SEARCH("remboursement",IFERROR(INDEX('Paramètres'!$N:$N,MATCH($D3177,'Paramètres'!$M:$M,0))&amp;"",""))))),1,0))</f>
        <v/>
      </c>
      <c r="Q3177" s="6" t="str">
        <f>IF($K3177="","",IF(ISNUMBER(SEARCH("transfert-interne",IFERROR(INDEX('Paramètres'!$N:$N,MATCH($D3177,'Paramètres'!$M:$M,0))&amp;"",""))),0,IF($L3177="Débit",$K3177,IF($P3177=1,-$K3177,0))))</f>
        <v/>
      </c>
      <c r="R3177" s="6" t="str">
        <f>IF($K3177="","",IF($L3177="Crédit",$K3177,-$K3177))</f>
        <v/>
      </c>
      <c r="S3177" s="6" t="str">
        <f>IF($C3177="","",IFERROR(INDEX('Paramètres'!$H:$H,MATCH($C3177,'Paramètres'!$D:$D,0))&amp;"",""))</f>
        <v/>
      </c>
      <c r="T3177" s="6" t="str">
        <f>IF($K3177="","",IF($S3177="",0,IF(ISNUMBER(SEARCH("apport-exterieur",IFERROR(INDEX('Paramètres'!$N:$N,MATCH($D3177,'Paramètres'!$M:$M,0))&amp;"",""))),0,IF(OR(IFERROR(INDEX('Paramètres'!$I:$I,MATCH($C3177,'Paramètres'!$D:$D,0))&amp;"","")="Les deux",IFERROR(INDEX('Paramètres'!$I:$I,MATCH($C3177,'Paramètres'!$D:$D,0))&amp;"","")=IF($P3177=1,"Débit",$L3177)),-IF($P3177=1,-$K3177,$K3177),0))))</f>
        <v/>
      </c>
      <c r="U3177" s="6" t="str">
        <f>IF($K3177="","",IF(ISNUMBER(SEARCH("sortie-epargne",IFERROR(INDEX('Paramètres'!$N:$N,MATCH($D3177,'Paramètres'!$M:$M,0))&amp;"",""))),$K3177,0))</f>
        <v/>
      </c>
      <c r="V3177" s="6" t="str">
        <f>IF(AND($A3177&lt;&gt;"",$O3177=1,$L3177="Débit",N($Q3177)&gt;0,$A3177&gt;=Visualisation!$B$1,$A3177&lt;Visualisation!$D$1),MAX($V$1:V3176)+1,"")</f>
        <v/>
      </c>
    </row>
    <row r="3178" spans="1:22" x14ac:dyDescent="0.25">
      <c r="A3178" s="9"/>
      <c r="E3178" s="10"/>
      <c r="K3178" s="11" t="str">
        <f>IF($E3178="","",ROUND($E3178*IF(ISNA(MATCH($C3178,'Paramètres'!$D:$D,0)),1,IF(INDEX('Paramètres'!$J:$J,MATCH($C3178,'Paramètres'!$D:$D,0))="",1,INDEX('Paramètres'!$J:$J,MATCH($C3178,'Paramètres'!$D:$D,0)))),2))</f>
        <v/>
      </c>
      <c r="L3178" s="6" t="str">
        <f>IF($D3178="","",IF($F3178&lt;&gt;"",$F3178,IF(ISNA(MATCH($D3178,'Paramètres'!$M:$M,0)),"⚠ Type inconnu",IFERROR(INDEX('Paramètres'!$P:$P,MATCH($D3178,'Paramètres'!$M:$M,0))&amp;"",""))))</f>
        <v/>
      </c>
      <c r="M3178" s="6" t="str">
        <f>IF($D3178="","",IF(ISNA(MATCH($D3178,'Paramètres'!$M:$M,0)),"⚠ Type inconnu",IF($L3178="Crédit","",IFERROR(INDEX('Paramètres'!$O:$O,MATCH($D3178,'Paramètres'!$M:$M,0))&amp;"",""))))</f>
        <v/>
      </c>
      <c r="N3178" s="6" t="str">
        <f>IF($D3178="","",IFERROR(INDEX('Paramètres'!$Q:$Q,MATCH($D3178,'Paramètres'!$M:$M,0))&amp;"",""))</f>
        <v/>
      </c>
      <c r="O3178" s="6" t="str">
        <f>IF($A3178="","",IF(OR($J3178&lt;&gt;"x",$A3178&lt;=FinReleve),1,0))</f>
        <v/>
      </c>
      <c r="P3178" s="6" t="str">
        <f>IF($D3178="","",IF(AND($L3178="Crédit",OR(IFERROR(INDEX('Paramètres'!$O:$O,MATCH($D3178,'Paramètres'!$M:$M,0))&amp;"","")&lt;&gt;"",ISNUMBER(SEARCH("remboursement",IFERROR(INDEX('Paramètres'!$N:$N,MATCH($D3178,'Paramètres'!$M:$M,0))&amp;"",""))))),1,0))</f>
        <v/>
      </c>
      <c r="Q3178" s="6" t="str">
        <f>IF($K3178="","",IF(ISNUMBER(SEARCH("transfert-interne",IFERROR(INDEX('Paramètres'!$N:$N,MATCH($D3178,'Paramètres'!$M:$M,0))&amp;"",""))),0,IF($L3178="Débit",$K3178,IF($P3178=1,-$K3178,0))))</f>
        <v/>
      </c>
      <c r="R3178" s="6" t="str">
        <f>IF($K3178="","",IF($L3178="Crédit",$K3178,-$K3178))</f>
        <v/>
      </c>
      <c r="S3178" s="6" t="str">
        <f>IF($C3178="","",IFERROR(INDEX('Paramètres'!$H:$H,MATCH($C3178,'Paramètres'!$D:$D,0))&amp;"",""))</f>
        <v/>
      </c>
      <c r="T3178" s="6" t="str">
        <f>IF($K3178="","",IF($S3178="",0,IF(ISNUMBER(SEARCH("apport-exterieur",IFERROR(INDEX('Paramètres'!$N:$N,MATCH($D3178,'Paramètres'!$M:$M,0))&amp;"",""))),0,IF(OR(IFERROR(INDEX('Paramètres'!$I:$I,MATCH($C3178,'Paramètres'!$D:$D,0))&amp;"","")="Les deux",IFERROR(INDEX('Paramètres'!$I:$I,MATCH($C3178,'Paramètres'!$D:$D,0))&amp;"","")=IF($P3178=1,"Débit",$L3178)),-IF($P3178=1,-$K3178,$K3178),0))))</f>
        <v/>
      </c>
      <c r="U3178" s="6" t="str">
        <f>IF($K3178="","",IF(ISNUMBER(SEARCH("sortie-epargne",IFERROR(INDEX('Paramètres'!$N:$N,MATCH($D3178,'Paramètres'!$M:$M,0))&amp;"",""))),$K3178,0))</f>
        <v/>
      </c>
      <c r="V3178" s="6" t="str">
        <f>IF(AND($A3178&lt;&gt;"",$O3178=1,$L3178="Débit",N($Q3178)&gt;0,$A3178&gt;=Visualisation!$B$1,$A3178&lt;Visualisation!$D$1),MAX($V$1:V3177)+1,"")</f>
        <v/>
      </c>
    </row>
    <row r="3179" spans="1:22" x14ac:dyDescent="0.25">
      <c r="A3179" s="9"/>
      <c r="E3179" s="10"/>
      <c r="K3179" s="11" t="str">
        <f>IF($E3179="","",ROUND($E3179*IF(ISNA(MATCH($C3179,'Paramètres'!$D:$D,0)),1,IF(INDEX('Paramètres'!$J:$J,MATCH($C3179,'Paramètres'!$D:$D,0))="",1,INDEX('Paramètres'!$J:$J,MATCH($C3179,'Paramètres'!$D:$D,0)))),2))</f>
        <v/>
      </c>
      <c r="L3179" s="6" t="str">
        <f>IF($D3179="","",IF($F3179&lt;&gt;"",$F3179,IF(ISNA(MATCH($D3179,'Paramètres'!$M:$M,0)),"⚠ Type inconnu",IFERROR(INDEX('Paramètres'!$P:$P,MATCH($D3179,'Paramètres'!$M:$M,0))&amp;"",""))))</f>
        <v/>
      </c>
      <c r="M3179" s="6" t="str">
        <f>IF($D3179="","",IF(ISNA(MATCH($D3179,'Paramètres'!$M:$M,0)),"⚠ Type inconnu",IF($L3179="Crédit","",IFERROR(INDEX('Paramètres'!$O:$O,MATCH($D3179,'Paramètres'!$M:$M,0))&amp;"",""))))</f>
        <v/>
      </c>
      <c r="N3179" s="6" t="str">
        <f>IF($D3179="","",IFERROR(INDEX('Paramètres'!$Q:$Q,MATCH($D3179,'Paramètres'!$M:$M,0))&amp;"",""))</f>
        <v/>
      </c>
      <c r="O3179" s="6" t="str">
        <f>IF($A3179="","",IF(OR($J3179&lt;&gt;"x",$A3179&lt;=FinReleve),1,0))</f>
        <v/>
      </c>
      <c r="P3179" s="6" t="str">
        <f>IF($D3179="","",IF(AND($L3179="Crédit",OR(IFERROR(INDEX('Paramètres'!$O:$O,MATCH($D3179,'Paramètres'!$M:$M,0))&amp;"","")&lt;&gt;"",ISNUMBER(SEARCH("remboursement",IFERROR(INDEX('Paramètres'!$N:$N,MATCH($D3179,'Paramètres'!$M:$M,0))&amp;"",""))))),1,0))</f>
        <v/>
      </c>
      <c r="Q3179" s="6" t="str">
        <f>IF($K3179="","",IF(ISNUMBER(SEARCH("transfert-interne",IFERROR(INDEX('Paramètres'!$N:$N,MATCH($D3179,'Paramètres'!$M:$M,0))&amp;"",""))),0,IF($L3179="Débit",$K3179,IF($P3179=1,-$K3179,0))))</f>
        <v/>
      </c>
      <c r="R3179" s="6" t="str">
        <f>IF($K3179="","",IF($L3179="Crédit",$K3179,-$K3179))</f>
        <v/>
      </c>
      <c r="S3179" s="6" t="str">
        <f>IF($C3179="","",IFERROR(INDEX('Paramètres'!$H:$H,MATCH($C3179,'Paramètres'!$D:$D,0))&amp;"",""))</f>
        <v/>
      </c>
      <c r="T3179" s="6" t="str">
        <f>IF($K3179="","",IF($S3179="",0,IF(ISNUMBER(SEARCH("apport-exterieur",IFERROR(INDEX('Paramètres'!$N:$N,MATCH($D3179,'Paramètres'!$M:$M,0))&amp;"",""))),0,IF(OR(IFERROR(INDEX('Paramètres'!$I:$I,MATCH($C3179,'Paramètres'!$D:$D,0))&amp;"","")="Les deux",IFERROR(INDEX('Paramètres'!$I:$I,MATCH($C3179,'Paramètres'!$D:$D,0))&amp;"","")=IF($P3179=1,"Débit",$L3179)),-IF($P3179=1,-$K3179,$K3179),0))))</f>
        <v/>
      </c>
      <c r="U3179" s="6" t="str">
        <f>IF($K3179="","",IF(ISNUMBER(SEARCH("sortie-epargne",IFERROR(INDEX('Paramètres'!$N:$N,MATCH($D3179,'Paramètres'!$M:$M,0))&amp;"",""))),$K3179,0))</f>
        <v/>
      </c>
      <c r="V3179" s="6" t="str">
        <f>IF(AND($A3179&lt;&gt;"",$O3179=1,$L3179="Débit",N($Q3179)&gt;0,$A3179&gt;=Visualisation!$B$1,$A3179&lt;Visualisation!$D$1),MAX($V$1:V3178)+1,"")</f>
        <v/>
      </c>
    </row>
    <row r="3180" spans="1:22" x14ac:dyDescent="0.25">
      <c r="A3180" s="9"/>
      <c r="E3180" s="10"/>
      <c r="K3180" s="11" t="str">
        <f>IF($E3180="","",ROUND($E3180*IF(ISNA(MATCH($C3180,'Paramètres'!$D:$D,0)),1,IF(INDEX('Paramètres'!$J:$J,MATCH($C3180,'Paramètres'!$D:$D,0))="",1,INDEX('Paramètres'!$J:$J,MATCH($C3180,'Paramètres'!$D:$D,0)))),2))</f>
        <v/>
      </c>
      <c r="L3180" s="6" t="str">
        <f>IF($D3180="","",IF($F3180&lt;&gt;"",$F3180,IF(ISNA(MATCH($D3180,'Paramètres'!$M:$M,0)),"⚠ Type inconnu",IFERROR(INDEX('Paramètres'!$P:$P,MATCH($D3180,'Paramètres'!$M:$M,0))&amp;"",""))))</f>
        <v/>
      </c>
      <c r="M3180" s="6" t="str">
        <f>IF($D3180="","",IF(ISNA(MATCH($D3180,'Paramètres'!$M:$M,0)),"⚠ Type inconnu",IF($L3180="Crédit","",IFERROR(INDEX('Paramètres'!$O:$O,MATCH($D3180,'Paramètres'!$M:$M,0))&amp;"",""))))</f>
        <v/>
      </c>
      <c r="N3180" s="6" t="str">
        <f>IF($D3180="","",IFERROR(INDEX('Paramètres'!$Q:$Q,MATCH($D3180,'Paramètres'!$M:$M,0))&amp;"",""))</f>
        <v/>
      </c>
      <c r="O3180" s="6" t="str">
        <f>IF($A3180="","",IF(OR($J3180&lt;&gt;"x",$A3180&lt;=FinReleve),1,0))</f>
        <v/>
      </c>
      <c r="P3180" s="6" t="str">
        <f>IF($D3180="","",IF(AND($L3180="Crédit",OR(IFERROR(INDEX('Paramètres'!$O:$O,MATCH($D3180,'Paramètres'!$M:$M,0))&amp;"","")&lt;&gt;"",ISNUMBER(SEARCH("remboursement",IFERROR(INDEX('Paramètres'!$N:$N,MATCH($D3180,'Paramètres'!$M:$M,0))&amp;"",""))))),1,0))</f>
        <v/>
      </c>
      <c r="Q3180" s="6" t="str">
        <f>IF($K3180="","",IF(ISNUMBER(SEARCH("transfert-interne",IFERROR(INDEX('Paramètres'!$N:$N,MATCH($D3180,'Paramètres'!$M:$M,0))&amp;"",""))),0,IF($L3180="Débit",$K3180,IF($P3180=1,-$K3180,0))))</f>
        <v/>
      </c>
      <c r="R3180" s="6" t="str">
        <f>IF($K3180="","",IF($L3180="Crédit",$K3180,-$K3180))</f>
        <v/>
      </c>
      <c r="S3180" s="6" t="str">
        <f>IF($C3180="","",IFERROR(INDEX('Paramètres'!$H:$H,MATCH($C3180,'Paramètres'!$D:$D,0))&amp;"",""))</f>
        <v/>
      </c>
      <c r="T3180" s="6" t="str">
        <f>IF($K3180="","",IF($S3180="",0,IF(ISNUMBER(SEARCH("apport-exterieur",IFERROR(INDEX('Paramètres'!$N:$N,MATCH($D3180,'Paramètres'!$M:$M,0))&amp;"",""))),0,IF(OR(IFERROR(INDEX('Paramètres'!$I:$I,MATCH($C3180,'Paramètres'!$D:$D,0))&amp;"","")="Les deux",IFERROR(INDEX('Paramètres'!$I:$I,MATCH($C3180,'Paramètres'!$D:$D,0))&amp;"","")=IF($P3180=1,"Débit",$L3180)),-IF($P3180=1,-$K3180,$K3180),0))))</f>
        <v/>
      </c>
      <c r="U3180" s="6" t="str">
        <f>IF($K3180="","",IF(ISNUMBER(SEARCH("sortie-epargne",IFERROR(INDEX('Paramètres'!$N:$N,MATCH($D3180,'Paramètres'!$M:$M,0))&amp;"",""))),$K3180,0))</f>
        <v/>
      </c>
      <c r="V3180" s="6" t="str">
        <f>IF(AND($A3180&lt;&gt;"",$O3180=1,$L3180="Débit",N($Q3180)&gt;0,$A3180&gt;=Visualisation!$B$1,$A3180&lt;Visualisation!$D$1),MAX($V$1:V3179)+1,"")</f>
        <v/>
      </c>
    </row>
    <row r="3181" spans="1:22" x14ac:dyDescent="0.25">
      <c r="A3181" s="9"/>
      <c r="E3181" s="10"/>
      <c r="K3181" s="11" t="str">
        <f>IF($E3181="","",ROUND($E3181*IF(ISNA(MATCH($C3181,'Paramètres'!$D:$D,0)),1,IF(INDEX('Paramètres'!$J:$J,MATCH($C3181,'Paramètres'!$D:$D,0))="",1,INDEX('Paramètres'!$J:$J,MATCH($C3181,'Paramètres'!$D:$D,0)))),2))</f>
        <v/>
      </c>
      <c r="L3181" s="6" t="str">
        <f>IF($D3181="","",IF($F3181&lt;&gt;"",$F3181,IF(ISNA(MATCH($D3181,'Paramètres'!$M:$M,0)),"⚠ Type inconnu",IFERROR(INDEX('Paramètres'!$P:$P,MATCH($D3181,'Paramètres'!$M:$M,0))&amp;"",""))))</f>
        <v/>
      </c>
      <c r="M3181" s="6" t="str">
        <f>IF($D3181="","",IF(ISNA(MATCH($D3181,'Paramètres'!$M:$M,0)),"⚠ Type inconnu",IF($L3181="Crédit","",IFERROR(INDEX('Paramètres'!$O:$O,MATCH($D3181,'Paramètres'!$M:$M,0))&amp;"",""))))</f>
        <v/>
      </c>
      <c r="N3181" s="6" t="str">
        <f>IF($D3181="","",IFERROR(INDEX('Paramètres'!$Q:$Q,MATCH($D3181,'Paramètres'!$M:$M,0))&amp;"",""))</f>
        <v/>
      </c>
      <c r="O3181" s="6" t="str">
        <f>IF($A3181="","",IF(OR($J3181&lt;&gt;"x",$A3181&lt;=FinReleve),1,0))</f>
        <v/>
      </c>
      <c r="P3181" s="6" t="str">
        <f>IF($D3181="","",IF(AND($L3181="Crédit",OR(IFERROR(INDEX('Paramètres'!$O:$O,MATCH($D3181,'Paramètres'!$M:$M,0))&amp;"","")&lt;&gt;"",ISNUMBER(SEARCH("remboursement",IFERROR(INDEX('Paramètres'!$N:$N,MATCH($D3181,'Paramètres'!$M:$M,0))&amp;"",""))))),1,0))</f>
        <v/>
      </c>
      <c r="Q3181" s="6" t="str">
        <f>IF($K3181="","",IF(ISNUMBER(SEARCH("transfert-interne",IFERROR(INDEX('Paramètres'!$N:$N,MATCH($D3181,'Paramètres'!$M:$M,0))&amp;"",""))),0,IF($L3181="Débit",$K3181,IF($P3181=1,-$K3181,0))))</f>
        <v/>
      </c>
      <c r="R3181" s="6" t="str">
        <f>IF($K3181="","",IF($L3181="Crédit",$K3181,-$K3181))</f>
        <v/>
      </c>
      <c r="S3181" s="6" t="str">
        <f>IF($C3181="","",IFERROR(INDEX('Paramètres'!$H:$H,MATCH($C3181,'Paramètres'!$D:$D,0))&amp;"",""))</f>
        <v/>
      </c>
      <c r="T3181" s="6" t="str">
        <f>IF($K3181="","",IF($S3181="",0,IF(ISNUMBER(SEARCH("apport-exterieur",IFERROR(INDEX('Paramètres'!$N:$N,MATCH($D3181,'Paramètres'!$M:$M,0))&amp;"",""))),0,IF(OR(IFERROR(INDEX('Paramètres'!$I:$I,MATCH($C3181,'Paramètres'!$D:$D,0))&amp;"","")="Les deux",IFERROR(INDEX('Paramètres'!$I:$I,MATCH($C3181,'Paramètres'!$D:$D,0))&amp;"","")=IF($P3181=1,"Débit",$L3181)),-IF($P3181=1,-$K3181,$K3181),0))))</f>
        <v/>
      </c>
      <c r="U3181" s="6" t="str">
        <f>IF($K3181="","",IF(ISNUMBER(SEARCH("sortie-epargne",IFERROR(INDEX('Paramètres'!$N:$N,MATCH($D3181,'Paramètres'!$M:$M,0))&amp;"",""))),$K3181,0))</f>
        <v/>
      </c>
      <c r="V3181" s="6" t="str">
        <f>IF(AND($A3181&lt;&gt;"",$O3181=1,$L3181="Débit",N($Q3181)&gt;0,$A3181&gt;=Visualisation!$B$1,$A3181&lt;Visualisation!$D$1),MAX($V$1:V3180)+1,"")</f>
        <v/>
      </c>
    </row>
    <row r="3182" spans="1:22" x14ac:dyDescent="0.25">
      <c r="A3182" s="9"/>
      <c r="E3182" s="10"/>
      <c r="K3182" s="11" t="str">
        <f>IF($E3182="","",ROUND($E3182*IF(ISNA(MATCH($C3182,'Paramètres'!$D:$D,0)),1,IF(INDEX('Paramètres'!$J:$J,MATCH($C3182,'Paramètres'!$D:$D,0))="",1,INDEX('Paramètres'!$J:$J,MATCH($C3182,'Paramètres'!$D:$D,0)))),2))</f>
        <v/>
      </c>
      <c r="L3182" s="6" t="str">
        <f>IF($D3182="","",IF($F3182&lt;&gt;"",$F3182,IF(ISNA(MATCH($D3182,'Paramètres'!$M:$M,0)),"⚠ Type inconnu",IFERROR(INDEX('Paramètres'!$P:$P,MATCH($D3182,'Paramètres'!$M:$M,0))&amp;"",""))))</f>
        <v/>
      </c>
      <c r="M3182" s="6" t="str">
        <f>IF($D3182="","",IF(ISNA(MATCH($D3182,'Paramètres'!$M:$M,0)),"⚠ Type inconnu",IF($L3182="Crédit","",IFERROR(INDEX('Paramètres'!$O:$O,MATCH($D3182,'Paramètres'!$M:$M,0))&amp;"",""))))</f>
        <v/>
      </c>
      <c r="N3182" s="6" t="str">
        <f>IF($D3182="","",IFERROR(INDEX('Paramètres'!$Q:$Q,MATCH($D3182,'Paramètres'!$M:$M,0))&amp;"",""))</f>
        <v/>
      </c>
      <c r="O3182" s="6" t="str">
        <f>IF($A3182="","",IF(OR($J3182&lt;&gt;"x",$A3182&lt;=FinReleve),1,0))</f>
        <v/>
      </c>
      <c r="P3182" s="6" t="str">
        <f>IF($D3182="","",IF(AND($L3182="Crédit",OR(IFERROR(INDEX('Paramètres'!$O:$O,MATCH($D3182,'Paramètres'!$M:$M,0))&amp;"","")&lt;&gt;"",ISNUMBER(SEARCH("remboursement",IFERROR(INDEX('Paramètres'!$N:$N,MATCH($D3182,'Paramètres'!$M:$M,0))&amp;"",""))))),1,0))</f>
        <v/>
      </c>
      <c r="Q3182" s="6" t="str">
        <f>IF($K3182="","",IF(ISNUMBER(SEARCH("transfert-interne",IFERROR(INDEX('Paramètres'!$N:$N,MATCH($D3182,'Paramètres'!$M:$M,0))&amp;"",""))),0,IF($L3182="Débit",$K3182,IF($P3182=1,-$K3182,0))))</f>
        <v/>
      </c>
      <c r="R3182" s="6" t="str">
        <f>IF($K3182="","",IF($L3182="Crédit",$K3182,-$K3182))</f>
        <v/>
      </c>
      <c r="S3182" s="6" t="str">
        <f>IF($C3182="","",IFERROR(INDEX('Paramètres'!$H:$H,MATCH($C3182,'Paramètres'!$D:$D,0))&amp;"",""))</f>
        <v/>
      </c>
      <c r="T3182" s="6" t="str">
        <f>IF($K3182="","",IF($S3182="",0,IF(ISNUMBER(SEARCH("apport-exterieur",IFERROR(INDEX('Paramètres'!$N:$N,MATCH($D3182,'Paramètres'!$M:$M,0))&amp;"",""))),0,IF(OR(IFERROR(INDEX('Paramètres'!$I:$I,MATCH($C3182,'Paramètres'!$D:$D,0))&amp;"","")="Les deux",IFERROR(INDEX('Paramètres'!$I:$I,MATCH($C3182,'Paramètres'!$D:$D,0))&amp;"","")=IF($P3182=1,"Débit",$L3182)),-IF($P3182=1,-$K3182,$K3182),0))))</f>
        <v/>
      </c>
      <c r="U3182" s="6" t="str">
        <f>IF($K3182="","",IF(ISNUMBER(SEARCH("sortie-epargne",IFERROR(INDEX('Paramètres'!$N:$N,MATCH($D3182,'Paramètres'!$M:$M,0))&amp;"",""))),$K3182,0))</f>
        <v/>
      </c>
      <c r="V3182" s="6" t="str">
        <f>IF(AND($A3182&lt;&gt;"",$O3182=1,$L3182="Débit",N($Q3182)&gt;0,$A3182&gt;=Visualisation!$B$1,$A3182&lt;Visualisation!$D$1),MAX($V$1:V3181)+1,"")</f>
        <v/>
      </c>
    </row>
    <row r="3183" spans="1:22" x14ac:dyDescent="0.25">
      <c r="A3183" s="9"/>
      <c r="E3183" s="10"/>
      <c r="K3183" s="11" t="str">
        <f>IF($E3183="","",ROUND($E3183*IF(ISNA(MATCH($C3183,'Paramètres'!$D:$D,0)),1,IF(INDEX('Paramètres'!$J:$J,MATCH($C3183,'Paramètres'!$D:$D,0))="",1,INDEX('Paramètres'!$J:$J,MATCH($C3183,'Paramètres'!$D:$D,0)))),2))</f>
        <v/>
      </c>
      <c r="L3183" s="6" t="str">
        <f>IF($D3183="","",IF($F3183&lt;&gt;"",$F3183,IF(ISNA(MATCH($D3183,'Paramètres'!$M:$M,0)),"⚠ Type inconnu",IFERROR(INDEX('Paramètres'!$P:$P,MATCH($D3183,'Paramètres'!$M:$M,0))&amp;"",""))))</f>
        <v/>
      </c>
      <c r="M3183" s="6" t="str">
        <f>IF($D3183="","",IF(ISNA(MATCH($D3183,'Paramètres'!$M:$M,0)),"⚠ Type inconnu",IF($L3183="Crédit","",IFERROR(INDEX('Paramètres'!$O:$O,MATCH($D3183,'Paramètres'!$M:$M,0))&amp;"",""))))</f>
        <v/>
      </c>
      <c r="N3183" s="6" t="str">
        <f>IF($D3183="","",IFERROR(INDEX('Paramètres'!$Q:$Q,MATCH($D3183,'Paramètres'!$M:$M,0))&amp;"",""))</f>
        <v/>
      </c>
      <c r="O3183" s="6" t="str">
        <f>IF($A3183="","",IF(OR($J3183&lt;&gt;"x",$A3183&lt;=FinReleve),1,0))</f>
        <v/>
      </c>
      <c r="P3183" s="6" t="str">
        <f>IF($D3183="","",IF(AND($L3183="Crédit",OR(IFERROR(INDEX('Paramètres'!$O:$O,MATCH($D3183,'Paramètres'!$M:$M,0))&amp;"","")&lt;&gt;"",ISNUMBER(SEARCH("remboursement",IFERROR(INDEX('Paramètres'!$N:$N,MATCH($D3183,'Paramètres'!$M:$M,0))&amp;"",""))))),1,0))</f>
        <v/>
      </c>
      <c r="Q3183" s="6" t="str">
        <f>IF($K3183="","",IF(ISNUMBER(SEARCH("transfert-interne",IFERROR(INDEX('Paramètres'!$N:$N,MATCH($D3183,'Paramètres'!$M:$M,0))&amp;"",""))),0,IF($L3183="Débit",$K3183,IF($P3183=1,-$K3183,0))))</f>
        <v/>
      </c>
      <c r="R3183" s="6" t="str">
        <f>IF($K3183="","",IF($L3183="Crédit",$K3183,-$K3183))</f>
        <v/>
      </c>
      <c r="S3183" s="6" t="str">
        <f>IF($C3183="","",IFERROR(INDEX('Paramètres'!$H:$H,MATCH($C3183,'Paramètres'!$D:$D,0))&amp;"",""))</f>
        <v/>
      </c>
      <c r="T3183" s="6" t="str">
        <f>IF($K3183="","",IF($S3183="",0,IF(ISNUMBER(SEARCH("apport-exterieur",IFERROR(INDEX('Paramètres'!$N:$N,MATCH($D3183,'Paramètres'!$M:$M,0))&amp;"",""))),0,IF(OR(IFERROR(INDEX('Paramètres'!$I:$I,MATCH($C3183,'Paramètres'!$D:$D,0))&amp;"","")="Les deux",IFERROR(INDEX('Paramètres'!$I:$I,MATCH($C3183,'Paramètres'!$D:$D,0))&amp;"","")=IF($P3183=1,"Débit",$L3183)),-IF($P3183=1,-$K3183,$K3183),0))))</f>
        <v/>
      </c>
      <c r="U3183" s="6" t="str">
        <f>IF($K3183="","",IF(ISNUMBER(SEARCH("sortie-epargne",IFERROR(INDEX('Paramètres'!$N:$N,MATCH($D3183,'Paramètres'!$M:$M,0))&amp;"",""))),$K3183,0))</f>
        <v/>
      </c>
      <c r="V3183" s="6" t="str">
        <f>IF(AND($A3183&lt;&gt;"",$O3183=1,$L3183="Débit",N($Q3183)&gt;0,$A3183&gt;=Visualisation!$B$1,$A3183&lt;Visualisation!$D$1),MAX($V$1:V3182)+1,"")</f>
        <v/>
      </c>
    </row>
    <row r="3184" spans="1:22" x14ac:dyDescent="0.25">
      <c r="A3184" s="9"/>
      <c r="E3184" s="10"/>
      <c r="K3184" s="11" t="str">
        <f>IF($E3184="","",ROUND($E3184*IF(ISNA(MATCH($C3184,'Paramètres'!$D:$D,0)),1,IF(INDEX('Paramètres'!$J:$J,MATCH($C3184,'Paramètres'!$D:$D,0))="",1,INDEX('Paramètres'!$J:$J,MATCH($C3184,'Paramètres'!$D:$D,0)))),2))</f>
        <v/>
      </c>
      <c r="L3184" s="6" t="str">
        <f>IF($D3184="","",IF($F3184&lt;&gt;"",$F3184,IF(ISNA(MATCH($D3184,'Paramètres'!$M:$M,0)),"⚠ Type inconnu",IFERROR(INDEX('Paramètres'!$P:$P,MATCH($D3184,'Paramètres'!$M:$M,0))&amp;"",""))))</f>
        <v/>
      </c>
      <c r="M3184" s="6" t="str">
        <f>IF($D3184="","",IF(ISNA(MATCH($D3184,'Paramètres'!$M:$M,0)),"⚠ Type inconnu",IF($L3184="Crédit","",IFERROR(INDEX('Paramètres'!$O:$O,MATCH($D3184,'Paramètres'!$M:$M,0))&amp;"",""))))</f>
        <v/>
      </c>
      <c r="N3184" s="6" t="str">
        <f>IF($D3184="","",IFERROR(INDEX('Paramètres'!$Q:$Q,MATCH($D3184,'Paramètres'!$M:$M,0))&amp;"",""))</f>
        <v/>
      </c>
      <c r="O3184" s="6" t="str">
        <f>IF($A3184="","",IF(OR($J3184&lt;&gt;"x",$A3184&lt;=FinReleve),1,0))</f>
        <v/>
      </c>
      <c r="P3184" s="6" t="str">
        <f>IF($D3184="","",IF(AND($L3184="Crédit",OR(IFERROR(INDEX('Paramètres'!$O:$O,MATCH($D3184,'Paramètres'!$M:$M,0))&amp;"","")&lt;&gt;"",ISNUMBER(SEARCH("remboursement",IFERROR(INDEX('Paramètres'!$N:$N,MATCH($D3184,'Paramètres'!$M:$M,0))&amp;"",""))))),1,0))</f>
        <v/>
      </c>
      <c r="Q3184" s="6" t="str">
        <f>IF($K3184="","",IF(ISNUMBER(SEARCH("transfert-interne",IFERROR(INDEX('Paramètres'!$N:$N,MATCH($D3184,'Paramètres'!$M:$M,0))&amp;"",""))),0,IF($L3184="Débit",$K3184,IF($P3184=1,-$K3184,0))))</f>
        <v/>
      </c>
      <c r="R3184" s="6" t="str">
        <f>IF($K3184="","",IF($L3184="Crédit",$K3184,-$K3184))</f>
        <v/>
      </c>
      <c r="S3184" s="6" t="str">
        <f>IF($C3184="","",IFERROR(INDEX('Paramètres'!$H:$H,MATCH($C3184,'Paramètres'!$D:$D,0))&amp;"",""))</f>
        <v/>
      </c>
      <c r="T3184" s="6" t="str">
        <f>IF($K3184="","",IF($S3184="",0,IF(ISNUMBER(SEARCH("apport-exterieur",IFERROR(INDEX('Paramètres'!$N:$N,MATCH($D3184,'Paramètres'!$M:$M,0))&amp;"",""))),0,IF(OR(IFERROR(INDEX('Paramètres'!$I:$I,MATCH($C3184,'Paramètres'!$D:$D,0))&amp;"","")="Les deux",IFERROR(INDEX('Paramètres'!$I:$I,MATCH($C3184,'Paramètres'!$D:$D,0))&amp;"","")=IF($P3184=1,"Débit",$L3184)),-IF($P3184=1,-$K3184,$K3184),0))))</f>
        <v/>
      </c>
      <c r="U3184" s="6" t="str">
        <f>IF($K3184="","",IF(ISNUMBER(SEARCH("sortie-epargne",IFERROR(INDEX('Paramètres'!$N:$N,MATCH($D3184,'Paramètres'!$M:$M,0))&amp;"",""))),$K3184,0))</f>
        <v/>
      </c>
      <c r="V3184" s="6" t="str">
        <f>IF(AND($A3184&lt;&gt;"",$O3184=1,$L3184="Débit",N($Q3184)&gt;0,$A3184&gt;=Visualisation!$B$1,$A3184&lt;Visualisation!$D$1),MAX($V$1:V3183)+1,"")</f>
        <v/>
      </c>
    </row>
    <row r="3185" spans="1:22" x14ac:dyDescent="0.25">
      <c r="A3185" s="9"/>
      <c r="E3185" s="10"/>
      <c r="K3185" s="11" t="str">
        <f>IF($E3185="","",ROUND($E3185*IF(ISNA(MATCH($C3185,'Paramètres'!$D:$D,0)),1,IF(INDEX('Paramètres'!$J:$J,MATCH($C3185,'Paramètres'!$D:$D,0))="",1,INDEX('Paramètres'!$J:$J,MATCH($C3185,'Paramètres'!$D:$D,0)))),2))</f>
        <v/>
      </c>
      <c r="L3185" s="6" t="str">
        <f>IF($D3185="","",IF($F3185&lt;&gt;"",$F3185,IF(ISNA(MATCH($D3185,'Paramètres'!$M:$M,0)),"⚠ Type inconnu",IFERROR(INDEX('Paramètres'!$P:$P,MATCH($D3185,'Paramètres'!$M:$M,0))&amp;"",""))))</f>
        <v/>
      </c>
      <c r="M3185" s="6" t="str">
        <f>IF($D3185="","",IF(ISNA(MATCH($D3185,'Paramètres'!$M:$M,0)),"⚠ Type inconnu",IF($L3185="Crédit","",IFERROR(INDEX('Paramètres'!$O:$O,MATCH($D3185,'Paramètres'!$M:$M,0))&amp;"",""))))</f>
        <v/>
      </c>
      <c r="N3185" s="6" t="str">
        <f>IF($D3185="","",IFERROR(INDEX('Paramètres'!$Q:$Q,MATCH($D3185,'Paramètres'!$M:$M,0))&amp;"",""))</f>
        <v/>
      </c>
      <c r="O3185" s="6" t="str">
        <f>IF($A3185="","",IF(OR($J3185&lt;&gt;"x",$A3185&lt;=FinReleve),1,0))</f>
        <v/>
      </c>
      <c r="P3185" s="6" t="str">
        <f>IF($D3185="","",IF(AND($L3185="Crédit",OR(IFERROR(INDEX('Paramètres'!$O:$O,MATCH($D3185,'Paramètres'!$M:$M,0))&amp;"","")&lt;&gt;"",ISNUMBER(SEARCH("remboursement",IFERROR(INDEX('Paramètres'!$N:$N,MATCH($D3185,'Paramètres'!$M:$M,0))&amp;"",""))))),1,0))</f>
        <v/>
      </c>
      <c r="Q3185" s="6" t="str">
        <f>IF($K3185="","",IF(ISNUMBER(SEARCH("transfert-interne",IFERROR(INDEX('Paramètres'!$N:$N,MATCH($D3185,'Paramètres'!$M:$M,0))&amp;"",""))),0,IF($L3185="Débit",$K3185,IF($P3185=1,-$K3185,0))))</f>
        <v/>
      </c>
      <c r="R3185" s="6" t="str">
        <f>IF($K3185="","",IF($L3185="Crédit",$K3185,-$K3185))</f>
        <v/>
      </c>
      <c r="S3185" s="6" t="str">
        <f>IF($C3185="","",IFERROR(INDEX('Paramètres'!$H:$H,MATCH($C3185,'Paramètres'!$D:$D,0))&amp;"",""))</f>
        <v/>
      </c>
      <c r="T3185" s="6" t="str">
        <f>IF($K3185="","",IF($S3185="",0,IF(ISNUMBER(SEARCH("apport-exterieur",IFERROR(INDEX('Paramètres'!$N:$N,MATCH($D3185,'Paramètres'!$M:$M,0))&amp;"",""))),0,IF(OR(IFERROR(INDEX('Paramètres'!$I:$I,MATCH($C3185,'Paramètres'!$D:$D,0))&amp;"","")="Les deux",IFERROR(INDEX('Paramètres'!$I:$I,MATCH($C3185,'Paramètres'!$D:$D,0))&amp;"","")=IF($P3185=1,"Débit",$L3185)),-IF($P3185=1,-$K3185,$K3185),0))))</f>
        <v/>
      </c>
      <c r="U3185" s="6" t="str">
        <f>IF($K3185="","",IF(ISNUMBER(SEARCH("sortie-epargne",IFERROR(INDEX('Paramètres'!$N:$N,MATCH($D3185,'Paramètres'!$M:$M,0))&amp;"",""))),$K3185,0))</f>
        <v/>
      </c>
      <c r="V3185" s="6" t="str">
        <f>IF(AND($A3185&lt;&gt;"",$O3185=1,$L3185="Débit",N($Q3185)&gt;0,$A3185&gt;=Visualisation!$B$1,$A3185&lt;Visualisation!$D$1),MAX($V$1:V3184)+1,"")</f>
        <v/>
      </c>
    </row>
    <row r="3186" spans="1:22" x14ac:dyDescent="0.25">
      <c r="A3186" s="9"/>
      <c r="E3186" s="10"/>
      <c r="K3186" s="11" t="str">
        <f>IF($E3186="","",ROUND($E3186*IF(ISNA(MATCH($C3186,'Paramètres'!$D:$D,0)),1,IF(INDEX('Paramètres'!$J:$J,MATCH($C3186,'Paramètres'!$D:$D,0))="",1,INDEX('Paramètres'!$J:$J,MATCH($C3186,'Paramètres'!$D:$D,0)))),2))</f>
        <v/>
      </c>
      <c r="L3186" s="6" t="str">
        <f>IF($D3186="","",IF($F3186&lt;&gt;"",$F3186,IF(ISNA(MATCH($D3186,'Paramètres'!$M:$M,0)),"⚠ Type inconnu",IFERROR(INDEX('Paramètres'!$P:$P,MATCH($D3186,'Paramètres'!$M:$M,0))&amp;"",""))))</f>
        <v/>
      </c>
      <c r="M3186" s="6" t="str">
        <f>IF($D3186="","",IF(ISNA(MATCH($D3186,'Paramètres'!$M:$M,0)),"⚠ Type inconnu",IF($L3186="Crédit","",IFERROR(INDEX('Paramètres'!$O:$O,MATCH($D3186,'Paramètres'!$M:$M,0))&amp;"",""))))</f>
        <v/>
      </c>
      <c r="N3186" s="6" t="str">
        <f>IF($D3186="","",IFERROR(INDEX('Paramètres'!$Q:$Q,MATCH($D3186,'Paramètres'!$M:$M,0))&amp;"",""))</f>
        <v/>
      </c>
      <c r="O3186" s="6" t="str">
        <f>IF($A3186="","",IF(OR($J3186&lt;&gt;"x",$A3186&lt;=FinReleve),1,0))</f>
        <v/>
      </c>
      <c r="P3186" s="6" t="str">
        <f>IF($D3186="","",IF(AND($L3186="Crédit",OR(IFERROR(INDEX('Paramètres'!$O:$O,MATCH($D3186,'Paramètres'!$M:$M,0))&amp;"","")&lt;&gt;"",ISNUMBER(SEARCH("remboursement",IFERROR(INDEX('Paramètres'!$N:$N,MATCH($D3186,'Paramètres'!$M:$M,0))&amp;"",""))))),1,0))</f>
        <v/>
      </c>
      <c r="Q3186" s="6" t="str">
        <f>IF($K3186="","",IF(ISNUMBER(SEARCH("transfert-interne",IFERROR(INDEX('Paramètres'!$N:$N,MATCH($D3186,'Paramètres'!$M:$M,0))&amp;"",""))),0,IF($L3186="Débit",$K3186,IF($P3186=1,-$K3186,0))))</f>
        <v/>
      </c>
      <c r="R3186" s="6" t="str">
        <f>IF($K3186="","",IF($L3186="Crédit",$K3186,-$K3186))</f>
        <v/>
      </c>
      <c r="S3186" s="6" t="str">
        <f>IF($C3186="","",IFERROR(INDEX('Paramètres'!$H:$H,MATCH($C3186,'Paramètres'!$D:$D,0))&amp;"",""))</f>
        <v/>
      </c>
      <c r="T3186" s="6" t="str">
        <f>IF($K3186="","",IF($S3186="",0,IF(ISNUMBER(SEARCH("apport-exterieur",IFERROR(INDEX('Paramètres'!$N:$N,MATCH($D3186,'Paramètres'!$M:$M,0))&amp;"",""))),0,IF(OR(IFERROR(INDEX('Paramètres'!$I:$I,MATCH($C3186,'Paramètres'!$D:$D,0))&amp;"","")="Les deux",IFERROR(INDEX('Paramètres'!$I:$I,MATCH($C3186,'Paramètres'!$D:$D,0))&amp;"","")=IF($P3186=1,"Débit",$L3186)),-IF($P3186=1,-$K3186,$K3186),0))))</f>
        <v/>
      </c>
      <c r="U3186" s="6" t="str">
        <f>IF($K3186="","",IF(ISNUMBER(SEARCH("sortie-epargne",IFERROR(INDEX('Paramètres'!$N:$N,MATCH($D3186,'Paramètres'!$M:$M,0))&amp;"",""))),$K3186,0))</f>
        <v/>
      </c>
      <c r="V3186" s="6" t="str">
        <f>IF(AND($A3186&lt;&gt;"",$O3186=1,$L3186="Débit",N($Q3186)&gt;0,$A3186&gt;=Visualisation!$B$1,$A3186&lt;Visualisation!$D$1),MAX($V$1:V3185)+1,"")</f>
        <v/>
      </c>
    </row>
    <row r="3187" spans="1:22" x14ac:dyDescent="0.25">
      <c r="A3187" s="9"/>
      <c r="E3187" s="10"/>
      <c r="K3187" s="11" t="str">
        <f>IF($E3187="","",ROUND($E3187*IF(ISNA(MATCH($C3187,'Paramètres'!$D:$D,0)),1,IF(INDEX('Paramètres'!$J:$J,MATCH($C3187,'Paramètres'!$D:$D,0))="",1,INDEX('Paramètres'!$J:$J,MATCH($C3187,'Paramètres'!$D:$D,0)))),2))</f>
        <v/>
      </c>
      <c r="L3187" s="6" t="str">
        <f>IF($D3187="","",IF($F3187&lt;&gt;"",$F3187,IF(ISNA(MATCH($D3187,'Paramètres'!$M:$M,0)),"⚠ Type inconnu",IFERROR(INDEX('Paramètres'!$P:$P,MATCH($D3187,'Paramètres'!$M:$M,0))&amp;"",""))))</f>
        <v/>
      </c>
      <c r="M3187" s="6" t="str">
        <f>IF($D3187="","",IF(ISNA(MATCH($D3187,'Paramètres'!$M:$M,0)),"⚠ Type inconnu",IF($L3187="Crédit","",IFERROR(INDEX('Paramètres'!$O:$O,MATCH($D3187,'Paramètres'!$M:$M,0))&amp;"",""))))</f>
        <v/>
      </c>
      <c r="N3187" s="6" t="str">
        <f>IF($D3187="","",IFERROR(INDEX('Paramètres'!$Q:$Q,MATCH($D3187,'Paramètres'!$M:$M,0))&amp;"",""))</f>
        <v/>
      </c>
      <c r="O3187" s="6" t="str">
        <f>IF($A3187="","",IF(OR($J3187&lt;&gt;"x",$A3187&lt;=FinReleve),1,0))</f>
        <v/>
      </c>
      <c r="P3187" s="6" t="str">
        <f>IF($D3187="","",IF(AND($L3187="Crédit",OR(IFERROR(INDEX('Paramètres'!$O:$O,MATCH($D3187,'Paramètres'!$M:$M,0))&amp;"","")&lt;&gt;"",ISNUMBER(SEARCH("remboursement",IFERROR(INDEX('Paramètres'!$N:$N,MATCH($D3187,'Paramètres'!$M:$M,0))&amp;"",""))))),1,0))</f>
        <v/>
      </c>
      <c r="Q3187" s="6" t="str">
        <f>IF($K3187="","",IF(ISNUMBER(SEARCH("transfert-interne",IFERROR(INDEX('Paramètres'!$N:$N,MATCH($D3187,'Paramètres'!$M:$M,0))&amp;"",""))),0,IF($L3187="Débit",$K3187,IF($P3187=1,-$K3187,0))))</f>
        <v/>
      </c>
      <c r="R3187" s="6" t="str">
        <f>IF($K3187="","",IF($L3187="Crédit",$K3187,-$K3187))</f>
        <v/>
      </c>
      <c r="S3187" s="6" t="str">
        <f>IF($C3187="","",IFERROR(INDEX('Paramètres'!$H:$H,MATCH($C3187,'Paramètres'!$D:$D,0))&amp;"",""))</f>
        <v/>
      </c>
      <c r="T3187" s="6" t="str">
        <f>IF($K3187="","",IF($S3187="",0,IF(ISNUMBER(SEARCH("apport-exterieur",IFERROR(INDEX('Paramètres'!$N:$N,MATCH($D3187,'Paramètres'!$M:$M,0))&amp;"",""))),0,IF(OR(IFERROR(INDEX('Paramètres'!$I:$I,MATCH($C3187,'Paramètres'!$D:$D,0))&amp;"","")="Les deux",IFERROR(INDEX('Paramètres'!$I:$I,MATCH($C3187,'Paramètres'!$D:$D,0))&amp;"","")=IF($P3187=1,"Débit",$L3187)),-IF($P3187=1,-$K3187,$K3187),0))))</f>
        <v/>
      </c>
      <c r="U3187" s="6" t="str">
        <f>IF($K3187="","",IF(ISNUMBER(SEARCH("sortie-epargne",IFERROR(INDEX('Paramètres'!$N:$N,MATCH($D3187,'Paramètres'!$M:$M,0))&amp;"",""))),$K3187,0))</f>
        <v/>
      </c>
      <c r="V3187" s="6" t="str">
        <f>IF(AND($A3187&lt;&gt;"",$O3187=1,$L3187="Débit",N($Q3187)&gt;0,$A3187&gt;=Visualisation!$B$1,$A3187&lt;Visualisation!$D$1),MAX($V$1:V3186)+1,"")</f>
        <v/>
      </c>
    </row>
    <row r="3188" spans="1:22" x14ac:dyDescent="0.25">
      <c r="A3188" s="9"/>
      <c r="E3188" s="10"/>
      <c r="K3188" s="11" t="str">
        <f>IF($E3188="","",ROUND($E3188*IF(ISNA(MATCH($C3188,'Paramètres'!$D:$D,0)),1,IF(INDEX('Paramètres'!$J:$J,MATCH($C3188,'Paramètres'!$D:$D,0))="",1,INDEX('Paramètres'!$J:$J,MATCH($C3188,'Paramètres'!$D:$D,0)))),2))</f>
        <v/>
      </c>
      <c r="L3188" s="6" t="str">
        <f>IF($D3188="","",IF($F3188&lt;&gt;"",$F3188,IF(ISNA(MATCH($D3188,'Paramètres'!$M:$M,0)),"⚠ Type inconnu",IFERROR(INDEX('Paramètres'!$P:$P,MATCH($D3188,'Paramètres'!$M:$M,0))&amp;"",""))))</f>
        <v/>
      </c>
      <c r="M3188" s="6" t="str">
        <f>IF($D3188="","",IF(ISNA(MATCH($D3188,'Paramètres'!$M:$M,0)),"⚠ Type inconnu",IF($L3188="Crédit","",IFERROR(INDEX('Paramètres'!$O:$O,MATCH($D3188,'Paramètres'!$M:$M,0))&amp;"",""))))</f>
        <v/>
      </c>
      <c r="N3188" s="6" t="str">
        <f>IF($D3188="","",IFERROR(INDEX('Paramètres'!$Q:$Q,MATCH($D3188,'Paramètres'!$M:$M,0))&amp;"",""))</f>
        <v/>
      </c>
      <c r="O3188" s="6" t="str">
        <f>IF($A3188="","",IF(OR($J3188&lt;&gt;"x",$A3188&lt;=FinReleve),1,0))</f>
        <v/>
      </c>
      <c r="P3188" s="6" t="str">
        <f>IF($D3188="","",IF(AND($L3188="Crédit",OR(IFERROR(INDEX('Paramètres'!$O:$O,MATCH($D3188,'Paramètres'!$M:$M,0))&amp;"","")&lt;&gt;"",ISNUMBER(SEARCH("remboursement",IFERROR(INDEX('Paramètres'!$N:$N,MATCH($D3188,'Paramètres'!$M:$M,0))&amp;"",""))))),1,0))</f>
        <v/>
      </c>
      <c r="Q3188" s="6" t="str">
        <f>IF($K3188="","",IF(ISNUMBER(SEARCH("transfert-interne",IFERROR(INDEX('Paramètres'!$N:$N,MATCH($D3188,'Paramètres'!$M:$M,0))&amp;"",""))),0,IF($L3188="Débit",$K3188,IF($P3188=1,-$K3188,0))))</f>
        <v/>
      </c>
      <c r="R3188" s="6" t="str">
        <f>IF($K3188="","",IF($L3188="Crédit",$K3188,-$K3188))</f>
        <v/>
      </c>
      <c r="S3188" s="6" t="str">
        <f>IF($C3188="","",IFERROR(INDEX('Paramètres'!$H:$H,MATCH($C3188,'Paramètres'!$D:$D,0))&amp;"",""))</f>
        <v/>
      </c>
      <c r="T3188" s="6" t="str">
        <f>IF($K3188="","",IF($S3188="",0,IF(ISNUMBER(SEARCH("apport-exterieur",IFERROR(INDEX('Paramètres'!$N:$N,MATCH($D3188,'Paramètres'!$M:$M,0))&amp;"",""))),0,IF(OR(IFERROR(INDEX('Paramètres'!$I:$I,MATCH($C3188,'Paramètres'!$D:$D,0))&amp;"","")="Les deux",IFERROR(INDEX('Paramètres'!$I:$I,MATCH($C3188,'Paramètres'!$D:$D,0))&amp;"","")=IF($P3188=1,"Débit",$L3188)),-IF($P3188=1,-$K3188,$K3188),0))))</f>
        <v/>
      </c>
      <c r="U3188" s="6" t="str">
        <f>IF($K3188="","",IF(ISNUMBER(SEARCH("sortie-epargne",IFERROR(INDEX('Paramètres'!$N:$N,MATCH($D3188,'Paramètres'!$M:$M,0))&amp;"",""))),$K3188,0))</f>
        <v/>
      </c>
      <c r="V3188" s="6" t="str">
        <f>IF(AND($A3188&lt;&gt;"",$O3188=1,$L3188="Débit",N($Q3188)&gt;0,$A3188&gt;=Visualisation!$B$1,$A3188&lt;Visualisation!$D$1),MAX($V$1:V3187)+1,"")</f>
        <v/>
      </c>
    </row>
    <row r="3189" spans="1:22" x14ac:dyDescent="0.25">
      <c r="A3189" s="9"/>
      <c r="E3189" s="10"/>
      <c r="K3189" s="11" t="str">
        <f>IF($E3189="","",ROUND($E3189*IF(ISNA(MATCH($C3189,'Paramètres'!$D:$D,0)),1,IF(INDEX('Paramètres'!$J:$J,MATCH($C3189,'Paramètres'!$D:$D,0))="",1,INDEX('Paramètres'!$J:$J,MATCH($C3189,'Paramètres'!$D:$D,0)))),2))</f>
        <v/>
      </c>
      <c r="L3189" s="6" t="str">
        <f>IF($D3189="","",IF($F3189&lt;&gt;"",$F3189,IF(ISNA(MATCH($D3189,'Paramètres'!$M:$M,0)),"⚠ Type inconnu",IFERROR(INDEX('Paramètres'!$P:$P,MATCH($D3189,'Paramètres'!$M:$M,0))&amp;"",""))))</f>
        <v/>
      </c>
      <c r="M3189" s="6" t="str">
        <f>IF($D3189="","",IF(ISNA(MATCH($D3189,'Paramètres'!$M:$M,0)),"⚠ Type inconnu",IF($L3189="Crédit","",IFERROR(INDEX('Paramètres'!$O:$O,MATCH($D3189,'Paramètres'!$M:$M,0))&amp;"",""))))</f>
        <v/>
      </c>
      <c r="N3189" s="6" t="str">
        <f>IF($D3189="","",IFERROR(INDEX('Paramètres'!$Q:$Q,MATCH($D3189,'Paramètres'!$M:$M,0))&amp;"",""))</f>
        <v/>
      </c>
      <c r="O3189" s="6" t="str">
        <f>IF($A3189="","",IF(OR($J3189&lt;&gt;"x",$A3189&lt;=FinReleve),1,0))</f>
        <v/>
      </c>
      <c r="P3189" s="6" t="str">
        <f>IF($D3189="","",IF(AND($L3189="Crédit",OR(IFERROR(INDEX('Paramètres'!$O:$O,MATCH($D3189,'Paramètres'!$M:$M,0))&amp;"","")&lt;&gt;"",ISNUMBER(SEARCH("remboursement",IFERROR(INDEX('Paramètres'!$N:$N,MATCH($D3189,'Paramètres'!$M:$M,0))&amp;"",""))))),1,0))</f>
        <v/>
      </c>
      <c r="Q3189" s="6" t="str">
        <f>IF($K3189="","",IF(ISNUMBER(SEARCH("transfert-interne",IFERROR(INDEX('Paramètres'!$N:$N,MATCH($D3189,'Paramètres'!$M:$M,0))&amp;"",""))),0,IF($L3189="Débit",$K3189,IF($P3189=1,-$K3189,0))))</f>
        <v/>
      </c>
      <c r="R3189" s="6" t="str">
        <f>IF($K3189="","",IF($L3189="Crédit",$K3189,-$K3189))</f>
        <v/>
      </c>
      <c r="S3189" s="6" t="str">
        <f>IF($C3189="","",IFERROR(INDEX('Paramètres'!$H:$H,MATCH($C3189,'Paramètres'!$D:$D,0))&amp;"",""))</f>
        <v/>
      </c>
      <c r="T3189" s="6" t="str">
        <f>IF($K3189="","",IF($S3189="",0,IF(ISNUMBER(SEARCH("apport-exterieur",IFERROR(INDEX('Paramètres'!$N:$N,MATCH($D3189,'Paramètres'!$M:$M,0))&amp;"",""))),0,IF(OR(IFERROR(INDEX('Paramètres'!$I:$I,MATCH($C3189,'Paramètres'!$D:$D,0))&amp;"","")="Les deux",IFERROR(INDEX('Paramètres'!$I:$I,MATCH($C3189,'Paramètres'!$D:$D,0))&amp;"","")=IF($P3189=1,"Débit",$L3189)),-IF($P3189=1,-$K3189,$K3189),0))))</f>
        <v/>
      </c>
      <c r="U3189" s="6" t="str">
        <f>IF($K3189="","",IF(ISNUMBER(SEARCH("sortie-epargne",IFERROR(INDEX('Paramètres'!$N:$N,MATCH($D3189,'Paramètres'!$M:$M,0))&amp;"",""))),$K3189,0))</f>
        <v/>
      </c>
      <c r="V3189" s="6" t="str">
        <f>IF(AND($A3189&lt;&gt;"",$O3189=1,$L3189="Débit",N($Q3189)&gt;0,$A3189&gt;=Visualisation!$B$1,$A3189&lt;Visualisation!$D$1),MAX($V$1:V3188)+1,"")</f>
        <v/>
      </c>
    </row>
    <row r="3190" spans="1:22" x14ac:dyDescent="0.25">
      <c r="A3190" s="9"/>
      <c r="E3190" s="10"/>
      <c r="K3190" s="11" t="str">
        <f>IF($E3190="","",ROUND($E3190*IF(ISNA(MATCH($C3190,'Paramètres'!$D:$D,0)),1,IF(INDEX('Paramètres'!$J:$J,MATCH($C3190,'Paramètres'!$D:$D,0))="",1,INDEX('Paramètres'!$J:$J,MATCH($C3190,'Paramètres'!$D:$D,0)))),2))</f>
        <v/>
      </c>
      <c r="L3190" s="6" t="str">
        <f>IF($D3190="","",IF($F3190&lt;&gt;"",$F3190,IF(ISNA(MATCH($D3190,'Paramètres'!$M:$M,0)),"⚠ Type inconnu",IFERROR(INDEX('Paramètres'!$P:$P,MATCH($D3190,'Paramètres'!$M:$M,0))&amp;"",""))))</f>
        <v/>
      </c>
      <c r="M3190" s="6" t="str">
        <f>IF($D3190="","",IF(ISNA(MATCH($D3190,'Paramètres'!$M:$M,0)),"⚠ Type inconnu",IF($L3190="Crédit","",IFERROR(INDEX('Paramètres'!$O:$O,MATCH($D3190,'Paramètres'!$M:$M,0))&amp;"",""))))</f>
        <v/>
      </c>
      <c r="N3190" s="6" t="str">
        <f>IF($D3190="","",IFERROR(INDEX('Paramètres'!$Q:$Q,MATCH($D3190,'Paramètres'!$M:$M,0))&amp;"",""))</f>
        <v/>
      </c>
      <c r="O3190" s="6" t="str">
        <f>IF($A3190="","",IF(OR($J3190&lt;&gt;"x",$A3190&lt;=FinReleve),1,0))</f>
        <v/>
      </c>
      <c r="P3190" s="6" t="str">
        <f>IF($D3190="","",IF(AND($L3190="Crédit",OR(IFERROR(INDEX('Paramètres'!$O:$O,MATCH($D3190,'Paramètres'!$M:$M,0))&amp;"","")&lt;&gt;"",ISNUMBER(SEARCH("remboursement",IFERROR(INDEX('Paramètres'!$N:$N,MATCH($D3190,'Paramètres'!$M:$M,0))&amp;"",""))))),1,0))</f>
        <v/>
      </c>
      <c r="Q3190" s="6" t="str">
        <f>IF($K3190="","",IF(ISNUMBER(SEARCH("transfert-interne",IFERROR(INDEX('Paramètres'!$N:$N,MATCH($D3190,'Paramètres'!$M:$M,0))&amp;"",""))),0,IF($L3190="Débit",$K3190,IF($P3190=1,-$K3190,0))))</f>
        <v/>
      </c>
      <c r="R3190" s="6" t="str">
        <f>IF($K3190="","",IF($L3190="Crédit",$K3190,-$K3190))</f>
        <v/>
      </c>
      <c r="S3190" s="6" t="str">
        <f>IF($C3190="","",IFERROR(INDEX('Paramètres'!$H:$H,MATCH($C3190,'Paramètres'!$D:$D,0))&amp;"",""))</f>
        <v/>
      </c>
      <c r="T3190" s="6" t="str">
        <f>IF($K3190="","",IF($S3190="",0,IF(ISNUMBER(SEARCH("apport-exterieur",IFERROR(INDEX('Paramètres'!$N:$N,MATCH($D3190,'Paramètres'!$M:$M,0))&amp;"",""))),0,IF(OR(IFERROR(INDEX('Paramètres'!$I:$I,MATCH($C3190,'Paramètres'!$D:$D,0))&amp;"","")="Les deux",IFERROR(INDEX('Paramètres'!$I:$I,MATCH($C3190,'Paramètres'!$D:$D,0))&amp;"","")=IF($P3190=1,"Débit",$L3190)),-IF($P3190=1,-$K3190,$K3190),0))))</f>
        <v/>
      </c>
      <c r="U3190" s="6" t="str">
        <f>IF($K3190="","",IF(ISNUMBER(SEARCH("sortie-epargne",IFERROR(INDEX('Paramètres'!$N:$N,MATCH($D3190,'Paramètres'!$M:$M,0))&amp;"",""))),$K3190,0))</f>
        <v/>
      </c>
      <c r="V3190" s="6" t="str">
        <f>IF(AND($A3190&lt;&gt;"",$O3190=1,$L3190="Débit",N($Q3190)&gt;0,$A3190&gt;=Visualisation!$B$1,$A3190&lt;Visualisation!$D$1),MAX($V$1:V3189)+1,"")</f>
        <v/>
      </c>
    </row>
    <row r="3191" spans="1:22" x14ac:dyDescent="0.25">
      <c r="A3191" s="9"/>
      <c r="E3191" s="10"/>
      <c r="K3191" s="11" t="str">
        <f>IF($E3191="","",ROUND($E3191*IF(ISNA(MATCH($C3191,'Paramètres'!$D:$D,0)),1,IF(INDEX('Paramètres'!$J:$J,MATCH($C3191,'Paramètres'!$D:$D,0))="",1,INDEX('Paramètres'!$J:$J,MATCH($C3191,'Paramètres'!$D:$D,0)))),2))</f>
        <v/>
      </c>
      <c r="L3191" s="6" t="str">
        <f>IF($D3191="","",IF($F3191&lt;&gt;"",$F3191,IF(ISNA(MATCH($D3191,'Paramètres'!$M:$M,0)),"⚠ Type inconnu",IFERROR(INDEX('Paramètres'!$P:$P,MATCH($D3191,'Paramètres'!$M:$M,0))&amp;"",""))))</f>
        <v/>
      </c>
      <c r="M3191" s="6" t="str">
        <f>IF($D3191="","",IF(ISNA(MATCH($D3191,'Paramètres'!$M:$M,0)),"⚠ Type inconnu",IF($L3191="Crédit","",IFERROR(INDEX('Paramètres'!$O:$O,MATCH($D3191,'Paramètres'!$M:$M,0))&amp;"",""))))</f>
        <v/>
      </c>
      <c r="N3191" s="6" t="str">
        <f>IF($D3191="","",IFERROR(INDEX('Paramètres'!$Q:$Q,MATCH($D3191,'Paramètres'!$M:$M,0))&amp;"",""))</f>
        <v/>
      </c>
      <c r="O3191" s="6" t="str">
        <f>IF($A3191="","",IF(OR($J3191&lt;&gt;"x",$A3191&lt;=FinReleve),1,0))</f>
        <v/>
      </c>
      <c r="P3191" s="6" t="str">
        <f>IF($D3191="","",IF(AND($L3191="Crédit",OR(IFERROR(INDEX('Paramètres'!$O:$O,MATCH($D3191,'Paramètres'!$M:$M,0))&amp;"","")&lt;&gt;"",ISNUMBER(SEARCH("remboursement",IFERROR(INDEX('Paramètres'!$N:$N,MATCH($D3191,'Paramètres'!$M:$M,0))&amp;"",""))))),1,0))</f>
        <v/>
      </c>
      <c r="Q3191" s="6" t="str">
        <f>IF($K3191="","",IF(ISNUMBER(SEARCH("transfert-interne",IFERROR(INDEX('Paramètres'!$N:$N,MATCH($D3191,'Paramètres'!$M:$M,0))&amp;"",""))),0,IF($L3191="Débit",$K3191,IF($P3191=1,-$K3191,0))))</f>
        <v/>
      </c>
      <c r="R3191" s="6" t="str">
        <f>IF($K3191="","",IF($L3191="Crédit",$K3191,-$K3191))</f>
        <v/>
      </c>
      <c r="S3191" s="6" t="str">
        <f>IF($C3191="","",IFERROR(INDEX('Paramètres'!$H:$H,MATCH($C3191,'Paramètres'!$D:$D,0))&amp;"",""))</f>
        <v/>
      </c>
      <c r="T3191" s="6" t="str">
        <f>IF($K3191="","",IF($S3191="",0,IF(ISNUMBER(SEARCH("apport-exterieur",IFERROR(INDEX('Paramètres'!$N:$N,MATCH($D3191,'Paramètres'!$M:$M,0))&amp;"",""))),0,IF(OR(IFERROR(INDEX('Paramètres'!$I:$I,MATCH($C3191,'Paramètres'!$D:$D,0))&amp;"","")="Les deux",IFERROR(INDEX('Paramètres'!$I:$I,MATCH($C3191,'Paramètres'!$D:$D,0))&amp;"","")=IF($P3191=1,"Débit",$L3191)),-IF($P3191=1,-$K3191,$K3191),0))))</f>
        <v/>
      </c>
      <c r="U3191" s="6" t="str">
        <f>IF($K3191="","",IF(ISNUMBER(SEARCH("sortie-epargne",IFERROR(INDEX('Paramètres'!$N:$N,MATCH($D3191,'Paramètres'!$M:$M,0))&amp;"",""))),$K3191,0))</f>
        <v/>
      </c>
      <c r="V3191" s="6" t="str">
        <f>IF(AND($A3191&lt;&gt;"",$O3191=1,$L3191="Débit",N($Q3191)&gt;0,$A3191&gt;=Visualisation!$B$1,$A3191&lt;Visualisation!$D$1),MAX($V$1:V3190)+1,"")</f>
        <v/>
      </c>
    </row>
    <row r="3192" spans="1:22" x14ac:dyDescent="0.25">
      <c r="A3192" s="9"/>
      <c r="E3192" s="10"/>
      <c r="K3192" s="11" t="str">
        <f>IF($E3192="","",ROUND($E3192*IF(ISNA(MATCH($C3192,'Paramètres'!$D:$D,0)),1,IF(INDEX('Paramètres'!$J:$J,MATCH($C3192,'Paramètres'!$D:$D,0))="",1,INDEX('Paramètres'!$J:$J,MATCH($C3192,'Paramètres'!$D:$D,0)))),2))</f>
        <v/>
      </c>
      <c r="L3192" s="6" t="str">
        <f>IF($D3192="","",IF($F3192&lt;&gt;"",$F3192,IF(ISNA(MATCH($D3192,'Paramètres'!$M:$M,0)),"⚠ Type inconnu",IFERROR(INDEX('Paramètres'!$P:$P,MATCH($D3192,'Paramètres'!$M:$M,0))&amp;"",""))))</f>
        <v/>
      </c>
      <c r="M3192" s="6" t="str">
        <f>IF($D3192="","",IF(ISNA(MATCH($D3192,'Paramètres'!$M:$M,0)),"⚠ Type inconnu",IF($L3192="Crédit","",IFERROR(INDEX('Paramètres'!$O:$O,MATCH($D3192,'Paramètres'!$M:$M,0))&amp;"",""))))</f>
        <v/>
      </c>
      <c r="N3192" s="6" t="str">
        <f>IF($D3192="","",IFERROR(INDEX('Paramètres'!$Q:$Q,MATCH($D3192,'Paramètres'!$M:$M,0))&amp;"",""))</f>
        <v/>
      </c>
      <c r="O3192" s="6" t="str">
        <f>IF($A3192="","",IF(OR($J3192&lt;&gt;"x",$A3192&lt;=FinReleve),1,0))</f>
        <v/>
      </c>
      <c r="P3192" s="6" t="str">
        <f>IF($D3192="","",IF(AND($L3192="Crédit",OR(IFERROR(INDEX('Paramètres'!$O:$O,MATCH($D3192,'Paramètres'!$M:$M,0))&amp;"","")&lt;&gt;"",ISNUMBER(SEARCH("remboursement",IFERROR(INDEX('Paramètres'!$N:$N,MATCH($D3192,'Paramètres'!$M:$M,0))&amp;"",""))))),1,0))</f>
        <v/>
      </c>
      <c r="Q3192" s="6" t="str">
        <f>IF($K3192="","",IF(ISNUMBER(SEARCH("transfert-interne",IFERROR(INDEX('Paramètres'!$N:$N,MATCH($D3192,'Paramètres'!$M:$M,0))&amp;"",""))),0,IF($L3192="Débit",$K3192,IF($P3192=1,-$K3192,0))))</f>
        <v/>
      </c>
      <c r="R3192" s="6" t="str">
        <f>IF($K3192="","",IF($L3192="Crédit",$K3192,-$K3192))</f>
        <v/>
      </c>
      <c r="S3192" s="6" t="str">
        <f>IF($C3192="","",IFERROR(INDEX('Paramètres'!$H:$H,MATCH($C3192,'Paramètres'!$D:$D,0))&amp;"",""))</f>
        <v/>
      </c>
      <c r="T3192" s="6" t="str">
        <f>IF($K3192="","",IF($S3192="",0,IF(ISNUMBER(SEARCH("apport-exterieur",IFERROR(INDEX('Paramètres'!$N:$N,MATCH($D3192,'Paramètres'!$M:$M,0))&amp;"",""))),0,IF(OR(IFERROR(INDEX('Paramètres'!$I:$I,MATCH($C3192,'Paramètres'!$D:$D,0))&amp;"","")="Les deux",IFERROR(INDEX('Paramètres'!$I:$I,MATCH($C3192,'Paramètres'!$D:$D,0))&amp;"","")=IF($P3192=1,"Débit",$L3192)),-IF($P3192=1,-$K3192,$K3192),0))))</f>
        <v/>
      </c>
      <c r="U3192" s="6" t="str">
        <f>IF($K3192="","",IF(ISNUMBER(SEARCH("sortie-epargne",IFERROR(INDEX('Paramètres'!$N:$N,MATCH($D3192,'Paramètres'!$M:$M,0))&amp;"",""))),$K3192,0))</f>
        <v/>
      </c>
      <c r="V3192" s="6" t="str">
        <f>IF(AND($A3192&lt;&gt;"",$O3192=1,$L3192="Débit",N($Q3192)&gt;0,$A3192&gt;=Visualisation!$B$1,$A3192&lt;Visualisation!$D$1),MAX($V$1:V3191)+1,"")</f>
        <v/>
      </c>
    </row>
    <row r="3193" spans="1:22" x14ac:dyDescent="0.25">
      <c r="A3193" s="9"/>
      <c r="E3193" s="10"/>
      <c r="K3193" s="11" t="str">
        <f>IF($E3193="","",ROUND($E3193*IF(ISNA(MATCH($C3193,'Paramètres'!$D:$D,0)),1,IF(INDEX('Paramètres'!$J:$J,MATCH($C3193,'Paramètres'!$D:$D,0))="",1,INDEX('Paramètres'!$J:$J,MATCH($C3193,'Paramètres'!$D:$D,0)))),2))</f>
        <v/>
      </c>
      <c r="L3193" s="6" t="str">
        <f>IF($D3193="","",IF($F3193&lt;&gt;"",$F3193,IF(ISNA(MATCH($D3193,'Paramètres'!$M:$M,0)),"⚠ Type inconnu",IFERROR(INDEX('Paramètres'!$P:$P,MATCH($D3193,'Paramètres'!$M:$M,0))&amp;"",""))))</f>
        <v/>
      </c>
      <c r="M3193" s="6" t="str">
        <f>IF($D3193="","",IF(ISNA(MATCH($D3193,'Paramètres'!$M:$M,0)),"⚠ Type inconnu",IF($L3193="Crédit","",IFERROR(INDEX('Paramètres'!$O:$O,MATCH($D3193,'Paramètres'!$M:$M,0))&amp;"",""))))</f>
        <v/>
      </c>
      <c r="N3193" s="6" t="str">
        <f>IF($D3193="","",IFERROR(INDEX('Paramètres'!$Q:$Q,MATCH($D3193,'Paramètres'!$M:$M,0))&amp;"",""))</f>
        <v/>
      </c>
      <c r="O3193" s="6" t="str">
        <f>IF($A3193="","",IF(OR($J3193&lt;&gt;"x",$A3193&lt;=FinReleve),1,0))</f>
        <v/>
      </c>
      <c r="P3193" s="6" t="str">
        <f>IF($D3193="","",IF(AND($L3193="Crédit",OR(IFERROR(INDEX('Paramètres'!$O:$O,MATCH($D3193,'Paramètres'!$M:$M,0))&amp;"","")&lt;&gt;"",ISNUMBER(SEARCH("remboursement",IFERROR(INDEX('Paramètres'!$N:$N,MATCH($D3193,'Paramètres'!$M:$M,0))&amp;"",""))))),1,0))</f>
        <v/>
      </c>
      <c r="Q3193" s="6" t="str">
        <f>IF($K3193="","",IF(ISNUMBER(SEARCH("transfert-interne",IFERROR(INDEX('Paramètres'!$N:$N,MATCH($D3193,'Paramètres'!$M:$M,0))&amp;"",""))),0,IF($L3193="Débit",$K3193,IF($P3193=1,-$K3193,0))))</f>
        <v/>
      </c>
      <c r="R3193" s="6" t="str">
        <f>IF($K3193="","",IF($L3193="Crédit",$K3193,-$K3193))</f>
        <v/>
      </c>
      <c r="S3193" s="6" t="str">
        <f>IF($C3193="","",IFERROR(INDEX('Paramètres'!$H:$H,MATCH($C3193,'Paramètres'!$D:$D,0))&amp;"",""))</f>
        <v/>
      </c>
      <c r="T3193" s="6" t="str">
        <f>IF($K3193="","",IF($S3193="",0,IF(ISNUMBER(SEARCH("apport-exterieur",IFERROR(INDEX('Paramètres'!$N:$N,MATCH($D3193,'Paramètres'!$M:$M,0))&amp;"",""))),0,IF(OR(IFERROR(INDEX('Paramètres'!$I:$I,MATCH($C3193,'Paramètres'!$D:$D,0))&amp;"","")="Les deux",IFERROR(INDEX('Paramètres'!$I:$I,MATCH($C3193,'Paramètres'!$D:$D,0))&amp;"","")=IF($P3193=1,"Débit",$L3193)),-IF($P3193=1,-$K3193,$K3193),0))))</f>
        <v/>
      </c>
      <c r="U3193" s="6" t="str">
        <f>IF($K3193="","",IF(ISNUMBER(SEARCH("sortie-epargne",IFERROR(INDEX('Paramètres'!$N:$N,MATCH($D3193,'Paramètres'!$M:$M,0))&amp;"",""))),$K3193,0))</f>
        <v/>
      </c>
      <c r="V3193" s="6" t="str">
        <f>IF(AND($A3193&lt;&gt;"",$O3193=1,$L3193="Débit",N($Q3193)&gt;0,$A3193&gt;=Visualisation!$B$1,$A3193&lt;Visualisation!$D$1),MAX($V$1:V3192)+1,"")</f>
        <v/>
      </c>
    </row>
    <row r="3194" spans="1:22" x14ac:dyDescent="0.25">
      <c r="A3194" s="9"/>
      <c r="E3194" s="10"/>
      <c r="K3194" s="11" t="str">
        <f>IF($E3194="","",ROUND($E3194*IF(ISNA(MATCH($C3194,'Paramètres'!$D:$D,0)),1,IF(INDEX('Paramètres'!$J:$J,MATCH($C3194,'Paramètres'!$D:$D,0))="",1,INDEX('Paramètres'!$J:$J,MATCH($C3194,'Paramètres'!$D:$D,0)))),2))</f>
        <v/>
      </c>
      <c r="L3194" s="6" t="str">
        <f>IF($D3194="","",IF($F3194&lt;&gt;"",$F3194,IF(ISNA(MATCH($D3194,'Paramètres'!$M:$M,0)),"⚠ Type inconnu",IFERROR(INDEX('Paramètres'!$P:$P,MATCH($D3194,'Paramètres'!$M:$M,0))&amp;"",""))))</f>
        <v/>
      </c>
      <c r="M3194" s="6" t="str">
        <f>IF($D3194="","",IF(ISNA(MATCH($D3194,'Paramètres'!$M:$M,0)),"⚠ Type inconnu",IF($L3194="Crédit","",IFERROR(INDEX('Paramètres'!$O:$O,MATCH($D3194,'Paramètres'!$M:$M,0))&amp;"",""))))</f>
        <v/>
      </c>
      <c r="N3194" s="6" t="str">
        <f>IF($D3194="","",IFERROR(INDEX('Paramètres'!$Q:$Q,MATCH($D3194,'Paramètres'!$M:$M,0))&amp;"",""))</f>
        <v/>
      </c>
      <c r="O3194" s="6" t="str">
        <f>IF($A3194="","",IF(OR($J3194&lt;&gt;"x",$A3194&lt;=FinReleve),1,0))</f>
        <v/>
      </c>
      <c r="P3194" s="6" t="str">
        <f>IF($D3194="","",IF(AND($L3194="Crédit",OR(IFERROR(INDEX('Paramètres'!$O:$O,MATCH($D3194,'Paramètres'!$M:$M,0))&amp;"","")&lt;&gt;"",ISNUMBER(SEARCH("remboursement",IFERROR(INDEX('Paramètres'!$N:$N,MATCH($D3194,'Paramètres'!$M:$M,0))&amp;"",""))))),1,0))</f>
        <v/>
      </c>
      <c r="Q3194" s="6" t="str">
        <f>IF($K3194="","",IF(ISNUMBER(SEARCH("transfert-interne",IFERROR(INDEX('Paramètres'!$N:$N,MATCH($D3194,'Paramètres'!$M:$M,0))&amp;"",""))),0,IF($L3194="Débit",$K3194,IF($P3194=1,-$K3194,0))))</f>
        <v/>
      </c>
      <c r="R3194" s="6" t="str">
        <f>IF($K3194="","",IF($L3194="Crédit",$K3194,-$K3194))</f>
        <v/>
      </c>
      <c r="S3194" s="6" t="str">
        <f>IF($C3194="","",IFERROR(INDEX('Paramètres'!$H:$H,MATCH($C3194,'Paramètres'!$D:$D,0))&amp;"",""))</f>
        <v/>
      </c>
      <c r="T3194" s="6" t="str">
        <f>IF($K3194="","",IF($S3194="",0,IF(ISNUMBER(SEARCH("apport-exterieur",IFERROR(INDEX('Paramètres'!$N:$N,MATCH($D3194,'Paramètres'!$M:$M,0))&amp;"",""))),0,IF(OR(IFERROR(INDEX('Paramètres'!$I:$I,MATCH($C3194,'Paramètres'!$D:$D,0))&amp;"","")="Les deux",IFERROR(INDEX('Paramètres'!$I:$I,MATCH($C3194,'Paramètres'!$D:$D,0))&amp;"","")=IF($P3194=1,"Débit",$L3194)),-IF($P3194=1,-$K3194,$K3194),0))))</f>
        <v/>
      </c>
      <c r="U3194" s="6" t="str">
        <f>IF($K3194="","",IF(ISNUMBER(SEARCH("sortie-epargne",IFERROR(INDEX('Paramètres'!$N:$N,MATCH($D3194,'Paramètres'!$M:$M,0))&amp;"",""))),$K3194,0))</f>
        <v/>
      </c>
      <c r="V3194" s="6" t="str">
        <f>IF(AND($A3194&lt;&gt;"",$O3194=1,$L3194="Débit",N($Q3194)&gt;0,$A3194&gt;=Visualisation!$B$1,$A3194&lt;Visualisation!$D$1),MAX($V$1:V3193)+1,"")</f>
        <v/>
      </c>
    </row>
    <row r="3195" spans="1:22" x14ac:dyDescent="0.25">
      <c r="A3195" s="9"/>
      <c r="E3195" s="10"/>
      <c r="K3195" s="11" t="str">
        <f>IF($E3195="","",ROUND($E3195*IF(ISNA(MATCH($C3195,'Paramètres'!$D:$D,0)),1,IF(INDEX('Paramètres'!$J:$J,MATCH($C3195,'Paramètres'!$D:$D,0))="",1,INDEX('Paramètres'!$J:$J,MATCH($C3195,'Paramètres'!$D:$D,0)))),2))</f>
        <v/>
      </c>
      <c r="L3195" s="6" t="str">
        <f>IF($D3195="","",IF($F3195&lt;&gt;"",$F3195,IF(ISNA(MATCH($D3195,'Paramètres'!$M:$M,0)),"⚠ Type inconnu",IFERROR(INDEX('Paramètres'!$P:$P,MATCH($D3195,'Paramètres'!$M:$M,0))&amp;"",""))))</f>
        <v/>
      </c>
      <c r="M3195" s="6" t="str">
        <f>IF($D3195="","",IF(ISNA(MATCH($D3195,'Paramètres'!$M:$M,0)),"⚠ Type inconnu",IF($L3195="Crédit","",IFERROR(INDEX('Paramètres'!$O:$O,MATCH($D3195,'Paramètres'!$M:$M,0))&amp;"",""))))</f>
        <v/>
      </c>
      <c r="N3195" s="6" t="str">
        <f>IF($D3195="","",IFERROR(INDEX('Paramètres'!$Q:$Q,MATCH($D3195,'Paramètres'!$M:$M,0))&amp;"",""))</f>
        <v/>
      </c>
      <c r="O3195" s="6" t="str">
        <f>IF($A3195="","",IF(OR($J3195&lt;&gt;"x",$A3195&lt;=FinReleve),1,0))</f>
        <v/>
      </c>
      <c r="P3195" s="6" t="str">
        <f>IF($D3195="","",IF(AND($L3195="Crédit",OR(IFERROR(INDEX('Paramètres'!$O:$O,MATCH($D3195,'Paramètres'!$M:$M,0))&amp;"","")&lt;&gt;"",ISNUMBER(SEARCH("remboursement",IFERROR(INDEX('Paramètres'!$N:$N,MATCH($D3195,'Paramètres'!$M:$M,0))&amp;"",""))))),1,0))</f>
        <v/>
      </c>
      <c r="Q3195" s="6" t="str">
        <f>IF($K3195="","",IF(ISNUMBER(SEARCH("transfert-interne",IFERROR(INDEX('Paramètres'!$N:$N,MATCH($D3195,'Paramètres'!$M:$M,0))&amp;"",""))),0,IF($L3195="Débit",$K3195,IF($P3195=1,-$K3195,0))))</f>
        <v/>
      </c>
      <c r="R3195" s="6" t="str">
        <f>IF($K3195="","",IF($L3195="Crédit",$K3195,-$K3195))</f>
        <v/>
      </c>
      <c r="S3195" s="6" t="str">
        <f>IF($C3195="","",IFERROR(INDEX('Paramètres'!$H:$H,MATCH($C3195,'Paramètres'!$D:$D,0))&amp;"",""))</f>
        <v/>
      </c>
      <c r="T3195" s="6" t="str">
        <f>IF($K3195="","",IF($S3195="",0,IF(ISNUMBER(SEARCH("apport-exterieur",IFERROR(INDEX('Paramètres'!$N:$N,MATCH($D3195,'Paramètres'!$M:$M,0))&amp;"",""))),0,IF(OR(IFERROR(INDEX('Paramètres'!$I:$I,MATCH($C3195,'Paramètres'!$D:$D,0))&amp;"","")="Les deux",IFERROR(INDEX('Paramètres'!$I:$I,MATCH($C3195,'Paramètres'!$D:$D,0))&amp;"","")=IF($P3195=1,"Débit",$L3195)),-IF($P3195=1,-$K3195,$K3195),0))))</f>
        <v/>
      </c>
      <c r="U3195" s="6" t="str">
        <f>IF($K3195="","",IF(ISNUMBER(SEARCH("sortie-epargne",IFERROR(INDEX('Paramètres'!$N:$N,MATCH($D3195,'Paramètres'!$M:$M,0))&amp;"",""))),$K3195,0))</f>
        <v/>
      </c>
      <c r="V3195" s="6" t="str">
        <f>IF(AND($A3195&lt;&gt;"",$O3195=1,$L3195="Débit",N($Q3195)&gt;0,$A3195&gt;=Visualisation!$B$1,$A3195&lt;Visualisation!$D$1),MAX($V$1:V3194)+1,"")</f>
        <v/>
      </c>
    </row>
    <row r="3196" spans="1:22" x14ac:dyDescent="0.25">
      <c r="A3196" s="9"/>
      <c r="E3196" s="10"/>
      <c r="K3196" s="11" t="str">
        <f>IF($E3196="","",ROUND($E3196*IF(ISNA(MATCH($C3196,'Paramètres'!$D:$D,0)),1,IF(INDEX('Paramètres'!$J:$J,MATCH($C3196,'Paramètres'!$D:$D,0))="",1,INDEX('Paramètres'!$J:$J,MATCH($C3196,'Paramètres'!$D:$D,0)))),2))</f>
        <v/>
      </c>
      <c r="L3196" s="6" t="str">
        <f>IF($D3196="","",IF($F3196&lt;&gt;"",$F3196,IF(ISNA(MATCH($D3196,'Paramètres'!$M:$M,0)),"⚠ Type inconnu",IFERROR(INDEX('Paramètres'!$P:$P,MATCH($D3196,'Paramètres'!$M:$M,0))&amp;"",""))))</f>
        <v/>
      </c>
      <c r="M3196" s="6" t="str">
        <f>IF($D3196="","",IF(ISNA(MATCH($D3196,'Paramètres'!$M:$M,0)),"⚠ Type inconnu",IF($L3196="Crédit","",IFERROR(INDEX('Paramètres'!$O:$O,MATCH($D3196,'Paramètres'!$M:$M,0))&amp;"",""))))</f>
        <v/>
      </c>
      <c r="N3196" s="6" t="str">
        <f>IF($D3196="","",IFERROR(INDEX('Paramètres'!$Q:$Q,MATCH($D3196,'Paramètres'!$M:$M,0))&amp;"",""))</f>
        <v/>
      </c>
      <c r="O3196" s="6" t="str">
        <f>IF($A3196="","",IF(OR($J3196&lt;&gt;"x",$A3196&lt;=FinReleve),1,0))</f>
        <v/>
      </c>
      <c r="P3196" s="6" t="str">
        <f>IF($D3196="","",IF(AND($L3196="Crédit",OR(IFERROR(INDEX('Paramètres'!$O:$O,MATCH($D3196,'Paramètres'!$M:$M,0))&amp;"","")&lt;&gt;"",ISNUMBER(SEARCH("remboursement",IFERROR(INDEX('Paramètres'!$N:$N,MATCH($D3196,'Paramètres'!$M:$M,0))&amp;"",""))))),1,0))</f>
        <v/>
      </c>
      <c r="Q3196" s="6" t="str">
        <f>IF($K3196="","",IF(ISNUMBER(SEARCH("transfert-interne",IFERROR(INDEX('Paramètres'!$N:$N,MATCH($D3196,'Paramètres'!$M:$M,0))&amp;"",""))),0,IF($L3196="Débit",$K3196,IF($P3196=1,-$K3196,0))))</f>
        <v/>
      </c>
      <c r="R3196" s="6" t="str">
        <f>IF($K3196="","",IF($L3196="Crédit",$K3196,-$K3196))</f>
        <v/>
      </c>
      <c r="S3196" s="6" t="str">
        <f>IF($C3196="","",IFERROR(INDEX('Paramètres'!$H:$H,MATCH($C3196,'Paramètres'!$D:$D,0))&amp;"",""))</f>
        <v/>
      </c>
      <c r="T3196" s="6" t="str">
        <f>IF($K3196="","",IF($S3196="",0,IF(ISNUMBER(SEARCH("apport-exterieur",IFERROR(INDEX('Paramètres'!$N:$N,MATCH($D3196,'Paramètres'!$M:$M,0))&amp;"",""))),0,IF(OR(IFERROR(INDEX('Paramètres'!$I:$I,MATCH($C3196,'Paramètres'!$D:$D,0))&amp;"","")="Les deux",IFERROR(INDEX('Paramètres'!$I:$I,MATCH($C3196,'Paramètres'!$D:$D,0))&amp;"","")=IF($P3196=1,"Débit",$L3196)),-IF($P3196=1,-$K3196,$K3196),0))))</f>
        <v/>
      </c>
      <c r="U3196" s="6" t="str">
        <f>IF($K3196="","",IF(ISNUMBER(SEARCH("sortie-epargne",IFERROR(INDEX('Paramètres'!$N:$N,MATCH($D3196,'Paramètres'!$M:$M,0))&amp;"",""))),$K3196,0))</f>
        <v/>
      </c>
      <c r="V3196" s="6" t="str">
        <f>IF(AND($A3196&lt;&gt;"",$O3196=1,$L3196="Débit",N($Q3196)&gt;0,$A3196&gt;=Visualisation!$B$1,$A3196&lt;Visualisation!$D$1),MAX($V$1:V3195)+1,"")</f>
        <v/>
      </c>
    </row>
    <row r="3197" spans="1:22" x14ac:dyDescent="0.25">
      <c r="A3197" s="9"/>
      <c r="E3197" s="10"/>
      <c r="K3197" s="11" t="str">
        <f>IF($E3197="","",ROUND($E3197*IF(ISNA(MATCH($C3197,'Paramètres'!$D:$D,0)),1,IF(INDEX('Paramètres'!$J:$J,MATCH($C3197,'Paramètres'!$D:$D,0))="",1,INDEX('Paramètres'!$J:$J,MATCH($C3197,'Paramètres'!$D:$D,0)))),2))</f>
        <v/>
      </c>
      <c r="L3197" s="6" t="str">
        <f>IF($D3197="","",IF($F3197&lt;&gt;"",$F3197,IF(ISNA(MATCH($D3197,'Paramètres'!$M:$M,0)),"⚠ Type inconnu",IFERROR(INDEX('Paramètres'!$P:$P,MATCH($D3197,'Paramètres'!$M:$M,0))&amp;"",""))))</f>
        <v/>
      </c>
      <c r="M3197" s="6" t="str">
        <f>IF($D3197="","",IF(ISNA(MATCH($D3197,'Paramètres'!$M:$M,0)),"⚠ Type inconnu",IF($L3197="Crédit","",IFERROR(INDEX('Paramètres'!$O:$O,MATCH($D3197,'Paramètres'!$M:$M,0))&amp;"",""))))</f>
        <v/>
      </c>
      <c r="N3197" s="6" t="str">
        <f>IF($D3197="","",IFERROR(INDEX('Paramètres'!$Q:$Q,MATCH($D3197,'Paramètres'!$M:$M,0))&amp;"",""))</f>
        <v/>
      </c>
      <c r="O3197" s="6" t="str">
        <f>IF($A3197="","",IF(OR($J3197&lt;&gt;"x",$A3197&lt;=FinReleve),1,0))</f>
        <v/>
      </c>
      <c r="P3197" s="6" t="str">
        <f>IF($D3197="","",IF(AND($L3197="Crédit",OR(IFERROR(INDEX('Paramètres'!$O:$O,MATCH($D3197,'Paramètres'!$M:$M,0))&amp;"","")&lt;&gt;"",ISNUMBER(SEARCH("remboursement",IFERROR(INDEX('Paramètres'!$N:$N,MATCH($D3197,'Paramètres'!$M:$M,0))&amp;"",""))))),1,0))</f>
        <v/>
      </c>
      <c r="Q3197" s="6" t="str">
        <f>IF($K3197="","",IF(ISNUMBER(SEARCH("transfert-interne",IFERROR(INDEX('Paramètres'!$N:$N,MATCH($D3197,'Paramètres'!$M:$M,0))&amp;"",""))),0,IF($L3197="Débit",$K3197,IF($P3197=1,-$K3197,0))))</f>
        <v/>
      </c>
      <c r="R3197" s="6" t="str">
        <f>IF($K3197="","",IF($L3197="Crédit",$K3197,-$K3197))</f>
        <v/>
      </c>
      <c r="S3197" s="6" t="str">
        <f>IF($C3197="","",IFERROR(INDEX('Paramètres'!$H:$H,MATCH($C3197,'Paramètres'!$D:$D,0))&amp;"",""))</f>
        <v/>
      </c>
      <c r="T3197" s="6" t="str">
        <f>IF($K3197="","",IF($S3197="",0,IF(ISNUMBER(SEARCH("apport-exterieur",IFERROR(INDEX('Paramètres'!$N:$N,MATCH($D3197,'Paramètres'!$M:$M,0))&amp;"",""))),0,IF(OR(IFERROR(INDEX('Paramètres'!$I:$I,MATCH($C3197,'Paramètres'!$D:$D,0))&amp;"","")="Les deux",IFERROR(INDEX('Paramètres'!$I:$I,MATCH($C3197,'Paramètres'!$D:$D,0))&amp;"","")=IF($P3197=1,"Débit",$L3197)),-IF($P3197=1,-$K3197,$K3197),0))))</f>
        <v/>
      </c>
      <c r="U3197" s="6" t="str">
        <f>IF($K3197="","",IF(ISNUMBER(SEARCH("sortie-epargne",IFERROR(INDEX('Paramètres'!$N:$N,MATCH($D3197,'Paramètres'!$M:$M,0))&amp;"",""))),$K3197,0))</f>
        <v/>
      </c>
      <c r="V3197" s="6" t="str">
        <f>IF(AND($A3197&lt;&gt;"",$O3197=1,$L3197="Débit",N($Q3197)&gt;0,$A3197&gt;=Visualisation!$B$1,$A3197&lt;Visualisation!$D$1),MAX($V$1:V3196)+1,"")</f>
        <v/>
      </c>
    </row>
    <row r="3198" spans="1:22" x14ac:dyDescent="0.25">
      <c r="A3198" s="9"/>
      <c r="E3198" s="10"/>
      <c r="K3198" s="11" t="str">
        <f>IF($E3198="","",ROUND($E3198*IF(ISNA(MATCH($C3198,'Paramètres'!$D:$D,0)),1,IF(INDEX('Paramètres'!$J:$J,MATCH($C3198,'Paramètres'!$D:$D,0))="",1,INDEX('Paramètres'!$J:$J,MATCH($C3198,'Paramètres'!$D:$D,0)))),2))</f>
        <v/>
      </c>
      <c r="L3198" s="6" t="str">
        <f>IF($D3198="","",IF($F3198&lt;&gt;"",$F3198,IF(ISNA(MATCH($D3198,'Paramètres'!$M:$M,0)),"⚠ Type inconnu",IFERROR(INDEX('Paramètres'!$P:$P,MATCH($D3198,'Paramètres'!$M:$M,0))&amp;"",""))))</f>
        <v/>
      </c>
      <c r="M3198" s="6" t="str">
        <f>IF($D3198="","",IF(ISNA(MATCH($D3198,'Paramètres'!$M:$M,0)),"⚠ Type inconnu",IF($L3198="Crédit","",IFERROR(INDEX('Paramètres'!$O:$O,MATCH($D3198,'Paramètres'!$M:$M,0))&amp;"",""))))</f>
        <v/>
      </c>
      <c r="N3198" s="6" t="str">
        <f>IF($D3198="","",IFERROR(INDEX('Paramètres'!$Q:$Q,MATCH($D3198,'Paramètres'!$M:$M,0))&amp;"",""))</f>
        <v/>
      </c>
      <c r="O3198" s="6" t="str">
        <f>IF($A3198="","",IF(OR($J3198&lt;&gt;"x",$A3198&lt;=FinReleve),1,0))</f>
        <v/>
      </c>
      <c r="P3198" s="6" t="str">
        <f>IF($D3198="","",IF(AND($L3198="Crédit",OR(IFERROR(INDEX('Paramètres'!$O:$O,MATCH($D3198,'Paramètres'!$M:$M,0))&amp;"","")&lt;&gt;"",ISNUMBER(SEARCH("remboursement",IFERROR(INDEX('Paramètres'!$N:$N,MATCH($D3198,'Paramètres'!$M:$M,0))&amp;"",""))))),1,0))</f>
        <v/>
      </c>
      <c r="Q3198" s="6" t="str">
        <f>IF($K3198="","",IF(ISNUMBER(SEARCH("transfert-interne",IFERROR(INDEX('Paramètres'!$N:$N,MATCH($D3198,'Paramètres'!$M:$M,0))&amp;"",""))),0,IF($L3198="Débit",$K3198,IF($P3198=1,-$K3198,0))))</f>
        <v/>
      </c>
      <c r="R3198" s="6" t="str">
        <f>IF($K3198="","",IF($L3198="Crédit",$K3198,-$K3198))</f>
        <v/>
      </c>
      <c r="S3198" s="6" t="str">
        <f>IF($C3198="","",IFERROR(INDEX('Paramètres'!$H:$H,MATCH($C3198,'Paramètres'!$D:$D,0))&amp;"",""))</f>
        <v/>
      </c>
      <c r="T3198" s="6" t="str">
        <f>IF($K3198="","",IF($S3198="",0,IF(ISNUMBER(SEARCH("apport-exterieur",IFERROR(INDEX('Paramètres'!$N:$N,MATCH($D3198,'Paramètres'!$M:$M,0))&amp;"",""))),0,IF(OR(IFERROR(INDEX('Paramètres'!$I:$I,MATCH($C3198,'Paramètres'!$D:$D,0))&amp;"","")="Les deux",IFERROR(INDEX('Paramètres'!$I:$I,MATCH($C3198,'Paramètres'!$D:$D,0))&amp;"","")=IF($P3198=1,"Débit",$L3198)),-IF($P3198=1,-$K3198,$K3198),0))))</f>
        <v/>
      </c>
      <c r="U3198" s="6" t="str">
        <f>IF($K3198="","",IF(ISNUMBER(SEARCH("sortie-epargne",IFERROR(INDEX('Paramètres'!$N:$N,MATCH($D3198,'Paramètres'!$M:$M,0))&amp;"",""))),$K3198,0))</f>
        <v/>
      </c>
      <c r="V3198" s="6" t="str">
        <f>IF(AND($A3198&lt;&gt;"",$O3198=1,$L3198="Débit",N($Q3198)&gt;0,$A3198&gt;=Visualisation!$B$1,$A3198&lt;Visualisation!$D$1),MAX($V$1:V3197)+1,"")</f>
        <v/>
      </c>
    </row>
    <row r="3199" spans="1:22" x14ac:dyDescent="0.25">
      <c r="A3199" s="9"/>
      <c r="E3199" s="10"/>
      <c r="K3199" s="11" t="str">
        <f>IF($E3199="","",ROUND($E3199*IF(ISNA(MATCH($C3199,'Paramètres'!$D:$D,0)),1,IF(INDEX('Paramètres'!$J:$J,MATCH($C3199,'Paramètres'!$D:$D,0))="",1,INDEX('Paramètres'!$J:$J,MATCH($C3199,'Paramètres'!$D:$D,0)))),2))</f>
        <v/>
      </c>
      <c r="L3199" s="6" t="str">
        <f>IF($D3199="","",IF($F3199&lt;&gt;"",$F3199,IF(ISNA(MATCH($D3199,'Paramètres'!$M:$M,0)),"⚠ Type inconnu",IFERROR(INDEX('Paramètres'!$P:$P,MATCH($D3199,'Paramètres'!$M:$M,0))&amp;"",""))))</f>
        <v/>
      </c>
      <c r="M3199" s="6" t="str">
        <f>IF($D3199="","",IF(ISNA(MATCH($D3199,'Paramètres'!$M:$M,0)),"⚠ Type inconnu",IF($L3199="Crédit","",IFERROR(INDEX('Paramètres'!$O:$O,MATCH($D3199,'Paramètres'!$M:$M,0))&amp;"",""))))</f>
        <v/>
      </c>
      <c r="N3199" s="6" t="str">
        <f>IF($D3199="","",IFERROR(INDEX('Paramètres'!$Q:$Q,MATCH($D3199,'Paramètres'!$M:$M,0))&amp;"",""))</f>
        <v/>
      </c>
      <c r="O3199" s="6" t="str">
        <f>IF($A3199="","",IF(OR($J3199&lt;&gt;"x",$A3199&lt;=FinReleve),1,0))</f>
        <v/>
      </c>
      <c r="P3199" s="6" t="str">
        <f>IF($D3199="","",IF(AND($L3199="Crédit",OR(IFERROR(INDEX('Paramètres'!$O:$O,MATCH($D3199,'Paramètres'!$M:$M,0))&amp;"","")&lt;&gt;"",ISNUMBER(SEARCH("remboursement",IFERROR(INDEX('Paramètres'!$N:$N,MATCH($D3199,'Paramètres'!$M:$M,0))&amp;"",""))))),1,0))</f>
        <v/>
      </c>
      <c r="Q3199" s="6" t="str">
        <f>IF($K3199="","",IF(ISNUMBER(SEARCH("transfert-interne",IFERROR(INDEX('Paramètres'!$N:$N,MATCH($D3199,'Paramètres'!$M:$M,0))&amp;"",""))),0,IF($L3199="Débit",$K3199,IF($P3199=1,-$K3199,0))))</f>
        <v/>
      </c>
      <c r="R3199" s="6" t="str">
        <f>IF($K3199="","",IF($L3199="Crédit",$K3199,-$K3199))</f>
        <v/>
      </c>
      <c r="S3199" s="6" t="str">
        <f>IF($C3199="","",IFERROR(INDEX('Paramètres'!$H:$H,MATCH($C3199,'Paramètres'!$D:$D,0))&amp;"",""))</f>
        <v/>
      </c>
      <c r="T3199" s="6" t="str">
        <f>IF($K3199="","",IF($S3199="",0,IF(ISNUMBER(SEARCH("apport-exterieur",IFERROR(INDEX('Paramètres'!$N:$N,MATCH($D3199,'Paramètres'!$M:$M,0))&amp;"",""))),0,IF(OR(IFERROR(INDEX('Paramètres'!$I:$I,MATCH($C3199,'Paramètres'!$D:$D,0))&amp;"","")="Les deux",IFERROR(INDEX('Paramètres'!$I:$I,MATCH($C3199,'Paramètres'!$D:$D,0))&amp;"","")=IF($P3199=1,"Débit",$L3199)),-IF($P3199=1,-$K3199,$K3199),0))))</f>
        <v/>
      </c>
      <c r="U3199" s="6" t="str">
        <f>IF($K3199="","",IF(ISNUMBER(SEARCH("sortie-epargne",IFERROR(INDEX('Paramètres'!$N:$N,MATCH($D3199,'Paramètres'!$M:$M,0))&amp;"",""))),$K3199,0))</f>
        <v/>
      </c>
      <c r="V3199" s="6" t="str">
        <f>IF(AND($A3199&lt;&gt;"",$O3199=1,$L3199="Débit",N($Q3199)&gt;0,$A3199&gt;=Visualisation!$B$1,$A3199&lt;Visualisation!$D$1),MAX($V$1:V3198)+1,"")</f>
        <v/>
      </c>
    </row>
    <row r="3200" spans="1:22" x14ac:dyDescent="0.25">
      <c r="A3200" s="9"/>
      <c r="E3200" s="10"/>
      <c r="K3200" s="11" t="str">
        <f>IF($E3200="","",ROUND($E3200*IF(ISNA(MATCH($C3200,'Paramètres'!$D:$D,0)),1,IF(INDEX('Paramètres'!$J:$J,MATCH($C3200,'Paramètres'!$D:$D,0))="",1,INDEX('Paramètres'!$J:$J,MATCH($C3200,'Paramètres'!$D:$D,0)))),2))</f>
        <v/>
      </c>
      <c r="L3200" s="6" t="str">
        <f>IF($D3200="","",IF($F3200&lt;&gt;"",$F3200,IF(ISNA(MATCH($D3200,'Paramètres'!$M:$M,0)),"⚠ Type inconnu",IFERROR(INDEX('Paramètres'!$P:$P,MATCH($D3200,'Paramètres'!$M:$M,0))&amp;"",""))))</f>
        <v/>
      </c>
      <c r="M3200" s="6" t="str">
        <f>IF($D3200="","",IF(ISNA(MATCH($D3200,'Paramètres'!$M:$M,0)),"⚠ Type inconnu",IF($L3200="Crédit","",IFERROR(INDEX('Paramètres'!$O:$O,MATCH($D3200,'Paramètres'!$M:$M,0))&amp;"",""))))</f>
        <v/>
      </c>
      <c r="N3200" s="6" t="str">
        <f>IF($D3200="","",IFERROR(INDEX('Paramètres'!$Q:$Q,MATCH($D3200,'Paramètres'!$M:$M,0))&amp;"",""))</f>
        <v/>
      </c>
      <c r="O3200" s="6" t="str">
        <f>IF($A3200="","",IF(OR($J3200&lt;&gt;"x",$A3200&lt;=FinReleve),1,0))</f>
        <v/>
      </c>
      <c r="P3200" s="6" t="str">
        <f>IF($D3200="","",IF(AND($L3200="Crédit",OR(IFERROR(INDEX('Paramètres'!$O:$O,MATCH($D3200,'Paramètres'!$M:$M,0))&amp;"","")&lt;&gt;"",ISNUMBER(SEARCH("remboursement",IFERROR(INDEX('Paramètres'!$N:$N,MATCH($D3200,'Paramètres'!$M:$M,0))&amp;"",""))))),1,0))</f>
        <v/>
      </c>
      <c r="Q3200" s="6" t="str">
        <f>IF($K3200="","",IF(ISNUMBER(SEARCH("transfert-interne",IFERROR(INDEX('Paramètres'!$N:$N,MATCH($D3200,'Paramètres'!$M:$M,0))&amp;"",""))),0,IF($L3200="Débit",$K3200,IF($P3200=1,-$K3200,0))))</f>
        <v/>
      </c>
      <c r="R3200" s="6" t="str">
        <f>IF($K3200="","",IF($L3200="Crédit",$K3200,-$K3200))</f>
        <v/>
      </c>
      <c r="S3200" s="6" t="str">
        <f>IF($C3200="","",IFERROR(INDEX('Paramètres'!$H:$H,MATCH($C3200,'Paramètres'!$D:$D,0))&amp;"",""))</f>
        <v/>
      </c>
      <c r="T3200" s="6" t="str">
        <f>IF($K3200="","",IF($S3200="",0,IF(ISNUMBER(SEARCH("apport-exterieur",IFERROR(INDEX('Paramètres'!$N:$N,MATCH($D3200,'Paramètres'!$M:$M,0))&amp;"",""))),0,IF(OR(IFERROR(INDEX('Paramètres'!$I:$I,MATCH($C3200,'Paramètres'!$D:$D,0))&amp;"","")="Les deux",IFERROR(INDEX('Paramètres'!$I:$I,MATCH($C3200,'Paramètres'!$D:$D,0))&amp;"","")=IF($P3200=1,"Débit",$L3200)),-IF($P3200=1,-$K3200,$K3200),0))))</f>
        <v/>
      </c>
      <c r="U3200" s="6" t="str">
        <f>IF($K3200="","",IF(ISNUMBER(SEARCH("sortie-epargne",IFERROR(INDEX('Paramètres'!$N:$N,MATCH($D3200,'Paramètres'!$M:$M,0))&amp;"",""))),$K3200,0))</f>
        <v/>
      </c>
      <c r="V3200" s="6" t="str">
        <f>IF(AND($A3200&lt;&gt;"",$O3200=1,$L3200="Débit",N($Q3200)&gt;0,$A3200&gt;=Visualisation!$B$1,$A3200&lt;Visualisation!$D$1),MAX($V$1:V3199)+1,"")</f>
        <v/>
      </c>
    </row>
    <row r="3201" spans="1:22" x14ac:dyDescent="0.25">
      <c r="A3201" s="9"/>
      <c r="E3201" s="10"/>
      <c r="K3201" s="11" t="str">
        <f>IF($E3201="","",ROUND($E3201*IF(ISNA(MATCH($C3201,'Paramètres'!$D:$D,0)),1,IF(INDEX('Paramètres'!$J:$J,MATCH($C3201,'Paramètres'!$D:$D,0))="",1,INDEX('Paramètres'!$J:$J,MATCH($C3201,'Paramètres'!$D:$D,0)))),2))</f>
        <v/>
      </c>
      <c r="L3201" s="6" t="str">
        <f>IF($D3201="","",IF($F3201&lt;&gt;"",$F3201,IF(ISNA(MATCH($D3201,'Paramètres'!$M:$M,0)),"⚠ Type inconnu",IFERROR(INDEX('Paramètres'!$P:$P,MATCH($D3201,'Paramètres'!$M:$M,0))&amp;"",""))))</f>
        <v/>
      </c>
      <c r="M3201" s="6" t="str">
        <f>IF($D3201="","",IF(ISNA(MATCH($D3201,'Paramètres'!$M:$M,0)),"⚠ Type inconnu",IF($L3201="Crédit","",IFERROR(INDEX('Paramètres'!$O:$O,MATCH($D3201,'Paramètres'!$M:$M,0))&amp;"",""))))</f>
        <v/>
      </c>
      <c r="N3201" s="6" t="str">
        <f>IF($D3201="","",IFERROR(INDEX('Paramètres'!$Q:$Q,MATCH($D3201,'Paramètres'!$M:$M,0))&amp;"",""))</f>
        <v/>
      </c>
      <c r="O3201" s="6" t="str">
        <f>IF($A3201="","",IF(OR($J3201&lt;&gt;"x",$A3201&lt;=FinReleve),1,0))</f>
        <v/>
      </c>
      <c r="P3201" s="6" t="str">
        <f>IF($D3201="","",IF(AND($L3201="Crédit",OR(IFERROR(INDEX('Paramètres'!$O:$O,MATCH($D3201,'Paramètres'!$M:$M,0))&amp;"","")&lt;&gt;"",ISNUMBER(SEARCH("remboursement",IFERROR(INDEX('Paramètres'!$N:$N,MATCH($D3201,'Paramètres'!$M:$M,0))&amp;"",""))))),1,0))</f>
        <v/>
      </c>
      <c r="Q3201" s="6" t="str">
        <f>IF($K3201="","",IF(ISNUMBER(SEARCH("transfert-interne",IFERROR(INDEX('Paramètres'!$N:$N,MATCH($D3201,'Paramètres'!$M:$M,0))&amp;"",""))),0,IF($L3201="Débit",$K3201,IF($P3201=1,-$K3201,0))))</f>
        <v/>
      </c>
      <c r="R3201" s="6" t="str">
        <f>IF($K3201="","",IF($L3201="Crédit",$K3201,-$K3201))</f>
        <v/>
      </c>
      <c r="S3201" s="6" t="str">
        <f>IF($C3201="","",IFERROR(INDEX('Paramètres'!$H:$H,MATCH($C3201,'Paramètres'!$D:$D,0))&amp;"",""))</f>
        <v/>
      </c>
      <c r="T3201" s="6" t="str">
        <f>IF($K3201="","",IF($S3201="",0,IF(ISNUMBER(SEARCH("apport-exterieur",IFERROR(INDEX('Paramètres'!$N:$N,MATCH($D3201,'Paramètres'!$M:$M,0))&amp;"",""))),0,IF(OR(IFERROR(INDEX('Paramètres'!$I:$I,MATCH($C3201,'Paramètres'!$D:$D,0))&amp;"","")="Les deux",IFERROR(INDEX('Paramètres'!$I:$I,MATCH($C3201,'Paramètres'!$D:$D,0))&amp;"","")=IF($P3201=1,"Débit",$L3201)),-IF($P3201=1,-$K3201,$K3201),0))))</f>
        <v/>
      </c>
      <c r="U3201" s="6" t="str">
        <f>IF($K3201="","",IF(ISNUMBER(SEARCH("sortie-epargne",IFERROR(INDEX('Paramètres'!$N:$N,MATCH($D3201,'Paramètres'!$M:$M,0))&amp;"",""))),$K3201,0))</f>
        <v/>
      </c>
      <c r="V3201" s="6" t="str">
        <f>IF(AND($A3201&lt;&gt;"",$O3201=1,$L3201="Débit",N($Q3201)&gt;0,$A3201&gt;=Visualisation!$B$1,$A3201&lt;Visualisation!$D$1),MAX($V$1:V3200)+1,"")</f>
        <v/>
      </c>
    </row>
    <row r="3202" spans="1:22" x14ac:dyDescent="0.25">
      <c r="A3202" s="9"/>
      <c r="E3202" s="10"/>
      <c r="K3202" s="11" t="str">
        <f>IF($E3202="","",ROUND($E3202*IF(ISNA(MATCH($C3202,'Paramètres'!$D:$D,0)),1,IF(INDEX('Paramètres'!$J:$J,MATCH($C3202,'Paramètres'!$D:$D,0))="",1,INDEX('Paramètres'!$J:$J,MATCH($C3202,'Paramètres'!$D:$D,0)))),2))</f>
        <v/>
      </c>
      <c r="L3202" s="6" t="str">
        <f>IF($D3202="","",IF($F3202&lt;&gt;"",$F3202,IF(ISNA(MATCH($D3202,'Paramètres'!$M:$M,0)),"⚠ Type inconnu",IFERROR(INDEX('Paramètres'!$P:$P,MATCH($D3202,'Paramètres'!$M:$M,0))&amp;"",""))))</f>
        <v/>
      </c>
      <c r="M3202" s="6" t="str">
        <f>IF($D3202="","",IF(ISNA(MATCH($D3202,'Paramètres'!$M:$M,0)),"⚠ Type inconnu",IF($L3202="Crédit","",IFERROR(INDEX('Paramètres'!$O:$O,MATCH($D3202,'Paramètres'!$M:$M,0))&amp;"",""))))</f>
        <v/>
      </c>
      <c r="N3202" s="6" t="str">
        <f>IF($D3202="","",IFERROR(INDEX('Paramètres'!$Q:$Q,MATCH($D3202,'Paramètres'!$M:$M,0))&amp;"",""))</f>
        <v/>
      </c>
      <c r="O3202" s="6" t="str">
        <f>IF($A3202="","",IF(OR($J3202&lt;&gt;"x",$A3202&lt;=FinReleve),1,0))</f>
        <v/>
      </c>
      <c r="P3202" s="6" t="str">
        <f>IF($D3202="","",IF(AND($L3202="Crédit",OR(IFERROR(INDEX('Paramètres'!$O:$O,MATCH($D3202,'Paramètres'!$M:$M,0))&amp;"","")&lt;&gt;"",ISNUMBER(SEARCH("remboursement",IFERROR(INDEX('Paramètres'!$N:$N,MATCH($D3202,'Paramètres'!$M:$M,0))&amp;"",""))))),1,0))</f>
        <v/>
      </c>
      <c r="Q3202" s="6" t="str">
        <f>IF($K3202="","",IF(ISNUMBER(SEARCH("transfert-interne",IFERROR(INDEX('Paramètres'!$N:$N,MATCH($D3202,'Paramètres'!$M:$M,0))&amp;"",""))),0,IF($L3202="Débit",$K3202,IF($P3202=1,-$K3202,0))))</f>
        <v/>
      </c>
      <c r="R3202" s="6" t="str">
        <f>IF($K3202="","",IF($L3202="Crédit",$K3202,-$K3202))</f>
        <v/>
      </c>
      <c r="S3202" s="6" t="str">
        <f>IF($C3202="","",IFERROR(INDEX('Paramètres'!$H:$H,MATCH($C3202,'Paramètres'!$D:$D,0))&amp;"",""))</f>
        <v/>
      </c>
      <c r="T3202" s="6" t="str">
        <f>IF($K3202="","",IF($S3202="",0,IF(ISNUMBER(SEARCH("apport-exterieur",IFERROR(INDEX('Paramètres'!$N:$N,MATCH($D3202,'Paramètres'!$M:$M,0))&amp;"",""))),0,IF(OR(IFERROR(INDEX('Paramètres'!$I:$I,MATCH($C3202,'Paramètres'!$D:$D,0))&amp;"","")="Les deux",IFERROR(INDEX('Paramètres'!$I:$I,MATCH($C3202,'Paramètres'!$D:$D,0))&amp;"","")=IF($P3202=1,"Débit",$L3202)),-IF($P3202=1,-$K3202,$K3202),0))))</f>
        <v/>
      </c>
      <c r="U3202" s="6" t="str">
        <f>IF($K3202="","",IF(ISNUMBER(SEARCH("sortie-epargne",IFERROR(INDEX('Paramètres'!$N:$N,MATCH($D3202,'Paramètres'!$M:$M,0))&amp;"",""))),$K3202,0))</f>
        <v/>
      </c>
      <c r="V3202" s="6" t="str">
        <f>IF(AND($A3202&lt;&gt;"",$O3202=1,$L3202="Débit",N($Q3202)&gt;0,$A3202&gt;=Visualisation!$B$1,$A3202&lt;Visualisation!$D$1),MAX($V$1:V3201)+1,"")</f>
        <v/>
      </c>
    </row>
    <row r="3203" spans="1:22" x14ac:dyDescent="0.25">
      <c r="A3203" s="9"/>
      <c r="E3203" s="10"/>
      <c r="K3203" s="11" t="str">
        <f>IF($E3203="","",ROUND($E3203*IF(ISNA(MATCH($C3203,'Paramètres'!$D:$D,0)),1,IF(INDEX('Paramètres'!$J:$J,MATCH($C3203,'Paramètres'!$D:$D,0))="",1,INDEX('Paramètres'!$J:$J,MATCH($C3203,'Paramètres'!$D:$D,0)))),2))</f>
        <v/>
      </c>
      <c r="L3203" s="6" t="str">
        <f>IF($D3203="","",IF($F3203&lt;&gt;"",$F3203,IF(ISNA(MATCH($D3203,'Paramètres'!$M:$M,0)),"⚠ Type inconnu",IFERROR(INDEX('Paramètres'!$P:$P,MATCH($D3203,'Paramètres'!$M:$M,0))&amp;"",""))))</f>
        <v/>
      </c>
      <c r="M3203" s="6" t="str">
        <f>IF($D3203="","",IF(ISNA(MATCH($D3203,'Paramètres'!$M:$M,0)),"⚠ Type inconnu",IF($L3203="Crédit","",IFERROR(INDEX('Paramètres'!$O:$O,MATCH($D3203,'Paramètres'!$M:$M,0))&amp;"",""))))</f>
        <v/>
      </c>
      <c r="N3203" s="6" t="str">
        <f>IF($D3203="","",IFERROR(INDEX('Paramètres'!$Q:$Q,MATCH($D3203,'Paramètres'!$M:$M,0))&amp;"",""))</f>
        <v/>
      </c>
      <c r="O3203" s="6" t="str">
        <f>IF($A3203="","",IF(OR($J3203&lt;&gt;"x",$A3203&lt;=FinReleve),1,0))</f>
        <v/>
      </c>
      <c r="P3203" s="6" t="str">
        <f>IF($D3203="","",IF(AND($L3203="Crédit",OR(IFERROR(INDEX('Paramètres'!$O:$O,MATCH($D3203,'Paramètres'!$M:$M,0))&amp;"","")&lt;&gt;"",ISNUMBER(SEARCH("remboursement",IFERROR(INDEX('Paramètres'!$N:$N,MATCH($D3203,'Paramètres'!$M:$M,0))&amp;"",""))))),1,0))</f>
        <v/>
      </c>
      <c r="Q3203" s="6" t="str">
        <f>IF($K3203="","",IF(ISNUMBER(SEARCH("transfert-interne",IFERROR(INDEX('Paramètres'!$N:$N,MATCH($D3203,'Paramètres'!$M:$M,0))&amp;"",""))),0,IF($L3203="Débit",$K3203,IF($P3203=1,-$K3203,0))))</f>
        <v/>
      </c>
      <c r="R3203" s="6" t="str">
        <f>IF($K3203="","",IF($L3203="Crédit",$K3203,-$K3203))</f>
        <v/>
      </c>
      <c r="S3203" s="6" t="str">
        <f>IF($C3203="","",IFERROR(INDEX('Paramètres'!$H:$H,MATCH($C3203,'Paramètres'!$D:$D,0))&amp;"",""))</f>
        <v/>
      </c>
      <c r="T3203" s="6" t="str">
        <f>IF($K3203="","",IF($S3203="",0,IF(ISNUMBER(SEARCH("apport-exterieur",IFERROR(INDEX('Paramètres'!$N:$N,MATCH($D3203,'Paramètres'!$M:$M,0))&amp;"",""))),0,IF(OR(IFERROR(INDEX('Paramètres'!$I:$I,MATCH($C3203,'Paramètres'!$D:$D,0))&amp;"","")="Les deux",IFERROR(INDEX('Paramètres'!$I:$I,MATCH($C3203,'Paramètres'!$D:$D,0))&amp;"","")=IF($P3203=1,"Débit",$L3203)),-IF($P3203=1,-$K3203,$K3203),0))))</f>
        <v/>
      </c>
      <c r="U3203" s="6" t="str">
        <f>IF($K3203="","",IF(ISNUMBER(SEARCH("sortie-epargne",IFERROR(INDEX('Paramètres'!$N:$N,MATCH($D3203,'Paramètres'!$M:$M,0))&amp;"",""))),$K3203,0))</f>
        <v/>
      </c>
      <c r="V3203" s="6" t="str">
        <f>IF(AND($A3203&lt;&gt;"",$O3203=1,$L3203="Débit",N($Q3203)&gt;0,$A3203&gt;=Visualisation!$B$1,$A3203&lt;Visualisation!$D$1),MAX($V$1:V3202)+1,"")</f>
        <v/>
      </c>
    </row>
    <row r="3204" spans="1:22" x14ac:dyDescent="0.25">
      <c r="A3204" s="9"/>
      <c r="E3204" s="10"/>
      <c r="K3204" s="11" t="str">
        <f>IF($E3204="","",ROUND($E3204*IF(ISNA(MATCH($C3204,'Paramètres'!$D:$D,0)),1,IF(INDEX('Paramètres'!$J:$J,MATCH($C3204,'Paramètres'!$D:$D,0))="",1,INDEX('Paramètres'!$J:$J,MATCH($C3204,'Paramètres'!$D:$D,0)))),2))</f>
        <v/>
      </c>
      <c r="L3204" s="6" t="str">
        <f>IF($D3204="","",IF($F3204&lt;&gt;"",$F3204,IF(ISNA(MATCH($D3204,'Paramètres'!$M:$M,0)),"⚠ Type inconnu",IFERROR(INDEX('Paramètres'!$P:$P,MATCH($D3204,'Paramètres'!$M:$M,0))&amp;"",""))))</f>
        <v/>
      </c>
      <c r="M3204" s="6" t="str">
        <f>IF($D3204="","",IF(ISNA(MATCH($D3204,'Paramètres'!$M:$M,0)),"⚠ Type inconnu",IF($L3204="Crédit","",IFERROR(INDEX('Paramètres'!$O:$O,MATCH($D3204,'Paramètres'!$M:$M,0))&amp;"",""))))</f>
        <v/>
      </c>
      <c r="N3204" s="6" t="str">
        <f>IF($D3204="","",IFERROR(INDEX('Paramètres'!$Q:$Q,MATCH($D3204,'Paramètres'!$M:$M,0))&amp;"",""))</f>
        <v/>
      </c>
      <c r="O3204" s="6" t="str">
        <f>IF($A3204="","",IF(OR($J3204&lt;&gt;"x",$A3204&lt;=FinReleve),1,0))</f>
        <v/>
      </c>
      <c r="P3204" s="6" t="str">
        <f>IF($D3204="","",IF(AND($L3204="Crédit",OR(IFERROR(INDEX('Paramètres'!$O:$O,MATCH($D3204,'Paramètres'!$M:$M,0))&amp;"","")&lt;&gt;"",ISNUMBER(SEARCH("remboursement",IFERROR(INDEX('Paramètres'!$N:$N,MATCH($D3204,'Paramètres'!$M:$M,0))&amp;"",""))))),1,0))</f>
        <v/>
      </c>
      <c r="Q3204" s="6" t="str">
        <f>IF($K3204="","",IF(ISNUMBER(SEARCH("transfert-interne",IFERROR(INDEX('Paramètres'!$N:$N,MATCH($D3204,'Paramètres'!$M:$M,0))&amp;"",""))),0,IF($L3204="Débit",$K3204,IF($P3204=1,-$K3204,0))))</f>
        <v/>
      </c>
      <c r="R3204" s="6" t="str">
        <f>IF($K3204="","",IF($L3204="Crédit",$K3204,-$K3204))</f>
        <v/>
      </c>
      <c r="S3204" s="6" t="str">
        <f>IF($C3204="","",IFERROR(INDEX('Paramètres'!$H:$H,MATCH($C3204,'Paramètres'!$D:$D,0))&amp;"",""))</f>
        <v/>
      </c>
      <c r="T3204" s="6" t="str">
        <f>IF($K3204="","",IF($S3204="",0,IF(ISNUMBER(SEARCH("apport-exterieur",IFERROR(INDEX('Paramètres'!$N:$N,MATCH($D3204,'Paramètres'!$M:$M,0))&amp;"",""))),0,IF(OR(IFERROR(INDEX('Paramètres'!$I:$I,MATCH($C3204,'Paramètres'!$D:$D,0))&amp;"","")="Les deux",IFERROR(INDEX('Paramètres'!$I:$I,MATCH($C3204,'Paramètres'!$D:$D,0))&amp;"","")=IF($P3204=1,"Débit",$L3204)),-IF($P3204=1,-$K3204,$K3204),0))))</f>
        <v/>
      </c>
      <c r="U3204" s="6" t="str">
        <f>IF($K3204="","",IF(ISNUMBER(SEARCH("sortie-epargne",IFERROR(INDEX('Paramètres'!$N:$N,MATCH($D3204,'Paramètres'!$M:$M,0))&amp;"",""))),$K3204,0))</f>
        <v/>
      </c>
      <c r="V3204" s="6" t="str">
        <f>IF(AND($A3204&lt;&gt;"",$O3204=1,$L3204="Débit",N($Q3204)&gt;0,$A3204&gt;=Visualisation!$B$1,$A3204&lt;Visualisation!$D$1),MAX($V$1:V3203)+1,"")</f>
        <v/>
      </c>
    </row>
    <row r="3205" spans="1:22" x14ac:dyDescent="0.25">
      <c r="A3205" s="9"/>
      <c r="E3205" s="10"/>
      <c r="K3205" s="11" t="str">
        <f>IF($E3205="","",ROUND($E3205*IF(ISNA(MATCH($C3205,'Paramètres'!$D:$D,0)),1,IF(INDEX('Paramètres'!$J:$J,MATCH($C3205,'Paramètres'!$D:$D,0))="",1,INDEX('Paramètres'!$J:$J,MATCH($C3205,'Paramètres'!$D:$D,0)))),2))</f>
        <v/>
      </c>
      <c r="L3205" s="6" t="str">
        <f>IF($D3205="","",IF($F3205&lt;&gt;"",$F3205,IF(ISNA(MATCH($D3205,'Paramètres'!$M:$M,0)),"⚠ Type inconnu",IFERROR(INDEX('Paramètres'!$P:$P,MATCH($D3205,'Paramètres'!$M:$M,0))&amp;"",""))))</f>
        <v/>
      </c>
      <c r="M3205" s="6" t="str">
        <f>IF($D3205="","",IF(ISNA(MATCH($D3205,'Paramètres'!$M:$M,0)),"⚠ Type inconnu",IF($L3205="Crédit","",IFERROR(INDEX('Paramètres'!$O:$O,MATCH($D3205,'Paramètres'!$M:$M,0))&amp;"",""))))</f>
        <v/>
      </c>
      <c r="N3205" s="6" t="str">
        <f>IF($D3205="","",IFERROR(INDEX('Paramètres'!$Q:$Q,MATCH($D3205,'Paramètres'!$M:$M,0))&amp;"",""))</f>
        <v/>
      </c>
      <c r="O3205" s="6" t="str">
        <f>IF($A3205="","",IF(OR($J3205&lt;&gt;"x",$A3205&lt;=FinReleve),1,0))</f>
        <v/>
      </c>
      <c r="P3205" s="6" t="str">
        <f>IF($D3205="","",IF(AND($L3205="Crédit",OR(IFERROR(INDEX('Paramètres'!$O:$O,MATCH($D3205,'Paramètres'!$M:$M,0))&amp;"","")&lt;&gt;"",ISNUMBER(SEARCH("remboursement",IFERROR(INDEX('Paramètres'!$N:$N,MATCH($D3205,'Paramètres'!$M:$M,0))&amp;"",""))))),1,0))</f>
        <v/>
      </c>
      <c r="Q3205" s="6" t="str">
        <f>IF($K3205="","",IF(ISNUMBER(SEARCH("transfert-interne",IFERROR(INDEX('Paramètres'!$N:$N,MATCH($D3205,'Paramètres'!$M:$M,0))&amp;"",""))),0,IF($L3205="Débit",$K3205,IF($P3205=1,-$K3205,0))))</f>
        <v/>
      </c>
      <c r="R3205" s="6" t="str">
        <f>IF($K3205="","",IF($L3205="Crédit",$K3205,-$K3205))</f>
        <v/>
      </c>
      <c r="S3205" s="6" t="str">
        <f>IF($C3205="","",IFERROR(INDEX('Paramètres'!$H:$H,MATCH($C3205,'Paramètres'!$D:$D,0))&amp;"",""))</f>
        <v/>
      </c>
      <c r="T3205" s="6" t="str">
        <f>IF($K3205="","",IF($S3205="",0,IF(ISNUMBER(SEARCH("apport-exterieur",IFERROR(INDEX('Paramètres'!$N:$N,MATCH($D3205,'Paramètres'!$M:$M,0))&amp;"",""))),0,IF(OR(IFERROR(INDEX('Paramètres'!$I:$I,MATCH($C3205,'Paramètres'!$D:$D,0))&amp;"","")="Les deux",IFERROR(INDEX('Paramètres'!$I:$I,MATCH($C3205,'Paramètres'!$D:$D,0))&amp;"","")=IF($P3205=1,"Débit",$L3205)),-IF($P3205=1,-$K3205,$K3205),0))))</f>
        <v/>
      </c>
      <c r="U3205" s="6" t="str">
        <f>IF($K3205="","",IF(ISNUMBER(SEARCH("sortie-epargne",IFERROR(INDEX('Paramètres'!$N:$N,MATCH($D3205,'Paramètres'!$M:$M,0))&amp;"",""))),$K3205,0))</f>
        <v/>
      </c>
      <c r="V3205" s="6" t="str">
        <f>IF(AND($A3205&lt;&gt;"",$O3205=1,$L3205="Débit",N($Q3205)&gt;0,$A3205&gt;=Visualisation!$B$1,$A3205&lt;Visualisation!$D$1),MAX($V$1:V3204)+1,"")</f>
        <v/>
      </c>
    </row>
    <row r="3206" spans="1:22" x14ac:dyDescent="0.25">
      <c r="A3206" s="9"/>
      <c r="E3206" s="10"/>
      <c r="K3206" s="11" t="str">
        <f>IF($E3206="","",ROUND($E3206*IF(ISNA(MATCH($C3206,'Paramètres'!$D:$D,0)),1,IF(INDEX('Paramètres'!$J:$J,MATCH($C3206,'Paramètres'!$D:$D,0))="",1,INDEX('Paramètres'!$J:$J,MATCH($C3206,'Paramètres'!$D:$D,0)))),2))</f>
        <v/>
      </c>
      <c r="L3206" s="6" t="str">
        <f>IF($D3206="","",IF($F3206&lt;&gt;"",$F3206,IF(ISNA(MATCH($D3206,'Paramètres'!$M:$M,0)),"⚠ Type inconnu",IFERROR(INDEX('Paramètres'!$P:$P,MATCH($D3206,'Paramètres'!$M:$M,0))&amp;"",""))))</f>
        <v/>
      </c>
      <c r="M3206" s="6" t="str">
        <f>IF($D3206="","",IF(ISNA(MATCH($D3206,'Paramètres'!$M:$M,0)),"⚠ Type inconnu",IF($L3206="Crédit","",IFERROR(INDEX('Paramètres'!$O:$O,MATCH($D3206,'Paramètres'!$M:$M,0))&amp;"",""))))</f>
        <v/>
      </c>
      <c r="N3206" s="6" t="str">
        <f>IF($D3206="","",IFERROR(INDEX('Paramètres'!$Q:$Q,MATCH($D3206,'Paramètres'!$M:$M,0))&amp;"",""))</f>
        <v/>
      </c>
      <c r="O3206" s="6" t="str">
        <f>IF($A3206="","",IF(OR($J3206&lt;&gt;"x",$A3206&lt;=FinReleve),1,0))</f>
        <v/>
      </c>
      <c r="P3206" s="6" t="str">
        <f>IF($D3206="","",IF(AND($L3206="Crédit",OR(IFERROR(INDEX('Paramètres'!$O:$O,MATCH($D3206,'Paramètres'!$M:$M,0))&amp;"","")&lt;&gt;"",ISNUMBER(SEARCH("remboursement",IFERROR(INDEX('Paramètres'!$N:$N,MATCH($D3206,'Paramètres'!$M:$M,0))&amp;"",""))))),1,0))</f>
        <v/>
      </c>
      <c r="Q3206" s="6" t="str">
        <f>IF($K3206="","",IF(ISNUMBER(SEARCH("transfert-interne",IFERROR(INDEX('Paramètres'!$N:$N,MATCH($D3206,'Paramètres'!$M:$M,0))&amp;"",""))),0,IF($L3206="Débit",$K3206,IF($P3206=1,-$K3206,0))))</f>
        <v/>
      </c>
      <c r="R3206" s="6" t="str">
        <f>IF($K3206="","",IF($L3206="Crédit",$K3206,-$K3206))</f>
        <v/>
      </c>
      <c r="S3206" s="6" t="str">
        <f>IF($C3206="","",IFERROR(INDEX('Paramètres'!$H:$H,MATCH($C3206,'Paramètres'!$D:$D,0))&amp;"",""))</f>
        <v/>
      </c>
      <c r="T3206" s="6" t="str">
        <f>IF($K3206="","",IF($S3206="",0,IF(ISNUMBER(SEARCH("apport-exterieur",IFERROR(INDEX('Paramètres'!$N:$N,MATCH($D3206,'Paramètres'!$M:$M,0))&amp;"",""))),0,IF(OR(IFERROR(INDEX('Paramètres'!$I:$I,MATCH($C3206,'Paramètres'!$D:$D,0))&amp;"","")="Les deux",IFERROR(INDEX('Paramètres'!$I:$I,MATCH($C3206,'Paramètres'!$D:$D,0))&amp;"","")=IF($P3206=1,"Débit",$L3206)),-IF($P3206=1,-$K3206,$K3206),0))))</f>
        <v/>
      </c>
      <c r="U3206" s="6" t="str">
        <f>IF($K3206="","",IF(ISNUMBER(SEARCH("sortie-epargne",IFERROR(INDEX('Paramètres'!$N:$N,MATCH($D3206,'Paramètres'!$M:$M,0))&amp;"",""))),$K3206,0))</f>
        <v/>
      </c>
      <c r="V3206" s="6" t="str">
        <f>IF(AND($A3206&lt;&gt;"",$O3206=1,$L3206="Débit",N($Q3206)&gt;0,$A3206&gt;=Visualisation!$B$1,$A3206&lt;Visualisation!$D$1),MAX($V$1:V3205)+1,"")</f>
        <v/>
      </c>
    </row>
    <row r="3207" spans="1:22" x14ac:dyDescent="0.25">
      <c r="A3207" s="9"/>
      <c r="E3207" s="10"/>
      <c r="K3207" s="11" t="str">
        <f>IF($E3207="","",ROUND($E3207*IF(ISNA(MATCH($C3207,'Paramètres'!$D:$D,0)),1,IF(INDEX('Paramètres'!$J:$J,MATCH($C3207,'Paramètres'!$D:$D,0))="",1,INDEX('Paramètres'!$J:$J,MATCH($C3207,'Paramètres'!$D:$D,0)))),2))</f>
        <v/>
      </c>
      <c r="L3207" s="6" t="str">
        <f>IF($D3207="","",IF($F3207&lt;&gt;"",$F3207,IF(ISNA(MATCH($D3207,'Paramètres'!$M:$M,0)),"⚠ Type inconnu",IFERROR(INDEX('Paramètres'!$P:$P,MATCH($D3207,'Paramètres'!$M:$M,0))&amp;"",""))))</f>
        <v/>
      </c>
      <c r="M3207" s="6" t="str">
        <f>IF($D3207="","",IF(ISNA(MATCH($D3207,'Paramètres'!$M:$M,0)),"⚠ Type inconnu",IF($L3207="Crédit","",IFERROR(INDEX('Paramètres'!$O:$O,MATCH($D3207,'Paramètres'!$M:$M,0))&amp;"",""))))</f>
        <v/>
      </c>
      <c r="N3207" s="6" t="str">
        <f>IF($D3207="","",IFERROR(INDEX('Paramètres'!$Q:$Q,MATCH($D3207,'Paramètres'!$M:$M,0))&amp;"",""))</f>
        <v/>
      </c>
      <c r="O3207" s="6" t="str">
        <f>IF($A3207="","",IF(OR($J3207&lt;&gt;"x",$A3207&lt;=FinReleve),1,0))</f>
        <v/>
      </c>
      <c r="P3207" s="6" t="str">
        <f>IF($D3207="","",IF(AND($L3207="Crédit",OR(IFERROR(INDEX('Paramètres'!$O:$O,MATCH($D3207,'Paramètres'!$M:$M,0))&amp;"","")&lt;&gt;"",ISNUMBER(SEARCH("remboursement",IFERROR(INDEX('Paramètres'!$N:$N,MATCH($D3207,'Paramètres'!$M:$M,0))&amp;"",""))))),1,0))</f>
        <v/>
      </c>
      <c r="Q3207" s="6" t="str">
        <f>IF($K3207="","",IF(ISNUMBER(SEARCH("transfert-interne",IFERROR(INDEX('Paramètres'!$N:$N,MATCH($D3207,'Paramètres'!$M:$M,0))&amp;"",""))),0,IF($L3207="Débit",$K3207,IF($P3207=1,-$K3207,0))))</f>
        <v/>
      </c>
      <c r="R3207" s="6" t="str">
        <f>IF($K3207="","",IF($L3207="Crédit",$K3207,-$K3207))</f>
        <v/>
      </c>
      <c r="S3207" s="6" t="str">
        <f>IF($C3207="","",IFERROR(INDEX('Paramètres'!$H:$H,MATCH($C3207,'Paramètres'!$D:$D,0))&amp;"",""))</f>
        <v/>
      </c>
      <c r="T3207" s="6" t="str">
        <f>IF($K3207="","",IF($S3207="",0,IF(ISNUMBER(SEARCH("apport-exterieur",IFERROR(INDEX('Paramètres'!$N:$N,MATCH($D3207,'Paramètres'!$M:$M,0))&amp;"",""))),0,IF(OR(IFERROR(INDEX('Paramètres'!$I:$I,MATCH($C3207,'Paramètres'!$D:$D,0))&amp;"","")="Les deux",IFERROR(INDEX('Paramètres'!$I:$I,MATCH($C3207,'Paramètres'!$D:$D,0))&amp;"","")=IF($P3207=1,"Débit",$L3207)),-IF($P3207=1,-$K3207,$K3207),0))))</f>
        <v/>
      </c>
      <c r="U3207" s="6" t="str">
        <f>IF($K3207="","",IF(ISNUMBER(SEARCH("sortie-epargne",IFERROR(INDEX('Paramètres'!$N:$N,MATCH($D3207,'Paramètres'!$M:$M,0))&amp;"",""))),$K3207,0))</f>
        <v/>
      </c>
      <c r="V3207" s="6" t="str">
        <f>IF(AND($A3207&lt;&gt;"",$O3207=1,$L3207="Débit",N($Q3207)&gt;0,$A3207&gt;=Visualisation!$B$1,$A3207&lt;Visualisation!$D$1),MAX($V$1:V3206)+1,"")</f>
        <v/>
      </c>
    </row>
    <row r="3208" spans="1:22" x14ac:dyDescent="0.25">
      <c r="A3208" s="9"/>
      <c r="E3208" s="10"/>
      <c r="K3208" s="11" t="str">
        <f>IF($E3208="","",ROUND($E3208*IF(ISNA(MATCH($C3208,'Paramètres'!$D:$D,0)),1,IF(INDEX('Paramètres'!$J:$J,MATCH($C3208,'Paramètres'!$D:$D,0))="",1,INDEX('Paramètres'!$J:$J,MATCH($C3208,'Paramètres'!$D:$D,0)))),2))</f>
        <v/>
      </c>
      <c r="L3208" s="6" t="str">
        <f>IF($D3208="","",IF($F3208&lt;&gt;"",$F3208,IF(ISNA(MATCH($D3208,'Paramètres'!$M:$M,0)),"⚠ Type inconnu",IFERROR(INDEX('Paramètres'!$P:$P,MATCH($D3208,'Paramètres'!$M:$M,0))&amp;"",""))))</f>
        <v/>
      </c>
      <c r="M3208" s="6" t="str">
        <f>IF($D3208="","",IF(ISNA(MATCH($D3208,'Paramètres'!$M:$M,0)),"⚠ Type inconnu",IF($L3208="Crédit","",IFERROR(INDEX('Paramètres'!$O:$O,MATCH($D3208,'Paramètres'!$M:$M,0))&amp;"",""))))</f>
        <v/>
      </c>
      <c r="N3208" s="6" t="str">
        <f>IF($D3208="","",IFERROR(INDEX('Paramètres'!$Q:$Q,MATCH($D3208,'Paramètres'!$M:$M,0))&amp;"",""))</f>
        <v/>
      </c>
      <c r="O3208" s="6" t="str">
        <f>IF($A3208="","",IF(OR($J3208&lt;&gt;"x",$A3208&lt;=FinReleve),1,0))</f>
        <v/>
      </c>
      <c r="P3208" s="6" t="str">
        <f>IF($D3208="","",IF(AND($L3208="Crédit",OR(IFERROR(INDEX('Paramètres'!$O:$O,MATCH($D3208,'Paramètres'!$M:$M,0))&amp;"","")&lt;&gt;"",ISNUMBER(SEARCH("remboursement",IFERROR(INDEX('Paramètres'!$N:$N,MATCH($D3208,'Paramètres'!$M:$M,0))&amp;"",""))))),1,0))</f>
        <v/>
      </c>
      <c r="Q3208" s="6" t="str">
        <f>IF($K3208="","",IF(ISNUMBER(SEARCH("transfert-interne",IFERROR(INDEX('Paramètres'!$N:$N,MATCH($D3208,'Paramètres'!$M:$M,0))&amp;"",""))),0,IF($L3208="Débit",$K3208,IF($P3208=1,-$K3208,0))))</f>
        <v/>
      </c>
      <c r="R3208" s="6" t="str">
        <f>IF($K3208="","",IF($L3208="Crédit",$K3208,-$K3208))</f>
        <v/>
      </c>
      <c r="S3208" s="6" t="str">
        <f>IF($C3208="","",IFERROR(INDEX('Paramètres'!$H:$H,MATCH($C3208,'Paramètres'!$D:$D,0))&amp;"",""))</f>
        <v/>
      </c>
      <c r="T3208" s="6" t="str">
        <f>IF($K3208="","",IF($S3208="",0,IF(ISNUMBER(SEARCH("apport-exterieur",IFERROR(INDEX('Paramètres'!$N:$N,MATCH($D3208,'Paramètres'!$M:$M,0))&amp;"",""))),0,IF(OR(IFERROR(INDEX('Paramètres'!$I:$I,MATCH($C3208,'Paramètres'!$D:$D,0))&amp;"","")="Les deux",IFERROR(INDEX('Paramètres'!$I:$I,MATCH($C3208,'Paramètres'!$D:$D,0))&amp;"","")=IF($P3208=1,"Débit",$L3208)),-IF($P3208=1,-$K3208,$K3208),0))))</f>
        <v/>
      </c>
      <c r="U3208" s="6" t="str">
        <f>IF($K3208="","",IF(ISNUMBER(SEARCH("sortie-epargne",IFERROR(INDEX('Paramètres'!$N:$N,MATCH($D3208,'Paramètres'!$M:$M,0))&amp;"",""))),$K3208,0))</f>
        <v/>
      </c>
      <c r="V3208" s="6" t="str">
        <f>IF(AND($A3208&lt;&gt;"",$O3208=1,$L3208="Débit",N($Q3208)&gt;0,$A3208&gt;=Visualisation!$B$1,$A3208&lt;Visualisation!$D$1),MAX($V$1:V3207)+1,"")</f>
        <v/>
      </c>
    </row>
    <row r="3209" spans="1:22" x14ac:dyDescent="0.25">
      <c r="A3209" s="9"/>
      <c r="E3209" s="10"/>
      <c r="K3209" s="11" t="str">
        <f>IF($E3209="","",ROUND($E3209*IF(ISNA(MATCH($C3209,'Paramètres'!$D:$D,0)),1,IF(INDEX('Paramètres'!$J:$J,MATCH($C3209,'Paramètres'!$D:$D,0))="",1,INDEX('Paramètres'!$J:$J,MATCH($C3209,'Paramètres'!$D:$D,0)))),2))</f>
        <v/>
      </c>
      <c r="L3209" s="6" t="str">
        <f>IF($D3209="","",IF($F3209&lt;&gt;"",$F3209,IF(ISNA(MATCH($D3209,'Paramètres'!$M:$M,0)),"⚠ Type inconnu",IFERROR(INDEX('Paramètres'!$P:$P,MATCH($D3209,'Paramètres'!$M:$M,0))&amp;"",""))))</f>
        <v/>
      </c>
      <c r="M3209" s="6" t="str">
        <f>IF($D3209="","",IF(ISNA(MATCH($D3209,'Paramètres'!$M:$M,0)),"⚠ Type inconnu",IF($L3209="Crédit","",IFERROR(INDEX('Paramètres'!$O:$O,MATCH($D3209,'Paramètres'!$M:$M,0))&amp;"",""))))</f>
        <v/>
      </c>
      <c r="N3209" s="6" t="str">
        <f>IF($D3209="","",IFERROR(INDEX('Paramètres'!$Q:$Q,MATCH($D3209,'Paramètres'!$M:$M,0))&amp;"",""))</f>
        <v/>
      </c>
      <c r="O3209" s="6" t="str">
        <f>IF($A3209="","",IF(OR($J3209&lt;&gt;"x",$A3209&lt;=FinReleve),1,0))</f>
        <v/>
      </c>
      <c r="P3209" s="6" t="str">
        <f>IF($D3209="","",IF(AND($L3209="Crédit",OR(IFERROR(INDEX('Paramètres'!$O:$O,MATCH($D3209,'Paramètres'!$M:$M,0))&amp;"","")&lt;&gt;"",ISNUMBER(SEARCH("remboursement",IFERROR(INDEX('Paramètres'!$N:$N,MATCH($D3209,'Paramètres'!$M:$M,0))&amp;"",""))))),1,0))</f>
        <v/>
      </c>
      <c r="Q3209" s="6" t="str">
        <f>IF($K3209="","",IF(ISNUMBER(SEARCH("transfert-interne",IFERROR(INDEX('Paramètres'!$N:$N,MATCH($D3209,'Paramètres'!$M:$M,0))&amp;"",""))),0,IF($L3209="Débit",$K3209,IF($P3209=1,-$K3209,0))))</f>
        <v/>
      </c>
      <c r="R3209" s="6" t="str">
        <f>IF($K3209="","",IF($L3209="Crédit",$K3209,-$K3209))</f>
        <v/>
      </c>
      <c r="S3209" s="6" t="str">
        <f>IF($C3209="","",IFERROR(INDEX('Paramètres'!$H:$H,MATCH($C3209,'Paramètres'!$D:$D,0))&amp;"",""))</f>
        <v/>
      </c>
      <c r="T3209" s="6" t="str">
        <f>IF($K3209="","",IF($S3209="",0,IF(ISNUMBER(SEARCH("apport-exterieur",IFERROR(INDEX('Paramètres'!$N:$N,MATCH($D3209,'Paramètres'!$M:$M,0))&amp;"",""))),0,IF(OR(IFERROR(INDEX('Paramètres'!$I:$I,MATCH($C3209,'Paramètres'!$D:$D,0))&amp;"","")="Les deux",IFERROR(INDEX('Paramètres'!$I:$I,MATCH($C3209,'Paramètres'!$D:$D,0))&amp;"","")=IF($P3209=1,"Débit",$L3209)),-IF($P3209=1,-$K3209,$K3209),0))))</f>
        <v/>
      </c>
      <c r="U3209" s="6" t="str">
        <f>IF($K3209="","",IF(ISNUMBER(SEARCH("sortie-epargne",IFERROR(INDEX('Paramètres'!$N:$N,MATCH($D3209,'Paramètres'!$M:$M,0))&amp;"",""))),$K3209,0))</f>
        <v/>
      </c>
      <c r="V3209" s="6" t="str">
        <f>IF(AND($A3209&lt;&gt;"",$O3209=1,$L3209="Débit",N($Q3209)&gt;0,$A3209&gt;=Visualisation!$B$1,$A3209&lt;Visualisation!$D$1),MAX($V$1:V3208)+1,"")</f>
        <v/>
      </c>
    </row>
    <row r="3210" spans="1:22" x14ac:dyDescent="0.25">
      <c r="A3210" s="9"/>
      <c r="E3210" s="10"/>
      <c r="K3210" s="11" t="str">
        <f>IF($E3210="","",ROUND($E3210*IF(ISNA(MATCH($C3210,'Paramètres'!$D:$D,0)),1,IF(INDEX('Paramètres'!$J:$J,MATCH($C3210,'Paramètres'!$D:$D,0))="",1,INDEX('Paramètres'!$J:$J,MATCH($C3210,'Paramètres'!$D:$D,0)))),2))</f>
        <v/>
      </c>
      <c r="L3210" s="6" t="str">
        <f>IF($D3210="","",IF($F3210&lt;&gt;"",$F3210,IF(ISNA(MATCH($D3210,'Paramètres'!$M:$M,0)),"⚠ Type inconnu",IFERROR(INDEX('Paramètres'!$P:$P,MATCH($D3210,'Paramètres'!$M:$M,0))&amp;"",""))))</f>
        <v/>
      </c>
      <c r="M3210" s="6" t="str">
        <f>IF($D3210="","",IF(ISNA(MATCH($D3210,'Paramètres'!$M:$M,0)),"⚠ Type inconnu",IF($L3210="Crédit","",IFERROR(INDEX('Paramètres'!$O:$O,MATCH($D3210,'Paramètres'!$M:$M,0))&amp;"",""))))</f>
        <v/>
      </c>
      <c r="N3210" s="6" t="str">
        <f>IF($D3210="","",IFERROR(INDEX('Paramètres'!$Q:$Q,MATCH($D3210,'Paramètres'!$M:$M,0))&amp;"",""))</f>
        <v/>
      </c>
      <c r="O3210" s="6" t="str">
        <f>IF($A3210="","",IF(OR($J3210&lt;&gt;"x",$A3210&lt;=FinReleve),1,0))</f>
        <v/>
      </c>
      <c r="P3210" s="6" t="str">
        <f>IF($D3210="","",IF(AND($L3210="Crédit",OR(IFERROR(INDEX('Paramètres'!$O:$O,MATCH($D3210,'Paramètres'!$M:$M,0))&amp;"","")&lt;&gt;"",ISNUMBER(SEARCH("remboursement",IFERROR(INDEX('Paramètres'!$N:$N,MATCH($D3210,'Paramètres'!$M:$M,0))&amp;"",""))))),1,0))</f>
        <v/>
      </c>
      <c r="Q3210" s="6" t="str">
        <f>IF($K3210="","",IF(ISNUMBER(SEARCH("transfert-interne",IFERROR(INDEX('Paramètres'!$N:$N,MATCH($D3210,'Paramètres'!$M:$M,0))&amp;"",""))),0,IF($L3210="Débit",$K3210,IF($P3210=1,-$K3210,0))))</f>
        <v/>
      </c>
      <c r="R3210" s="6" t="str">
        <f>IF($K3210="","",IF($L3210="Crédit",$K3210,-$K3210))</f>
        <v/>
      </c>
      <c r="S3210" s="6" t="str">
        <f>IF($C3210="","",IFERROR(INDEX('Paramètres'!$H:$H,MATCH($C3210,'Paramètres'!$D:$D,0))&amp;"",""))</f>
        <v/>
      </c>
      <c r="T3210" s="6" t="str">
        <f>IF($K3210="","",IF($S3210="",0,IF(ISNUMBER(SEARCH("apport-exterieur",IFERROR(INDEX('Paramètres'!$N:$N,MATCH($D3210,'Paramètres'!$M:$M,0))&amp;"",""))),0,IF(OR(IFERROR(INDEX('Paramètres'!$I:$I,MATCH($C3210,'Paramètres'!$D:$D,0))&amp;"","")="Les deux",IFERROR(INDEX('Paramètres'!$I:$I,MATCH($C3210,'Paramètres'!$D:$D,0))&amp;"","")=IF($P3210=1,"Débit",$L3210)),-IF($P3210=1,-$K3210,$K3210),0))))</f>
        <v/>
      </c>
      <c r="U3210" s="6" t="str">
        <f>IF($K3210="","",IF(ISNUMBER(SEARCH("sortie-epargne",IFERROR(INDEX('Paramètres'!$N:$N,MATCH($D3210,'Paramètres'!$M:$M,0))&amp;"",""))),$K3210,0))</f>
        <v/>
      </c>
      <c r="V3210" s="6" t="str">
        <f>IF(AND($A3210&lt;&gt;"",$O3210=1,$L3210="Débit",N($Q3210)&gt;0,$A3210&gt;=Visualisation!$B$1,$A3210&lt;Visualisation!$D$1),MAX($V$1:V3209)+1,"")</f>
        <v/>
      </c>
    </row>
    <row r="3211" spans="1:22" x14ac:dyDescent="0.25">
      <c r="A3211" s="9"/>
      <c r="E3211" s="10"/>
      <c r="K3211" s="11" t="str">
        <f>IF($E3211="","",ROUND($E3211*IF(ISNA(MATCH($C3211,'Paramètres'!$D:$D,0)),1,IF(INDEX('Paramètres'!$J:$J,MATCH($C3211,'Paramètres'!$D:$D,0))="",1,INDEX('Paramètres'!$J:$J,MATCH($C3211,'Paramètres'!$D:$D,0)))),2))</f>
        <v/>
      </c>
      <c r="L3211" s="6" t="str">
        <f>IF($D3211="","",IF($F3211&lt;&gt;"",$F3211,IF(ISNA(MATCH($D3211,'Paramètres'!$M:$M,0)),"⚠ Type inconnu",IFERROR(INDEX('Paramètres'!$P:$P,MATCH($D3211,'Paramètres'!$M:$M,0))&amp;"",""))))</f>
        <v/>
      </c>
      <c r="M3211" s="6" t="str">
        <f>IF($D3211="","",IF(ISNA(MATCH($D3211,'Paramètres'!$M:$M,0)),"⚠ Type inconnu",IF($L3211="Crédit","",IFERROR(INDEX('Paramètres'!$O:$O,MATCH($D3211,'Paramètres'!$M:$M,0))&amp;"",""))))</f>
        <v/>
      </c>
      <c r="N3211" s="6" t="str">
        <f>IF($D3211="","",IFERROR(INDEX('Paramètres'!$Q:$Q,MATCH($D3211,'Paramètres'!$M:$M,0))&amp;"",""))</f>
        <v/>
      </c>
      <c r="O3211" s="6" t="str">
        <f>IF($A3211="","",IF(OR($J3211&lt;&gt;"x",$A3211&lt;=FinReleve),1,0))</f>
        <v/>
      </c>
      <c r="P3211" s="6" t="str">
        <f>IF($D3211="","",IF(AND($L3211="Crédit",OR(IFERROR(INDEX('Paramètres'!$O:$O,MATCH($D3211,'Paramètres'!$M:$M,0))&amp;"","")&lt;&gt;"",ISNUMBER(SEARCH("remboursement",IFERROR(INDEX('Paramètres'!$N:$N,MATCH($D3211,'Paramètres'!$M:$M,0))&amp;"",""))))),1,0))</f>
        <v/>
      </c>
      <c r="Q3211" s="6" t="str">
        <f>IF($K3211="","",IF(ISNUMBER(SEARCH("transfert-interne",IFERROR(INDEX('Paramètres'!$N:$N,MATCH($D3211,'Paramètres'!$M:$M,0))&amp;"",""))),0,IF($L3211="Débit",$K3211,IF($P3211=1,-$K3211,0))))</f>
        <v/>
      </c>
      <c r="R3211" s="6" t="str">
        <f>IF($K3211="","",IF($L3211="Crédit",$K3211,-$K3211))</f>
        <v/>
      </c>
      <c r="S3211" s="6" t="str">
        <f>IF($C3211="","",IFERROR(INDEX('Paramètres'!$H:$H,MATCH($C3211,'Paramètres'!$D:$D,0))&amp;"",""))</f>
        <v/>
      </c>
      <c r="T3211" s="6" t="str">
        <f>IF($K3211="","",IF($S3211="",0,IF(ISNUMBER(SEARCH("apport-exterieur",IFERROR(INDEX('Paramètres'!$N:$N,MATCH($D3211,'Paramètres'!$M:$M,0))&amp;"",""))),0,IF(OR(IFERROR(INDEX('Paramètres'!$I:$I,MATCH($C3211,'Paramètres'!$D:$D,0))&amp;"","")="Les deux",IFERROR(INDEX('Paramètres'!$I:$I,MATCH($C3211,'Paramètres'!$D:$D,0))&amp;"","")=IF($P3211=1,"Débit",$L3211)),-IF($P3211=1,-$K3211,$K3211),0))))</f>
        <v/>
      </c>
      <c r="U3211" s="6" t="str">
        <f>IF($K3211="","",IF(ISNUMBER(SEARCH("sortie-epargne",IFERROR(INDEX('Paramètres'!$N:$N,MATCH($D3211,'Paramètres'!$M:$M,0))&amp;"",""))),$K3211,0))</f>
        <v/>
      </c>
      <c r="V3211" s="6" t="str">
        <f>IF(AND($A3211&lt;&gt;"",$O3211=1,$L3211="Débit",N($Q3211)&gt;0,$A3211&gt;=Visualisation!$B$1,$A3211&lt;Visualisation!$D$1),MAX($V$1:V3210)+1,"")</f>
        <v/>
      </c>
    </row>
    <row r="3212" spans="1:22" x14ac:dyDescent="0.25">
      <c r="A3212" s="9"/>
      <c r="E3212" s="10"/>
      <c r="K3212" s="11" t="str">
        <f>IF($E3212="","",ROUND($E3212*IF(ISNA(MATCH($C3212,'Paramètres'!$D:$D,0)),1,IF(INDEX('Paramètres'!$J:$J,MATCH($C3212,'Paramètres'!$D:$D,0))="",1,INDEX('Paramètres'!$J:$J,MATCH($C3212,'Paramètres'!$D:$D,0)))),2))</f>
        <v/>
      </c>
      <c r="L3212" s="6" t="str">
        <f>IF($D3212="","",IF($F3212&lt;&gt;"",$F3212,IF(ISNA(MATCH($D3212,'Paramètres'!$M:$M,0)),"⚠ Type inconnu",IFERROR(INDEX('Paramètres'!$P:$P,MATCH($D3212,'Paramètres'!$M:$M,0))&amp;"",""))))</f>
        <v/>
      </c>
      <c r="M3212" s="6" t="str">
        <f>IF($D3212="","",IF(ISNA(MATCH($D3212,'Paramètres'!$M:$M,0)),"⚠ Type inconnu",IF($L3212="Crédit","",IFERROR(INDEX('Paramètres'!$O:$O,MATCH($D3212,'Paramètres'!$M:$M,0))&amp;"",""))))</f>
        <v/>
      </c>
      <c r="N3212" s="6" t="str">
        <f>IF($D3212="","",IFERROR(INDEX('Paramètres'!$Q:$Q,MATCH($D3212,'Paramètres'!$M:$M,0))&amp;"",""))</f>
        <v/>
      </c>
      <c r="O3212" s="6" t="str">
        <f>IF($A3212="","",IF(OR($J3212&lt;&gt;"x",$A3212&lt;=FinReleve),1,0))</f>
        <v/>
      </c>
      <c r="P3212" s="6" t="str">
        <f>IF($D3212="","",IF(AND($L3212="Crédit",OR(IFERROR(INDEX('Paramètres'!$O:$O,MATCH($D3212,'Paramètres'!$M:$M,0))&amp;"","")&lt;&gt;"",ISNUMBER(SEARCH("remboursement",IFERROR(INDEX('Paramètres'!$N:$N,MATCH($D3212,'Paramètres'!$M:$M,0))&amp;"",""))))),1,0))</f>
        <v/>
      </c>
      <c r="Q3212" s="6" t="str">
        <f>IF($K3212="","",IF(ISNUMBER(SEARCH("transfert-interne",IFERROR(INDEX('Paramètres'!$N:$N,MATCH($D3212,'Paramètres'!$M:$M,0))&amp;"",""))),0,IF($L3212="Débit",$K3212,IF($P3212=1,-$K3212,0))))</f>
        <v/>
      </c>
      <c r="R3212" s="6" t="str">
        <f>IF($K3212="","",IF($L3212="Crédit",$K3212,-$K3212))</f>
        <v/>
      </c>
      <c r="S3212" s="6" t="str">
        <f>IF($C3212="","",IFERROR(INDEX('Paramètres'!$H:$H,MATCH($C3212,'Paramètres'!$D:$D,0))&amp;"",""))</f>
        <v/>
      </c>
      <c r="T3212" s="6" t="str">
        <f>IF($K3212="","",IF($S3212="",0,IF(ISNUMBER(SEARCH("apport-exterieur",IFERROR(INDEX('Paramètres'!$N:$N,MATCH($D3212,'Paramètres'!$M:$M,0))&amp;"",""))),0,IF(OR(IFERROR(INDEX('Paramètres'!$I:$I,MATCH($C3212,'Paramètres'!$D:$D,0))&amp;"","")="Les deux",IFERROR(INDEX('Paramètres'!$I:$I,MATCH($C3212,'Paramètres'!$D:$D,0))&amp;"","")=IF($P3212=1,"Débit",$L3212)),-IF($P3212=1,-$K3212,$K3212),0))))</f>
        <v/>
      </c>
      <c r="U3212" s="6" t="str">
        <f>IF($K3212="","",IF(ISNUMBER(SEARCH("sortie-epargne",IFERROR(INDEX('Paramètres'!$N:$N,MATCH($D3212,'Paramètres'!$M:$M,0))&amp;"",""))),$K3212,0))</f>
        <v/>
      </c>
      <c r="V3212" s="6" t="str">
        <f>IF(AND($A3212&lt;&gt;"",$O3212=1,$L3212="Débit",N($Q3212)&gt;0,$A3212&gt;=Visualisation!$B$1,$A3212&lt;Visualisation!$D$1),MAX($V$1:V3211)+1,"")</f>
        <v/>
      </c>
    </row>
    <row r="3213" spans="1:22" x14ac:dyDescent="0.25">
      <c r="A3213" s="9"/>
      <c r="E3213" s="10"/>
      <c r="K3213" s="11" t="str">
        <f>IF($E3213="","",ROUND($E3213*IF(ISNA(MATCH($C3213,'Paramètres'!$D:$D,0)),1,IF(INDEX('Paramètres'!$J:$J,MATCH($C3213,'Paramètres'!$D:$D,0))="",1,INDEX('Paramètres'!$J:$J,MATCH($C3213,'Paramètres'!$D:$D,0)))),2))</f>
        <v/>
      </c>
      <c r="L3213" s="6" t="str">
        <f>IF($D3213="","",IF($F3213&lt;&gt;"",$F3213,IF(ISNA(MATCH($D3213,'Paramètres'!$M:$M,0)),"⚠ Type inconnu",IFERROR(INDEX('Paramètres'!$P:$P,MATCH($D3213,'Paramètres'!$M:$M,0))&amp;"",""))))</f>
        <v/>
      </c>
      <c r="M3213" s="6" t="str">
        <f>IF($D3213="","",IF(ISNA(MATCH($D3213,'Paramètres'!$M:$M,0)),"⚠ Type inconnu",IF($L3213="Crédit","",IFERROR(INDEX('Paramètres'!$O:$O,MATCH($D3213,'Paramètres'!$M:$M,0))&amp;"",""))))</f>
        <v/>
      </c>
      <c r="N3213" s="6" t="str">
        <f>IF($D3213="","",IFERROR(INDEX('Paramètres'!$Q:$Q,MATCH($D3213,'Paramètres'!$M:$M,0))&amp;"",""))</f>
        <v/>
      </c>
      <c r="O3213" s="6" t="str">
        <f>IF($A3213="","",IF(OR($J3213&lt;&gt;"x",$A3213&lt;=FinReleve),1,0))</f>
        <v/>
      </c>
      <c r="P3213" s="6" t="str">
        <f>IF($D3213="","",IF(AND($L3213="Crédit",OR(IFERROR(INDEX('Paramètres'!$O:$O,MATCH($D3213,'Paramètres'!$M:$M,0))&amp;"","")&lt;&gt;"",ISNUMBER(SEARCH("remboursement",IFERROR(INDEX('Paramètres'!$N:$N,MATCH($D3213,'Paramètres'!$M:$M,0))&amp;"",""))))),1,0))</f>
        <v/>
      </c>
      <c r="Q3213" s="6" t="str">
        <f>IF($K3213="","",IF(ISNUMBER(SEARCH("transfert-interne",IFERROR(INDEX('Paramètres'!$N:$N,MATCH($D3213,'Paramètres'!$M:$M,0))&amp;"",""))),0,IF($L3213="Débit",$K3213,IF($P3213=1,-$K3213,0))))</f>
        <v/>
      </c>
      <c r="R3213" s="6" t="str">
        <f>IF($K3213="","",IF($L3213="Crédit",$K3213,-$K3213))</f>
        <v/>
      </c>
      <c r="S3213" s="6" t="str">
        <f>IF($C3213="","",IFERROR(INDEX('Paramètres'!$H:$H,MATCH($C3213,'Paramètres'!$D:$D,0))&amp;"",""))</f>
        <v/>
      </c>
      <c r="T3213" s="6" t="str">
        <f>IF($K3213="","",IF($S3213="",0,IF(ISNUMBER(SEARCH("apport-exterieur",IFERROR(INDEX('Paramètres'!$N:$N,MATCH($D3213,'Paramètres'!$M:$M,0))&amp;"",""))),0,IF(OR(IFERROR(INDEX('Paramètres'!$I:$I,MATCH($C3213,'Paramètres'!$D:$D,0))&amp;"","")="Les deux",IFERROR(INDEX('Paramètres'!$I:$I,MATCH($C3213,'Paramètres'!$D:$D,0))&amp;"","")=IF($P3213=1,"Débit",$L3213)),-IF($P3213=1,-$K3213,$K3213),0))))</f>
        <v/>
      </c>
      <c r="U3213" s="6" t="str">
        <f>IF($K3213="","",IF(ISNUMBER(SEARCH("sortie-epargne",IFERROR(INDEX('Paramètres'!$N:$N,MATCH($D3213,'Paramètres'!$M:$M,0))&amp;"",""))),$K3213,0))</f>
        <v/>
      </c>
      <c r="V3213" s="6" t="str">
        <f>IF(AND($A3213&lt;&gt;"",$O3213=1,$L3213="Débit",N($Q3213)&gt;0,$A3213&gt;=Visualisation!$B$1,$A3213&lt;Visualisation!$D$1),MAX($V$1:V3212)+1,"")</f>
        <v/>
      </c>
    </row>
    <row r="3214" spans="1:22" x14ac:dyDescent="0.25">
      <c r="A3214" s="9"/>
      <c r="E3214" s="10"/>
      <c r="K3214" s="11" t="str">
        <f>IF($E3214="","",ROUND($E3214*IF(ISNA(MATCH($C3214,'Paramètres'!$D:$D,0)),1,IF(INDEX('Paramètres'!$J:$J,MATCH($C3214,'Paramètres'!$D:$D,0))="",1,INDEX('Paramètres'!$J:$J,MATCH($C3214,'Paramètres'!$D:$D,0)))),2))</f>
        <v/>
      </c>
      <c r="L3214" s="6" t="str">
        <f>IF($D3214="","",IF($F3214&lt;&gt;"",$F3214,IF(ISNA(MATCH($D3214,'Paramètres'!$M:$M,0)),"⚠ Type inconnu",IFERROR(INDEX('Paramètres'!$P:$P,MATCH($D3214,'Paramètres'!$M:$M,0))&amp;"",""))))</f>
        <v/>
      </c>
      <c r="M3214" s="6" t="str">
        <f>IF($D3214="","",IF(ISNA(MATCH($D3214,'Paramètres'!$M:$M,0)),"⚠ Type inconnu",IF($L3214="Crédit","",IFERROR(INDEX('Paramètres'!$O:$O,MATCH($D3214,'Paramètres'!$M:$M,0))&amp;"",""))))</f>
        <v/>
      </c>
      <c r="N3214" s="6" t="str">
        <f>IF($D3214="","",IFERROR(INDEX('Paramètres'!$Q:$Q,MATCH($D3214,'Paramètres'!$M:$M,0))&amp;"",""))</f>
        <v/>
      </c>
      <c r="O3214" s="6" t="str">
        <f>IF($A3214="","",IF(OR($J3214&lt;&gt;"x",$A3214&lt;=FinReleve),1,0))</f>
        <v/>
      </c>
      <c r="P3214" s="6" t="str">
        <f>IF($D3214="","",IF(AND($L3214="Crédit",OR(IFERROR(INDEX('Paramètres'!$O:$O,MATCH($D3214,'Paramètres'!$M:$M,0))&amp;"","")&lt;&gt;"",ISNUMBER(SEARCH("remboursement",IFERROR(INDEX('Paramètres'!$N:$N,MATCH($D3214,'Paramètres'!$M:$M,0))&amp;"",""))))),1,0))</f>
        <v/>
      </c>
      <c r="Q3214" s="6" t="str">
        <f>IF($K3214="","",IF(ISNUMBER(SEARCH("transfert-interne",IFERROR(INDEX('Paramètres'!$N:$N,MATCH($D3214,'Paramètres'!$M:$M,0))&amp;"",""))),0,IF($L3214="Débit",$K3214,IF($P3214=1,-$K3214,0))))</f>
        <v/>
      </c>
      <c r="R3214" s="6" t="str">
        <f>IF($K3214="","",IF($L3214="Crédit",$K3214,-$K3214))</f>
        <v/>
      </c>
      <c r="S3214" s="6" t="str">
        <f>IF($C3214="","",IFERROR(INDEX('Paramètres'!$H:$H,MATCH($C3214,'Paramètres'!$D:$D,0))&amp;"",""))</f>
        <v/>
      </c>
      <c r="T3214" s="6" t="str">
        <f>IF($K3214="","",IF($S3214="",0,IF(ISNUMBER(SEARCH("apport-exterieur",IFERROR(INDEX('Paramètres'!$N:$N,MATCH($D3214,'Paramètres'!$M:$M,0))&amp;"",""))),0,IF(OR(IFERROR(INDEX('Paramètres'!$I:$I,MATCH($C3214,'Paramètres'!$D:$D,0))&amp;"","")="Les deux",IFERROR(INDEX('Paramètres'!$I:$I,MATCH($C3214,'Paramètres'!$D:$D,0))&amp;"","")=IF($P3214=1,"Débit",$L3214)),-IF($P3214=1,-$K3214,$K3214),0))))</f>
        <v/>
      </c>
      <c r="U3214" s="6" t="str">
        <f>IF($K3214="","",IF(ISNUMBER(SEARCH("sortie-epargne",IFERROR(INDEX('Paramètres'!$N:$N,MATCH($D3214,'Paramètres'!$M:$M,0))&amp;"",""))),$K3214,0))</f>
        <v/>
      </c>
      <c r="V3214" s="6" t="str">
        <f>IF(AND($A3214&lt;&gt;"",$O3214=1,$L3214="Débit",N($Q3214)&gt;0,$A3214&gt;=Visualisation!$B$1,$A3214&lt;Visualisation!$D$1),MAX($V$1:V3213)+1,"")</f>
        <v/>
      </c>
    </row>
    <row r="3215" spans="1:22" x14ac:dyDescent="0.25">
      <c r="A3215" s="9"/>
      <c r="E3215" s="10"/>
      <c r="K3215" s="11" t="str">
        <f>IF($E3215="","",ROUND($E3215*IF(ISNA(MATCH($C3215,'Paramètres'!$D:$D,0)),1,IF(INDEX('Paramètres'!$J:$J,MATCH($C3215,'Paramètres'!$D:$D,0))="",1,INDEX('Paramètres'!$J:$J,MATCH($C3215,'Paramètres'!$D:$D,0)))),2))</f>
        <v/>
      </c>
      <c r="L3215" s="6" t="str">
        <f>IF($D3215="","",IF($F3215&lt;&gt;"",$F3215,IF(ISNA(MATCH($D3215,'Paramètres'!$M:$M,0)),"⚠ Type inconnu",IFERROR(INDEX('Paramètres'!$P:$P,MATCH($D3215,'Paramètres'!$M:$M,0))&amp;"",""))))</f>
        <v/>
      </c>
      <c r="M3215" s="6" t="str">
        <f>IF($D3215="","",IF(ISNA(MATCH($D3215,'Paramètres'!$M:$M,0)),"⚠ Type inconnu",IF($L3215="Crédit","",IFERROR(INDEX('Paramètres'!$O:$O,MATCH($D3215,'Paramètres'!$M:$M,0))&amp;"",""))))</f>
        <v/>
      </c>
      <c r="N3215" s="6" t="str">
        <f>IF($D3215="","",IFERROR(INDEX('Paramètres'!$Q:$Q,MATCH($D3215,'Paramètres'!$M:$M,0))&amp;"",""))</f>
        <v/>
      </c>
      <c r="O3215" s="6" t="str">
        <f>IF($A3215="","",IF(OR($J3215&lt;&gt;"x",$A3215&lt;=FinReleve),1,0))</f>
        <v/>
      </c>
      <c r="P3215" s="6" t="str">
        <f>IF($D3215="","",IF(AND($L3215="Crédit",OR(IFERROR(INDEX('Paramètres'!$O:$O,MATCH($D3215,'Paramètres'!$M:$M,0))&amp;"","")&lt;&gt;"",ISNUMBER(SEARCH("remboursement",IFERROR(INDEX('Paramètres'!$N:$N,MATCH($D3215,'Paramètres'!$M:$M,0))&amp;"",""))))),1,0))</f>
        <v/>
      </c>
      <c r="Q3215" s="6" t="str">
        <f>IF($K3215="","",IF(ISNUMBER(SEARCH("transfert-interne",IFERROR(INDEX('Paramètres'!$N:$N,MATCH($D3215,'Paramètres'!$M:$M,0))&amp;"",""))),0,IF($L3215="Débit",$K3215,IF($P3215=1,-$K3215,0))))</f>
        <v/>
      </c>
      <c r="R3215" s="6" t="str">
        <f>IF($K3215="","",IF($L3215="Crédit",$K3215,-$K3215))</f>
        <v/>
      </c>
      <c r="S3215" s="6" t="str">
        <f>IF($C3215="","",IFERROR(INDEX('Paramètres'!$H:$H,MATCH($C3215,'Paramètres'!$D:$D,0))&amp;"",""))</f>
        <v/>
      </c>
      <c r="T3215" s="6" t="str">
        <f>IF($K3215="","",IF($S3215="",0,IF(ISNUMBER(SEARCH("apport-exterieur",IFERROR(INDEX('Paramètres'!$N:$N,MATCH($D3215,'Paramètres'!$M:$M,0))&amp;"",""))),0,IF(OR(IFERROR(INDEX('Paramètres'!$I:$I,MATCH($C3215,'Paramètres'!$D:$D,0))&amp;"","")="Les deux",IFERROR(INDEX('Paramètres'!$I:$I,MATCH($C3215,'Paramètres'!$D:$D,0))&amp;"","")=IF($P3215=1,"Débit",$L3215)),-IF($P3215=1,-$K3215,$K3215),0))))</f>
        <v/>
      </c>
      <c r="U3215" s="6" t="str">
        <f>IF($K3215="","",IF(ISNUMBER(SEARCH("sortie-epargne",IFERROR(INDEX('Paramètres'!$N:$N,MATCH($D3215,'Paramètres'!$M:$M,0))&amp;"",""))),$K3215,0))</f>
        <v/>
      </c>
      <c r="V3215" s="6" t="str">
        <f>IF(AND($A3215&lt;&gt;"",$O3215=1,$L3215="Débit",N($Q3215)&gt;0,$A3215&gt;=Visualisation!$B$1,$A3215&lt;Visualisation!$D$1),MAX($V$1:V3214)+1,"")</f>
        <v/>
      </c>
    </row>
    <row r="3216" spans="1:22" x14ac:dyDescent="0.25">
      <c r="A3216" s="9"/>
      <c r="E3216" s="10"/>
      <c r="K3216" s="11" t="str">
        <f>IF($E3216="","",ROUND($E3216*IF(ISNA(MATCH($C3216,'Paramètres'!$D:$D,0)),1,IF(INDEX('Paramètres'!$J:$J,MATCH($C3216,'Paramètres'!$D:$D,0))="",1,INDEX('Paramètres'!$J:$J,MATCH($C3216,'Paramètres'!$D:$D,0)))),2))</f>
        <v/>
      </c>
      <c r="L3216" s="6" t="str">
        <f>IF($D3216="","",IF($F3216&lt;&gt;"",$F3216,IF(ISNA(MATCH($D3216,'Paramètres'!$M:$M,0)),"⚠ Type inconnu",IFERROR(INDEX('Paramètres'!$P:$P,MATCH($D3216,'Paramètres'!$M:$M,0))&amp;"",""))))</f>
        <v/>
      </c>
      <c r="M3216" s="6" t="str">
        <f>IF($D3216="","",IF(ISNA(MATCH($D3216,'Paramètres'!$M:$M,0)),"⚠ Type inconnu",IF($L3216="Crédit","",IFERROR(INDEX('Paramètres'!$O:$O,MATCH($D3216,'Paramètres'!$M:$M,0))&amp;"",""))))</f>
        <v/>
      </c>
      <c r="N3216" s="6" t="str">
        <f>IF($D3216="","",IFERROR(INDEX('Paramètres'!$Q:$Q,MATCH($D3216,'Paramètres'!$M:$M,0))&amp;"",""))</f>
        <v/>
      </c>
      <c r="O3216" s="6" t="str">
        <f>IF($A3216="","",IF(OR($J3216&lt;&gt;"x",$A3216&lt;=FinReleve),1,0))</f>
        <v/>
      </c>
      <c r="P3216" s="6" t="str">
        <f>IF($D3216="","",IF(AND($L3216="Crédit",OR(IFERROR(INDEX('Paramètres'!$O:$O,MATCH($D3216,'Paramètres'!$M:$M,0))&amp;"","")&lt;&gt;"",ISNUMBER(SEARCH("remboursement",IFERROR(INDEX('Paramètres'!$N:$N,MATCH($D3216,'Paramètres'!$M:$M,0))&amp;"",""))))),1,0))</f>
        <v/>
      </c>
      <c r="Q3216" s="6" t="str">
        <f>IF($K3216="","",IF(ISNUMBER(SEARCH("transfert-interne",IFERROR(INDEX('Paramètres'!$N:$N,MATCH($D3216,'Paramètres'!$M:$M,0))&amp;"",""))),0,IF($L3216="Débit",$K3216,IF($P3216=1,-$K3216,0))))</f>
        <v/>
      </c>
      <c r="R3216" s="6" t="str">
        <f>IF($K3216="","",IF($L3216="Crédit",$K3216,-$K3216))</f>
        <v/>
      </c>
      <c r="S3216" s="6" t="str">
        <f>IF($C3216="","",IFERROR(INDEX('Paramètres'!$H:$H,MATCH($C3216,'Paramètres'!$D:$D,0))&amp;"",""))</f>
        <v/>
      </c>
      <c r="T3216" s="6" t="str">
        <f>IF($K3216="","",IF($S3216="",0,IF(ISNUMBER(SEARCH("apport-exterieur",IFERROR(INDEX('Paramètres'!$N:$N,MATCH($D3216,'Paramètres'!$M:$M,0))&amp;"",""))),0,IF(OR(IFERROR(INDEX('Paramètres'!$I:$I,MATCH($C3216,'Paramètres'!$D:$D,0))&amp;"","")="Les deux",IFERROR(INDEX('Paramètres'!$I:$I,MATCH($C3216,'Paramètres'!$D:$D,0))&amp;"","")=IF($P3216=1,"Débit",$L3216)),-IF($P3216=1,-$K3216,$K3216),0))))</f>
        <v/>
      </c>
      <c r="U3216" s="6" t="str">
        <f>IF($K3216="","",IF(ISNUMBER(SEARCH("sortie-epargne",IFERROR(INDEX('Paramètres'!$N:$N,MATCH($D3216,'Paramètres'!$M:$M,0))&amp;"",""))),$K3216,0))</f>
        <v/>
      </c>
      <c r="V3216" s="6" t="str">
        <f>IF(AND($A3216&lt;&gt;"",$O3216=1,$L3216="Débit",N($Q3216)&gt;0,$A3216&gt;=Visualisation!$B$1,$A3216&lt;Visualisation!$D$1),MAX($V$1:V3215)+1,"")</f>
        <v/>
      </c>
    </row>
    <row r="3217" spans="1:22" x14ac:dyDescent="0.25">
      <c r="A3217" s="9"/>
      <c r="E3217" s="10"/>
      <c r="K3217" s="11" t="str">
        <f>IF($E3217="","",ROUND($E3217*IF(ISNA(MATCH($C3217,'Paramètres'!$D:$D,0)),1,IF(INDEX('Paramètres'!$J:$J,MATCH($C3217,'Paramètres'!$D:$D,0))="",1,INDEX('Paramètres'!$J:$J,MATCH($C3217,'Paramètres'!$D:$D,0)))),2))</f>
        <v/>
      </c>
      <c r="L3217" s="6" t="str">
        <f>IF($D3217="","",IF($F3217&lt;&gt;"",$F3217,IF(ISNA(MATCH($D3217,'Paramètres'!$M:$M,0)),"⚠ Type inconnu",IFERROR(INDEX('Paramètres'!$P:$P,MATCH($D3217,'Paramètres'!$M:$M,0))&amp;"",""))))</f>
        <v/>
      </c>
      <c r="M3217" s="6" t="str">
        <f>IF($D3217="","",IF(ISNA(MATCH($D3217,'Paramètres'!$M:$M,0)),"⚠ Type inconnu",IF($L3217="Crédit","",IFERROR(INDEX('Paramètres'!$O:$O,MATCH($D3217,'Paramètres'!$M:$M,0))&amp;"",""))))</f>
        <v/>
      </c>
      <c r="N3217" s="6" t="str">
        <f>IF($D3217="","",IFERROR(INDEX('Paramètres'!$Q:$Q,MATCH($D3217,'Paramètres'!$M:$M,0))&amp;"",""))</f>
        <v/>
      </c>
      <c r="O3217" s="6" t="str">
        <f>IF($A3217="","",IF(OR($J3217&lt;&gt;"x",$A3217&lt;=FinReleve),1,0))</f>
        <v/>
      </c>
      <c r="P3217" s="6" t="str">
        <f>IF($D3217="","",IF(AND($L3217="Crédit",OR(IFERROR(INDEX('Paramètres'!$O:$O,MATCH($D3217,'Paramètres'!$M:$M,0))&amp;"","")&lt;&gt;"",ISNUMBER(SEARCH("remboursement",IFERROR(INDEX('Paramètres'!$N:$N,MATCH($D3217,'Paramètres'!$M:$M,0))&amp;"",""))))),1,0))</f>
        <v/>
      </c>
      <c r="Q3217" s="6" t="str">
        <f>IF($K3217="","",IF(ISNUMBER(SEARCH("transfert-interne",IFERROR(INDEX('Paramètres'!$N:$N,MATCH($D3217,'Paramètres'!$M:$M,0))&amp;"",""))),0,IF($L3217="Débit",$K3217,IF($P3217=1,-$K3217,0))))</f>
        <v/>
      </c>
      <c r="R3217" s="6" t="str">
        <f>IF($K3217="","",IF($L3217="Crédit",$K3217,-$K3217))</f>
        <v/>
      </c>
      <c r="S3217" s="6" t="str">
        <f>IF($C3217="","",IFERROR(INDEX('Paramètres'!$H:$H,MATCH($C3217,'Paramètres'!$D:$D,0))&amp;"",""))</f>
        <v/>
      </c>
      <c r="T3217" s="6" t="str">
        <f>IF($K3217="","",IF($S3217="",0,IF(ISNUMBER(SEARCH("apport-exterieur",IFERROR(INDEX('Paramètres'!$N:$N,MATCH($D3217,'Paramètres'!$M:$M,0))&amp;"",""))),0,IF(OR(IFERROR(INDEX('Paramètres'!$I:$I,MATCH($C3217,'Paramètres'!$D:$D,0))&amp;"","")="Les deux",IFERROR(INDEX('Paramètres'!$I:$I,MATCH($C3217,'Paramètres'!$D:$D,0))&amp;"","")=IF($P3217=1,"Débit",$L3217)),-IF($P3217=1,-$K3217,$K3217),0))))</f>
        <v/>
      </c>
      <c r="U3217" s="6" t="str">
        <f>IF($K3217="","",IF(ISNUMBER(SEARCH("sortie-epargne",IFERROR(INDEX('Paramètres'!$N:$N,MATCH($D3217,'Paramètres'!$M:$M,0))&amp;"",""))),$K3217,0))</f>
        <v/>
      </c>
      <c r="V3217" s="6" t="str">
        <f>IF(AND($A3217&lt;&gt;"",$O3217=1,$L3217="Débit",N($Q3217)&gt;0,$A3217&gt;=Visualisation!$B$1,$A3217&lt;Visualisation!$D$1),MAX($V$1:V3216)+1,"")</f>
        <v/>
      </c>
    </row>
    <row r="3218" spans="1:22" x14ac:dyDescent="0.25">
      <c r="A3218" s="9"/>
      <c r="E3218" s="10"/>
      <c r="K3218" s="11" t="str">
        <f>IF($E3218="","",ROUND($E3218*IF(ISNA(MATCH($C3218,'Paramètres'!$D:$D,0)),1,IF(INDEX('Paramètres'!$J:$J,MATCH($C3218,'Paramètres'!$D:$D,0))="",1,INDEX('Paramètres'!$J:$J,MATCH($C3218,'Paramètres'!$D:$D,0)))),2))</f>
        <v/>
      </c>
      <c r="L3218" s="6" t="str">
        <f>IF($D3218="","",IF($F3218&lt;&gt;"",$F3218,IF(ISNA(MATCH($D3218,'Paramètres'!$M:$M,0)),"⚠ Type inconnu",IFERROR(INDEX('Paramètres'!$P:$P,MATCH($D3218,'Paramètres'!$M:$M,0))&amp;"",""))))</f>
        <v/>
      </c>
      <c r="M3218" s="6" t="str">
        <f>IF($D3218="","",IF(ISNA(MATCH($D3218,'Paramètres'!$M:$M,0)),"⚠ Type inconnu",IF($L3218="Crédit","",IFERROR(INDEX('Paramètres'!$O:$O,MATCH($D3218,'Paramètres'!$M:$M,0))&amp;"",""))))</f>
        <v/>
      </c>
      <c r="N3218" s="6" t="str">
        <f>IF($D3218="","",IFERROR(INDEX('Paramètres'!$Q:$Q,MATCH($D3218,'Paramètres'!$M:$M,0))&amp;"",""))</f>
        <v/>
      </c>
      <c r="O3218" s="6" t="str">
        <f>IF($A3218="","",IF(OR($J3218&lt;&gt;"x",$A3218&lt;=FinReleve),1,0))</f>
        <v/>
      </c>
      <c r="P3218" s="6" t="str">
        <f>IF($D3218="","",IF(AND($L3218="Crédit",OR(IFERROR(INDEX('Paramètres'!$O:$O,MATCH($D3218,'Paramètres'!$M:$M,0))&amp;"","")&lt;&gt;"",ISNUMBER(SEARCH("remboursement",IFERROR(INDEX('Paramètres'!$N:$N,MATCH($D3218,'Paramètres'!$M:$M,0))&amp;"",""))))),1,0))</f>
        <v/>
      </c>
      <c r="Q3218" s="6" t="str">
        <f>IF($K3218="","",IF(ISNUMBER(SEARCH("transfert-interne",IFERROR(INDEX('Paramètres'!$N:$N,MATCH($D3218,'Paramètres'!$M:$M,0))&amp;"",""))),0,IF($L3218="Débit",$K3218,IF($P3218=1,-$K3218,0))))</f>
        <v/>
      </c>
      <c r="R3218" s="6" t="str">
        <f>IF($K3218="","",IF($L3218="Crédit",$K3218,-$K3218))</f>
        <v/>
      </c>
      <c r="S3218" s="6" t="str">
        <f>IF($C3218="","",IFERROR(INDEX('Paramètres'!$H:$H,MATCH($C3218,'Paramètres'!$D:$D,0))&amp;"",""))</f>
        <v/>
      </c>
      <c r="T3218" s="6" t="str">
        <f>IF($K3218="","",IF($S3218="",0,IF(ISNUMBER(SEARCH("apport-exterieur",IFERROR(INDEX('Paramètres'!$N:$N,MATCH($D3218,'Paramètres'!$M:$M,0))&amp;"",""))),0,IF(OR(IFERROR(INDEX('Paramètres'!$I:$I,MATCH($C3218,'Paramètres'!$D:$D,0))&amp;"","")="Les deux",IFERROR(INDEX('Paramètres'!$I:$I,MATCH($C3218,'Paramètres'!$D:$D,0))&amp;"","")=IF($P3218=1,"Débit",$L3218)),-IF($P3218=1,-$K3218,$K3218),0))))</f>
        <v/>
      </c>
      <c r="U3218" s="6" t="str">
        <f>IF($K3218="","",IF(ISNUMBER(SEARCH("sortie-epargne",IFERROR(INDEX('Paramètres'!$N:$N,MATCH($D3218,'Paramètres'!$M:$M,0))&amp;"",""))),$K3218,0))</f>
        <v/>
      </c>
      <c r="V3218" s="6" t="str">
        <f>IF(AND($A3218&lt;&gt;"",$O3218=1,$L3218="Débit",N($Q3218)&gt;0,$A3218&gt;=Visualisation!$B$1,$A3218&lt;Visualisation!$D$1),MAX($V$1:V3217)+1,"")</f>
        <v/>
      </c>
    </row>
    <row r="3219" spans="1:22" x14ac:dyDescent="0.25">
      <c r="A3219" s="9"/>
      <c r="E3219" s="10"/>
      <c r="K3219" s="11" t="str">
        <f>IF($E3219="","",ROUND($E3219*IF(ISNA(MATCH($C3219,'Paramètres'!$D:$D,0)),1,IF(INDEX('Paramètres'!$J:$J,MATCH($C3219,'Paramètres'!$D:$D,0))="",1,INDEX('Paramètres'!$J:$J,MATCH($C3219,'Paramètres'!$D:$D,0)))),2))</f>
        <v/>
      </c>
      <c r="L3219" s="6" t="str">
        <f>IF($D3219="","",IF($F3219&lt;&gt;"",$F3219,IF(ISNA(MATCH($D3219,'Paramètres'!$M:$M,0)),"⚠ Type inconnu",IFERROR(INDEX('Paramètres'!$P:$P,MATCH($D3219,'Paramètres'!$M:$M,0))&amp;"",""))))</f>
        <v/>
      </c>
      <c r="M3219" s="6" t="str">
        <f>IF($D3219="","",IF(ISNA(MATCH($D3219,'Paramètres'!$M:$M,0)),"⚠ Type inconnu",IF($L3219="Crédit","",IFERROR(INDEX('Paramètres'!$O:$O,MATCH($D3219,'Paramètres'!$M:$M,0))&amp;"",""))))</f>
        <v/>
      </c>
      <c r="N3219" s="6" t="str">
        <f>IF($D3219="","",IFERROR(INDEX('Paramètres'!$Q:$Q,MATCH($D3219,'Paramètres'!$M:$M,0))&amp;"",""))</f>
        <v/>
      </c>
      <c r="O3219" s="6" t="str">
        <f>IF($A3219="","",IF(OR($J3219&lt;&gt;"x",$A3219&lt;=FinReleve),1,0))</f>
        <v/>
      </c>
      <c r="P3219" s="6" t="str">
        <f>IF($D3219="","",IF(AND($L3219="Crédit",OR(IFERROR(INDEX('Paramètres'!$O:$O,MATCH($D3219,'Paramètres'!$M:$M,0))&amp;"","")&lt;&gt;"",ISNUMBER(SEARCH("remboursement",IFERROR(INDEX('Paramètres'!$N:$N,MATCH($D3219,'Paramètres'!$M:$M,0))&amp;"",""))))),1,0))</f>
        <v/>
      </c>
      <c r="Q3219" s="6" t="str">
        <f>IF($K3219="","",IF(ISNUMBER(SEARCH("transfert-interne",IFERROR(INDEX('Paramètres'!$N:$N,MATCH($D3219,'Paramètres'!$M:$M,0))&amp;"",""))),0,IF($L3219="Débit",$K3219,IF($P3219=1,-$K3219,0))))</f>
        <v/>
      </c>
      <c r="R3219" s="6" t="str">
        <f>IF($K3219="","",IF($L3219="Crédit",$K3219,-$K3219))</f>
        <v/>
      </c>
      <c r="S3219" s="6" t="str">
        <f>IF($C3219="","",IFERROR(INDEX('Paramètres'!$H:$H,MATCH($C3219,'Paramètres'!$D:$D,0))&amp;"",""))</f>
        <v/>
      </c>
      <c r="T3219" s="6" t="str">
        <f>IF($K3219="","",IF($S3219="",0,IF(ISNUMBER(SEARCH("apport-exterieur",IFERROR(INDEX('Paramètres'!$N:$N,MATCH($D3219,'Paramètres'!$M:$M,0))&amp;"",""))),0,IF(OR(IFERROR(INDEX('Paramètres'!$I:$I,MATCH($C3219,'Paramètres'!$D:$D,0))&amp;"","")="Les deux",IFERROR(INDEX('Paramètres'!$I:$I,MATCH($C3219,'Paramètres'!$D:$D,0))&amp;"","")=IF($P3219=1,"Débit",$L3219)),-IF($P3219=1,-$K3219,$K3219),0))))</f>
        <v/>
      </c>
      <c r="U3219" s="6" t="str">
        <f>IF($K3219="","",IF(ISNUMBER(SEARCH("sortie-epargne",IFERROR(INDEX('Paramètres'!$N:$N,MATCH($D3219,'Paramètres'!$M:$M,0))&amp;"",""))),$K3219,0))</f>
        <v/>
      </c>
      <c r="V3219" s="6" t="str">
        <f>IF(AND($A3219&lt;&gt;"",$O3219=1,$L3219="Débit",N($Q3219)&gt;0,$A3219&gt;=Visualisation!$B$1,$A3219&lt;Visualisation!$D$1),MAX($V$1:V3218)+1,"")</f>
        <v/>
      </c>
    </row>
    <row r="3220" spans="1:22" x14ac:dyDescent="0.25">
      <c r="A3220" s="9"/>
      <c r="E3220" s="10"/>
      <c r="K3220" s="11" t="str">
        <f>IF($E3220="","",ROUND($E3220*IF(ISNA(MATCH($C3220,'Paramètres'!$D:$D,0)),1,IF(INDEX('Paramètres'!$J:$J,MATCH($C3220,'Paramètres'!$D:$D,0))="",1,INDEX('Paramètres'!$J:$J,MATCH($C3220,'Paramètres'!$D:$D,0)))),2))</f>
        <v/>
      </c>
      <c r="L3220" s="6" t="str">
        <f>IF($D3220="","",IF($F3220&lt;&gt;"",$F3220,IF(ISNA(MATCH($D3220,'Paramètres'!$M:$M,0)),"⚠ Type inconnu",IFERROR(INDEX('Paramètres'!$P:$P,MATCH($D3220,'Paramètres'!$M:$M,0))&amp;"",""))))</f>
        <v/>
      </c>
      <c r="M3220" s="6" t="str">
        <f>IF($D3220="","",IF(ISNA(MATCH($D3220,'Paramètres'!$M:$M,0)),"⚠ Type inconnu",IF($L3220="Crédit","",IFERROR(INDEX('Paramètres'!$O:$O,MATCH($D3220,'Paramètres'!$M:$M,0))&amp;"",""))))</f>
        <v/>
      </c>
      <c r="N3220" s="6" t="str">
        <f>IF($D3220="","",IFERROR(INDEX('Paramètres'!$Q:$Q,MATCH($D3220,'Paramètres'!$M:$M,0))&amp;"",""))</f>
        <v/>
      </c>
      <c r="O3220" s="6" t="str">
        <f>IF($A3220="","",IF(OR($J3220&lt;&gt;"x",$A3220&lt;=FinReleve),1,0))</f>
        <v/>
      </c>
      <c r="P3220" s="6" t="str">
        <f>IF($D3220="","",IF(AND($L3220="Crédit",OR(IFERROR(INDEX('Paramètres'!$O:$O,MATCH($D3220,'Paramètres'!$M:$M,0))&amp;"","")&lt;&gt;"",ISNUMBER(SEARCH("remboursement",IFERROR(INDEX('Paramètres'!$N:$N,MATCH($D3220,'Paramètres'!$M:$M,0))&amp;"",""))))),1,0))</f>
        <v/>
      </c>
      <c r="Q3220" s="6" t="str">
        <f>IF($K3220="","",IF(ISNUMBER(SEARCH("transfert-interne",IFERROR(INDEX('Paramètres'!$N:$N,MATCH($D3220,'Paramètres'!$M:$M,0))&amp;"",""))),0,IF($L3220="Débit",$K3220,IF($P3220=1,-$K3220,0))))</f>
        <v/>
      </c>
      <c r="R3220" s="6" t="str">
        <f>IF($K3220="","",IF($L3220="Crédit",$K3220,-$K3220))</f>
        <v/>
      </c>
      <c r="S3220" s="6" t="str">
        <f>IF($C3220="","",IFERROR(INDEX('Paramètres'!$H:$H,MATCH($C3220,'Paramètres'!$D:$D,0))&amp;"",""))</f>
        <v/>
      </c>
      <c r="T3220" s="6" t="str">
        <f>IF($K3220="","",IF($S3220="",0,IF(ISNUMBER(SEARCH("apport-exterieur",IFERROR(INDEX('Paramètres'!$N:$N,MATCH($D3220,'Paramètres'!$M:$M,0))&amp;"",""))),0,IF(OR(IFERROR(INDEX('Paramètres'!$I:$I,MATCH($C3220,'Paramètres'!$D:$D,0))&amp;"","")="Les deux",IFERROR(INDEX('Paramètres'!$I:$I,MATCH($C3220,'Paramètres'!$D:$D,0))&amp;"","")=IF($P3220=1,"Débit",$L3220)),-IF($P3220=1,-$K3220,$K3220),0))))</f>
        <v/>
      </c>
      <c r="U3220" s="6" t="str">
        <f>IF($K3220="","",IF(ISNUMBER(SEARCH("sortie-epargne",IFERROR(INDEX('Paramètres'!$N:$N,MATCH($D3220,'Paramètres'!$M:$M,0))&amp;"",""))),$K3220,0))</f>
        <v/>
      </c>
      <c r="V3220" s="6" t="str">
        <f>IF(AND($A3220&lt;&gt;"",$O3220=1,$L3220="Débit",N($Q3220)&gt;0,$A3220&gt;=Visualisation!$B$1,$A3220&lt;Visualisation!$D$1),MAX($V$1:V3219)+1,"")</f>
        <v/>
      </c>
    </row>
    <row r="3221" spans="1:22" x14ac:dyDescent="0.25">
      <c r="A3221" s="9"/>
      <c r="E3221" s="10"/>
      <c r="K3221" s="11" t="str">
        <f>IF($E3221="","",ROUND($E3221*IF(ISNA(MATCH($C3221,'Paramètres'!$D:$D,0)),1,IF(INDEX('Paramètres'!$J:$J,MATCH($C3221,'Paramètres'!$D:$D,0))="",1,INDEX('Paramètres'!$J:$J,MATCH($C3221,'Paramètres'!$D:$D,0)))),2))</f>
        <v/>
      </c>
      <c r="L3221" s="6" t="str">
        <f>IF($D3221="","",IF($F3221&lt;&gt;"",$F3221,IF(ISNA(MATCH($D3221,'Paramètres'!$M:$M,0)),"⚠ Type inconnu",IFERROR(INDEX('Paramètres'!$P:$P,MATCH($D3221,'Paramètres'!$M:$M,0))&amp;"",""))))</f>
        <v/>
      </c>
      <c r="M3221" s="6" t="str">
        <f>IF($D3221="","",IF(ISNA(MATCH($D3221,'Paramètres'!$M:$M,0)),"⚠ Type inconnu",IF($L3221="Crédit","",IFERROR(INDEX('Paramètres'!$O:$O,MATCH($D3221,'Paramètres'!$M:$M,0))&amp;"",""))))</f>
        <v/>
      </c>
      <c r="N3221" s="6" t="str">
        <f>IF($D3221="","",IFERROR(INDEX('Paramètres'!$Q:$Q,MATCH($D3221,'Paramètres'!$M:$M,0))&amp;"",""))</f>
        <v/>
      </c>
      <c r="O3221" s="6" t="str">
        <f>IF($A3221="","",IF(OR($J3221&lt;&gt;"x",$A3221&lt;=FinReleve),1,0))</f>
        <v/>
      </c>
      <c r="P3221" s="6" t="str">
        <f>IF($D3221="","",IF(AND($L3221="Crédit",OR(IFERROR(INDEX('Paramètres'!$O:$O,MATCH($D3221,'Paramètres'!$M:$M,0))&amp;"","")&lt;&gt;"",ISNUMBER(SEARCH("remboursement",IFERROR(INDEX('Paramètres'!$N:$N,MATCH($D3221,'Paramètres'!$M:$M,0))&amp;"",""))))),1,0))</f>
        <v/>
      </c>
      <c r="Q3221" s="6" t="str">
        <f>IF($K3221="","",IF(ISNUMBER(SEARCH("transfert-interne",IFERROR(INDEX('Paramètres'!$N:$N,MATCH($D3221,'Paramètres'!$M:$M,0))&amp;"",""))),0,IF($L3221="Débit",$K3221,IF($P3221=1,-$K3221,0))))</f>
        <v/>
      </c>
      <c r="R3221" s="6" t="str">
        <f>IF($K3221="","",IF($L3221="Crédit",$K3221,-$K3221))</f>
        <v/>
      </c>
      <c r="S3221" s="6" t="str">
        <f>IF($C3221="","",IFERROR(INDEX('Paramètres'!$H:$H,MATCH($C3221,'Paramètres'!$D:$D,0))&amp;"",""))</f>
        <v/>
      </c>
      <c r="T3221" s="6" t="str">
        <f>IF($K3221="","",IF($S3221="",0,IF(ISNUMBER(SEARCH("apport-exterieur",IFERROR(INDEX('Paramètres'!$N:$N,MATCH($D3221,'Paramètres'!$M:$M,0))&amp;"",""))),0,IF(OR(IFERROR(INDEX('Paramètres'!$I:$I,MATCH($C3221,'Paramètres'!$D:$D,0))&amp;"","")="Les deux",IFERROR(INDEX('Paramètres'!$I:$I,MATCH($C3221,'Paramètres'!$D:$D,0))&amp;"","")=IF($P3221=1,"Débit",$L3221)),-IF($P3221=1,-$K3221,$K3221),0))))</f>
        <v/>
      </c>
      <c r="U3221" s="6" t="str">
        <f>IF($K3221="","",IF(ISNUMBER(SEARCH("sortie-epargne",IFERROR(INDEX('Paramètres'!$N:$N,MATCH($D3221,'Paramètres'!$M:$M,0))&amp;"",""))),$K3221,0))</f>
        <v/>
      </c>
      <c r="V3221" s="6" t="str">
        <f>IF(AND($A3221&lt;&gt;"",$O3221=1,$L3221="Débit",N($Q3221)&gt;0,$A3221&gt;=Visualisation!$B$1,$A3221&lt;Visualisation!$D$1),MAX($V$1:V3220)+1,"")</f>
        <v/>
      </c>
    </row>
    <row r="3222" spans="1:22" x14ac:dyDescent="0.25">
      <c r="A3222" s="9"/>
      <c r="E3222" s="10"/>
      <c r="K3222" s="11" t="str">
        <f>IF($E3222="","",ROUND($E3222*IF(ISNA(MATCH($C3222,'Paramètres'!$D:$D,0)),1,IF(INDEX('Paramètres'!$J:$J,MATCH($C3222,'Paramètres'!$D:$D,0))="",1,INDEX('Paramètres'!$J:$J,MATCH($C3222,'Paramètres'!$D:$D,0)))),2))</f>
        <v/>
      </c>
      <c r="L3222" s="6" t="str">
        <f>IF($D3222="","",IF($F3222&lt;&gt;"",$F3222,IF(ISNA(MATCH($D3222,'Paramètres'!$M:$M,0)),"⚠ Type inconnu",IFERROR(INDEX('Paramètres'!$P:$P,MATCH($D3222,'Paramètres'!$M:$M,0))&amp;"",""))))</f>
        <v/>
      </c>
      <c r="M3222" s="6" t="str">
        <f>IF($D3222="","",IF(ISNA(MATCH($D3222,'Paramètres'!$M:$M,0)),"⚠ Type inconnu",IF($L3222="Crédit","",IFERROR(INDEX('Paramètres'!$O:$O,MATCH($D3222,'Paramètres'!$M:$M,0))&amp;"",""))))</f>
        <v/>
      </c>
      <c r="N3222" s="6" t="str">
        <f>IF($D3222="","",IFERROR(INDEX('Paramètres'!$Q:$Q,MATCH($D3222,'Paramètres'!$M:$M,0))&amp;"",""))</f>
        <v/>
      </c>
      <c r="O3222" s="6" t="str">
        <f>IF($A3222="","",IF(OR($J3222&lt;&gt;"x",$A3222&lt;=FinReleve),1,0))</f>
        <v/>
      </c>
      <c r="P3222" s="6" t="str">
        <f>IF($D3222="","",IF(AND($L3222="Crédit",OR(IFERROR(INDEX('Paramètres'!$O:$O,MATCH($D3222,'Paramètres'!$M:$M,0))&amp;"","")&lt;&gt;"",ISNUMBER(SEARCH("remboursement",IFERROR(INDEX('Paramètres'!$N:$N,MATCH($D3222,'Paramètres'!$M:$M,0))&amp;"",""))))),1,0))</f>
        <v/>
      </c>
      <c r="Q3222" s="6" t="str">
        <f>IF($K3222="","",IF(ISNUMBER(SEARCH("transfert-interne",IFERROR(INDEX('Paramètres'!$N:$N,MATCH($D3222,'Paramètres'!$M:$M,0))&amp;"",""))),0,IF($L3222="Débit",$K3222,IF($P3222=1,-$K3222,0))))</f>
        <v/>
      </c>
      <c r="R3222" s="6" t="str">
        <f>IF($K3222="","",IF($L3222="Crédit",$K3222,-$K3222))</f>
        <v/>
      </c>
      <c r="S3222" s="6" t="str">
        <f>IF($C3222="","",IFERROR(INDEX('Paramètres'!$H:$H,MATCH($C3222,'Paramètres'!$D:$D,0))&amp;"",""))</f>
        <v/>
      </c>
      <c r="T3222" s="6" t="str">
        <f>IF($K3222="","",IF($S3222="",0,IF(ISNUMBER(SEARCH("apport-exterieur",IFERROR(INDEX('Paramètres'!$N:$N,MATCH($D3222,'Paramètres'!$M:$M,0))&amp;"",""))),0,IF(OR(IFERROR(INDEX('Paramètres'!$I:$I,MATCH($C3222,'Paramètres'!$D:$D,0))&amp;"","")="Les deux",IFERROR(INDEX('Paramètres'!$I:$I,MATCH($C3222,'Paramètres'!$D:$D,0))&amp;"","")=IF($P3222=1,"Débit",$L3222)),-IF($P3222=1,-$K3222,$K3222),0))))</f>
        <v/>
      </c>
      <c r="U3222" s="6" t="str">
        <f>IF($K3222="","",IF(ISNUMBER(SEARCH("sortie-epargne",IFERROR(INDEX('Paramètres'!$N:$N,MATCH($D3222,'Paramètres'!$M:$M,0))&amp;"",""))),$K3222,0))</f>
        <v/>
      </c>
      <c r="V3222" s="6" t="str">
        <f>IF(AND($A3222&lt;&gt;"",$O3222=1,$L3222="Débit",N($Q3222)&gt;0,$A3222&gt;=Visualisation!$B$1,$A3222&lt;Visualisation!$D$1),MAX($V$1:V3221)+1,"")</f>
        <v/>
      </c>
    </row>
    <row r="3223" spans="1:22" x14ac:dyDescent="0.25">
      <c r="A3223" s="9"/>
      <c r="E3223" s="10"/>
      <c r="K3223" s="11" t="str">
        <f>IF($E3223="","",ROUND($E3223*IF(ISNA(MATCH($C3223,'Paramètres'!$D:$D,0)),1,IF(INDEX('Paramètres'!$J:$J,MATCH($C3223,'Paramètres'!$D:$D,0))="",1,INDEX('Paramètres'!$J:$J,MATCH($C3223,'Paramètres'!$D:$D,0)))),2))</f>
        <v/>
      </c>
      <c r="L3223" s="6" t="str">
        <f>IF($D3223="","",IF($F3223&lt;&gt;"",$F3223,IF(ISNA(MATCH($D3223,'Paramètres'!$M:$M,0)),"⚠ Type inconnu",IFERROR(INDEX('Paramètres'!$P:$P,MATCH($D3223,'Paramètres'!$M:$M,0))&amp;"",""))))</f>
        <v/>
      </c>
      <c r="M3223" s="6" t="str">
        <f>IF($D3223="","",IF(ISNA(MATCH($D3223,'Paramètres'!$M:$M,0)),"⚠ Type inconnu",IF($L3223="Crédit","",IFERROR(INDEX('Paramètres'!$O:$O,MATCH($D3223,'Paramètres'!$M:$M,0))&amp;"",""))))</f>
        <v/>
      </c>
      <c r="N3223" s="6" t="str">
        <f>IF($D3223="","",IFERROR(INDEX('Paramètres'!$Q:$Q,MATCH($D3223,'Paramètres'!$M:$M,0))&amp;"",""))</f>
        <v/>
      </c>
      <c r="O3223" s="6" t="str">
        <f>IF($A3223="","",IF(OR($J3223&lt;&gt;"x",$A3223&lt;=FinReleve),1,0))</f>
        <v/>
      </c>
      <c r="P3223" s="6" t="str">
        <f>IF($D3223="","",IF(AND($L3223="Crédit",OR(IFERROR(INDEX('Paramètres'!$O:$O,MATCH($D3223,'Paramètres'!$M:$M,0))&amp;"","")&lt;&gt;"",ISNUMBER(SEARCH("remboursement",IFERROR(INDEX('Paramètres'!$N:$N,MATCH($D3223,'Paramètres'!$M:$M,0))&amp;"",""))))),1,0))</f>
        <v/>
      </c>
      <c r="Q3223" s="6" t="str">
        <f>IF($K3223="","",IF(ISNUMBER(SEARCH("transfert-interne",IFERROR(INDEX('Paramètres'!$N:$N,MATCH($D3223,'Paramètres'!$M:$M,0))&amp;"",""))),0,IF($L3223="Débit",$K3223,IF($P3223=1,-$K3223,0))))</f>
        <v/>
      </c>
      <c r="R3223" s="6" t="str">
        <f>IF($K3223="","",IF($L3223="Crédit",$K3223,-$K3223))</f>
        <v/>
      </c>
      <c r="S3223" s="6" t="str">
        <f>IF($C3223="","",IFERROR(INDEX('Paramètres'!$H:$H,MATCH($C3223,'Paramètres'!$D:$D,0))&amp;"",""))</f>
        <v/>
      </c>
      <c r="T3223" s="6" t="str">
        <f>IF($K3223="","",IF($S3223="",0,IF(ISNUMBER(SEARCH("apport-exterieur",IFERROR(INDEX('Paramètres'!$N:$N,MATCH($D3223,'Paramètres'!$M:$M,0))&amp;"",""))),0,IF(OR(IFERROR(INDEX('Paramètres'!$I:$I,MATCH($C3223,'Paramètres'!$D:$D,0))&amp;"","")="Les deux",IFERROR(INDEX('Paramètres'!$I:$I,MATCH($C3223,'Paramètres'!$D:$D,0))&amp;"","")=IF($P3223=1,"Débit",$L3223)),-IF($P3223=1,-$K3223,$K3223),0))))</f>
        <v/>
      </c>
      <c r="U3223" s="6" t="str">
        <f>IF($K3223="","",IF(ISNUMBER(SEARCH("sortie-epargne",IFERROR(INDEX('Paramètres'!$N:$N,MATCH($D3223,'Paramètres'!$M:$M,0))&amp;"",""))),$K3223,0))</f>
        <v/>
      </c>
      <c r="V3223" s="6" t="str">
        <f>IF(AND($A3223&lt;&gt;"",$O3223=1,$L3223="Débit",N($Q3223)&gt;0,$A3223&gt;=Visualisation!$B$1,$A3223&lt;Visualisation!$D$1),MAX($V$1:V3222)+1,"")</f>
        <v/>
      </c>
    </row>
    <row r="3224" spans="1:22" x14ac:dyDescent="0.25">
      <c r="A3224" s="9"/>
      <c r="E3224" s="10"/>
      <c r="K3224" s="11" t="str">
        <f>IF($E3224="","",ROUND($E3224*IF(ISNA(MATCH($C3224,'Paramètres'!$D:$D,0)),1,IF(INDEX('Paramètres'!$J:$J,MATCH($C3224,'Paramètres'!$D:$D,0))="",1,INDEX('Paramètres'!$J:$J,MATCH($C3224,'Paramètres'!$D:$D,0)))),2))</f>
        <v/>
      </c>
      <c r="L3224" s="6" t="str">
        <f>IF($D3224="","",IF($F3224&lt;&gt;"",$F3224,IF(ISNA(MATCH($D3224,'Paramètres'!$M:$M,0)),"⚠ Type inconnu",IFERROR(INDEX('Paramètres'!$P:$P,MATCH($D3224,'Paramètres'!$M:$M,0))&amp;"",""))))</f>
        <v/>
      </c>
      <c r="M3224" s="6" t="str">
        <f>IF($D3224="","",IF(ISNA(MATCH($D3224,'Paramètres'!$M:$M,0)),"⚠ Type inconnu",IF($L3224="Crédit","",IFERROR(INDEX('Paramètres'!$O:$O,MATCH($D3224,'Paramètres'!$M:$M,0))&amp;"",""))))</f>
        <v/>
      </c>
      <c r="N3224" s="6" t="str">
        <f>IF($D3224="","",IFERROR(INDEX('Paramètres'!$Q:$Q,MATCH($D3224,'Paramètres'!$M:$M,0))&amp;"",""))</f>
        <v/>
      </c>
      <c r="O3224" s="6" t="str">
        <f>IF($A3224="","",IF(OR($J3224&lt;&gt;"x",$A3224&lt;=FinReleve),1,0))</f>
        <v/>
      </c>
      <c r="P3224" s="6" t="str">
        <f>IF($D3224="","",IF(AND($L3224="Crédit",OR(IFERROR(INDEX('Paramètres'!$O:$O,MATCH($D3224,'Paramètres'!$M:$M,0))&amp;"","")&lt;&gt;"",ISNUMBER(SEARCH("remboursement",IFERROR(INDEX('Paramètres'!$N:$N,MATCH($D3224,'Paramètres'!$M:$M,0))&amp;"",""))))),1,0))</f>
        <v/>
      </c>
      <c r="Q3224" s="6" t="str">
        <f>IF($K3224="","",IF(ISNUMBER(SEARCH("transfert-interne",IFERROR(INDEX('Paramètres'!$N:$N,MATCH($D3224,'Paramètres'!$M:$M,0))&amp;"",""))),0,IF($L3224="Débit",$K3224,IF($P3224=1,-$K3224,0))))</f>
        <v/>
      </c>
      <c r="R3224" s="6" t="str">
        <f>IF($K3224="","",IF($L3224="Crédit",$K3224,-$K3224))</f>
        <v/>
      </c>
      <c r="S3224" s="6" t="str">
        <f>IF($C3224="","",IFERROR(INDEX('Paramètres'!$H:$H,MATCH($C3224,'Paramètres'!$D:$D,0))&amp;"",""))</f>
        <v/>
      </c>
      <c r="T3224" s="6" t="str">
        <f>IF($K3224="","",IF($S3224="",0,IF(ISNUMBER(SEARCH("apport-exterieur",IFERROR(INDEX('Paramètres'!$N:$N,MATCH($D3224,'Paramètres'!$M:$M,0))&amp;"",""))),0,IF(OR(IFERROR(INDEX('Paramètres'!$I:$I,MATCH($C3224,'Paramètres'!$D:$D,0))&amp;"","")="Les deux",IFERROR(INDEX('Paramètres'!$I:$I,MATCH($C3224,'Paramètres'!$D:$D,0))&amp;"","")=IF($P3224=1,"Débit",$L3224)),-IF($P3224=1,-$K3224,$K3224),0))))</f>
        <v/>
      </c>
      <c r="U3224" s="6" t="str">
        <f>IF($K3224="","",IF(ISNUMBER(SEARCH("sortie-epargne",IFERROR(INDEX('Paramètres'!$N:$N,MATCH($D3224,'Paramètres'!$M:$M,0))&amp;"",""))),$K3224,0))</f>
        <v/>
      </c>
      <c r="V3224" s="6" t="str">
        <f>IF(AND($A3224&lt;&gt;"",$O3224=1,$L3224="Débit",N($Q3224)&gt;0,$A3224&gt;=Visualisation!$B$1,$A3224&lt;Visualisation!$D$1),MAX($V$1:V3223)+1,"")</f>
        <v/>
      </c>
    </row>
    <row r="3225" spans="1:22" x14ac:dyDescent="0.25">
      <c r="A3225" s="9"/>
      <c r="E3225" s="10"/>
      <c r="K3225" s="11" t="str">
        <f>IF($E3225="","",ROUND($E3225*IF(ISNA(MATCH($C3225,'Paramètres'!$D:$D,0)),1,IF(INDEX('Paramètres'!$J:$J,MATCH($C3225,'Paramètres'!$D:$D,0))="",1,INDEX('Paramètres'!$J:$J,MATCH($C3225,'Paramètres'!$D:$D,0)))),2))</f>
        <v/>
      </c>
      <c r="L3225" s="6" t="str">
        <f>IF($D3225="","",IF($F3225&lt;&gt;"",$F3225,IF(ISNA(MATCH($D3225,'Paramètres'!$M:$M,0)),"⚠ Type inconnu",IFERROR(INDEX('Paramètres'!$P:$P,MATCH($D3225,'Paramètres'!$M:$M,0))&amp;"",""))))</f>
        <v/>
      </c>
      <c r="M3225" s="6" t="str">
        <f>IF($D3225="","",IF(ISNA(MATCH($D3225,'Paramètres'!$M:$M,0)),"⚠ Type inconnu",IF($L3225="Crédit","",IFERROR(INDEX('Paramètres'!$O:$O,MATCH($D3225,'Paramètres'!$M:$M,0))&amp;"",""))))</f>
        <v/>
      </c>
      <c r="N3225" s="6" t="str">
        <f>IF($D3225="","",IFERROR(INDEX('Paramètres'!$Q:$Q,MATCH($D3225,'Paramètres'!$M:$M,0))&amp;"",""))</f>
        <v/>
      </c>
      <c r="O3225" s="6" t="str">
        <f>IF($A3225="","",IF(OR($J3225&lt;&gt;"x",$A3225&lt;=FinReleve),1,0))</f>
        <v/>
      </c>
      <c r="P3225" s="6" t="str">
        <f>IF($D3225="","",IF(AND($L3225="Crédit",OR(IFERROR(INDEX('Paramètres'!$O:$O,MATCH($D3225,'Paramètres'!$M:$M,0))&amp;"","")&lt;&gt;"",ISNUMBER(SEARCH("remboursement",IFERROR(INDEX('Paramètres'!$N:$N,MATCH($D3225,'Paramètres'!$M:$M,0))&amp;"",""))))),1,0))</f>
        <v/>
      </c>
      <c r="Q3225" s="6" t="str">
        <f>IF($K3225="","",IF(ISNUMBER(SEARCH("transfert-interne",IFERROR(INDEX('Paramètres'!$N:$N,MATCH($D3225,'Paramètres'!$M:$M,0))&amp;"",""))),0,IF($L3225="Débit",$K3225,IF($P3225=1,-$K3225,0))))</f>
        <v/>
      </c>
      <c r="R3225" s="6" t="str">
        <f>IF($K3225="","",IF($L3225="Crédit",$K3225,-$K3225))</f>
        <v/>
      </c>
      <c r="S3225" s="6" t="str">
        <f>IF($C3225="","",IFERROR(INDEX('Paramètres'!$H:$H,MATCH($C3225,'Paramètres'!$D:$D,0))&amp;"",""))</f>
        <v/>
      </c>
      <c r="T3225" s="6" t="str">
        <f>IF($K3225="","",IF($S3225="",0,IF(ISNUMBER(SEARCH("apport-exterieur",IFERROR(INDEX('Paramètres'!$N:$N,MATCH($D3225,'Paramètres'!$M:$M,0))&amp;"",""))),0,IF(OR(IFERROR(INDEX('Paramètres'!$I:$I,MATCH($C3225,'Paramètres'!$D:$D,0))&amp;"","")="Les deux",IFERROR(INDEX('Paramètres'!$I:$I,MATCH($C3225,'Paramètres'!$D:$D,0))&amp;"","")=IF($P3225=1,"Débit",$L3225)),-IF($P3225=1,-$K3225,$K3225),0))))</f>
        <v/>
      </c>
      <c r="U3225" s="6" t="str">
        <f>IF($K3225="","",IF(ISNUMBER(SEARCH("sortie-epargne",IFERROR(INDEX('Paramètres'!$N:$N,MATCH($D3225,'Paramètres'!$M:$M,0))&amp;"",""))),$K3225,0))</f>
        <v/>
      </c>
      <c r="V3225" s="6" t="str">
        <f>IF(AND($A3225&lt;&gt;"",$O3225=1,$L3225="Débit",N($Q3225)&gt;0,$A3225&gt;=Visualisation!$B$1,$A3225&lt;Visualisation!$D$1),MAX($V$1:V3224)+1,"")</f>
        <v/>
      </c>
    </row>
    <row r="3226" spans="1:22" x14ac:dyDescent="0.25">
      <c r="A3226" s="9"/>
      <c r="E3226" s="10"/>
      <c r="K3226" s="11" t="str">
        <f>IF($E3226="","",ROUND($E3226*IF(ISNA(MATCH($C3226,'Paramètres'!$D:$D,0)),1,IF(INDEX('Paramètres'!$J:$J,MATCH($C3226,'Paramètres'!$D:$D,0))="",1,INDEX('Paramètres'!$J:$J,MATCH($C3226,'Paramètres'!$D:$D,0)))),2))</f>
        <v/>
      </c>
      <c r="L3226" s="6" t="str">
        <f>IF($D3226="","",IF($F3226&lt;&gt;"",$F3226,IF(ISNA(MATCH($D3226,'Paramètres'!$M:$M,0)),"⚠ Type inconnu",IFERROR(INDEX('Paramètres'!$P:$P,MATCH($D3226,'Paramètres'!$M:$M,0))&amp;"",""))))</f>
        <v/>
      </c>
      <c r="M3226" s="6" t="str">
        <f>IF($D3226="","",IF(ISNA(MATCH($D3226,'Paramètres'!$M:$M,0)),"⚠ Type inconnu",IF($L3226="Crédit","",IFERROR(INDEX('Paramètres'!$O:$O,MATCH($D3226,'Paramètres'!$M:$M,0))&amp;"",""))))</f>
        <v/>
      </c>
      <c r="N3226" s="6" t="str">
        <f>IF($D3226="","",IFERROR(INDEX('Paramètres'!$Q:$Q,MATCH($D3226,'Paramètres'!$M:$M,0))&amp;"",""))</f>
        <v/>
      </c>
      <c r="O3226" s="6" t="str">
        <f>IF($A3226="","",IF(OR($J3226&lt;&gt;"x",$A3226&lt;=FinReleve),1,0))</f>
        <v/>
      </c>
      <c r="P3226" s="6" t="str">
        <f>IF($D3226="","",IF(AND($L3226="Crédit",OR(IFERROR(INDEX('Paramètres'!$O:$O,MATCH($D3226,'Paramètres'!$M:$M,0))&amp;"","")&lt;&gt;"",ISNUMBER(SEARCH("remboursement",IFERROR(INDEX('Paramètres'!$N:$N,MATCH($D3226,'Paramètres'!$M:$M,0))&amp;"",""))))),1,0))</f>
        <v/>
      </c>
      <c r="Q3226" s="6" t="str">
        <f>IF($K3226="","",IF(ISNUMBER(SEARCH("transfert-interne",IFERROR(INDEX('Paramètres'!$N:$N,MATCH($D3226,'Paramètres'!$M:$M,0))&amp;"",""))),0,IF($L3226="Débit",$K3226,IF($P3226=1,-$K3226,0))))</f>
        <v/>
      </c>
      <c r="R3226" s="6" t="str">
        <f>IF($K3226="","",IF($L3226="Crédit",$K3226,-$K3226))</f>
        <v/>
      </c>
      <c r="S3226" s="6" t="str">
        <f>IF($C3226="","",IFERROR(INDEX('Paramètres'!$H:$H,MATCH($C3226,'Paramètres'!$D:$D,0))&amp;"",""))</f>
        <v/>
      </c>
      <c r="T3226" s="6" t="str">
        <f>IF($K3226="","",IF($S3226="",0,IF(ISNUMBER(SEARCH("apport-exterieur",IFERROR(INDEX('Paramètres'!$N:$N,MATCH($D3226,'Paramètres'!$M:$M,0))&amp;"",""))),0,IF(OR(IFERROR(INDEX('Paramètres'!$I:$I,MATCH($C3226,'Paramètres'!$D:$D,0))&amp;"","")="Les deux",IFERROR(INDEX('Paramètres'!$I:$I,MATCH($C3226,'Paramètres'!$D:$D,0))&amp;"","")=IF($P3226=1,"Débit",$L3226)),-IF($P3226=1,-$K3226,$K3226),0))))</f>
        <v/>
      </c>
      <c r="U3226" s="6" t="str">
        <f>IF($K3226="","",IF(ISNUMBER(SEARCH("sortie-epargne",IFERROR(INDEX('Paramètres'!$N:$N,MATCH($D3226,'Paramètres'!$M:$M,0))&amp;"",""))),$K3226,0))</f>
        <v/>
      </c>
      <c r="V3226" s="6" t="str">
        <f>IF(AND($A3226&lt;&gt;"",$O3226=1,$L3226="Débit",N($Q3226)&gt;0,$A3226&gt;=Visualisation!$B$1,$A3226&lt;Visualisation!$D$1),MAX($V$1:V3225)+1,"")</f>
        <v/>
      </c>
    </row>
    <row r="3227" spans="1:22" x14ac:dyDescent="0.25">
      <c r="A3227" s="9"/>
      <c r="E3227" s="10"/>
      <c r="K3227" s="11" t="str">
        <f>IF($E3227="","",ROUND($E3227*IF(ISNA(MATCH($C3227,'Paramètres'!$D:$D,0)),1,IF(INDEX('Paramètres'!$J:$J,MATCH($C3227,'Paramètres'!$D:$D,0))="",1,INDEX('Paramètres'!$J:$J,MATCH($C3227,'Paramètres'!$D:$D,0)))),2))</f>
        <v/>
      </c>
      <c r="L3227" s="6" t="str">
        <f>IF($D3227="","",IF($F3227&lt;&gt;"",$F3227,IF(ISNA(MATCH($D3227,'Paramètres'!$M:$M,0)),"⚠ Type inconnu",IFERROR(INDEX('Paramètres'!$P:$P,MATCH($D3227,'Paramètres'!$M:$M,0))&amp;"",""))))</f>
        <v/>
      </c>
      <c r="M3227" s="6" t="str">
        <f>IF($D3227="","",IF(ISNA(MATCH($D3227,'Paramètres'!$M:$M,0)),"⚠ Type inconnu",IF($L3227="Crédit","",IFERROR(INDEX('Paramètres'!$O:$O,MATCH($D3227,'Paramètres'!$M:$M,0))&amp;"",""))))</f>
        <v/>
      </c>
      <c r="N3227" s="6" t="str">
        <f>IF($D3227="","",IFERROR(INDEX('Paramètres'!$Q:$Q,MATCH($D3227,'Paramètres'!$M:$M,0))&amp;"",""))</f>
        <v/>
      </c>
      <c r="O3227" s="6" t="str">
        <f>IF($A3227="","",IF(OR($J3227&lt;&gt;"x",$A3227&lt;=FinReleve),1,0))</f>
        <v/>
      </c>
      <c r="P3227" s="6" t="str">
        <f>IF($D3227="","",IF(AND($L3227="Crédit",OR(IFERROR(INDEX('Paramètres'!$O:$O,MATCH($D3227,'Paramètres'!$M:$M,0))&amp;"","")&lt;&gt;"",ISNUMBER(SEARCH("remboursement",IFERROR(INDEX('Paramètres'!$N:$N,MATCH($D3227,'Paramètres'!$M:$M,0))&amp;"",""))))),1,0))</f>
        <v/>
      </c>
      <c r="Q3227" s="6" t="str">
        <f>IF($K3227="","",IF(ISNUMBER(SEARCH("transfert-interne",IFERROR(INDEX('Paramètres'!$N:$N,MATCH($D3227,'Paramètres'!$M:$M,0))&amp;"",""))),0,IF($L3227="Débit",$K3227,IF($P3227=1,-$K3227,0))))</f>
        <v/>
      </c>
      <c r="R3227" s="6" t="str">
        <f>IF($K3227="","",IF($L3227="Crédit",$K3227,-$K3227))</f>
        <v/>
      </c>
      <c r="S3227" s="6" t="str">
        <f>IF($C3227="","",IFERROR(INDEX('Paramètres'!$H:$H,MATCH($C3227,'Paramètres'!$D:$D,0))&amp;"",""))</f>
        <v/>
      </c>
      <c r="T3227" s="6" t="str">
        <f>IF($K3227="","",IF($S3227="",0,IF(ISNUMBER(SEARCH("apport-exterieur",IFERROR(INDEX('Paramètres'!$N:$N,MATCH($D3227,'Paramètres'!$M:$M,0))&amp;"",""))),0,IF(OR(IFERROR(INDEX('Paramètres'!$I:$I,MATCH($C3227,'Paramètres'!$D:$D,0))&amp;"","")="Les deux",IFERROR(INDEX('Paramètres'!$I:$I,MATCH($C3227,'Paramètres'!$D:$D,0))&amp;"","")=IF($P3227=1,"Débit",$L3227)),-IF($P3227=1,-$K3227,$K3227),0))))</f>
        <v/>
      </c>
      <c r="U3227" s="6" t="str">
        <f>IF($K3227="","",IF(ISNUMBER(SEARCH("sortie-epargne",IFERROR(INDEX('Paramètres'!$N:$N,MATCH($D3227,'Paramètres'!$M:$M,0))&amp;"",""))),$K3227,0))</f>
        <v/>
      </c>
      <c r="V3227" s="6" t="str">
        <f>IF(AND($A3227&lt;&gt;"",$O3227=1,$L3227="Débit",N($Q3227)&gt;0,$A3227&gt;=Visualisation!$B$1,$A3227&lt;Visualisation!$D$1),MAX($V$1:V3226)+1,"")</f>
        <v/>
      </c>
    </row>
    <row r="3228" spans="1:22" x14ac:dyDescent="0.25">
      <c r="A3228" s="9"/>
      <c r="E3228" s="10"/>
      <c r="K3228" s="11" t="str">
        <f>IF($E3228="","",ROUND($E3228*IF(ISNA(MATCH($C3228,'Paramètres'!$D:$D,0)),1,IF(INDEX('Paramètres'!$J:$J,MATCH($C3228,'Paramètres'!$D:$D,0))="",1,INDEX('Paramètres'!$J:$J,MATCH($C3228,'Paramètres'!$D:$D,0)))),2))</f>
        <v/>
      </c>
      <c r="L3228" s="6" t="str">
        <f>IF($D3228="","",IF($F3228&lt;&gt;"",$F3228,IF(ISNA(MATCH($D3228,'Paramètres'!$M:$M,0)),"⚠ Type inconnu",IFERROR(INDEX('Paramètres'!$P:$P,MATCH($D3228,'Paramètres'!$M:$M,0))&amp;"",""))))</f>
        <v/>
      </c>
      <c r="M3228" s="6" t="str">
        <f>IF($D3228="","",IF(ISNA(MATCH($D3228,'Paramètres'!$M:$M,0)),"⚠ Type inconnu",IF($L3228="Crédit","",IFERROR(INDEX('Paramètres'!$O:$O,MATCH($D3228,'Paramètres'!$M:$M,0))&amp;"",""))))</f>
        <v/>
      </c>
      <c r="N3228" s="6" t="str">
        <f>IF($D3228="","",IFERROR(INDEX('Paramètres'!$Q:$Q,MATCH($D3228,'Paramètres'!$M:$M,0))&amp;"",""))</f>
        <v/>
      </c>
      <c r="O3228" s="6" t="str">
        <f>IF($A3228="","",IF(OR($J3228&lt;&gt;"x",$A3228&lt;=FinReleve),1,0))</f>
        <v/>
      </c>
      <c r="P3228" s="6" t="str">
        <f>IF($D3228="","",IF(AND($L3228="Crédit",OR(IFERROR(INDEX('Paramètres'!$O:$O,MATCH($D3228,'Paramètres'!$M:$M,0))&amp;"","")&lt;&gt;"",ISNUMBER(SEARCH("remboursement",IFERROR(INDEX('Paramètres'!$N:$N,MATCH($D3228,'Paramètres'!$M:$M,0))&amp;"",""))))),1,0))</f>
        <v/>
      </c>
      <c r="Q3228" s="6" t="str">
        <f>IF($K3228="","",IF(ISNUMBER(SEARCH("transfert-interne",IFERROR(INDEX('Paramètres'!$N:$N,MATCH($D3228,'Paramètres'!$M:$M,0))&amp;"",""))),0,IF($L3228="Débit",$K3228,IF($P3228=1,-$K3228,0))))</f>
        <v/>
      </c>
      <c r="R3228" s="6" t="str">
        <f>IF($K3228="","",IF($L3228="Crédit",$K3228,-$K3228))</f>
        <v/>
      </c>
      <c r="S3228" s="6" t="str">
        <f>IF($C3228="","",IFERROR(INDEX('Paramètres'!$H:$H,MATCH($C3228,'Paramètres'!$D:$D,0))&amp;"",""))</f>
        <v/>
      </c>
      <c r="T3228" s="6" t="str">
        <f>IF($K3228="","",IF($S3228="",0,IF(ISNUMBER(SEARCH("apport-exterieur",IFERROR(INDEX('Paramètres'!$N:$N,MATCH($D3228,'Paramètres'!$M:$M,0))&amp;"",""))),0,IF(OR(IFERROR(INDEX('Paramètres'!$I:$I,MATCH($C3228,'Paramètres'!$D:$D,0))&amp;"","")="Les deux",IFERROR(INDEX('Paramètres'!$I:$I,MATCH($C3228,'Paramètres'!$D:$D,0))&amp;"","")=IF($P3228=1,"Débit",$L3228)),-IF($P3228=1,-$K3228,$K3228),0))))</f>
        <v/>
      </c>
      <c r="U3228" s="6" t="str">
        <f>IF($K3228="","",IF(ISNUMBER(SEARCH("sortie-epargne",IFERROR(INDEX('Paramètres'!$N:$N,MATCH($D3228,'Paramètres'!$M:$M,0))&amp;"",""))),$K3228,0))</f>
        <v/>
      </c>
      <c r="V3228" s="6" t="str">
        <f>IF(AND($A3228&lt;&gt;"",$O3228=1,$L3228="Débit",N($Q3228)&gt;0,$A3228&gt;=Visualisation!$B$1,$A3228&lt;Visualisation!$D$1),MAX($V$1:V3227)+1,"")</f>
        <v/>
      </c>
    </row>
    <row r="3229" spans="1:22" x14ac:dyDescent="0.25">
      <c r="A3229" s="9"/>
      <c r="E3229" s="10"/>
      <c r="K3229" s="11" t="str">
        <f>IF($E3229="","",ROUND($E3229*IF(ISNA(MATCH($C3229,'Paramètres'!$D:$D,0)),1,IF(INDEX('Paramètres'!$J:$J,MATCH($C3229,'Paramètres'!$D:$D,0))="",1,INDEX('Paramètres'!$J:$J,MATCH($C3229,'Paramètres'!$D:$D,0)))),2))</f>
        <v/>
      </c>
      <c r="L3229" s="6" t="str">
        <f>IF($D3229="","",IF($F3229&lt;&gt;"",$F3229,IF(ISNA(MATCH($D3229,'Paramètres'!$M:$M,0)),"⚠ Type inconnu",IFERROR(INDEX('Paramètres'!$P:$P,MATCH($D3229,'Paramètres'!$M:$M,0))&amp;"",""))))</f>
        <v/>
      </c>
      <c r="M3229" s="6" t="str">
        <f>IF($D3229="","",IF(ISNA(MATCH($D3229,'Paramètres'!$M:$M,0)),"⚠ Type inconnu",IF($L3229="Crédit","",IFERROR(INDEX('Paramètres'!$O:$O,MATCH($D3229,'Paramètres'!$M:$M,0))&amp;"",""))))</f>
        <v/>
      </c>
      <c r="N3229" s="6" t="str">
        <f>IF($D3229="","",IFERROR(INDEX('Paramètres'!$Q:$Q,MATCH($D3229,'Paramètres'!$M:$M,0))&amp;"",""))</f>
        <v/>
      </c>
      <c r="O3229" s="6" t="str">
        <f>IF($A3229="","",IF(OR($J3229&lt;&gt;"x",$A3229&lt;=FinReleve),1,0))</f>
        <v/>
      </c>
      <c r="P3229" s="6" t="str">
        <f>IF($D3229="","",IF(AND($L3229="Crédit",OR(IFERROR(INDEX('Paramètres'!$O:$O,MATCH($D3229,'Paramètres'!$M:$M,0))&amp;"","")&lt;&gt;"",ISNUMBER(SEARCH("remboursement",IFERROR(INDEX('Paramètres'!$N:$N,MATCH($D3229,'Paramètres'!$M:$M,0))&amp;"",""))))),1,0))</f>
        <v/>
      </c>
      <c r="Q3229" s="6" t="str">
        <f>IF($K3229="","",IF(ISNUMBER(SEARCH("transfert-interne",IFERROR(INDEX('Paramètres'!$N:$N,MATCH($D3229,'Paramètres'!$M:$M,0))&amp;"",""))),0,IF($L3229="Débit",$K3229,IF($P3229=1,-$K3229,0))))</f>
        <v/>
      </c>
      <c r="R3229" s="6" t="str">
        <f>IF($K3229="","",IF($L3229="Crédit",$K3229,-$K3229))</f>
        <v/>
      </c>
      <c r="S3229" s="6" t="str">
        <f>IF($C3229="","",IFERROR(INDEX('Paramètres'!$H:$H,MATCH($C3229,'Paramètres'!$D:$D,0))&amp;"",""))</f>
        <v/>
      </c>
      <c r="T3229" s="6" t="str">
        <f>IF($K3229="","",IF($S3229="",0,IF(ISNUMBER(SEARCH("apport-exterieur",IFERROR(INDEX('Paramètres'!$N:$N,MATCH($D3229,'Paramètres'!$M:$M,0))&amp;"",""))),0,IF(OR(IFERROR(INDEX('Paramètres'!$I:$I,MATCH($C3229,'Paramètres'!$D:$D,0))&amp;"","")="Les deux",IFERROR(INDEX('Paramètres'!$I:$I,MATCH($C3229,'Paramètres'!$D:$D,0))&amp;"","")=IF($P3229=1,"Débit",$L3229)),-IF($P3229=1,-$K3229,$K3229),0))))</f>
        <v/>
      </c>
      <c r="U3229" s="6" t="str">
        <f>IF($K3229="","",IF(ISNUMBER(SEARCH("sortie-epargne",IFERROR(INDEX('Paramètres'!$N:$N,MATCH($D3229,'Paramètres'!$M:$M,0))&amp;"",""))),$K3229,0))</f>
        <v/>
      </c>
      <c r="V3229" s="6" t="str">
        <f>IF(AND($A3229&lt;&gt;"",$O3229=1,$L3229="Débit",N($Q3229)&gt;0,$A3229&gt;=Visualisation!$B$1,$A3229&lt;Visualisation!$D$1),MAX($V$1:V3228)+1,"")</f>
        <v/>
      </c>
    </row>
    <row r="3230" spans="1:22" x14ac:dyDescent="0.25">
      <c r="A3230" s="9"/>
      <c r="E3230" s="10"/>
      <c r="K3230" s="11" t="str">
        <f>IF($E3230="","",ROUND($E3230*IF(ISNA(MATCH($C3230,'Paramètres'!$D:$D,0)),1,IF(INDEX('Paramètres'!$J:$J,MATCH($C3230,'Paramètres'!$D:$D,0))="",1,INDEX('Paramètres'!$J:$J,MATCH($C3230,'Paramètres'!$D:$D,0)))),2))</f>
        <v/>
      </c>
      <c r="L3230" s="6" t="str">
        <f>IF($D3230="","",IF($F3230&lt;&gt;"",$F3230,IF(ISNA(MATCH($D3230,'Paramètres'!$M:$M,0)),"⚠ Type inconnu",IFERROR(INDEX('Paramètres'!$P:$P,MATCH($D3230,'Paramètres'!$M:$M,0))&amp;"",""))))</f>
        <v/>
      </c>
      <c r="M3230" s="6" t="str">
        <f>IF($D3230="","",IF(ISNA(MATCH($D3230,'Paramètres'!$M:$M,0)),"⚠ Type inconnu",IF($L3230="Crédit","",IFERROR(INDEX('Paramètres'!$O:$O,MATCH($D3230,'Paramètres'!$M:$M,0))&amp;"",""))))</f>
        <v/>
      </c>
      <c r="N3230" s="6" t="str">
        <f>IF($D3230="","",IFERROR(INDEX('Paramètres'!$Q:$Q,MATCH($D3230,'Paramètres'!$M:$M,0))&amp;"",""))</f>
        <v/>
      </c>
      <c r="O3230" s="6" t="str">
        <f>IF($A3230="","",IF(OR($J3230&lt;&gt;"x",$A3230&lt;=FinReleve),1,0))</f>
        <v/>
      </c>
      <c r="P3230" s="6" t="str">
        <f>IF($D3230="","",IF(AND($L3230="Crédit",OR(IFERROR(INDEX('Paramètres'!$O:$O,MATCH($D3230,'Paramètres'!$M:$M,0))&amp;"","")&lt;&gt;"",ISNUMBER(SEARCH("remboursement",IFERROR(INDEX('Paramètres'!$N:$N,MATCH($D3230,'Paramètres'!$M:$M,0))&amp;"",""))))),1,0))</f>
        <v/>
      </c>
      <c r="Q3230" s="6" t="str">
        <f>IF($K3230="","",IF(ISNUMBER(SEARCH("transfert-interne",IFERROR(INDEX('Paramètres'!$N:$N,MATCH($D3230,'Paramètres'!$M:$M,0))&amp;"",""))),0,IF($L3230="Débit",$K3230,IF($P3230=1,-$K3230,0))))</f>
        <v/>
      </c>
      <c r="R3230" s="6" t="str">
        <f>IF($K3230="","",IF($L3230="Crédit",$K3230,-$K3230))</f>
        <v/>
      </c>
      <c r="S3230" s="6" t="str">
        <f>IF($C3230="","",IFERROR(INDEX('Paramètres'!$H:$H,MATCH($C3230,'Paramètres'!$D:$D,0))&amp;"",""))</f>
        <v/>
      </c>
      <c r="T3230" s="6" t="str">
        <f>IF($K3230="","",IF($S3230="",0,IF(ISNUMBER(SEARCH("apport-exterieur",IFERROR(INDEX('Paramètres'!$N:$N,MATCH($D3230,'Paramètres'!$M:$M,0))&amp;"",""))),0,IF(OR(IFERROR(INDEX('Paramètres'!$I:$I,MATCH($C3230,'Paramètres'!$D:$D,0))&amp;"","")="Les deux",IFERROR(INDEX('Paramètres'!$I:$I,MATCH($C3230,'Paramètres'!$D:$D,0))&amp;"","")=IF($P3230=1,"Débit",$L3230)),-IF($P3230=1,-$K3230,$K3230),0))))</f>
        <v/>
      </c>
      <c r="U3230" s="6" t="str">
        <f>IF($K3230="","",IF(ISNUMBER(SEARCH("sortie-epargne",IFERROR(INDEX('Paramètres'!$N:$N,MATCH($D3230,'Paramètres'!$M:$M,0))&amp;"",""))),$K3230,0))</f>
        <v/>
      </c>
      <c r="V3230" s="6" t="str">
        <f>IF(AND($A3230&lt;&gt;"",$O3230=1,$L3230="Débit",N($Q3230)&gt;0,$A3230&gt;=Visualisation!$B$1,$A3230&lt;Visualisation!$D$1),MAX($V$1:V3229)+1,"")</f>
        <v/>
      </c>
    </row>
    <row r="3231" spans="1:22" x14ac:dyDescent="0.25">
      <c r="A3231" s="9"/>
      <c r="E3231" s="10"/>
      <c r="K3231" s="11" t="str">
        <f>IF($E3231="","",ROUND($E3231*IF(ISNA(MATCH($C3231,'Paramètres'!$D:$D,0)),1,IF(INDEX('Paramètres'!$J:$J,MATCH($C3231,'Paramètres'!$D:$D,0))="",1,INDEX('Paramètres'!$J:$J,MATCH($C3231,'Paramètres'!$D:$D,0)))),2))</f>
        <v/>
      </c>
      <c r="L3231" s="6" t="str">
        <f>IF($D3231="","",IF($F3231&lt;&gt;"",$F3231,IF(ISNA(MATCH($D3231,'Paramètres'!$M:$M,0)),"⚠ Type inconnu",IFERROR(INDEX('Paramètres'!$P:$P,MATCH($D3231,'Paramètres'!$M:$M,0))&amp;"",""))))</f>
        <v/>
      </c>
      <c r="M3231" s="6" t="str">
        <f>IF($D3231="","",IF(ISNA(MATCH($D3231,'Paramètres'!$M:$M,0)),"⚠ Type inconnu",IF($L3231="Crédit","",IFERROR(INDEX('Paramètres'!$O:$O,MATCH($D3231,'Paramètres'!$M:$M,0))&amp;"",""))))</f>
        <v/>
      </c>
      <c r="N3231" s="6" t="str">
        <f>IF($D3231="","",IFERROR(INDEX('Paramètres'!$Q:$Q,MATCH($D3231,'Paramètres'!$M:$M,0))&amp;"",""))</f>
        <v/>
      </c>
      <c r="O3231" s="6" t="str">
        <f>IF($A3231="","",IF(OR($J3231&lt;&gt;"x",$A3231&lt;=FinReleve),1,0))</f>
        <v/>
      </c>
      <c r="P3231" s="6" t="str">
        <f>IF($D3231="","",IF(AND($L3231="Crédit",OR(IFERROR(INDEX('Paramètres'!$O:$O,MATCH($D3231,'Paramètres'!$M:$M,0))&amp;"","")&lt;&gt;"",ISNUMBER(SEARCH("remboursement",IFERROR(INDEX('Paramètres'!$N:$N,MATCH($D3231,'Paramètres'!$M:$M,0))&amp;"",""))))),1,0))</f>
        <v/>
      </c>
      <c r="Q3231" s="6" t="str">
        <f>IF($K3231="","",IF(ISNUMBER(SEARCH("transfert-interne",IFERROR(INDEX('Paramètres'!$N:$N,MATCH($D3231,'Paramètres'!$M:$M,0))&amp;"",""))),0,IF($L3231="Débit",$K3231,IF($P3231=1,-$K3231,0))))</f>
        <v/>
      </c>
      <c r="R3231" s="6" t="str">
        <f>IF($K3231="","",IF($L3231="Crédit",$K3231,-$K3231))</f>
        <v/>
      </c>
      <c r="S3231" s="6" t="str">
        <f>IF($C3231="","",IFERROR(INDEX('Paramètres'!$H:$H,MATCH($C3231,'Paramètres'!$D:$D,0))&amp;"",""))</f>
        <v/>
      </c>
      <c r="T3231" s="6" t="str">
        <f>IF($K3231="","",IF($S3231="",0,IF(ISNUMBER(SEARCH("apport-exterieur",IFERROR(INDEX('Paramètres'!$N:$N,MATCH($D3231,'Paramètres'!$M:$M,0))&amp;"",""))),0,IF(OR(IFERROR(INDEX('Paramètres'!$I:$I,MATCH($C3231,'Paramètres'!$D:$D,0))&amp;"","")="Les deux",IFERROR(INDEX('Paramètres'!$I:$I,MATCH($C3231,'Paramètres'!$D:$D,0))&amp;"","")=IF($P3231=1,"Débit",$L3231)),-IF($P3231=1,-$K3231,$K3231),0))))</f>
        <v/>
      </c>
      <c r="U3231" s="6" t="str">
        <f>IF($K3231="","",IF(ISNUMBER(SEARCH("sortie-epargne",IFERROR(INDEX('Paramètres'!$N:$N,MATCH($D3231,'Paramètres'!$M:$M,0))&amp;"",""))),$K3231,0))</f>
        <v/>
      </c>
      <c r="V3231" s="6" t="str">
        <f>IF(AND($A3231&lt;&gt;"",$O3231=1,$L3231="Débit",N($Q3231)&gt;0,$A3231&gt;=Visualisation!$B$1,$A3231&lt;Visualisation!$D$1),MAX($V$1:V3230)+1,"")</f>
        <v/>
      </c>
    </row>
    <row r="3232" spans="1:22" x14ac:dyDescent="0.25">
      <c r="A3232" s="9"/>
      <c r="E3232" s="10"/>
      <c r="K3232" s="11" t="str">
        <f>IF($E3232="","",ROUND($E3232*IF(ISNA(MATCH($C3232,'Paramètres'!$D:$D,0)),1,IF(INDEX('Paramètres'!$J:$J,MATCH($C3232,'Paramètres'!$D:$D,0))="",1,INDEX('Paramètres'!$J:$J,MATCH($C3232,'Paramètres'!$D:$D,0)))),2))</f>
        <v/>
      </c>
      <c r="L3232" s="6" t="str">
        <f>IF($D3232="","",IF($F3232&lt;&gt;"",$F3232,IF(ISNA(MATCH($D3232,'Paramètres'!$M:$M,0)),"⚠ Type inconnu",IFERROR(INDEX('Paramètres'!$P:$P,MATCH($D3232,'Paramètres'!$M:$M,0))&amp;"",""))))</f>
        <v/>
      </c>
      <c r="M3232" s="6" t="str">
        <f>IF($D3232="","",IF(ISNA(MATCH($D3232,'Paramètres'!$M:$M,0)),"⚠ Type inconnu",IF($L3232="Crédit","",IFERROR(INDEX('Paramètres'!$O:$O,MATCH($D3232,'Paramètres'!$M:$M,0))&amp;"",""))))</f>
        <v/>
      </c>
      <c r="N3232" s="6" t="str">
        <f>IF($D3232="","",IFERROR(INDEX('Paramètres'!$Q:$Q,MATCH($D3232,'Paramètres'!$M:$M,0))&amp;"",""))</f>
        <v/>
      </c>
      <c r="O3232" s="6" t="str">
        <f>IF($A3232="","",IF(OR($J3232&lt;&gt;"x",$A3232&lt;=FinReleve),1,0))</f>
        <v/>
      </c>
      <c r="P3232" s="6" t="str">
        <f>IF($D3232="","",IF(AND($L3232="Crédit",OR(IFERROR(INDEX('Paramètres'!$O:$O,MATCH($D3232,'Paramètres'!$M:$M,0))&amp;"","")&lt;&gt;"",ISNUMBER(SEARCH("remboursement",IFERROR(INDEX('Paramètres'!$N:$N,MATCH($D3232,'Paramètres'!$M:$M,0))&amp;"",""))))),1,0))</f>
        <v/>
      </c>
      <c r="Q3232" s="6" t="str">
        <f>IF($K3232="","",IF(ISNUMBER(SEARCH("transfert-interne",IFERROR(INDEX('Paramètres'!$N:$N,MATCH($D3232,'Paramètres'!$M:$M,0))&amp;"",""))),0,IF($L3232="Débit",$K3232,IF($P3232=1,-$K3232,0))))</f>
        <v/>
      </c>
      <c r="R3232" s="6" t="str">
        <f>IF($K3232="","",IF($L3232="Crédit",$K3232,-$K3232))</f>
        <v/>
      </c>
      <c r="S3232" s="6" t="str">
        <f>IF($C3232="","",IFERROR(INDEX('Paramètres'!$H:$H,MATCH($C3232,'Paramètres'!$D:$D,0))&amp;"",""))</f>
        <v/>
      </c>
      <c r="T3232" s="6" t="str">
        <f>IF($K3232="","",IF($S3232="",0,IF(ISNUMBER(SEARCH("apport-exterieur",IFERROR(INDEX('Paramètres'!$N:$N,MATCH($D3232,'Paramètres'!$M:$M,0))&amp;"",""))),0,IF(OR(IFERROR(INDEX('Paramètres'!$I:$I,MATCH($C3232,'Paramètres'!$D:$D,0))&amp;"","")="Les deux",IFERROR(INDEX('Paramètres'!$I:$I,MATCH($C3232,'Paramètres'!$D:$D,0))&amp;"","")=IF($P3232=1,"Débit",$L3232)),-IF($P3232=1,-$K3232,$K3232),0))))</f>
        <v/>
      </c>
      <c r="U3232" s="6" t="str">
        <f>IF($K3232="","",IF(ISNUMBER(SEARCH("sortie-epargne",IFERROR(INDEX('Paramètres'!$N:$N,MATCH($D3232,'Paramètres'!$M:$M,0))&amp;"",""))),$K3232,0))</f>
        <v/>
      </c>
      <c r="V3232" s="6" t="str">
        <f>IF(AND($A3232&lt;&gt;"",$O3232=1,$L3232="Débit",N($Q3232)&gt;0,$A3232&gt;=Visualisation!$B$1,$A3232&lt;Visualisation!$D$1),MAX($V$1:V3231)+1,"")</f>
        <v/>
      </c>
    </row>
    <row r="3233" spans="1:22" x14ac:dyDescent="0.25">
      <c r="A3233" s="9"/>
      <c r="E3233" s="10"/>
      <c r="K3233" s="11" t="str">
        <f>IF($E3233="","",ROUND($E3233*IF(ISNA(MATCH($C3233,'Paramètres'!$D:$D,0)),1,IF(INDEX('Paramètres'!$J:$J,MATCH($C3233,'Paramètres'!$D:$D,0))="",1,INDEX('Paramètres'!$J:$J,MATCH($C3233,'Paramètres'!$D:$D,0)))),2))</f>
        <v/>
      </c>
      <c r="L3233" s="6" t="str">
        <f>IF($D3233="","",IF($F3233&lt;&gt;"",$F3233,IF(ISNA(MATCH($D3233,'Paramètres'!$M:$M,0)),"⚠ Type inconnu",IFERROR(INDEX('Paramètres'!$P:$P,MATCH($D3233,'Paramètres'!$M:$M,0))&amp;"",""))))</f>
        <v/>
      </c>
      <c r="M3233" s="6" t="str">
        <f>IF($D3233="","",IF(ISNA(MATCH($D3233,'Paramètres'!$M:$M,0)),"⚠ Type inconnu",IF($L3233="Crédit","",IFERROR(INDEX('Paramètres'!$O:$O,MATCH($D3233,'Paramètres'!$M:$M,0))&amp;"",""))))</f>
        <v/>
      </c>
      <c r="N3233" s="6" t="str">
        <f>IF($D3233="","",IFERROR(INDEX('Paramètres'!$Q:$Q,MATCH($D3233,'Paramètres'!$M:$M,0))&amp;"",""))</f>
        <v/>
      </c>
      <c r="O3233" s="6" t="str">
        <f>IF($A3233="","",IF(OR($J3233&lt;&gt;"x",$A3233&lt;=FinReleve),1,0))</f>
        <v/>
      </c>
      <c r="P3233" s="6" t="str">
        <f>IF($D3233="","",IF(AND($L3233="Crédit",OR(IFERROR(INDEX('Paramètres'!$O:$O,MATCH($D3233,'Paramètres'!$M:$M,0))&amp;"","")&lt;&gt;"",ISNUMBER(SEARCH("remboursement",IFERROR(INDEX('Paramètres'!$N:$N,MATCH($D3233,'Paramètres'!$M:$M,0))&amp;"",""))))),1,0))</f>
        <v/>
      </c>
      <c r="Q3233" s="6" t="str">
        <f>IF($K3233="","",IF(ISNUMBER(SEARCH("transfert-interne",IFERROR(INDEX('Paramètres'!$N:$N,MATCH($D3233,'Paramètres'!$M:$M,0))&amp;"",""))),0,IF($L3233="Débit",$K3233,IF($P3233=1,-$K3233,0))))</f>
        <v/>
      </c>
      <c r="R3233" s="6" t="str">
        <f>IF($K3233="","",IF($L3233="Crédit",$K3233,-$K3233))</f>
        <v/>
      </c>
      <c r="S3233" s="6" t="str">
        <f>IF($C3233="","",IFERROR(INDEX('Paramètres'!$H:$H,MATCH($C3233,'Paramètres'!$D:$D,0))&amp;"",""))</f>
        <v/>
      </c>
      <c r="T3233" s="6" t="str">
        <f>IF($K3233="","",IF($S3233="",0,IF(ISNUMBER(SEARCH("apport-exterieur",IFERROR(INDEX('Paramètres'!$N:$N,MATCH($D3233,'Paramètres'!$M:$M,0))&amp;"",""))),0,IF(OR(IFERROR(INDEX('Paramètres'!$I:$I,MATCH($C3233,'Paramètres'!$D:$D,0))&amp;"","")="Les deux",IFERROR(INDEX('Paramètres'!$I:$I,MATCH($C3233,'Paramètres'!$D:$D,0))&amp;"","")=IF($P3233=1,"Débit",$L3233)),-IF($P3233=1,-$K3233,$K3233),0))))</f>
        <v/>
      </c>
      <c r="U3233" s="6" t="str">
        <f>IF($K3233="","",IF(ISNUMBER(SEARCH("sortie-epargne",IFERROR(INDEX('Paramètres'!$N:$N,MATCH($D3233,'Paramètres'!$M:$M,0))&amp;"",""))),$K3233,0))</f>
        <v/>
      </c>
      <c r="V3233" s="6" t="str">
        <f>IF(AND($A3233&lt;&gt;"",$O3233=1,$L3233="Débit",N($Q3233)&gt;0,$A3233&gt;=Visualisation!$B$1,$A3233&lt;Visualisation!$D$1),MAX($V$1:V3232)+1,"")</f>
        <v/>
      </c>
    </row>
    <row r="3234" spans="1:22" x14ac:dyDescent="0.25">
      <c r="A3234" s="9"/>
      <c r="E3234" s="10"/>
      <c r="K3234" s="11" t="str">
        <f>IF($E3234="","",ROUND($E3234*IF(ISNA(MATCH($C3234,'Paramètres'!$D:$D,0)),1,IF(INDEX('Paramètres'!$J:$J,MATCH($C3234,'Paramètres'!$D:$D,0))="",1,INDEX('Paramètres'!$J:$J,MATCH($C3234,'Paramètres'!$D:$D,0)))),2))</f>
        <v/>
      </c>
      <c r="L3234" s="6" t="str">
        <f>IF($D3234="","",IF($F3234&lt;&gt;"",$F3234,IF(ISNA(MATCH($D3234,'Paramètres'!$M:$M,0)),"⚠ Type inconnu",IFERROR(INDEX('Paramètres'!$P:$P,MATCH($D3234,'Paramètres'!$M:$M,0))&amp;"",""))))</f>
        <v/>
      </c>
      <c r="M3234" s="6" t="str">
        <f>IF($D3234="","",IF(ISNA(MATCH($D3234,'Paramètres'!$M:$M,0)),"⚠ Type inconnu",IF($L3234="Crédit","",IFERROR(INDEX('Paramètres'!$O:$O,MATCH($D3234,'Paramètres'!$M:$M,0))&amp;"",""))))</f>
        <v/>
      </c>
      <c r="N3234" s="6" t="str">
        <f>IF($D3234="","",IFERROR(INDEX('Paramètres'!$Q:$Q,MATCH($D3234,'Paramètres'!$M:$M,0))&amp;"",""))</f>
        <v/>
      </c>
      <c r="O3234" s="6" t="str">
        <f>IF($A3234="","",IF(OR($J3234&lt;&gt;"x",$A3234&lt;=FinReleve),1,0))</f>
        <v/>
      </c>
      <c r="P3234" s="6" t="str">
        <f>IF($D3234="","",IF(AND($L3234="Crédit",OR(IFERROR(INDEX('Paramètres'!$O:$O,MATCH($D3234,'Paramètres'!$M:$M,0))&amp;"","")&lt;&gt;"",ISNUMBER(SEARCH("remboursement",IFERROR(INDEX('Paramètres'!$N:$N,MATCH($D3234,'Paramètres'!$M:$M,0))&amp;"",""))))),1,0))</f>
        <v/>
      </c>
      <c r="Q3234" s="6" t="str">
        <f>IF($K3234="","",IF(ISNUMBER(SEARCH("transfert-interne",IFERROR(INDEX('Paramètres'!$N:$N,MATCH($D3234,'Paramètres'!$M:$M,0))&amp;"",""))),0,IF($L3234="Débit",$K3234,IF($P3234=1,-$K3234,0))))</f>
        <v/>
      </c>
      <c r="R3234" s="6" t="str">
        <f>IF($K3234="","",IF($L3234="Crédit",$K3234,-$K3234))</f>
        <v/>
      </c>
      <c r="S3234" s="6" t="str">
        <f>IF($C3234="","",IFERROR(INDEX('Paramètres'!$H:$H,MATCH($C3234,'Paramètres'!$D:$D,0))&amp;"",""))</f>
        <v/>
      </c>
      <c r="T3234" s="6" t="str">
        <f>IF($K3234="","",IF($S3234="",0,IF(ISNUMBER(SEARCH("apport-exterieur",IFERROR(INDEX('Paramètres'!$N:$N,MATCH($D3234,'Paramètres'!$M:$M,0))&amp;"",""))),0,IF(OR(IFERROR(INDEX('Paramètres'!$I:$I,MATCH($C3234,'Paramètres'!$D:$D,0))&amp;"","")="Les deux",IFERROR(INDEX('Paramètres'!$I:$I,MATCH($C3234,'Paramètres'!$D:$D,0))&amp;"","")=IF($P3234=1,"Débit",$L3234)),-IF($P3234=1,-$K3234,$K3234),0))))</f>
        <v/>
      </c>
      <c r="U3234" s="6" t="str">
        <f>IF($K3234="","",IF(ISNUMBER(SEARCH("sortie-epargne",IFERROR(INDEX('Paramètres'!$N:$N,MATCH($D3234,'Paramètres'!$M:$M,0))&amp;"",""))),$K3234,0))</f>
        <v/>
      </c>
      <c r="V3234" s="6" t="str">
        <f>IF(AND($A3234&lt;&gt;"",$O3234=1,$L3234="Débit",N($Q3234)&gt;0,$A3234&gt;=Visualisation!$B$1,$A3234&lt;Visualisation!$D$1),MAX($V$1:V3233)+1,"")</f>
        <v/>
      </c>
    </row>
    <row r="3235" spans="1:22" x14ac:dyDescent="0.25">
      <c r="A3235" s="9"/>
      <c r="E3235" s="10"/>
      <c r="K3235" s="11" t="str">
        <f>IF($E3235="","",ROUND($E3235*IF(ISNA(MATCH($C3235,'Paramètres'!$D:$D,0)),1,IF(INDEX('Paramètres'!$J:$J,MATCH($C3235,'Paramètres'!$D:$D,0))="",1,INDEX('Paramètres'!$J:$J,MATCH($C3235,'Paramètres'!$D:$D,0)))),2))</f>
        <v/>
      </c>
      <c r="L3235" s="6" t="str">
        <f>IF($D3235="","",IF($F3235&lt;&gt;"",$F3235,IF(ISNA(MATCH($D3235,'Paramètres'!$M:$M,0)),"⚠ Type inconnu",IFERROR(INDEX('Paramètres'!$P:$P,MATCH($D3235,'Paramètres'!$M:$M,0))&amp;"",""))))</f>
        <v/>
      </c>
      <c r="M3235" s="6" t="str">
        <f>IF($D3235="","",IF(ISNA(MATCH($D3235,'Paramètres'!$M:$M,0)),"⚠ Type inconnu",IF($L3235="Crédit","",IFERROR(INDEX('Paramètres'!$O:$O,MATCH($D3235,'Paramètres'!$M:$M,0))&amp;"",""))))</f>
        <v/>
      </c>
      <c r="N3235" s="6" t="str">
        <f>IF($D3235="","",IFERROR(INDEX('Paramètres'!$Q:$Q,MATCH($D3235,'Paramètres'!$M:$M,0))&amp;"",""))</f>
        <v/>
      </c>
      <c r="O3235" s="6" t="str">
        <f>IF($A3235="","",IF(OR($J3235&lt;&gt;"x",$A3235&lt;=FinReleve),1,0))</f>
        <v/>
      </c>
      <c r="P3235" s="6" t="str">
        <f>IF($D3235="","",IF(AND($L3235="Crédit",OR(IFERROR(INDEX('Paramètres'!$O:$O,MATCH($D3235,'Paramètres'!$M:$M,0))&amp;"","")&lt;&gt;"",ISNUMBER(SEARCH("remboursement",IFERROR(INDEX('Paramètres'!$N:$N,MATCH($D3235,'Paramètres'!$M:$M,0))&amp;"",""))))),1,0))</f>
        <v/>
      </c>
      <c r="Q3235" s="6" t="str">
        <f>IF($K3235="","",IF(ISNUMBER(SEARCH("transfert-interne",IFERROR(INDEX('Paramètres'!$N:$N,MATCH($D3235,'Paramètres'!$M:$M,0))&amp;"",""))),0,IF($L3235="Débit",$K3235,IF($P3235=1,-$K3235,0))))</f>
        <v/>
      </c>
      <c r="R3235" s="6" t="str">
        <f>IF($K3235="","",IF($L3235="Crédit",$K3235,-$K3235))</f>
        <v/>
      </c>
      <c r="S3235" s="6" t="str">
        <f>IF($C3235="","",IFERROR(INDEX('Paramètres'!$H:$H,MATCH($C3235,'Paramètres'!$D:$D,0))&amp;"",""))</f>
        <v/>
      </c>
      <c r="T3235" s="6" t="str">
        <f>IF($K3235="","",IF($S3235="",0,IF(ISNUMBER(SEARCH("apport-exterieur",IFERROR(INDEX('Paramètres'!$N:$N,MATCH($D3235,'Paramètres'!$M:$M,0))&amp;"",""))),0,IF(OR(IFERROR(INDEX('Paramètres'!$I:$I,MATCH($C3235,'Paramètres'!$D:$D,0))&amp;"","")="Les deux",IFERROR(INDEX('Paramètres'!$I:$I,MATCH($C3235,'Paramètres'!$D:$D,0))&amp;"","")=IF($P3235=1,"Débit",$L3235)),-IF($P3235=1,-$K3235,$K3235),0))))</f>
        <v/>
      </c>
      <c r="U3235" s="6" t="str">
        <f>IF($K3235="","",IF(ISNUMBER(SEARCH("sortie-epargne",IFERROR(INDEX('Paramètres'!$N:$N,MATCH($D3235,'Paramètres'!$M:$M,0))&amp;"",""))),$K3235,0))</f>
        <v/>
      </c>
      <c r="V3235" s="6" t="str">
        <f>IF(AND($A3235&lt;&gt;"",$O3235=1,$L3235="Débit",N($Q3235)&gt;0,$A3235&gt;=Visualisation!$B$1,$A3235&lt;Visualisation!$D$1),MAX($V$1:V3234)+1,"")</f>
        <v/>
      </c>
    </row>
    <row r="3236" spans="1:22" x14ac:dyDescent="0.25">
      <c r="A3236" s="9"/>
      <c r="E3236" s="10"/>
      <c r="K3236" s="11" t="str">
        <f>IF($E3236="","",ROUND($E3236*IF(ISNA(MATCH($C3236,'Paramètres'!$D:$D,0)),1,IF(INDEX('Paramètres'!$J:$J,MATCH($C3236,'Paramètres'!$D:$D,0))="",1,INDEX('Paramètres'!$J:$J,MATCH($C3236,'Paramètres'!$D:$D,0)))),2))</f>
        <v/>
      </c>
      <c r="L3236" s="6" t="str">
        <f>IF($D3236="","",IF($F3236&lt;&gt;"",$F3236,IF(ISNA(MATCH($D3236,'Paramètres'!$M:$M,0)),"⚠ Type inconnu",IFERROR(INDEX('Paramètres'!$P:$P,MATCH($D3236,'Paramètres'!$M:$M,0))&amp;"",""))))</f>
        <v/>
      </c>
      <c r="M3236" s="6" t="str">
        <f>IF($D3236="","",IF(ISNA(MATCH($D3236,'Paramètres'!$M:$M,0)),"⚠ Type inconnu",IF($L3236="Crédit","",IFERROR(INDEX('Paramètres'!$O:$O,MATCH($D3236,'Paramètres'!$M:$M,0))&amp;"",""))))</f>
        <v/>
      </c>
      <c r="N3236" s="6" t="str">
        <f>IF($D3236="","",IFERROR(INDEX('Paramètres'!$Q:$Q,MATCH($D3236,'Paramètres'!$M:$M,0))&amp;"",""))</f>
        <v/>
      </c>
      <c r="O3236" s="6" t="str">
        <f>IF($A3236="","",IF(OR($J3236&lt;&gt;"x",$A3236&lt;=FinReleve),1,0))</f>
        <v/>
      </c>
      <c r="P3236" s="6" t="str">
        <f>IF($D3236="","",IF(AND($L3236="Crédit",OR(IFERROR(INDEX('Paramètres'!$O:$O,MATCH($D3236,'Paramètres'!$M:$M,0))&amp;"","")&lt;&gt;"",ISNUMBER(SEARCH("remboursement",IFERROR(INDEX('Paramètres'!$N:$N,MATCH($D3236,'Paramètres'!$M:$M,0))&amp;"",""))))),1,0))</f>
        <v/>
      </c>
      <c r="Q3236" s="6" t="str">
        <f>IF($K3236="","",IF(ISNUMBER(SEARCH("transfert-interne",IFERROR(INDEX('Paramètres'!$N:$N,MATCH($D3236,'Paramètres'!$M:$M,0))&amp;"",""))),0,IF($L3236="Débit",$K3236,IF($P3236=1,-$K3236,0))))</f>
        <v/>
      </c>
      <c r="R3236" s="6" t="str">
        <f>IF($K3236="","",IF($L3236="Crédit",$K3236,-$K3236))</f>
        <v/>
      </c>
      <c r="S3236" s="6" t="str">
        <f>IF($C3236="","",IFERROR(INDEX('Paramètres'!$H:$H,MATCH($C3236,'Paramètres'!$D:$D,0))&amp;"",""))</f>
        <v/>
      </c>
      <c r="T3236" s="6" t="str">
        <f>IF($K3236="","",IF($S3236="",0,IF(ISNUMBER(SEARCH("apport-exterieur",IFERROR(INDEX('Paramètres'!$N:$N,MATCH($D3236,'Paramètres'!$M:$M,0))&amp;"",""))),0,IF(OR(IFERROR(INDEX('Paramètres'!$I:$I,MATCH($C3236,'Paramètres'!$D:$D,0))&amp;"","")="Les deux",IFERROR(INDEX('Paramètres'!$I:$I,MATCH($C3236,'Paramètres'!$D:$D,0))&amp;"","")=IF($P3236=1,"Débit",$L3236)),-IF($P3236=1,-$K3236,$K3236),0))))</f>
        <v/>
      </c>
      <c r="U3236" s="6" t="str">
        <f>IF($K3236="","",IF(ISNUMBER(SEARCH("sortie-epargne",IFERROR(INDEX('Paramètres'!$N:$N,MATCH($D3236,'Paramètres'!$M:$M,0))&amp;"",""))),$K3236,0))</f>
        <v/>
      </c>
      <c r="V3236" s="6" t="str">
        <f>IF(AND($A3236&lt;&gt;"",$O3236=1,$L3236="Débit",N($Q3236)&gt;0,$A3236&gt;=Visualisation!$B$1,$A3236&lt;Visualisation!$D$1),MAX($V$1:V3235)+1,"")</f>
        <v/>
      </c>
    </row>
    <row r="3237" spans="1:22" x14ac:dyDescent="0.25">
      <c r="A3237" s="9"/>
      <c r="E3237" s="10"/>
      <c r="K3237" s="11" t="str">
        <f>IF($E3237="","",ROUND($E3237*IF(ISNA(MATCH($C3237,'Paramètres'!$D:$D,0)),1,IF(INDEX('Paramètres'!$J:$J,MATCH($C3237,'Paramètres'!$D:$D,0))="",1,INDEX('Paramètres'!$J:$J,MATCH($C3237,'Paramètres'!$D:$D,0)))),2))</f>
        <v/>
      </c>
      <c r="L3237" s="6" t="str">
        <f>IF($D3237="","",IF($F3237&lt;&gt;"",$F3237,IF(ISNA(MATCH($D3237,'Paramètres'!$M:$M,0)),"⚠ Type inconnu",IFERROR(INDEX('Paramètres'!$P:$P,MATCH($D3237,'Paramètres'!$M:$M,0))&amp;"",""))))</f>
        <v/>
      </c>
      <c r="M3237" s="6" t="str">
        <f>IF($D3237="","",IF(ISNA(MATCH($D3237,'Paramètres'!$M:$M,0)),"⚠ Type inconnu",IF($L3237="Crédit","",IFERROR(INDEX('Paramètres'!$O:$O,MATCH($D3237,'Paramètres'!$M:$M,0))&amp;"",""))))</f>
        <v/>
      </c>
      <c r="N3237" s="6" t="str">
        <f>IF($D3237="","",IFERROR(INDEX('Paramètres'!$Q:$Q,MATCH($D3237,'Paramètres'!$M:$M,0))&amp;"",""))</f>
        <v/>
      </c>
      <c r="O3237" s="6" t="str">
        <f>IF($A3237="","",IF(OR($J3237&lt;&gt;"x",$A3237&lt;=FinReleve),1,0))</f>
        <v/>
      </c>
      <c r="P3237" s="6" t="str">
        <f>IF($D3237="","",IF(AND($L3237="Crédit",OR(IFERROR(INDEX('Paramètres'!$O:$O,MATCH($D3237,'Paramètres'!$M:$M,0))&amp;"","")&lt;&gt;"",ISNUMBER(SEARCH("remboursement",IFERROR(INDEX('Paramètres'!$N:$N,MATCH($D3237,'Paramètres'!$M:$M,0))&amp;"",""))))),1,0))</f>
        <v/>
      </c>
      <c r="Q3237" s="6" t="str">
        <f>IF($K3237="","",IF(ISNUMBER(SEARCH("transfert-interne",IFERROR(INDEX('Paramètres'!$N:$N,MATCH($D3237,'Paramètres'!$M:$M,0))&amp;"",""))),0,IF($L3237="Débit",$K3237,IF($P3237=1,-$K3237,0))))</f>
        <v/>
      </c>
      <c r="R3237" s="6" t="str">
        <f>IF($K3237="","",IF($L3237="Crédit",$K3237,-$K3237))</f>
        <v/>
      </c>
      <c r="S3237" s="6" t="str">
        <f>IF($C3237="","",IFERROR(INDEX('Paramètres'!$H:$H,MATCH($C3237,'Paramètres'!$D:$D,0))&amp;"",""))</f>
        <v/>
      </c>
      <c r="T3237" s="6" t="str">
        <f>IF($K3237="","",IF($S3237="",0,IF(ISNUMBER(SEARCH("apport-exterieur",IFERROR(INDEX('Paramètres'!$N:$N,MATCH($D3237,'Paramètres'!$M:$M,0))&amp;"",""))),0,IF(OR(IFERROR(INDEX('Paramètres'!$I:$I,MATCH($C3237,'Paramètres'!$D:$D,0))&amp;"","")="Les deux",IFERROR(INDEX('Paramètres'!$I:$I,MATCH($C3237,'Paramètres'!$D:$D,0))&amp;"","")=IF($P3237=1,"Débit",$L3237)),-IF($P3237=1,-$K3237,$K3237),0))))</f>
        <v/>
      </c>
      <c r="U3237" s="6" t="str">
        <f>IF($K3237="","",IF(ISNUMBER(SEARCH("sortie-epargne",IFERROR(INDEX('Paramètres'!$N:$N,MATCH($D3237,'Paramètres'!$M:$M,0))&amp;"",""))),$K3237,0))</f>
        <v/>
      </c>
      <c r="V3237" s="6" t="str">
        <f>IF(AND($A3237&lt;&gt;"",$O3237=1,$L3237="Débit",N($Q3237)&gt;0,$A3237&gt;=Visualisation!$B$1,$A3237&lt;Visualisation!$D$1),MAX($V$1:V3236)+1,"")</f>
        <v/>
      </c>
    </row>
    <row r="3238" spans="1:22" x14ac:dyDescent="0.25">
      <c r="A3238" s="9"/>
      <c r="E3238" s="10"/>
      <c r="K3238" s="11" t="str">
        <f>IF($E3238="","",ROUND($E3238*IF(ISNA(MATCH($C3238,'Paramètres'!$D:$D,0)),1,IF(INDEX('Paramètres'!$J:$J,MATCH($C3238,'Paramètres'!$D:$D,0))="",1,INDEX('Paramètres'!$J:$J,MATCH($C3238,'Paramètres'!$D:$D,0)))),2))</f>
        <v/>
      </c>
      <c r="L3238" s="6" t="str">
        <f>IF($D3238="","",IF($F3238&lt;&gt;"",$F3238,IF(ISNA(MATCH($D3238,'Paramètres'!$M:$M,0)),"⚠ Type inconnu",IFERROR(INDEX('Paramètres'!$P:$P,MATCH($D3238,'Paramètres'!$M:$M,0))&amp;"",""))))</f>
        <v/>
      </c>
      <c r="M3238" s="6" t="str">
        <f>IF($D3238="","",IF(ISNA(MATCH($D3238,'Paramètres'!$M:$M,0)),"⚠ Type inconnu",IF($L3238="Crédit","",IFERROR(INDEX('Paramètres'!$O:$O,MATCH($D3238,'Paramètres'!$M:$M,0))&amp;"",""))))</f>
        <v/>
      </c>
      <c r="N3238" s="6" t="str">
        <f>IF($D3238="","",IFERROR(INDEX('Paramètres'!$Q:$Q,MATCH($D3238,'Paramètres'!$M:$M,0))&amp;"",""))</f>
        <v/>
      </c>
      <c r="O3238" s="6" t="str">
        <f>IF($A3238="","",IF(OR($J3238&lt;&gt;"x",$A3238&lt;=FinReleve),1,0))</f>
        <v/>
      </c>
      <c r="P3238" s="6" t="str">
        <f>IF($D3238="","",IF(AND($L3238="Crédit",OR(IFERROR(INDEX('Paramètres'!$O:$O,MATCH($D3238,'Paramètres'!$M:$M,0))&amp;"","")&lt;&gt;"",ISNUMBER(SEARCH("remboursement",IFERROR(INDEX('Paramètres'!$N:$N,MATCH($D3238,'Paramètres'!$M:$M,0))&amp;"",""))))),1,0))</f>
        <v/>
      </c>
      <c r="Q3238" s="6" t="str">
        <f>IF($K3238="","",IF(ISNUMBER(SEARCH("transfert-interne",IFERROR(INDEX('Paramètres'!$N:$N,MATCH($D3238,'Paramètres'!$M:$M,0))&amp;"",""))),0,IF($L3238="Débit",$K3238,IF($P3238=1,-$K3238,0))))</f>
        <v/>
      </c>
      <c r="R3238" s="6" t="str">
        <f>IF($K3238="","",IF($L3238="Crédit",$K3238,-$K3238))</f>
        <v/>
      </c>
      <c r="S3238" s="6" t="str">
        <f>IF($C3238="","",IFERROR(INDEX('Paramètres'!$H:$H,MATCH($C3238,'Paramètres'!$D:$D,0))&amp;"",""))</f>
        <v/>
      </c>
      <c r="T3238" s="6" t="str">
        <f>IF($K3238="","",IF($S3238="",0,IF(ISNUMBER(SEARCH("apport-exterieur",IFERROR(INDEX('Paramètres'!$N:$N,MATCH($D3238,'Paramètres'!$M:$M,0))&amp;"",""))),0,IF(OR(IFERROR(INDEX('Paramètres'!$I:$I,MATCH($C3238,'Paramètres'!$D:$D,0))&amp;"","")="Les deux",IFERROR(INDEX('Paramètres'!$I:$I,MATCH($C3238,'Paramètres'!$D:$D,0))&amp;"","")=IF($P3238=1,"Débit",$L3238)),-IF($P3238=1,-$K3238,$K3238),0))))</f>
        <v/>
      </c>
      <c r="U3238" s="6" t="str">
        <f>IF($K3238="","",IF(ISNUMBER(SEARCH("sortie-epargne",IFERROR(INDEX('Paramètres'!$N:$N,MATCH($D3238,'Paramètres'!$M:$M,0))&amp;"",""))),$K3238,0))</f>
        <v/>
      </c>
      <c r="V3238" s="6" t="str">
        <f>IF(AND($A3238&lt;&gt;"",$O3238=1,$L3238="Débit",N($Q3238)&gt;0,$A3238&gt;=Visualisation!$B$1,$A3238&lt;Visualisation!$D$1),MAX($V$1:V3237)+1,"")</f>
        <v/>
      </c>
    </row>
    <row r="3239" spans="1:22" x14ac:dyDescent="0.25">
      <c r="A3239" s="9"/>
      <c r="E3239" s="10"/>
      <c r="K3239" s="11" t="str">
        <f>IF($E3239="","",ROUND($E3239*IF(ISNA(MATCH($C3239,'Paramètres'!$D:$D,0)),1,IF(INDEX('Paramètres'!$J:$J,MATCH($C3239,'Paramètres'!$D:$D,0))="",1,INDEX('Paramètres'!$J:$J,MATCH($C3239,'Paramètres'!$D:$D,0)))),2))</f>
        <v/>
      </c>
      <c r="L3239" s="6" t="str">
        <f>IF($D3239="","",IF($F3239&lt;&gt;"",$F3239,IF(ISNA(MATCH($D3239,'Paramètres'!$M:$M,0)),"⚠ Type inconnu",IFERROR(INDEX('Paramètres'!$P:$P,MATCH($D3239,'Paramètres'!$M:$M,0))&amp;"",""))))</f>
        <v/>
      </c>
      <c r="M3239" s="6" t="str">
        <f>IF($D3239="","",IF(ISNA(MATCH($D3239,'Paramètres'!$M:$M,0)),"⚠ Type inconnu",IF($L3239="Crédit","",IFERROR(INDEX('Paramètres'!$O:$O,MATCH($D3239,'Paramètres'!$M:$M,0))&amp;"",""))))</f>
        <v/>
      </c>
      <c r="N3239" s="6" t="str">
        <f>IF($D3239="","",IFERROR(INDEX('Paramètres'!$Q:$Q,MATCH($D3239,'Paramètres'!$M:$M,0))&amp;"",""))</f>
        <v/>
      </c>
      <c r="O3239" s="6" t="str">
        <f>IF($A3239="","",IF(OR($J3239&lt;&gt;"x",$A3239&lt;=FinReleve),1,0))</f>
        <v/>
      </c>
      <c r="P3239" s="6" t="str">
        <f>IF($D3239="","",IF(AND($L3239="Crédit",OR(IFERROR(INDEX('Paramètres'!$O:$O,MATCH($D3239,'Paramètres'!$M:$M,0))&amp;"","")&lt;&gt;"",ISNUMBER(SEARCH("remboursement",IFERROR(INDEX('Paramètres'!$N:$N,MATCH($D3239,'Paramètres'!$M:$M,0))&amp;"",""))))),1,0))</f>
        <v/>
      </c>
      <c r="Q3239" s="6" t="str">
        <f>IF($K3239="","",IF(ISNUMBER(SEARCH("transfert-interne",IFERROR(INDEX('Paramètres'!$N:$N,MATCH($D3239,'Paramètres'!$M:$M,0))&amp;"",""))),0,IF($L3239="Débit",$K3239,IF($P3239=1,-$K3239,0))))</f>
        <v/>
      </c>
      <c r="R3239" s="6" t="str">
        <f>IF($K3239="","",IF($L3239="Crédit",$K3239,-$K3239))</f>
        <v/>
      </c>
      <c r="S3239" s="6" t="str">
        <f>IF($C3239="","",IFERROR(INDEX('Paramètres'!$H:$H,MATCH($C3239,'Paramètres'!$D:$D,0))&amp;"",""))</f>
        <v/>
      </c>
      <c r="T3239" s="6" t="str">
        <f>IF($K3239="","",IF($S3239="",0,IF(ISNUMBER(SEARCH("apport-exterieur",IFERROR(INDEX('Paramètres'!$N:$N,MATCH($D3239,'Paramètres'!$M:$M,0))&amp;"",""))),0,IF(OR(IFERROR(INDEX('Paramètres'!$I:$I,MATCH($C3239,'Paramètres'!$D:$D,0))&amp;"","")="Les deux",IFERROR(INDEX('Paramètres'!$I:$I,MATCH($C3239,'Paramètres'!$D:$D,0))&amp;"","")=IF($P3239=1,"Débit",$L3239)),-IF($P3239=1,-$K3239,$K3239),0))))</f>
        <v/>
      </c>
      <c r="U3239" s="6" t="str">
        <f>IF($K3239="","",IF(ISNUMBER(SEARCH("sortie-epargne",IFERROR(INDEX('Paramètres'!$N:$N,MATCH($D3239,'Paramètres'!$M:$M,0))&amp;"",""))),$K3239,0))</f>
        <v/>
      </c>
      <c r="V3239" s="6" t="str">
        <f>IF(AND($A3239&lt;&gt;"",$O3239=1,$L3239="Débit",N($Q3239)&gt;0,$A3239&gt;=Visualisation!$B$1,$A3239&lt;Visualisation!$D$1),MAX($V$1:V3238)+1,"")</f>
        <v/>
      </c>
    </row>
    <row r="3240" spans="1:22" x14ac:dyDescent="0.25">
      <c r="A3240" s="9"/>
      <c r="E3240" s="10"/>
      <c r="K3240" s="11" t="str">
        <f>IF($E3240="","",ROUND($E3240*IF(ISNA(MATCH($C3240,'Paramètres'!$D:$D,0)),1,IF(INDEX('Paramètres'!$J:$J,MATCH($C3240,'Paramètres'!$D:$D,0))="",1,INDEX('Paramètres'!$J:$J,MATCH($C3240,'Paramètres'!$D:$D,0)))),2))</f>
        <v/>
      </c>
      <c r="L3240" s="6" t="str">
        <f>IF($D3240="","",IF($F3240&lt;&gt;"",$F3240,IF(ISNA(MATCH($D3240,'Paramètres'!$M:$M,0)),"⚠ Type inconnu",IFERROR(INDEX('Paramètres'!$P:$P,MATCH($D3240,'Paramètres'!$M:$M,0))&amp;"",""))))</f>
        <v/>
      </c>
      <c r="M3240" s="6" t="str">
        <f>IF($D3240="","",IF(ISNA(MATCH($D3240,'Paramètres'!$M:$M,0)),"⚠ Type inconnu",IF($L3240="Crédit","",IFERROR(INDEX('Paramètres'!$O:$O,MATCH($D3240,'Paramètres'!$M:$M,0))&amp;"",""))))</f>
        <v/>
      </c>
      <c r="N3240" s="6" t="str">
        <f>IF($D3240="","",IFERROR(INDEX('Paramètres'!$Q:$Q,MATCH($D3240,'Paramètres'!$M:$M,0))&amp;"",""))</f>
        <v/>
      </c>
      <c r="O3240" s="6" t="str">
        <f>IF($A3240="","",IF(OR($J3240&lt;&gt;"x",$A3240&lt;=FinReleve),1,0))</f>
        <v/>
      </c>
      <c r="P3240" s="6" t="str">
        <f>IF($D3240="","",IF(AND($L3240="Crédit",OR(IFERROR(INDEX('Paramètres'!$O:$O,MATCH($D3240,'Paramètres'!$M:$M,0))&amp;"","")&lt;&gt;"",ISNUMBER(SEARCH("remboursement",IFERROR(INDEX('Paramètres'!$N:$N,MATCH($D3240,'Paramètres'!$M:$M,0))&amp;"",""))))),1,0))</f>
        <v/>
      </c>
      <c r="Q3240" s="6" t="str">
        <f>IF($K3240="","",IF(ISNUMBER(SEARCH("transfert-interne",IFERROR(INDEX('Paramètres'!$N:$N,MATCH($D3240,'Paramètres'!$M:$M,0))&amp;"",""))),0,IF($L3240="Débit",$K3240,IF($P3240=1,-$K3240,0))))</f>
        <v/>
      </c>
      <c r="R3240" s="6" t="str">
        <f>IF($K3240="","",IF($L3240="Crédit",$K3240,-$K3240))</f>
        <v/>
      </c>
      <c r="S3240" s="6" t="str">
        <f>IF($C3240="","",IFERROR(INDEX('Paramètres'!$H:$H,MATCH($C3240,'Paramètres'!$D:$D,0))&amp;"",""))</f>
        <v/>
      </c>
      <c r="T3240" s="6" t="str">
        <f>IF($K3240="","",IF($S3240="",0,IF(ISNUMBER(SEARCH("apport-exterieur",IFERROR(INDEX('Paramètres'!$N:$N,MATCH($D3240,'Paramètres'!$M:$M,0))&amp;"",""))),0,IF(OR(IFERROR(INDEX('Paramètres'!$I:$I,MATCH($C3240,'Paramètres'!$D:$D,0))&amp;"","")="Les deux",IFERROR(INDEX('Paramètres'!$I:$I,MATCH($C3240,'Paramètres'!$D:$D,0))&amp;"","")=IF($P3240=1,"Débit",$L3240)),-IF($P3240=1,-$K3240,$K3240),0))))</f>
        <v/>
      </c>
      <c r="U3240" s="6" t="str">
        <f>IF($K3240="","",IF(ISNUMBER(SEARCH("sortie-epargne",IFERROR(INDEX('Paramètres'!$N:$N,MATCH($D3240,'Paramètres'!$M:$M,0))&amp;"",""))),$K3240,0))</f>
        <v/>
      </c>
      <c r="V3240" s="6" t="str">
        <f>IF(AND($A3240&lt;&gt;"",$O3240=1,$L3240="Débit",N($Q3240)&gt;0,$A3240&gt;=Visualisation!$B$1,$A3240&lt;Visualisation!$D$1),MAX($V$1:V3239)+1,"")</f>
        <v/>
      </c>
    </row>
    <row r="3241" spans="1:22" x14ac:dyDescent="0.25">
      <c r="A3241" s="9"/>
      <c r="E3241" s="10"/>
      <c r="K3241" s="11" t="str">
        <f>IF($E3241="","",ROUND($E3241*IF(ISNA(MATCH($C3241,'Paramètres'!$D:$D,0)),1,IF(INDEX('Paramètres'!$J:$J,MATCH($C3241,'Paramètres'!$D:$D,0))="",1,INDEX('Paramètres'!$J:$J,MATCH($C3241,'Paramètres'!$D:$D,0)))),2))</f>
        <v/>
      </c>
      <c r="L3241" s="6" t="str">
        <f>IF($D3241="","",IF($F3241&lt;&gt;"",$F3241,IF(ISNA(MATCH($D3241,'Paramètres'!$M:$M,0)),"⚠ Type inconnu",IFERROR(INDEX('Paramètres'!$P:$P,MATCH($D3241,'Paramètres'!$M:$M,0))&amp;"",""))))</f>
        <v/>
      </c>
      <c r="M3241" s="6" t="str">
        <f>IF($D3241="","",IF(ISNA(MATCH($D3241,'Paramètres'!$M:$M,0)),"⚠ Type inconnu",IF($L3241="Crédit","",IFERROR(INDEX('Paramètres'!$O:$O,MATCH($D3241,'Paramètres'!$M:$M,0))&amp;"",""))))</f>
        <v/>
      </c>
      <c r="N3241" s="6" t="str">
        <f>IF($D3241="","",IFERROR(INDEX('Paramètres'!$Q:$Q,MATCH($D3241,'Paramètres'!$M:$M,0))&amp;"",""))</f>
        <v/>
      </c>
      <c r="O3241" s="6" t="str">
        <f>IF($A3241="","",IF(OR($J3241&lt;&gt;"x",$A3241&lt;=FinReleve),1,0))</f>
        <v/>
      </c>
      <c r="P3241" s="6" t="str">
        <f>IF($D3241="","",IF(AND($L3241="Crédit",OR(IFERROR(INDEX('Paramètres'!$O:$O,MATCH($D3241,'Paramètres'!$M:$M,0))&amp;"","")&lt;&gt;"",ISNUMBER(SEARCH("remboursement",IFERROR(INDEX('Paramètres'!$N:$N,MATCH($D3241,'Paramètres'!$M:$M,0))&amp;"",""))))),1,0))</f>
        <v/>
      </c>
      <c r="Q3241" s="6" t="str">
        <f>IF($K3241="","",IF(ISNUMBER(SEARCH("transfert-interne",IFERROR(INDEX('Paramètres'!$N:$N,MATCH($D3241,'Paramètres'!$M:$M,0))&amp;"",""))),0,IF($L3241="Débit",$K3241,IF($P3241=1,-$K3241,0))))</f>
        <v/>
      </c>
      <c r="R3241" s="6" t="str">
        <f>IF($K3241="","",IF($L3241="Crédit",$K3241,-$K3241))</f>
        <v/>
      </c>
      <c r="S3241" s="6" t="str">
        <f>IF($C3241="","",IFERROR(INDEX('Paramètres'!$H:$H,MATCH($C3241,'Paramètres'!$D:$D,0))&amp;"",""))</f>
        <v/>
      </c>
      <c r="T3241" s="6" t="str">
        <f>IF($K3241="","",IF($S3241="",0,IF(ISNUMBER(SEARCH("apport-exterieur",IFERROR(INDEX('Paramètres'!$N:$N,MATCH($D3241,'Paramètres'!$M:$M,0))&amp;"",""))),0,IF(OR(IFERROR(INDEX('Paramètres'!$I:$I,MATCH($C3241,'Paramètres'!$D:$D,0))&amp;"","")="Les deux",IFERROR(INDEX('Paramètres'!$I:$I,MATCH($C3241,'Paramètres'!$D:$D,0))&amp;"","")=IF($P3241=1,"Débit",$L3241)),-IF($P3241=1,-$K3241,$K3241),0))))</f>
        <v/>
      </c>
      <c r="U3241" s="6" t="str">
        <f>IF($K3241="","",IF(ISNUMBER(SEARCH("sortie-epargne",IFERROR(INDEX('Paramètres'!$N:$N,MATCH($D3241,'Paramètres'!$M:$M,0))&amp;"",""))),$K3241,0))</f>
        <v/>
      </c>
      <c r="V3241" s="6" t="str">
        <f>IF(AND($A3241&lt;&gt;"",$O3241=1,$L3241="Débit",N($Q3241)&gt;0,$A3241&gt;=Visualisation!$B$1,$A3241&lt;Visualisation!$D$1),MAX($V$1:V3240)+1,"")</f>
        <v/>
      </c>
    </row>
    <row r="3242" spans="1:22" x14ac:dyDescent="0.25">
      <c r="A3242" s="9"/>
      <c r="E3242" s="10"/>
      <c r="K3242" s="11" t="str">
        <f>IF($E3242="","",ROUND($E3242*IF(ISNA(MATCH($C3242,'Paramètres'!$D:$D,0)),1,IF(INDEX('Paramètres'!$J:$J,MATCH($C3242,'Paramètres'!$D:$D,0))="",1,INDEX('Paramètres'!$J:$J,MATCH($C3242,'Paramètres'!$D:$D,0)))),2))</f>
        <v/>
      </c>
      <c r="L3242" s="6" t="str">
        <f>IF($D3242="","",IF($F3242&lt;&gt;"",$F3242,IF(ISNA(MATCH($D3242,'Paramètres'!$M:$M,0)),"⚠ Type inconnu",IFERROR(INDEX('Paramètres'!$P:$P,MATCH($D3242,'Paramètres'!$M:$M,0))&amp;"",""))))</f>
        <v/>
      </c>
      <c r="M3242" s="6" t="str">
        <f>IF($D3242="","",IF(ISNA(MATCH($D3242,'Paramètres'!$M:$M,0)),"⚠ Type inconnu",IF($L3242="Crédit","",IFERROR(INDEX('Paramètres'!$O:$O,MATCH($D3242,'Paramètres'!$M:$M,0))&amp;"",""))))</f>
        <v/>
      </c>
      <c r="N3242" s="6" t="str">
        <f>IF($D3242="","",IFERROR(INDEX('Paramètres'!$Q:$Q,MATCH($D3242,'Paramètres'!$M:$M,0))&amp;"",""))</f>
        <v/>
      </c>
      <c r="O3242" s="6" t="str">
        <f>IF($A3242="","",IF(OR($J3242&lt;&gt;"x",$A3242&lt;=FinReleve),1,0))</f>
        <v/>
      </c>
      <c r="P3242" s="6" t="str">
        <f>IF($D3242="","",IF(AND($L3242="Crédit",OR(IFERROR(INDEX('Paramètres'!$O:$O,MATCH($D3242,'Paramètres'!$M:$M,0))&amp;"","")&lt;&gt;"",ISNUMBER(SEARCH("remboursement",IFERROR(INDEX('Paramètres'!$N:$N,MATCH($D3242,'Paramètres'!$M:$M,0))&amp;"",""))))),1,0))</f>
        <v/>
      </c>
      <c r="Q3242" s="6" t="str">
        <f>IF($K3242="","",IF(ISNUMBER(SEARCH("transfert-interne",IFERROR(INDEX('Paramètres'!$N:$N,MATCH($D3242,'Paramètres'!$M:$M,0))&amp;"",""))),0,IF($L3242="Débit",$K3242,IF($P3242=1,-$K3242,0))))</f>
        <v/>
      </c>
      <c r="R3242" s="6" t="str">
        <f>IF($K3242="","",IF($L3242="Crédit",$K3242,-$K3242))</f>
        <v/>
      </c>
      <c r="S3242" s="6" t="str">
        <f>IF($C3242="","",IFERROR(INDEX('Paramètres'!$H:$H,MATCH($C3242,'Paramètres'!$D:$D,0))&amp;"",""))</f>
        <v/>
      </c>
      <c r="T3242" s="6" t="str">
        <f>IF($K3242="","",IF($S3242="",0,IF(ISNUMBER(SEARCH("apport-exterieur",IFERROR(INDEX('Paramètres'!$N:$N,MATCH($D3242,'Paramètres'!$M:$M,0))&amp;"",""))),0,IF(OR(IFERROR(INDEX('Paramètres'!$I:$I,MATCH($C3242,'Paramètres'!$D:$D,0))&amp;"","")="Les deux",IFERROR(INDEX('Paramètres'!$I:$I,MATCH($C3242,'Paramètres'!$D:$D,0))&amp;"","")=IF($P3242=1,"Débit",$L3242)),-IF($P3242=1,-$K3242,$K3242),0))))</f>
        <v/>
      </c>
      <c r="U3242" s="6" t="str">
        <f>IF($K3242="","",IF(ISNUMBER(SEARCH("sortie-epargne",IFERROR(INDEX('Paramètres'!$N:$N,MATCH($D3242,'Paramètres'!$M:$M,0))&amp;"",""))),$K3242,0))</f>
        <v/>
      </c>
      <c r="V3242" s="6" t="str">
        <f>IF(AND($A3242&lt;&gt;"",$O3242=1,$L3242="Débit",N($Q3242)&gt;0,$A3242&gt;=Visualisation!$B$1,$A3242&lt;Visualisation!$D$1),MAX($V$1:V3241)+1,"")</f>
        <v/>
      </c>
    </row>
    <row r="3243" spans="1:22" x14ac:dyDescent="0.25">
      <c r="A3243" s="9"/>
      <c r="E3243" s="10"/>
      <c r="K3243" s="11" t="str">
        <f>IF($E3243="","",ROUND($E3243*IF(ISNA(MATCH($C3243,'Paramètres'!$D:$D,0)),1,IF(INDEX('Paramètres'!$J:$J,MATCH($C3243,'Paramètres'!$D:$D,0))="",1,INDEX('Paramètres'!$J:$J,MATCH($C3243,'Paramètres'!$D:$D,0)))),2))</f>
        <v/>
      </c>
      <c r="L3243" s="6" t="str">
        <f>IF($D3243="","",IF($F3243&lt;&gt;"",$F3243,IF(ISNA(MATCH($D3243,'Paramètres'!$M:$M,0)),"⚠ Type inconnu",IFERROR(INDEX('Paramètres'!$P:$P,MATCH($D3243,'Paramètres'!$M:$M,0))&amp;"",""))))</f>
        <v/>
      </c>
      <c r="M3243" s="6" t="str">
        <f>IF($D3243="","",IF(ISNA(MATCH($D3243,'Paramètres'!$M:$M,0)),"⚠ Type inconnu",IF($L3243="Crédit","",IFERROR(INDEX('Paramètres'!$O:$O,MATCH($D3243,'Paramètres'!$M:$M,0))&amp;"",""))))</f>
        <v/>
      </c>
      <c r="N3243" s="6" t="str">
        <f>IF($D3243="","",IFERROR(INDEX('Paramètres'!$Q:$Q,MATCH($D3243,'Paramètres'!$M:$M,0))&amp;"",""))</f>
        <v/>
      </c>
      <c r="O3243" s="6" t="str">
        <f>IF($A3243="","",IF(OR($J3243&lt;&gt;"x",$A3243&lt;=FinReleve),1,0))</f>
        <v/>
      </c>
      <c r="P3243" s="6" t="str">
        <f>IF($D3243="","",IF(AND($L3243="Crédit",OR(IFERROR(INDEX('Paramètres'!$O:$O,MATCH($D3243,'Paramètres'!$M:$M,0))&amp;"","")&lt;&gt;"",ISNUMBER(SEARCH("remboursement",IFERROR(INDEX('Paramètres'!$N:$N,MATCH($D3243,'Paramètres'!$M:$M,0))&amp;"",""))))),1,0))</f>
        <v/>
      </c>
      <c r="Q3243" s="6" t="str">
        <f>IF($K3243="","",IF(ISNUMBER(SEARCH("transfert-interne",IFERROR(INDEX('Paramètres'!$N:$N,MATCH($D3243,'Paramètres'!$M:$M,0))&amp;"",""))),0,IF($L3243="Débit",$K3243,IF($P3243=1,-$K3243,0))))</f>
        <v/>
      </c>
      <c r="R3243" s="6" t="str">
        <f>IF($K3243="","",IF($L3243="Crédit",$K3243,-$K3243))</f>
        <v/>
      </c>
      <c r="S3243" s="6" t="str">
        <f>IF($C3243="","",IFERROR(INDEX('Paramètres'!$H:$H,MATCH($C3243,'Paramètres'!$D:$D,0))&amp;"",""))</f>
        <v/>
      </c>
      <c r="T3243" s="6" t="str">
        <f>IF($K3243="","",IF($S3243="",0,IF(ISNUMBER(SEARCH("apport-exterieur",IFERROR(INDEX('Paramètres'!$N:$N,MATCH($D3243,'Paramètres'!$M:$M,0))&amp;"",""))),0,IF(OR(IFERROR(INDEX('Paramètres'!$I:$I,MATCH($C3243,'Paramètres'!$D:$D,0))&amp;"","")="Les deux",IFERROR(INDEX('Paramètres'!$I:$I,MATCH($C3243,'Paramètres'!$D:$D,0))&amp;"","")=IF($P3243=1,"Débit",$L3243)),-IF($P3243=1,-$K3243,$K3243),0))))</f>
        <v/>
      </c>
      <c r="U3243" s="6" t="str">
        <f>IF($K3243="","",IF(ISNUMBER(SEARCH("sortie-epargne",IFERROR(INDEX('Paramètres'!$N:$N,MATCH($D3243,'Paramètres'!$M:$M,0))&amp;"",""))),$K3243,0))</f>
        <v/>
      </c>
      <c r="V3243" s="6" t="str">
        <f>IF(AND($A3243&lt;&gt;"",$O3243=1,$L3243="Débit",N($Q3243)&gt;0,$A3243&gt;=Visualisation!$B$1,$A3243&lt;Visualisation!$D$1),MAX($V$1:V3242)+1,"")</f>
        <v/>
      </c>
    </row>
    <row r="3244" spans="1:22" x14ac:dyDescent="0.25">
      <c r="A3244" s="9"/>
      <c r="E3244" s="10"/>
      <c r="K3244" s="11" t="str">
        <f>IF($E3244="","",ROUND($E3244*IF(ISNA(MATCH($C3244,'Paramètres'!$D:$D,0)),1,IF(INDEX('Paramètres'!$J:$J,MATCH($C3244,'Paramètres'!$D:$D,0))="",1,INDEX('Paramètres'!$J:$J,MATCH($C3244,'Paramètres'!$D:$D,0)))),2))</f>
        <v/>
      </c>
      <c r="L3244" s="6" t="str">
        <f>IF($D3244="","",IF($F3244&lt;&gt;"",$F3244,IF(ISNA(MATCH($D3244,'Paramètres'!$M:$M,0)),"⚠ Type inconnu",IFERROR(INDEX('Paramètres'!$P:$P,MATCH($D3244,'Paramètres'!$M:$M,0))&amp;"",""))))</f>
        <v/>
      </c>
      <c r="M3244" s="6" t="str">
        <f>IF($D3244="","",IF(ISNA(MATCH($D3244,'Paramètres'!$M:$M,0)),"⚠ Type inconnu",IF($L3244="Crédit","",IFERROR(INDEX('Paramètres'!$O:$O,MATCH($D3244,'Paramètres'!$M:$M,0))&amp;"",""))))</f>
        <v/>
      </c>
      <c r="N3244" s="6" t="str">
        <f>IF($D3244="","",IFERROR(INDEX('Paramètres'!$Q:$Q,MATCH($D3244,'Paramètres'!$M:$M,0))&amp;"",""))</f>
        <v/>
      </c>
      <c r="O3244" s="6" t="str">
        <f>IF($A3244="","",IF(OR($J3244&lt;&gt;"x",$A3244&lt;=FinReleve),1,0))</f>
        <v/>
      </c>
      <c r="P3244" s="6" t="str">
        <f>IF($D3244="","",IF(AND($L3244="Crédit",OR(IFERROR(INDEX('Paramètres'!$O:$O,MATCH($D3244,'Paramètres'!$M:$M,0))&amp;"","")&lt;&gt;"",ISNUMBER(SEARCH("remboursement",IFERROR(INDEX('Paramètres'!$N:$N,MATCH($D3244,'Paramètres'!$M:$M,0))&amp;"",""))))),1,0))</f>
        <v/>
      </c>
      <c r="Q3244" s="6" t="str">
        <f>IF($K3244="","",IF(ISNUMBER(SEARCH("transfert-interne",IFERROR(INDEX('Paramètres'!$N:$N,MATCH($D3244,'Paramètres'!$M:$M,0))&amp;"",""))),0,IF($L3244="Débit",$K3244,IF($P3244=1,-$K3244,0))))</f>
        <v/>
      </c>
      <c r="R3244" s="6" t="str">
        <f>IF($K3244="","",IF($L3244="Crédit",$K3244,-$K3244))</f>
        <v/>
      </c>
      <c r="S3244" s="6" t="str">
        <f>IF($C3244="","",IFERROR(INDEX('Paramètres'!$H:$H,MATCH($C3244,'Paramètres'!$D:$D,0))&amp;"",""))</f>
        <v/>
      </c>
      <c r="T3244" s="6" t="str">
        <f>IF($K3244="","",IF($S3244="",0,IF(ISNUMBER(SEARCH("apport-exterieur",IFERROR(INDEX('Paramètres'!$N:$N,MATCH($D3244,'Paramètres'!$M:$M,0))&amp;"",""))),0,IF(OR(IFERROR(INDEX('Paramètres'!$I:$I,MATCH($C3244,'Paramètres'!$D:$D,0))&amp;"","")="Les deux",IFERROR(INDEX('Paramètres'!$I:$I,MATCH($C3244,'Paramètres'!$D:$D,0))&amp;"","")=IF($P3244=1,"Débit",$L3244)),-IF($P3244=1,-$K3244,$K3244),0))))</f>
        <v/>
      </c>
      <c r="U3244" s="6" t="str">
        <f>IF($K3244="","",IF(ISNUMBER(SEARCH("sortie-epargne",IFERROR(INDEX('Paramètres'!$N:$N,MATCH($D3244,'Paramètres'!$M:$M,0))&amp;"",""))),$K3244,0))</f>
        <v/>
      </c>
      <c r="V3244" s="6" t="str">
        <f>IF(AND($A3244&lt;&gt;"",$O3244=1,$L3244="Débit",N($Q3244)&gt;0,$A3244&gt;=Visualisation!$B$1,$A3244&lt;Visualisation!$D$1),MAX($V$1:V3243)+1,"")</f>
        <v/>
      </c>
    </row>
    <row r="3245" spans="1:22" x14ac:dyDescent="0.25">
      <c r="A3245" s="9"/>
      <c r="E3245" s="10"/>
      <c r="K3245" s="11" t="str">
        <f>IF($E3245="","",ROUND($E3245*IF(ISNA(MATCH($C3245,'Paramètres'!$D:$D,0)),1,IF(INDEX('Paramètres'!$J:$J,MATCH($C3245,'Paramètres'!$D:$D,0))="",1,INDEX('Paramètres'!$J:$J,MATCH($C3245,'Paramètres'!$D:$D,0)))),2))</f>
        <v/>
      </c>
      <c r="L3245" s="6" t="str">
        <f>IF($D3245="","",IF($F3245&lt;&gt;"",$F3245,IF(ISNA(MATCH($D3245,'Paramètres'!$M:$M,0)),"⚠ Type inconnu",IFERROR(INDEX('Paramètres'!$P:$P,MATCH($D3245,'Paramètres'!$M:$M,0))&amp;"",""))))</f>
        <v/>
      </c>
      <c r="M3245" s="6" t="str">
        <f>IF($D3245="","",IF(ISNA(MATCH($D3245,'Paramètres'!$M:$M,0)),"⚠ Type inconnu",IF($L3245="Crédit","",IFERROR(INDEX('Paramètres'!$O:$O,MATCH($D3245,'Paramètres'!$M:$M,0))&amp;"",""))))</f>
        <v/>
      </c>
      <c r="N3245" s="6" t="str">
        <f>IF($D3245="","",IFERROR(INDEX('Paramètres'!$Q:$Q,MATCH($D3245,'Paramètres'!$M:$M,0))&amp;"",""))</f>
        <v/>
      </c>
      <c r="O3245" s="6" t="str">
        <f>IF($A3245="","",IF(OR($J3245&lt;&gt;"x",$A3245&lt;=FinReleve),1,0))</f>
        <v/>
      </c>
      <c r="P3245" s="6" t="str">
        <f>IF($D3245="","",IF(AND($L3245="Crédit",OR(IFERROR(INDEX('Paramètres'!$O:$O,MATCH($D3245,'Paramètres'!$M:$M,0))&amp;"","")&lt;&gt;"",ISNUMBER(SEARCH("remboursement",IFERROR(INDEX('Paramètres'!$N:$N,MATCH($D3245,'Paramètres'!$M:$M,0))&amp;"",""))))),1,0))</f>
        <v/>
      </c>
      <c r="Q3245" s="6" t="str">
        <f>IF($K3245="","",IF(ISNUMBER(SEARCH("transfert-interne",IFERROR(INDEX('Paramètres'!$N:$N,MATCH($D3245,'Paramètres'!$M:$M,0))&amp;"",""))),0,IF($L3245="Débit",$K3245,IF($P3245=1,-$K3245,0))))</f>
        <v/>
      </c>
      <c r="R3245" s="6" t="str">
        <f>IF($K3245="","",IF($L3245="Crédit",$K3245,-$K3245))</f>
        <v/>
      </c>
      <c r="S3245" s="6" t="str">
        <f>IF($C3245="","",IFERROR(INDEX('Paramètres'!$H:$H,MATCH($C3245,'Paramètres'!$D:$D,0))&amp;"",""))</f>
        <v/>
      </c>
      <c r="T3245" s="6" t="str">
        <f>IF($K3245="","",IF($S3245="",0,IF(ISNUMBER(SEARCH("apport-exterieur",IFERROR(INDEX('Paramètres'!$N:$N,MATCH($D3245,'Paramètres'!$M:$M,0))&amp;"",""))),0,IF(OR(IFERROR(INDEX('Paramètres'!$I:$I,MATCH($C3245,'Paramètres'!$D:$D,0))&amp;"","")="Les deux",IFERROR(INDEX('Paramètres'!$I:$I,MATCH($C3245,'Paramètres'!$D:$D,0))&amp;"","")=IF($P3245=1,"Débit",$L3245)),-IF($P3245=1,-$K3245,$K3245),0))))</f>
        <v/>
      </c>
      <c r="U3245" s="6" t="str">
        <f>IF($K3245="","",IF(ISNUMBER(SEARCH("sortie-epargne",IFERROR(INDEX('Paramètres'!$N:$N,MATCH($D3245,'Paramètres'!$M:$M,0))&amp;"",""))),$K3245,0))</f>
        <v/>
      </c>
      <c r="V3245" s="6" t="str">
        <f>IF(AND($A3245&lt;&gt;"",$O3245=1,$L3245="Débit",N($Q3245)&gt;0,$A3245&gt;=Visualisation!$B$1,$A3245&lt;Visualisation!$D$1),MAX($V$1:V3244)+1,"")</f>
        <v/>
      </c>
    </row>
    <row r="3246" spans="1:22" x14ac:dyDescent="0.25">
      <c r="A3246" s="9"/>
      <c r="E3246" s="10"/>
      <c r="K3246" s="11" t="str">
        <f>IF($E3246="","",ROUND($E3246*IF(ISNA(MATCH($C3246,'Paramètres'!$D:$D,0)),1,IF(INDEX('Paramètres'!$J:$J,MATCH($C3246,'Paramètres'!$D:$D,0))="",1,INDEX('Paramètres'!$J:$J,MATCH($C3246,'Paramètres'!$D:$D,0)))),2))</f>
        <v/>
      </c>
      <c r="L3246" s="6" t="str">
        <f>IF($D3246="","",IF($F3246&lt;&gt;"",$F3246,IF(ISNA(MATCH($D3246,'Paramètres'!$M:$M,0)),"⚠ Type inconnu",IFERROR(INDEX('Paramètres'!$P:$P,MATCH($D3246,'Paramètres'!$M:$M,0))&amp;"",""))))</f>
        <v/>
      </c>
      <c r="M3246" s="6" t="str">
        <f>IF($D3246="","",IF(ISNA(MATCH($D3246,'Paramètres'!$M:$M,0)),"⚠ Type inconnu",IF($L3246="Crédit","",IFERROR(INDEX('Paramètres'!$O:$O,MATCH($D3246,'Paramètres'!$M:$M,0))&amp;"",""))))</f>
        <v/>
      </c>
      <c r="N3246" s="6" t="str">
        <f>IF($D3246="","",IFERROR(INDEX('Paramètres'!$Q:$Q,MATCH($D3246,'Paramètres'!$M:$M,0))&amp;"",""))</f>
        <v/>
      </c>
      <c r="O3246" s="6" t="str">
        <f>IF($A3246="","",IF(OR($J3246&lt;&gt;"x",$A3246&lt;=FinReleve),1,0))</f>
        <v/>
      </c>
      <c r="P3246" s="6" t="str">
        <f>IF($D3246="","",IF(AND($L3246="Crédit",OR(IFERROR(INDEX('Paramètres'!$O:$O,MATCH($D3246,'Paramètres'!$M:$M,0))&amp;"","")&lt;&gt;"",ISNUMBER(SEARCH("remboursement",IFERROR(INDEX('Paramètres'!$N:$N,MATCH($D3246,'Paramètres'!$M:$M,0))&amp;"",""))))),1,0))</f>
        <v/>
      </c>
      <c r="Q3246" s="6" t="str">
        <f>IF($K3246="","",IF(ISNUMBER(SEARCH("transfert-interne",IFERROR(INDEX('Paramètres'!$N:$N,MATCH($D3246,'Paramètres'!$M:$M,0))&amp;"",""))),0,IF($L3246="Débit",$K3246,IF($P3246=1,-$K3246,0))))</f>
        <v/>
      </c>
      <c r="R3246" s="6" t="str">
        <f>IF($K3246="","",IF($L3246="Crédit",$K3246,-$K3246))</f>
        <v/>
      </c>
      <c r="S3246" s="6" t="str">
        <f>IF($C3246="","",IFERROR(INDEX('Paramètres'!$H:$H,MATCH($C3246,'Paramètres'!$D:$D,0))&amp;"",""))</f>
        <v/>
      </c>
      <c r="T3246" s="6" t="str">
        <f>IF($K3246="","",IF($S3246="",0,IF(ISNUMBER(SEARCH("apport-exterieur",IFERROR(INDEX('Paramètres'!$N:$N,MATCH($D3246,'Paramètres'!$M:$M,0))&amp;"",""))),0,IF(OR(IFERROR(INDEX('Paramètres'!$I:$I,MATCH($C3246,'Paramètres'!$D:$D,0))&amp;"","")="Les deux",IFERROR(INDEX('Paramètres'!$I:$I,MATCH($C3246,'Paramètres'!$D:$D,0))&amp;"","")=IF($P3246=1,"Débit",$L3246)),-IF($P3246=1,-$K3246,$K3246),0))))</f>
        <v/>
      </c>
      <c r="U3246" s="6" t="str">
        <f>IF($K3246="","",IF(ISNUMBER(SEARCH("sortie-epargne",IFERROR(INDEX('Paramètres'!$N:$N,MATCH($D3246,'Paramètres'!$M:$M,0))&amp;"",""))),$K3246,0))</f>
        <v/>
      </c>
      <c r="V3246" s="6" t="str">
        <f>IF(AND($A3246&lt;&gt;"",$O3246=1,$L3246="Débit",N($Q3246)&gt;0,$A3246&gt;=Visualisation!$B$1,$A3246&lt;Visualisation!$D$1),MAX($V$1:V3245)+1,"")</f>
        <v/>
      </c>
    </row>
    <row r="3247" spans="1:22" x14ac:dyDescent="0.25">
      <c r="A3247" s="9"/>
      <c r="E3247" s="10"/>
      <c r="K3247" s="11" t="str">
        <f>IF($E3247="","",ROUND($E3247*IF(ISNA(MATCH($C3247,'Paramètres'!$D:$D,0)),1,IF(INDEX('Paramètres'!$J:$J,MATCH($C3247,'Paramètres'!$D:$D,0))="",1,INDEX('Paramètres'!$J:$J,MATCH($C3247,'Paramètres'!$D:$D,0)))),2))</f>
        <v/>
      </c>
      <c r="L3247" s="6" t="str">
        <f>IF($D3247="","",IF($F3247&lt;&gt;"",$F3247,IF(ISNA(MATCH($D3247,'Paramètres'!$M:$M,0)),"⚠ Type inconnu",IFERROR(INDEX('Paramètres'!$P:$P,MATCH($D3247,'Paramètres'!$M:$M,0))&amp;"",""))))</f>
        <v/>
      </c>
      <c r="M3247" s="6" t="str">
        <f>IF($D3247="","",IF(ISNA(MATCH($D3247,'Paramètres'!$M:$M,0)),"⚠ Type inconnu",IF($L3247="Crédit","",IFERROR(INDEX('Paramètres'!$O:$O,MATCH($D3247,'Paramètres'!$M:$M,0))&amp;"",""))))</f>
        <v/>
      </c>
      <c r="N3247" s="6" t="str">
        <f>IF($D3247="","",IFERROR(INDEX('Paramètres'!$Q:$Q,MATCH($D3247,'Paramètres'!$M:$M,0))&amp;"",""))</f>
        <v/>
      </c>
      <c r="O3247" s="6" t="str">
        <f>IF($A3247="","",IF(OR($J3247&lt;&gt;"x",$A3247&lt;=FinReleve),1,0))</f>
        <v/>
      </c>
      <c r="P3247" s="6" t="str">
        <f>IF($D3247="","",IF(AND($L3247="Crédit",OR(IFERROR(INDEX('Paramètres'!$O:$O,MATCH($D3247,'Paramètres'!$M:$M,0))&amp;"","")&lt;&gt;"",ISNUMBER(SEARCH("remboursement",IFERROR(INDEX('Paramètres'!$N:$N,MATCH($D3247,'Paramètres'!$M:$M,0))&amp;"",""))))),1,0))</f>
        <v/>
      </c>
      <c r="Q3247" s="6" t="str">
        <f>IF($K3247="","",IF(ISNUMBER(SEARCH("transfert-interne",IFERROR(INDEX('Paramètres'!$N:$N,MATCH($D3247,'Paramètres'!$M:$M,0))&amp;"",""))),0,IF($L3247="Débit",$K3247,IF($P3247=1,-$K3247,0))))</f>
        <v/>
      </c>
      <c r="R3247" s="6" t="str">
        <f>IF($K3247="","",IF($L3247="Crédit",$K3247,-$K3247))</f>
        <v/>
      </c>
      <c r="S3247" s="6" t="str">
        <f>IF($C3247="","",IFERROR(INDEX('Paramètres'!$H:$H,MATCH($C3247,'Paramètres'!$D:$D,0))&amp;"",""))</f>
        <v/>
      </c>
      <c r="T3247" s="6" t="str">
        <f>IF($K3247="","",IF($S3247="",0,IF(ISNUMBER(SEARCH("apport-exterieur",IFERROR(INDEX('Paramètres'!$N:$N,MATCH($D3247,'Paramètres'!$M:$M,0))&amp;"",""))),0,IF(OR(IFERROR(INDEX('Paramètres'!$I:$I,MATCH($C3247,'Paramètres'!$D:$D,0))&amp;"","")="Les deux",IFERROR(INDEX('Paramètres'!$I:$I,MATCH($C3247,'Paramètres'!$D:$D,0))&amp;"","")=IF($P3247=1,"Débit",$L3247)),-IF($P3247=1,-$K3247,$K3247),0))))</f>
        <v/>
      </c>
      <c r="U3247" s="6" t="str">
        <f>IF($K3247="","",IF(ISNUMBER(SEARCH("sortie-epargne",IFERROR(INDEX('Paramètres'!$N:$N,MATCH($D3247,'Paramètres'!$M:$M,0))&amp;"",""))),$K3247,0))</f>
        <v/>
      </c>
      <c r="V3247" s="6" t="str">
        <f>IF(AND($A3247&lt;&gt;"",$O3247=1,$L3247="Débit",N($Q3247)&gt;0,$A3247&gt;=Visualisation!$B$1,$A3247&lt;Visualisation!$D$1),MAX($V$1:V3246)+1,"")</f>
        <v/>
      </c>
    </row>
    <row r="3248" spans="1:22" x14ac:dyDescent="0.25">
      <c r="A3248" s="9"/>
      <c r="E3248" s="10"/>
      <c r="K3248" s="11" t="str">
        <f>IF($E3248="","",ROUND($E3248*IF(ISNA(MATCH($C3248,'Paramètres'!$D:$D,0)),1,IF(INDEX('Paramètres'!$J:$J,MATCH($C3248,'Paramètres'!$D:$D,0))="",1,INDEX('Paramètres'!$J:$J,MATCH($C3248,'Paramètres'!$D:$D,0)))),2))</f>
        <v/>
      </c>
      <c r="L3248" s="6" t="str">
        <f>IF($D3248="","",IF($F3248&lt;&gt;"",$F3248,IF(ISNA(MATCH($D3248,'Paramètres'!$M:$M,0)),"⚠ Type inconnu",IFERROR(INDEX('Paramètres'!$P:$P,MATCH($D3248,'Paramètres'!$M:$M,0))&amp;"",""))))</f>
        <v/>
      </c>
      <c r="M3248" s="6" t="str">
        <f>IF($D3248="","",IF(ISNA(MATCH($D3248,'Paramètres'!$M:$M,0)),"⚠ Type inconnu",IF($L3248="Crédit","",IFERROR(INDEX('Paramètres'!$O:$O,MATCH($D3248,'Paramètres'!$M:$M,0))&amp;"",""))))</f>
        <v/>
      </c>
      <c r="N3248" s="6" t="str">
        <f>IF($D3248="","",IFERROR(INDEX('Paramètres'!$Q:$Q,MATCH($D3248,'Paramètres'!$M:$M,0))&amp;"",""))</f>
        <v/>
      </c>
      <c r="O3248" s="6" t="str">
        <f>IF($A3248="","",IF(OR($J3248&lt;&gt;"x",$A3248&lt;=FinReleve),1,0))</f>
        <v/>
      </c>
      <c r="P3248" s="6" t="str">
        <f>IF($D3248="","",IF(AND($L3248="Crédit",OR(IFERROR(INDEX('Paramètres'!$O:$O,MATCH($D3248,'Paramètres'!$M:$M,0))&amp;"","")&lt;&gt;"",ISNUMBER(SEARCH("remboursement",IFERROR(INDEX('Paramètres'!$N:$N,MATCH($D3248,'Paramètres'!$M:$M,0))&amp;"",""))))),1,0))</f>
        <v/>
      </c>
      <c r="Q3248" s="6" t="str">
        <f>IF($K3248="","",IF(ISNUMBER(SEARCH("transfert-interne",IFERROR(INDEX('Paramètres'!$N:$N,MATCH($D3248,'Paramètres'!$M:$M,0))&amp;"",""))),0,IF($L3248="Débit",$K3248,IF($P3248=1,-$K3248,0))))</f>
        <v/>
      </c>
      <c r="R3248" s="6" t="str">
        <f>IF($K3248="","",IF($L3248="Crédit",$K3248,-$K3248))</f>
        <v/>
      </c>
      <c r="S3248" s="6" t="str">
        <f>IF($C3248="","",IFERROR(INDEX('Paramètres'!$H:$H,MATCH($C3248,'Paramètres'!$D:$D,0))&amp;"",""))</f>
        <v/>
      </c>
      <c r="T3248" s="6" t="str">
        <f>IF($K3248="","",IF($S3248="",0,IF(ISNUMBER(SEARCH("apport-exterieur",IFERROR(INDEX('Paramètres'!$N:$N,MATCH($D3248,'Paramètres'!$M:$M,0))&amp;"",""))),0,IF(OR(IFERROR(INDEX('Paramètres'!$I:$I,MATCH($C3248,'Paramètres'!$D:$D,0))&amp;"","")="Les deux",IFERROR(INDEX('Paramètres'!$I:$I,MATCH($C3248,'Paramètres'!$D:$D,0))&amp;"","")=IF($P3248=1,"Débit",$L3248)),-IF($P3248=1,-$K3248,$K3248),0))))</f>
        <v/>
      </c>
      <c r="U3248" s="6" t="str">
        <f>IF($K3248="","",IF(ISNUMBER(SEARCH("sortie-epargne",IFERROR(INDEX('Paramètres'!$N:$N,MATCH($D3248,'Paramètres'!$M:$M,0))&amp;"",""))),$K3248,0))</f>
        <v/>
      </c>
      <c r="V3248" s="6" t="str">
        <f>IF(AND($A3248&lt;&gt;"",$O3248=1,$L3248="Débit",N($Q3248)&gt;0,$A3248&gt;=Visualisation!$B$1,$A3248&lt;Visualisation!$D$1),MAX($V$1:V3247)+1,"")</f>
        <v/>
      </c>
    </row>
    <row r="3249" spans="1:22" x14ac:dyDescent="0.25">
      <c r="A3249" s="9"/>
      <c r="E3249" s="10"/>
      <c r="K3249" s="11" t="str">
        <f>IF($E3249="","",ROUND($E3249*IF(ISNA(MATCH($C3249,'Paramètres'!$D:$D,0)),1,IF(INDEX('Paramètres'!$J:$J,MATCH($C3249,'Paramètres'!$D:$D,0))="",1,INDEX('Paramètres'!$J:$J,MATCH($C3249,'Paramètres'!$D:$D,0)))),2))</f>
        <v/>
      </c>
      <c r="L3249" s="6" t="str">
        <f>IF($D3249="","",IF($F3249&lt;&gt;"",$F3249,IF(ISNA(MATCH($D3249,'Paramètres'!$M:$M,0)),"⚠ Type inconnu",IFERROR(INDEX('Paramètres'!$P:$P,MATCH($D3249,'Paramètres'!$M:$M,0))&amp;"",""))))</f>
        <v/>
      </c>
      <c r="M3249" s="6" t="str">
        <f>IF($D3249="","",IF(ISNA(MATCH($D3249,'Paramètres'!$M:$M,0)),"⚠ Type inconnu",IF($L3249="Crédit","",IFERROR(INDEX('Paramètres'!$O:$O,MATCH($D3249,'Paramètres'!$M:$M,0))&amp;"",""))))</f>
        <v/>
      </c>
      <c r="N3249" s="6" t="str">
        <f>IF($D3249="","",IFERROR(INDEX('Paramètres'!$Q:$Q,MATCH($D3249,'Paramètres'!$M:$M,0))&amp;"",""))</f>
        <v/>
      </c>
      <c r="O3249" s="6" t="str">
        <f>IF($A3249="","",IF(OR($J3249&lt;&gt;"x",$A3249&lt;=FinReleve),1,0))</f>
        <v/>
      </c>
      <c r="P3249" s="6" t="str">
        <f>IF($D3249="","",IF(AND($L3249="Crédit",OR(IFERROR(INDEX('Paramètres'!$O:$O,MATCH($D3249,'Paramètres'!$M:$M,0))&amp;"","")&lt;&gt;"",ISNUMBER(SEARCH("remboursement",IFERROR(INDEX('Paramètres'!$N:$N,MATCH($D3249,'Paramètres'!$M:$M,0))&amp;"",""))))),1,0))</f>
        <v/>
      </c>
      <c r="Q3249" s="6" t="str">
        <f>IF($K3249="","",IF(ISNUMBER(SEARCH("transfert-interne",IFERROR(INDEX('Paramètres'!$N:$N,MATCH($D3249,'Paramètres'!$M:$M,0))&amp;"",""))),0,IF($L3249="Débit",$K3249,IF($P3249=1,-$K3249,0))))</f>
        <v/>
      </c>
      <c r="R3249" s="6" t="str">
        <f>IF($K3249="","",IF($L3249="Crédit",$K3249,-$K3249))</f>
        <v/>
      </c>
      <c r="S3249" s="6" t="str">
        <f>IF($C3249="","",IFERROR(INDEX('Paramètres'!$H:$H,MATCH($C3249,'Paramètres'!$D:$D,0))&amp;"",""))</f>
        <v/>
      </c>
      <c r="T3249" s="6" t="str">
        <f>IF($K3249="","",IF($S3249="",0,IF(ISNUMBER(SEARCH("apport-exterieur",IFERROR(INDEX('Paramètres'!$N:$N,MATCH($D3249,'Paramètres'!$M:$M,0))&amp;"",""))),0,IF(OR(IFERROR(INDEX('Paramètres'!$I:$I,MATCH($C3249,'Paramètres'!$D:$D,0))&amp;"","")="Les deux",IFERROR(INDEX('Paramètres'!$I:$I,MATCH($C3249,'Paramètres'!$D:$D,0))&amp;"","")=IF($P3249=1,"Débit",$L3249)),-IF($P3249=1,-$K3249,$K3249),0))))</f>
        <v/>
      </c>
      <c r="U3249" s="6" t="str">
        <f>IF($K3249="","",IF(ISNUMBER(SEARCH("sortie-epargne",IFERROR(INDEX('Paramètres'!$N:$N,MATCH($D3249,'Paramètres'!$M:$M,0))&amp;"",""))),$K3249,0))</f>
        <v/>
      </c>
      <c r="V3249" s="6" t="str">
        <f>IF(AND($A3249&lt;&gt;"",$O3249=1,$L3249="Débit",N($Q3249)&gt;0,$A3249&gt;=Visualisation!$B$1,$A3249&lt;Visualisation!$D$1),MAX($V$1:V3248)+1,"")</f>
        <v/>
      </c>
    </row>
    <row r="3250" spans="1:22" x14ac:dyDescent="0.25">
      <c r="A3250" s="9"/>
      <c r="E3250" s="10"/>
      <c r="K3250" s="11" t="str">
        <f>IF($E3250="","",ROUND($E3250*IF(ISNA(MATCH($C3250,'Paramètres'!$D:$D,0)),1,IF(INDEX('Paramètres'!$J:$J,MATCH($C3250,'Paramètres'!$D:$D,0))="",1,INDEX('Paramètres'!$J:$J,MATCH($C3250,'Paramètres'!$D:$D,0)))),2))</f>
        <v/>
      </c>
      <c r="L3250" s="6" t="str">
        <f>IF($D3250="","",IF($F3250&lt;&gt;"",$F3250,IF(ISNA(MATCH($D3250,'Paramètres'!$M:$M,0)),"⚠ Type inconnu",IFERROR(INDEX('Paramètres'!$P:$P,MATCH($D3250,'Paramètres'!$M:$M,0))&amp;"",""))))</f>
        <v/>
      </c>
      <c r="M3250" s="6" t="str">
        <f>IF($D3250="","",IF(ISNA(MATCH($D3250,'Paramètres'!$M:$M,0)),"⚠ Type inconnu",IF($L3250="Crédit","",IFERROR(INDEX('Paramètres'!$O:$O,MATCH($D3250,'Paramètres'!$M:$M,0))&amp;"",""))))</f>
        <v/>
      </c>
      <c r="N3250" s="6" t="str">
        <f>IF($D3250="","",IFERROR(INDEX('Paramètres'!$Q:$Q,MATCH($D3250,'Paramètres'!$M:$M,0))&amp;"",""))</f>
        <v/>
      </c>
      <c r="O3250" s="6" t="str">
        <f>IF($A3250="","",IF(OR($J3250&lt;&gt;"x",$A3250&lt;=FinReleve),1,0))</f>
        <v/>
      </c>
      <c r="P3250" s="6" t="str">
        <f>IF($D3250="","",IF(AND($L3250="Crédit",OR(IFERROR(INDEX('Paramètres'!$O:$O,MATCH($D3250,'Paramètres'!$M:$M,0))&amp;"","")&lt;&gt;"",ISNUMBER(SEARCH("remboursement",IFERROR(INDEX('Paramètres'!$N:$N,MATCH($D3250,'Paramètres'!$M:$M,0))&amp;"",""))))),1,0))</f>
        <v/>
      </c>
      <c r="Q3250" s="6" t="str">
        <f>IF($K3250="","",IF(ISNUMBER(SEARCH("transfert-interne",IFERROR(INDEX('Paramètres'!$N:$N,MATCH($D3250,'Paramètres'!$M:$M,0))&amp;"",""))),0,IF($L3250="Débit",$K3250,IF($P3250=1,-$K3250,0))))</f>
        <v/>
      </c>
      <c r="R3250" s="6" t="str">
        <f>IF($K3250="","",IF($L3250="Crédit",$K3250,-$K3250))</f>
        <v/>
      </c>
      <c r="S3250" s="6" t="str">
        <f>IF($C3250="","",IFERROR(INDEX('Paramètres'!$H:$H,MATCH($C3250,'Paramètres'!$D:$D,0))&amp;"",""))</f>
        <v/>
      </c>
      <c r="T3250" s="6" t="str">
        <f>IF($K3250="","",IF($S3250="",0,IF(ISNUMBER(SEARCH("apport-exterieur",IFERROR(INDEX('Paramètres'!$N:$N,MATCH($D3250,'Paramètres'!$M:$M,0))&amp;"",""))),0,IF(OR(IFERROR(INDEX('Paramètres'!$I:$I,MATCH($C3250,'Paramètres'!$D:$D,0))&amp;"","")="Les deux",IFERROR(INDEX('Paramètres'!$I:$I,MATCH($C3250,'Paramètres'!$D:$D,0))&amp;"","")=IF($P3250=1,"Débit",$L3250)),-IF($P3250=1,-$K3250,$K3250),0))))</f>
        <v/>
      </c>
      <c r="U3250" s="6" t="str">
        <f>IF($K3250="","",IF(ISNUMBER(SEARCH("sortie-epargne",IFERROR(INDEX('Paramètres'!$N:$N,MATCH($D3250,'Paramètres'!$M:$M,0))&amp;"",""))),$K3250,0))</f>
        <v/>
      </c>
      <c r="V3250" s="6" t="str">
        <f>IF(AND($A3250&lt;&gt;"",$O3250=1,$L3250="Débit",N($Q3250)&gt;0,$A3250&gt;=Visualisation!$B$1,$A3250&lt;Visualisation!$D$1),MAX($V$1:V3249)+1,"")</f>
        <v/>
      </c>
    </row>
    <row r="3251" spans="1:22" x14ac:dyDescent="0.25">
      <c r="A3251" s="9"/>
      <c r="E3251" s="10"/>
      <c r="K3251" s="11" t="str">
        <f>IF($E3251="","",ROUND($E3251*IF(ISNA(MATCH($C3251,'Paramètres'!$D:$D,0)),1,IF(INDEX('Paramètres'!$J:$J,MATCH($C3251,'Paramètres'!$D:$D,0))="",1,INDEX('Paramètres'!$J:$J,MATCH($C3251,'Paramètres'!$D:$D,0)))),2))</f>
        <v/>
      </c>
      <c r="L3251" s="6" t="str">
        <f>IF($D3251="","",IF($F3251&lt;&gt;"",$F3251,IF(ISNA(MATCH($D3251,'Paramètres'!$M:$M,0)),"⚠ Type inconnu",IFERROR(INDEX('Paramètres'!$P:$P,MATCH($D3251,'Paramètres'!$M:$M,0))&amp;"",""))))</f>
        <v/>
      </c>
      <c r="M3251" s="6" t="str">
        <f>IF($D3251="","",IF(ISNA(MATCH($D3251,'Paramètres'!$M:$M,0)),"⚠ Type inconnu",IF($L3251="Crédit","",IFERROR(INDEX('Paramètres'!$O:$O,MATCH($D3251,'Paramètres'!$M:$M,0))&amp;"",""))))</f>
        <v/>
      </c>
      <c r="N3251" s="6" t="str">
        <f>IF($D3251="","",IFERROR(INDEX('Paramètres'!$Q:$Q,MATCH($D3251,'Paramètres'!$M:$M,0))&amp;"",""))</f>
        <v/>
      </c>
      <c r="O3251" s="6" t="str">
        <f>IF($A3251="","",IF(OR($J3251&lt;&gt;"x",$A3251&lt;=FinReleve),1,0))</f>
        <v/>
      </c>
      <c r="P3251" s="6" t="str">
        <f>IF($D3251="","",IF(AND($L3251="Crédit",OR(IFERROR(INDEX('Paramètres'!$O:$O,MATCH($D3251,'Paramètres'!$M:$M,0))&amp;"","")&lt;&gt;"",ISNUMBER(SEARCH("remboursement",IFERROR(INDEX('Paramètres'!$N:$N,MATCH($D3251,'Paramètres'!$M:$M,0))&amp;"",""))))),1,0))</f>
        <v/>
      </c>
      <c r="Q3251" s="6" t="str">
        <f>IF($K3251="","",IF(ISNUMBER(SEARCH("transfert-interne",IFERROR(INDEX('Paramètres'!$N:$N,MATCH($D3251,'Paramètres'!$M:$M,0))&amp;"",""))),0,IF($L3251="Débit",$K3251,IF($P3251=1,-$K3251,0))))</f>
        <v/>
      </c>
      <c r="R3251" s="6" t="str">
        <f>IF($K3251="","",IF($L3251="Crédit",$K3251,-$K3251))</f>
        <v/>
      </c>
      <c r="S3251" s="6" t="str">
        <f>IF($C3251="","",IFERROR(INDEX('Paramètres'!$H:$H,MATCH($C3251,'Paramètres'!$D:$D,0))&amp;"",""))</f>
        <v/>
      </c>
      <c r="T3251" s="6" t="str">
        <f>IF($K3251="","",IF($S3251="",0,IF(ISNUMBER(SEARCH("apport-exterieur",IFERROR(INDEX('Paramètres'!$N:$N,MATCH($D3251,'Paramètres'!$M:$M,0))&amp;"",""))),0,IF(OR(IFERROR(INDEX('Paramètres'!$I:$I,MATCH($C3251,'Paramètres'!$D:$D,0))&amp;"","")="Les deux",IFERROR(INDEX('Paramètres'!$I:$I,MATCH($C3251,'Paramètres'!$D:$D,0))&amp;"","")=IF($P3251=1,"Débit",$L3251)),-IF($P3251=1,-$K3251,$K3251),0))))</f>
        <v/>
      </c>
      <c r="U3251" s="6" t="str">
        <f>IF($K3251="","",IF(ISNUMBER(SEARCH("sortie-epargne",IFERROR(INDEX('Paramètres'!$N:$N,MATCH($D3251,'Paramètres'!$M:$M,0))&amp;"",""))),$K3251,0))</f>
        <v/>
      </c>
      <c r="V3251" s="6" t="str">
        <f>IF(AND($A3251&lt;&gt;"",$O3251=1,$L3251="Débit",N($Q3251)&gt;0,$A3251&gt;=Visualisation!$B$1,$A3251&lt;Visualisation!$D$1),MAX($V$1:V3250)+1,"")</f>
        <v/>
      </c>
    </row>
    <row r="3252" spans="1:22" x14ac:dyDescent="0.25">
      <c r="A3252" s="9"/>
      <c r="E3252" s="10"/>
      <c r="K3252" s="11" t="str">
        <f>IF($E3252="","",ROUND($E3252*IF(ISNA(MATCH($C3252,'Paramètres'!$D:$D,0)),1,IF(INDEX('Paramètres'!$J:$J,MATCH($C3252,'Paramètres'!$D:$D,0))="",1,INDEX('Paramètres'!$J:$J,MATCH($C3252,'Paramètres'!$D:$D,0)))),2))</f>
        <v/>
      </c>
      <c r="L3252" s="6" t="str">
        <f>IF($D3252="","",IF($F3252&lt;&gt;"",$F3252,IF(ISNA(MATCH($D3252,'Paramètres'!$M:$M,0)),"⚠ Type inconnu",IFERROR(INDEX('Paramètres'!$P:$P,MATCH($D3252,'Paramètres'!$M:$M,0))&amp;"",""))))</f>
        <v/>
      </c>
      <c r="M3252" s="6" t="str">
        <f>IF($D3252="","",IF(ISNA(MATCH($D3252,'Paramètres'!$M:$M,0)),"⚠ Type inconnu",IF($L3252="Crédit","",IFERROR(INDEX('Paramètres'!$O:$O,MATCH($D3252,'Paramètres'!$M:$M,0))&amp;"",""))))</f>
        <v/>
      </c>
      <c r="N3252" s="6" t="str">
        <f>IF($D3252="","",IFERROR(INDEX('Paramètres'!$Q:$Q,MATCH($D3252,'Paramètres'!$M:$M,0))&amp;"",""))</f>
        <v/>
      </c>
      <c r="O3252" s="6" t="str">
        <f>IF($A3252="","",IF(OR($J3252&lt;&gt;"x",$A3252&lt;=FinReleve),1,0))</f>
        <v/>
      </c>
      <c r="P3252" s="6" t="str">
        <f>IF($D3252="","",IF(AND($L3252="Crédit",OR(IFERROR(INDEX('Paramètres'!$O:$O,MATCH($D3252,'Paramètres'!$M:$M,0))&amp;"","")&lt;&gt;"",ISNUMBER(SEARCH("remboursement",IFERROR(INDEX('Paramètres'!$N:$N,MATCH($D3252,'Paramètres'!$M:$M,0))&amp;"",""))))),1,0))</f>
        <v/>
      </c>
      <c r="Q3252" s="6" t="str">
        <f>IF($K3252="","",IF(ISNUMBER(SEARCH("transfert-interne",IFERROR(INDEX('Paramètres'!$N:$N,MATCH($D3252,'Paramètres'!$M:$M,0))&amp;"",""))),0,IF($L3252="Débit",$K3252,IF($P3252=1,-$K3252,0))))</f>
        <v/>
      </c>
      <c r="R3252" s="6" t="str">
        <f>IF($K3252="","",IF($L3252="Crédit",$K3252,-$K3252))</f>
        <v/>
      </c>
      <c r="S3252" s="6" t="str">
        <f>IF($C3252="","",IFERROR(INDEX('Paramètres'!$H:$H,MATCH($C3252,'Paramètres'!$D:$D,0))&amp;"",""))</f>
        <v/>
      </c>
      <c r="T3252" s="6" t="str">
        <f>IF($K3252="","",IF($S3252="",0,IF(ISNUMBER(SEARCH("apport-exterieur",IFERROR(INDEX('Paramètres'!$N:$N,MATCH($D3252,'Paramètres'!$M:$M,0))&amp;"",""))),0,IF(OR(IFERROR(INDEX('Paramètres'!$I:$I,MATCH($C3252,'Paramètres'!$D:$D,0))&amp;"","")="Les deux",IFERROR(INDEX('Paramètres'!$I:$I,MATCH($C3252,'Paramètres'!$D:$D,0))&amp;"","")=IF($P3252=1,"Débit",$L3252)),-IF($P3252=1,-$K3252,$K3252),0))))</f>
        <v/>
      </c>
      <c r="U3252" s="6" t="str">
        <f>IF($K3252="","",IF(ISNUMBER(SEARCH("sortie-epargne",IFERROR(INDEX('Paramètres'!$N:$N,MATCH($D3252,'Paramètres'!$M:$M,0))&amp;"",""))),$K3252,0))</f>
        <v/>
      </c>
      <c r="V3252" s="6" t="str">
        <f>IF(AND($A3252&lt;&gt;"",$O3252=1,$L3252="Débit",N($Q3252)&gt;0,$A3252&gt;=Visualisation!$B$1,$A3252&lt;Visualisation!$D$1),MAX($V$1:V3251)+1,"")</f>
        <v/>
      </c>
    </row>
    <row r="3253" spans="1:22" x14ac:dyDescent="0.25">
      <c r="A3253" s="9"/>
      <c r="E3253" s="10"/>
      <c r="K3253" s="11" t="str">
        <f>IF($E3253="","",ROUND($E3253*IF(ISNA(MATCH($C3253,'Paramètres'!$D:$D,0)),1,IF(INDEX('Paramètres'!$J:$J,MATCH($C3253,'Paramètres'!$D:$D,0))="",1,INDEX('Paramètres'!$J:$J,MATCH($C3253,'Paramètres'!$D:$D,0)))),2))</f>
        <v/>
      </c>
      <c r="L3253" s="6" t="str">
        <f>IF($D3253="","",IF($F3253&lt;&gt;"",$F3253,IF(ISNA(MATCH($D3253,'Paramètres'!$M:$M,0)),"⚠ Type inconnu",IFERROR(INDEX('Paramètres'!$P:$P,MATCH($D3253,'Paramètres'!$M:$M,0))&amp;"",""))))</f>
        <v/>
      </c>
      <c r="M3253" s="6" t="str">
        <f>IF($D3253="","",IF(ISNA(MATCH($D3253,'Paramètres'!$M:$M,0)),"⚠ Type inconnu",IF($L3253="Crédit","",IFERROR(INDEX('Paramètres'!$O:$O,MATCH($D3253,'Paramètres'!$M:$M,0))&amp;"",""))))</f>
        <v/>
      </c>
      <c r="N3253" s="6" t="str">
        <f>IF($D3253="","",IFERROR(INDEX('Paramètres'!$Q:$Q,MATCH($D3253,'Paramètres'!$M:$M,0))&amp;"",""))</f>
        <v/>
      </c>
      <c r="O3253" s="6" t="str">
        <f>IF($A3253="","",IF(OR($J3253&lt;&gt;"x",$A3253&lt;=FinReleve),1,0))</f>
        <v/>
      </c>
      <c r="P3253" s="6" t="str">
        <f>IF($D3253="","",IF(AND($L3253="Crédit",OR(IFERROR(INDEX('Paramètres'!$O:$O,MATCH($D3253,'Paramètres'!$M:$M,0))&amp;"","")&lt;&gt;"",ISNUMBER(SEARCH("remboursement",IFERROR(INDEX('Paramètres'!$N:$N,MATCH($D3253,'Paramètres'!$M:$M,0))&amp;"",""))))),1,0))</f>
        <v/>
      </c>
      <c r="Q3253" s="6" t="str">
        <f>IF($K3253="","",IF(ISNUMBER(SEARCH("transfert-interne",IFERROR(INDEX('Paramètres'!$N:$N,MATCH($D3253,'Paramètres'!$M:$M,0))&amp;"",""))),0,IF($L3253="Débit",$K3253,IF($P3253=1,-$K3253,0))))</f>
        <v/>
      </c>
      <c r="R3253" s="6" t="str">
        <f>IF($K3253="","",IF($L3253="Crédit",$K3253,-$K3253))</f>
        <v/>
      </c>
      <c r="S3253" s="6" t="str">
        <f>IF($C3253="","",IFERROR(INDEX('Paramètres'!$H:$H,MATCH($C3253,'Paramètres'!$D:$D,0))&amp;"",""))</f>
        <v/>
      </c>
      <c r="T3253" s="6" t="str">
        <f>IF($K3253="","",IF($S3253="",0,IF(ISNUMBER(SEARCH("apport-exterieur",IFERROR(INDEX('Paramètres'!$N:$N,MATCH($D3253,'Paramètres'!$M:$M,0))&amp;"",""))),0,IF(OR(IFERROR(INDEX('Paramètres'!$I:$I,MATCH($C3253,'Paramètres'!$D:$D,0))&amp;"","")="Les deux",IFERROR(INDEX('Paramètres'!$I:$I,MATCH($C3253,'Paramètres'!$D:$D,0))&amp;"","")=IF($P3253=1,"Débit",$L3253)),-IF($P3253=1,-$K3253,$K3253),0))))</f>
        <v/>
      </c>
      <c r="U3253" s="6" t="str">
        <f>IF($K3253="","",IF(ISNUMBER(SEARCH("sortie-epargne",IFERROR(INDEX('Paramètres'!$N:$N,MATCH($D3253,'Paramètres'!$M:$M,0))&amp;"",""))),$K3253,0))</f>
        <v/>
      </c>
      <c r="V3253" s="6" t="str">
        <f>IF(AND($A3253&lt;&gt;"",$O3253=1,$L3253="Débit",N($Q3253)&gt;0,$A3253&gt;=Visualisation!$B$1,$A3253&lt;Visualisation!$D$1),MAX($V$1:V3252)+1,"")</f>
        <v/>
      </c>
    </row>
    <row r="3254" spans="1:22" x14ac:dyDescent="0.25">
      <c r="A3254" s="9"/>
      <c r="E3254" s="10"/>
      <c r="K3254" s="11" t="str">
        <f>IF($E3254="","",ROUND($E3254*IF(ISNA(MATCH($C3254,'Paramètres'!$D:$D,0)),1,IF(INDEX('Paramètres'!$J:$J,MATCH($C3254,'Paramètres'!$D:$D,0))="",1,INDEX('Paramètres'!$J:$J,MATCH($C3254,'Paramètres'!$D:$D,0)))),2))</f>
        <v/>
      </c>
      <c r="L3254" s="6" t="str">
        <f>IF($D3254="","",IF($F3254&lt;&gt;"",$F3254,IF(ISNA(MATCH($D3254,'Paramètres'!$M:$M,0)),"⚠ Type inconnu",IFERROR(INDEX('Paramètres'!$P:$P,MATCH($D3254,'Paramètres'!$M:$M,0))&amp;"",""))))</f>
        <v/>
      </c>
      <c r="M3254" s="6" t="str">
        <f>IF($D3254="","",IF(ISNA(MATCH($D3254,'Paramètres'!$M:$M,0)),"⚠ Type inconnu",IF($L3254="Crédit","",IFERROR(INDEX('Paramètres'!$O:$O,MATCH($D3254,'Paramètres'!$M:$M,0))&amp;"",""))))</f>
        <v/>
      </c>
      <c r="N3254" s="6" t="str">
        <f>IF($D3254="","",IFERROR(INDEX('Paramètres'!$Q:$Q,MATCH($D3254,'Paramètres'!$M:$M,0))&amp;"",""))</f>
        <v/>
      </c>
      <c r="O3254" s="6" t="str">
        <f>IF($A3254="","",IF(OR($J3254&lt;&gt;"x",$A3254&lt;=FinReleve),1,0))</f>
        <v/>
      </c>
      <c r="P3254" s="6" t="str">
        <f>IF($D3254="","",IF(AND($L3254="Crédit",OR(IFERROR(INDEX('Paramètres'!$O:$O,MATCH($D3254,'Paramètres'!$M:$M,0))&amp;"","")&lt;&gt;"",ISNUMBER(SEARCH("remboursement",IFERROR(INDEX('Paramètres'!$N:$N,MATCH($D3254,'Paramètres'!$M:$M,0))&amp;"",""))))),1,0))</f>
        <v/>
      </c>
      <c r="Q3254" s="6" t="str">
        <f>IF($K3254="","",IF(ISNUMBER(SEARCH("transfert-interne",IFERROR(INDEX('Paramètres'!$N:$N,MATCH($D3254,'Paramètres'!$M:$M,0))&amp;"",""))),0,IF($L3254="Débit",$K3254,IF($P3254=1,-$K3254,0))))</f>
        <v/>
      </c>
      <c r="R3254" s="6" t="str">
        <f>IF($K3254="","",IF($L3254="Crédit",$K3254,-$K3254))</f>
        <v/>
      </c>
      <c r="S3254" s="6" t="str">
        <f>IF($C3254="","",IFERROR(INDEX('Paramètres'!$H:$H,MATCH($C3254,'Paramètres'!$D:$D,0))&amp;"",""))</f>
        <v/>
      </c>
      <c r="T3254" s="6" t="str">
        <f>IF($K3254="","",IF($S3254="",0,IF(ISNUMBER(SEARCH("apport-exterieur",IFERROR(INDEX('Paramètres'!$N:$N,MATCH($D3254,'Paramètres'!$M:$M,0))&amp;"",""))),0,IF(OR(IFERROR(INDEX('Paramètres'!$I:$I,MATCH($C3254,'Paramètres'!$D:$D,0))&amp;"","")="Les deux",IFERROR(INDEX('Paramètres'!$I:$I,MATCH($C3254,'Paramètres'!$D:$D,0))&amp;"","")=IF($P3254=1,"Débit",$L3254)),-IF($P3254=1,-$K3254,$K3254),0))))</f>
        <v/>
      </c>
      <c r="U3254" s="6" t="str">
        <f>IF($K3254="","",IF(ISNUMBER(SEARCH("sortie-epargne",IFERROR(INDEX('Paramètres'!$N:$N,MATCH($D3254,'Paramètres'!$M:$M,0))&amp;"",""))),$K3254,0))</f>
        <v/>
      </c>
      <c r="V3254" s="6" t="str">
        <f>IF(AND($A3254&lt;&gt;"",$O3254=1,$L3254="Débit",N($Q3254)&gt;0,$A3254&gt;=Visualisation!$B$1,$A3254&lt;Visualisation!$D$1),MAX($V$1:V3253)+1,"")</f>
        <v/>
      </c>
    </row>
    <row r="3255" spans="1:22" x14ac:dyDescent="0.25">
      <c r="A3255" s="9"/>
      <c r="E3255" s="10"/>
      <c r="K3255" s="11" t="str">
        <f>IF($E3255="","",ROUND($E3255*IF(ISNA(MATCH($C3255,'Paramètres'!$D:$D,0)),1,IF(INDEX('Paramètres'!$J:$J,MATCH($C3255,'Paramètres'!$D:$D,0))="",1,INDEX('Paramètres'!$J:$J,MATCH($C3255,'Paramètres'!$D:$D,0)))),2))</f>
        <v/>
      </c>
      <c r="L3255" s="6" t="str">
        <f>IF($D3255="","",IF($F3255&lt;&gt;"",$F3255,IF(ISNA(MATCH($D3255,'Paramètres'!$M:$M,0)),"⚠ Type inconnu",IFERROR(INDEX('Paramètres'!$P:$P,MATCH($D3255,'Paramètres'!$M:$M,0))&amp;"",""))))</f>
        <v/>
      </c>
      <c r="M3255" s="6" t="str">
        <f>IF($D3255="","",IF(ISNA(MATCH($D3255,'Paramètres'!$M:$M,0)),"⚠ Type inconnu",IF($L3255="Crédit","",IFERROR(INDEX('Paramètres'!$O:$O,MATCH($D3255,'Paramètres'!$M:$M,0))&amp;"",""))))</f>
        <v/>
      </c>
      <c r="N3255" s="6" t="str">
        <f>IF($D3255="","",IFERROR(INDEX('Paramètres'!$Q:$Q,MATCH($D3255,'Paramètres'!$M:$M,0))&amp;"",""))</f>
        <v/>
      </c>
      <c r="O3255" s="6" t="str">
        <f>IF($A3255="","",IF(OR($J3255&lt;&gt;"x",$A3255&lt;=FinReleve),1,0))</f>
        <v/>
      </c>
      <c r="P3255" s="6" t="str">
        <f>IF($D3255="","",IF(AND($L3255="Crédit",OR(IFERROR(INDEX('Paramètres'!$O:$O,MATCH($D3255,'Paramètres'!$M:$M,0))&amp;"","")&lt;&gt;"",ISNUMBER(SEARCH("remboursement",IFERROR(INDEX('Paramètres'!$N:$N,MATCH($D3255,'Paramètres'!$M:$M,0))&amp;"",""))))),1,0))</f>
        <v/>
      </c>
      <c r="Q3255" s="6" t="str">
        <f>IF($K3255="","",IF(ISNUMBER(SEARCH("transfert-interne",IFERROR(INDEX('Paramètres'!$N:$N,MATCH($D3255,'Paramètres'!$M:$M,0))&amp;"",""))),0,IF($L3255="Débit",$K3255,IF($P3255=1,-$K3255,0))))</f>
        <v/>
      </c>
      <c r="R3255" s="6" t="str">
        <f>IF($K3255="","",IF($L3255="Crédit",$K3255,-$K3255))</f>
        <v/>
      </c>
      <c r="S3255" s="6" t="str">
        <f>IF($C3255="","",IFERROR(INDEX('Paramètres'!$H:$H,MATCH($C3255,'Paramètres'!$D:$D,0))&amp;"",""))</f>
        <v/>
      </c>
      <c r="T3255" s="6" t="str">
        <f>IF($K3255="","",IF($S3255="",0,IF(ISNUMBER(SEARCH("apport-exterieur",IFERROR(INDEX('Paramètres'!$N:$N,MATCH($D3255,'Paramètres'!$M:$M,0))&amp;"",""))),0,IF(OR(IFERROR(INDEX('Paramètres'!$I:$I,MATCH($C3255,'Paramètres'!$D:$D,0))&amp;"","")="Les deux",IFERROR(INDEX('Paramètres'!$I:$I,MATCH($C3255,'Paramètres'!$D:$D,0))&amp;"","")=IF($P3255=1,"Débit",$L3255)),-IF($P3255=1,-$K3255,$K3255),0))))</f>
        <v/>
      </c>
      <c r="U3255" s="6" t="str">
        <f>IF($K3255="","",IF(ISNUMBER(SEARCH("sortie-epargne",IFERROR(INDEX('Paramètres'!$N:$N,MATCH($D3255,'Paramètres'!$M:$M,0))&amp;"",""))),$K3255,0))</f>
        <v/>
      </c>
      <c r="V3255" s="6" t="str">
        <f>IF(AND($A3255&lt;&gt;"",$O3255=1,$L3255="Débit",N($Q3255)&gt;0,$A3255&gt;=Visualisation!$B$1,$A3255&lt;Visualisation!$D$1),MAX($V$1:V3254)+1,"")</f>
        <v/>
      </c>
    </row>
    <row r="3256" spans="1:22" x14ac:dyDescent="0.25">
      <c r="A3256" s="9"/>
      <c r="E3256" s="10"/>
      <c r="K3256" s="11" t="str">
        <f>IF($E3256="","",ROUND($E3256*IF(ISNA(MATCH($C3256,'Paramètres'!$D:$D,0)),1,IF(INDEX('Paramètres'!$J:$J,MATCH($C3256,'Paramètres'!$D:$D,0))="",1,INDEX('Paramètres'!$J:$J,MATCH($C3256,'Paramètres'!$D:$D,0)))),2))</f>
        <v/>
      </c>
      <c r="L3256" s="6" t="str">
        <f>IF($D3256="","",IF($F3256&lt;&gt;"",$F3256,IF(ISNA(MATCH($D3256,'Paramètres'!$M:$M,0)),"⚠ Type inconnu",IFERROR(INDEX('Paramètres'!$P:$P,MATCH($D3256,'Paramètres'!$M:$M,0))&amp;"",""))))</f>
        <v/>
      </c>
      <c r="M3256" s="6" t="str">
        <f>IF($D3256="","",IF(ISNA(MATCH($D3256,'Paramètres'!$M:$M,0)),"⚠ Type inconnu",IF($L3256="Crédit","",IFERROR(INDEX('Paramètres'!$O:$O,MATCH($D3256,'Paramètres'!$M:$M,0))&amp;"",""))))</f>
        <v/>
      </c>
      <c r="N3256" s="6" t="str">
        <f>IF($D3256="","",IFERROR(INDEX('Paramètres'!$Q:$Q,MATCH($D3256,'Paramètres'!$M:$M,0))&amp;"",""))</f>
        <v/>
      </c>
      <c r="O3256" s="6" t="str">
        <f>IF($A3256="","",IF(OR($J3256&lt;&gt;"x",$A3256&lt;=FinReleve),1,0))</f>
        <v/>
      </c>
      <c r="P3256" s="6" t="str">
        <f>IF($D3256="","",IF(AND($L3256="Crédit",OR(IFERROR(INDEX('Paramètres'!$O:$O,MATCH($D3256,'Paramètres'!$M:$M,0))&amp;"","")&lt;&gt;"",ISNUMBER(SEARCH("remboursement",IFERROR(INDEX('Paramètres'!$N:$N,MATCH($D3256,'Paramètres'!$M:$M,0))&amp;"",""))))),1,0))</f>
        <v/>
      </c>
      <c r="Q3256" s="6" t="str">
        <f>IF($K3256="","",IF(ISNUMBER(SEARCH("transfert-interne",IFERROR(INDEX('Paramètres'!$N:$N,MATCH($D3256,'Paramètres'!$M:$M,0))&amp;"",""))),0,IF($L3256="Débit",$K3256,IF($P3256=1,-$K3256,0))))</f>
        <v/>
      </c>
      <c r="R3256" s="6" t="str">
        <f>IF($K3256="","",IF($L3256="Crédit",$K3256,-$K3256))</f>
        <v/>
      </c>
      <c r="S3256" s="6" t="str">
        <f>IF($C3256="","",IFERROR(INDEX('Paramètres'!$H:$H,MATCH($C3256,'Paramètres'!$D:$D,0))&amp;"",""))</f>
        <v/>
      </c>
      <c r="T3256" s="6" t="str">
        <f>IF($K3256="","",IF($S3256="",0,IF(ISNUMBER(SEARCH("apport-exterieur",IFERROR(INDEX('Paramètres'!$N:$N,MATCH($D3256,'Paramètres'!$M:$M,0))&amp;"",""))),0,IF(OR(IFERROR(INDEX('Paramètres'!$I:$I,MATCH($C3256,'Paramètres'!$D:$D,0))&amp;"","")="Les deux",IFERROR(INDEX('Paramètres'!$I:$I,MATCH($C3256,'Paramètres'!$D:$D,0))&amp;"","")=IF($P3256=1,"Débit",$L3256)),-IF($P3256=1,-$K3256,$K3256),0))))</f>
        <v/>
      </c>
      <c r="U3256" s="6" t="str">
        <f>IF($K3256="","",IF(ISNUMBER(SEARCH("sortie-epargne",IFERROR(INDEX('Paramètres'!$N:$N,MATCH($D3256,'Paramètres'!$M:$M,0))&amp;"",""))),$K3256,0))</f>
        <v/>
      </c>
      <c r="V3256" s="6" t="str">
        <f>IF(AND($A3256&lt;&gt;"",$O3256=1,$L3256="Débit",N($Q3256)&gt;0,$A3256&gt;=Visualisation!$B$1,$A3256&lt;Visualisation!$D$1),MAX($V$1:V3255)+1,"")</f>
        <v/>
      </c>
    </row>
    <row r="3257" spans="1:22" x14ac:dyDescent="0.25">
      <c r="A3257" s="9"/>
      <c r="E3257" s="10"/>
      <c r="K3257" s="11" t="str">
        <f>IF($E3257="","",ROUND($E3257*IF(ISNA(MATCH($C3257,'Paramètres'!$D:$D,0)),1,IF(INDEX('Paramètres'!$J:$J,MATCH($C3257,'Paramètres'!$D:$D,0))="",1,INDEX('Paramètres'!$J:$J,MATCH($C3257,'Paramètres'!$D:$D,0)))),2))</f>
        <v/>
      </c>
      <c r="L3257" s="6" t="str">
        <f>IF($D3257="","",IF($F3257&lt;&gt;"",$F3257,IF(ISNA(MATCH($D3257,'Paramètres'!$M:$M,0)),"⚠ Type inconnu",IFERROR(INDEX('Paramètres'!$P:$P,MATCH($D3257,'Paramètres'!$M:$M,0))&amp;"",""))))</f>
        <v/>
      </c>
      <c r="M3257" s="6" t="str">
        <f>IF($D3257="","",IF(ISNA(MATCH($D3257,'Paramètres'!$M:$M,0)),"⚠ Type inconnu",IF($L3257="Crédit","",IFERROR(INDEX('Paramètres'!$O:$O,MATCH($D3257,'Paramètres'!$M:$M,0))&amp;"",""))))</f>
        <v/>
      </c>
      <c r="N3257" s="6" t="str">
        <f>IF($D3257="","",IFERROR(INDEX('Paramètres'!$Q:$Q,MATCH($D3257,'Paramètres'!$M:$M,0))&amp;"",""))</f>
        <v/>
      </c>
      <c r="O3257" s="6" t="str">
        <f>IF($A3257="","",IF(OR($J3257&lt;&gt;"x",$A3257&lt;=FinReleve),1,0))</f>
        <v/>
      </c>
      <c r="P3257" s="6" t="str">
        <f>IF($D3257="","",IF(AND($L3257="Crédit",OR(IFERROR(INDEX('Paramètres'!$O:$O,MATCH($D3257,'Paramètres'!$M:$M,0))&amp;"","")&lt;&gt;"",ISNUMBER(SEARCH("remboursement",IFERROR(INDEX('Paramètres'!$N:$N,MATCH($D3257,'Paramètres'!$M:$M,0))&amp;"",""))))),1,0))</f>
        <v/>
      </c>
      <c r="Q3257" s="6" t="str">
        <f>IF($K3257="","",IF(ISNUMBER(SEARCH("transfert-interne",IFERROR(INDEX('Paramètres'!$N:$N,MATCH($D3257,'Paramètres'!$M:$M,0))&amp;"",""))),0,IF($L3257="Débit",$K3257,IF($P3257=1,-$K3257,0))))</f>
        <v/>
      </c>
      <c r="R3257" s="6" t="str">
        <f>IF($K3257="","",IF($L3257="Crédit",$K3257,-$K3257))</f>
        <v/>
      </c>
      <c r="S3257" s="6" t="str">
        <f>IF($C3257="","",IFERROR(INDEX('Paramètres'!$H:$H,MATCH($C3257,'Paramètres'!$D:$D,0))&amp;"",""))</f>
        <v/>
      </c>
      <c r="T3257" s="6" t="str">
        <f>IF($K3257="","",IF($S3257="",0,IF(ISNUMBER(SEARCH("apport-exterieur",IFERROR(INDEX('Paramètres'!$N:$N,MATCH($D3257,'Paramètres'!$M:$M,0))&amp;"",""))),0,IF(OR(IFERROR(INDEX('Paramètres'!$I:$I,MATCH($C3257,'Paramètres'!$D:$D,0))&amp;"","")="Les deux",IFERROR(INDEX('Paramètres'!$I:$I,MATCH($C3257,'Paramètres'!$D:$D,0))&amp;"","")=IF($P3257=1,"Débit",$L3257)),-IF($P3257=1,-$K3257,$K3257),0))))</f>
        <v/>
      </c>
      <c r="U3257" s="6" t="str">
        <f>IF($K3257="","",IF(ISNUMBER(SEARCH("sortie-epargne",IFERROR(INDEX('Paramètres'!$N:$N,MATCH($D3257,'Paramètres'!$M:$M,0))&amp;"",""))),$K3257,0))</f>
        <v/>
      </c>
      <c r="V3257" s="6" t="str">
        <f>IF(AND($A3257&lt;&gt;"",$O3257=1,$L3257="Débit",N($Q3257)&gt;0,$A3257&gt;=Visualisation!$B$1,$A3257&lt;Visualisation!$D$1),MAX($V$1:V3256)+1,"")</f>
        <v/>
      </c>
    </row>
    <row r="3258" spans="1:22" x14ac:dyDescent="0.25">
      <c r="A3258" s="9"/>
      <c r="E3258" s="10"/>
      <c r="K3258" s="11" t="str">
        <f>IF($E3258="","",ROUND($E3258*IF(ISNA(MATCH($C3258,'Paramètres'!$D:$D,0)),1,IF(INDEX('Paramètres'!$J:$J,MATCH($C3258,'Paramètres'!$D:$D,0))="",1,INDEX('Paramètres'!$J:$J,MATCH($C3258,'Paramètres'!$D:$D,0)))),2))</f>
        <v/>
      </c>
      <c r="L3258" s="6" t="str">
        <f>IF($D3258="","",IF($F3258&lt;&gt;"",$F3258,IF(ISNA(MATCH($D3258,'Paramètres'!$M:$M,0)),"⚠ Type inconnu",IFERROR(INDEX('Paramètres'!$P:$P,MATCH($D3258,'Paramètres'!$M:$M,0))&amp;"",""))))</f>
        <v/>
      </c>
      <c r="M3258" s="6" t="str">
        <f>IF($D3258="","",IF(ISNA(MATCH($D3258,'Paramètres'!$M:$M,0)),"⚠ Type inconnu",IF($L3258="Crédit","",IFERROR(INDEX('Paramètres'!$O:$O,MATCH($D3258,'Paramètres'!$M:$M,0))&amp;"",""))))</f>
        <v/>
      </c>
      <c r="N3258" s="6" t="str">
        <f>IF($D3258="","",IFERROR(INDEX('Paramètres'!$Q:$Q,MATCH($D3258,'Paramètres'!$M:$M,0))&amp;"",""))</f>
        <v/>
      </c>
      <c r="O3258" s="6" t="str">
        <f>IF($A3258="","",IF(OR($J3258&lt;&gt;"x",$A3258&lt;=FinReleve),1,0))</f>
        <v/>
      </c>
      <c r="P3258" s="6" t="str">
        <f>IF($D3258="","",IF(AND($L3258="Crédit",OR(IFERROR(INDEX('Paramètres'!$O:$O,MATCH($D3258,'Paramètres'!$M:$M,0))&amp;"","")&lt;&gt;"",ISNUMBER(SEARCH("remboursement",IFERROR(INDEX('Paramètres'!$N:$N,MATCH($D3258,'Paramètres'!$M:$M,0))&amp;"",""))))),1,0))</f>
        <v/>
      </c>
      <c r="Q3258" s="6" t="str">
        <f>IF($K3258="","",IF(ISNUMBER(SEARCH("transfert-interne",IFERROR(INDEX('Paramètres'!$N:$N,MATCH($D3258,'Paramètres'!$M:$M,0))&amp;"",""))),0,IF($L3258="Débit",$K3258,IF($P3258=1,-$K3258,0))))</f>
        <v/>
      </c>
      <c r="R3258" s="6" t="str">
        <f>IF($K3258="","",IF($L3258="Crédit",$K3258,-$K3258))</f>
        <v/>
      </c>
      <c r="S3258" s="6" t="str">
        <f>IF($C3258="","",IFERROR(INDEX('Paramètres'!$H:$H,MATCH($C3258,'Paramètres'!$D:$D,0))&amp;"",""))</f>
        <v/>
      </c>
      <c r="T3258" s="6" t="str">
        <f>IF($K3258="","",IF($S3258="",0,IF(ISNUMBER(SEARCH("apport-exterieur",IFERROR(INDEX('Paramètres'!$N:$N,MATCH($D3258,'Paramètres'!$M:$M,0))&amp;"",""))),0,IF(OR(IFERROR(INDEX('Paramètres'!$I:$I,MATCH($C3258,'Paramètres'!$D:$D,0))&amp;"","")="Les deux",IFERROR(INDEX('Paramètres'!$I:$I,MATCH($C3258,'Paramètres'!$D:$D,0))&amp;"","")=IF($P3258=1,"Débit",$L3258)),-IF($P3258=1,-$K3258,$K3258),0))))</f>
        <v/>
      </c>
      <c r="U3258" s="6" t="str">
        <f>IF($K3258="","",IF(ISNUMBER(SEARCH("sortie-epargne",IFERROR(INDEX('Paramètres'!$N:$N,MATCH($D3258,'Paramètres'!$M:$M,0))&amp;"",""))),$K3258,0))</f>
        <v/>
      </c>
      <c r="V3258" s="6" t="str">
        <f>IF(AND($A3258&lt;&gt;"",$O3258=1,$L3258="Débit",N($Q3258)&gt;0,$A3258&gt;=Visualisation!$B$1,$A3258&lt;Visualisation!$D$1),MAX($V$1:V3257)+1,"")</f>
        <v/>
      </c>
    </row>
    <row r="3259" spans="1:22" x14ac:dyDescent="0.25">
      <c r="A3259" s="9"/>
      <c r="E3259" s="10"/>
      <c r="K3259" s="11" t="str">
        <f>IF($E3259="","",ROUND($E3259*IF(ISNA(MATCH($C3259,'Paramètres'!$D:$D,0)),1,IF(INDEX('Paramètres'!$J:$J,MATCH($C3259,'Paramètres'!$D:$D,0))="",1,INDEX('Paramètres'!$J:$J,MATCH($C3259,'Paramètres'!$D:$D,0)))),2))</f>
        <v/>
      </c>
      <c r="L3259" s="6" t="str">
        <f>IF($D3259="","",IF($F3259&lt;&gt;"",$F3259,IF(ISNA(MATCH($D3259,'Paramètres'!$M:$M,0)),"⚠ Type inconnu",IFERROR(INDEX('Paramètres'!$P:$P,MATCH($D3259,'Paramètres'!$M:$M,0))&amp;"",""))))</f>
        <v/>
      </c>
      <c r="M3259" s="6" t="str">
        <f>IF($D3259="","",IF(ISNA(MATCH($D3259,'Paramètres'!$M:$M,0)),"⚠ Type inconnu",IF($L3259="Crédit","",IFERROR(INDEX('Paramètres'!$O:$O,MATCH($D3259,'Paramètres'!$M:$M,0))&amp;"",""))))</f>
        <v/>
      </c>
      <c r="N3259" s="6" t="str">
        <f>IF($D3259="","",IFERROR(INDEX('Paramètres'!$Q:$Q,MATCH($D3259,'Paramètres'!$M:$M,0))&amp;"",""))</f>
        <v/>
      </c>
      <c r="O3259" s="6" t="str">
        <f>IF($A3259="","",IF(OR($J3259&lt;&gt;"x",$A3259&lt;=FinReleve),1,0))</f>
        <v/>
      </c>
      <c r="P3259" s="6" t="str">
        <f>IF($D3259="","",IF(AND($L3259="Crédit",OR(IFERROR(INDEX('Paramètres'!$O:$O,MATCH($D3259,'Paramètres'!$M:$M,0))&amp;"","")&lt;&gt;"",ISNUMBER(SEARCH("remboursement",IFERROR(INDEX('Paramètres'!$N:$N,MATCH($D3259,'Paramètres'!$M:$M,0))&amp;"",""))))),1,0))</f>
        <v/>
      </c>
      <c r="Q3259" s="6" t="str">
        <f>IF($K3259="","",IF(ISNUMBER(SEARCH("transfert-interne",IFERROR(INDEX('Paramètres'!$N:$N,MATCH($D3259,'Paramètres'!$M:$M,0))&amp;"",""))),0,IF($L3259="Débit",$K3259,IF($P3259=1,-$K3259,0))))</f>
        <v/>
      </c>
      <c r="R3259" s="6" t="str">
        <f>IF($K3259="","",IF($L3259="Crédit",$K3259,-$K3259))</f>
        <v/>
      </c>
      <c r="S3259" s="6" t="str">
        <f>IF($C3259="","",IFERROR(INDEX('Paramètres'!$H:$H,MATCH($C3259,'Paramètres'!$D:$D,0))&amp;"",""))</f>
        <v/>
      </c>
      <c r="T3259" s="6" t="str">
        <f>IF($K3259="","",IF($S3259="",0,IF(ISNUMBER(SEARCH("apport-exterieur",IFERROR(INDEX('Paramètres'!$N:$N,MATCH($D3259,'Paramètres'!$M:$M,0))&amp;"",""))),0,IF(OR(IFERROR(INDEX('Paramètres'!$I:$I,MATCH($C3259,'Paramètres'!$D:$D,0))&amp;"","")="Les deux",IFERROR(INDEX('Paramètres'!$I:$I,MATCH($C3259,'Paramètres'!$D:$D,0))&amp;"","")=IF($P3259=1,"Débit",$L3259)),-IF($P3259=1,-$K3259,$K3259),0))))</f>
        <v/>
      </c>
      <c r="U3259" s="6" t="str">
        <f>IF($K3259="","",IF(ISNUMBER(SEARCH("sortie-epargne",IFERROR(INDEX('Paramètres'!$N:$N,MATCH($D3259,'Paramètres'!$M:$M,0))&amp;"",""))),$K3259,0))</f>
        <v/>
      </c>
      <c r="V3259" s="6" t="str">
        <f>IF(AND($A3259&lt;&gt;"",$O3259=1,$L3259="Débit",N($Q3259)&gt;0,$A3259&gt;=Visualisation!$B$1,$A3259&lt;Visualisation!$D$1),MAX($V$1:V3258)+1,"")</f>
        <v/>
      </c>
    </row>
    <row r="3260" spans="1:22" x14ac:dyDescent="0.25">
      <c r="A3260" s="9"/>
      <c r="E3260" s="10"/>
      <c r="K3260" s="11" t="str">
        <f>IF($E3260="","",ROUND($E3260*IF(ISNA(MATCH($C3260,'Paramètres'!$D:$D,0)),1,IF(INDEX('Paramètres'!$J:$J,MATCH($C3260,'Paramètres'!$D:$D,0))="",1,INDEX('Paramètres'!$J:$J,MATCH($C3260,'Paramètres'!$D:$D,0)))),2))</f>
        <v/>
      </c>
      <c r="L3260" s="6" t="str">
        <f>IF($D3260="","",IF($F3260&lt;&gt;"",$F3260,IF(ISNA(MATCH($D3260,'Paramètres'!$M:$M,0)),"⚠ Type inconnu",IFERROR(INDEX('Paramètres'!$P:$P,MATCH($D3260,'Paramètres'!$M:$M,0))&amp;"",""))))</f>
        <v/>
      </c>
      <c r="M3260" s="6" t="str">
        <f>IF($D3260="","",IF(ISNA(MATCH($D3260,'Paramètres'!$M:$M,0)),"⚠ Type inconnu",IF($L3260="Crédit","",IFERROR(INDEX('Paramètres'!$O:$O,MATCH($D3260,'Paramètres'!$M:$M,0))&amp;"",""))))</f>
        <v/>
      </c>
      <c r="N3260" s="6" t="str">
        <f>IF($D3260="","",IFERROR(INDEX('Paramètres'!$Q:$Q,MATCH($D3260,'Paramètres'!$M:$M,0))&amp;"",""))</f>
        <v/>
      </c>
      <c r="O3260" s="6" t="str">
        <f>IF($A3260="","",IF(OR($J3260&lt;&gt;"x",$A3260&lt;=FinReleve),1,0))</f>
        <v/>
      </c>
      <c r="P3260" s="6" t="str">
        <f>IF($D3260="","",IF(AND($L3260="Crédit",OR(IFERROR(INDEX('Paramètres'!$O:$O,MATCH($D3260,'Paramètres'!$M:$M,0))&amp;"","")&lt;&gt;"",ISNUMBER(SEARCH("remboursement",IFERROR(INDEX('Paramètres'!$N:$N,MATCH($D3260,'Paramètres'!$M:$M,0))&amp;"",""))))),1,0))</f>
        <v/>
      </c>
      <c r="Q3260" s="6" t="str">
        <f>IF($K3260="","",IF(ISNUMBER(SEARCH("transfert-interne",IFERROR(INDEX('Paramètres'!$N:$N,MATCH($D3260,'Paramètres'!$M:$M,0))&amp;"",""))),0,IF($L3260="Débit",$K3260,IF($P3260=1,-$K3260,0))))</f>
        <v/>
      </c>
      <c r="R3260" s="6" t="str">
        <f>IF($K3260="","",IF($L3260="Crédit",$K3260,-$K3260))</f>
        <v/>
      </c>
      <c r="S3260" s="6" t="str">
        <f>IF($C3260="","",IFERROR(INDEX('Paramètres'!$H:$H,MATCH($C3260,'Paramètres'!$D:$D,0))&amp;"",""))</f>
        <v/>
      </c>
      <c r="T3260" s="6" t="str">
        <f>IF($K3260="","",IF($S3260="",0,IF(ISNUMBER(SEARCH("apport-exterieur",IFERROR(INDEX('Paramètres'!$N:$N,MATCH($D3260,'Paramètres'!$M:$M,0))&amp;"",""))),0,IF(OR(IFERROR(INDEX('Paramètres'!$I:$I,MATCH($C3260,'Paramètres'!$D:$D,0))&amp;"","")="Les deux",IFERROR(INDEX('Paramètres'!$I:$I,MATCH($C3260,'Paramètres'!$D:$D,0))&amp;"","")=IF($P3260=1,"Débit",$L3260)),-IF($P3260=1,-$K3260,$K3260),0))))</f>
        <v/>
      </c>
      <c r="U3260" s="6" t="str">
        <f>IF($K3260="","",IF(ISNUMBER(SEARCH("sortie-epargne",IFERROR(INDEX('Paramètres'!$N:$N,MATCH($D3260,'Paramètres'!$M:$M,0))&amp;"",""))),$K3260,0))</f>
        <v/>
      </c>
      <c r="V3260" s="6" t="str">
        <f>IF(AND($A3260&lt;&gt;"",$O3260=1,$L3260="Débit",N($Q3260)&gt;0,$A3260&gt;=Visualisation!$B$1,$A3260&lt;Visualisation!$D$1),MAX($V$1:V3259)+1,"")</f>
        <v/>
      </c>
    </row>
    <row r="3261" spans="1:22" x14ac:dyDescent="0.25">
      <c r="A3261" s="9"/>
      <c r="E3261" s="10"/>
      <c r="K3261" s="11" t="str">
        <f>IF($E3261="","",ROUND($E3261*IF(ISNA(MATCH($C3261,'Paramètres'!$D:$D,0)),1,IF(INDEX('Paramètres'!$J:$J,MATCH($C3261,'Paramètres'!$D:$D,0))="",1,INDEX('Paramètres'!$J:$J,MATCH($C3261,'Paramètres'!$D:$D,0)))),2))</f>
        <v/>
      </c>
      <c r="L3261" s="6" t="str">
        <f>IF($D3261="","",IF($F3261&lt;&gt;"",$F3261,IF(ISNA(MATCH($D3261,'Paramètres'!$M:$M,0)),"⚠ Type inconnu",IFERROR(INDEX('Paramètres'!$P:$P,MATCH($D3261,'Paramètres'!$M:$M,0))&amp;"",""))))</f>
        <v/>
      </c>
      <c r="M3261" s="6" t="str">
        <f>IF($D3261="","",IF(ISNA(MATCH($D3261,'Paramètres'!$M:$M,0)),"⚠ Type inconnu",IF($L3261="Crédit","",IFERROR(INDEX('Paramètres'!$O:$O,MATCH($D3261,'Paramètres'!$M:$M,0))&amp;"",""))))</f>
        <v/>
      </c>
      <c r="N3261" s="6" t="str">
        <f>IF($D3261="","",IFERROR(INDEX('Paramètres'!$Q:$Q,MATCH($D3261,'Paramètres'!$M:$M,0))&amp;"",""))</f>
        <v/>
      </c>
      <c r="O3261" s="6" t="str">
        <f>IF($A3261="","",IF(OR($J3261&lt;&gt;"x",$A3261&lt;=FinReleve),1,0))</f>
        <v/>
      </c>
      <c r="P3261" s="6" t="str">
        <f>IF($D3261="","",IF(AND($L3261="Crédit",OR(IFERROR(INDEX('Paramètres'!$O:$O,MATCH($D3261,'Paramètres'!$M:$M,0))&amp;"","")&lt;&gt;"",ISNUMBER(SEARCH("remboursement",IFERROR(INDEX('Paramètres'!$N:$N,MATCH($D3261,'Paramètres'!$M:$M,0))&amp;"",""))))),1,0))</f>
        <v/>
      </c>
      <c r="Q3261" s="6" t="str">
        <f>IF($K3261="","",IF(ISNUMBER(SEARCH("transfert-interne",IFERROR(INDEX('Paramètres'!$N:$N,MATCH($D3261,'Paramètres'!$M:$M,0))&amp;"",""))),0,IF($L3261="Débit",$K3261,IF($P3261=1,-$K3261,0))))</f>
        <v/>
      </c>
      <c r="R3261" s="6" t="str">
        <f>IF($K3261="","",IF($L3261="Crédit",$K3261,-$K3261))</f>
        <v/>
      </c>
      <c r="S3261" s="6" t="str">
        <f>IF($C3261="","",IFERROR(INDEX('Paramètres'!$H:$H,MATCH($C3261,'Paramètres'!$D:$D,0))&amp;"",""))</f>
        <v/>
      </c>
      <c r="T3261" s="6" t="str">
        <f>IF($K3261="","",IF($S3261="",0,IF(ISNUMBER(SEARCH("apport-exterieur",IFERROR(INDEX('Paramètres'!$N:$N,MATCH($D3261,'Paramètres'!$M:$M,0))&amp;"",""))),0,IF(OR(IFERROR(INDEX('Paramètres'!$I:$I,MATCH($C3261,'Paramètres'!$D:$D,0))&amp;"","")="Les deux",IFERROR(INDEX('Paramètres'!$I:$I,MATCH($C3261,'Paramètres'!$D:$D,0))&amp;"","")=IF($P3261=1,"Débit",$L3261)),-IF($P3261=1,-$K3261,$K3261),0))))</f>
        <v/>
      </c>
      <c r="U3261" s="6" t="str">
        <f>IF($K3261="","",IF(ISNUMBER(SEARCH("sortie-epargne",IFERROR(INDEX('Paramètres'!$N:$N,MATCH($D3261,'Paramètres'!$M:$M,0))&amp;"",""))),$K3261,0))</f>
        <v/>
      </c>
      <c r="V3261" s="6" t="str">
        <f>IF(AND($A3261&lt;&gt;"",$O3261=1,$L3261="Débit",N($Q3261)&gt;0,$A3261&gt;=Visualisation!$B$1,$A3261&lt;Visualisation!$D$1),MAX($V$1:V3260)+1,"")</f>
        <v/>
      </c>
    </row>
    <row r="3262" spans="1:22" x14ac:dyDescent="0.25">
      <c r="A3262" s="9"/>
      <c r="E3262" s="10"/>
      <c r="K3262" s="11" t="str">
        <f>IF($E3262="","",ROUND($E3262*IF(ISNA(MATCH($C3262,'Paramètres'!$D:$D,0)),1,IF(INDEX('Paramètres'!$J:$J,MATCH($C3262,'Paramètres'!$D:$D,0))="",1,INDEX('Paramètres'!$J:$J,MATCH($C3262,'Paramètres'!$D:$D,0)))),2))</f>
        <v/>
      </c>
      <c r="L3262" s="6" t="str">
        <f>IF($D3262="","",IF($F3262&lt;&gt;"",$F3262,IF(ISNA(MATCH($D3262,'Paramètres'!$M:$M,0)),"⚠ Type inconnu",IFERROR(INDEX('Paramètres'!$P:$P,MATCH($D3262,'Paramètres'!$M:$M,0))&amp;"",""))))</f>
        <v/>
      </c>
      <c r="M3262" s="6" t="str">
        <f>IF($D3262="","",IF(ISNA(MATCH($D3262,'Paramètres'!$M:$M,0)),"⚠ Type inconnu",IF($L3262="Crédit","",IFERROR(INDEX('Paramètres'!$O:$O,MATCH($D3262,'Paramètres'!$M:$M,0))&amp;"",""))))</f>
        <v/>
      </c>
      <c r="N3262" s="6" t="str">
        <f>IF($D3262="","",IFERROR(INDEX('Paramètres'!$Q:$Q,MATCH($D3262,'Paramètres'!$M:$M,0))&amp;"",""))</f>
        <v/>
      </c>
      <c r="O3262" s="6" t="str">
        <f>IF($A3262="","",IF(OR($J3262&lt;&gt;"x",$A3262&lt;=FinReleve),1,0))</f>
        <v/>
      </c>
      <c r="P3262" s="6" t="str">
        <f>IF($D3262="","",IF(AND($L3262="Crédit",OR(IFERROR(INDEX('Paramètres'!$O:$O,MATCH($D3262,'Paramètres'!$M:$M,0))&amp;"","")&lt;&gt;"",ISNUMBER(SEARCH("remboursement",IFERROR(INDEX('Paramètres'!$N:$N,MATCH($D3262,'Paramètres'!$M:$M,0))&amp;"",""))))),1,0))</f>
        <v/>
      </c>
      <c r="Q3262" s="6" t="str">
        <f>IF($K3262="","",IF(ISNUMBER(SEARCH("transfert-interne",IFERROR(INDEX('Paramètres'!$N:$N,MATCH($D3262,'Paramètres'!$M:$M,0))&amp;"",""))),0,IF($L3262="Débit",$K3262,IF($P3262=1,-$K3262,0))))</f>
        <v/>
      </c>
      <c r="R3262" s="6" t="str">
        <f>IF($K3262="","",IF($L3262="Crédit",$K3262,-$K3262))</f>
        <v/>
      </c>
      <c r="S3262" s="6" t="str">
        <f>IF($C3262="","",IFERROR(INDEX('Paramètres'!$H:$H,MATCH($C3262,'Paramètres'!$D:$D,0))&amp;"",""))</f>
        <v/>
      </c>
      <c r="T3262" s="6" t="str">
        <f>IF($K3262="","",IF($S3262="",0,IF(ISNUMBER(SEARCH("apport-exterieur",IFERROR(INDEX('Paramètres'!$N:$N,MATCH($D3262,'Paramètres'!$M:$M,0))&amp;"",""))),0,IF(OR(IFERROR(INDEX('Paramètres'!$I:$I,MATCH($C3262,'Paramètres'!$D:$D,0))&amp;"","")="Les deux",IFERROR(INDEX('Paramètres'!$I:$I,MATCH($C3262,'Paramètres'!$D:$D,0))&amp;"","")=IF($P3262=1,"Débit",$L3262)),-IF($P3262=1,-$K3262,$K3262),0))))</f>
        <v/>
      </c>
      <c r="U3262" s="6" t="str">
        <f>IF($K3262="","",IF(ISNUMBER(SEARCH("sortie-epargne",IFERROR(INDEX('Paramètres'!$N:$N,MATCH($D3262,'Paramètres'!$M:$M,0))&amp;"",""))),$K3262,0))</f>
        <v/>
      </c>
      <c r="V3262" s="6" t="str">
        <f>IF(AND($A3262&lt;&gt;"",$O3262=1,$L3262="Débit",N($Q3262)&gt;0,$A3262&gt;=Visualisation!$B$1,$A3262&lt;Visualisation!$D$1),MAX($V$1:V3261)+1,"")</f>
        <v/>
      </c>
    </row>
    <row r="3263" spans="1:22" x14ac:dyDescent="0.25">
      <c r="A3263" s="9"/>
      <c r="E3263" s="10"/>
      <c r="K3263" s="11" t="str">
        <f>IF($E3263="","",ROUND($E3263*IF(ISNA(MATCH($C3263,'Paramètres'!$D:$D,0)),1,IF(INDEX('Paramètres'!$J:$J,MATCH($C3263,'Paramètres'!$D:$D,0))="",1,INDEX('Paramètres'!$J:$J,MATCH($C3263,'Paramètres'!$D:$D,0)))),2))</f>
        <v/>
      </c>
      <c r="L3263" s="6" t="str">
        <f>IF($D3263="","",IF($F3263&lt;&gt;"",$F3263,IF(ISNA(MATCH($D3263,'Paramètres'!$M:$M,0)),"⚠ Type inconnu",IFERROR(INDEX('Paramètres'!$P:$P,MATCH($D3263,'Paramètres'!$M:$M,0))&amp;"",""))))</f>
        <v/>
      </c>
      <c r="M3263" s="6" t="str">
        <f>IF($D3263="","",IF(ISNA(MATCH($D3263,'Paramètres'!$M:$M,0)),"⚠ Type inconnu",IF($L3263="Crédit","",IFERROR(INDEX('Paramètres'!$O:$O,MATCH($D3263,'Paramètres'!$M:$M,0))&amp;"",""))))</f>
        <v/>
      </c>
      <c r="N3263" s="6" t="str">
        <f>IF($D3263="","",IFERROR(INDEX('Paramètres'!$Q:$Q,MATCH($D3263,'Paramètres'!$M:$M,0))&amp;"",""))</f>
        <v/>
      </c>
      <c r="O3263" s="6" t="str">
        <f>IF($A3263="","",IF(OR($J3263&lt;&gt;"x",$A3263&lt;=FinReleve),1,0))</f>
        <v/>
      </c>
      <c r="P3263" s="6" t="str">
        <f>IF($D3263="","",IF(AND($L3263="Crédit",OR(IFERROR(INDEX('Paramètres'!$O:$O,MATCH($D3263,'Paramètres'!$M:$M,0))&amp;"","")&lt;&gt;"",ISNUMBER(SEARCH("remboursement",IFERROR(INDEX('Paramètres'!$N:$N,MATCH($D3263,'Paramètres'!$M:$M,0))&amp;"",""))))),1,0))</f>
        <v/>
      </c>
      <c r="Q3263" s="6" t="str">
        <f>IF($K3263="","",IF(ISNUMBER(SEARCH("transfert-interne",IFERROR(INDEX('Paramètres'!$N:$N,MATCH($D3263,'Paramètres'!$M:$M,0))&amp;"",""))),0,IF($L3263="Débit",$K3263,IF($P3263=1,-$K3263,0))))</f>
        <v/>
      </c>
      <c r="R3263" s="6" t="str">
        <f>IF($K3263="","",IF($L3263="Crédit",$K3263,-$K3263))</f>
        <v/>
      </c>
      <c r="S3263" s="6" t="str">
        <f>IF($C3263="","",IFERROR(INDEX('Paramètres'!$H:$H,MATCH($C3263,'Paramètres'!$D:$D,0))&amp;"",""))</f>
        <v/>
      </c>
      <c r="T3263" s="6" t="str">
        <f>IF($K3263="","",IF($S3263="",0,IF(ISNUMBER(SEARCH("apport-exterieur",IFERROR(INDEX('Paramètres'!$N:$N,MATCH($D3263,'Paramètres'!$M:$M,0))&amp;"",""))),0,IF(OR(IFERROR(INDEX('Paramètres'!$I:$I,MATCH($C3263,'Paramètres'!$D:$D,0))&amp;"","")="Les deux",IFERROR(INDEX('Paramètres'!$I:$I,MATCH($C3263,'Paramètres'!$D:$D,0))&amp;"","")=IF($P3263=1,"Débit",$L3263)),-IF($P3263=1,-$K3263,$K3263),0))))</f>
        <v/>
      </c>
      <c r="U3263" s="6" t="str">
        <f>IF($K3263="","",IF(ISNUMBER(SEARCH("sortie-epargne",IFERROR(INDEX('Paramètres'!$N:$N,MATCH($D3263,'Paramètres'!$M:$M,0))&amp;"",""))),$K3263,0))</f>
        <v/>
      </c>
      <c r="V3263" s="6" t="str">
        <f>IF(AND($A3263&lt;&gt;"",$O3263=1,$L3263="Débit",N($Q3263)&gt;0,$A3263&gt;=Visualisation!$B$1,$A3263&lt;Visualisation!$D$1),MAX($V$1:V3262)+1,"")</f>
        <v/>
      </c>
    </row>
    <row r="3264" spans="1:22" x14ac:dyDescent="0.25">
      <c r="A3264" s="9"/>
      <c r="E3264" s="10"/>
      <c r="K3264" s="11" t="str">
        <f>IF($E3264="","",ROUND($E3264*IF(ISNA(MATCH($C3264,'Paramètres'!$D:$D,0)),1,IF(INDEX('Paramètres'!$J:$J,MATCH($C3264,'Paramètres'!$D:$D,0))="",1,INDEX('Paramètres'!$J:$J,MATCH($C3264,'Paramètres'!$D:$D,0)))),2))</f>
        <v/>
      </c>
      <c r="L3264" s="6" t="str">
        <f>IF($D3264="","",IF($F3264&lt;&gt;"",$F3264,IF(ISNA(MATCH($D3264,'Paramètres'!$M:$M,0)),"⚠ Type inconnu",IFERROR(INDEX('Paramètres'!$P:$P,MATCH($D3264,'Paramètres'!$M:$M,0))&amp;"",""))))</f>
        <v/>
      </c>
      <c r="M3264" s="6" t="str">
        <f>IF($D3264="","",IF(ISNA(MATCH($D3264,'Paramètres'!$M:$M,0)),"⚠ Type inconnu",IF($L3264="Crédit","",IFERROR(INDEX('Paramètres'!$O:$O,MATCH($D3264,'Paramètres'!$M:$M,0))&amp;"",""))))</f>
        <v/>
      </c>
      <c r="N3264" s="6" t="str">
        <f>IF($D3264="","",IFERROR(INDEX('Paramètres'!$Q:$Q,MATCH($D3264,'Paramètres'!$M:$M,0))&amp;"",""))</f>
        <v/>
      </c>
      <c r="O3264" s="6" t="str">
        <f>IF($A3264="","",IF(OR($J3264&lt;&gt;"x",$A3264&lt;=FinReleve),1,0))</f>
        <v/>
      </c>
      <c r="P3264" s="6" t="str">
        <f>IF($D3264="","",IF(AND($L3264="Crédit",OR(IFERROR(INDEX('Paramètres'!$O:$O,MATCH($D3264,'Paramètres'!$M:$M,0))&amp;"","")&lt;&gt;"",ISNUMBER(SEARCH("remboursement",IFERROR(INDEX('Paramètres'!$N:$N,MATCH($D3264,'Paramètres'!$M:$M,0))&amp;"",""))))),1,0))</f>
        <v/>
      </c>
      <c r="Q3264" s="6" t="str">
        <f>IF($K3264="","",IF(ISNUMBER(SEARCH("transfert-interne",IFERROR(INDEX('Paramètres'!$N:$N,MATCH($D3264,'Paramètres'!$M:$M,0))&amp;"",""))),0,IF($L3264="Débit",$K3264,IF($P3264=1,-$K3264,0))))</f>
        <v/>
      </c>
      <c r="R3264" s="6" t="str">
        <f>IF($K3264="","",IF($L3264="Crédit",$K3264,-$K3264))</f>
        <v/>
      </c>
      <c r="S3264" s="6" t="str">
        <f>IF($C3264="","",IFERROR(INDEX('Paramètres'!$H:$H,MATCH($C3264,'Paramètres'!$D:$D,0))&amp;"",""))</f>
        <v/>
      </c>
      <c r="T3264" s="6" t="str">
        <f>IF($K3264="","",IF($S3264="",0,IF(ISNUMBER(SEARCH("apport-exterieur",IFERROR(INDEX('Paramètres'!$N:$N,MATCH($D3264,'Paramètres'!$M:$M,0))&amp;"",""))),0,IF(OR(IFERROR(INDEX('Paramètres'!$I:$I,MATCH($C3264,'Paramètres'!$D:$D,0))&amp;"","")="Les deux",IFERROR(INDEX('Paramètres'!$I:$I,MATCH($C3264,'Paramètres'!$D:$D,0))&amp;"","")=IF($P3264=1,"Débit",$L3264)),-IF($P3264=1,-$K3264,$K3264),0))))</f>
        <v/>
      </c>
      <c r="U3264" s="6" t="str">
        <f>IF($K3264="","",IF(ISNUMBER(SEARCH("sortie-epargne",IFERROR(INDEX('Paramètres'!$N:$N,MATCH($D3264,'Paramètres'!$M:$M,0))&amp;"",""))),$K3264,0))</f>
        <v/>
      </c>
      <c r="V3264" s="6" t="str">
        <f>IF(AND($A3264&lt;&gt;"",$O3264=1,$L3264="Débit",N($Q3264)&gt;0,$A3264&gt;=Visualisation!$B$1,$A3264&lt;Visualisation!$D$1),MAX($V$1:V3263)+1,"")</f>
        <v/>
      </c>
    </row>
    <row r="3265" spans="1:22" x14ac:dyDescent="0.25">
      <c r="A3265" s="9"/>
      <c r="E3265" s="10"/>
      <c r="K3265" s="11" t="str">
        <f>IF($E3265="","",ROUND($E3265*IF(ISNA(MATCH($C3265,'Paramètres'!$D:$D,0)),1,IF(INDEX('Paramètres'!$J:$J,MATCH($C3265,'Paramètres'!$D:$D,0))="",1,INDEX('Paramètres'!$J:$J,MATCH($C3265,'Paramètres'!$D:$D,0)))),2))</f>
        <v/>
      </c>
      <c r="L3265" s="6" t="str">
        <f>IF($D3265="","",IF($F3265&lt;&gt;"",$F3265,IF(ISNA(MATCH($D3265,'Paramètres'!$M:$M,0)),"⚠ Type inconnu",IFERROR(INDEX('Paramètres'!$P:$P,MATCH($D3265,'Paramètres'!$M:$M,0))&amp;"",""))))</f>
        <v/>
      </c>
      <c r="M3265" s="6" t="str">
        <f>IF($D3265="","",IF(ISNA(MATCH($D3265,'Paramètres'!$M:$M,0)),"⚠ Type inconnu",IF($L3265="Crédit","",IFERROR(INDEX('Paramètres'!$O:$O,MATCH($D3265,'Paramètres'!$M:$M,0))&amp;"",""))))</f>
        <v/>
      </c>
      <c r="N3265" s="6" t="str">
        <f>IF($D3265="","",IFERROR(INDEX('Paramètres'!$Q:$Q,MATCH($D3265,'Paramètres'!$M:$M,0))&amp;"",""))</f>
        <v/>
      </c>
      <c r="O3265" s="6" t="str">
        <f>IF($A3265="","",IF(OR($J3265&lt;&gt;"x",$A3265&lt;=FinReleve),1,0))</f>
        <v/>
      </c>
      <c r="P3265" s="6" t="str">
        <f>IF($D3265="","",IF(AND($L3265="Crédit",OR(IFERROR(INDEX('Paramètres'!$O:$O,MATCH($D3265,'Paramètres'!$M:$M,0))&amp;"","")&lt;&gt;"",ISNUMBER(SEARCH("remboursement",IFERROR(INDEX('Paramètres'!$N:$N,MATCH($D3265,'Paramètres'!$M:$M,0))&amp;"",""))))),1,0))</f>
        <v/>
      </c>
      <c r="Q3265" s="6" t="str">
        <f>IF($K3265="","",IF(ISNUMBER(SEARCH("transfert-interne",IFERROR(INDEX('Paramètres'!$N:$N,MATCH($D3265,'Paramètres'!$M:$M,0))&amp;"",""))),0,IF($L3265="Débit",$K3265,IF($P3265=1,-$K3265,0))))</f>
        <v/>
      </c>
      <c r="R3265" s="6" t="str">
        <f>IF($K3265="","",IF($L3265="Crédit",$K3265,-$K3265))</f>
        <v/>
      </c>
      <c r="S3265" s="6" t="str">
        <f>IF($C3265="","",IFERROR(INDEX('Paramètres'!$H:$H,MATCH($C3265,'Paramètres'!$D:$D,0))&amp;"",""))</f>
        <v/>
      </c>
      <c r="T3265" s="6" t="str">
        <f>IF($K3265="","",IF($S3265="",0,IF(ISNUMBER(SEARCH("apport-exterieur",IFERROR(INDEX('Paramètres'!$N:$N,MATCH($D3265,'Paramètres'!$M:$M,0))&amp;"",""))),0,IF(OR(IFERROR(INDEX('Paramètres'!$I:$I,MATCH($C3265,'Paramètres'!$D:$D,0))&amp;"","")="Les deux",IFERROR(INDEX('Paramètres'!$I:$I,MATCH($C3265,'Paramètres'!$D:$D,0))&amp;"","")=IF($P3265=1,"Débit",$L3265)),-IF($P3265=1,-$K3265,$K3265),0))))</f>
        <v/>
      </c>
      <c r="U3265" s="6" t="str">
        <f>IF($K3265="","",IF(ISNUMBER(SEARCH("sortie-epargne",IFERROR(INDEX('Paramètres'!$N:$N,MATCH($D3265,'Paramètres'!$M:$M,0))&amp;"",""))),$K3265,0))</f>
        <v/>
      </c>
      <c r="V3265" s="6" t="str">
        <f>IF(AND($A3265&lt;&gt;"",$O3265=1,$L3265="Débit",N($Q3265)&gt;0,$A3265&gt;=Visualisation!$B$1,$A3265&lt;Visualisation!$D$1),MAX($V$1:V3264)+1,"")</f>
        <v/>
      </c>
    </row>
    <row r="3266" spans="1:22" x14ac:dyDescent="0.25">
      <c r="A3266" s="9"/>
      <c r="E3266" s="10"/>
      <c r="K3266" s="11" t="str">
        <f>IF($E3266="","",ROUND($E3266*IF(ISNA(MATCH($C3266,'Paramètres'!$D:$D,0)),1,IF(INDEX('Paramètres'!$J:$J,MATCH($C3266,'Paramètres'!$D:$D,0))="",1,INDEX('Paramètres'!$J:$J,MATCH($C3266,'Paramètres'!$D:$D,0)))),2))</f>
        <v/>
      </c>
      <c r="L3266" s="6" t="str">
        <f>IF($D3266="","",IF($F3266&lt;&gt;"",$F3266,IF(ISNA(MATCH($D3266,'Paramètres'!$M:$M,0)),"⚠ Type inconnu",IFERROR(INDEX('Paramètres'!$P:$P,MATCH($D3266,'Paramètres'!$M:$M,0))&amp;"",""))))</f>
        <v/>
      </c>
      <c r="M3266" s="6" t="str">
        <f>IF($D3266="","",IF(ISNA(MATCH($D3266,'Paramètres'!$M:$M,0)),"⚠ Type inconnu",IF($L3266="Crédit","",IFERROR(INDEX('Paramètres'!$O:$O,MATCH($D3266,'Paramètres'!$M:$M,0))&amp;"",""))))</f>
        <v/>
      </c>
      <c r="N3266" s="6" t="str">
        <f>IF($D3266="","",IFERROR(INDEX('Paramètres'!$Q:$Q,MATCH($D3266,'Paramètres'!$M:$M,0))&amp;"",""))</f>
        <v/>
      </c>
      <c r="O3266" s="6" t="str">
        <f>IF($A3266="","",IF(OR($J3266&lt;&gt;"x",$A3266&lt;=FinReleve),1,0))</f>
        <v/>
      </c>
      <c r="P3266" s="6" t="str">
        <f>IF($D3266="","",IF(AND($L3266="Crédit",OR(IFERROR(INDEX('Paramètres'!$O:$O,MATCH($D3266,'Paramètres'!$M:$M,0))&amp;"","")&lt;&gt;"",ISNUMBER(SEARCH("remboursement",IFERROR(INDEX('Paramètres'!$N:$N,MATCH($D3266,'Paramètres'!$M:$M,0))&amp;"",""))))),1,0))</f>
        <v/>
      </c>
      <c r="Q3266" s="6" t="str">
        <f>IF($K3266="","",IF(ISNUMBER(SEARCH("transfert-interne",IFERROR(INDEX('Paramètres'!$N:$N,MATCH($D3266,'Paramètres'!$M:$M,0))&amp;"",""))),0,IF($L3266="Débit",$K3266,IF($P3266=1,-$K3266,0))))</f>
        <v/>
      </c>
      <c r="R3266" s="6" t="str">
        <f>IF($K3266="","",IF($L3266="Crédit",$K3266,-$K3266))</f>
        <v/>
      </c>
      <c r="S3266" s="6" t="str">
        <f>IF($C3266="","",IFERROR(INDEX('Paramètres'!$H:$H,MATCH($C3266,'Paramètres'!$D:$D,0))&amp;"",""))</f>
        <v/>
      </c>
      <c r="T3266" s="6" t="str">
        <f>IF($K3266="","",IF($S3266="",0,IF(ISNUMBER(SEARCH("apport-exterieur",IFERROR(INDEX('Paramètres'!$N:$N,MATCH($D3266,'Paramètres'!$M:$M,0))&amp;"",""))),0,IF(OR(IFERROR(INDEX('Paramètres'!$I:$I,MATCH($C3266,'Paramètres'!$D:$D,0))&amp;"","")="Les deux",IFERROR(INDEX('Paramètres'!$I:$I,MATCH($C3266,'Paramètres'!$D:$D,0))&amp;"","")=IF($P3266=1,"Débit",$L3266)),-IF($P3266=1,-$K3266,$K3266),0))))</f>
        <v/>
      </c>
      <c r="U3266" s="6" t="str">
        <f>IF($K3266="","",IF(ISNUMBER(SEARCH("sortie-epargne",IFERROR(INDEX('Paramètres'!$N:$N,MATCH($D3266,'Paramètres'!$M:$M,0))&amp;"",""))),$K3266,0))</f>
        <v/>
      </c>
      <c r="V3266" s="6" t="str">
        <f>IF(AND($A3266&lt;&gt;"",$O3266=1,$L3266="Débit",N($Q3266)&gt;0,$A3266&gt;=Visualisation!$B$1,$A3266&lt;Visualisation!$D$1),MAX($V$1:V3265)+1,"")</f>
        <v/>
      </c>
    </row>
    <row r="3267" spans="1:22" x14ac:dyDescent="0.25">
      <c r="A3267" s="9"/>
      <c r="E3267" s="10"/>
      <c r="K3267" s="11" t="str">
        <f>IF($E3267="","",ROUND($E3267*IF(ISNA(MATCH($C3267,'Paramètres'!$D:$D,0)),1,IF(INDEX('Paramètres'!$J:$J,MATCH($C3267,'Paramètres'!$D:$D,0))="",1,INDEX('Paramètres'!$J:$J,MATCH($C3267,'Paramètres'!$D:$D,0)))),2))</f>
        <v/>
      </c>
      <c r="L3267" s="6" t="str">
        <f>IF($D3267="","",IF($F3267&lt;&gt;"",$F3267,IF(ISNA(MATCH($D3267,'Paramètres'!$M:$M,0)),"⚠ Type inconnu",IFERROR(INDEX('Paramètres'!$P:$P,MATCH($D3267,'Paramètres'!$M:$M,0))&amp;"",""))))</f>
        <v/>
      </c>
      <c r="M3267" s="6" t="str">
        <f>IF($D3267="","",IF(ISNA(MATCH($D3267,'Paramètres'!$M:$M,0)),"⚠ Type inconnu",IF($L3267="Crédit","",IFERROR(INDEX('Paramètres'!$O:$O,MATCH($D3267,'Paramètres'!$M:$M,0))&amp;"",""))))</f>
        <v/>
      </c>
      <c r="N3267" s="6" t="str">
        <f>IF($D3267="","",IFERROR(INDEX('Paramètres'!$Q:$Q,MATCH($D3267,'Paramètres'!$M:$M,0))&amp;"",""))</f>
        <v/>
      </c>
      <c r="O3267" s="6" t="str">
        <f>IF($A3267="","",IF(OR($J3267&lt;&gt;"x",$A3267&lt;=FinReleve),1,0))</f>
        <v/>
      </c>
      <c r="P3267" s="6" t="str">
        <f>IF($D3267="","",IF(AND($L3267="Crédit",OR(IFERROR(INDEX('Paramètres'!$O:$O,MATCH($D3267,'Paramètres'!$M:$M,0))&amp;"","")&lt;&gt;"",ISNUMBER(SEARCH("remboursement",IFERROR(INDEX('Paramètres'!$N:$N,MATCH($D3267,'Paramètres'!$M:$M,0))&amp;"",""))))),1,0))</f>
        <v/>
      </c>
      <c r="Q3267" s="6" t="str">
        <f>IF($K3267="","",IF(ISNUMBER(SEARCH("transfert-interne",IFERROR(INDEX('Paramètres'!$N:$N,MATCH($D3267,'Paramètres'!$M:$M,0))&amp;"",""))),0,IF($L3267="Débit",$K3267,IF($P3267=1,-$K3267,0))))</f>
        <v/>
      </c>
      <c r="R3267" s="6" t="str">
        <f>IF($K3267="","",IF($L3267="Crédit",$K3267,-$K3267))</f>
        <v/>
      </c>
      <c r="S3267" s="6" t="str">
        <f>IF($C3267="","",IFERROR(INDEX('Paramètres'!$H:$H,MATCH($C3267,'Paramètres'!$D:$D,0))&amp;"",""))</f>
        <v/>
      </c>
      <c r="T3267" s="6" t="str">
        <f>IF($K3267="","",IF($S3267="",0,IF(ISNUMBER(SEARCH("apport-exterieur",IFERROR(INDEX('Paramètres'!$N:$N,MATCH($D3267,'Paramètres'!$M:$M,0))&amp;"",""))),0,IF(OR(IFERROR(INDEX('Paramètres'!$I:$I,MATCH($C3267,'Paramètres'!$D:$D,0))&amp;"","")="Les deux",IFERROR(INDEX('Paramètres'!$I:$I,MATCH($C3267,'Paramètres'!$D:$D,0))&amp;"","")=IF($P3267=1,"Débit",$L3267)),-IF($P3267=1,-$K3267,$K3267),0))))</f>
        <v/>
      </c>
      <c r="U3267" s="6" t="str">
        <f>IF($K3267="","",IF(ISNUMBER(SEARCH("sortie-epargne",IFERROR(INDEX('Paramètres'!$N:$N,MATCH($D3267,'Paramètres'!$M:$M,0))&amp;"",""))),$K3267,0))</f>
        <v/>
      </c>
      <c r="V3267" s="6" t="str">
        <f>IF(AND($A3267&lt;&gt;"",$O3267=1,$L3267="Débit",N($Q3267)&gt;0,$A3267&gt;=Visualisation!$B$1,$A3267&lt;Visualisation!$D$1),MAX($V$1:V3266)+1,"")</f>
        <v/>
      </c>
    </row>
    <row r="3268" spans="1:22" x14ac:dyDescent="0.25">
      <c r="A3268" s="9"/>
      <c r="E3268" s="10"/>
      <c r="K3268" s="11" t="str">
        <f>IF($E3268="","",ROUND($E3268*IF(ISNA(MATCH($C3268,'Paramètres'!$D:$D,0)),1,IF(INDEX('Paramètres'!$J:$J,MATCH($C3268,'Paramètres'!$D:$D,0))="",1,INDEX('Paramètres'!$J:$J,MATCH($C3268,'Paramètres'!$D:$D,0)))),2))</f>
        <v/>
      </c>
      <c r="L3268" s="6" t="str">
        <f>IF($D3268="","",IF($F3268&lt;&gt;"",$F3268,IF(ISNA(MATCH($D3268,'Paramètres'!$M:$M,0)),"⚠ Type inconnu",IFERROR(INDEX('Paramètres'!$P:$P,MATCH($D3268,'Paramètres'!$M:$M,0))&amp;"",""))))</f>
        <v/>
      </c>
      <c r="M3268" s="6" t="str">
        <f>IF($D3268="","",IF(ISNA(MATCH($D3268,'Paramètres'!$M:$M,0)),"⚠ Type inconnu",IF($L3268="Crédit","",IFERROR(INDEX('Paramètres'!$O:$O,MATCH($D3268,'Paramètres'!$M:$M,0))&amp;"",""))))</f>
        <v/>
      </c>
      <c r="N3268" s="6" t="str">
        <f>IF($D3268="","",IFERROR(INDEX('Paramètres'!$Q:$Q,MATCH($D3268,'Paramètres'!$M:$M,0))&amp;"",""))</f>
        <v/>
      </c>
      <c r="O3268" s="6" t="str">
        <f>IF($A3268="","",IF(OR($J3268&lt;&gt;"x",$A3268&lt;=FinReleve),1,0))</f>
        <v/>
      </c>
      <c r="P3268" s="6" t="str">
        <f>IF($D3268="","",IF(AND($L3268="Crédit",OR(IFERROR(INDEX('Paramètres'!$O:$O,MATCH($D3268,'Paramètres'!$M:$M,0))&amp;"","")&lt;&gt;"",ISNUMBER(SEARCH("remboursement",IFERROR(INDEX('Paramètres'!$N:$N,MATCH($D3268,'Paramètres'!$M:$M,0))&amp;"",""))))),1,0))</f>
        <v/>
      </c>
      <c r="Q3268" s="6" t="str">
        <f>IF($K3268="","",IF(ISNUMBER(SEARCH("transfert-interne",IFERROR(INDEX('Paramètres'!$N:$N,MATCH($D3268,'Paramètres'!$M:$M,0))&amp;"",""))),0,IF($L3268="Débit",$K3268,IF($P3268=1,-$K3268,0))))</f>
        <v/>
      </c>
      <c r="R3268" s="6" t="str">
        <f>IF($K3268="","",IF($L3268="Crédit",$K3268,-$K3268))</f>
        <v/>
      </c>
      <c r="S3268" s="6" t="str">
        <f>IF($C3268="","",IFERROR(INDEX('Paramètres'!$H:$H,MATCH($C3268,'Paramètres'!$D:$D,0))&amp;"",""))</f>
        <v/>
      </c>
      <c r="T3268" s="6" t="str">
        <f>IF($K3268="","",IF($S3268="",0,IF(ISNUMBER(SEARCH("apport-exterieur",IFERROR(INDEX('Paramètres'!$N:$N,MATCH($D3268,'Paramètres'!$M:$M,0))&amp;"",""))),0,IF(OR(IFERROR(INDEX('Paramètres'!$I:$I,MATCH($C3268,'Paramètres'!$D:$D,0))&amp;"","")="Les deux",IFERROR(INDEX('Paramètres'!$I:$I,MATCH($C3268,'Paramètres'!$D:$D,0))&amp;"","")=IF($P3268=1,"Débit",$L3268)),-IF($P3268=1,-$K3268,$K3268),0))))</f>
        <v/>
      </c>
      <c r="U3268" s="6" t="str">
        <f>IF($K3268="","",IF(ISNUMBER(SEARCH("sortie-epargne",IFERROR(INDEX('Paramètres'!$N:$N,MATCH($D3268,'Paramètres'!$M:$M,0))&amp;"",""))),$K3268,0))</f>
        <v/>
      </c>
      <c r="V3268" s="6" t="str">
        <f>IF(AND($A3268&lt;&gt;"",$O3268=1,$L3268="Débit",N($Q3268)&gt;0,$A3268&gt;=Visualisation!$B$1,$A3268&lt;Visualisation!$D$1),MAX($V$1:V3267)+1,"")</f>
        <v/>
      </c>
    </row>
    <row r="3269" spans="1:22" x14ac:dyDescent="0.25">
      <c r="A3269" s="9"/>
      <c r="E3269" s="10"/>
      <c r="K3269" s="11" t="str">
        <f>IF($E3269="","",ROUND($E3269*IF(ISNA(MATCH($C3269,'Paramètres'!$D:$D,0)),1,IF(INDEX('Paramètres'!$J:$J,MATCH($C3269,'Paramètres'!$D:$D,0))="",1,INDEX('Paramètres'!$J:$J,MATCH($C3269,'Paramètres'!$D:$D,0)))),2))</f>
        <v/>
      </c>
      <c r="L3269" s="6" t="str">
        <f>IF($D3269="","",IF($F3269&lt;&gt;"",$F3269,IF(ISNA(MATCH($D3269,'Paramètres'!$M:$M,0)),"⚠ Type inconnu",IFERROR(INDEX('Paramètres'!$P:$P,MATCH($D3269,'Paramètres'!$M:$M,0))&amp;"",""))))</f>
        <v/>
      </c>
      <c r="M3269" s="6" t="str">
        <f>IF($D3269="","",IF(ISNA(MATCH($D3269,'Paramètres'!$M:$M,0)),"⚠ Type inconnu",IF($L3269="Crédit","",IFERROR(INDEX('Paramètres'!$O:$O,MATCH($D3269,'Paramètres'!$M:$M,0))&amp;"",""))))</f>
        <v/>
      </c>
      <c r="N3269" s="6" t="str">
        <f>IF($D3269="","",IFERROR(INDEX('Paramètres'!$Q:$Q,MATCH($D3269,'Paramètres'!$M:$M,0))&amp;"",""))</f>
        <v/>
      </c>
      <c r="O3269" s="6" t="str">
        <f>IF($A3269="","",IF(OR($J3269&lt;&gt;"x",$A3269&lt;=FinReleve),1,0))</f>
        <v/>
      </c>
      <c r="P3269" s="6" t="str">
        <f>IF($D3269="","",IF(AND($L3269="Crédit",OR(IFERROR(INDEX('Paramètres'!$O:$O,MATCH($D3269,'Paramètres'!$M:$M,0))&amp;"","")&lt;&gt;"",ISNUMBER(SEARCH("remboursement",IFERROR(INDEX('Paramètres'!$N:$N,MATCH($D3269,'Paramètres'!$M:$M,0))&amp;"",""))))),1,0))</f>
        <v/>
      </c>
      <c r="Q3269" s="6" t="str">
        <f>IF($K3269="","",IF(ISNUMBER(SEARCH("transfert-interne",IFERROR(INDEX('Paramètres'!$N:$N,MATCH($D3269,'Paramètres'!$M:$M,0))&amp;"",""))),0,IF($L3269="Débit",$K3269,IF($P3269=1,-$K3269,0))))</f>
        <v/>
      </c>
      <c r="R3269" s="6" t="str">
        <f>IF($K3269="","",IF($L3269="Crédit",$K3269,-$K3269))</f>
        <v/>
      </c>
      <c r="S3269" s="6" t="str">
        <f>IF($C3269="","",IFERROR(INDEX('Paramètres'!$H:$H,MATCH($C3269,'Paramètres'!$D:$D,0))&amp;"",""))</f>
        <v/>
      </c>
      <c r="T3269" s="6" t="str">
        <f>IF($K3269="","",IF($S3269="",0,IF(ISNUMBER(SEARCH("apport-exterieur",IFERROR(INDEX('Paramètres'!$N:$N,MATCH($D3269,'Paramètres'!$M:$M,0))&amp;"",""))),0,IF(OR(IFERROR(INDEX('Paramètres'!$I:$I,MATCH($C3269,'Paramètres'!$D:$D,0))&amp;"","")="Les deux",IFERROR(INDEX('Paramètres'!$I:$I,MATCH($C3269,'Paramètres'!$D:$D,0))&amp;"","")=IF($P3269=1,"Débit",$L3269)),-IF($P3269=1,-$K3269,$K3269),0))))</f>
        <v/>
      </c>
      <c r="U3269" s="6" t="str">
        <f>IF($K3269="","",IF(ISNUMBER(SEARCH("sortie-epargne",IFERROR(INDEX('Paramètres'!$N:$N,MATCH($D3269,'Paramètres'!$M:$M,0))&amp;"",""))),$K3269,0))</f>
        <v/>
      </c>
      <c r="V3269" s="6" t="str">
        <f>IF(AND($A3269&lt;&gt;"",$O3269=1,$L3269="Débit",N($Q3269)&gt;0,$A3269&gt;=Visualisation!$B$1,$A3269&lt;Visualisation!$D$1),MAX($V$1:V3268)+1,"")</f>
        <v/>
      </c>
    </row>
    <row r="3270" spans="1:22" x14ac:dyDescent="0.25">
      <c r="A3270" s="9"/>
      <c r="E3270" s="10"/>
      <c r="K3270" s="11" t="str">
        <f>IF($E3270="","",ROUND($E3270*IF(ISNA(MATCH($C3270,'Paramètres'!$D:$D,0)),1,IF(INDEX('Paramètres'!$J:$J,MATCH($C3270,'Paramètres'!$D:$D,0))="",1,INDEX('Paramètres'!$J:$J,MATCH($C3270,'Paramètres'!$D:$D,0)))),2))</f>
        <v/>
      </c>
      <c r="L3270" s="6" t="str">
        <f>IF($D3270="","",IF($F3270&lt;&gt;"",$F3270,IF(ISNA(MATCH($D3270,'Paramètres'!$M:$M,0)),"⚠ Type inconnu",IFERROR(INDEX('Paramètres'!$P:$P,MATCH($D3270,'Paramètres'!$M:$M,0))&amp;"",""))))</f>
        <v/>
      </c>
      <c r="M3270" s="6" t="str">
        <f>IF($D3270="","",IF(ISNA(MATCH($D3270,'Paramètres'!$M:$M,0)),"⚠ Type inconnu",IF($L3270="Crédit","",IFERROR(INDEX('Paramètres'!$O:$O,MATCH($D3270,'Paramètres'!$M:$M,0))&amp;"",""))))</f>
        <v/>
      </c>
      <c r="N3270" s="6" t="str">
        <f>IF($D3270="","",IFERROR(INDEX('Paramètres'!$Q:$Q,MATCH($D3270,'Paramètres'!$M:$M,0))&amp;"",""))</f>
        <v/>
      </c>
      <c r="O3270" s="6" t="str">
        <f>IF($A3270="","",IF(OR($J3270&lt;&gt;"x",$A3270&lt;=FinReleve),1,0))</f>
        <v/>
      </c>
      <c r="P3270" s="6" t="str">
        <f>IF($D3270="","",IF(AND($L3270="Crédit",OR(IFERROR(INDEX('Paramètres'!$O:$O,MATCH($D3270,'Paramètres'!$M:$M,0))&amp;"","")&lt;&gt;"",ISNUMBER(SEARCH("remboursement",IFERROR(INDEX('Paramètres'!$N:$N,MATCH($D3270,'Paramètres'!$M:$M,0))&amp;"",""))))),1,0))</f>
        <v/>
      </c>
      <c r="Q3270" s="6" t="str">
        <f>IF($K3270="","",IF(ISNUMBER(SEARCH("transfert-interne",IFERROR(INDEX('Paramètres'!$N:$N,MATCH($D3270,'Paramètres'!$M:$M,0))&amp;"",""))),0,IF($L3270="Débit",$K3270,IF($P3270=1,-$K3270,0))))</f>
        <v/>
      </c>
      <c r="R3270" s="6" t="str">
        <f>IF($K3270="","",IF($L3270="Crédit",$K3270,-$K3270))</f>
        <v/>
      </c>
      <c r="S3270" s="6" t="str">
        <f>IF($C3270="","",IFERROR(INDEX('Paramètres'!$H:$H,MATCH($C3270,'Paramètres'!$D:$D,0))&amp;"",""))</f>
        <v/>
      </c>
      <c r="T3270" s="6" t="str">
        <f>IF($K3270="","",IF($S3270="",0,IF(ISNUMBER(SEARCH("apport-exterieur",IFERROR(INDEX('Paramètres'!$N:$N,MATCH($D3270,'Paramètres'!$M:$M,0))&amp;"",""))),0,IF(OR(IFERROR(INDEX('Paramètres'!$I:$I,MATCH($C3270,'Paramètres'!$D:$D,0))&amp;"","")="Les deux",IFERROR(INDEX('Paramètres'!$I:$I,MATCH($C3270,'Paramètres'!$D:$D,0))&amp;"","")=IF($P3270=1,"Débit",$L3270)),-IF($P3270=1,-$K3270,$K3270),0))))</f>
        <v/>
      </c>
      <c r="U3270" s="6" t="str">
        <f>IF($K3270="","",IF(ISNUMBER(SEARCH("sortie-epargne",IFERROR(INDEX('Paramètres'!$N:$N,MATCH($D3270,'Paramètres'!$M:$M,0))&amp;"",""))),$K3270,0))</f>
        <v/>
      </c>
      <c r="V3270" s="6" t="str">
        <f>IF(AND($A3270&lt;&gt;"",$O3270=1,$L3270="Débit",N($Q3270)&gt;0,$A3270&gt;=Visualisation!$B$1,$A3270&lt;Visualisation!$D$1),MAX($V$1:V3269)+1,"")</f>
        <v/>
      </c>
    </row>
    <row r="3271" spans="1:22" x14ac:dyDescent="0.25">
      <c r="A3271" s="9"/>
      <c r="E3271" s="10"/>
      <c r="K3271" s="11" t="str">
        <f>IF($E3271="","",ROUND($E3271*IF(ISNA(MATCH($C3271,'Paramètres'!$D:$D,0)),1,IF(INDEX('Paramètres'!$J:$J,MATCH($C3271,'Paramètres'!$D:$D,0))="",1,INDEX('Paramètres'!$J:$J,MATCH($C3271,'Paramètres'!$D:$D,0)))),2))</f>
        <v/>
      </c>
      <c r="L3271" s="6" t="str">
        <f>IF($D3271="","",IF($F3271&lt;&gt;"",$F3271,IF(ISNA(MATCH($D3271,'Paramètres'!$M:$M,0)),"⚠ Type inconnu",IFERROR(INDEX('Paramètres'!$P:$P,MATCH($D3271,'Paramètres'!$M:$M,0))&amp;"",""))))</f>
        <v/>
      </c>
      <c r="M3271" s="6" t="str">
        <f>IF($D3271="","",IF(ISNA(MATCH($D3271,'Paramètres'!$M:$M,0)),"⚠ Type inconnu",IF($L3271="Crédit","",IFERROR(INDEX('Paramètres'!$O:$O,MATCH($D3271,'Paramètres'!$M:$M,0))&amp;"",""))))</f>
        <v/>
      </c>
      <c r="N3271" s="6" t="str">
        <f>IF($D3271="","",IFERROR(INDEX('Paramètres'!$Q:$Q,MATCH($D3271,'Paramètres'!$M:$M,0))&amp;"",""))</f>
        <v/>
      </c>
      <c r="O3271" s="6" t="str">
        <f>IF($A3271="","",IF(OR($J3271&lt;&gt;"x",$A3271&lt;=FinReleve),1,0))</f>
        <v/>
      </c>
      <c r="P3271" s="6" t="str">
        <f>IF($D3271="","",IF(AND($L3271="Crédit",OR(IFERROR(INDEX('Paramètres'!$O:$O,MATCH($D3271,'Paramètres'!$M:$M,0))&amp;"","")&lt;&gt;"",ISNUMBER(SEARCH("remboursement",IFERROR(INDEX('Paramètres'!$N:$N,MATCH($D3271,'Paramètres'!$M:$M,0))&amp;"",""))))),1,0))</f>
        <v/>
      </c>
      <c r="Q3271" s="6" t="str">
        <f>IF($K3271="","",IF(ISNUMBER(SEARCH("transfert-interne",IFERROR(INDEX('Paramètres'!$N:$N,MATCH($D3271,'Paramètres'!$M:$M,0))&amp;"",""))),0,IF($L3271="Débit",$K3271,IF($P3271=1,-$K3271,0))))</f>
        <v/>
      </c>
      <c r="R3271" s="6" t="str">
        <f>IF($K3271="","",IF($L3271="Crédit",$K3271,-$K3271))</f>
        <v/>
      </c>
      <c r="S3271" s="6" t="str">
        <f>IF($C3271="","",IFERROR(INDEX('Paramètres'!$H:$H,MATCH($C3271,'Paramètres'!$D:$D,0))&amp;"",""))</f>
        <v/>
      </c>
      <c r="T3271" s="6" t="str">
        <f>IF($K3271="","",IF($S3271="",0,IF(ISNUMBER(SEARCH("apport-exterieur",IFERROR(INDEX('Paramètres'!$N:$N,MATCH($D3271,'Paramètres'!$M:$M,0))&amp;"",""))),0,IF(OR(IFERROR(INDEX('Paramètres'!$I:$I,MATCH($C3271,'Paramètres'!$D:$D,0))&amp;"","")="Les deux",IFERROR(INDEX('Paramètres'!$I:$I,MATCH($C3271,'Paramètres'!$D:$D,0))&amp;"","")=IF($P3271=1,"Débit",$L3271)),-IF($P3271=1,-$K3271,$K3271),0))))</f>
        <v/>
      </c>
      <c r="U3271" s="6" t="str">
        <f>IF($K3271="","",IF(ISNUMBER(SEARCH("sortie-epargne",IFERROR(INDEX('Paramètres'!$N:$N,MATCH($D3271,'Paramètres'!$M:$M,0))&amp;"",""))),$K3271,0))</f>
        <v/>
      </c>
      <c r="V3271" s="6" t="str">
        <f>IF(AND($A3271&lt;&gt;"",$O3271=1,$L3271="Débit",N($Q3271)&gt;0,$A3271&gt;=Visualisation!$B$1,$A3271&lt;Visualisation!$D$1),MAX($V$1:V3270)+1,"")</f>
        <v/>
      </c>
    </row>
    <row r="3272" spans="1:22" x14ac:dyDescent="0.25">
      <c r="A3272" s="9"/>
      <c r="E3272" s="10"/>
      <c r="K3272" s="11" t="str">
        <f>IF($E3272="","",ROUND($E3272*IF(ISNA(MATCH($C3272,'Paramètres'!$D:$D,0)),1,IF(INDEX('Paramètres'!$J:$J,MATCH($C3272,'Paramètres'!$D:$D,0))="",1,INDEX('Paramètres'!$J:$J,MATCH($C3272,'Paramètres'!$D:$D,0)))),2))</f>
        <v/>
      </c>
      <c r="L3272" s="6" t="str">
        <f>IF($D3272="","",IF($F3272&lt;&gt;"",$F3272,IF(ISNA(MATCH($D3272,'Paramètres'!$M:$M,0)),"⚠ Type inconnu",IFERROR(INDEX('Paramètres'!$P:$P,MATCH($D3272,'Paramètres'!$M:$M,0))&amp;"",""))))</f>
        <v/>
      </c>
      <c r="M3272" s="6" t="str">
        <f>IF($D3272="","",IF(ISNA(MATCH($D3272,'Paramètres'!$M:$M,0)),"⚠ Type inconnu",IF($L3272="Crédit","",IFERROR(INDEX('Paramètres'!$O:$O,MATCH($D3272,'Paramètres'!$M:$M,0))&amp;"",""))))</f>
        <v/>
      </c>
      <c r="N3272" s="6" t="str">
        <f>IF($D3272="","",IFERROR(INDEX('Paramètres'!$Q:$Q,MATCH($D3272,'Paramètres'!$M:$M,0))&amp;"",""))</f>
        <v/>
      </c>
      <c r="O3272" s="6" t="str">
        <f>IF($A3272="","",IF(OR($J3272&lt;&gt;"x",$A3272&lt;=FinReleve),1,0))</f>
        <v/>
      </c>
      <c r="P3272" s="6" t="str">
        <f>IF($D3272="","",IF(AND($L3272="Crédit",OR(IFERROR(INDEX('Paramètres'!$O:$O,MATCH($D3272,'Paramètres'!$M:$M,0))&amp;"","")&lt;&gt;"",ISNUMBER(SEARCH("remboursement",IFERROR(INDEX('Paramètres'!$N:$N,MATCH($D3272,'Paramètres'!$M:$M,0))&amp;"",""))))),1,0))</f>
        <v/>
      </c>
      <c r="Q3272" s="6" t="str">
        <f>IF($K3272="","",IF(ISNUMBER(SEARCH("transfert-interne",IFERROR(INDEX('Paramètres'!$N:$N,MATCH($D3272,'Paramètres'!$M:$M,0))&amp;"",""))),0,IF($L3272="Débit",$K3272,IF($P3272=1,-$K3272,0))))</f>
        <v/>
      </c>
      <c r="R3272" s="6" t="str">
        <f>IF($K3272="","",IF($L3272="Crédit",$K3272,-$K3272))</f>
        <v/>
      </c>
      <c r="S3272" s="6" t="str">
        <f>IF($C3272="","",IFERROR(INDEX('Paramètres'!$H:$H,MATCH($C3272,'Paramètres'!$D:$D,0))&amp;"",""))</f>
        <v/>
      </c>
      <c r="T3272" s="6" t="str">
        <f>IF($K3272="","",IF($S3272="",0,IF(ISNUMBER(SEARCH("apport-exterieur",IFERROR(INDEX('Paramètres'!$N:$N,MATCH($D3272,'Paramètres'!$M:$M,0))&amp;"",""))),0,IF(OR(IFERROR(INDEX('Paramètres'!$I:$I,MATCH($C3272,'Paramètres'!$D:$D,0))&amp;"","")="Les deux",IFERROR(INDEX('Paramètres'!$I:$I,MATCH($C3272,'Paramètres'!$D:$D,0))&amp;"","")=IF($P3272=1,"Débit",$L3272)),-IF($P3272=1,-$K3272,$K3272),0))))</f>
        <v/>
      </c>
      <c r="U3272" s="6" t="str">
        <f>IF($K3272="","",IF(ISNUMBER(SEARCH("sortie-epargne",IFERROR(INDEX('Paramètres'!$N:$N,MATCH($D3272,'Paramètres'!$M:$M,0))&amp;"",""))),$K3272,0))</f>
        <v/>
      </c>
      <c r="V3272" s="6" t="str">
        <f>IF(AND($A3272&lt;&gt;"",$O3272=1,$L3272="Débit",N($Q3272)&gt;0,$A3272&gt;=Visualisation!$B$1,$A3272&lt;Visualisation!$D$1),MAX($V$1:V3271)+1,"")</f>
        <v/>
      </c>
    </row>
    <row r="3273" spans="1:22" x14ac:dyDescent="0.25">
      <c r="A3273" s="9"/>
      <c r="E3273" s="10"/>
      <c r="K3273" s="11" t="str">
        <f>IF($E3273="","",ROUND($E3273*IF(ISNA(MATCH($C3273,'Paramètres'!$D:$D,0)),1,IF(INDEX('Paramètres'!$J:$J,MATCH($C3273,'Paramètres'!$D:$D,0))="",1,INDEX('Paramètres'!$J:$J,MATCH($C3273,'Paramètres'!$D:$D,0)))),2))</f>
        <v/>
      </c>
      <c r="L3273" s="6" t="str">
        <f>IF($D3273="","",IF($F3273&lt;&gt;"",$F3273,IF(ISNA(MATCH($D3273,'Paramètres'!$M:$M,0)),"⚠ Type inconnu",IFERROR(INDEX('Paramètres'!$P:$P,MATCH($D3273,'Paramètres'!$M:$M,0))&amp;"",""))))</f>
        <v/>
      </c>
      <c r="M3273" s="6" t="str">
        <f>IF($D3273="","",IF(ISNA(MATCH($D3273,'Paramètres'!$M:$M,0)),"⚠ Type inconnu",IF($L3273="Crédit","",IFERROR(INDEX('Paramètres'!$O:$O,MATCH($D3273,'Paramètres'!$M:$M,0))&amp;"",""))))</f>
        <v/>
      </c>
      <c r="N3273" s="6" t="str">
        <f>IF($D3273="","",IFERROR(INDEX('Paramètres'!$Q:$Q,MATCH($D3273,'Paramètres'!$M:$M,0))&amp;"",""))</f>
        <v/>
      </c>
      <c r="O3273" s="6" t="str">
        <f>IF($A3273="","",IF(OR($J3273&lt;&gt;"x",$A3273&lt;=FinReleve),1,0))</f>
        <v/>
      </c>
      <c r="P3273" s="6" t="str">
        <f>IF($D3273="","",IF(AND($L3273="Crédit",OR(IFERROR(INDEX('Paramètres'!$O:$O,MATCH($D3273,'Paramètres'!$M:$M,0))&amp;"","")&lt;&gt;"",ISNUMBER(SEARCH("remboursement",IFERROR(INDEX('Paramètres'!$N:$N,MATCH($D3273,'Paramètres'!$M:$M,0))&amp;"",""))))),1,0))</f>
        <v/>
      </c>
      <c r="Q3273" s="6" t="str">
        <f>IF($K3273="","",IF(ISNUMBER(SEARCH("transfert-interne",IFERROR(INDEX('Paramètres'!$N:$N,MATCH($D3273,'Paramètres'!$M:$M,0))&amp;"",""))),0,IF($L3273="Débit",$K3273,IF($P3273=1,-$K3273,0))))</f>
        <v/>
      </c>
      <c r="R3273" s="6" t="str">
        <f>IF($K3273="","",IF($L3273="Crédit",$K3273,-$K3273))</f>
        <v/>
      </c>
      <c r="S3273" s="6" t="str">
        <f>IF($C3273="","",IFERROR(INDEX('Paramètres'!$H:$H,MATCH($C3273,'Paramètres'!$D:$D,0))&amp;"",""))</f>
        <v/>
      </c>
      <c r="T3273" s="6" t="str">
        <f>IF($K3273="","",IF($S3273="",0,IF(ISNUMBER(SEARCH("apport-exterieur",IFERROR(INDEX('Paramètres'!$N:$N,MATCH($D3273,'Paramètres'!$M:$M,0))&amp;"",""))),0,IF(OR(IFERROR(INDEX('Paramètres'!$I:$I,MATCH($C3273,'Paramètres'!$D:$D,0))&amp;"","")="Les deux",IFERROR(INDEX('Paramètres'!$I:$I,MATCH($C3273,'Paramètres'!$D:$D,0))&amp;"","")=IF($P3273=1,"Débit",$L3273)),-IF($P3273=1,-$K3273,$K3273),0))))</f>
        <v/>
      </c>
      <c r="U3273" s="6" t="str">
        <f>IF($K3273="","",IF(ISNUMBER(SEARCH("sortie-epargne",IFERROR(INDEX('Paramètres'!$N:$N,MATCH($D3273,'Paramètres'!$M:$M,0))&amp;"",""))),$K3273,0))</f>
        <v/>
      </c>
      <c r="V3273" s="6" t="str">
        <f>IF(AND($A3273&lt;&gt;"",$O3273=1,$L3273="Débit",N($Q3273)&gt;0,$A3273&gt;=Visualisation!$B$1,$A3273&lt;Visualisation!$D$1),MAX($V$1:V3272)+1,"")</f>
        <v/>
      </c>
    </row>
    <row r="3274" spans="1:22" x14ac:dyDescent="0.25">
      <c r="A3274" s="9"/>
      <c r="E3274" s="10"/>
      <c r="K3274" s="11" t="str">
        <f>IF($E3274="","",ROUND($E3274*IF(ISNA(MATCH($C3274,'Paramètres'!$D:$D,0)),1,IF(INDEX('Paramètres'!$J:$J,MATCH($C3274,'Paramètres'!$D:$D,0))="",1,INDEX('Paramètres'!$J:$J,MATCH($C3274,'Paramètres'!$D:$D,0)))),2))</f>
        <v/>
      </c>
      <c r="L3274" s="6" t="str">
        <f>IF($D3274="","",IF($F3274&lt;&gt;"",$F3274,IF(ISNA(MATCH($D3274,'Paramètres'!$M:$M,0)),"⚠ Type inconnu",IFERROR(INDEX('Paramètres'!$P:$P,MATCH($D3274,'Paramètres'!$M:$M,0))&amp;"",""))))</f>
        <v/>
      </c>
      <c r="M3274" s="6" t="str">
        <f>IF($D3274="","",IF(ISNA(MATCH($D3274,'Paramètres'!$M:$M,0)),"⚠ Type inconnu",IF($L3274="Crédit","",IFERROR(INDEX('Paramètres'!$O:$O,MATCH($D3274,'Paramètres'!$M:$M,0))&amp;"",""))))</f>
        <v/>
      </c>
      <c r="N3274" s="6" t="str">
        <f>IF($D3274="","",IFERROR(INDEX('Paramètres'!$Q:$Q,MATCH($D3274,'Paramètres'!$M:$M,0))&amp;"",""))</f>
        <v/>
      </c>
      <c r="O3274" s="6" t="str">
        <f>IF($A3274="","",IF(OR($J3274&lt;&gt;"x",$A3274&lt;=FinReleve),1,0))</f>
        <v/>
      </c>
      <c r="P3274" s="6" t="str">
        <f>IF($D3274="","",IF(AND($L3274="Crédit",OR(IFERROR(INDEX('Paramètres'!$O:$O,MATCH($D3274,'Paramètres'!$M:$M,0))&amp;"","")&lt;&gt;"",ISNUMBER(SEARCH("remboursement",IFERROR(INDEX('Paramètres'!$N:$N,MATCH($D3274,'Paramètres'!$M:$M,0))&amp;"",""))))),1,0))</f>
        <v/>
      </c>
      <c r="Q3274" s="6" t="str">
        <f>IF($K3274="","",IF(ISNUMBER(SEARCH("transfert-interne",IFERROR(INDEX('Paramètres'!$N:$N,MATCH($D3274,'Paramètres'!$M:$M,0))&amp;"",""))),0,IF($L3274="Débit",$K3274,IF($P3274=1,-$K3274,0))))</f>
        <v/>
      </c>
      <c r="R3274" s="6" t="str">
        <f>IF($K3274="","",IF($L3274="Crédit",$K3274,-$K3274))</f>
        <v/>
      </c>
      <c r="S3274" s="6" t="str">
        <f>IF($C3274="","",IFERROR(INDEX('Paramètres'!$H:$H,MATCH($C3274,'Paramètres'!$D:$D,0))&amp;"",""))</f>
        <v/>
      </c>
      <c r="T3274" s="6" t="str">
        <f>IF($K3274="","",IF($S3274="",0,IF(ISNUMBER(SEARCH("apport-exterieur",IFERROR(INDEX('Paramètres'!$N:$N,MATCH($D3274,'Paramètres'!$M:$M,0))&amp;"",""))),0,IF(OR(IFERROR(INDEX('Paramètres'!$I:$I,MATCH($C3274,'Paramètres'!$D:$D,0))&amp;"","")="Les deux",IFERROR(INDEX('Paramètres'!$I:$I,MATCH($C3274,'Paramètres'!$D:$D,0))&amp;"","")=IF($P3274=1,"Débit",$L3274)),-IF($P3274=1,-$K3274,$K3274),0))))</f>
        <v/>
      </c>
      <c r="U3274" s="6" t="str">
        <f>IF($K3274="","",IF(ISNUMBER(SEARCH("sortie-epargne",IFERROR(INDEX('Paramètres'!$N:$N,MATCH($D3274,'Paramètres'!$M:$M,0))&amp;"",""))),$K3274,0))</f>
        <v/>
      </c>
      <c r="V3274" s="6" t="str">
        <f>IF(AND($A3274&lt;&gt;"",$O3274=1,$L3274="Débit",N($Q3274)&gt;0,$A3274&gt;=Visualisation!$B$1,$A3274&lt;Visualisation!$D$1),MAX($V$1:V3273)+1,"")</f>
        <v/>
      </c>
    </row>
    <row r="3275" spans="1:22" x14ac:dyDescent="0.25">
      <c r="A3275" s="9"/>
      <c r="E3275" s="10"/>
      <c r="K3275" s="11" t="str">
        <f>IF($E3275="","",ROUND($E3275*IF(ISNA(MATCH($C3275,'Paramètres'!$D:$D,0)),1,IF(INDEX('Paramètres'!$J:$J,MATCH($C3275,'Paramètres'!$D:$D,0))="",1,INDEX('Paramètres'!$J:$J,MATCH($C3275,'Paramètres'!$D:$D,0)))),2))</f>
        <v/>
      </c>
      <c r="L3275" s="6" t="str">
        <f>IF($D3275="","",IF($F3275&lt;&gt;"",$F3275,IF(ISNA(MATCH($D3275,'Paramètres'!$M:$M,0)),"⚠ Type inconnu",IFERROR(INDEX('Paramètres'!$P:$P,MATCH($D3275,'Paramètres'!$M:$M,0))&amp;"",""))))</f>
        <v/>
      </c>
      <c r="M3275" s="6" t="str">
        <f>IF($D3275="","",IF(ISNA(MATCH($D3275,'Paramètres'!$M:$M,0)),"⚠ Type inconnu",IF($L3275="Crédit","",IFERROR(INDEX('Paramètres'!$O:$O,MATCH($D3275,'Paramètres'!$M:$M,0))&amp;"",""))))</f>
        <v/>
      </c>
      <c r="N3275" s="6" t="str">
        <f>IF($D3275="","",IFERROR(INDEX('Paramètres'!$Q:$Q,MATCH($D3275,'Paramètres'!$M:$M,0))&amp;"",""))</f>
        <v/>
      </c>
      <c r="O3275" s="6" t="str">
        <f>IF($A3275="","",IF(OR($J3275&lt;&gt;"x",$A3275&lt;=FinReleve),1,0))</f>
        <v/>
      </c>
      <c r="P3275" s="6" t="str">
        <f>IF($D3275="","",IF(AND($L3275="Crédit",OR(IFERROR(INDEX('Paramètres'!$O:$O,MATCH($D3275,'Paramètres'!$M:$M,0))&amp;"","")&lt;&gt;"",ISNUMBER(SEARCH("remboursement",IFERROR(INDEX('Paramètres'!$N:$N,MATCH($D3275,'Paramètres'!$M:$M,0))&amp;"",""))))),1,0))</f>
        <v/>
      </c>
      <c r="Q3275" s="6" t="str">
        <f>IF($K3275="","",IF(ISNUMBER(SEARCH("transfert-interne",IFERROR(INDEX('Paramètres'!$N:$N,MATCH($D3275,'Paramètres'!$M:$M,0))&amp;"",""))),0,IF($L3275="Débit",$K3275,IF($P3275=1,-$K3275,0))))</f>
        <v/>
      </c>
      <c r="R3275" s="6" t="str">
        <f>IF($K3275="","",IF($L3275="Crédit",$K3275,-$K3275))</f>
        <v/>
      </c>
      <c r="S3275" s="6" t="str">
        <f>IF($C3275="","",IFERROR(INDEX('Paramètres'!$H:$H,MATCH($C3275,'Paramètres'!$D:$D,0))&amp;"",""))</f>
        <v/>
      </c>
      <c r="T3275" s="6" t="str">
        <f>IF($K3275="","",IF($S3275="",0,IF(ISNUMBER(SEARCH("apport-exterieur",IFERROR(INDEX('Paramètres'!$N:$N,MATCH($D3275,'Paramètres'!$M:$M,0))&amp;"",""))),0,IF(OR(IFERROR(INDEX('Paramètres'!$I:$I,MATCH($C3275,'Paramètres'!$D:$D,0))&amp;"","")="Les deux",IFERROR(INDEX('Paramètres'!$I:$I,MATCH($C3275,'Paramètres'!$D:$D,0))&amp;"","")=IF($P3275=1,"Débit",$L3275)),-IF($P3275=1,-$K3275,$K3275),0))))</f>
        <v/>
      </c>
      <c r="U3275" s="6" t="str">
        <f>IF($K3275="","",IF(ISNUMBER(SEARCH("sortie-epargne",IFERROR(INDEX('Paramètres'!$N:$N,MATCH($D3275,'Paramètres'!$M:$M,0))&amp;"",""))),$K3275,0))</f>
        <v/>
      </c>
      <c r="V3275" s="6" t="str">
        <f>IF(AND($A3275&lt;&gt;"",$O3275=1,$L3275="Débit",N($Q3275)&gt;0,$A3275&gt;=Visualisation!$B$1,$A3275&lt;Visualisation!$D$1),MAX($V$1:V3274)+1,"")</f>
        <v/>
      </c>
    </row>
    <row r="3276" spans="1:22" x14ac:dyDescent="0.25">
      <c r="A3276" s="9"/>
      <c r="E3276" s="10"/>
      <c r="K3276" s="11" t="str">
        <f>IF($E3276="","",ROUND($E3276*IF(ISNA(MATCH($C3276,'Paramètres'!$D:$D,0)),1,IF(INDEX('Paramètres'!$J:$J,MATCH($C3276,'Paramètres'!$D:$D,0))="",1,INDEX('Paramètres'!$J:$J,MATCH($C3276,'Paramètres'!$D:$D,0)))),2))</f>
        <v/>
      </c>
      <c r="L3276" s="6" t="str">
        <f>IF($D3276="","",IF($F3276&lt;&gt;"",$F3276,IF(ISNA(MATCH($D3276,'Paramètres'!$M:$M,0)),"⚠ Type inconnu",IFERROR(INDEX('Paramètres'!$P:$P,MATCH($D3276,'Paramètres'!$M:$M,0))&amp;"",""))))</f>
        <v/>
      </c>
      <c r="M3276" s="6" t="str">
        <f>IF($D3276="","",IF(ISNA(MATCH($D3276,'Paramètres'!$M:$M,0)),"⚠ Type inconnu",IF($L3276="Crédit","",IFERROR(INDEX('Paramètres'!$O:$O,MATCH($D3276,'Paramètres'!$M:$M,0))&amp;"",""))))</f>
        <v/>
      </c>
      <c r="N3276" s="6" t="str">
        <f>IF($D3276="","",IFERROR(INDEX('Paramètres'!$Q:$Q,MATCH($D3276,'Paramètres'!$M:$M,0))&amp;"",""))</f>
        <v/>
      </c>
      <c r="O3276" s="6" t="str">
        <f>IF($A3276="","",IF(OR($J3276&lt;&gt;"x",$A3276&lt;=FinReleve),1,0))</f>
        <v/>
      </c>
      <c r="P3276" s="6" t="str">
        <f>IF($D3276="","",IF(AND($L3276="Crédit",OR(IFERROR(INDEX('Paramètres'!$O:$O,MATCH($D3276,'Paramètres'!$M:$M,0))&amp;"","")&lt;&gt;"",ISNUMBER(SEARCH("remboursement",IFERROR(INDEX('Paramètres'!$N:$N,MATCH($D3276,'Paramètres'!$M:$M,0))&amp;"",""))))),1,0))</f>
        <v/>
      </c>
      <c r="Q3276" s="6" t="str">
        <f>IF($K3276="","",IF(ISNUMBER(SEARCH("transfert-interne",IFERROR(INDEX('Paramètres'!$N:$N,MATCH($D3276,'Paramètres'!$M:$M,0))&amp;"",""))),0,IF($L3276="Débit",$K3276,IF($P3276=1,-$K3276,0))))</f>
        <v/>
      </c>
      <c r="R3276" s="6" t="str">
        <f>IF($K3276="","",IF($L3276="Crédit",$K3276,-$K3276))</f>
        <v/>
      </c>
      <c r="S3276" s="6" t="str">
        <f>IF($C3276="","",IFERROR(INDEX('Paramètres'!$H:$H,MATCH($C3276,'Paramètres'!$D:$D,0))&amp;"",""))</f>
        <v/>
      </c>
      <c r="T3276" s="6" t="str">
        <f>IF($K3276="","",IF($S3276="",0,IF(ISNUMBER(SEARCH("apport-exterieur",IFERROR(INDEX('Paramètres'!$N:$N,MATCH($D3276,'Paramètres'!$M:$M,0))&amp;"",""))),0,IF(OR(IFERROR(INDEX('Paramètres'!$I:$I,MATCH($C3276,'Paramètres'!$D:$D,0))&amp;"","")="Les deux",IFERROR(INDEX('Paramètres'!$I:$I,MATCH($C3276,'Paramètres'!$D:$D,0))&amp;"","")=IF($P3276=1,"Débit",$L3276)),-IF($P3276=1,-$K3276,$K3276),0))))</f>
        <v/>
      </c>
      <c r="U3276" s="6" t="str">
        <f>IF($K3276="","",IF(ISNUMBER(SEARCH("sortie-epargne",IFERROR(INDEX('Paramètres'!$N:$N,MATCH($D3276,'Paramètres'!$M:$M,0))&amp;"",""))),$K3276,0))</f>
        <v/>
      </c>
      <c r="V3276" s="6" t="str">
        <f>IF(AND($A3276&lt;&gt;"",$O3276=1,$L3276="Débit",N($Q3276)&gt;0,$A3276&gt;=Visualisation!$B$1,$A3276&lt;Visualisation!$D$1),MAX($V$1:V3275)+1,"")</f>
        <v/>
      </c>
    </row>
    <row r="3277" spans="1:22" x14ac:dyDescent="0.25">
      <c r="A3277" s="9"/>
      <c r="E3277" s="10"/>
      <c r="K3277" s="11" t="str">
        <f>IF($E3277="","",ROUND($E3277*IF(ISNA(MATCH($C3277,'Paramètres'!$D:$D,0)),1,IF(INDEX('Paramètres'!$J:$J,MATCH($C3277,'Paramètres'!$D:$D,0))="",1,INDEX('Paramètres'!$J:$J,MATCH($C3277,'Paramètres'!$D:$D,0)))),2))</f>
        <v/>
      </c>
      <c r="L3277" s="6" t="str">
        <f>IF($D3277="","",IF($F3277&lt;&gt;"",$F3277,IF(ISNA(MATCH($D3277,'Paramètres'!$M:$M,0)),"⚠ Type inconnu",IFERROR(INDEX('Paramètres'!$P:$P,MATCH($D3277,'Paramètres'!$M:$M,0))&amp;"",""))))</f>
        <v/>
      </c>
      <c r="M3277" s="6" t="str">
        <f>IF($D3277="","",IF(ISNA(MATCH($D3277,'Paramètres'!$M:$M,0)),"⚠ Type inconnu",IF($L3277="Crédit","",IFERROR(INDEX('Paramètres'!$O:$O,MATCH($D3277,'Paramètres'!$M:$M,0))&amp;"",""))))</f>
        <v/>
      </c>
      <c r="N3277" s="6" t="str">
        <f>IF($D3277="","",IFERROR(INDEX('Paramètres'!$Q:$Q,MATCH($D3277,'Paramètres'!$M:$M,0))&amp;"",""))</f>
        <v/>
      </c>
      <c r="O3277" s="6" t="str">
        <f>IF($A3277="","",IF(OR($J3277&lt;&gt;"x",$A3277&lt;=FinReleve),1,0))</f>
        <v/>
      </c>
      <c r="P3277" s="6" t="str">
        <f>IF($D3277="","",IF(AND($L3277="Crédit",OR(IFERROR(INDEX('Paramètres'!$O:$O,MATCH($D3277,'Paramètres'!$M:$M,0))&amp;"","")&lt;&gt;"",ISNUMBER(SEARCH("remboursement",IFERROR(INDEX('Paramètres'!$N:$N,MATCH($D3277,'Paramètres'!$M:$M,0))&amp;"",""))))),1,0))</f>
        <v/>
      </c>
      <c r="Q3277" s="6" t="str">
        <f>IF($K3277="","",IF(ISNUMBER(SEARCH("transfert-interne",IFERROR(INDEX('Paramètres'!$N:$N,MATCH($D3277,'Paramètres'!$M:$M,0))&amp;"",""))),0,IF($L3277="Débit",$K3277,IF($P3277=1,-$K3277,0))))</f>
        <v/>
      </c>
      <c r="R3277" s="6" t="str">
        <f>IF($K3277="","",IF($L3277="Crédit",$K3277,-$K3277))</f>
        <v/>
      </c>
      <c r="S3277" s="6" t="str">
        <f>IF($C3277="","",IFERROR(INDEX('Paramètres'!$H:$H,MATCH($C3277,'Paramètres'!$D:$D,0))&amp;"",""))</f>
        <v/>
      </c>
      <c r="T3277" s="6" t="str">
        <f>IF($K3277="","",IF($S3277="",0,IF(ISNUMBER(SEARCH("apport-exterieur",IFERROR(INDEX('Paramètres'!$N:$N,MATCH($D3277,'Paramètres'!$M:$M,0))&amp;"",""))),0,IF(OR(IFERROR(INDEX('Paramètres'!$I:$I,MATCH($C3277,'Paramètres'!$D:$D,0))&amp;"","")="Les deux",IFERROR(INDEX('Paramètres'!$I:$I,MATCH($C3277,'Paramètres'!$D:$D,0))&amp;"","")=IF($P3277=1,"Débit",$L3277)),-IF($P3277=1,-$K3277,$K3277),0))))</f>
        <v/>
      </c>
      <c r="U3277" s="6" t="str">
        <f>IF($K3277="","",IF(ISNUMBER(SEARCH("sortie-epargne",IFERROR(INDEX('Paramètres'!$N:$N,MATCH($D3277,'Paramètres'!$M:$M,0))&amp;"",""))),$K3277,0))</f>
        <v/>
      </c>
      <c r="V3277" s="6" t="str">
        <f>IF(AND($A3277&lt;&gt;"",$O3277=1,$L3277="Débit",N($Q3277)&gt;0,$A3277&gt;=Visualisation!$B$1,$A3277&lt;Visualisation!$D$1),MAX($V$1:V3276)+1,"")</f>
        <v/>
      </c>
    </row>
    <row r="3278" spans="1:22" x14ac:dyDescent="0.25">
      <c r="A3278" s="9"/>
      <c r="E3278" s="10"/>
      <c r="K3278" s="11" t="str">
        <f>IF($E3278="","",ROUND($E3278*IF(ISNA(MATCH($C3278,'Paramètres'!$D:$D,0)),1,IF(INDEX('Paramètres'!$J:$J,MATCH($C3278,'Paramètres'!$D:$D,0))="",1,INDEX('Paramètres'!$J:$J,MATCH($C3278,'Paramètres'!$D:$D,0)))),2))</f>
        <v/>
      </c>
      <c r="L3278" s="6" t="str">
        <f>IF($D3278="","",IF($F3278&lt;&gt;"",$F3278,IF(ISNA(MATCH($D3278,'Paramètres'!$M:$M,0)),"⚠ Type inconnu",IFERROR(INDEX('Paramètres'!$P:$P,MATCH($D3278,'Paramètres'!$M:$M,0))&amp;"",""))))</f>
        <v/>
      </c>
      <c r="M3278" s="6" t="str">
        <f>IF($D3278="","",IF(ISNA(MATCH($D3278,'Paramètres'!$M:$M,0)),"⚠ Type inconnu",IF($L3278="Crédit","",IFERROR(INDEX('Paramètres'!$O:$O,MATCH($D3278,'Paramètres'!$M:$M,0))&amp;"",""))))</f>
        <v/>
      </c>
      <c r="N3278" s="6" t="str">
        <f>IF($D3278="","",IFERROR(INDEX('Paramètres'!$Q:$Q,MATCH($D3278,'Paramètres'!$M:$M,0))&amp;"",""))</f>
        <v/>
      </c>
      <c r="O3278" s="6" t="str">
        <f>IF($A3278="","",IF(OR($J3278&lt;&gt;"x",$A3278&lt;=FinReleve),1,0))</f>
        <v/>
      </c>
      <c r="P3278" s="6" t="str">
        <f>IF($D3278="","",IF(AND($L3278="Crédit",OR(IFERROR(INDEX('Paramètres'!$O:$O,MATCH($D3278,'Paramètres'!$M:$M,0))&amp;"","")&lt;&gt;"",ISNUMBER(SEARCH("remboursement",IFERROR(INDEX('Paramètres'!$N:$N,MATCH($D3278,'Paramètres'!$M:$M,0))&amp;"",""))))),1,0))</f>
        <v/>
      </c>
      <c r="Q3278" s="6" t="str">
        <f>IF($K3278="","",IF(ISNUMBER(SEARCH("transfert-interne",IFERROR(INDEX('Paramètres'!$N:$N,MATCH($D3278,'Paramètres'!$M:$M,0))&amp;"",""))),0,IF($L3278="Débit",$K3278,IF($P3278=1,-$K3278,0))))</f>
        <v/>
      </c>
      <c r="R3278" s="6" t="str">
        <f>IF($K3278="","",IF($L3278="Crédit",$K3278,-$K3278))</f>
        <v/>
      </c>
      <c r="S3278" s="6" t="str">
        <f>IF($C3278="","",IFERROR(INDEX('Paramètres'!$H:$H,MATCH($C3278,'Paramètres'!$D:$D,0))&amp;"",""))</f>
        <v/>
      </c>
      <c r="T3278" s="6" t="str">
        <f>IF($K3278="","",IF($S3278="",0,IF(ISNUMBER(SEARCH("apport-exterieur",IFERROR(INDEX('Paramètres'!$N:$N,MATCH($D3278,'Paramètres'!$M:$M,0))&amp;"",""))),0,IF(OR(IFERROR(INDEX('Paramètres'!$I:$I,MATCH($C3278,'Paramètres'!$D:$D,0))&amp;"","")="Les deux",IFERROR(INDEX('Paramètres'!$I:$I,MATCH($C3278,'Paramètres'!$D:$D,0))&amp;"","")=IF($P3278=1,"Débit",$L3278)),-IF($P3278=1,-$K3278,$K3278),0))))</f>
        <v/>
      </c>
      <c r="U3278" s="6" t="str">
        <f>IF($K3278="","",IF(ISNUMBER(SEARCH("sortie-epargne",IFERROR(INDEX('Paramètres'!$N:$N,MATCH($D3278,'Paramètres'!$M:$M,0))&amp;"",""))),$K3278,0))</f>
        <v/>
      </c>
      <c r="V3278" s="6" t="str">
        <f>IF(AND($A3278&lt;&gt;"",$O3278=1,$L3278="Débit",N($Q3278)&gt;0,$A3278&gt;=Visualisation!$B$1,$A3278&lt;Visualisation!$D$1),MAX($V$1:V3277)+1,"")</f>
        <v/>
      </c>
    </row>
    <row r="3279" spans="1:22" x14ac:dyDescent="0.25">
      <c r="A3279" s="9"/>
      <c r="E3279" s="10"/>
      <c r="K3279" s="11" t="str">
        <f>IF($E3279="","",ROUND($E3279*IF(ISNA(MATCH($C3279,'Paramètres'!$D:$D,0)),1,IF(INDEX('Paramètres'!$J:$J,MATCH($C3279,'Paramètres'!$D:$D,0))="",1,INDEX('Paramètres'!$J:$J,MATCH($C3279,'Paramètres'!$D:$D,0)))),2))</f>
        <v/>
      </c>
      <c r="L3279" s="6" t="str">
        <f>IF($D3279="","",IF($F3279&lt;&gt;"",$F3279,IF(ISNA(MATCH($D3279,'Paramètres'!$M:$M,0)),"⚠ Type inconnu",IFERROR(INDEX('Paramètres'!$P:$P,MATCH($D3279,'Paramètres'!$M:$M,0))&amp;"",""))))</f>
        <v/>
      </c>
      <c r="M3279" s="6" t="str">
        <f>IF($D3279="","",IF(ISNA(MATCH($D3279,'Paramètres'!$M:$M,0)),"⚠ Type inconnu",IF($L3279="Crédit","",IFERROR(INDEX('Paramètres'!$O:$O,MATCH($D3279,'Paramètres'!$M:$M,0))&amp;"",""))))</f>
        <v/>
      </c>
      <c r="N3279" s="6" t="str">
        <f>IF($D3279="","",IFERROR(INDEX('Paramètres'!$Q:$Q,MATCH($D3279,'Paramètres'!$M:$M,0))&amp;"",""))</f>
        <v/>
      </c>
      <c r="O3279" s="6" t="str">
        <f>IF($A3279="","",IF(OR($J3279&lt;&gt;"x",$A3279&lt;=FinReleve),1,0))</f>
        <v/>
      </c>
      <c r="P3279" s="6" t="str">
        <f>IF($D3279="","",IF(AND($L3279="Crédit",OR(IFERROR(INDEX('Paramètres'!$O:$O,MATCH($D3279,'Paramètres'!$M:$M,0))&amp;"","")&lt;&gt;"",ISNUMBER(SEARCH("remboursement",IFERROR(INDEX('Paramètres'!$N:$N,MATCH($D3279,'Paramètres'!$M:$M,0))&amp;"",""))))),1,0))</f>
        <v/>
      </c>
      <c r="Q3279" s="6" t="str">
        <f>IF($K3279="","",IF(ISNUMBER(SEARCH("transfert-interne",IFERROR(INDEX('Paramètres'!$N:$N,MATCH($D3279,'Paramètres'!$M:$M,0))&amp;"",""))),0,IF($L3279="Débit",$K3279,IF($P3279=1,-$K3279,0))))</f>
        <v/>
      </c>
      <c r="R3279" s="6" t="str">
        <f>IF($K3279="","",IF($L3279="Crédit",$K3279,-$K3279))</f>
        <v/>
      </c>
      <c r="S3279" s="6" t="str">
        <f>IF($C3279="","",IFERROR(INDEX('Paramètres'!$H:$H,MATCH($C3279,'Paramètres'!$D:$D,0))&amp;"",""))</f>
        <v/>
      </c>
      <c r="T3279" s="6" t="str">
        <f>IF($K3279="","",IF($S3279="",0,IF(ISNUMBER(SEARCH("apport-exterieur",IFERROR(INDEX('Paramètres'!$N:$N,MATCH($D3279,'Paramètres'!$M:$M,0))&amp;"",""))),0,IF(OR(IFERROR(INDEX('Paramètres'!$I:$I,MATCH($C3279,'Paramètres'!$D:$D,0))&amp;"","")="Les deux",IFERROR(INDEX('Paramètres'!$I:$I,MATCH($C3279,'Paramètres'!$D:$D,0))&amp;"","")=IF($P3279=1,"Débit",$L3279)),-IF($P3279=1,-$K3279,$K3279),0))))</f>
        <v/>
      </c>
      <c r="U3279" s="6" t="str">
        <f>IF($K3279="","",IF(ISNUMBER(SEARCH("sortie-epargne",IFERROR(INDEX('Paramètres'!$N:$N,MATCH($D3279,'Paramètres'!$M:$M,0))&amp;"",""))),$K3279,0))</f>
        <v/>
      </c>
      <c r="V3279" s="6" t="str">
        <f>IF(AND($A3279&lt;&gt;"",$O3279=1,$L3279="Débit",N($Q3279)&gt;0,$A3279&gt;=Visualisation!$B$1,$A3279&lt;Visualisation!$D$1),MAX($V$1:V3278)+1,"")</f>
        <v/>
      </c>
    </row>
    <row r="3280" spans="1:22" x14ac:dyDescent="0.25">
      <c r="A3280" s="9"/>
      <c r="E3280" s="10"/>
      <c r="K3280" s="11" t="str">
        <f>IF($E3280="","",ROUND($E3280*IF(ISNA(MATCH($C3280,'Paramètres'!$D:$D,0)),1,IF(INDEX('Paramètres'!$J:$J,MATCH($C3280,'Paramètres'!$D:$D,0))="",1,INDEX('Paramètres'!$J:$J,MATCH($C3280,'Paramètres'!$D:$D,0)))),2))</f>
        <v/>
      </c>
      <c r="L3280" s="6" t="str">
        <f>IF($D3280="","",IF($F3280&lt;&gt;"",$F3280,IF(ISNA(MATCH($D3280,'Paramètres'!$M:$M,0)),"⚠ Type inconnu",IFERROR(INDEX('Paramètres'!$P:$P,MATCH($D3280,'Paramètres'!$M:$M,0))&amp;"",""))))</f>
        <v/>
      </c>
      <c r="M3280" s="6" t="str">
        <f>IF($D3280="","",IF(ISNA(MATCH($D3280,'Paramètres'!$M:$M,0)),"⚠ Type inconnu",IF($L3280="Crédit","",IFERROR(INDEX('Paramètres'!$O:$O,MATCH($D3280,'Paramètres'!$M:$M,0))&amp;"",""))))</f>
        <v/>
      </c>
      <c r="N3280" s="6" t="str">
        <f>IF($D3280="","",IFERROR(INDEX('Paramètres'!$Q:$Q,MATCH($D3280,'Paramètres'!$M:$M,0))&amp;"",""))</f>
        <v/>
      </c>
      <c r="O3280" s="6" t="str">
        <f>IF($A3280="","",IF(OR($J3280&lt;&gt;"x",$A3280&lt;=FinReleve),1,0))</f>
        <v/>
      </c>
      <c r="P3280" s="6" t="str">
        <f>IF($D3280="","",IF(AND($L3280="Crédit",OR(IFERROR(INDEX('Paramètres'!$O:$O,MATCH($D3280,'Paramètres'!$M:$M,0))&amp;"","")&lt;&gt;"",ISNUMBER(SEARCH("remboursement",IFERROR(INDEX('Paramètres'!$N:$N,MATCH($D3280,'Paramètres'!$M:$M,0))&amp;"",""))))),1,0))</f>
        <v/>
      </c>
      <c r="Q3280" s="6" t="str">
        <f>IF($K3280="","",IF(ISNUMBER(SEARCH("transfert-interne",IFERROR(INDEX('Paramètres'!$N:$N,MATCH($D3280,'Paramètres'!$M:$M,0))&amp;"",""))),0,IF($L3280="Débit",$K3280,IF($P3280=1,-$K3280,0))))</f>
        <v/>
      </c>
      <c r="R3280" s="6" t="str">
        <f>IF($K3280="","",IF($L3280="Crédit",$K3280,-$K3280))</f>
        <v/>
      </c>
      <c r="S3280" s="6" t="str">
        <f>IF($C3280="","",IFERROR(INDEX('Paramètres'!$H:$H,MATCH($C3280,'Paramètres'!$D:$D,0))&amp;"",""))</f>
        <v/>
      </c>
      <c r="T3280" s="6" t="str">
        <f>IF($K3280="","",IF($S3280="",0,IF(ISNUMBER(SEARCH("apport-exterieur",IFERROR(INDEX('Paramètres'!$N:$N,MATCH($D3280,'Paramètres'!$M:$M,0))&amp;"",""))),0,IF(OR(IFERROR(INDEX('Paramètres'!$I:$I,MATCH($C3280,'Paramètres'!$D:$D,0))&amp;"","")="Les deux",IFERROR(INDEX('Paramètres'!$I:$I,MATCH($C3280,'Paramètres'!$D:$D,0))&amp;"","")=IF($P3280=1,"Débit",$L3280)),-IF($P3280=1,-$K3280,$K3280),0))))</f>
        <v/>
      </c>
      <c r="U3280" s="6" t="str">
        <f>IF($K3280="","",IF(ISNUMBER(SEARCH("sortie-epargne",IFERROR(INDEX('Paramètres'!$N:$N,MATCH($D3280,'Paramètres'!$M:$M,0))&amp;"",""))),$K3280,0))</f>
        <v/>
      </c>
      <c r="V3280" s="6" t="str">
        <f>IF(AND($A3280&lt;&gt;"",$O3280=1,$L3280="Débit",N($Q3280)&gt;0,$A3280&gt;=Visualisation!$B$1,$A3280&lt;Visualisation!$D$1),MAX($V$1:V3279)+1,"")</f>
        <v/>
      </c>
    </row>
    <row r="3281" spans="1:22" x14ac:dyDescent="0.25">
      <c r="A3281" s="9"/>
      <c r="E3281" s="10"/>
      <c r="K3281" s="11" t="str">
        <f>IF($E3281="","",ROUND($E3281*IF(ISNA(MATCH($C3281,'Paramètres'!$D:$D,0)),1,IF(INDEX('Paramètres'!$J:$J,MATCH($C3281,'Paramètres'!$D:$D,0))="",1,INDEX('Paramètres'!$J:$J,MATCH($C3281,'Paramètres'!$D:$D,0)))),2))</f>
        <v/>
      </c>
      <c r="L3281" s="6" t="str">
        <f>IF($D3281="","",IF($F3281&lt;&gt;"",$F3281,IF(ISNA(MATCH($D3281,'Paramètres'!$M:$M,0)),"⚠ Type inconnu",IFERROR(INDEX('Paramètres'!$P:$P,MATCH($D3281,'Paramètres'!$M:$M,0))&amp;"",""))))</f>
        <v/>
      </c>
      <c r="M3281" s="6" t="str">
        <f>IF($D3281="","",IF(ISNA(MATCH($D3281,'Paramètres'!$M:$M,0)),"⚠ Type inconnu",IF($L3281="Crédit","",IFERROR(INDEX('Paramètres'!$O:$O,MATCH($D3281,'Paramètres'!$M:$M,0))&amp;"",""))))</f>
        <v/>
      </c>
      <c r="N3281" s="6" t="str">
        <f>IF($D3281="","",IFERROR(INDEX('Paramètres'!$Q:$Q,MATCH($D3281,'Paramètres'!$M:$M,0))&amp;"",""))</f>
        <v/>
      </c>
      <c r="O3281" s="6" t="str">
        <f>IF($A3281="","",IF(OR($J3281&lt;&gt;"x",$A3281&lt;=FinReleve),1,0))</f>
        <v/>
      </c>
      <c r="P3281" s="6" t="str">
        <f>IF($D3281="","",IF(AND($L3281="Crédit",OR(IFERROR(INDEX('Paramètres'!$O:$O,MATCH($D3281,'Paramètres'!$M:$M,0))&amp;"","")&lt;&gt;"",ISNUMBER(SEARCH("remboursement",IFERROR(INDEX('Paramètres'!$N:$N,MATCH($D3281,'Paramètres'!$M:$M,0))&amp;"",""))))),1,0))</f>
        <v/>
      </c>
      <c r="Q3281" s="6" t="str">
        <f>IF($K3281="","",IF(ISNUMBER(SEARCH("transfert-interne",IFERROR(INDEX('Paramètres'!$N:$N,MATCH($D3281,'Paramètres'!$M:$M,0))&amp;"",""))),0,IF($L3281="Débit",$K3281,IF($P3281=1,-$K3281,0))))</f>
        <v/>
      </c>
      <c r="R3281" s="6" t="str">
        <f>IF($K3281="","",IF($L3281="Crédit",$K3281,-$K3281))</f>
        <v/>
      </c>
      <c r="S3281" s="6" t="str">
        <f>IF($C3281="","",IFERROR(INDEX('Paramètres'!$H:$H,MATCH($C3281,'Paramètres'!$D:$D,0))&amp;"",""))</f>
        <v/>
      </c>
      <c r="T3281" s="6" t="str">
        <f>IF($K3281="","",IF($S3281="",0,IF(ISNUMBER(SEARCH("apport-exterieur",IFERROR(INDEX('Paramètres'!$N:$N,MATCH($D3281,'Paramètres'!$M:$M,0))&amp;"",""))),0,IF(OR(IFERROR(INDEX('Paramètres'!$I:$I,MATCH($C3281,'Paramètres'!$D:$D,0))&amp;"","")="Les deux",IFERROR(INDEX('Paramètres'!$I:$I,MATCH($C3281,'Paramètres'!$D:$D,0))&amp;"","")=IF($P3281=1,"Débit",$L3281)),-IF($P3281=1,-$K3281,$K3281),0))))</f>
        <v/>
      </c>
      <c r="U3281" s="6" t="str">
        <f>IF($K3281="","",IF(ISNUMBER(SEARCH("sortie-epargne",IFERROR(INDEX('Paramètres'!$N:$N,MATCH($D3281,'Paramètres'!$M:$M,0))&amp;"",""))),$K3281,0))</f>
        <v/>
      </c>
      <c r="V3281" s="6" t="str">
        <f>IF(AND($A3281&lt;&gt;"",$O3281=1,$L3281="Débit",N($Q3281)&gt;0,$A3281&gt;=Visualisation!$B$1,$A3281&lt;Visualisation!$D$1),MAX($V$1:V3280)+1,"")</f>
        <v/>
      </c>
    </row>
    <row r="3282" spans="1:22" x14ac:dyDescent="0.25">
      <c r="A3282" s="9"/>
      <c r="E3282" s="10"/>
      <c r="K3282" s="11" t="str">
        <f>IF($E3282="","",ROUND($E3282*IF(ISNA(MATCH($C3282,'Paramètres'!$D:$D,0)),1,IF(INDEX('Paramètres'!$J:$J,MATCH($C3282,'Paramètres'!$D:$D,0))="",1,INDEX('Paramètres'!$J:$J,MATCH($C3282,'Paramètres'!$D:$D,0)))),2))</f>
        <v/>
      </c>
      <c r="L3282" s="6" t="str">
        <f>IF($D3282="","",IF($F3282&lt;&gt;"",$F3282,IF(ISNA(MATCH($D3282,'Paramètres'!$M:$M,0)),"⚠ Type inconnu",IFERROR(INDEX('Paramètres'!$P:$P,MATCH($D3282,'Paramètres'!$M:$M,0))&amp;"",""))))</f>
        <v/>
      </c>
      <c r="M3282" s="6" t="str">
        <f>IF($D3282="","",IF(ISNA(MATCH($D3282,'Paramètres'!$M:$M,0)),"⚠ Type inconnu",IF($L3282="Crédit","",IFERROR(INDEX('Paramètres'!$O:$O,MATCH($D3282,'Paramètres'!$M:$M,0))&amp;"",""))))</f>
        <v/>
      </c>
      <c r="N3282" s="6" t="str">
        <f>IF($D3282="","",IFERROR(INDEX('Paramètres'!$Q:$Q,MATCH($D3282,'Paramètres'!$M:$M,0))&amp;"",""))</f>
        <v/>
      </c>
      <c r="O3282" s="6" t="str">
        <f>IF($A3282="","",IF(OR($J3282&lt;&gt;"x",$A3282&lt;=FinReleve),1,0))</f>
        <v/>
      </c>
      <c r="P3282" s="6" t="str">
        <f>IF($D3282="","",IF(AND($L3282="Crédit",OR(IFERROR(INDEX('Paramètres'!$O:$O,MATCH($D3282,'Paramètres'!$M:$M,0))&amp;"","")&lt;&gt;"",ISNUMBER(SEARCH("remboursement",IFERROR(INDEX('Paramètres'!$N:$N,MATCH($D3282,'Paramètres'!$M:$M,0))&amp;"",""))))),1,0))</f>
        <v/>
      </c>
      <c r="Q3282" s="6" t="str">
        <f>IF($K3282="","",IF(ISNUMBER(SEARCH("transfert-interne",IFERROR(INDEX('Paramètres'!$N:$N,MATCH($D3282,'Paramètres'!$M:$M,0))&amp;"",""))),0,IF($L3282="Débit",$K3282,IF($P3282=1,-$K3282,0))))</f>
        <v/>
      </c>
      <c r="R3282" s="6" t="str">
        <f>IF($K3282="","",IF($L3282="Crédit",$K3282,-$K3282))</f>
        <v/>
      </c>
      <c r="S3282" s="6" t="str">
        <f>IF($C3282="","",IFERROR(INDEX('Paramètres'!$H:$H,MATCH($C3282,'Paramètres'!$D:$D,0))&amp;"",""))</f>
        <v/>
      </c>
      <c r="T3282" s="6" t="str">
        <f>IF($K3282="","",IF($S3282="",0,IF(ISNUMBER(SEARCH("apport-exterieur",IFERROR(INDEX('Paramètres'!$N:$N,MATCH($D3282,'Paramètres'!$M:$M,0))&amp;"",""))),0,IF(OR(IFERROR(INDEX('Paramètres'!$I:$I,MATCH($C3282,'Paramètres'!$D:$D,0))&amp;"","")="Les deux",IFERROR(INDEX('Paramètres'!$I:$I,MATCH($C3282,'Paramètres'!$D:$D,0))&amp;"","")=IF($P3282=1,"Débit",$L3282)),-IF($P3282=1,-$K3282,$K3282),0))))</f>
        <v/>
      </c>
      <c r="U3282" s="6" t="str">
        <f>IF($K3282="","",IF(ISNUMBER(SEARCH("sortie-epargne",IFERROR(INDEX('Paramètres'!$N:$N,MATCH($D3282,'Paramètres'!$M:$M,0))&amp;"",""))),$K3282,0))</f>
        <v/>
      </c>
      <c r="V3282" s="6" t="str">
        <f>IF(AND($A3282&lt;&gt;"",$O3282=1,$L3282="Débit",N($Q3282)&gt;0,$A3282&gt;=Visualisation!$B$1,$A3282&lt;Visualisation!$D$1),MAX($V$1:V3281)+1,"")</f>
        <v/>
      </c>
    </row>
    <row r="3283" spans="1:22" x14ac:dyDescent="0.25">
      <c r="A3283" s="9"/>
      <c r="E3283" s="10"/>
      <c r="K3283" s="11" t="str">
        <f>IF($E3283="","",ROUND($E3283*IF(ISNA(MATCH($C3283,'Paramètres'!$D:$D,0)),1,IF(INDEX('Paramètres'!$J:$J,MATCH($C3283,'Paramètres'!$D:$D,0))="",1,INDEX('Paramètres'!$J:$J,MATCH($C3283,'Paramètres'!$D:$D,0)))),2))</f>
        <v/>
      </c>
      <c r="L3283" s="6" t="str">
        <f>IF($D3283="","",IF($F3283&lt;&gt;"",$F3283,IF(ISNA(MATCH($D3283,'Paramètres'!$M:$M,0)),"⚠ Type inconnu",IFERROR(INDEX('Paramètres'!$P:$P,MATCH($D3283,'Paramètres'!$M:$M,0))&amp;"",""))))</f>
        <v/>
      </c>
      <c r="M3283" s="6" t="str">
        <f>IF($D3283="","",IF(ISNA(MATCH($D3283,'Paramètres'!$M:$M,0)),"⚠ Type inconnu",IF($L3283="Crédit","",IFERROR(INDEX('Paramètres'!$O:$O,MATCH($D3283,'Paramètres'!$M:$M,0))&amp;"",""))))</f>
        <v/>
      </c>
      <c r="N3283" s="6" t="str">
        <f>IF($D3283="","",IFERROR(INDEX('Paramètres'!$Q:$Q,MATCH($D3283,'Paramètres'!$M:$M,0))&amp;"",""))</f>
        <v/>
      </c>
      <c r="O3283" s="6" t="str">
        <f>IF($A3283="","",IF(OR($J3283&lt;&gt;"x",$A3283&lt;=FinReleve),1,0))</f>
        <v/>
      </c>
      <c r="P3283" s="6" t="str">
        <f>IF($D3283="","",IF(AND($L3283="Crédit",OR(IFERROR(INDEX('Paramètres'!$O:$O,MATCH($D3283,'Paramètres'!$M:$M,0))&amp;"","")&lt;&gt;"",ISNUMBER(SEARCH("remboursement",IFERROR(INDEX('Paramètres'!$N:$N,MATCH($D3283,'Paramètres'!$M:$M,0))&amp;"",""))))),1,0))</f>
        <v/>
      </c>
      <c r="Q3283" s="6" t="str">
        <f>IF($K3283="","",IF(ISNUMBER(SEARCH("transfert-interne",IFERROR(INDEX('Paramètres'!$N:$N,MATCH($D3283,'Paramètres'!$M:$M,0))&amp;"",""))),0,IF($L3283="Débit",$K3283,IF($P3283=1,-$K3283,0))))</f>
        <v/>
      </c>
      <c r="R3283" s="6" t="str">
        <f>IF($K3283="","",IF($L3283="Crédit",$K3283,-$K3283))</f>
        <v/>
      </c>
      <c r="S3283" s="6" t="str">
        <f>IF($C3283="","",IFERROR(INDEX('Paramètres'!$H:$H,MATCH($C3283,'Paramètres'!$D:$D,0))&amp;"",""))</f>
        <v/>
      </c>
      <c r="T3283" s="6" t="str">
        <f>IF($K3283="","",IF($S3283="",0,IF(ISNUMBER(SEARCH("apport-exterieur",IFERROR(INDEX('Paramètres'!$N:$N,MATCH($D3283,'Paramètres'!$M:$M,0))&amp;"",""))),0,IF(OR(IFERROR(INDEX('Paramètres'!$I:$I,MATCH($C3283,'Paramètres'!$D:$D,0))&amp;"","")="Les deux",IFERROR(INDEX('Paramètres'!$I:$I,MATCH($C3283,'Paramètres'!$D:$D,0))&amp;"","")=IF($P3283=1,"Débit",$L3283)),-IF($P3283=1,-$K3283,$K3283),0))))</f>
        <v/>
      </c>
      <c r="U3283" s="6" t="str">
        <f>IF($K3283="","",IF(ISNUMBER(SEARCH("sortie-epargne",IFERROR(INDEX('Paramètres'!$N:$N,MATCH($D3283,'Paramètres'!$M:$M,0))&amp;"",""))),$K3283,0))</f>
        <v/>
      </c>
      <c r="V3283" s="6" t="str">
        <f>IF(AND($A3283&lt;&gt;"",$O3283=1,$L3283="Débit",N($Q3283)&gt;0,$A3283&gt;=Visualisation!$B$1,$A3283&lt;Visualisation!$D$1),MAX($V$1:V3282)+1,"")</f>
        <v/>
      </c>
    </row>
    <row r="3284" spans="1:22" x14ac:dyDescent="0.25">
      <c r="A3284" s="9"/>
      <c r="E3284" s="10"/>
      <c r="K3284" s="11" t="str">
        <f>IF($E3284="","",ROUND($E3284*IF(ISNA(MATCH($C3284,'Paramètres'!$D:$D,0)),1,IF(INDEX('Paramètres'!$J:$J,MATCH($C3284,'Paramètres'!$D:$D,0))="",1,INDEX('Paramètres'!$J:$J,MATCH($C3284,'Paramètres'!$D:$D,0)))),2))</f>
        <v/>
      </c>
      <c r="L3284" s="6" t="str">
        <f>IF($D3284="","",IF($F3284&lt;&gt;"",$F3284,IF(ISNA(MATCH($D3284,'Paramètres'!$M:$M,0)),"⚠ Type inconnu",IFERROR(INDEX('Paramètres'!$P:$P,MATCH($D3284,'Paramètres'!$M:$M,0))&amp;"",""))))</f>
        <v/>
      </c>
      <c r="M3284" s="6" t="str">
        <f>IF($D3284="","",IF(ISNA(MATCH($D3284,'Paramètres'!$M:$M,0)),"⚠ Type inconnu",IF($L3284="Crédit","",IFERROR(INDEX('Paramètres'!$O:$O,MATCH($D3284,'Paramètres'!$M:$M,0))&amp;"",""))))</f>
        <v/>
      </c>
      <c r="N3284" s="6" t="str">
        <f>IF($D3284="","",IFERROR(INDEX('Paramètres'!$Q:$Q,MATCH($D3284,'Paramètres'!$M:$M,0))&amp;"",""))</f>
        <v/>
      </c>
      <c r="O3284" s="6" t="str">
        <f>IF($A3284="","",IF(OR($J3284&lt;&gt;"x",$A3284&lt;=FinReleve),1,0))</f>
        <v/>
      </c>
      <c r="P3284" s="6" t="str">
        <f>IF($D3284="","",IF(AND($L3284="Crédit",OR(IFERROR(INDEX('Paramètres'!$O:$O,MATCH($D3284,'Paramètres'!$M:$M,0))&amp;"","")&lt;&gt;"",ISNUMBER(SEARCH("remboursement",IFERROR(INDEX('Paramètres'!$N:$N,MATCH($D3284,'Paramètres'!$M:$M,0))&amp;"",""))))),1,0))</f>
        <v/>
      </c>
      <c r="Q3284" s="6" t="str">
        <f>IF($K3284="","",IF(ISNUMBER(SEARCH("transfert-interne",IFERROR(INDEX('Paramètres'!$N:$N,MATCH($D3284,'Paramètres'!$M:$M,0))&amp;"",""))),0,IF($L3284="Débit",$K3284,IF($P3284=1,-$K3284,0))))</f>
        <v/>
      </c>
      <c r="R3284" s="6" t="str">
        <f>IF($K3284="","",IF($L3284="Crédit",$K3284,-$K3284))</f>
        <v/>
      </c>
      <c r="S3284" s="6" t="str">
        <f>IF($C3284="","",IFERROR(INDEX('Paramètres'!$H:$H,MATCH($C3284,'Paramètres'!$D:$D,0))&amp;"",""))</f>
        <v/>
      </c>
      <c r="T3284" s="6" t="str">
        <f>IF($K3284="","",IF($S3284="",0,IF(ISNUMBER(SEARCH("apport-exterieur",IFERROR(INDEX('Paramètres'!$N:$N,MATCH($D3284,'Paramètres'!$M:$M,0))&amp;"",""))),0,IF(OR(IFERROR(INDEX('Paramètres'!$I:$I,MATCH($C3284,'Paramètres'!$D:$D,0))&amp;"","")="Les deux",IFERROR(INDEX('Paramètres'!$I:$I,MATCH($C3284,'Paramètres'!$D:$D,0))&amp;"","")=IF($P3284=1,"Débit",$L3284)),-IF($P3284=1,-$K3284,$K3284),0))))</f>
        <v/>
      </c>
      <c r="U3284" s="6" t="str">
        <f>IF($K3284="","",IF(ISNUMBER(SEARCH("sortie-epargne",IFERROR(INDEX('Paramètres'!$N:$N,MATCH($D3284,'Paramètres'!$M:$M,0))&amp;"",""))),$K3284,0))</f>
        <v/>
      </c>
      <c r="V3284" s="6" t="str">
        <f>IF(AND($A3284&lt;&gt;"",$O3284=1,$L3284="Débit",N($Q3284)&gt;0,$A3284&gt;=Visualisation!$B$1,$A3284&lt;Visualisation!$D$1),MAX($V$1:V3283)+1,"")</f>
        <v/>
      </c>
    </row>
    <row r="3285" spans="1:22" x14ac:dyDescent="0.25">
      <c r="A3285" s="9"/>
      <c r="E3285" s="10"/>
      <c r="K3285" s="11" t="str">
        <f>IF($E3285="","",ROUND($E3285*IF(ISNA(MATCH($C3285,'Paramètres'!$D:$D,0)),1,IF(INDEX('Paramètres'!$J:$J,MATCH($C3285,'Paramètres'!$D:$D,0))="",1,INDEX('Paramètres'!$J:$J,MATCH($C3285,'Paramètres'!$D:$D,0)))),2))</f>
        <v/>
      </c>
      <c r="L3285" s="6" t="str">
        <f>IF($D3285="","",IF($F3285&lt;&gt;"",$F3285,IF(ISNA(MATCH($D3285,'Paramètres'!$M:$M,0)),"⚠ Type inconnu",IFERROR(INDEX('Paramètres'!$P:$P,MATCH($D3285,'Paramètres'!$M:$M,0))&amp;"",""))))</f>
        <v/>
      </c>
      <c r="M3285" s="6" t="str">
        <f>IF($D3285="","",IF(ISNA(MATCH($D3285,'Paramètres'!$M:$M,0)),"⚠ Type inconnu",IF($L3285="Crédit","",IFERROR(INDEX('Paramètres'!$O:$O,MATCH($D3285,'Paramètres'!$M:$M,0))&amp;"",""))))</f>
        <v/>
      </c>
      <c r="N3285" s="6" t="str">
        <f>IF($D3285="","",IFERROR(INDEX('Paramètres'!$Q:$Q,MATCH($D3285,'Paramètres'!$M:$M,0))&amp;"",""))</f>
        <v/>
      </c>
      <c r="O3285" s="6" t="str">
        <f>IF($A3285="","",IF(OR($J3285&lt;&gt;"x",$A3285&lt;=FinReleve),1,0))</f>
        <v/>
      </c>
      <c r="P3285" s="6" t="str">
        <f>IF($D3285="","",IF(AND($L3285="Crédit",OR(IFERROR(INDEX('Paramètres'!$O:$O,MATCH($D3285,'Paramètres'!$M:$M,0))&amp;"","")&lt;&gt;"",ISNUMBER(SEARCH("remboursement",IFERROR(INDEX('Paramètres'!$N:$N,MATCH($D3285,'Paramètres'!$M:$M,0))&amp;"",""))))),1,0))</f>
        <v/>
      </c>
      <c r="Q3285" s="6" t="str">
        <f>IF($K3285="","",IF(ISNUMBER(SEARCH("transfert-interne",IFERROR(INDEX('Paramètres'!$N:$N,MATCH($D3285,'Paramètres'!$M:$M,0))&amp;"",""))),0,IF($L3285="Débit",$K3285,IF($P3285=1,-$K3285,0))))</f>
        <v/>
      </c>
      <c r="R3285" s="6" t="str">
        <f>IF($K3285="","",IF($L3285="Crédit",$K3285,-$K3285))</f>
        <v/>
      </c>
      <c r="S3285" s="6" t="str">
        <f>IF($C3285="","",IFERROR(INDEX('Paramètres'!$H:$H,MATCH($C3285,'Paramètres'!$D:$D,0))&amp;"",""))</f>
        <v/>
      </c>
      <c r="T3285" s="6" t="str">
        <f>IF($K3285="","",IF($S3285="",0,IF(ISNUMBER(SEARCH("apport-exterieur",IFERROR(INDEX('Paramètres'!$N:$N,MATCH($D3285,'Paramètres'!$M:$M,0))&amp;"",""))),0,IF(OR(IFERROR(INDEX('Paramètres'!$I:$I,MATCH($C3285,'Paramètres'!$D:$D,0))&amp;"","")="Les deux",IFERROR(INDEX('Paramètres'!$I:$I,MATCH($C3285,'Paramètres'!$D:$D,0))&amp;"","")=IF($P3285=1,"Débit",$L3285)),-IF($P3285=1,-$K3285,$K3285),0))))</f>
        <v/>
      </c>
      <c r="U3285" s="6" t="str">
        <f>IF($K3285="","",IF(ISNUMBER(SEARCH("sortie-epargne",IFERROR(INDEX('Paramètres'!$N:$N,MATCH($D3285,'Paramètres'!$M:$M,0))&amp;"",""))),$K3285,0))</f>
        <v/>
      </c>
      <c r="V3285" s="6" t="str">
        <f>IF(AND($A3285&lt;&gt;"",$O3285=1,$L3285="Débit",N($Q3285)&gt;0,$A3285&gt;=Visualisation!$B$1,$A3285&lt;Visualisation!$D$1),MAX($V$1:V3284)+1,"")</f>
        <v/>
      </c>
    </row>
    <row r="3286" spans="1:22" x14ac:dyDescent="0.25">
      <c r="A3286" s="9"/>
      <c r="E3286" s="10"/>
      <c r="K3286" s="11" t="str">
        <f>IF($E3286="","",ROUND($E3286*IF(ISNA(MATCH($C3286,'Paramètres'!$D:$D,0)),1,IF(INDEX('Paramètres'!$J:$J,MATCH($C3286,'Paramètres'!$D:$D,0))="",1,INDEX('Paramètres'!$J:$J,MATCH($C3286,'Paramètres'!$D:$D,0)))),2))</f>
        <v/>
      </c>
      <c r="L3286" s="6" t="str">
        <f>IF($D3286="","",IF($F3286&lt;&gt;"",$F3286,IF(ISNA(MATCH($D3286,'Paramètres'!$M:$M,0)),"⚠ Type inconnu",IFERROR(INDEX('Paramètres'!$P:$P,MATCH($D3286,'Paramètres'!$M:$M,0))&amp;"",""))))</f>
        <v/>
      </c>
      <c r="M3286" s="6" t="str">
        <f>IF($D3286="","",IF(ISNA(MATCH($D3286,'Paramètres'!$M:$M,0)),"⚠ Type inconnu",IF($L3286="Crédit","",IFERROR(INDEX('Paramètres'!$O:$O,MATCH($D3286,'Paramètres'!$M:$M,0))&amp;"",""))))</f>
        <v/>
      </c>
      <c r="N3286" s="6" t="str">
        <f>IF($D3286="","",IFERROR(INDEX('Paramètres'!$Q:$Q,MATCH($D3286,'Paramètres'!$M:$M,0))&amp;"",""))</f>
        <v/>
      </c>
      <c r="O3286" s="6" t="str">
        <f>IF($A3286="","",IF(OR($J3286&lt;&gt;"x",$A3286&lt;=FinReleve),1,0))</f>
        <v/>
      </c>
      <c r="P3286" s="6" t="str">
        <f>IF($D3286="","",IF(AND($L3286="Crédit",OR(IFERROR(INDEX('Paramètres'!$O:$O,MATCH($D3286,'Paramètres'!$M:$M,0))&amp;"","")&lt;&gt;"",ISNUMBER(SEARCH("remboursement",IFERROR(INDEX('Paramètres'!$N:$N,MATCH($D3286,'Paramètres'!$M:$M,0))&amp;"",""))))),1,0))</f>
        <v/>
      </c>
      <c r="Q3286" s="6" t="str">
        <f>IF($K3286="","",IF(ISNUMBER(SEARCH("transfert-interne",IFERROR(INDEX('Paramètres'!$N:$N,MATCH($D3286,'Paramètres'!$M:$M,0))&amp;"",""))),0,IF($L3286="Débit",$K3286,IF($P3286=1,-$K3286,0))))</f>
        <v/>
      </c>
      <c r="R3286" s="6" t="str">
        <f>IF($K3286="","",IF($L3286="Crédit",$K3286,-$K3286))</f>
        <v/>
      </c>
      <c r="S3286" s="6" t="str">
        <f>IF($C3286="","",IFERROR(INDEX('Paramètres'!$H:$H,MATCH($C3286,'Paramètres'!$D:$D,0))&amp;"",""))</f>
        <v/>
      </c>
      <c r="T3286" s="6" t="str">
        <f>IF($K3286="","",IF($S3286="",0,IF(ISNUMBER(SEARCH("apport-exterieur",IFERROR(INDEX('Paramètres'!$N:$N,MATCH($D3286,'Paramètres'!$M:$M,0))&amp;"",""))),0,IF(OR(IFERROR(INDEX('Paramètres'!$I:$I,MATCH($C3286,'Paramètres'!$D:$D,0))&amp;"","")="Les deux",IFERROR(INDEX('Paramètres'!$I:$I,MATCH($C3286,'Paramètres'!$D:$D,0))&amp;"","")=IF($P3286=1,"Débit",$L3286)),-IF($P3286=1,-$K3286,$K3286),0))))</f>
        <v/>
      </c>
      <c r="U3286" s="6" t="str">
        <f>IF($K3286="","",IF(ISNUMBER(SEARCH("sortie-epargne",IFERROR(INDEX('Paramètres'!$N:$N,MATCH($D3286,'Paramètres'!$M:$M,0))&amp;"",""))),$K3286,0))</f>
        <v/>
      </c>
      <c r="V3286" s="6" t="str">
        <f>IF(AND($A3286&lt;&gt;"",$O3286=1,$L3286="Débit",N($Q3286)&gt;0,$A3286&gt;=Visualisation!$B$1,$A3286&lt;Visualisation!$D$1),MAX($V$1:V3285)+1,"")</f>
        <v/>
      </c>
    </row>
    <row r="3287" spans="1:22" x14ac:dyDescent="0.25">
      <c r="A3287" s="9"/>
      <c r="E3287" s="10"/>
      <c r="K3287" s="11" t="str">
        <f>IF($E3287="","",ROUND($E3287*IF(ISNA(MATCH($C3287,'Paramètres'!$D:$D,0)),1,IF(INDEX('Paramètres'!$J:$J,MATCH($C3287,'Paramètres'!$D:$D,0))="",1,INDEX('Paramètres'!$J:$J,MATCH($C3287,'Paramètres'!$D:$D,0)))),2))</f>
        <v/>
      </c>
      <c r="L3287" s="6" t="str">
        <f>IF($D3287="","",IF($F3287&lt;&gt;"",$F3287,IF(ISNA(MATCH($D3287,'Paramètres'!$M:$M,0)),"⚠ Type inconnu",IFERROR(INDEX('Paramètres'!$P:$P,MATCH($D3287,'Paramètres'!$M:$M,0))&amp;"",""))))</f>
        <v/>
      </c>
      <c r="M3287" s="6" t="str">
        <f>IF($D3287="","",IF(ISNA(MATCH($D3287,'Paramètres'!$M:$M,0)),"⚠ Type inconnu",IF($L3287="Crédit","",IFERROR(INDEX('Paramètres'!$O:$O,MATCH($D3287,'Paramètres'!$M:$M,0))&amp;"",""))))</f>
        <v/>
      </c>
      <c r="N3287" s="6" t="str">
        <f>IF($D3287="","",IFERROR(INDEX('Paramètres'!$Q:$Q,MATCH($D3287,'Paramètres'!$M:$M,0))&amp;"",""))</f>
        <v/>
      </c>
      <c r="O3287" s="6" t="str">
        <f>IF($A3287="","",IF(OR($J3287&lt;&gt;"x",$A3287&lt;=FinReleve),1,0))</f>
        <v/>
      </c>
      <c r="P3287" s="6" t="str">
        <f>IF($D3287="","",IF(AND($L3287="Crédit",OR(IFERROR(INDEX('Paramètres'!$O:$O,MATCH($D3287,'Paramètres'!$M:$M,0))&amp;"","")&lt;&gt;"",ISNUMBER(SEARCH("remboursement",IFERROR(INDEX('Paramètres'!$N:$N,MATCH($D3287,'Paramètres'!$M:$M,0))&amp;"",""))))),1,0))</f>
        <v/>
      </c>
      <c r="Q3287" s="6" t="str">
        <f>IF($K3287="","",IF(ISNUMBER(SEARCH("transfert-interne",IFERROR(INDEX('Paramètres'!$N:$N,MATCH($D3287,'Paramètres'!$M:$M,0))&amp;"",""))),0,IF($L3287="Débit",$K3287,IF($P3287=1,-$K3287,0))))</f>
        <v/>
      </c>
      <c r="R3287" s="6" t="str">
        <f>IF($K3287="","",IF($L3287="Crédit",$K3287,-$K3287))</f>
        <v/>
      </c>
      <c r="S3287" s="6" t="str">
        <f>IF($C3287="","",IFERROR(INDEX('Paramètres'!$H:$H,MATCH($C3287,'Paramètres'!$D:$D,0))&amp;"",""))</f>
        <v/>
      </c>
      <c r="T3287" s="6" t="str">
        <f>IF($K3287="","",IF($S3287="",0,IF(ISNUMBER(SEARCH("apport-exterieur",IFERROR(INDEX('Paramètres'!$N:$N,MATCH($D3287,'Paramètres'!$M:$M,0))&amp;"",""))),0,IF(OR(IFERROR(INDEX('Paramètres'!$I:$I,MATCH($C3287,'Paramètres'!$D:$D,0))&amp;"","")="Les deux",IFERROR(INDEX('Paramètres'!$I:$I,MATCH($C3287,'Paramètres'!$D:$D,0))&amp;"","")=IF($P3287=1,"Débit",$L3287)),-IF($P3287=1,-$K3287,$K3287),0))))</f>
        <v/>
      </c>
      <c r="U3287" s="6" t="str">
        <f>IF($K3287="","",IF(ISNUMBER(SEARCH("sortie-epargne",IFERROR(INDEX('Paramètres'!$N:$N,MATCH($D3287,'Paramètres'!$M:$M,0))&amp;"",""))),$K3287,0))</f>
        <v/>
      </c>
      <c r="V3287" s="6" t="str">
        <f>IF(AND($A3287&lt;&gt;"",$O3287=1,$L3287="Débit",N($Q3287)&gt;0,$A3287&gt;=Visualisation!$B$1,$A3287&lt;Visualisation!$D$1),MAX($V$1:V3286)+1,"")</f>
        <v/>
      </c>
    </row>
    <row r="3288" spans="1:22" x14ac:dyDescent="0.25">
      <c r="A3288" s="9"/>
      <c r="E3288" s="10"/>
      <c r="K3288" s="11" t="str">
        <f>IF($E3288="","",ROUND($E3288*IF(ISNA(MATCH($C3288,'Paramètres'!$D:$D,0)),1,IF(INDEX('Paramètres'!$J:$J,MATCH($C3288,'Paramètres'!$D:$D,0))="",1,INDEX('Paramètres'!$J:$J,MATCH($C3288,'Paramètres'!$D:$D,0)))),2))</f>
        <v/>
      </c>
      <c r="L3288" s="6" t="str">
        <f>IF($D3288="","",IF($F3288&lt;&gt;"",$F3288,IF(ISNA(MATCH($D3288,'Paramètres'!$M:$M,0)),"⚠ Type inconnu",IFERROR(INDEX('Paramètres'!$P:$P,MATCH($D3288,'Paramètres'!$M:$M,0))&amp;"",""))))</f>
        <v/>
      </c>
      <c r="M3288" s="6" t="str">
        <f>IF($D3288="","",IF(ISNA(MATCH($D3288,'Paramètres'!$M:$M,0)),"⚠ Type inconnu",IF($L3288="Crédit","",IFERROR(INDEX('Paramètres'!$O:$O,MATCH($D3288,'Paramètres'!$M:$M,0))&amp;"",""))))</f>
        <v/>
      </c>
      <c r="N3288" s="6" t="str">
        <f>IF($D3288="","",IFERROR(INDEX('Paramètres'!$Q:$Q,MATCH($D3288,'Paramètres'!$M:$M,0))&amp;"",""))</f>
        <v/>
      </c>
      <c r="O3288" s="6" t="str">
        <f>IF($A3288="","",IF(OR($J3288&lt;&gt;"x",$A3288&lt;=FinReleve),1,0))</f>
        <v/>
      </c>
      <c r="P3288" s="6" t="str">
        <f>IF($D3288="","",IF(AND($L3288="Crédit",OR(IFERROR(INDEX('Paramètres'!$O:$O,MATCH($D3288,'Paramètres'!$M:$M,0))&amp;"","")&lt;&gt;"",ISNUMBER(SEARCH("remboursement",IFERROR(INDEX('Paramètres'!$N:$N,MATCH($D3288,'Paramètres'!$M:$M,0))&amp;"",""))))),1,0))</f>
        <v/>
      </c>
      <c r="Q3288" s="6" t="str">
        <f>IF($K3288="","",IF(ISNUMBER(SEARCH("transfert-interne",IFERROR(INDEX('Paramètres'!$N:$N,MATCH($D3288,'Paramètres'!$M:$M,0))&amp;"",""))),0,IF($L3288="Débit",$K3288,IF($P3288=1,-$K3288,0))))</f>
        <v/>
      </c>
      <c r="R3288" s="6" t="str">
        <f>IF($K3288="","",IF($L3288="Crédit",$K3288,-$K3288))</f>
        <v/>
      </c>
      <c r="S3288" s="6" t="str">
        <f>IF($C3288="","",IFERROR(INDEX('Paramètres'!$H:$H,MATCH($C3288,'Paramètres'!$D:$D,0))&amp;"",""))</f>
        <v/>
      </c>
      <c r="T3288" s="6" t="str">
        <f>IF($K3288="","",IF($S3288="",0,IF(ISNUMBER(SEARCH("apport-exterieur",IFERROR(INDEX('Paramètres'!$N:$N,MATCH($D3288,'Paramètres'!$M:$M,0))&amp;"",""))),0,IF(OR(IFERROR(INDEX('Paramètres'!$I:$I,MATCH($C3288,'Paramètres'!$D:$D,0))&amp;"","")="Les deux",IFERROR(INDEX('Paramètres'!$I:$I,MATCH($C3288,'Paramètres'!$D:$D,0))&amp;"","")=IF($P3288=1,"Débit",$L3288)),-IF($P3288=1,-$K3288,$K3288),0))))</f>
        <v/>
      </c>
      <c r="U3288" s="6" t="str">
        <f>IF($K3288="","",IF(ISNUMBER(SEARCH("sortie-epargne",IFERROR(INDEX('Paramètres'!$N:$N,MATCH($D3288,'Paramètres'!$M:$M,0))&amp;"",""))),$K3288,0))</f>
        <v/>
      </c>
      <c r="V3288" s="6" t="str">
        <f>IF(AND($A3288&lt;&gt;"",$O3288=1,$L3288="Débit",N($Q3288)&gt;0,$A3288&gt;=Visualisation!$B$1,$A3288&lt;Visualisation!$D$1),MAX($V$1:V3287)+1,"")</f>
        <v/>
      </c>
    </row>
    <row r="3289" spans="1:22" x14ac:dyDescent="0.25">
      <c r="A3289" s="9"/>
      <c r="E3289" s="10"/>
      <c r="K3289" s="11" t="str">
        <f>IF($E3289="","",ROUND($E3289*IF(ISNA(MATCH($C3289,'Paramètres'!$D:$D,0)),1,IF(INDEX('Paramètres'!$J:$J,MATCH($C3289,'Paramètres'!$D:$D,0))="",1,INDEX('Paramètres'!$J:$J,MATCH($C3289,'Paramètres'!$D:$D,0)))),2))</f>
        <v/>
      </c>
      <c r="L3289" s="6" t="str">
        <f>IF($D3289="","",IF($F3289&lt;&gt;"",$F3289,IF(ISNA(MATCH($D3289,'Paramètres'!$M:$M,0)),"⚠ Type inconnu",IFERROR(INDEX('Paramètres'!$P:$P,MATCH($D3289,'Paramètres'!$M:$M,0))&amp;"",""))))</f>
        <v/>
      </c>
      <c r="M3289" s="6" t="str">
        <f>IF($D3289="","",IF(ISNA(MATCH($D3289,'Paramètres'!$M:$M,0)),"⚠ Type inconnu",IF($L3289="Crédit","",IFERROR(INDEX('Paramètres'!$O:$O,MATCH($D3289,'Paramètres'!$M:$M,0))&amp;"",""))))</f>
        <v/>
      </c>
      <c r="N3289" s="6" t="str">
        <f>IF($D3289="","",IFERROR(INDEX('Paramètres'!$Q:$Q,MATCH($D3289,'Paramètres'!$M:$M,0))&amp;"",""))</f>
        <v/>
      </c>
      <c r="O3289" s="6" t="str">
        <f>IF($A3289="","",IF(OR($J3289&lt;&gt;"x",$A3289&lt;=FinReleve),1,0))</f>
        <v/>
      </c>
      <c r="P3289" s="6" t="str">
        <f>IF($D3289="","",IF(AND($L3289="Crédit",OR(IFERROR(INDEX('Paramètres'!$O:$O,MATCH($D3289,'Paramètres'!$M:$M,0))&amp;"","")&lt;&gt;"",ISNUMBER(SEARCH("remboursement",IFERROR(INDEX('Paramètres'!$N:$N,MATCH($D3289,'Paramètres'!$M:$M,0))&amp;"",""))))),1,0))</f>
        <v/>
      </c>
      <c r="Q3289" s="6" t="str">
        <f>IF($K3289="","",IF(ISNUMBER(SEARCH("transfert-interne",IFERROR(INDEX('Paramètres'!$N:$N,MATCH($D3289,'Paramètres'!$M:$M,0))&amp;"",""))),0,IF($L3289="Débit",$K3289,IF($P3289=1,-$K3289,0))))</f>
        <v/>
      </c>
      <c r="R3289" s="6" t="str">
        <f>IF($K3289="","",IF($L3289="Crédit",$K3289,-$K3289))</f>
        <v/>
      </c>
      <c r="S3289" s="6" t="str">
        <f>IF($C3289="","",IFERROR(INDEX('Paramètres'!$H:$H,MATCH($C3289,'Paramètres'!$D:$D,0))&amp;"",""))</f>
        <v/>
      </c>
      <c r="T3289" s="6" t="str">
        <f>IF($K3289="","",IF($S3289="",0,IF(ISNUMBER(SEARCH("apport-exterieur",IFERROR(INDEX('Paramètres'!$N:$N,MATCH($D3289,'Paramètres'!$M:$M,0))&amp;"",""))),0,IF(OR(IFERROR(INDEX('Paramètres'!$I:$I,MATCH($C3289,'Paramètres'!$D:$D,0))&amp;"","")="Les deux",IFERROR(INDEX('Paramètres'!$I:$I,MATCH($C3289,'Paramètres'!$D:$D,0))&amp;"","")=IF($P3289=1,"Débit",$L3289)),-IF($P3289=1,-$K3289,$K3289),0))))</f>
        <v/>
      </c>
      <c r="U3289" s="6" t="str">
        <f>IF($K3289="","",IF(ISNUMBER(SEARCH("sortie-epargne",IFERROR(INDEX('Paramètres'!$N:$N,MATCH($D3289,'Paramètres'!$M:$M,0))&amp;"",""))),$K3289,0))</f>
        <v/>
      </c>
      <c r="V3289" s="6" t="str">
        <f>IF(AND($A3289&lt;&gt;"",$O3289=1,$L3289="Débit",N($Q3289)&gt;0,$A3289&gt;=Visualisation!$B$1,$A3289&lt;Visualisation!$D$1),MAX($V$1:V3288)+1,"")</f>
        <v/>
      </c>
    </row>
    <row r="3290" spans="1:22" x14ac:dyDescent="0.25">
      <c r="A3290" s="9"/>
      <c r="E3290" s="10"/>
      <c r="K3290" s="11" t="str">
        <f>IF($E3290="","",ROUND($E3290*IF(ISNA(MATCH($C3290,'Paramètres'!$D:$D,0)),1,IF(INDEX('Paramètres'!$J:$J,MATCH($C3290,'Paramètres'!$D:$D,0))="",1,INDEX('Paramètres'!$J:$J,MATCH($C3290,'Paramètres'!$D:$D,0)))),2))</f>
        <v/>
      </c>
      <c r="L3290" s="6" t="str">
        <f>IF($D3290="","",IF($F3290&lt;&gt;"",$F3290,IF(ISNA(MATCH($D3290,'Paramètres'!$M:$M,0)),"⚠ Type inconnu",IFERROR(INDEX('Paramètres'!$P:$P,MATCH($D3290,'Paramètres'!$M:$M,0))&amp;"",""))))</f>
        <v/>
      </c>
      <c r="M3290" s="6" t="str">
        <f>IF($D3290="","",IF(ISNA(MATCH($D3290,'Paramètres'!$M:$M,0)),"⚠ Type inconnu",IF($L3290="Crédit","",IFERROR(INDEX('Paramètres'!$O:$O,MATCH($D3290,'Paramètres'!$M:$M,0))&amp;"",""))))</f>
        <v/>
      </c>
      <c r="N3290" s="6" t="str">
        <f>IF($D3290="","",IFERROR(INDEX('Paramètres'!$Q:$Q,MATCH($D3290,'Paramètres'!$M:$M,0))&amp;"",""))</f>
        <v/>
      </c>
      <c r="O3290" s="6" t="str">
        <f>IF($A3290="","",IF(OR($J3290&lt;&gt;"x",$A3290&lt;=FinReleve),1,0))</f>
        <v/>
      </c>
      <c r="P3290" s="6" t="str">
        <f>IF($D3290="","",IF(AND($L3290="Crédit",OR(IFERROR(INDEX('Paramètres'!$O:$O,MATCH($D3290,'Paramètres'!$M:$M,0))&amp;"","")&lt;&gt;"",ISNUMBER(SEARCH("remboursement",IFERROR(INDEX('Paramètres'!$N:$N,MATCH($D3290,'Paramètres'!$M:$M,0))&amp;"",""))))),1,0))</f>
        <v/>
      </c>
      <c r="Q3290" s="6" t="str">
        <f>IF($K3290="","",IF(ISNUMBER(SEARCH("transfert-interne",IFERROR(INDEX('Paramètres'!$N:$N,MATCH($D3290,'Paramètres'!$M:$M,0))&amp;"",""))),0,IF($L3290="Débit",$K3290,IF($P3290=1,-$K3290,0))))</f>
        <v/>
      </c>
      <c r="R3290" s="6" t="str">
        <f>IF($K3290="","",IF($L3290="Crédit",$K3290,-$K3290))</f>
        <v/>
      </c>
      <c r="S3290" s="6" t="str">
        <f>IF($C3290="","",IFERROR(INDEX('Paramètres'!$H:$H,MATCH($C3290,'Paramètres'!$D:$D,0))&amp;"",""))</f>
        <v/>
      </c>
      <c r="T3290" s="6" t="str">
        <f>IF($K3290="","",IF($S3290="",0,IF(ISNUMBER(SEARCH("apport-exterieur",IFERROR(INDEX('Paramètres'!$N:$N,MATCH($D3290,'Paramètres'!$M:$M,0))&amp;"",""))),0,IF(OR(IFERROR(INDEX('Paramètres'!$I:$I,MATCH($C3290,'Paramètres'!$D:$D,0))&amp;"","")="Les deux",IFERROR(INDEX('Paramètres'!$I:$I,MATCH($C3290,'Paramètres'!$D:$D,0))&amp;"","")=IF($P3290=1,"Débit",$L3290)),-IF($P3290=1,-$K3290,$K3290),0))))</f>
        <v/>
      </c>
      <c r="U3290" s="6" t="str">
        <f>IF($K3290="","",IF(ISNUMBER(SEARCH("sortie-epargne",IFERROR(INDEX('Paramètres'!$N:$N,MATCH($D3290,'Paramètres'!$M:$M,0))&amp;"",""))),$K3290,0))</f>
        <v/>
      </c>
      <c r="V3290" s="6" t="str">
        <f>IF(AND($A3290&lt;&gt;"",$O3290=1,$L3290="Débit",N($Q3290)&gt;0,$A3290&gt;=Visualisation!$B$1,$A3290&lt;Visualisation!$D$1),MAX($V$1:V3289)+1,"")</f>
        <v/>
      </c>
    </row>
    <row r="3291" spans="1:22" x14ac:dyDescent="0.25">
      <c r="A3291" s="9"/>
      <c r="E3291" s="10"/>
      <c r="K3291" s="11" t="str">
        <f>IF($E3291="","",ROUND($E3291*IF(ISNA(MATCH($C3291,'Paramètres'!$D:$D,0)),1,IF(INDEX('Paramètres'!$J:$J,MATCH($C3291,'Paramètres'!$D:$D,0))="",1,INDEX('Paramètres'!$J:$J,MATCH($C3291,'Paramètres'!$D:$D,0)))),2))</f>
        <v/>
      </c>
      <c r="L3291" s="6" t="str">
        <f>IF($D3291="","",IF($F3291&lt;&gt;"",$F3291,IF(ISNA(MATCH($D3291,'Paramètres'!$M:$M,0)),"⚠ Type inconnu",IFERROR(INDEX('Paramètres'!$P:$P,MATCH($D3291,'Paramètres'!$M:$M,0))&amp;"",""))))</f>
        <v/>
      </c>
      <c r="M3291" s="6" t="str">
        <f>IF($D3291="","",IF(ISNA(MATCH($D3291,'Paramètres'!$M:$M,0)),"⚠ Type inconnu",IF($L3291="Crédit","",IFERROR(INDEX('Paramètres'!$O:$O,MATCH($D3291,'Paramètres'!$M:$M,0))&amp;"",""))))</f>
        <v/>
      </c>
      <c r="N3291" s="6" t="str">
        <f>IF($D3291="","",IFERROR(INDEX('Paramètres'!$Q:$Q,MATCH($D3291,'Paramètres'!$M:$M,0))&amp;"",""))</f>
        <v/>
      </c>
      <c r="O3291" s="6" t="str">
        <f>IF($A3291="","",IF(OR($J3291&lt;&gt;"x",$A3291&lt;=FinReleve),1,0))</f>
        <v/>
      </c>
      <c r="P3291" s="6" t="str">
        <f>IF($D3291="","",IF(AND($L3291="Crédit",OR(IFERROR(INDEX('Paramètres'!$O:$O,MATCH($D3291,'Paramètres'!$M:$M,0))&amp;"","")&lt;&gt;"",ISNUMBER(SEARCH("remboursement",IFERROR(INDEX('Paramètres'!$N:$N,MATCH($D3291,'Paramètres'!$M:$M,0))&amp;"",""))))),1,0))</f>
        <v/>
      </c>
      <c r="Q3291" s="6" t="str">
        <f>IF($K3291="","",IF(ISNUMBER(SEARCH("transfert-interne",IFERROR(INDEX('Paramètres'!$N:$N,MATCH($D3291,'Paramètres'!$M:$M,0))&amp;"",""))),0,IF($L3291="Débit",$K3291,IF($P3291=1,-$K3291,0))))</f>
        <v/>
      </c>
      <c r="R3291" s="6" t="str">
        <f>IF($K3291="","",IF($L3291="Crédit",$K3291,-$K3291))</f>
        <v/>
      </c>
      <c r="S3291" s="6" t="str">
        <f>IF($C3291="","",IFERROR(INDEX('Paramètres'!$H:$H,MATCH($C3291,'Paramètres'!$D:$D,0))&amp;"",""))</f>
        <v/>
      </c>
      <c r="T3291" s="6" t="str">
        <f>IF($K3291="","",IF($S3291="",0,IF(ISNUMBER(SEARCH("apport-exterieur",IFERROR(INDEX('Paramètres'!$N:$N,MATCH($D3291,'Paramètres'!$M:$M,0))&amp;"",""))),0,IF(OR(IFERROR(INDEX('Paramètres'!$I:$I,MATCH($C3291,'Paramètres'!$D:$D,0))&amp;"","")="Les deux",IFERROR(INDEX('Paramètres'!$I:$I,MATCH($C3291,'Paramètres'!$D:$D,0))&amp;"","")=IF($P3291=1,"Débit",$L3291)),-IF($P3291=1,-$K3291,$K3291),0))))</f>
        <v/>
      </c>
      <c r="U3291" s="6" t="str">
        <f>IF($K3291="","",IF(ISNUMBER(SEARCH("sortie-epargne",IFERROR(INDEX('Paramètres'!$N:$N,MATCH($D3291,'Paramètres'!$M:$M,0))&amp;"",""))),$K3291,0))</f>
        <v/>
      </c>
      <c r="V3291" s="6" t="str">
        <f>IF(AND($A3291&lt;&gt;"",$O3291=1,$L3291="Débit",N($Q3291)&gt;0,$A3291&gt;=Visualisation!$B$1,$A3291&lt;Visualisation!$D$1),MAX($V$1:V3290)+1,"")</f>
        <v/>
      </c>
    </row>
    <row r="3292" spans="1:22" x14ac:dyDescent="0.25">
      <c r="A3292" s="9"/>
      <c r="E3292" s="10"/>
      <c r="K3292" s="11" t="str">
        <f>IF($E3292="","",ROUND($E3292*IF(ISNA(MATCH($C3292,'Paramètres'!$D:$D,0)),1,IF(INDEX('Paramètres'!$J:$J,MATCH($C3292,'Paramètres'!$D:$D,0))="",1,INDEX('Paramètres'!$J:$J,MATCH($C3292,'Paramètres'!$D:$D,0)))),2))</f>
        <v/>
      </c>
      <c r="L3292" s="6" t="str">
        <f>IF($D3292="","",IF($F3292&lt;&gt;"",$F3292,IF(ISNA(MATCH($D3292,'Paramètres'!$M:$M,0)),"⚠ Type inconnu",IFERROR(INDEX('Paramètres'!$P:$P,MATCH($D3292,'Paramètres'!$M:$M,0))&amp;"",""))))</f>
        <v/>
      </c>
      <c r="M3292" s="6" t="str">
        <f>IF($D3292="","",IF(ISNA(MATCH($D3292,'Paramètres'!$M:$M,0)),"⚠ Type inconnu",IF($L3292="Crédit","",IFERROR(INDEX('Paramètres'!$O:$O,MATCH($D3292,'Paramètres'!$M:$M,0))&amp;"",""))))</f>
        <v/>
      </c>
      <c r="N3292" s="6" t="str">
        <f>IF($D3292="","",IFERROR(INDEX('Paramètres'!$Q:$Q,MATCH($D3292,'Paramètres'!$M:$M,0))&amp;"",""))</f>
        <v/>
      </c>
      <c r="O3292" s="6" t="str">
        <f>IF($A3292="","",IF(OR($J3292&lt;&gt;"x",$A3292&lt;=FinReleve),1,0))</f>
        <v/>
      </c>
      <c r="P3292" s="6" t="str">
        <f>IF($D3292="","",IF(AND($L3292="Crédit",OR(IFERROR(INDEX('Paramètres'!$O:$O,MATCH($D3292,'Paramètres'!$M:$M,0))&amp;"","")&lt;&gt;"",ISNUMBER(SEARCH("remboursement",IFERROR(INDEX('Paramètres'!$N:$N,MATCH($D3292,'Paramètres'!$M:$M,0))&amp;"",""))))),1,0))</f>
        <v/>
      </c>
      <c r="Q3292" s="6" t="str">
        <f>IF($K3292="","",IF(ISNUMBER(SEARCH("transfert-interne",IFERROR(INDEX('Paramètres'!$N:$N,MATCH($D3292,'Paramètres'!$M:$M,0))&amp;"",""))),0,IF($L3292="Débit",$K3292,IF($P3292=1,-$K3292,0))))</f>
        <v/>
      </c>
      <c r="R3292" s="6" t="str">
        <f>IF($K3292="","",IF($L3292="Crédit",$K3292,-$K3292))</f>
        <v/>
      </c>
      <c r="S3292" s="6" t="str">
        <f>IF($C3292="","",IFERROR(INDEX('Paramètres'!$H:$H,MATCH($C3292,'Paramètres'!$D:$D,0))&amp;"",""))</f>
        <v/>
      </c>
      <c r="T3292" s="6" t="str">
        <f>IF($K3292="","",IF($S3292="",0,IF(ISNUMBER(SEARCH("apport-exterieur",IFERROR(INDEX('Paramètres'!$N:$N,MATCH($D3292,'Paramètres'!$M:$M,0))&amp;"",""))),0,IF(OR(IFERROR(INDEX('Paramètres'!$I:$I,MATCH($C3292,'Paramètres'!$D:$D,0))&amp;"","")="Les deux",IFERROR(INDEX('Paramètres'!$I:$I,MATCH($C3292,'Paramètres'!$D:$D,0))&amp;"","")=IF($P3292=1,"Débit",$L3292)),-IF($P3292=1,-$K3292,$K3292),0))))</f>
        <v/>
      </c>
      <c r="U3292" s="6" t="str">
        <f>IF($K3292="","",IF(ISNUMBER(SEARCH("sortie-epargne",IFERROR(INDEX('Paramètres'!$N:$N,MATCH($D3292,'Paramètres'!$M:$M,0))&amp;"",""))),$K3292,0))</f>
        <v/>
      </c>
      <c r="V3292" s="6" t="str">
        <f>IF(AND($A3292&lt;&gt;"",$O3292=1,$L3292="Débit",N($Q3292)&gt;0,$A3292&gt;=Visualisation!$B$1,$A3292&lt;Visualisation!$D$1),MAX($V$1:V3291)+1,"")</f>
        <v/>
      </c>
    </row>
    <row r="3293" spans="1:22" x14ac:dyDescent="0.25">
      <c r="A3293" s="9"/>
      <c r="E3293" s="10"/>
      <c r="K3293" s="11" t="str">
        <f>IF($E3293="","",ROUND($E3293*IF(ISNA(MATCH($C3293,'Paramètres'!$D:$D,0)),1,IF(INDEX('Paramètres'!$J:$J,MATCH($C3293,'Paramètres'!$D:$D,0))="",1,INDEX('Paramètres'!$J:$J,MATCH($C3293,'Paramètres'!$D:$D,0)))),2))</f>
        <v/>
      </c>
      <c r="L3293" s="6" t="str">
        <f>IF($D3293="","",IF($F3293&lt;&gt;"",$F3293,IF(ISNA(MATCH($D3293,'Paramètres'!$M:$M,0)),"⚠ Type inconnu",IFERROR(INDEX('Paramètres'!$P:$P,MATCH($D3293,'Paramètres'!$M:$M,0))&amp;"",""))))</f>
        <v/>
      </c>
      <c r="M3293" s="6" t="str">
        <f>IF($D3293="","",IF(ISNA(MATCH($D3293,'Paramètres'!$M:$M,0)),"⚠ Type inconnu",IF($L3293="Crédit","",IFERROR(INDEX('Paramètres'!$O:$O,MATCH($D3293,'Paramètres'!$M:$M,0))&amp;"",""))))</f>
        <v/>
      </c>
      <c r="N3293" s="6" t="str">
        <f>IF($D3293="","",IFERROR(INDEX('Paramètres'!$Q:$Q,MATCH($D3293,'Paramètres'!$M:$M,0))&amp;"",""))</f>
        <v/>
      </c>
      <c r="O3293" s="6" t="str">
        <f>IF($A3293="","",IF(OR($J3293&lt;&gt;"x",$A3293&lt;=FinReleve),1,0))</f>
        <v/>
      </c>
      <c r="P3293" s="6" t="str">
        <f>IF($D3293="","",IF(AND($L3293="Crédit",OR(IFERROR(INDEX('Paramètres'!$O:$O,MATCH($D3293,'Paramètres'!$M:$M,0))&amp;"","")&lt;&gt;"",ISNUMBER(SEARCH("remboursement",IFERROR(INDEX('Paramètres'!$N:$N,MATCH($D3293,'Paramètres'!$M:$M,0))&amp;"",""))))),1,0))</f>
        <v/>
      </c>
      <c r="Q3293" s="6" t="str">
        <f>IF($K3293="","",IF(ISNUMBER(SEARCH("transfert-interne",IFERROR(INDEX('Paramètres'!$N:$N,MATCH($D3293,'Paramètres'!$M:$M,0))&amp;"",""))),0,IF($L3293="Débit",$K3293,IF($P3293=1,-$K3293,0))))</f>
        <v/>
      </c>
      <c r="R3293" s="6" t="str">
        <f>IF($K3293="","",IF($L3293="Crédit",$K3293,-$K3293))</f>
        <v/>
      </c>
      <c r="S3293" s="6" t="str">
        <f>IF($C3293="","",IFERROR(INDEX('Paramètres'!$H:$H,MATCH($C3293,'Paramètres'!$D:$D,0))&amp;"",""))</f>
        <v/>
      </c>
      <c r="T3293" s="6" t="str">
        <f>IF($K3293="","",IF($S3293="",0,IF(ISNUMBER(SEARCH("apport-exterieur",IFERROR(INDEX('Paramètres'!$N:$N,MATCH($D3293,'Paramètres'!$M:$M,0))&amp;"",""))),0,IF(OR(IFERROR(INDEX('Paramètres'!$I:$I,MATCH($C3293,'Paramètres'!$D:$D,0))&amp;"","")="Les deux",IFERROR(INDEX('Paramètres'!$I:$I,MATCH($C3293,'Paramètres'!$D:$D,0))&amp;"","")=IF($P3293=1,"Débit",$L3293)),-IF($P3293=1,-$K3293,$K3293),0))))</f>
        <v/>
      </c>
      <c r="U3293" s="6" t="str">
        <f>IF($K3293="","",IF(ISNUMBER(SEARCH("sortie-epargne",IFERROR(INDEX('Paramètres'!$N:$N,MATCH($D3293,'Paramètres'!$M:$M,0))&amp;"",""))),$K3293,0))</f>
        <v/>
      </c>
      <c r="V3293" s="6" t="str">
        <f>IF(AND($A3293&lt;&gt;"",$O3293=1,$L3293="Débit",N($Q3293)&gt;0,$A3293&gt;=Visualisation!$B$1,$A3293&lt;Visualisation!$D$1),MAX($V$1:V3292)+1,"")</f>
        <v/>
      </c>
    </row>
    <row r="3294" spans="1:22" x14ac:dyDescent="0.25">
      <c r="A3294" s="9"/>
      <c r="E3294" s="10"/>
      <c r="K3294" s="11" t="str">
        <f>IF($E3294="","",ROUND($E3294*IF(ISNA(MATCH($C3294,'Paramètres'!$D:$D,0)),1,IF(INDEX('Paramètres'!$J:$J,MATCH($C3294,'Paramètres'!$D:$D,0))="",1,INDEX('Paramètres'!$J:$J,MATCH($C3294,'Paramètres'!$D:$D,0)))),2))</f>
        <v/>
      </c>
      <c r="L3294" s="6" t="str">
        <f>IF($D3294="","",IF($F3294&lt;&gt;"",$F3294,IF(ISNA(MATCH($D3294,'Paramètres'!$M:$M,0)),"⚠ Type inconnu",IFERROR(INDEX('Paramètres'!$P:$P,MATCH($D3294,'Paramètres'!$M:$M,0))&amp;"",""))))</f>
        <v/>
      </c>
      <c r="M3294" s="6" t="str">
        <f>IF($D3294="","",IF(ISNA(MATCH($D3294,'Paramètres'!$M:$M,0)),"⚠ Type inconnu",IF($L3294="Crédit","",IFERROR(INDEX('Paramètres'!$O:$O,MATCH($D3294,'Paramètres'!$M:$M,0))&amp;"",""))))</f>
        <v/>
      </c>
      <c r="N3294" s="6" t="str">
        <f>IF($D3294="","",IFERROR(INDEX('Paramètres'!$Q:$Q,MATCH($D3294,'Paramètres'!$M:$M,0))&amp;"",""))</f>
        <v/>
      </c>
      <c r="O3294" s="6" t="str">
        <f>IF($A3294="","",IF(OR($J3294&lt;&gt;"x",$A3294&lt;=FinReleve),1,0))</f>
        <v/>
      </c>
      <c r="P3294" s="6" t="str">
        <f>IF($D3294="","",IF(AND($L3294="Crédit",OR(IFERROR(INDEX('Paramètres'!$O:$O,MATCH($D3294,'Paramètres'!$M:$M,0))&amp;"","")&lt;&gt;"",ISNUMBER(SEARCH("remboursement",IFERROR(INDEX('Paramètres'!$N:$N,MATCH($D3294,'Paramètres'!$M:$M,0))&amp;"",""))))),1,0))</f>
        <v/>
      </c>
      <c r="Q3294" s="6" t="str">
        <f>IF($K3294="","",IF(ISNUMBER(SEARCH("transfert-interne",IFERROR(INDEX('Paramètres'!$N:$N,MATCH($D3294,'Paramètres'!$M:$M,0))&amp;"",""))),0,IF($L3294="Débit",$K3294,IF($P3294=1,-$K3294,0))))</f>
        <v/>
      </c>
      <c r="R3294" s="6" t="str">
        <f>IF($K3294="","",IF($L3294="Crédit",$K3294,-$K3294))</f>
        <v/>
      </c>
      <c r="S3294" s="6" t="str">
        <f>IF($C3294="","",IFERROR(INDEX('Paramètres'!$H:$H,MATCH($C3294,'Paramètres'!$D:$D,0))&amp;"",""))</f>
        <v/>
      </c>
      <c r="T3294" s="6" t="str">
        <f>IF($K3294="","",IF($S3294="",0,IF(ISNUMBER(SEARCH("apport-exterieur",IFERROR(INDEX('Paramètres'!$N:$N,MATCH($D3294,'Paramètres'!$M:$M,0))&amp;"",""))),0,IF(OR(IFERROR(INDEX('Paramètres'!$I:$I,MATCH($C3294,'Paramètres'!$D:$D,0))&amp;"","")="Les deux",IFERROR(INDEX('Paramètres'!$I:$I,MATCH($C3294,'Paramètres'!$D:$D,0))&amp;"","")=IF($P3294=1,"Débit",$L3294)),-IF($P3294=1,-$K3294,$K3294),0))))</f>
        <v/>
      </c>
      <c r="U3294" s="6" t="str">
        <f>IF($K3294="","",IF(ISNUMBER(SEARCH("sortie-epargne",IFERROR(INDEX('Paramètres'!$N:$N,MATCH($D3294,'Paramètres'!$M:$M,0))&amp;"",""))),$K3294,0))</f>
        <v/>
      </c>
      <c r="V3294" s="6" t="str">
        <f>IF(AND($A3294&lt;&gt;"",$O3294=1,$L3294="Débit",N($Q3294)&gt;0,$A3294&gt;=Visualisation!$B$1,$A3294&lt;Visualisation!$D$1),MAX($V$1:V3293)+1,"")</f>
        <v/>
      </c>
    </row>
    <row r="3295" spans="1:22" x14ac:dyDescent="0.25">
      <c r="A3295" s="9"/>
      <c r="E3295" s="10"/>
      <c r="K3295" s="11" t="str">
        <f>IF($E3295="","",ROUND($E3295*IF(ISNA(MATCH($C3295,'Paramètres'!$D:$D,0)),1,IF(INDEX('Paramètres'!$J:$J,MATCH($C3295,'Paramètres'!$D:$D,0))="",1,INDEX('Paramètres'!$J:$J,MATCH($C3295,'Paramètres'!$D:$D,0)))),2))</f>
        <v/>
      </c>
      <c r="L3295" s="6" t="str">
        <f>IF($D3295="","",IF($F3295&lt;&gt;"",$F3295,IF(ISNA(MATCH($D3295,'Paramètres'!$M:$M,0)),"⚠ Type inconnu",IFERROR(INDEX('Paramètres'!$P:$P,MATCH($D3295,'Paramètres'!$M:$M,0))&amp;"",""))))</f>
        <v/>
      </c>
      <c r="M3295" s="6" t="str">
        <f>IF($D3295="","",IF(ISNA(MATCH($D3295,'Paramètres'!$M:$M,0)),"⚠ Type inconnu",IF($L3295="Crédit","",IFERROR(INDEX('Paramètres'!$O:$O,MATCH($D3295,'Paramètres'!$M:$M,0))&amp;"",""))))</f>
        <v/>
      </c>
      <c r="N3295" s="6" t="str">
        <f>IF($D3295="","",IFERROR(INDEX('Paramètres'!$Q:$Q,MATCH($D3295,'Paramètres'!$M:$M,0))&amp;"",""))</f>
        <v/>
      </c>
      <c r="O3295" s="6" t="str">
        <f>IF($A3295="","",IF(OR($J3295&lt;&gt;"x",$A3295&lt;=FinReleve),1,0))</f>
        <v/>
      </c>
      <c r="P3295" s="6" t="str">
        <f>IF($D3295="","",IF(AND($L3295="Crédit",OR(IFERROR(INDEX('Paramètres'!$O:$O,MATCH($D3295,'Paramètres'!$M:$M,0))&amp;"","")&lt;&gt;"",ISNUMBER(SEARCH("remboursement",IFERROR(INDEX('Paramètres'!$N:$N,MATCH($D3295,'Paramètres'!$M:$M,0))&amp;"",""))))),1,0))</f>
        <v/>
      </c>
      <c r="Q3295" s="6" t="str">
        <f>IF($K3295="","",IF(ISNUMBER(SEARCH("transfert-interne",IFERROR(INDEX('Paramètres'!$N:$N,MATCH($D3295,'Paramètres'!$M:$M,0))&amp;"",""))),0,IF($L3295="Débit",$K3295,IF($P3295=1,-$K3295,0))))</f>
        <v/>
      </c>
      <c r="R3295" s="6" t="str">
        <f>IF($K3295="","",IF($L3295="Crédit",$K3295,-$K3295))</f>
        <v/>
      </c>
      <c r="S3295" s="6" t="str">
        <f>IF($C3295="","",IFERROR(INDEX('Paramètres'!$H:$H,MATCH($C3295,'Paramètres'!$D:$D,0))&amp;"",""))</f>
        <v/>
      </c>
      <c r="T3295" s="6" t="str">
        <f>IF($K3295="","",IF($S3295="",0,IF(ISNUMBER(SEARCH("apport-exterieur",IFERROR(INDEX('Paramètres'!$N:$N,MATCH($D3295,'Paramètres'!$M:$M,0))&amp;"",""))),0,IF(OR(IFERROR(INDEX('Paramètres'!$I:$I,MATCH($C3295,'Paramètres'!$D:$D,0))&amp;"","")="Les deux",IFERROR(INDEX('Paramètres'!$I:$I,MATCH($C3295,'Paramètres'!$D:$D,0))&amp;"","")=IF($P3295=1,"Débit",$L3295)),-IF($P3295=1,-$K3295,$K3295),0))))</f>
        <v/>
      </c>
      <c r="U3295" s="6" t="str">
        <f>IF($K3295="","",IF(ISNUMBER(SEARCH("sortie-epargne",IFERROR(INDEX('Paramètres'!$N:$N,MATCH($D3295,'Paramètres'!$M:$M,0))&amp;"",""))),$K3295,0))</f>
        <v/>
      </c>
      <c r="V3295" s="6" t="str">
        <f>IF(AND($A3295&lt;&gt;"",$O3295=1,$L3295="Débit",N($Q3295)&gt;0,$A3295&gt;=Visualisation!$B$1,$A3295&lt;Visualisation!$D$1),MAX($V$1:V3294)+1,"")</f>
        <v/>
      </c>
    </row>
    <row r="3296" spans="1:22" x14ac:dyDescent="0.25">
      <c r="A3296" s="9"/>
      <c r="E3296" s="10"/>
      <c r="K3296" s="11" t="str">
        <f>IF($E3296="","",ROUND($E3296*IF(ISNA(MATCH($C3296,'Paramètres'!$D:$D,0)),1,IF(INDEX('Paramètres'!$J:$J,MATCH($C3296,'Paramètres'!$D:$D,0))="",1,INDEX('Paramètres'!$J:$J,MATCH($C3296,'Paramètres'!$D:$D,0)))),2))</f>
        <v/>
      </c>
      <c r="L3296" s="6" t="str">
        <f>IF($D3296="","",IF($F3296&lt;&gt;"",$F3296,IF(ISNA(MATCH($D3296,'Paramètres'!$M:$M,0)),"⚠ Type inconnu",IFERROR(INDEX('Paramètres'!$P:$P,MATCH($D3296,'Paramètres'!$M:$M,0))&amp;"",""))))</f>
        <v/>
      </c>
      <c r="M3296" s="6" t="str">
        <f>IF($D3296="","",IF(ISNA(MATCH($D3296,'Paramètres'!$M:$M,0)),"⚠ Type inconnu",IF($L3296="Crédit","",IFERROR(INDEX('Paramètres'!$O:$O,MATCH($D3296,'Paramètres'!$M:$M,0))&amp;"",""))))</f>
        <v/>
      </c>
      <c r="N3296" s="6" t="str">
        <f>IF($D3296="","",IFERROR(INDEX('Paramètres'!$Q:$Q,MATCH($D3296,'Paramètres'!$M:$M,0))&amp;"",""))</f>
        <v/>
      </c>
      <c r="O3296" s="6" t="str">
        <f>IF($A3296="","",IF(OR($J3296&lt;&gt;"x",$A3296&lt;=FinReleve),1,0))</f>
        <v/>
      </c>
      <c r="P3296" s="6" t="str">
        <f>IF($D3296="","",IF(AND($L3296="Crédit",OR(IFERROR(INDEX('Paramètres'!$O:$O,MATCH($D3296,'Paramètres'!$M:$M,0))&amp;"","")&lt;&gt;"",ISNUMBER(SEARCH("remboursement",IFERROR(INDEX('Paramètres'!$N:$N,MATCH($D3296,'Paramètres'!$M:$M,0))&amp;"",""))))),1,0))</f>
        <v/>
      </c>
      <c r="Q3296" s="6" t="str">
        <f>IF($K3296="","",IF(ISNUMBER(SEARCH("transfert-interne",IFERROR(INDEX('Paramètres'!$N:$N,MATCH($D3296,'Paramètres'!$M:$M,0))&amp;"",""))),0,IF($L3296="Débit",$K3296,IF($P3296=1,-$K3296,0))))</f>
        <v/>
      </c>
      <c r="R3296" s="6" t="str">
        <f>IF($K3296="","",IF($L3296="Crédit",$K3296,-$K3296))</f>
        <v/>
      </c>
      <c r="S3296" s="6" t="str">
        <f>IF($C3296="","",IFERROR(INDEX('Paramètres'!$H:$H,MATCH($C3296,'Paramètres'!$D:$D,0))&amp;"",""))</f>
        <v/>
      </c>
      <c r="T3296" s="6" t="str">
        <f>IF($K3296="","",IF($S3296="",0,IF(ISNUMBER(SEARCH("apport-exterieur",IFERROR(INDEX('Paramètres'!$N:$N,MATCH($D3296,'Paramètres'!$M:$M,0))&amp;"",""))),0,IF(OR(IFERROR(INDEX('Paramètres'!$I:$I,MATCH($C3296,'Paramètres'!$D:$D,0))&amp;"","")="Les deux",IFERROR(INDEX('Paramètres'!$I:$I,MATCH($C3296,'Paramètres'!$D:$D,0))&amp;"","")=IF($P3296=1,"Débit",$L3296)),-IF($P3296=1,-$K3296,$K3296),0))))</f>
        <v/>
      </c>
      <c r="U3296" s="6" t="str">
        <f>IF($K3296="","",IF(ISNUMBER(SEARCH("sortie-epargne",IFERROR(INDEX('Paramètres'!$N:$N,MATCH($D3296,'Paramètres'!$M:$M,0))&amp;"",""))),$K3296,0))</f>
        <v/>
      </c>
      <c r="V3296" s="6" t="str">
        <f>IF(AND($A3296&lt;&gt;"",$O3296=1,$L3296="Débit",N($Q3296)&gt;0,$A3296&gt;=Visualisation!$B$1,$A3296&lt;Visualisation!$D$1),MAX($V$1:V3295)+1,"")</f>
        <v/>
      </c>
    </row>
    <row r="3297" spans="1:22" x14ac:dyDescent="0.25">
      <c r="A3297" s="9"/>
      <c r="E3297" s="10"/>
      <c r="K3297" s="11" t="str">
        <f>IF($E3297="","",ROUND($E3297*IF(ISNA(MATCH($C3297,'Paramètres'!$D:$D,0)),1,IF(INDEX('Paramètres'!$J:$J,MATCH($C3297,'Paramètres'!$D:$D,0))="",1,INDEX('Paramètres'!$J:$J,MATCH($C3297,'Paramètres'!$D:$D,0)))),2))</f>
        <v/>
      </c>
      <c r="L3297" s="6" t="str">
        <f>IF($D3297="","",IF($F3297&lt;&gt;"",$F3297,IF(ISNA(MATCH($D3297,'Paramètres'!$M:$M,0)),"⚠ Type inconnu",IFERROR(INDEX('Paramètres'!$P:$P,MATCH($D3297,'Paramètres'!$M:$M,0))&amp;"",""))))</f>
        <v/>
      </c>
      <c r="M3297" s="6" t="str">
        <f>IF($D3297="","",IF(ISNA(MATCH($D3297,'Paramètres'!$M:$M,0)),"⚠ Type inconnu",IF($L3297="Crédit","",IFERROR(INDEX('Paramètres'!$O:$O,MATCH($D3297,'Paramètres'!$M:$M,0))&amp;"",""))))</f>
        <v/>
      </c>
      <c r="N3297" s="6" t="str">
        <f>IF($D3297="","",IFERROR(INDEX('Paramètres'!$Q:$Q,MATCH($D3297,'Paramètres'!$M:$M,0))&amp;"",""))</f>
        <v/>
      </c>
      <c r="O3297" s="6" t="str">
        <f>IF($A3297="","",IF(OR($J3297&lt;&gt;"x",$A3297&lt;=FinReleve),1,0))</f>
        <v/>
      </c>
      <c r="P3297" s="6" t="str">
        <f>IF($D3297="","",IF(AND($L3297="Crédit",OR(IFERROR(INDEX('Paramètres'!$O:$O,MATCH($D3297,'Paramètres'!$M:$M,0))&amp;"","")&lt;&gt;"",ISNUMBER(SEARCH("remboursement",IFERROR(INDEX('Paramètres'!$N:$N,MATCH($D3297,'Paramètres'!$M:$M,0))&amp;"",""))))),1,0))</f>
        <v/>
      </c>
      <c r="Q3297" s="6" t="str">
        <f>IF($K3297="","",IF(ISNUMBER(SEARCH("transfert-interne",IFERROR(INDEX('Paramètres'!$N:$N,MATCH($D3297,'Paramètres'!$M:$M,0))&amp;"",""))),0,IF($L3297="Débit",$K3297,IF($P3297=1,-$K3297,0))))</f>
        <v/>
      </c>
      <c r="R3297" s="6" t="str">
        <f>IF($K3297="","",IF($L3297="Crédit",$K3297,-$K3297))</f>
        <v/>
      </c>
      <c r="S3297" s="6" t="str">
        <f>IF($C3297="","",IFERROR(INDEX('Paramètres'!$H:$H,MATCH($C3297,'Paramètres'!$D:$D,0))&amp;"",""))</f>
        <v/>
      </c>
      <c r="T3297" s="6" t="str">
        <f>IF($K3297="","",IF($S3297="",0,IF(ISNUMBER(SEARCH("apport-exterieur",IFERROR(INDEX('Paramètres'!$N:$N,MATCH($D3297,'Paramètres'!$M:$M,0))&amp;"",""))),0,IF(OR(IFERROR(INDEX('Paramètres'!$I:$I,MATCH($C3297,'Paramètres'!$D:$D,0))&amp;"","")="Les deux",IFERROR(INDEX('Paramètres'!$I:$I,MATCH($C3297,'Paramètres'!$D:$D,0))&amp;"","")=IF($P3297=1,"Débit",$L3297)),-IF($P3297=1,-$K3297,$K3297),0))))</f>
        <v/>
      </c>
      <c r="U3297" s="6" t="str">
        <f>IF($K3297="","",IF(ISNUMBER(SEARCH("sortie-epargne",IFERROR(INDEX('Paramètres'!$N:$N,MATCH($D3297,'Paramètres'!$M:$M,0))&amp;"",""))),$K3297,0))</f>
        <v/>
      </c>
      <c r="V3297" s="6" t="str">
        <f>IF(AND($A3297&lt;&gt;"",$O3297=1,$L3297="Débit",N($Q3297)&gt;0,$A3297&gt;=Visualisation!$B$1,$A3297&lt;Visualisation!$D$1),MAX($V$1:V3296)+1,"")</f>
        <v/>
      </c>
    </row>
    <row r="3298" spans="1:22" x14ac:dyDescent="0.25">
      <c r="A3298" s="9"/>
      <c r="E3298" s="10"/>
      <c r="K3298" s="11" t="str">
        <f>IF($E3298="","",ROUND($E3298*IF(ISNA(MATCH($C3298,'Paramètres'!$D:$D,0)),1,IF(INDEX('Paramètres'!$J:$J,MATCH($C3298,'Paramètres'!$D:$D,0))="",1,INDEX('Paramètres'!$J:$J,MATCH($C3298,'Paramètres'!$D:$D,0)))),2))</f>
        <v/>
      </c>
      <c r="L3298" s="6" t="str">
        <f>IF($D3298="","",IF($F3298&lt;&gt;"",$F3298,IF(ISNA(MATCH($D3298,'Paramètres'!$M:$M,0)),"⚠ Type inconnu",IFERROR(INDEX('Paramètres'!$P:$P,MATCH($D3298,'Paramètres'!$M:$M,0))&amp;"",""))))</f>
        <v/>
      </c>
      <c r="M3298" s="6" t="str">
        <f>IF($D3298="","",IF(ISNA(MATCH($D3298,'Paramètres'!$M:$M,0)),"⚠ Type inconnu",IF($L3298="Crédit","",IFERROR(INDEX('Paramètres'!$O:$O,MATCH($D3298,'Paramètres'!$M:$M,0))&amp;"",""))))</f>
        <v/>
      </c>
      <c r="N3298" s="6" t="str">
        <f>IF($D3298="","",IFERROR(INDEX('Paramètres'!$Q:$Q,MATCH($D3298,'Paramètres'!$M:$M,0))&amp;"",""))</f>
        <v/>
      </c>
      <c r="O3298" s="6" t="str">
        <f>IF($A3298="","",IF(OR($J3298&lt;&gt;"x",$A3298&lt;=FinReleve),1,0))</f>
        <v/>
      </c>
      <c r="P3298" s="6" t="str">
        <f>IF($D3298="","",IF(AND($L3298="Crédit",OR(IFERROR(INDEX('Paramètres'!$O:$O,MATCH($D3298,'Paramètres'!$M:$M,0))&amp;"","")&lt;&gt;"",ISNUMBER(SEARCH("remboursement",IFERROR(INDEX('Paramètres'!$N:$N,MATCH($D3298,'Paramètres'!$M:$M,0))&amp;"",""))))),1,0))</f>
        <v/>
      </c>
      <c r="Q3298" s="6" t="str">
        <f>IF($K3298="","",IF(ISNUMBER(SEARCH("transfert-interne",IFERROR(INDEX('Paramètres'!$N:$N,MATCH($D3298,'Paramètres'!$M:$M,0))&amp;"",""))),0,IF($L3298="Débit",$K3298,IF($P3298=1,-$K3298,0))))</f>
        <v/>
      </c>
      <c r="R3298" s="6" t="str">
        <f>IF($K3298="","",IF($L3298="Crédit",$K3298,-$K3298))</f>
        <v/>
      </c>
      <c r="S3298" s="6" t="str">
        <f>IF($C3298="","",IFERROR(INDEX('Paramètres'!$H:$H,MATCH($C3298,'Paramètres'!$D:$D,0))&amp;"",""))</f>
        <v/>
      </c>
      <c r="T3298" s="6" t="str">
        <f>IF($K3298="","",IF($S3298="",0,IF(ISNUMBER(SEARCH("apport-exterieur",IFERROR(INDEX('Paramètres'!$N:$N,MATCH($D3298,'Paramètres'!$M:$M,0))&amp;"",""))),0,IF(OR(IFERROR(INDEX('Paramètres'!$I:$I,MATCH($C3298,'Paramètres'!$D:$D,0))&amp;"","")="Les deux",IFERROR(INDEX('Paramètres'!$I:$I,MATCH($C3298,'Paramètres'!$D:$D,0))&amp;"","")=IF($P3298=1,"Débit",$L3298)),-IF($P3298=1,-$K3298,$K3298),0))))</f>
        <v/>
      </c>
      <c r="U3298" s="6" t="str">
        <f>IF($K3298="","",IF(ISNUMBER(SEARCH("sortie-epargne",IFERROR(INDEX('Paramètres'!$N:$N,MATCH($D3298,'Paramètres'!$M:$M,0))&amp;"",""))),$K3298,0))</f>
        <v/>
      </c>
      <c r="V3298" s="6" t="str">
        <f>IF(AND($A3298&lt;&gt;"",$O3298=1,$L3298="Débit",N($Q3298)&gt;0,$A3298&gt;=Visualisation!$B$1,$A3298&lt;Visualisation!$D$1),MAX($V$1:V3297)+1,"")</f>
        <v/>
      </c>
    </row>
    <row r="3299" spans="1:22" x14ac:dyDescent="0.25">
      <c r="A3299" s="9"/>
      <c r="E3299" s="10"/>
      <c r="K3299" s="11" t="str">
        <f>IF($E3299="","",ROUND($E3299*IF(ISNA(MATCH($C3299,'Paramètres'!$D:$D,0)),1,IF(INDEX('Paramètres'!$J:$J,MATCH($C3299,'Paramètres'!$D:$D,0))="",1,INDEX('Paramètres'!$J:$J,MATCH($C3299,'Paramètres'!$D:$D,0)))),2))</f>
        <v/>
      </c>
      <c r="L3299" s="6" t="str">
        <f>IF($D3299="","",IF($F3299&lt;&gt;"",$F3299,IF(ISNA(MATCH($D3299,'Paramètres'!$M:$M,0)),"⚠ Type inconnu",IFERROR(INDEX('Paramètres'!$P:$P,MATCH($D3299,'Paramètres'!$M:$M,0))&amp;"",""))))</f>
        <v/>
      </c>
      <c r="M3299" s="6" t="str">
        <f>IF($D3299="","",IF(ISNA(MATCH($D3299,'Paramètres'!$M:$M,0)),"⚠ Type inconnu",IF($L3299="Crédit","",IFERROR(INDEX('Paramètres'!$O:$O,MATCH($D3299,'Paramètres'!$M:$M,0))&amp;"",""))))</f>
        <v/>
      </c>
      <c r="N3299" s="6" t="str">
        <f>IF($D3299="","",IFERROR(INDEX('Paramètres'!$Q:$Q,MATCH($D3299,'Paramètres'!$M:$M,0))&amp;"",""))</f>
        <v/>
      </c>
      <c r="O3299" s="6" t="str">
        <f>IF($A3299="","",IF(OR($J3299&lt;&gt;"x",$A3299&lt;=FinReleve),1,0))</f>
        <v/>
      </c>
      <c r="P3299" s="6" t="str">
        <f>IF($D3299="","",IF(AND($L3299="Crédit",OR(IFERROR(INDEX('Paramètres'!$O:$O,MATCH($D3299,'Paramètres'!$M:$M,0))&amp;"","")&lt;&gt;"",ISNUMBER(SEARCH("remboursement",IFERROR(INDEX('Paramètres'!$N:$N,MATCH($D3299,'Paramètres'!$M:$M,0))&amp;"",""))))),1,0))</f>
        <v/>
      </c>
      <c r="Q3299" s="6" t="str">
        <f>IF($K3299="","",IF(ISNUMBER(SEARCH("transfert-interne",IFERROR(INDEX('Paramètres'!$N:$N,MATCH($D3299,'Paramètres'!$M:$M,0))&amp;"",""))),0,IF($L3299="Débit",$K3299,IF($P3299=1,-$K3299,0))))</f>
        <v/>
      </c>
      <c r="R3299" s="6" t="str">
        <f>IF($K3299="","",IF($L3299="Crédit",$K3299,-$K3299))</f>
        <v/>
      </c>
      <c r="S3299" s="6" t="str">
        <f>IF($C3299="","",IFERROR(INDEX('Paramètres'!$H:$H,MATCH($C3299,'Paramètres'!$D:$D,0))&amp;"",""))</f>
        <v/>
      </c>
      <c r="T3299" s="6" t="str">
        <f>IF($K3299="","",IF($S3299="",0,IF(ISNUMBER(SEARCH("apport-exterieur",IFERROR(INDEX('Paramètres'!$N:$N,MATCH($D3299,'Paramètres'!$M:$M,0))&amp;"",""))),0,IF(OR(IFERROR(INDEX('Paramètres'!$I:$I,MATCH($C3299,'Paramètres'!$D:$D,0))&amp;"","")="Les deux",IFERROR(INDEX('Paramètres'!$I:$I,MATCH($C3299,'Paramètres'!$D:$D,0))&amp;"","")=IF($P3299=1,"Débit",$L3299)),-IF($P3299=1,-$K3299,$K3299),0))))</f>
        <v/>
      </c>
      <c r="U3299" s="6" t="str">
        <f>IF($K3299="","",IF(ISNUMBER(SEARCH("sortie-epargne",IFERROR(INDEX('Paramètres'!$N:$N,MATCH($D3299,'Paramètres'!$M:$M,0))&amp;"",""))),$K3299,0))</f>
        <v/>
      </c>
      <c r="V3299" s="6" t="str">
        <f>IF(AND($A3299&lt;&gt;"",$O3299=1,$L3299="Débit",N($Q3299)&gt;0,$A3299&gt;=Visualisation!$B$1,$A3299&lt;Visualisation!$D$1),MAX($V$1:V3298)+1,"")</f>
        <v/>
      </c>
    </row>
    <row r="3300" spans="1:22" x14ac:dyDescent="0.25">
      <c r="A3300" s="9"/>
      <c r="E3300" s="10"/>
      <c r="K3300" s="11" t="str">
        <f>IF($E3300="","",ROUND($E3300*IF(ISNA(MATCH($C3300,'Paramètres'!$D:$D,0)),1,IF(INDEX('Paramètres'!$J:$J,MATCH($C3300,'Paramètres'!$D:$D,0))="",1,INDEX('Paramètres'!$J:$J,MATCH($C3300,'Paramètres'!$D:$D,0)))),2))</f>
        <v/>
      </c>
      <c r="L3300" s="6" t="str">
        <f>IF($D3300="","",IF($F3300&lt;&gt;"",$F3300,IF(ISNA(MATCH($D3300,'Paramètres'!$M:$M,0)),"⚠ Type inconnu",IFERROR(INDEX('Paramètres'!$P:$P,MATCH($D3300,'Paramètres'!$M:$M,0))&amp;"",""))))</f>
        <v/>
      </c>
      <c r="M3300" s="6" t="str">
        <f>IF($D3300="","",IF(ISNA(MATCH($D3300,'Paramètres'!$M:$M,0)),"⚠ Type inconnu",IF($L3300="Crédit","",IFERROR(INDEX('Paramètres'!$O:$O,MATCH($D3300,'Paramètres'!$M:$M,0))&amp;"",""))))</f>
        <v/>
      </c>
      <c r="N3300" s="6" t="str">
        <f>IF($D3300="","",IFERROR(INDEX('Paramètres'!$Q:$Q,MATCH($D3300,'Paramètres'!$M:$M,0))&amp;"",""))</f>
        <v/>
      </c>
      <c r="O3300" s="6" t="str">
        <f>IF($A3300="","",IF(OR($J3300&lt;&gt;"x",$A3300&lt;=FinReleve),1,0))</f>
        <v/>
      </c>
      <c r="P3300" s="6" t="str">
        <f>IF($D3300="","",IF(AND($L3300="Crédit",OR(IFERROR(INDEX('Paramètres'!$O:$O,MATCH($D3300,'Paramètres'!$M:$M,0))&amp;"","")&lt;&gt;"",ISNUMBER(SEARCH("remboursement",IFERROR(INDEX('Paramètres'!$N:$N,MATCH($D3300,'Paramètres'!$M:$M,0))&amp;"",""))))),1,0))</f>
        <v/>
      </c>
      <c r="Q3300" s="6" t="str">
        <f>IF($K3300="","",IF(ISNUMBER(SEARCH("transfert-interne",IFERROR(INDEX('Paramètres'!$N:$N,MATCH($D3300,'Paramètres'!$M:$M,0))&amp;"",""))),0,IF($L3300="Débit",$K3300,IF($P3300=1,-$K3300,0))))</f>
        <v/>
      </c>
      <c r="R3300" s="6" t="str">
        <f>IF($K3300="","",IF($L3300="Crédit",$K3300,-$K3300))</f>
        <v/>
      </c>
      <c r="S3300" s="6" t="str">
        <f>IF($C3300="","",IFERROR(INDEX('Paramètres'!$H:$H,MATCH($C3300,'Paramètres'!$D:$D,0))&amp;"",""))</f>
        <v/>
      </c>
      <c r="T3300" s="6" t="str">
        <f>IF($K3300="","",IF($S3300="",0,IF(ISNUMBER(SEARCH("apport-exterieur",IFERROR(INDEX('Paramètres'!$N:$N,MATCH($D3300,'Paramètres'!$M:$M,0))&amp;"",""))),0,IF(OR(IFERROR(INDEX('Paramètres'!$I:$I,MATCH($C3300,'Paramètres'!$D:$D,0))&amp;"","")="Les deux",IFERROR(INDEX('Paramètres'!$I:$I,MATCH($C3300,'Paramètres'!$D:$D,0))&amp;"","")=IF($P3300=1,"Débit",$L3300)),-IF($P3300=1,-$K3300,$K3300),0))))</f>
        <v/>
      </c>
      <c r="U3300" s="6" t="str">
        <f>IF($K3300="","",IF(ISNUMBER(SEARCH("sortie-epargne",IFERROR(INDEX('Paramètres'!$N:$N,MATCH($D3300,'Paramètres'!$M:$M,0))&amp;"",""))),$K3300,0))</f>
        <v/>
      </c>
      <c r="V3300" s="6" t="str">
        <f>IF(AND($A3300&lt;&gt;"",$O3300=1,$L3300="Débit",N($Q3300)&gt;0,$A3300&gt;=Visualisation!$B$1,$A3300&lt;Visualisation!$D$1),MAX($V$1:V3299)+1,"")</f>
        <v/>
      </c>
    </row>
    <row r="3301" spans="1:22" x14ac:dyDescent="0.25">
      <c r="A3301" s="9"/>
      <c r="E3301" s="10"/>
      <c r="K3301" s="11" t="str">
        <f>IF($E3301="","",ROUND($E3301*IF(ISNA(MATCH($C3301,'Paramètres'!$D:$D,0)),1,IF(INDEX('Paramètres'!$J:$J,MATCH($C3301,'Paramètres'!$D:$D,0))="",1,INDEX('Paramètres'!$J:$J,MATCH($C3301,'Paramètres'!$D:$D,0)))),2))</f>
        <v/>
      </c>
      <c r="L3301" s="6" t="str">
        <f>IF($D3301="","",IF($F3301&lt;&gt;"",$F3301,IF(ISNA(MATCH($D3301,'Paramètres'!$M:$M,0)),"⚠ Type inconnu",IFERROR(INDEX('Paramètres'!$P:$P,MATCH($D3301,'Paramètres'!$M:$M,0))&amp;"",""))))</f>
        <v/>
      </c>
      <c r="M3301" s="6" t="str">
        <f>IF($D3301="","",IF(ISNA(MATCH($D3301,'Paramètres'!$M:$M,0)),"⚠ Type inconnu",IF($L3301="Crédit","",IFERROR(INDEX('Paramètres'!$O:$O,MATCH($D3301,'Paramètres'!$M:$M,0))&amp;"",""))))</f>
        <v/>
      </c>
      <c r="N3301" s="6" t="str">
        <f>IF($D3301="","",IFERROR(INDEX('Paramètres'!$Q:$Q,MATCH($D3301,'Paramètres'!$M:$M,0))&amp;"",""))</f>
        <v/>
      </c>
      <c r="O3301" s="6" t="str">
        <f>IF($A3301="","",IF(OR($J3301&lt;&gt;"x",$A3301&lt;=FinReleve),1,0))</f>
        <v/>
      </c>
      <c r="P3301" s="6" t="str">
        <f>IF($D3301="","",IF(AND($L3301="Crédit",OR(IFERROR(INDEX('Paramètres'!$O:$O,MATCH($D3301,'Paramètres'!$M:$M,0))&amp;"","")&lt;&gt;"",ISNUMBER(SEARCH("remboursement",IFERROR(INDEX('Paramètres'!$N:$N,MATCH($D3301,'Paramètres'!$M:$M,0))&amp;"",""))))),1,0))</f>
        <v/>
      </c>
      <c r="Q3301" s="6" t="str">
        <f>IF($K3301="","",IF(ISNUMBER(SEARCH("transfert-interne",IFERROR(INDEX('Paramètres'!$N:$N,MATCH($D3301,'Paramètres'!$M:$M,0))&amp;"",""))),0,IF($L3301="Débit",$K3301,IF($P3301=1,-$K3301,0))))</f>
        <v/>
      </c>
      <c r="R3301" s="6" t="str">
        <f>IF($K3301="","",IF($L3301="Crédit",$K3301,-$K3301))</f>
        <v/>
      </c>
      <c r="S3301" s="6" t="str">
        <f>IF($C3301="","",IFERROR(INDEX('Paramètres'!$H:$H,MATCH($C3301,'Paramètres'!$D:$D,0))&amp;"",""))</f>
        <v/>
      </c>
      <c r="T3301" s="6" t="str">
        <f>IF($K3301="","",IF($S3301="",0,IF(ISNUMBER(SEARCH("apport-exterieur",IFERROR(INDEX('Paramètres'!$N:$N,MATCH($D3301,'Paramètres'!$M:$M,0))&amp;"",""))),0,IF(OR(IFERROR(INDEX('Paramètres'!$I:$I,MATCH($C3301,'Paramètres'!$D:$D,0))&amp;"","")="Les deux",IFERROR(INDEX('Paramètres'!$I:$I,MATCH($C3301,'Paramètres'!$D:$D,0))&amp;"","")=IF($P3301=1,"Débit",$L3301)),-IF($P3301=1,-$K3301,$K3301),0))))</f>
        <v/>
      </c>
      <c r="U3301" s="6" t="str">
        <f>IF($K3301="","",IF(ISNUMBER(SEARCH("sortie-epargne",IFERROR(INDEX('Paramètres'!$N:$N,MATCH($D3301,'Paramètres'!$M:$M,0))&amp;"",""))),$K3301,0))</f>
        <v/>
      </c>
      <c r="V3301" s="6" t="str">
        <f>IF(AND($A3301&lt;&gt;"",$O3301=1,$L3301="Débit",N($Q3301)&gt;0,$A3301&gt;=Visualisation!$B$1,$A3301&lt;Visualisation!$D$1),MAX($V$1:V3300)+1,"")</f>
        <v/>
      </c>
    </row>
    <row r="3302" spans="1:22" x14ac:dyDescent="0.25">
      <c r="A3302" s="9"/>
      <c r="E3302" s="10"/>
      <c r="K3302" s="11" t="str">
        <f>IF($E3302="","",ROUND($E3302*IF(ISNA(MATCH($C3302,'Paramètres'!$D:$D,0)),1,IF(INDEX('Paramètres'!$J:$J,MATCH($C3302,'Paramètres'!$D:$D,0))="",1,INDEX('Paramètres'!$J:$J,MATCH($C3302,'Paramètres'!$D:$D,0)))),2))</f>
        <v/>
      </c>
      <c r="L3302" s="6" t="str">
        <f>IF($D3302="","",IF($F3302&lt;&gt;"",$F3302,IF(ISNA(MATCH($D3302,'Paramètres'!$M:$M,0)),"⚠ Type inconnu",IFERROR(INDEX('Paramètres'!$P:$P,MATCH($D3302,'Paramètres'!$M:$M,0))&amp;"",""))))</f>
        <v/>
      </c>
      <c r="M3302" s="6" t="str">
        <f>IF($D3302="","",IF(ISNA(MATCH($D3302,'Paramètres'!$M:$M,0)),"⚠ Type inconnu",IF($L3302="Crédit","",IFERROR(INDEX('Paramètres'!$O:$O,MATCH($D3302,'Paramètres'!$M:$M,0))&amp;"",""))))</f>
        <v/>
      </c>
      <c r="N3302" s="6" t="str">
        <f>IF($D3302="","",IFERROR(INDEX('Paramètres'!$Q:$Q,MATCH($D3302,'Paramètres'!$M:$M,0))&amp;"",""))</f>
        <v/>
      </c>
      <c r="O3302" s="6" t="str">
        <f>IF($A3302="","",IF(OR($J3302&lt;&gt;"x",$A3302&lt;=FinReleve),1,0))</f>
        <v/>
      </c>
      <c r="P3302" s="6" t="str">
        <f>IF($D3302="","",IF(AND($L3302="Crédit",OR(IFERROR(INDEX('Paramètres'!$O:$O,MATCH($D3302,'Paramètres'!$M:$M,0))&amp;"","")&lt;&gt;"",ISNUMBER(SEARCH("remboursement",IFERROR(INDEX('Paramètres'!$N:$N,MATCH($D3302,'Paramètres'!$M:$M,0))&amp;"",""))))),1,0))</f>
        <v/>
      </c>
      <c r="Q3302" s="6" t="str">
        <f>IF($K3302="","",IF(ISNUMBER(SEARCH("transfert-interne",IFERROR(INDEX('Paramètres'!$N:$N,MATCH($D3302,'Paramètres'!$M:$M,0))&amp;"",""))),0,IF($L3302="Débit",$K3302,IF($P3302=1,-$K3302,0))))</f>
        <v/>
      </c>
      <c r="R3302" s="6" t="str">
        <f>IF($K3302="","",IF($L3302="Crédit",$K3302,-$K3302))</f>
        <v/>
      </c>
      <c r="S3302" s="6" t="str">
        <f>IF($C3302="","",IFERROR(INDEX('Paramètres'!$H:$H,MATCH($C3302,'Paramètres'!$D:$D,0))&amp;"",""))</f>
        <v/>
      </c>
      <c r="T3302" s="6" t="str">
        <f>IF($K3302="","",IF($S3302="",0,IF(ISNUMBER(SEARCH("apport-exterieur",IFERROR(INDEX('Paramètres'!$N:$N,MATCH($D3302,'Paramètres'!$M:$M,0))&amp;"",""))),0,IF(OR(IFERROR(INDEX('Paramètres'!$I:$I,MATCH($C3302,'Paramètres'!$D:$D,0))&amp;"","")="Les deux",IFERROR(INDEX('Paramètres'!$I:$I,MATCH($C3302,'Paramètres'!$D:$D,0))&amp;"","")=IF($P3302=1,"Débit",$L3302)),-IF($P3302=1,-$K3302,$K3302),0))))</f>
        <v/>
      </c>
      <c r="U3302" s="6" t="str">
        <f>IF($K3302="","",IF(ISNUMBER(SEARCH("sortie-epargne",IFERROR(INDEX('Paramètres'!$N:$N,MATCH($D3302,'Paramètres'!$M:$M,0))&amp;"",""))),$K3302,0))</f>
        <v/>
      </c>
      <c r="V3302" s="6" t="str">
        <f>IF(AND($A3302&lt;&gt;"",$O3302=1,$L3302="Débit",N($Q3302)&gt;0,$A3302&gt;=Visualisation!$B$1,$A3302&lt;Visualisation!$D$1),MAX($V$1:V3301)+1,"")</f>
        <v/>
      </c>
    </row>
    <row r="3303" spans="1:22" x14ac:dyDescent="0.25">
      <c r="A3303" s="9"/>
      <c r="E3303" s="10"/>
      <c r="K3303" s="11" t="str">
        <f>IF($E3303="","",ROUND($E3303*IF(ISNA(MATCH($C3303,'Paramètres'!$D:$D,0)),1,IF(INDEX('Paramètres'!$J:$J,MATCH($C3303,'Paramètres'!$D:$D,0))="",1,INDEX('Paramètres'!$J:$J,MATCH($C3303,'Paramètres'!$D:$D,0)))),2))</f>
        <v/>
      </c>
      <c r="L3303" s="6" t="str">
        <f>IF($D3303="","",IF($F3303&lt;&gt;"",$F3303,IF(ISNA(MATCH($D3303,'Paramètres'!$M:$M,0)),"⚠ Type inconnu",IFERROR(INDEX('Paramètres'!$P:$P,MATCH($D3303,'Paramètres'!$M:$M,0))&amp;"",""))))</f>
        <v/>
      </c>
      <c r="M3303" s="6" t="str">
        <f>IF($D3303="","",IF(ISNA(MATCH($D3303,'Paramètres'!$M:$M,0)),"⚠ Type inconnu",IF($L3303="Crédit","",IFERROR(INDEX('Paramètres'!$O:$O,MATCH($D3303,'Paramètres'!$M:$M,0))&amp;"",""))))</f>
        <v/>
      </c>
      <c r="N3303" s="6" t="str">
        <f>IF($D3303="","",IFERROR(INDEX('Paramètres'!$Q:$Q,MATCH($D3303,'Paramètres'!$M:$M,0))&amp;"",""))</f>
        <v/>
      </c>
      <c r="O3303" s="6" t="str">
        <f>IF($A3303="","",IF(OR($J3303&lt;&gt;"x",$A3303&lt;=FinReleve),1,0))</f>
        <v/>
      </c>
      <c r="P3303" s="6" t="str">
        <f>IF($D3303="","",IF(AND($L3303="Crédit",OR(IFERROR(INDEX('Paramètres'!$O:$O,MATCH($D3303,'Paramètres'!$M:$M,0))&amp;"","")&lt;&gt;"",ISNUMBER(SEARCH("remboursement",IFERROR(INDEX('Paramètres'!$N:$N,MATCH($D3303,'Paramètres'!$M:$M,0))&amp;"",""))))),1,0))</f>
        <v/>
      </c>
      <c r="Q3303" s="6" t="str">
        <f>IF($K3303="","",IF(ISNUMBER(SEARCH("transfert-interne",IFERROR(INDEX('Paramètres'!$N:$N,MATCH($D3303,'Paramètres'!$M:$M,0))&amp;"",""))),0,IF($L3303="Débit",$K3303,IF($P3303=1,-$K3303,0))))</f>
        <v/>
      </c>
      <c r="R3303" s="6" t="str">
        <f>IF($K3303="","",IF($L3303="Crédit",$K3303,-$K3303))</f>
        <v/>
      </c>
      <c r="S3303" s="6" t="str">
        <f>IF($C3303="","",IFERROR(INDEX('Paramètres'!$H:$H,MATCH($C3303,'Paramètres'!$D:$D,0))&amp;"",""))</f>
        <v/>
      </c>
      <c r="T3303" s="6" t="str">
        <f>IF($K3303="","",IF($S3303="",0,IF(ISNUMBER(SEARCH("apport-exterieur",IFERROR(INDEX('Paramètres'!$N:$N,MATCH($D3303,'Paramètres'!$M:$M,0))&amp;"",""))),0,IF(OR(IFERROR(INDEX('Paramètres'!$I:$I,MATCH($C3303,'Paramètres'!$D:$D,0))&amp;"","")="Les deux",IFERROR(INDEX('Paramètres'!$I:$I,MATCH($C3303,'Paramètres'!$D:$D,0))&amp;"","")=IF($P3303=1,"Débit",$L3303)),-IF($P3303=1,-$K3303,$K3303),0))))</f>
        <v/>
      </c>
      <c r="U3303" s="6" t="str">
        <f>IF($K3303="","",IF(ISNUMBER(SEARCH("sortie-epargne",IFERROR(INDEX('Paramètres'!$N:$N,MATCH($D3303,'Paramètres'!$M:$M,0))&amp;"",""))),$K3303,0))</f>
        <v/>
      </c>
      <c r="V3303" s="6" t="str">
        <f>IF(AND($A3303&lt;&gt;"",$O3303=1,$L3303="Débit",N($Q3303)&gt;0,$A3303&gt;=Visualisation!$B$1,$A3303&lt;Visualisation!$D$1),MAX($V$1:V3302)+1,"")</f>
        <v/>
      </c>
    </row>
    <row r="3304" spans="1:22" x14ac:dyDescent="0.25">
      <c r="A3304" s="9"/>
      <c r="E3304" s="10"/>
      <c r="K3304" s="11" t="str">
        <f>IF($E3304="","",ROUND($E3304*IF(ISNA(MATCH($C3304,'Paramètres'!$D:$D,0)),1,IF(INDEX('Paramètres'!$J:$J,MATCH($C3304,'Paramètres'!$D:$D,0))="",1,INDEX('Paramètres'!$J:$J,MATCH($C3304,'Paramètres'!$D:$D,0)))),2))</f>
        <v/>
      </c>
      <c r="L3304" s="6" t="str">
        <f>IF($D3304="","",IF($F3304&lt;&gt;"",$F3304,IF(ISNA(MATCH($D3304,'Paramètres'!$M:$M,0)),"⚠ Type inconnu",IFERROR(INDEX('Paramètres'!$P:$P,MATCH($D3304,'Paramètres'!$M:$M,0))&amp;"",""))))</f>
        <v/>
      </c>
      <c r="M3304" s="6" t="str">
        <f>IF($D3304="","",IF(ISNA(MATCH($D3304,'Paramètres'!$M:$M,0)),"⚠ Type inconnu",IF($L3304="Crédit","",IFERROR(INDEX('Paramètres'!$O:$O,MATCH($D3304,'Paramètres'!$M:$M,0))&amp;"",""))))</f>
        <v/>
      </c>
      <c r="N3304" s="6" t="str">
        <f>IF($D3304="","",IFERROR(INDEX('Paramètres'!$Q:$Q,MATCH($D3304,'Paramètres'!$M:$M,0))&amp;"",""))</f>
        <v/>
      </c>
      <c r="O3304" s="6" t="str">
        <f>IF($A3304="","",IF(OR($J3304&lt;&gt;"x",$A3304&lt;=FinReleve),1,0))</f>
        <v/>
      </c>
      <c r="P3304" s="6" t="str">
        <f>IF($D3304="","",IF(AND($L3304="Crédit",OR(IFERROR(INDEX('Paramètres'!$O:$O,MATCH($D3304,'Paramètres'!$M:$M,0))&amp;"","")&lt;&gt;"",ISNUMBER(SEARCH("remboursement",IFERROR(INDEX('Paramètres'!$N:$N,MATCH($D3304,'Paramètres'!$M:$M,0))&amp;"",""))))),1,0))</f>
        <v/>
      </c>
      <c r="Q3304" s="6" t="str">
        <f>IF($K3304="","",IF(ISNUMBER(SEARCH("transfert-interne",IFERROR(INDEX('Paramètres'!$N:$N,MATCH($D3304,'Paramètres'!$M:$M,0))&amp;"",""))),0,IF($L3304="Débit",$K3304,IF($P3304=1,-$K3304,0))))</f>
        <v/>
      </c>
      <c r="R3304" s="6" t="str">
        <f>IF($K3304="","",IF($L3304="Crédit",$K3304,-$K3304))</f>
        <v/>
      </c>
      <c r="S3304" s="6" t="str">
        <f>IF($C3304="","",IFERROR(INDEX('Paramètres'!$H:$H,MATCH($C3304,'Paramètres'!$D:$D,0))&amp;"",""))</f>
        <v/>
      </c>
      <c r="T3304" s="6" t="str">
        <f>IF($K3304="","",IF($S3304="",0,IF(ISNUMBER(SEARCH("apport-exterieur",IFERROR(INDEX('Paramètres'!$N:$N,MATCH($D3304,'Paramètres'!$M:$M,0))&amp;"",""))),0,IF(OR(IFERROR(INDEX('Paramètres'!$I:$I,MATCH($C3304,'Paramètres'!$D:$D,0))&amp;"","")="Les deux",IFERROR(INDEX('Paramètres'!$I:$I,MATCH($C3304,'Paramètres'!$D:$D,0))&amp;"","")=IF($P3304=1,"Débit",$L3304)),-IF($P3304=1,-$K3304,$K3304),0))))</f>
        <v/>
      </c>
      <c r="U3304" s="6" t="str">
        <f>IF($K3304="","",IF(ISNUMBER(SEARCH("sortie-epargne",IFERROR(INDEX('Paramètres'!$N:$N,MATCH($D3304,'Paramètres'!$M:$M,0))&amp;"",""))),$K3304,0))</f>
        <v/>
      </c>
      <c r="V3304" s="6" t="str">
        <f>IF(AND($A3304&lt;&gt;"",$O3304=1,$L3304="Débit",N($Q3304)&gt;0,$A3304&gt;=Visualisation!$B$1,$A3304&lt;Visualisation!$D$1),MAX($V$1:V3303)+1,"")</f>
        <v/>
      </c>
    </row>
    <row r="3305" spans="1:22" x14ac:dyDescent="0.25">
      <c r="A3305" s="9"/>
      <c r="E3305" s="10"/>
      <c r="K3305" s="11" t="str">
        <f>IF($E3305="","",ROUND($E3305*IF(ISNA(MATCH($C3305,'Paramètres'!$D:$D,0)),1,IF(INDEX('Paramètres'!$J:$J,MATCH($C3305,'Paramètres'!$D:$D,0))="",1,INDEX('Paramètres'!$J:$J,MATCH($C3305,'Paramètres'!$D:$D,0)))),2))</f>
        <v/>
      </c>
      <c r="L3305" s="6" t="str">
        <f>IF($D3305="","",IF($F3305&lt;&gt;"",$F3305,IF(ISNA(MATCH($D3305,'Paramètres'!$M:$M,0)),"⚠ Type inconnu",IFERROR(INDEX('Paramètres'!$P:$P,MATCH($D3305,'Paramètres'!$M:$M,0))&amp;"",""))))</f>
        <v/>
      </c>
      <c r="M3305" s="6" t="str">
        <f>IF($D3305="","",IF(ISNA(MATCH($D3305,'Paramètres'!$M:$M,0)),"⚠ Type inconnu",IF($L3305="Crédit","",IFERROR(INDEX('Paramètres'!$O:$O,MATCH($D3305,'Paramètres'!$M:$M,0))&amp;"",""))))</f>
        <v/>
      </c>
      <c r="N3305" s="6" t="str">
        <f>IF($D3305="","",IFERROR(INDEX('Paramètres'!$Q:$Q,MATCH($D3305,'Paramètres'!$M:$M,0))&amp;"",""))</f>
        <v/>
      </c>
      <c r="O3305" s="6" t="str">
        <f>IF($A3305="","",IF(OR($J3305&lt;&gt;"x",$A3305&lt;=FinReleve),1,0))</f>
        <v/>
      </c>
      <c r="P3305" s="6" t="str">
        <f>IF($D3305="","",IF(AND($L3305="Crédit",OR(IFERROR(INDEX('Paramètres'!$O:$O,MATCH($D3305,'Paramètres'!$M:$M,0))&amp;"","")&lt;&gt;"",ISNUMBER(SEARCH("remboursement",IFERROR(INDEX('Paramètres'!$N:$N,MATCH($D3305,'Paramètres'!$M:$M,0))&amp;"",""))))),1,0))</f>
        <v/>
      </c>
      <c r="Q3305" s="6" t="str">
        <f>IF($K3305="","",IF(ISNUMBER(SEARCH("transfert-interne",IFERROR(INDEX('Paramètres'!$N:$N,MATCH($D3305,'Paramètres'!$M:$M,0))&amp;"",""))),0,IF($L3305="Débit",$K3305,IF($P3305=1,-$K3305,0))))</f>
        <v/>
      </c>
      <c r="R3305" s="6" t="str">
        <f>IF($K3305="","",IF($L3305="Crédit",$K3305,-$K3305))</f>
        <v/>
      </c>
      <c r="S3305" s="6" t="str">
        <f>IF($C3305="","",IFERROR(INDEX('Paramètres'!$H:$H,MATCH($C3305,'Paramètres'!$D:$D,0))&amp;"",""))</f>
        <v/>
      </c>
      <c r="T3305" s="6" t="str">
        <f>IF($K3305="","",IF($S3305="",0,IF(ISNUMBER(SEARCH("apport-exterieur",IFERROR(INDEX('Paramètres'!$N:$N,MATCH($D3305,'Paramètres'!$M:$M,0))&amp;"",""))),0,IF(OR(IFERROR(INDEX('Paramètres'!$I:$I,MATCH($C3305,'Paramètres'!$D:$D,0))&amp;"","")="Les deux",IFERROR(INDEX('Paramètres'!$I:$I,MATCH($C3305,'Paramètres'!$D:$D,0))&amp;"","")=IF($P3305=1,"Débit",$L3305)),-IF($P3305=1,-$K3305,$K3305),0))))</f>
        <v/>
      </c>
      <c r="U3305" s="6" t="str">
        <f>IF($K3305="","",IF(ISNUMBER(SEARCH("sortie-epargne",IFERROR(INDEX('Paramètres'!$N:$N,MATCH($D3305,'Paramètres'!$M:$M,0))&amp;"",""))),$K3305,0))</f>
        <v/>
      </c>
      <c r="V3305" s="6" t="str">
        <f>IF(AND($A3305&lt;&gt;"",$O3305=1,$L3305="Débit",N($Q3305)&gt;0,$A3305&gt;=Visualisation!$B$1,$A3305&lt;Visualisation!$D$1),MAX($V$1:V3304)+1,"")</f>
        <v/>
      </c>
    </row>
    <row r="3306" spans="1:22" x14ac:dyDescent="0.25">
      <c r="A3306" s="9"/>
      <c r="E3306" s="10"/>
      <c r="K3306" s="11" t="str">
        <f>IF($E3306="","",ROUND($E3306*IF(ISNA(MATCH($C3306,'Paramètres'!$D:$D,0)),1,IF(INDEX('Paramètres'!$J:$J,MATCH($C3306,'Paramètres'!$D:$D,0))="",1,INDEX('Paramètres'!$J:$J,MATCH($C3306,'Paramètres'!$D:$D,0)))),2))</f>
        <v/>
      </c>
      <c r="L3306" s="6" t="str">
        <f>IF($D3306="","",IF($F3306&lt;&gt;"",$F3306,IF(ISNA(MATCH($D3306,'Paramètres'!$M:$M,0)),"⚠ Type inconnu",IFERROR(INDEX('Paramètres'!$P:$P,MATCH($D3306,'Paramètres'!$M:$M,0))&amp;"",""))))</f>
        <v/>
      </c>
      <c r="M3306" s="6" t="str">
        <f>IF($D3306="","",IF(ISNA(MATCH($D3306,'Paramètres'!$M:$M,0)),"⚠ Type inconnu",IF($L3306="Crédit","",IFERROR(INDEX('Paramètres'!$O:$O,MATCH($D3306,'Paramètres'!$M:$M,0))&amp;"",""))))</f>
        <v/>
      </c>
      <c r="N3306" s="6" t="str">
        <f>IF($D3306="","",IFERROR(INDEX('Paramètres'!$Q:$Q,MATCH($D3306,'Paramètres'!$M:$M,0))&amp;"",""))</f>
        <v/>
      </c>
      <c r="O3306" s="6" t="str">
        <f>IF($A3306="","",IF(OR($J3306&lt;&gt;"x",$A3306&lt;=FinReleve),1,0))</f>
        <v/>
      </c>
      <c r="P3306" s="6" t="str">
        <f>IF($D3306="","",IF(AND($L3306="Crédit",OR(IFERROR(INDEX('Paramètres'!$O:$O,MATCH($D3306,'Paramètres'!$M:$M,0))&amp;"","")&lt;&gt;"",ISNUMBER(SEARCH("remboursement",IFERROR(INDEX('Paramètres'!$N:$N,MATCH($D3306,'Paramètres'!$M:$M,0))&amp;"",""))))),1,0))</f>
        <v/>
      </c>
      <c r="Q3306" s="6" t="str">
        <f>IF($K3306="","",IF(ISNUMBER(SEARCH("transfert-interne",IFERROR(INDEX('Paramètres'!$N:$N,MATCH($D3306,'Paramètres'!$M:$M,0))&amp;"",""))),0,IF($L3306="Débit",$K3306,IF($P3306=1,-$K3306,0))))</f>
        <v/>
      </c>
      <c r="R3306" s="6" t="str">
        <f>IF($K3306="","",IF($L3306="Crédit",$K3306,-$K3306))</f>
        <v/>
      </c>
      <c r="S3306" s="6" t="str">
        <f>IF($C3306="","",IFERROR(INDEX('Paramètres'!$H:$H,MATCH($C3306,'Paramètres'!$D:$D,0))&amp;"",""))</f>
        <v/>
      </c>
      <c r="T3306" s="6" t="str">
        <f>IF($K3306="","",IF($S3306="",0,IF(ISNUMBER(SEARCH("apport-exterieur",IFERROR(INDEX('Paramètres'!$N:$N,MATCH($D3306,'Paramètres'!$M:$M,0))&amp;"",""))),0,IF(OR(IFERROR(INDEX('Paramètres'!$I:$I,MATCH($C3306,'Paramètres'!$D:$D,0))&amp;"","")="Les deux",IFERROR(INDEX('Paramètres'!$I:$I,MATCH($C3306,'Paramètres'!$D:$D,0))&amp;"","")=IF($P3306=1,"Débit",$L3306)),-IF($P3306=1,-$K3306,$K3306),0))))</f>
        <v/>
      </c>
      <c r="U3306" s="6" t="str">
        <f>IF($K3306="","",IF(ISNUMBER(SEARCH("sortie-epargne",IFERROR(INDEX('Paramètres'!$N:$N,MATCH($D3306,'Paramètres'!$M:$M,0))&amp;"",""))),$K3306,0))</f>
        <v/>
      </c>
      <c r="V3306" s="6" t="str">
        <f>IF(AND($A3306&lt;&gt;"",$O3306=1,$L3306="Débit",N($Q3306)&gt;0,$A3306&gt;=Visualisation!$B$1,$A3306&lt;Visualisation!$D$1),MAX($V$1:V3305)+1,"")</f>
        <v/>
      </c>
    </row>
    <row r="3307" spans="1:22" x14ac:dyDescent="0.25">
      <c r="A3307" s="9"/>
      <c r="E3307" s="10"/>
      <c r="K3307" s="11" t="str">
        <f>IF($E3307="","",ROUND($E3307*IF(ISNA(MATCH($C3307,'Paramètres'!$D:$D,0)),1,IF(INDEX('Paramètres'!$J:$J,MATCH($C3307,'Paramètres'!$D:$D,0))="",1,INDEX('Paramètres'!$J:$J,MATCH($C3307,'Paramètres'!$D:$D,0)))),2))</f>
        <v/>
      </c>
      <c r="L3307" s="6" t="str">
        <f>IF($D3307="","",IF($F3307&lt;&gt;"",$F3307,IF(ISNA(MATCH($D3307,'Paramètres'!$M:$M,0)),"⚠ Type inconnu",IFERROR(INDEX('Paramètres'!$P:$P,MATCH($D3307,'Paramètres'!$M:$M,0))&amp;"",""))))</f>
        <v/>
      </c>
      <c r="M3307" s="6" t="str">
        <f>IF($D3307="","",IF(ISNA(MATCH($D3307,'Paramètres'!$M:$M,0)),"⚠ Type inconnu",IF($L3307="Crédit","",IFERROR(INDEX('Paramètres'!$O:$O,MATCH($D3307,'Paramètres'!$M:$M,0))&amp;"",""))))</f>
        <v/>
      </c>
      <c r="N3307" s="6" t="str">
        <f>IF($D3307="","",IFERROR(INDEX('Paramètres'!$Q:$Q,MATCH($D3307,'Paramètres'!$M:$M,0))&amp;"",""))</f>
        <v/>
      </c>
      <c r="O3307" s="6" t="str">
        <f>IF($A3307="","",IF(OR($J3307&lt;&gt;"x",$A3307&lt;=FinReleve),1,0))</f>
        <v/>
      </c>
      <c r="P3307" s="6" t="str">
        <f>IF($D3307="","",IF(AND($L3307="Crédit",OR(IFERROR(INDEX('Paramètres'!$O:$O,MATCH($D3307,'Paramètres'!$M:$M,0))&amp;"","")&lt;&gt;"",ISNUMBER(SEARCH("remboursement",IFERROR(INDEX('Paramètres'!$N:$N,MATCH($D3307,'Paramètres'!$M:$M,0))&amp;"",""))))),1,0))</f>
        <v/>
      </c>
      <c r="Q3307" s="6" t="str">
        <f>IF($K3307="","",IF(ISNUMBER(SEARCH("transfert-interne",IFERROR(INDEX('Paramètres'!$N:$N,MATCH($D3307,'Paramètres'!$M:$M,0))&amp;"",""))),0,IF($L3307="Débit",$K3307,IF($P3307=1,-$K3307,0))))</f>
        <v/>
      </c>
      <c r="R3307" s="6" t="str">
        <f>IF($K3307="","",IF($L3307="Crédit",$K3307,-$K3307))</f>
        <v/>
      </c>
      <c r="S3307" s="6" t="str">
        <f>IF($C3307="","",IFERROR(INDEX('Paramètres'!$H:$H,MATCH($C3307,'Paramètres'!$D:$D,0))&amp;"",""))</f>
        <v/>
      </c>
      <c r="T3307" s="6" t="str">
        <f>IF($K3307="","",IF($S3307="",0,IF(ISNUMBER(SEARCH("apport-exterieur",IFERROR(INDEX('Paramètres'!$N:$N,MATCH($D3307,'Paramètres'!$M:$M,0))&amp;"",""))),0,IF(OR(IFERROR(INDEX('Paramètres'!$I:$I,MATCH($C3307,'Paramètres'!$D:$D,0))&amp;"","")="Les deux",IFERROR(INDEX('Paramètres'!$I:$I,MATCH($C3307,'Paramètres'!$D:$D,0))&amp;"","")=IF($P3307=1,"Débit",$L3307)),-IF($P3307=1,-$K3307,$K3307),0))))</f>
        <v/>
      </c>
      <c r="U3307" s="6" t="str">
        <f>IF($K3307="","",IF(ISNUMBER(SEARCH("sortie-epargne",IFERROR(INDEX('Paramètres'!$N:$N,MATCH($D3307,'Paramètres'!$M:$M,0))&amp;"",""))),$K3307,0))</f>
        <v/>
      </c>
      <c r="V3307" s="6" t="str">
        <f>IF(AND($A3307&lt;&gt;"",$O3307=1,$L3307="Débit",N($Q3307)&gt;0,$A3307&gt;=Visualisation!$B$1,$A3307&lt;Visualisation!$D$1),MAX($V$1:V3306)+1,"")</f>
        <v/>
      </c>
    </row>
    <row r="3308" spans="1:22" x14ac:dyDescent="0.25">
      <c r="A3308" s="9"/>
      <c r="E3308" s="10"/>
      <c r="K3308" s="11" t="str">
        <f>IF($E3308="","",ROUND($E3308*IF(ISNA(MATCH($C3308,'Paramètres'!$D:$D,0)),1,IF(INDEX('Paramètres'!$J:$J,MATCH($C3308,'Paramètres'!$D:$D,0))="",1,INDEX('Paramètres'!$J:$J,MATCH($C3308,'Paramètres'!$D:$D,0)))),2))</f>
        <v/>
      </c>
      <c r="L3308" s="6" t="str">
        <f>IF($D3308="","",IF($F3308&lt;&gt;"",$F3308,IF(ISNA(MATCH($D3308,'Paramètres'!$M:$M,0)),"⚠ Type inconnu",IFERROR(INDEX('Paramètres'!$P:$P,MATCH($D3308,'Paramètres'!$M:$M,0))&amp;"",""))))</f>
        <v/>
      </c>
      <c r="M3308" s="6" t="str">
        <f>IF($D3308="","",IF(ISNA(MATCH($D3308,'Paramètres'!$M:$M,0)),"⚠ Type inconnu",IF($L3308="Crédit","",IFERROR(INDEX('Paramètres'!$O:$O,MATCH($D3308,'Paramètres'!$M:$M,0))&amp;"",""))))</f>
        <v/>
      </c>
      <c r="N3308" s="6" t="str">
        <f>IF($D3308="","",IFERROR(INDEX('Paramètres'!$Q:$Q,MATCH($D3308,'Paramètres'!$M:$M,0))&amp;"",""))</f>
        <v/>
      </c>
      <c r="O3308" s="6" t="str">
        <f>IF($A3308="","",IF(OR($J3308&lt;&gt;"x",$A3308&lt;=FinReleve),1,0))</f>
        <v/>
      </c>
      <c r="P3308" s="6" t="str">
        <f>IF($D3308="","",IF(AND($L3308="Crédit",OR(IFERROR(INDEX('Paramètres'!$O:$O,MATCH($D3308,'Paramètres'!$M:$M,0))&amp;"","")&lt;&gt;"",ISNUMBER(SEARCH("remboursement",IFERROR(INDEX('Paramètres'!$N:$N,MATCH($D3308,'Paramètres'!$M:$M,0))&amp;"",""))))),1,0))</f>
        <v/>
      </c>
      <c r="Q3308" s="6" t="str">
        <f>IF($K3308="","",IF(ISNUMBER(SEARCH("transfert-interne",IFERROR(INDEX('Paramètres'!$N:$N,MATCH($D3308,'Paramètres'!$M:$M,0))&amp;"",""))),0,IF($L3308="Débit",$K3308,IF($P3308=1,-$K3308,0))))</f>
        <v/>
      </c>
      <c r="R3308" s="6" t="str">
        <f>IF($K3308="","",IF($L3308="Crédit",$K3308,-$K3308))</f>
        <v/>
      </c>
      <c r="S3308" s="6" t="str">
        <f>IF($C3308="","",IFERROR(INDEX('Paramètres'!$H:$H,MATCH($C3308,'Paramètres'!$D:$D,0))&amp;"",""))</f>
        <v/>
      </c>
      <c r="T3308" s="6" t="str">
        <f>IF($K3308="","",IF($S3308="",0,IF(ISNUMBER(SEARCH("apport-exterieur",IFERROR(INDEX('Paramètres'!$N:$N,MATCH($D3308,'Paramètres'!$M:$M,0))&amp;"",""))),0,IF(OR(IFERROR(INDEX('Paramètres'!$I:$I,MATCH($C3308,'Paramètres'!$D:$D,0))&amp;"","")="Les deux",IFERROR(INDEX('Paramètres'!$I:$I,MATCH($C3308,'Paramètres'!$D:$D,0))&amp;"","")=IF($P3308=1,"Débit",$L3308)),-IF($P3308=1,-$K3308,$K3308),0))))</f>
        <v/>
      </c>
      <c r="U3308" s="6" t="str">
        <f>IF($K3308="","",IF(ISNUMBER(SEARCH("sortie-epargne",IFERROR(INDEX('Paramètres'!$N:$N,MATCH($D3308,'Paramètres'!$M:$M,0))&amp;"",""))),$K3308,0))</f>
        <v/>
      </c>
      <c r="V3308" s="6" t="str">
        <f>IF(AND($A3308&lt;&gt;"",$O3308=1,$L3308="Débit",N($Q3308)&gt;0,$A3308&gt;=Visualisation!$B$1,$A3308&lt;Visualisation!$D$1),MAX($V$1:V3307)+1,"")</f>
        <v/>
      </c>
    </row>
    <row r="3309" spans="1:22" x14ac:dyDescent="0.25">
      <c r="A3309" s="9"/>
      <c r="E3309" s="10"/>
      <c r="K3309" s="11" t="str">
        <f>IF($E3309="","",ROUND($E3309*IF(ISNA(MATCH($C3309,'Paramètres'!$D:$D,0)),1,IF(INDEX('Paramètres'!$J:$J,MATCH($C3309,'Paramètres'!$D:$D,0))="",1,INDEX('Paramètres'!$J:$J,MATCH($C3309,'Paramètres'!$D:$D,0)))),2))</f>
        <v/>
      </c>
      <c r="L3309" s="6" t="str">
        <f>IF($D3309="","",IF($F3309&lt;&gt;"",$F3309,IF(ISNA(MATCH($D3309,'Paramètres'!$M:$M,0)),"⚠ Type inconnu",IFERROR(INDEX('Paramètres'!$P:$P,MATCH($D3309,'Paramètres'!$M:$M,0))&amp;"",""))))</f>
        <v/>
      </c>
      <c r="M3309" s="6" t="str">
        <f>IF($D3309="","",IF(ISNA(MATCH($D3309,'Paramètres'!$M:$M,0)),"⚠ Type inconnu",IF($L3309="Crédit","",IFERROR(INDEX('Paramètres'!$O:$O,MATCH($D3309,'Paramètres'!$M:$M,0))&amp;"",""))))</f>
        <v/>
      </c>
      <c r="N3309" s="6" t="str">
        <f>IF($D3309="","",IFERROR(INDEX('Paramètres'!$Q:$Q,MATCH($D3309,'Paramètres'!$M:$M,0))&amp;"",""))</f>
        <v/>
      </c>
      <c r="O3309" s="6" t="str">
        <f>IF($A3309="","",IF(OR($J3309&lt;&gt;"x",$A3309&lt;=FinReleve),1,0))</f>
        <v/>
      </c>
      <c r="P3309" s="6" t="str">
        <f>IF($D3309="","",IF(AND($L3309="Crédit",OR(IFERROR(INDEX('Paramètres'!$O:$O,MATCH($D3309,'Paramètres'!$M:$M,0))&amp;"","")&lt;&gt;"",ISNUMBER(SEARCH("remboursement",IFERROR(INDEX('Paramètres'!$N:$N,MATCH($D3309,'Paramètres'!$M:$M,0))&amp;"",""))))),1,0))</f>
        <v/>
      </c>
      <c r="Q3309" s="6" t="str">
        <f>IF($K3309="","",IF(ISNUMBER(SEARCH("transfert-interne",IFERROR(INDEX('Paramètres'!$N:$N,MATCH($D3309,'Paramètres'!$M:$M,0))&amp;"",""))),0,IF($L3309="Débit",$K3309,IF($P3309=1,-$K3309,0))))</f>
        <v/>
      </c>
      <c r="R3309" s="6" t="str">
        <f>IF($K3309="","",IF($L3309="Crédit",$K3309,-$K3309))</f>
        <v/>
      </c>
      <c r="S3309" s="6" t="str">
        <f>IF($C3309="","",IFERROR(INDEX('Paramètres'!$H:$H,MATCH($C3309,'Paramètres'!$D:$D,0))&amp;"",""))</f>
        <v/>
      </c>
      <c r="T3309" s="6" t="str">
        <f>IF($K3309="","",IF($S3309="",0,IF(ISNUMBER(SEARCH("apport-exterieur",IFERROR(INDEX('Paramètres'!$N:$N,MATCH($D3309,'Paramètres'!$M:$M,0))&amp;"",""))),0,IF(OR(IFERROR(INDEX('Paramètres'!$I:$I,MATCH($C3309,'Paramètres'!$D:$D,0))&amp;"","")="Les deux",IFERROR(INDEX('Paramètres'!$I:$I,MATCH($C3309,'Paramètres'!$D:$D,0))&amp;"","")=IF($P3309=1,"Débit",$L3309)),-IF($P3309=1,-$K3309,$K3309),0))))</f>
        <v/>
      </c>
      <c r="U3309" s="6" t="str">
        <f>IF($K3309="","",IF(ISNUMBER(SEARCH("sortie-epargne",IFERROR(INDEX('Paramètres'!$N:$N,MATCH($D3309,'Paramètres'!$M:$M,0))&amp;"",""))),$K3309,0))</f>
        <v/>
      </c>
      <c r="V3309" s="6" t="str">
        <f>IF(AND($A3309&lt;&gt;"",$O3309=1,$L3309="Débit",N($Q3309)&gt;0,$A3309&gt;=Visualisation!$B$1,$A3309&lt;Visualisation!$D$1),MAX($V$1:V3308)+1,"")</f>
        <v/>
      </c>
    </row>
    <row r="3310" spans="1:22" x14ac:dyDescent="0.25">
      <c r="A3310" s="9"/>
      <c r="E3310" s="10"/>
      <c r="K3310" s="11" t="str">
        <f>IF($E3310="","",ROUND($E3310*IF(ISNA(MATCH($C3310,'Paramètres'!$D:$D,0)),1,IF(INDEX('Paramètres'!$J:$J,MATCH($C3310,'Paramètres'!$D:$D,0))="",1,INDEX('Paramètres'!$J:$J,MATCH($C3310,'Paramètres'!$D:$D,0)))),2))</f>
        <v/>
      </c>
      <c r="L3310" s="6" t="str">
        <f>IF($D3310="","",IF($F3310&lt;&gt;"",$F3310,IF(ISNA(MATCH($D3310,'Paramètres'!$M:$M,0)),"⚠ Type inconnu",IFERROR(INDEX('Paramètres'!$P:$P,MATCH($D3310,'Paramètres'!$M:$M,0))&amp;"",""))))</f>
        <v/>
      </c>
      <c r="M3310" s="6" t="str">
        <f>IF($D3310="","",IF(ISNA(MATCH($D3310,'Paramètres'!$M:$M,0)),"⚠ Type inconnu",IF($L3310="Crédit","",IFERROR(INDEX('Paramètres'!$O:$O,MATCH($D3310,'Paramètres'!$M:$M,0))&amp;"",""))))</f>
        <v/>
      </c>
      <c r="N3310" s="6" t="str">
        <f>IF($D3310="","",IFERROR(INDEX('Paramètres'!$Q:$Q,MATCH($D3310,'Paramètres'!$M:$M,0))&amp;"",""))</f>
        <v/>
      </c>
      <c r="O3310" s="6" t="str">
        <f>IF($A3310="","",IF(OR($J3310&lt;&gt;"x",$A3310&lt;=FinReleve),1,0))</f>
        <v/>
      </c>
      <c r="P3310" s="6" t="str">
        <f>IF($D3310="","",IF(AND($L3310="Crédit",OR(IFERROR(INDEX('Paramètres'!$O:$O,MATCH($D3310,'Paramètres'!$M:$M,0))&amp;"","")&lt;&gt;"",ISNUMBER(SEARCH("remboursement",IFERROR(INDEX('Paramètres'!$N:$N,MATCH($D3310,'Paramètres'!$M:$M,0))&amp;"",""))))),1,0))</f>
        <v/>
      </c>
      <c r="Q3310" s="6" t="str">
        <f>IF($K3310="","",IF(ISNUMBER(SEARCH("transfert-interne",IFERROR(INDEX('Paramètres'!$N:$N,MATCH($D3310,'Paramètres'!$M:$M,0))&amp;"",""))),0,IF($L3310="Débit",$K3310,IF($P3310=1,-$K3310,0))))</f>
        <v/>
      </c>
      <c r="R3310" s="6" t="str">
        <f>IF($K3310="","",IF($L3310="Crédit",$K3310,-$K3310))</f>
        <v/>
      </c>
      <c r="S3310" s="6" t="str">
        <f>IF($C3310="","",IFERROR(INDEX('Paramètres'!$H:$H,MATCH($C3310,'Paramètres'!$D:$D,0))&amp;"",""))</f>
        <v/>
      </c>
      <c r="T3310" s="6" t="str">
        <f>IF($K3310="","",IF($S3310="",0,IF(ISNUMBER(SEARCH("apport-exterieur",IFERROR(INDEX('Paramètres'!$N:$N,MATCH($D3310,'Paramètres'!$M:$M,0))&amp;"",""))),0,IF(OR(IFERROR(INDEX('Paramètres'!$I:$I,MATCH($C3310,'Paramètres'!$D:$D,0))&amp;"","")="Les deux",IFERROR(INDEX('Paramètres'!$I:$I,MATCH($C3310,'Paramètres'!$D:$D,0))&amp;"","")=IF($P3310=1,"Débit",$L3310)),-IF($P3310=1,-$K3310,$K3310),0))))</f>
        <v/>
      </c>
      <c r="U3310" s="6" t="str">
        <f>IF($K3310="","",IF(ISNUMBER(SEARCH("sortie-epargne",IFERROR(INDEX('Paramètres'!$N:$N,MATCH($D3310,'Paramètres'!$M:$M,0))&amp;"",""))),$K3310,0))</f>
        <v/>
      </c>
      <c r="V3310" s="6" t="str">
        <f>IF(AND($A3310&lt;&gt;"",$O3310=1,$L3310="Débit",N($Q3310)&gt;0,$A3310&gt;=Visualisation!$B$1,$A3310&lt;Visualisation!$D$1),MAX($V$1:V3309)+1,"")</f>
        <v/>
      </c>
    </row>
    <row r="3311" spans="1:22" x14ac:dyDescent="0.25">
      <c r="A3311" s="9"/>
      <c r="E3311" s="10"/>
      <c r="K3311" s="11" t="str">
        <f>IF($E3311="","",ROUND($E3311*IF(ISNA(MATCH($C3311,'Paramètres'!$D:$D,0)),1,IF(INDEX('Paramètres'!$J:$J,MATCH($C3311,'Paramètres'!$D:$D,0))="",1,INDEX('Paramètres'!$J:$J,MATCH($C3311,'Paramètres'!$D:$D,0)))),2))</f>
        <v/>
      </c>
      <c r="L3311" s="6" t="str">
        <f>IF($D3311="","",IF($F3311&lt;&gt;"",$F3311,IF(ISNA(MATCH($D3311,'Paramètres'!$M:$M,0)),"⚠ Type inconnu",IFERROR(INDEX('Paramètres'!$P:$P,MATCH($D3311,'Paramètres'!$M:$M,0))&amp;"",""))))</f>
        <v/>
      </c>
      <c r="M3311" s="6" t="str">
        <f>IF($D3311="","",IF(ISNA(MATCH($D3311,'Paramètres'!$M:$M,0)),"⚠ Type inconnu",IF($L3311="Crédit","",IFERROR(INDEX('Paramètres'!$O:$O,MATCH($D3311,'Paramètres'!$M:$M,0))&amp;"",""))))</f>
        <v/>
      </c>
      <c r="N3311" s="6" t="str">
        <f>IF($D3311="","",IFERROR(INDEX('Paramètres'!$Q:$Q,MATCH($D3311,'Paramètres'!$M:$M,0))&amp;"",""))</f>
        <v/>
      </c>
      <c r="O3311" s="6" t="str">
        <f>IF($A3311="","",IF(OR($J3311&lt;&gt;"x",$A3311&lt;=FinReleve),1,0))</f>
        <v/>
      </c>
      <c r="P3311" s="6" t="str">
        <f>IF($D3311="","",IF(AND($L3311="Crédit",OR(IFERROR(INDEX('Paramètres'!$O:$O,MATCH($D3311,'Paramètres'!$M:$M,0))&amp;"","")&lt;&gt;"",ISNUMBER(SEARCH("remboursement",IFERROR(INDEX('Paramètres'!$N:$N,MATCH($D3311,'Paramètres'!$M:$M,0))&amp;"",""))))),1,0))</f>
        <v/>
      </c>
      <c r="Q3311" s="6" t="str">
        <f>IF($K3311="","",IF(ISNUMBER(SEARCH("transfert-interne",IFERROR(INDEX('Paramètres'!$N:$N,MATCH($D3311,'Paramètres'!$M:$M,0))&amp;"",""))),0,IF($L3311="Débit",$K3311,IF($P3311=1,-$K3311,0))))</f>
        <v/>
      </c>
      <c r="R3311" s="6" t="str">
        <f>IF($K3311="","",IF($L3311="Crédit",$K3311,-$K3311))</f>
        <v/>
      </c>
      <c r="S3311" s="6" t="str">
        <f>IF($C3311="","",IFERROR(INDEX('Paramètres'!$H:$H,MATCH($C3311,'Paramètres'!$D:$D,0))&amp;"",""))</f>
        <v/>
      </c>
      <c r="T3311" s="6" t="str">
        <f>IF($K3311="","",IF($S3311="",0,IF(ISNUMBER(SEARCH("apport-exterieur",IFERROR(INDEX('Paramètres'!$N:$N,MATCH($D3311,'Paramètres'!$M:$M,0))&amp;"",""))),0,IF(OR(IFERROR(INDEX('Paramètres'!$I:$I,MATCH($C3311,'Paramètres'!$D:$D,0))&amp;"","")="Les deux",IFERROR(INDEX('Paramètres'!$I:$I,MATCH($C3311,'Paramètres'!$D:$D,0))&amp;"","")=IF($P3311=1,"Débit",$L3311)),-IF($P3311=1,-$K3311,$K3311),0))))</f>
        <v/>
      </c>
      <c r="U3311" s="6" t="str">
        <f>IF($K3311="","",IF(ISNUMBER(SEARCH("sortie-epargne",IFERROR(INDEX('Paramètres'!$N:$N,MATCH($D3311,'Paramètres'!$M:$M,0))&amp;"",""))),$K3311,0))</f>
        <v/>
      </c>
      <c r="V3311" s="6" t="str">
        <f>IF(AND($A3311&lt;&gt;"",$O3311=1,$L3311="Débit",N($Q3311)&gt;0,$A3311&gt;=Visualisation!$B$1,$A3311&lt;Visualisation!$D$1),MAX($V$1:V3310)+1,"")</f>
        <v/>
      </c>
    </row>
    <row r="3312" spans="1:22" x14ac:dyDescent="0.25">
      <c r="A3312" s="9"/>
      <c r="E3312" s="10"/>
      <c r="K3312" s="11" t="str">
        <f>IF($E3312="","",ROUND($E3312*IF(ISNA(MATCH($C3312,'Paramètres'!$D:$D,0)),1,IF(INDEX('Paramètres'!$J:$J,MATCH($C3312,'Paramètres'!$D:$D,0))="",1,INDEX('Paramètres'!$J:$J,MATCH($C3312,'Paramètres'!$D:$D,0)))),2))</f>
        <v/>
      </c>
      <c r="L3312" s="6" t="str">
        <f>IF($D3312="","",IF($F3312&lt;&gt;"",$F3312,IF(ISNA(MATCH($D3312,'Paramètres'!$M:$M,0)),"⚠ Type inconnu",IFERROR(INDEX('Paramètres'!$P:$P,MATCH($D3312,'Paramètres'!$M:$M,0))&amp;"",""))))</f>
        <v/>
      </c>
      <c r="M3312" s="6" t="str">
        <f>IF($D3312="","",IF(ISNA(MATCH($D3312,'Paramètres'!$M:$M,0)),"⚠ Type inconnu",IF($L3312="Crédit","",IFERROR(INDEX('Paramètres'!$O:$O,MATCH($D3312,'Paramètres'!$M:$M,0))&amp;"",""))))</f>
        <v/>
      </c>
      <c r="N3312" s="6" t="str">
        <f>IF($D3312="","",IFERROR(INDEX('Paramètres'!$Q:$Q,MATCH($D3312,'Paramètres'!$M:$M,0))&amp;"",""))</f>
        <v/>
      </c>
      <c r="O3312" s="6" t="str">
        <f>IF($A3312="","",IF(OR($J3312&lt;&gt;"x",$A3312&lt;=FinReleve),1,0))</f>
        <v/>
      </c>
      <c r="P3312" s="6" t="str">
        <f>IF($D3312="","",IF(AND($L3312="Crédit",OR(IFERROR(INDEX('Paramètres'!$O:$O,MATCH($D3312,'Paramètres'!$M:$M,0))&amp;"","")&lt;&gt;"",ISNUMBER(SEARCH("remboursement",IFERROR(INDEX('Paramètres'!$N:$N,MATCH($D3312,'Paramètres'!$M:$M,0))&amp;"",""))))),1,0))</f>
        <v/>
      </c>
      <c r="Q3312" s="6" t="str">
        <f>IF($K3312="","",IF(ISNUMBER(SEARCH("transfert-interne",IFERROR(INDEX('Paramètres'!$N:$N,MATCH($D3312,'Paramètres'!$M:$M,0))&amp;"",""))),0,IF($L3312="Débit",$K3312,IF($P3312=1,-$K3312,0))))</f>
        <v/>
      </c>
      <c r="R3312" s="6" t="str">
        <f>IF($K3312="","",IF($L3312="Crédit",$K3312,-$K3312))</f>
        <v/>
      </c>
      <c r="S3312" s="6" t="str">
        <f>IF($C3312="","",IFERROR(INDEX('Paramètres'!$H:$H,MATCH($C3312,'Paramètres'!$D:$D,0))&amp;"",""))</f>
        <v/>
      </c>
      <c r="T3312" s="6" t="str">
        <f>IF($K3312="","",IF($S3312="",0,IF(ISNUMBER(SEARCH("apport-exterieur",IFERROR(INDEX('Paramètres'!$N:$N,MATCH($D3312,'Paramètres'!$M:$M,0))&amp;"",""))),0,IF(OR(IFERROR(INDEX('Paramètres'!$I:$I,MATCH($C3312,'Paramètres'!$D:$D,0))&amp;"","")="Les deux",IFERROR(INDEX('Paramètres'!$I:$I,MATCH($C3312,'Paramètres'!$D:$D,0))&amp;"","")=IF($P3312=1,"Débit",$L3312)),-IF($P3312=1,-$K3312,$K3312),0))))</f>
        <v/>
      </c>
      <c r="U3312" s="6" t="str">
        <f>IF($K3312="","",IF(ISNUMBER(SEARCH("sortie-epargne",IFERROR(INDEX('Paramètres'!$N:$N,MATCH($D3312,'Paramètres'!$M:$M,0))&amp;"",""))),$K3312,0))</f>
        <v/>
      </c>
      <c r="V3312" s="6" t="str">
        <f>IF(AND($A3312&lt;&gt;"",$O3312=1,$L3312="Débit",N($Q3312)&gt;0,$A3312&gt;=Visualisation!$B$1,$A3312&lt;Visualisation!$D$1),MAX($V$1:V3311)+1,"")</f>
        <v/>
      </c>
    </row>
    <row r="3313" spans="1:22" x14ac:dyDescent="0.25">
      <c r="A3313" s="9"/>
      <c r="E3313" s="10"/>
      <c r="K3313" s="11" t="str">
        <f>IF($E3313="","",ROUND($E3313*IF(ISNA(MATCH($C3313,'Paramètres'!$D:$D,0)),1,IF(INDEX('Paramètres'!$J:$J,MATCH($C3313,'Paramètres'!$D:$D,0))="",1,INDEX('Paramètres'!$J:$J,MATCH($C3313,'Paramètres'!$D:$D,0)))),2))</f>
        <v/>
      </c>
      <c r="L3313" s="6" t="str">
        <f>IF($D3313="","",IF($F3313&lt;&gt;"",$F3313,IF(ISNA(MATCH($D3313,'Paramètres'!$M:$M,0)),"⚠ Type inconnu",IFERROR(INDEX('Paramètres'!$P:$P,MATCH($D3313,'Paramètres'!$M:$M,0))&amp;"",""))))</f>
        <v/>
      </c>
      <c r="M3313" s="6" t="str">
        <f>IF($D3313="","",IF(ISNA(MATCH($D3313,'Paramètres'!$M:$M,0)),"⚠ Type inconnu",IF($L3313="Crédit","",IFERROR(INDEX('Paramètres'!$O:$O,MATCH($D3313,'Paramètres'!$M:$M,0))&amp;"",""))))</f>
        <v/>
      </c>
      <c r="N3313" s="6" t="str">
        <f>IF($D3313="","",IFERROR(INDEX('Paramètres'!$Q:$Q,MATCH($D3313,'Paramètres'!$M:$M,0))&amp;"",""))</f>
        <v/>
      </c>
      <c r="O3313" s="6" t="str">
        <f>IF($A3313="","",IF(OR($J3313&lt;&gt;"x",$A3313&lt;=FinReleve),1,0))</f>
        <v/>
      </c>
      <c r="P3313" s="6" t="str">
        <f>IF($D3313="","",IF(AND($L3313="Crédit",OR(IFERROR(INDEX('Paramètres'!$O:$O,MATCH($D3313,'Paramètres'!$M:$M,0))&amp;"","")&lt;&gt;"",ISNUMBER(SEARCH("remboursement",IFERROR(INDEX('Paramètres'!$N:$N,MATCH($D3313,'Paramètres'!$M:$M,0))&amp;"",""))))),1,0))</f>
        <v/>
      </c>
      <c r="Q3313" s="6" t="str">
        <f>IF($K3313="","",IF(ISNUMBER(SEARCH("transfert-interne",IFERROR(INDEX('Paramètres'!$N:$N,MATCH($D3313,'Paramètres'!$M:$M,0))&amp;"",""))),0,IF($L3313="Débit",$K3313,IF($P3313=1,-$K3313,0))))</f>
        <v/>
      </c>
      <c r="R3313" s="6" t="str">
        <f>IF($K3313="","",IF($L3313="Crédit",$K3313,-$K3313))</f>
        <v/>
      </c>
      <c r="S3313" s="6" t="str">
        <f>IF($C3313="","",IFERROR(INDEX('Paramètres'!$H:$H,MATCH($C3313,'Paramètres'!$D:$D,0))&amp;"",""))</f>
        <v/>
      </c>
      <c r="T3313" s="6" t="str">
        <f>IF($K3313="","",IF($S3313="",0,IF(ISNUMBER(SEARCH("apport-exterieur",IFERROR(INDEX('Paramètres'!$N:$N,MATCH($D3313,'Paramètres'!$M:$M,0))&amp;"",""))),0,IF(OR(IFERROR(INDEX('Paramètres'!$I:$I,MATCH($C3313,'Paramètres'!$D:$D,0))&amp;"","")="Les deux",IFERROR(INDEX('Paramètres'!$I:$I,MATCH($C3313,'Paramètres'!$D:$D,0))&amp;"","")=IF($P3313=1,"Débit",$L3313)),-IF($P3313=1,-$K3313,$K3313),0))))</f>
        <v/>
      </c>
      <c r="U3313" s="6" t="str">
        <f>IF($K3313="","",IF(ISNUMBER(SEARCH("sortie-epargne",IFERROR(INDEX('Paramètres'!$N:$N,MATCH($D3313,'Paramètres'!$M:$M,0))&amp;"",""))),$K3313,0))</f>
        <v/>
      </c>
      <c r="V3313" s="6" t="str">
        <f>IF(AND($A3313&lt;&gt;"",$O3313=1,$L3313="Débit",N($Q3313)&gt;0,$A3313&gt;=Visualisation!$B$1,$A3313&lt;Visualisation!$D$1),MAX($V$1:V3312)+1,"")</f>
        <v/>
      </c>
    </row>
    <row r="3314" spans="1:22" x14ac:dyDescent="0.25">
      <c r="A3314" s="9"/>
      <c r="E3314" s="10"/>
      <c r="K3314" s="11" t="str">
        <f>IF($E3314="","",ROUND($E3314*IF(ISNA(MATCH($C3314,'Paramètres'!$D:$D,0)),1,IF(INDEX('Paramètres'!$J:$J,MATCH($C3314,'Paramètres'!$D:$D,0))="",1,INDEX('Paramètres'!$J:$J,MATCH($C3314,'Paramètres'!$D:$D,0)))),2))</f>
        <v/>
      </c>
      <c r="L3314" s="6" t="str">
        <f>IF($D3314="","",IF($F3314&lt;&gt;"",$F3314,IF(ISNA(MATCH($D3314,'Paramètres'!$M:$M,0)),"⚠ Type inconnu",IFERROR(INDEX('Paramètres'!$P:$P,MATCH($D3314,'Paramètres'!$M:$M,0))&amp;"",""))))</f>
        <v/>
      </c>
      <c r="M3314" s="6" t="str">
        <f>IF($D3314="","",IF(ISNA(MATCH($D3314,'Paramètres'!$M:$M,0)),"⚠ Type inconnu",IF($L3314="Crédit","",IFERROR(INDEX('Paramètres'!$O:$O,MATCH($D3314,'Paramètres'!$M:$M,0))&amp;"",""))))</f>
        <v/>
      </c>
      <c r="N3314" s="6" t="str">
        <f>IF($D3314="","",IFERROR(INDEX('Paramètres'!$Q:$Q,MATCH($D3314,'Paramètres'!$M:$M,0))&amp;"",""))</f>
        <v/>
      </c>
      <c r="O3314" s="6" t="str">
        <f>IF($A3314="","",IF(OR($J3314&lt;&gt;"x",$A3314&lt;=FinReleve),1,0))</f>
        <v/>
      </c>
      <c r="P3314" s="6" t="str">
        <f>IF($D3314="","",IF(AND($L3314="Crédit",OR(IFERROR(INDEX('Paramètres'!$O:$O,MATCH($D3314,'Paramètres'!$M:$M,0))&amp;"","")&lt;&gt;"",ISNUMBER(SEARCH("remboursement",IFERROR(INDEX('Paramètres'!$N:$N,MATCH($D3314,'Paramètres'!$M:$M,0))&amp;"",""))))),1,0))</f>
        <v/>
      </c>
      <c r="Q3314" s="6" t="str">
        <f>IF($K3314="","",IF(ISNUMBER(SEARCH("transfert-interne",IFERROR(INDEX('Paramètres'!$N:$N,MATCH($D3314,'Paramètres'!$M:$M,0))&amp;"",""))),0,IF($L3314="Débit",$K3314,IF($P3314=1,-$K3314,0))))</f>
        <v/>
      </c>
      <c r="R3314" s="6" t="str">
        <f>IF($K3314="","",IF($L3314="Crédit",$K3314,-$K3314))</f>
        <v/>
      </c>
      <c r="S3314" s="6" t="str">
        <f>IF($C3314="","",IFERROR(INDEX('Paramètres'!$H:$H,MATCH($C3314,'Paramètres'!$D:$D,0))&amp;"",""))</f>
        <v/>
      </c>
      <c r="T3314" s="6" t="str">
        <f>IF($K3314="","",IF($S3314="",0,IF(ISNUMBER(SEARCH("apport-exterieur",IFERROR(INDEX('Paramètres'!$N:$N,MATCH($D3314,'Paramètres'!$M:$M,0))&amp;"",""))),0,IF(OR(IFERROR(INDEX('Paramètres'!$I:$I,MATCH($C3314,'Paramètres'!$D:$D,0))&amp;"","")="Les deux",IFERROR(INDEX('Paramètres'!$I:$I,MATCH($C3314,'Paramètres'!$D:$D,0))&amp;"","")=IF($P3314=1,"Débit",$L3314)),-IF($P3314=1,-$K3314,$K3314),0))))</f>
        <v/>
      </c>
      <c r="U3314" s="6" t="str">
        <f>IF($K3314="","",IF(ISNUMBER(SEARCH("sortie-epargne",IFERROR(INDEX('Paramètres'!$N:$N,MATCH($D3314,'Paramètres'!$M:$M,0))&amp;"",""))),$K3314,0))</f>
        <v/>
      </c>
      <c r="V3314" s="6" t="str">
        <f>IF(AND($A3314&lt;&gt;"",$O3314=1,$L3314="Débit",N($Q3314)&gt;0,$A3314&gt;=Visualisation!$B$1,$A3314&lt;Visualisation!$D$1),MAX($V$1:V3313)+1,"")</f>
        <v/>
      </c>
    </row>
    <row r="3315" spans="1:22" x14ac:dyDescent="0.25">
      <c r="A3315" s="9"/>
      <c r="E3315" s="10"/>
      <c r="K3315" s="11" t="str">
        <f>IF($E3315="","",ROUND($E3315*IF(ISNA(MATCH($C3315,'Paramètres'!$D:$D,0)),1,IF(INDEX('Paramètres'!$J:$J,MATCH($C3315,'Paramètres'!$D:$D,0))="",1,INDEX('Paramètres'!$J:$J,MATCH($C3315,'Paramètres'!$D:$D,0)))),2))</f>
        <v/>
      </c>
      <c r="L3315" s="6" t="str">
        <f>IF($D3315="","",IF($F3315&lt;&gt;"",$F3315,IF(ISNA(MATCH($D3315,'Paramètres'!$M:$M,0)),"⚠ Type inconnu",IFERROR(INDEX('Paramètres'!$P:$P,MATCH($D3315,'Paramètres'!$M:$M,0))&amp;"",""))))</f>
        <v/>
      </c>
      <c r="M3315" s="6" t="str">
        <f>IF($D3315="","",IF(ISNA(MATCH($D3315,'Paramètres'!$M:$M,0)),"⚠ Type inconnu",IF($L3315="Crédit","",IFERROR(INDEX('Paramètres'!$O:$O,MATCH($D3315,'Paramètres'!$M:$M,0))&amp;"",""))))</f>
        <v/>
      </c>
      <c r="N3315" s="6" t="str">
        <f>IF($D3315="","",IFERROR(INDEX('Paramètres'!$Q:$Q,MATCH($D3315,'Paramètres'!$M:$M,0))&amp;"",""))</f>
        <v/>
      </c>
      <c r="O3315" s="6" t="str">
        <f>IF($A3315="","",IF(OR($J3315&lt;&gt;"x",$A3315&lt;=FinReleve),1,0))</f>
        <v/>
      </c>
      <c r="P3315" s="6" t="str">
        <f>IF($D3315="","",IF(AND($L3315="Crédit",OR(IFERROR(INDEX('Paramètres'!$O:$O,MATCH($D3315,'Paramètres'!$M:$M,0))&amp;"","")&lt;&gt;"",ISNUMBER(SEARCH("remboursement",IFERROR(INDEX('Paramètres'!$N:$N,MATCH($D3315,'Paramètres'!$M:$M,0))&amp;"",""))))),1,0))</f>
        <v/>
      </c>
      <c r="Q3315" s="6" t="str">
        <f>IF($K3315="","",IF(ISNUMBER(SEARCH("transfert-interne",IFERROR(INDEX('Paramètres'!$N:$N,MATCH($D3315,'Paramètres'!$M:$M,0))&amp;"",""))),0,IF($L3315="Débit",$K3315,IF($P3315=1,-$K3315,0))))</f>
        <v/>
      </c>
      <c r="R3315" s="6" t="str">
        <f>IF($K3315="","",IF($L3315="Crédit",$K3315,-$K3315))</f>
        <v/>
      </c>
      <c r="S3315" s="6" t="str">
        <f>IF($C3315="","",IFERROR(INDEX('Paramètres'!$H:$H,MATCH($C3315,'Paramètres'!$D:$D,0))&amp;"",""))</f>
        <v/>
      </c>
      <c r="T3315" s="6" t="str">
        <f>IF($K3315="","",IF($S3315="",0,IF(ISNUMBER(SEARCH("apport-exterieur",IFERROR(INDEX('Paramètres'!$N:$N,MATCH($D3315,'Paramètres'!$M:$M,0))&amp;"",""))),0,IF(OR(IFERROR(INDEX('Paramètres'!$I:$I,MATCH($C3315,'Paramètres'!$D:$D,0))&amp;"","")="Les deux",IFERROR(INDEX('Paramètres'!$I:$I,MATCH($C3315,'Paramètres'!$D:$D,0))&amp;"","")=IF($P3315=1,"Débit",$L3315)),-IF($P3315=1,-$K3315,$K3315),0))))</f>
        <v/>
      </c>
      <c r="U3315" s="6" t="str">
        <f>IF($K3315="","",IF(ISNUMBER(SEARCH("sortie-epargne",IFERROR(INDEX('Paramètres'!$N:$N,MATCH($D3315,'Paramètres'!$M:$M,0))&amp;"",""))),$K3315,0))</f>
        <v/>
      </c>
      <c r="V3315" s="6" t="str">
        <f>IF(AND($A3315&lt;&gt;"",$O3315=1,$L3315="Débit",N($Q3315)&gt;0,$A3315&gt;=Visualisation!$B$1,$A3315&lt;Visualisation!$D$1),MAX($V$1:V3314)+1,"")</f>
        <v/>
      </c>
    </row>
    <row r="3316" spans="1:22" x14ac:dyDescent="0.25">
      <c r="A3316" s="9"/>
      <c r="E3316" s="10"/>
      <c r="K3316" s="11" t="str">
        <f>IF($E3316="","",ROUND($E3316*IF(ISNA(MATCH($C3316,'Paramètres'!$D:$D,0)),1,IF(INDEX('Paramètres'!$J:$J,MATCH($C3316,'Paramètres'!$D:$D,0))="",1,INDEX('Paramètres'!$J:$J,MATCH($C3316,'Paramètres'!$D:$D,0)))),2))</f>
        <v/>
      </c>
      <c r="L3316" s="6" t="str">
        <f>IF($D3316="","",IF($F3316&lt;&gt;"",$F3316,IF(ISNA(MATCH($D3316,'Paramètres'!$M:$M,0)),"⚠ Type inconnu",IFERROR(INDEX('Paramètres'!$P:$P,MATCH($D3316,'Paramètres'!$M:$M,0))&amp;"",""))))</f>
        <v/>
      </c>
      <c r="M3316" s="6" t="str">
        <f>IF($D3316="","",IF(ISNA(MATCH($D3316,'Paramètres'!$M:$M,0)),"⚠ Type inconnu",IF($L3316="Crédit","",IFERROR(INDEX('Paramètres'!$O:$O,MATCH($D3316,'Paramètres'!$M:$M,0))&amp;"",""))))</f>
        <v/>
      </c>
      <c r="N3316" s="6" t="str">
        <f>IF($D3316="","",IFERROR(INDEX('Paramètres'!$Q:$Q,MATCH($D3316,'Paramètres'!$M:$M,0))&amp;"",""))</f>
        <v/>
      </c>
      <c r="O3316" s="6" t="str">
        <f>IF($A3316="","",IF(OR($J3316&lt;&gt;"x",$A3316&lt;=FinReleve),1,0))</f>
        <v/>
      </c>
      <c r="P3316" s="6" t="str">
        <f>IF($D3316="","",IF(AND($L3316="Crédit",OR(IFERROR(INDEX('Paramètres'!$O:$O,MATCH($D3316,'Paramètres'!$M:$M,0))&amp;"","")&lt;&gt;"",ISNUMBER(SEARCH("remboursement",IFERROR(INDEX('Paramètres'!$N:$N,MATCH($D3316,'Paramètres'!$M:$M,0))&amp;"",""))))),1,0))</f>
        <v/>
      </c>
      <c r="Q3316" s="6" t="str">
        <f>IF($K3316="","",IF(ISNUMBER(SEARCH("transfert-interne",IFERROR(INDEX('Paramètres'!$N:$N,MATCH($D3316,'Paramètres'!$M:$M,0))&amp;"",""))),0,IF($L3316="Débit",$K3316,IF($P3316=1,-$K3316,0))))</f>
        <v/>
      </c>
      <c r="R3316" s="6" t="str">
        <f>IF($K3316="","",IF($L3316="Crédit",$K3316,-$K3316))</f>
        <v/>
      </c>
      <c r="S3316" s="6" t="str">
        <f>IF($C3316="","",IFERROR(INDEX('Paramètres'!$H:$H,MATCH($C3316,'Paramètres'!$D:$D,0))&amp;"",""))</f>
        <v/>
      </c>
      <c r="T3316" s="6" t="str">
        <f>IF($K3316="","",IF($S3316="",0,IF(ISNUMBER(SEARCH("apport-exterieur",IFERROR(INDEX('Paramètres'!$N:$N,MATCH($D3316,'Paramètres'!$M:$M,0))&amp;"",""))),0,IF(OR(IFERROR(INDEX('Paramètres'!$I:$I,MATCH($C3316,'Paramètres'!$D:$D,0))&amp;"","")="Les deux",IFERROR(INDEX('Paramètres'!$I:$I,MATCH($C3316,'Paramètres'!$D:$D,0))&amp;"","")=IF($P3316=1,"Débit",$L3316)),-IF($P3316=1,-$K3316,$K3316),0))))</f>
        <v/>
      </c>
      <c r="U3316" s="6" t="str">
        <f>IF($K3316="","",IF(ISNUMBER(SEARCH("sortie-epargne",IFERROR(INDEX('Paramètres'!$N:$N,MATCH($D3316,'Paramètres'!$M:$M,0))&amp;"",""))),$K3316,0))</f>
        <v/>
      </c>
      <c r="V3316" s="6" t="str">
        <f>IF(AND($A3316&lt;&gt;"",$O3316=1,$L3316="Débit",N($Q3316)&gt;0,$A3316&gt;=Visualisation!$B$1,$A3316&lt;Visualisation!$D$1),MAX($V$1:V3315)+1,"")</f>
        <v/>
      </c>
    </row>
    <row r="3317" spans="1:22" x14ac:dyDescent="0.25">
      <c r="A3317" s="9"/>
      <c r="E3317" s="10"/>
      <c r="K3317" s="11" t="str">
        <f>IF($E3317="","",ROUND($E3317*IF(ISNA(MATCH($C3317,'Paramètres'!$D:$D,0)),1,IF(INDEX('Paramètres'!$J:$J,MATCH($C3317,'Paramètres'!$D:$D,0))="",1,INDEX('Paramètres'!$J:$J,MATCH($C3317,'Paramètres'!$D:$D,0)))),2))</f>
        <v/>
      </c>
      <c r="L3317" s="6" t="str">
        <f>IF($D3317="","",IF($F3317&lt;&gt;"",$F3317,IF(ISNA(MATCH($D3317,'Paramètres'!$M:$M,0)),"⚠ Type inconnu",IFERROR(INDEX('Paramètres'!$P:$P,MATCH($D3317,'Paramètres'!$M:$M,0))&amp;"",""))))</f>
        <v/>
      </c>
      <c r="M3317" s="6" t="str">
        <f>IF($D3317="","",IF(ISNA(MATCH($D3317,'Paramètres'!$M:$M,0)),"⚠ Type inconnu",IF($L3317="Crédit","",IFERROR(INDEX('Paramètres'!$O:$O,MATCH($D3317,'Paramètres'!$M:$M,0))&amp;"",""))))</f>
        <v/>
      </c>
      <c r="N3317" s="6" t="str">
        <f>IF($D3317="","",IFERROR(INDEX('Paramètres'!$Q:$Q,MATCH($D3317,'Paramètres'!$M:$M,0))&amp;"",""))</f>
        <v/>
      </c>
      <c r="O3317" s="6" t="str">
        <f>IF($A3317="","",IF(OR($J3317&lt;&gt;"x",$A3317&lt;=FinReleve),1,0))</f>
        <v/>
      </c>
      <c r="P3317" s="6" t="str">
        <f>IF($D3317="","",IF(AND($L3317="Crédit",OR(IFERROR(INDEX('Paramètres'!$O:$O,MATCH($D3317,'Paramètres'!$M:$M,0))&amp;"","")&lt;&gt;"",ISNUMBER(SEARCH("remboursement",IFERROR(INDEX('Paramètres'!$N:$N,MATCH($D3317,'Paramètres'!$M:$M,0))&amp;"",""))))),1,0))</f>
        <v/>
      </c>
      <c r="Q3317" s="6" t="str">
        <f>IF($K3317="","",IF(ISNUMBER(SEARCH("transfert-interne",IFERROR(INDEX('Paramètres'!$N:$N,MATCH($D3317,'Paramètres'!$M:$M,0))&amp;"",""))),0,IF($L3317="Débit",$K3317,IF($P3317=1,-$K3317,0))))</f>
        <v/>
      </c>
      <c r="R3317" s="6" t="str">
        <f>IF($K3317="","",IF($L3317="Crédit",$K3317,-$K3317))</f>
        <v/>
      </c>
      <c r="S3317" s="6" t="str">
        <f>IF($C3317="","",IFERROR(INDEX('Paramètres'!$H:$H,MATCH($C3317,'Paramètres'!$D:$D,0))&amp;"",""))</f>
        <v/>
      </c>
      <c r="T3317" s="6" t="str">
        <f>IF($K3317="","",IF($S3317="",0,IF(ISNUMBER(SEARCH("apport-exterieur",IFERROR(INDEX('Paramètres'!$N:$N,MATCH($D3317,'Paramètres'!$M:$M,0))&amp;"",""))),0,IF(OR(IFERROR(INDEX('Paramètres'!$I:$I,MATCH($C3317,'Paramètres'!$D:$D,0))&amp;"","")="Les deux",IFERROR(INDEX('Paramètres'!$I:$I,MATCH($C3317,'Paramètres'!$D:$D,0))&amp;"","")=IF($P3317=1,"Débit",$L3317)),-IF($P3317=1,-$K3317,$K3317),0))))</f>
        <v/>
      </c>
      <c r="U3317" s="6" t="str">
        <f>IF($K3317="","",IF(ISNUMBER(SEARCH("sortie-epargne",IFERROR(INDEX('Paramètres'!$N:$N,MATCH($D3317,'Paramètres'!$M:$M,0))&amp;"",""))),$K3317,0))</f>
        <v/>
      </c>
      <c r="V3317" s="6" t="str">
        <f>IF(AND($A3317&lt;&gt;"",$O3317=1,$L3317="Débit",N($Q3317)&gt;0,$A3317&gt;=Visualisation!$B$1,$A3317&lt;Visualisation!$D$1),MAX($V$1:V3316)+1,"")</f>
        <v/>
      </c>
    </row>
    <row r="3318" spans="1:22" x14ac:dyDescent="0.25">
      <c r="A3318" s="9"/>
      <c r="E3318" s="10"/>
      <c r="K3318" s="11" t="str">
        <f>IF($E3318="","",ROUND($E3318*IF(ISNA(MATCH($C3318,'Paramètres'!$D:$D,0)),1,IF(INDEX('Paramètres'!$J:$J,MATCH($C3318,'Paramètres'!$D:$D,0))="",1,INDEX('Paramètres'!$J:$J,MATCH($C3318,'Paramètres'!$D:$D,0)))),2))</f>
        <v/>
      </c>
      <c r="L3318" s="6" t="str">
        <f>IF($D3318="","",IF($F3318&lt;&gt;"",$F3318,IF(ISNA(MATCH($D3318,'Paramètres'!$M:$M,0)),"⚠ Type inconnu",IFERROR(INDEX('Paramètres'!$P:$P,MATCH($D3318,'Paramètres'!$M:$M,0))&amp;"",""))))</f>
        <v/>
      </c>
      <c r="M3318" s="6" t="str">
        <f>IF($D3318="","",IF(ISNA(MATCH($D3318,'Paramètres'!$M:$M,0)),"⚠ Type inconnu",IF($L3318="Crédit","",IFERROR(INDEX('Paramètres'!$O:$O,MATCH($D3318,'Paramètres'!$M:$M,0))&amp;"",""))))</f>
        <v/>
      </c>
      <c r="N3318" s="6" t="str">
        <f>IF($D3318="","",IFERROR(INDEX('Paramètres'!$Q:$Q,MATCH($D3318,'Paramètres'!$M:$M,0))&amp;"",""))</f>
        <v/>
      </c>
      <c r="O3318" s="6" t="str">
        <f>IF($A3318="","",IF(OR($J3318&lt;&gt;"x",$A3318&lt;=FinReleve),1,0))</f>
        <v/>
      </c>
      <c r="P3318" s="6" t="str">
        <f>IF($D3318="","",IF(AND($L3318="Crédit",OR(IFERROR(INDEX('Paramètres'!$O:$O,MATCH($D3318,'Paramètres'!$M:$M,0))&amp;"","")&lt;&gt;"",ISNUMBER(SEARCH("remboursement",IFERROR(INDEX('Paramètres'!$N:$N,MATCH($D3318,'Paramètres'!$M:$M,0))&amp;"",""))))),1,0))</f>
        <v/>
      </c>
      <c r="Q3318" s="6" t="str">
        <f>IF($K3318="","",IF(ISNUMBER(SEARCH("transfert-interne",IFERROR(INDEX('Paramètres'!$N:$N,MATCH($D3318,'Paramètres'!$M:$M,0))&amp;"",""))),0,IF($L3318="Débit",$K3318,IF($P3318=1,-$K3318,0))))</f>
        <v/>
      </c>
      <c r="R3318" s="6" t="str">
        <f>IF($K3318="","",IF($L3318="Crédit",$K3318,-$K3318))</f>
        <v/>
      </c>
      <c r="S3318" s="6" t="str">
        <f>IF($C3318="","",IFERROR(INDEX('Paramètres'!$H:$H,MATCH($C3318,'Paramètres'!$D:$D,0))&amp;"",""))</f>
        <v/>
      </c>
      <c r="T3318" s="6" t="str">
        <f>IF($K3318="","",IF($S3318="",0,IF(ISNUMBER(SEARCH("apport-exterieur",IFERROR(INDEX('Paramètres'!$N:$N,MATCH($D3318,'Paramètres'!$M:$M,0))&amp;"",""))),0,IF(OR(IFERROR(INDEX('Paramètres'!$I:$I,MATCH($C3318,'Paramètres'!$D:$D,0))&amp;"","")="Les deux",IFERROR(INDEX('Paramètres'!$I:$I,MATCH($C3318,'Paramètres'!$D:$D,0))&amp;"","")=IF($P3318=1,"Débit",$L3318)),-IF($P3318=1,-$K3318,$K3318),0))))</f>
        <v/>
      </c>
      <c r="U3318" s="6" t="str">
        <f>IF($K3318="","",IF(ISNUMBER(SEARCH("sortie-epargne",IFERROR(INDEX('Paramètres'!$N:$N,MATCH($D3318,'Paramètres'!$M:$M,0))&amp;"",""))),$K3318,0))</f>
        <v/>
      </c>
      <c r="V3318" s="6" t="str">
        <f>IF(AND($A3318&lt;&gt;"",$O3318=1,$L3318="Débit",N($Q3318)&gt;0,$A3318&gt;=Visualisation!$B$1,$A3318&lt;Visualisation!$D$1),MAX($V$1:V3317)+1,"")</f>
        <v/>
      </c>
    </row>
    <row r="3319" spans="1:22" x14ac:dyDescent="0.25">
      <c r="A3319" s="9"/>
      <c r="E3319" s="10"/>
      <c r="K3319" s="11" t="str">
        <f>IF($E3319="","",ROUND($E3319*IF(ISNA(MATCH($C3319,'Paramètres'!$D:$D,0)),1,IF(INDEX('Paramètres'!$J:$J,MATCH($C3319,'Paramètres'!$D:$D,0))="",1,INDEX('Paramètres'!$J:$J,MATCH($C3319,'Paramètres'!$D:$D,0)))),2))</f>
        <v/>
      </c>
      <c r="L3319" s="6" t="str">
        <f>IF($D3319="","",IF($F3319&lt;&gt;"",$F3319,IF(ISNA(MATCH($D3319,'Paramètres'!$M:$M,0)),"⚠ Type inconnu",IFERROR(INDEX('Paramètres'!$P:$P,MATCH($D3319,'Paramètres'!$M:$M,0))&amp;"",""))))</f>
        <v/>
      </c>
      <c r="M3319" s="6" t="str">
        <f>IF($D3319="","",IF(ISNA(MATCH($D3319,'Paramètres'!$M:$M,0)),"⚠ Type inconnu",IF($L3319="Crédit","",IFERROR(INDEX('Paramètres'!$O:$O,MATCH($D3319,'Paramètres'!$M:$M,0))&amp;"",""))))</f>
        <v/>
      </c>
      <c r="N3319" s="6" t="str">
        <f>IF($D3319="","",IFERROR(INDEX('Paramètres'!$Q:$Q,MATCH($D3319,'Paramètres'!$M:$M,0))&amp;"",""))</f>
        <v/>
      </c>
      <c r="O3319" s="6" t="str">
        <f>IF($A3319="","",IF(OR($J3319&lt;&gt;"x",$A3319&lt;=FinReleve),1,0))</f>
        <v/>
      </c>
      <c r="P3319" s="6" t="str">
        <f>IF($D3319="","",IF(AND($L3319="Crédit",OR(IFERROR(INDEX('Paramètres'!$O:$O,MATCH($D3319,'Paramètres'!$M:$M,0))&amp;"","")&lt;&gt;"",ISNUMBER(SEARCH("remboursement",IFERROR(INDEX('Paramètres'!$N:$N,MATCH($D3319,'Paramètres'!$M:$M,0))&amp;"",""))))),1,0))</f>
        <v/>
      </c>
      <c r="Q3319" s="6" t="str">
        <f>IF($K3319="","",IF(ISNUMBER(SEARCH("transfert-interne",IFERROR(INDEX('Paramètres'!$N:$N,MATCH($D3319,'Paramètres'!$M:$M,0))&amp;"",""))),0,IF($L3319="Débit",$K3319,IF($P3319=1,-$K3319,0))))</f>
        <v/>
      </c>
      <c r="R3319" s="6" t="str">
        <f>IF($K3319="","",IF($L3319="Crédit",$K3319,-$K3319))</f>
        <v/>
      </c>
      <c r="S3319" s="6" t="str">
        <f>IF($C3319="","",IFERROR(INDEX('Paramètres'!$H:$H,MATCH($C3319,'Paramètres'!$D:$D,0))&amp;"",""))</f>
        <v/>
      </c>
      <c r="T3319" s="6" t="str">
        <f>IF($K3319="","",IF($S3319="",0,IF(ISNUMBER(SEARCH("apport-exterieur",IFERROR(INDEX('Paramètres'!$N:$N,MATCH($D3319,'Paramètres'!$M:$M,0))&amp;"",""))),0,IF(OR(IFERROR(INDEX('Paramètres'!$I:$I,MATCH($C3319,'Paramètres'!$D:$D,0))&amp;"","")="Les deux",IFERROR(INDEX('Paramètres'!$I:$I,MATCH($C3319,'Paramètres'!$D:$D,0))&amp;"","")=IF($P3319=1,"Débit",$L3319)),-IF($P3319=1,-$K3319,$K3319),0))))</f>
        <v/>
      </c>
      <c r="U3319" s="6" t="str">
        <f>IF($K3319="","",IF(ISNUMBER(SEARCH("sortie-epargne",IFERROR(INDEX('Paramètres'!$N:$N,MATCH($D3319,'Paramètres'!$M:$M,0))&amp;"",""))),$K3319,0))</f>
        <v/>
      </c>
      <c r="V3319" s="6" t="str">
        <f>IF(AND($A3319&lt;&gt;"",$O3319=1,$L3319="Débit",N($Q3319)&gt;0,$A3319&gt;=Visualisation!$B$1,$A3319&lt;Visualisation!$D$1),MAX($V$1:V3318)+1,"")</f>
        <v/>
      </c>
    </row>
    <row r="3320" spans="1:22" x14ac:dyDescent="0.25">
      <c r="A3320" s="9"/>
      <c r="E3320" s="10"/>
      <c r="K3320" s="11" t="str">
        <f>IF($E3320="","",ROUND($E3320*IF(ISNA(MATCH($C3320,'Paramètres'!$D:$D,0)),1,IF(INDEX('Paramètres'!$J:$J,MATCH($C3320,'Paramètres'!$D:$D,0))="",1,INDEX('Paramètres'!$J:$J,MATCH($C3320,'Paramètres'!$D:$D,0)))),2))</f>
        <v/>
      </c>
      <c r="L3320" s="6" t="str">
        <f>IF($D3320="","",IF($F3320&lt;&gt;"",$F3320,IF(ISNA(MATCH($D3320,'Paramètres'!$M:$M,0)),"⚠ Type inconnu",IFERROR(INDEX('Paramètres'!$P:$P,MATCH($D3320,'Paramètres'!$M:$M,0))&amp;"",""))))</f>
        <v/>
      </c>
      <c r="M3320" s="6" t="str">
        <f>IF($D3320="","",IF(ISNA(MATCH($D3320,'Paramètres'!$M:$M,0)),"⚠ Type inconnu",IF($L3320="Crédit","",IFERROR(INDEX('Paramètres'!$O:$O,MATCH($D3320,'Paramètres'!$M:$M,0))&amp;"",""))))</f>
        <v/>
      </c>
      <c r="N3320" s="6" t="str">
        <f>IF($D3320="","",IFERROR(INDEX('Paramètres'!$Q:$Q,MATCH($D3320,'Paramètres'!$M:$M,0))&amp;"",""))</f>
        <v/>
      </c>
      <c r="O3320" s="6" t="str">
        <f>IF($A3320="","",IF(OR($J3320&lt;&gt;"x",$A3320&lt;=FinReleve),1,0))</f>
        <v/>
      </c>
      <c r="P3320" s="6" t="str">
        <f>IF($D3320="","",IF(AND($L3320="Crédit",OR(IFERROR(INDEX('Paramètres'!$O:$O,MATCH($D3320,'Paramètres'!$M:$M,0))&amp;"","")&lt;&gt;"",ISNUMBER(SEARCH("remboursement",IFERROR(INDEX('Paramètres'!$N:$N,MATCH($D3320,'Paramètres'!$M:$M,0))&amp;"",""))))),1,0))</f>
        <v/>
      </c>
      <c r="Q3320" s="6" t="str">
        <f>IF($K3320="","",IF(ISNUMBER(SEARCH("transfert-interne",IFERROR(INDEX('Paramètres'!$N:$N,MATCH($D3320,'Paramètres'!$M:$M,0))&amp;"",""))),0,IF($L3320="Débit",$K3320,IF($P3320=1,-$K3320,0))))</f>
        <v/>
      </c>
      <c r="R3320" s="6" t="str">
        <f>IF($K3320="","",IF($L3320="Crédit",$K3320,-$K3320))</f>
        <v/>
      </c>
      <c r="S3320" s="6" t="str">
        <f>IF($C3320="","",IFERROR(INDEX('Paramètres'!$H:$H,MATCH($C3320,'Paramètres'!$D:$D,0))&amp;"",""))</f>
        <v/>
      </c>
      <c r="T3320" s="6" t="str">
        <f>IF($K3320="","",IF($S3320="",0,IF(ISNUMBER(SEARCH("apport-exterieur",IFERROR(INDEX('Paramètres'!$N:$N,MATCH($D3320,'Paramètres'!$M:$M,0))&amp;"",""))),0,IF(OR(IFERROR(INDEX('Paramètres'!$I:$I,MATCH($C3320,'Paramètres'!$D:$D,0))&amp;"","")="Les deux",IFERROR(INDEX('Paramètres'!$I:$I,MATCH($C3320,'Paramètres'!$D:$D,0))&amp;"","")=IF($P3320=1,"Débit",$L3320)),-IF($P3320=1,-$K3320,$K3320),0))))</f>
        <v/>
      </c>
      <c r="U3320" s="6" t="str">
        <f>IF($K3320="","",IF(ISNUMBER(SEARCH("sortie-epargne",IFERROR(INDEX('Paramètres'!$N:$N,MATCH($D3320,'Paramètres'!$M:$M,0))&amp;"",""))),$K3320,0))</f>
        <v/>
      </c>
      <c r="V3320" s="6" t="str">
        <f>IF(AND($A3320&lt;&gt;"",$O3320=1,$L3320="Débit",N($Q3320)&gt;0,$A3320&gt;=Visualisation!$B$1,$A3320&lt;Visualisation!$D$1),MAX($V$1:V3319)+1,"")</f>
        <v/>
      </c>
    </row>
    <row r="3321" spans="1:22" x14ac:dyDescent="0.25">
      <c r="A3321" s="9"/>
      <c r="E3321" s="10"/>
      <c r="K3321" s="11" t="str">
        <f>IF($E3321="","",ROUND($E3321*IF(ISNA(MATCH($C3321,'Paramètres'!$D:$D,0)),1,IF(INDEX('Paramètres'!$J:$J,MATCH($C3321,'Paramètres'!$D:$D,0))="",1,INDEX('Paramètres'!$J:$J,MATCH($C3321,'Paramètres'!$D:$D,0)))),2))</f>
        <v/>
      </c>
      <c r="L3321" s="6" t="str">
        <f>IF($D3321="","",IF($F3321&lt;&gt;"",$F3321,IF(ISNA(MATCH($D3321,'Paramètres'!$M:$M,0)),"⚠ Type inconnu",IFERROR(INDEX('Paramètres'!$P:$P,MATCH($D3321,'Paramètres'!$M:$M,0))&amp;"",""))))</f>
        <v/>
      </c>
      <c r="M3321" s="6" t="str">
        <f>IF($D3321="","",IF(ISNA(MATCH($D3321,'Paramètres'!$M:$M,0)),"⚠ Type inconnu",IF($L3321="Crédit","",IFERROR(INDEX('Paramètres'!$O:$O,MATCH($D3321,'Paramètres'!$M:$M,0))&amp;"",""))))</f>
        <v/>
      </c>
      <c r="N3321" s="6" t="str">
        <f>IF($D3321="","",IFERROR(INDEX('Paramètres'!$Q:$Q,MATCH($D3321,'Paramètres'!$M:$M,0))&amp;"",""))</f>
        <v/>
      </c>
      <c r="O3321" s="6" t="str">
        <f>IF($A3321="","",IF(OR($J3321&lt;&gt;"x",$A3321&lt;=FinReleve),1,0))</f>
        <v/>
      </c>
      <c r="P3321" s="6" t="str">
        <f>IF($D3321="","",IF(AND($L3321="Crédit",OR(IFERROR(INDEX('Paramètres'!$O:$O,MATCH($D3321,'Paramètres'!$M:$M,0))&amp;"","")&lt;&gt;"",ISNUMBER(SEARCH("remboursement",IFERROR(INDEX('Paramètres'!$N:$N,MATCH($D3321,'Paramètres'!$M:$M,0))&amp;"",""))))),1,0))</f>
        <v/>
      </c>
      <c r="Q3321" s="6" t="str">
        <f>IF($K3321="","",IF(ISNUMBER(SEARCH("transfert-interne",IFERROR(INDEX('Paramètres'!$N:$N,MATCH($D3321,'Paramètres'!$M:$M,0))&amp;"",""))),0,IF($L3321="Débit",$K3321,IF($P3321=1,-$K3321,0))))</f>
        <v/>
      </c>
      <c r="R3321" s="6" t="str">
        <f>IF($K3321="","",IF($L3321="Crédit",$K3321,-$K3321))</f>
        <v/>
      </c>
      <c r="S3321" s="6" t="str">
        <f>IF($C3321="","",IFERROR(INDEX('Paramètres'!$H:$H,MATCH($C3321,'Paramètres'!$D:$D,0))&amp;"",""))</f>
        <v/>
      </c>
      <c r="T3321" s="6" t="str">
        <f>IF($K3321="","",IF($S3321="",0,IF(ISNUMBER(SEARCH("apport-exterieur",IFERROR(INDEX('Paramètres'!$N:$N,MATCH($D3321,'Paramètres'!$M:$M,0))&amp;"",""))),0,IF(OR(IFERROR(INDEX('Paramètres'!$I:$I,MATCH($C3321,'Paramètres'!$D:$D,0))&amp;"","")="Les deux",IFERROR(INDEX('Paramètres'!$I:$I,MATCH($C3321,'Paramètres'!$D:$D,0))&amp;"","")=IF($P3321=1,"Débit",$L3321)),-IF($P3321=1,-$K3321,$K3321),0))))</f>
        <v/>
      </c>
      <c r="U3321" s="6" t="str">
        <f>IF($K3321="","",IF(ISNUMBER(SEARCH("sortie-epargne",IFERROR(INDEX('Paramètres'!$N:$N,MATCH($D3321,'Paramètres'!$M:$M,0))&amp;"",""))),$K3321,0))</f>
        <v/>
      </c>
      <c r="V3321" s="6" t="str">
        <f>IF(AND($A3321&lt;&gt;"",$O3321=1,$L3321="Débit",N($Q3321)&gt;0,$A3321&gt;=Visualisation!$B$1,$A3321&lt;Visualisation!$D$1),MAX($V$1:V3320)+1,"")</f>
        <v/>
      </c>
    </row>
    <row r="3322" spans="1:22" x14ac:dyDescent="0.25">
      <c r="A3322" s="9"/>
      <c r="E3322" s="10"/>
      <c r="K3322" s="11" t="str">
        <f>IF($E3322="","",ROUND($E3322*IF(ISNA(MATCH($C3322,'Paramètres'!$D:$D,0)),1,IF(INDEX('Paramètres'!$J:$J,MATCH($C3322,'Paramètres'!$D:$D,0))="",1,INDEX('Paramètres'!$J:$J,MATCH($C3322,'Paramètres'!$D:$D,0)))),2))</f>
        <v/>
      </c>
      <c r="L3322" s="6" t="str">
        <f>IF($D3322="","",IF($F3322&lt;&gt;"",$F3322,IF(ISNA(MATCH($D3322,'Paramètres'!$M:$M,0)),"⚠ Type inconnu",IFERROR(INDEX('Paramètres'!$P:$P,MATCH($D3322,'Paramètres'!$M:$M,0))&amp;"",""))))</f>
        <v/>
      </c>
      <c r="M3322" s="6" t="str">
        <f>IF($D3322="","",IF(ISNA(MATCH($D3322,'Paramètres'!$M:$M,0)),"⚠ Type inconnu",IF($L3322="Crédit","",IFERROR(INDEX('Paramètres'!$O:$O,MATCH($D3322,'Paramètres'!$M:$M,0))&amp;"",""))))</f>
        <v/>
      </c>
      <c r="N3322" s="6" t="str">
        <f>IF($D3322="","",IFERROR(INDEX('Paramètres'!$Q:$Q,MATCH($D3322,'Paramètres'!$M:$M,0))&amp;"",""))</f>
        <v/>
      </c>
      <c r="O3322" s="6" t="str">
        <f>IF($A3322="","",IF(OR($J3322&lt;&gt;"x",$A3322&lt;=FinReleve),1,0))</f>
        <v/>
      </c>
      <c r="P3322" s="6" t="str">
        <f>IF($D3322="","",IF(AND($L3322="Crédit",OR(IFERROR(INDEX('Paramètres'!$O:$O,MATCH($D3322,'Paramètres'!$M:$M,0))&amp;"","")&lt;&gt;"",ISNUMBER(SEARCH("remboursement",IFERROR(INDEX('Paramètres'!$N:$N,MATCH($D3322,'Paramètres'!$M:$M,0))&amp;"",""))))),1,0))</f>
        <v/>
      </c>
      <c r="Q3322" s="6" t="str">
        <f>IF($K3322="","",IF(ISNUMBER(SEARCH("transfert-interne",IFERROR(INDEX('Paramètres'!$N:$N,MATCH($D3322,'Paramètres'!$M:$M,0))&amp;"",""))),0,IF($L3322="Débit",$K3322,IF($P3322=1,-$K3322,0))))</f>
        <v/>
      </c>
      <c r="R3322" s="6" t="str">
        <f>IF($K3322="","",IF($L3322="Crédit",$K3322,-$K3322))</f>
        <v/>
      </c>
      <c r="S3322" s="6" t="str">
        <f>IF($C3322="","",IFERROR(INDEX('Paramètres'!$H:$H,MATCH($C3322,'Paramètres'!$D:$D,0))&amp;"",""))</f>
        <v/>
      </c>
      <c r="T3322" s="6" t="str">
        <f>IF($K3322="","",IF($S3322="",0,IF(ISNUMBER(SEARCH("apport-exterieur",IFERROR(INDEX('Paramètres'!$N:$N,MATCH($D3322,'Paramètres'!$M:$M,0))&amp;"",""))),0,IF(OR(IFERROR(INDEX('Paramètres'!$I:$I,MATCH($C3322,'Paramètres'!$D:$D,0))&amp;"","")="Les deux",IFERROR(INDEX('Paramètres'!$I:$I,MATCH($C3322,'Paramètres'!$D:$D,0))&amp;"","")=IF($P3322=1,"Débit",$L3322)),-IF($P3322=1,-$K3322,$K3322),0))))</f>
        <v/>
      </c>
      <c r="U3322" s="6" t="str">
        <f>IF($K3322="","",IF(ISNUMBER(SEARCH("sortie-epargne",IFERROR(INDEX('Paramètres'!$N:$N,MATCH($D3322,'Paramètres'!$M:$M,0))&amp;"",""))),$K3322,0))</f>
        <v/>
      </c>
      <c r="V3322" s="6" t="str">
        <f>IF(AND($A3322&lt;&gt;"",$O3322=1,$L3322="Débit",N($Q3322)&gt;0,$A3322&gt;=Visualisation!$B$1,$A3322&lt;Visualisation!$D$1),MAX($V$1:V3321)+1,"")</f>
        <v/>
      </c>
    </row>
    <row r="3323" spans="1:22" x14ac:dyDescent="0.25">
      <c r="A3323" s="9"/>
      <c r="E3323" s="10"/>
      <c r="K3323" s="11" t="str">
        <f>IF($E3323="","",ROUND($E3323*IF(ISNA(MATCH($C3323,'Paramètres'!$D:$D,0)),1,IF(INDEX('Paramètres'!$J:$J,MATCH($C3323,'Paramètres'!$D:$D,0))="",1,INDEX('Paramètres'!$J:$J,MATCH($C3323,'Paramètres'!$D:$D,0)))),2))</f>
        <v/>
      </c>
      <c r="L3323" s="6" t="str">
        <f>IF($D3323="","",IF($F3323&lt;&gt;"",$F3323,IF(ISNA(MATCH($D3323,'Paramètres'!$M:$M,0)),"⚠ Type inconnu",IFERROR(INDEX('Paramètres'!$P:$P,MATCH($D3323,'Paramètres'!$M:$M,0))&amp;"",""))))</f>
        <v/>
      </c>
      <c r="M3323" s="6" t="str">
        <f>IF($D3323="","",IF(ISNA(MATCH($D3323,'Paramètres'!$M:$M,0)),"⚠ Type inconnu",IF($L3323="Crédit","",IFERROR(INDEX('Paramètres'!$O:$O,MATCH($D3323,'Paramètres'!$M:$M,0))&amp;"",""))))</f>
        <v/>
      </c>
      <c r="N3323" s="6" t="str">
        <f>IF($D3323="","",IFERROR(INDEX('Paramètres'!$Q:$Q,MATCH($D3323,'Paramètres'!$M:$M,0))&amp;"",""))</f>
        <v/>
      </c>
      <c r="O3323" s="6" t="str">
        <f>IF($A3323="","",IF(OR($J3323&lt;&gt;"x",$A3323&lt;=FinReleve),1,0))</f>
        <v/>
      </c>
      <c r="P3323" s="6" t="str">
        <f>IF($D3323="","",IF(AND($L3323="Crédit",OR(IFERROR(INDEX('Paramètres'!$O:$O,MATCH($D3323,'Paramètres'!$M:$M,0))&amp;"","")&lt;&gt;"",ISNUMBER(SEARCH("remboursement",IFERROR(INDEX('Paramètres'!$N:$N,MATCH($D3323,'Paramètres'!$M:$M,0))&amp;"",""))))),1,0))</f>
        <v/>
      </c>
      <c r="Q3323" s="6" t="str">
        <f>IF($K3323="","",IF(ISNUMBER(SEARCH("transfert-interne",IFERROR(INDEX('Paramètres'!$N:$N,MATCH($D3323,'Paramètres'!$M:$M,0))&amp;"",""))),0,IF($L3323="Débit",$K3323,IF($P3323=1,-$K3323,0))))</f>
        <v/>
      </c>
      <c r="R3323" s="6" t="str">
        <f>IF($K3323="","",IF($L3323="Crédit",$K3323,-$K3323))</f>
        <v/>
      </c>
      <c r="S3323" s="6" t="str">
        <f>IF($C3323="","",IFERROR(INDEX('Paramètres'!$H:$H,MATCH($C3323,'Paramètres'!$D:$D,0))&amp;"",""))</f>
        <v/>
      </c>
      <c r="T3323" s="6" t="str">
        <f>IF($K3323="","",IF($S3323="",0,IF(ISNUMBER(SEARCH("apport-exterieur",IFERROR(INDEX('Paramètres'!$N:$N,MATCH($D3323,'Paramètres'!$M:$M,0))&amp;"",""))),0,IF(OR(IFERROR(INDEX('Paramètres'!$I:$I,MATCH($C3323,'Paramètres'!$D:$D,0))&amp;"","")="Les deux",IFERROR(INDEX('Paramètres'!$I:$I,MATCH($C3323,'Paramètres'!$D:$D,0))&amp;"","")=IF($P3323=1,"Débit",$L3323)),-IF($P3323=1,-$K3323,$K3323),0))))</f>
        <v/>
      </c>
      <c r="U3323" s="6" t="str">
        <f>IF($K3323="","",IF(ISNUMBER(SEARCH("sortie-epargne",IFERROR(INDEX('Paramètres'!$N:$N,MATCH($D3323,'Paramètres'!$M:$M,0))&amp;"",""))),$K3323,0))</f>
        <v/>
      </c>
      <c r="V3323" s="6" t="str">
        <f>IF(AND($A3323&lt;&gt;"",$O3323=1,$L3323="Débit",N($Q3323)&gt;0,$A3323&gt;=Visualisation!$B$1,$A3323&lt;Visualisation!$D$1),MAX($V$1:V3322)+1,"")</f>
        <v/>
      </c>
    </row>
    <row r="3324" spans="1:22" x14ac:dyDescent="0.25">
      <c r="A3324" s="9"/>
      <c r="E3324" s="10"/>
      <c r="K3324" s="11" t="str">
        <f>IF($E3324="","",ROUND($E3324*IF(ISNA(MATCH($C3324,'Paramètres'!$D:$D,0)),1,IF(INDEX('Paramètres'!$J:$J,MATCH($C3324,'Paramètres'!$D:$D,0))="",1,INDEX('Paramètres'!$J:$J,MATCH($C3324,'Paramètres'!$D:$D,0)))),2))</f>
        <v/>
      </c>
      <c r="L3324" s="6" t="str">
        <f>IF($D3324="","",IF($F3324&lt;&gt;"",$F3324,IF(ISNA(MATCH($D3324,'Paramètres'!$M:$M,0)),"⚠ Type inconnu",IFERROR(INDEX('Paramètres'!$P:$P,MATCH($D3324,'Paramètres'!$M:$M,0))&amp;"",""))))</f>
        <v/>
      </c>
      <c r="M3324" s="6" t="str">
        <f>IF($D3324="","",IF(ISNA(MATCH($D3324,'Paramètres'!$M:$M,0)),"⚠ Type inconnu",IF($L3324="Crédit","",IFERROR(INDEX('Paramètres'!$O:$O,MATCH($D3324,'Paramètres'!$M:$M,0))&amp;"",""))))</f>
        <v/>
      </c>
      <c r="N3324" s="6" t="str">
        <f>IF($D3324="","",IFERROR(INDEX('Paramètres'!$Q:$Q,MATCH($D3324,'Paramètres'!$M:$M,0))&amp;"",""))</f>
        <v/>
      </c>
      <c r="O3324" s="6" t="str">
        <f>IF($A3324="","",IF(OR($J3324&lt;&gt;"x",$A3324&lt;=FinReleve),1,0))</f>
        <v/>
      </c>
      <c r="P3324" s="6" t="str">
        <f>IF($D3324="","",IF(AND($L3324="Crédit",OR(IFERROR(INDEX('Paramètres'!$O:$O,MATCH($D3324,'Paramètres'!$M:$M,0))&amp;"","")&lt;&gt;"",ISNUMBER(SEARCH("remboursement",IFERROR(INDEX('Paramètres'!$N:$N,MATCH($D3324,'Paramètres'!$M:$M,0))&amp;"",""))))),1,0))</f>
        <v/>
      </c>
      <c r="Q3324" s="6" t="str">
        <f>IF($K3324="","",IF(ISNUMBER(SEARCH("transfert-interne",IFERROR(INDEX('Paramètres'!$N:$N,MATCH($D3324,'Paramètres'!$M:$M,0))&amp;"",""))),0,IF($L3324="Débit",$K3324,IF($P3324=1,-$K3324,0))))</f>
        <v/>
      </c>
      <c r="R3324" s="6" t="str">
        <f>IF($K3324="","",IF($L3324="Crédit",$K3324,-$K3324))</f>
        <v/>
      </c>
      <c r="S3324" s="6" t="str">
        <f>IF($C3324="","",IFERROR(INDEX('Paramètres'!$H:$H,MATCH($C3324,'Paramètres'!$D:$D,0))&amp;"",""))</f>
        <v/>
      </c>
      <c r="T3324" s="6" t="str">
        <f>IF($K3324="","",IF($S3324="",0,IF(ISNUMBER(SEARCH("apport-exterieur",IFERROR(INDEX('Paramètres'!$N:$N,MATCH($D3324,'Paramètres'!$M:$M,0))&amp;"",""))),0,IF(OR(IFERROR(INDEX('Paramètres'!$I:$I,MATCH($C3324,'Paramètres'!$D:$D,0))&amp;"","")="Les deux",IFERROR(INDEX('Paramètres'!$I:$I,MATCH($C3324,'Paramètres'!$D:$D,0))&amp;"","")=IF($P3324=1,"Débit",$L3324)),-IF($P3324=1,-$K3324,$K3324),0))))</f>
        <v/>
      </c>
      <c r="U3324" s="6" t="str">
        <f>IF($K3324="","",IF(ISNUMBER(SEARCH("sortie-epargne",IFERROR(INDEX('Paramètres'!$N:$N,MATCH($D3324,'Paramètres'!$M:$M,0))&amp;"",""))),$K3324,0))</f>
        <v/>
      </c>
      <c r="V3324" s="6" t="str">
        <f>IF(AND($A3324&lt;&gt;"",$O3324=1,$L3324="Débit",N($Q3324)&gt;0,$A3324&gt;=Visualisation!$B$1,$A3324&lt;Visualisation!$D$1),MAX($V$1:V3323)+1,"")</f>
        <v/>
      </c>
    </row>
    <row r="3325" spans="1:22" x14ac:dyDescent="0.25">
      <c r="A3325" s="9"/>
      <c r="E3325" s="10"/>
      <c r="K3325" s="11" t="str">
        <f>IF($E3325="","",ROUND($E3325*IF(ISNA(MATCH($C3325,'Paramètres'!$D:$D,0)),1,IF(INDEX('Paramètres'!$J:$J,MATCH($C3325,'Paramètres'!$D:$D,0))="",1,INDEX('Paramètres'!$J:$J,MATCH($C3325,'Paramètres'!$D:$D,0)))),2))</f>
        <v/>
      </c>
      <c r="L3325" s="6" t="str">
        <f>IF($D3325="","",IF($F3325&lt;&gt;"",$F3325,IF(ISNA(MATCH($D3325,'Paramètres'!$M:$M,0)),"⚠ Type inconnu",IFERROR(INDEX('Paramètres'!$P:$P,MATCH($D3325,'Paramètres'!$M:$M,0))&amp;"",""))))</f>
        <v/>
      </c>
      <c r="M3325" s="6" t="str">
        <f>IF($D3325="","",IF(ISNA(MATCH($D3325,'Paramètres'!$M:$M,0)),"⚠ Type inconnu",IF($L3325="Crédit","",IFERROR(INDEX('Paramètres'!$O:$O,MATCH($D3325,'Paramètres'!$M:$M,0))&amp;"",""))))</f>
        <v/>
      </c>
      <c r="N3325" s="6" t="str">
        <f>IF($D3325="","",IFERROR(INDEX('Paramètres'!$Q:$Q,MATCH($D3325,'Paramètres'!$M:$M,0))&amp;"",""))</f>
        <v/>
      </c>
      <c r="O3325" s="6" t="str">
        <f>IF($A3325="","",IF(OR($J3325&lt;&gt;"x",$A3325&lt;=FinReleve),1,0))</f>
        <v/>
      </c>
      <c r="P3325" s="6" t="str">
        <f>IF($D3325="","",IF(AND($L3325="Crédit",OR(IFERROR(INDEX('Paramètres'!$O:$O,MATCH($D3325,'Paramètres'!$M:$M,0))&amp;"","")&lt;&gt;"",ISNUMBER(SEARCH("remboursement",IFERROR(INDEX('Paramètres'!$N:$N,MATCH($D3325,'Paramètres'!$M:$M,0))&amp;"",""))))),1,0))</f>
        <v/>
      </c>
      <c r="Q3325" s="6" t="str">
        <f>IF($K3325="","",IF(ISNUMBER(SEARCH("transfert-interne",IFERROR(INDEX('Paramètres'!$N:$N,MATCH($D3325,'Paramètres'!$M:$M,0))&amp;"",""))),0,IF($L3325="Débit",$K3325,IF($P3325=1,-$K3325,0))))</f>
        <v/>
      </c>
      <c r="R3325" s="6" t="str">
        <f>IF($K3325="","",IF($L3325="Crédit",$K3325,-$K3325))</f>
        <v/>
      </c>
      <c r="S3325" s="6" t="str">
        <f>IF($C3325="","",IFERROR(INDEX('Paramètres'!$H:$H,MATCH($C3325,'Paramètres'!$D:$D,0))&amp;"",""))</f>
        <v/>
      </c>
      <c r="T3325" s="6" t="str">
        <f>IF($K3325="","",IF($S3325="",0,IF(ISNUMBER(SEARCH("apport-exterieur",IFERROR(INDEX('Paramètres'!$N:$N,MATCH($D3325,'Paramètres'!$M:$M,0))&amp;"",""))),0,IF(OR(IFERROR(INDEX('Paramètres'!$I:$I,MATCH($C3325,'Paramètres'!$D:$D,0))&amp;"","")="Les deux",IFERROR(INDEX('Paramètres'!$I:$I,MATCH($C3325,'Paramètres'!$D:$D,0))&amp;"","")=IF($P3325=1,"Débit",$L3325)),-IF($P3325=1,-$K3325,$K3325),0))))</f>
        <v/>
      </c>
      <c r="U3325" s="6" t="str">
        <f>IF($K3325="","",IF(ISNUMBER(SEARCH("sortie-epargne",IFERROR(INDEX('Paramètres'!$N:$N,MATCH($D3325,'Paramètres'!$M:$M,0))&amp;"",""))),$K3325,0))</f>
        <v/>
      </c>
      <c r="V3325" s="6" t="str">
        <f>IF(AND($A3325&lt;&gt;"",$O3325=1,$L3325="Débit",N($Q3325)&gt;0,$A3325&gt;=Visualisation!$B$1,$A3325&lt;Visualisation!$D$1),MAX($V$1:V3324)+1,"")</f>
        <v/>
      </c>
    </row>
    <row r="3326" spans="1:22" x14ac:dyDescent="0.25">
      <c r="A3326" s="9"/>
      <c r="E3326" s="10"/>
      <c r="K3326" s="11" t="str">
        <f>IF($E3326="","",ROUND($E3326*IF(ISNA(MATCH($C3326,'Paramètres'!$D:$D,0)),1,IF(INDEX('Paramètres'!$J:$J,MATCH($C3326,'Paramètres'!$D:$D,0))="",1,INDEX('Paramètres'!$J:$J,MATCH($C3326,'Paramètres'!$D:$D,0)))),2))</f>
        <v/>
      </c>
      <c r="L3326" s="6" t="str">
        <f>IF($D3326="","",IF($F3326&lt;&gt;"",$F3326,IF(ISNA(MATCH($D3326,'Paramètres'!$M:$M,0)),"⚠ Type inconnu",IFERROR(INDEX('Paramètres'!$P:$P,MATCH($D3326,'Paramètres'!$M:$M,0))&amp;"",""))))</f>
        <v/>
      </c>
      <c r="M3326" s="6" t="str">
        <f>IF($D3326="","",IF(ISNA(MATCH($D3326,'Paramètres'!$M:$M,0)),"⚠ Type inconnu",IF($L3326="Crédit","",IFERROR(INDEX('Paramètres'!$O:$O,MATCH($D3326,'Paramètres'!$M:$M,0))&amp;"",""))))</f>
        <v/>
      </c>
      <c r="N3326" s="6" t="str">
        <f>IF($D3326="","",IFERROR(INDEX('Paramètres'!$Q:$Q,MATCH($D3326,'Paramètres'!$M:$M,0))&amp;"",""))</f>
        <v/>
      </c>
      <c r="O3326" s="6" t="str">
        <f>IF($A3326="","",IF(OR($J3326&lt;&gt;"x",$A3326&lt;=FinReleve),1,0))</f>
        <v/>
      </c>
      <c r="P3326" s="6" t="str">
        <f>IF($D3326="","",IF(AND($L3326="Crédit",OR(IFERROR(INDEX('Paramètres'!$O:$O,MATCH($D3326,'Paramètres'!$M:$M,0))&amp;"","")&lt;&gt;"",ISNUMBER(SEARCH("remboursement",IFERROR(INDEX('Paramètres'!$N:$N,MATCH($D3326,'Paramètres'!$M:$M,0))&amp;"",""))))),1,0))</f>
        <v/>
      </c>
      <c r="Q3326" s="6" t="str">
        <f>IF($K3326="","",IF(ISNUMBER(SEARCH("transfert-interne",IFERROR(INDEX('Paramètres'!$N:$N,MATCH($D3326,'Paramètres'!$M:$M,0))&amp;"",""))),0,IF($L3326="Débit",$K3326,IF($P3326=1,-$K3326,0))))</f>
        <v/>
      </c>
      <c r="R3326" s="6" t="str">
        <f>IF($K3326="","",IF($L3326="Crédit",$K3326,-$K3326))</f>
        <v/>
      </c>
      <c r="S3326" s="6" t="str">
        <f>IF($C3326="","",IFERROR(INDEX('Paramètres'!$H:$H,MATCH($C3326,'Paramètres'!$D:$D,0))&amp;"",""))</f>
        <v/>
      </c>
      <c r="T3326" s="6" t="str">
        <f>IF($K3326="","",IF($S3326="",0,IF(ISNUMBER(SEARCH("apport-exterieur",IFERROR(INDEX('Paramètres'!$N:$N,MATCH($D3326,'Paramètres'!$M:$M,0))&amp;"",""))),0,IF(OR(IFERROR(INDEX('Paramètres'!$I:$I,MATCH($C3326,'Paramètres'!$D:$D,0))&amp;"","")="Les deux",IFERROR(INDEX('Paramètres'!$I:$I,MATCH($C3326,'Paramètres'!$D:$D,0))&amp;"","")=IF($P3326=1,"Débit",$L3326)),-IF($P3326=1,-$K3326,$K3326),0))))</f>
        <v/>
      </c>
      <c r="U3326" s="6" t="str">
        <f>IF($K3326="","",IF(ISNUMBER(SEARCH("sortie-epargne",IFERROR(INDEX('Paramètres'!$N:$N,MATCH($D3326,'Paramètres'!$M:$M,0))&amp;"",""))),$K3326,0))</f>
        <v/>
      </c>
      <c r="V3326" s="6" t="str">
        <f>IF(AND($A3326&lt;&gt;"",$O3326=1,$L3326="Débit",N($Q3326)&gt;0,$A3326&gt;=Visualisation!$B$1,$A3326&lt;Visualisation!$D$1),MAX($V$1:V3325)+1,"")</f>
        <v/>
      </c>
    </row>
    <row r="3327" spans="1:22" x14ac:dyDescent="0.25">
      <c r="A3327" s="9"/>
      <c r="E3327" s="10"/>
      <c r="K3327" s="11" t="str">
        <f>IF($E3327="","",ROUND($E3327*IF(ISNA(MATCH($C3327,'Paramètres'!$D:$D,0)),1,IF(INDEX('Paramètres'!$J:$J,MATCH($C3327,'Paramètres'!$D:$D,0))="",1,INDEX('Paramètres'!$J:$J,MATCH($C3327,'Paramètres'!$D:$D,0)))),2))</f>
        <v/>
      </c>
      <c r="L3327" s="6" t="str">
        <f>IF($D3327="","",IF($F3327&lt;&gt;"",$F3327,IF(ISNA(MATCH($D3327,'Paramètres'!$M:$M,0)),"⚠ Type inconnu",IFERROR(INDEX('Paramètres'!$P:$P,MATCH($D3327,'Paramètres'!$M:$M,0))&amp;"",""))))</f>
        <v/>
      </c>
      <c r="M3327" s="6" t="str">
        <f>IF($D3327="","",IF(ISNA(MATCH($D3327,'Paramètres'!$M:$M,0)),"⚠ Type inconnu",IF($L3327="Crédit","",IFERROR(INDEX('Paramètres'!$O:$O,MATCH($D3327,'Paramètres'!$M:$M,0))&amp;"",""))))</f>
        <v/>
      </c>
      <c r="N3327" s="6" t="str">
        <f>IF($D3327="","",IFERROR(INDEX('Paramètres'!$Q:$Q,MATCH($D3327,'Paramètres'!$M:$M,0))&amp;"",""))</f>
        <v/>
      </c>
      <c r="O3327" s="6" t="str">
        <f>IF($A3327="","",IF(OR($J3327&lt;&gt;"x",$A3327&lt;=FinReleve),1,0))</f>
        <v/>
      </c>
      <c r="P3327" s="6" t="str">
        <f>IF($D3327="","",IF(AND($L3327="Crédit",OR(IFERROR(INDEX('Paramètres'!$O:$O,MATCH($D3327,'Paramètres'!$M:$M,0))&amp;"","")&lt;&gt;"",ISNUMBER(SEARCH("remboursement",IFERROR(INDEX('Paramètres'!$N:$N,MATCH($D3327,'Paramètres'!$M:$M,0))&amp;"",""))))),1,0))</f>
        <v/>
      </c>
      <c r="Q3327" s="6" t="str">
        <f>IF($K3327="","",IF(ISNUMBER(SEARCH("transfert-interne",IFERROR(INDEX('Paramètres'!$N:$N,MATCH($D3327,'Paramètres'!$M:$M,0))&amp;"",""))),0,IF($L3327="Débit",$K3327,IF($P3327=1,-$K3327,0))))</f>
        <v/>
      </c>
      <c r="R3327" s="6" t="str">
        <f>IF($K3327="","",IF($L3327="Crédit",$K3327,-$K3327))</f>
        <v/>
      </c>
      <c r="S3327" s="6" t="str">
        <f>IF($C3327="","",IFERROR(INDEX('Paramètres'!$H:$H,MATCH($C3327,'Paramètres'!$D:$D,0))&amp;"",""))</f>
        <v/>
      </c>
      <c r="T3327" s="6" t="str">
        <f>IF($K3327="","",IF($S3327="",0,IF(ISNUMBER(SEARCH("apport-exterieur",IFERROR(INDEX('Paramètres'!$N:$N,MATCH($D3327,'Paramètres'!$M:$M,0))&amp;"",""))),0,IF(OR(IFERROR(INDEX('Paramètres'!$I:$I,MATCH($C3327,'Paramètres'!$D:$D,0))&amp;"","")="Les deux",IFERROR(INDEX('Paramètres'!$I:$I,MATCH($C3327,'Paramètres'!$D:$D,0))&amp;"","")=IF($P3327=1,"Débit",$L3327)),-IF($P3327=1,-$K3327,$K3327),0))))</f>
        <v/>
      </c>
      <c r="U3327" s="6" t="str">
        <f>IF($K3327="","",IF(ISNUMBER(SEARCH("sortie-epargne",IFERROR(INDEX('Paramètres'!$N:$N,MATCH($D3327,'Paramètres'!$M:$M,0))&amp;"",""))),$K3327,0))</f>
        <v/>
      </c>
      <c r="V3327" s="6" t="str">
        <f>IF(AND($A3327&lt;&gt;"",$O3327=1,$L3327="Débit",N($Q3327)&gt;0,$A3327&gt;=Visualisation!$B$1,$A3327&lt;Visualisation!$D$1),MAX($V$1:V3326)+1,"")</f>
        <v/>
      </c>
    </row>
    <row r="3328" spans="1:22" x14ac:dyDescent="0.25">
      <c r="A3328" s="9"/>
      <c r="E3328" s="10"/>
      <c r="K3328" s="11" t="str">
        <f>IF($E3328="","",ROUND($E3328*IF(ISNA(MATCH($C3328,'Paramètres'!$D:$D,0)),1,IF(INDEX('Paramètres'!$J:$J,MATCH($C3328,'Paramètres'!$D:$D,0))="",1,INDEX('Paramètres'!$J:$J,MATCH($C3328,'Paramètres'!$D:$D,0)))),2))</f>
        <v/>
      </c>
      <c r="L3328" s="6" t="str">
        <f>IF($D3328="","",IF($F3328&lt;&gt;"",$F3328,IF(ISNA(MATCH($D3328,'Paramètres'!$M:$M,0)),"⚠ Type inconnu",IFERROR(INDEX('Paramètres'!$P:$P,MATCH($D3328,'Paramètres'!$M:$M,0))&amp;"",""))))</f>
        <v/>
      </c>
      <c r="M3328" s="6" t="str">
        <f>IF($D3328="","",IF(ISNA(MATCH($D3328,'Paramètres'!$M:$M,0)),"⚠ Type inconnu",IF($L3328="Crédit","",IFERROR(INDEX('Paramètres'!$O:$O,MATCH($D3328,'Paramètres'!$M:$M,0))&amp;"",""))))</f>
        <v/>
      </c>
      <c r="N3328" s="6" t="str">
        <f>IF($D3328="","",IFERROR(INDEX('Paramètres'!$Q:$Q,MATCH($D3328,'Paramètres'!$M:$M,0))&amp;"",""))</f>
        <v/>
      </c>
      <c r="O3328" s="6" t="str">
        <f>IF($A3328="","",IF(OR($J3328&lt;&gt;"x",$A3328&lt;=FinReleve),1,0))</f>
        <v/>
      </c>
      <c r="P3328" s="6" t="str">
        <f>IF($D3328="","",IF(AND($L3328="Crédit",OR(IFERROR(INDEX('Paramètres'!$O:$O,MATCH($D3328,'Paramètres'!$M:$M,0))&amp;"","")&lt;&gt;"",ISNUMBER(SEARCH("remboursement",IFERROR(INDEX('Paramètres'!$N:$N,MATCH($D3328,'Paramètres'!$M:$M,0))&amp;"",""))))),1,0))</f>
        <v/>
      </c>
      <c r="Q3328" s="6" t="str">
        <f>IF($K3328="","",IF(ISNUMBER(SEARCH("transfert-interne",IFERROR(INDEX('Paramètres'!$N:$N,MATCH($D3328,'Paramètres'!$M:$M,0))&amp;"",""))),0,IF($L3328="Débit",$K3328,IF($P3328=1,-$K3328,0))))</f>
        <v/>
      </c>
      <c r="R3328" s="6" t="str">
        <f>IF($K3328="","",IF($L3328="Crédit",$K3328,-$K3328))</f>
        <v/>
      </c>
      <c r="S3328" s="6" t="str">
        <f>IF($C3328="","",IFERROR(INDEX('Paramètres'!$H:$H,MATCH($C3328,'Paramètres'!$D:$D,0))&amp;"",""))</f>
        <v/>
      </c>
      <c r="T3328" s="6" t="str">
        <f>IF($K3328="","",IF($S3328="",0,IF(ISNUMBER(SEARCH("apport-exterieur",IFERROR(INDEX('Paramètres'!$N:$N,MATCH($D3328,'Paramètres'!$M:$M,0))&amp;"",""))),0,IF(OR(IFERROR(INDEX('Paramètres'!$I:$I,MATCH($C3328,'Paramètres'!$D:$D,0))&amp;"","")="Les deux",IFERROR(INDEX('Paramètres'!$I:$I,MATCH($C3328,'Paramètres'!$D:$D,0))&amp;"","")=IF($P3328=1,"Débit",$L3328)),-IF($P3328=1,-$K3328,$K3328),0))))</f>
        <v/>
      </c>
      <c r="U3328" s="6" t="str">
        <f>IF($K3328="","",IF(ISNUMBER(SEARCH("sortie-epargne",IFERROR(INDEX('Paramètres'!$N:$N,MATCH($D3328,'Paramètres'!$M:$M,0))&amp;"",""))),$K3328,0))</f>
        <v/>
      </c>
      <c r="V3328" s="6" t="str">
        <f>IF(AND($A3328&lt;&gt;"",$O3328=1,$L3328="Débit",N($Q3328)&gt;0,$A3328&gt;=Visualisation!$B$1,$A3328&lt;Visualisation!$D$1),MAX($V$1:V3327)+1,"")</f>
        <v/>
      </c>
    </row>
    <row r="3329" spans="1:22" x14ac:dyDescent="0.25">
      <c r="A3329" s="9"/>
      <c r="E3329" s="10"/>
      <c r="K3329" s="11" t="str">
        <f>IF($E3329="","",ROUND($E3329*IF(ISNA(MATCH($C3329,'Paramètres'!$D:$D,0)),1,IF(INDEX('Paramètres'!$J:$J,MATCH($C3329,'Paramètres'!$D:$D,0))="",1,INDEX('Paramètres'!$J:$J,MATCH($C3329,'Paramètres'!$D:$D,0)))),2))</f>
        <v/>
      </c>
      <c r="L3329" s="6" t="str">
        <f>IF($D3329="","",IF($F3329&lt;&gt;"",$F3329,IF(ISNA(MATCH($D3329,'Paramètres'!$M:$M,0)),"⚠ Type inconnu",IFERROR(INDEX('Paramètres'!$P:$P,MATCH($D3329,'Paramètres'!$M:$M,0))&amp;"",""))))</f>
        <v/>
      </c>
      <c r="M3329" s="6" t="str">
        <f>IF($D3329="","",IF(ISNA(MATCH($D3329,'Paramètres'!$M:$M,0)),"⚠ Type inconnu",IF($L3329="Crédit","",IFERROR(INDEX('Paramètres'!$O:$O,MATCH($D3329,'Paramètres'!$M:$M,0))&amp;"",""))))</f>
        <v/>
      </c>
      <c r="N3329" s="6" t="str">
        <f>IF($D3329="","",IFERROR(INDEX('Paramètres'!$Q:$Q,MATCH($D3329,'Paramètres'!$M:$M,0))&amp;"",""))</f>
        <v/>
      </c>
      <c r="O3329" s="6" t="str">
        <f>IF($A3329="","",IF(OR($J3329&lt;&gt;"x",$A3329&lt;=FinReleve),1,0))</f>
        <v/>
      </c>
      <c r="P3329" s="6" t="str">
        <f>IF($D3329="","",IF(AND($L3329="Crédit",OR(IFERROR(INDEX('Paramètres'!$O:$O,MATCH($D3329,'Paramètres'!$M:$M,0))&amp;"","")&lt;&gt;"",ISNUMBER(SEARCH("remboursement",IFERROR(INDEX('Paramètres'!$N:$N,MATCH($D3329,'Paramètres'!$M:$M,0))&amp;"",""))))),1,0))</f>
        <v/>
      </c>
      <c r="Q3329" s="6" t="str">
        <f>IF($K3329="","",IF(ISNUMBER(SEARCH("transfert-interne",IFERROR(INDEX('Paramètres'!$N:$N,MATCH($D3329,'Paramètres'!$M:$M,0))&amp;"",""))),0,IF($L3329="Débit",$K3329,IF($P3329=1,-$K3329,0))))</f>
        <v/>
      </c>
      <c r="R3329" s="6" t="str">
        <f>IF($K3329="","",IF($L3329="Crédit",$K3329,-$K3329))</f>
        <v/>
      </c>
      <c r="S3329" s="6" t="str">
        <f>IF($C3329="","",IFERROR(INDEX('Paramètres'!$H:$H,MATCH($C3329,'Paramètres'!$D:$D,0))&amp;"",""))</f>
        <v/>
      </c>
      <c r="T3329" s="6" t="str">
        <f>IF($K3329="","",IF($S3329="",0,IF(ISNUMBER(SEARCH("apport-exterieur",IFERROR(INDEX('Paramètres'!$N:$N,MATCH($D3329,'Paramètres'!$M:$M,0))&amp;"",""))),0,IF(OR(IFERROR(INDEX('Paramètres'!$I:$I,MATCH($C3329,'Paramètres'!$D:$D,0))&amp;"","")="Les deux",IFERROR(INDEX('Paramètres'!$I:$I,MATCH($C3329,'Paramètres'!$D:$D,0))&amp;"","")=IF($P3329=1,"Débit",$L3329)),-IF($P3329=1,-$K3329,$K3329),0))))</f>
        <v/>
      </c>
      <c r="U3329" s="6" t="str">
        <f>IF($K3329="","",IF(ISNUMBER(SEARCH("sortie-epargne",IFERROR(INDEX('Paramètres'!$N:$N,MATCH($D3329,'Paramètres'!$M:$M,0))&amp;"",""))),$K3329,0))</f>
        <v/>
      </c>
      <c r="V3329" s="6" t="str">
        <f>IF(AND($A3329&lt;&gt;"",$O3329=1,$L3329="Débit",N($Q3329)&gt;0,$A3329&gt;=Visualisation!$B$1,$A3329&lt;Visualisation!$D$1),MAX($V$1:V3328)+1,"")</f>
        <v/>
      </c>
    </row>
    <row r="3330" spans="1:22" x14ac:dyDescent="0.25">
      <c r="A3330" s="9"/>
      <c r="E3330" s="10"/>
      <c r="K3330" s="11" t="str">
        <f>IF($E3330="","",ROUND($E3330*IF(ISNA(MATCH($C3330,'Paramètres'!$D:$D,0)),1,IF(INDEX('Paramètres'!$J:$J,MATCH($C3330,'Paramètres'!$D:$D,0))="",1,INDEX('Paramètres'!$J:$J,MATCH($C3330,'Paramètres'!$D:$D,0)))),2))</f>
        <v/>
      </c>
      <c r="L3330" s="6" t="str">
        <f>IF($D3330="","",IF($F3330&lt;&gt;"",$F3330,IF(ISNA(MATCH($D3330,'Paramètres'!$M:$M,0)),"⚠ Type inconnu",IFERROR(INDEX('Paramètres'!$P:$P,MATCH($D3330,'Paramètres'!$M:$M,0))&amp;"",""))))</f>
        <v/>
      </c>
      <c r="M3330" s="6" t="str">
        <f>IF($D3330="","",IF(ISNA(MATCH($D3330,'Paramètres'!$M:$M,0)),"⚠ Type inconnu",IF($L3330="Crédit","",IFERROR(INDEX('Paramètres'!$O:$O,MATCH($D3330,'Paramètres'!$M:$M,0))&amp;"",""))))</f>
        <v/>
      </c>
      <c r="N3330" s="6" t="str">
        <f>IF($D3330="","",IFERROR(INDEX('Paramètres'!$Q:$Q,MATCH($D3330,'Paramètres'!$M:$M,0))&amp;"",""))</f>
        <v/>
      </c>
      <c r="O3330" s="6" t="str">
        <f>IF($A3330="","",IF(OR($J3330&lt;&gt;"x",$A3330&lt;=FinReleve),1,0))</f>
        <v/>
      </c>
      <c r="P3330" s="6" t="str">
        <f>IF($D3330="","",IF(AND($L3330="Crédit",OR(IFERROR(INDEX('Paramètres'!$O:$O,MATCH($D3330,'Paramètres'!$M:$M,0))&amp;"","")&lt;&gt;"",ISNUMBER(SEARCH("remboursement",IFERROR(INDEX('Paramètres'!$N:$N,MATCH($D3330,'Paramètres'!$M:$M,0))&amp;"",""))))),1,0))</f>
        <v/>
      </c>
      <c r="Q3330" s="6" t="str">
        <f>IF($K3330="","",IF(ISNUMBER(SEARCH("transfert-interne",IFERROR(INDEX('Paramètres'!$N:$N,MATCH($D3330,'Paramètres'!$M:$M,0))&amp;"",""))),0,IF($L3330="Débit",$K3330,IF($P3330=1,-$K3330,0))))</f>
        <v/>
      </c>
      <c r="R3330" s="6" t="str">
        <f>IF($K3330="","",IF($L3330="Crédit",$K3330,-$K3330))</f>
        <v/>
      </c>
      <c r="S3330" s="6" t="str">
        <f>IF($C3330="","",IFERROR(INDEX('Paramètres'!$H:$H,MATCH($C3330,'Paramètres'!$D:$D,0))&amp;"",""))</f>
        <v/>
      </c>
      <c r="T3330" s="6" t="str">
        <f>IF($K3330="","",IF($S3330="",0,IF(ISNUMBER(SEARCH("apport-exterieur",IFERROR(INDEX('Paramètres'!$N:$N,MATCH($D3330,'Paramètres'!$M:$M,0))&amp;"",""))),0,IF(OR(IFERROR(INDEX('Paramètres'!$I:$I,MATCH($C3330,'Paramètres'!$D:$D,0))&amp;"","")="Les deux",IFERROR(INDEX('Paramètres'!$I:$I,MATCH($C3330,'Paramètres'!$D:$D,0))&amp;"","")=IF($P3330=1,"Débit",$L3330)),-IF($P3330=1,-$K3330,$K3330),0))))</f>
        <v/>
      </c>
      <c r="U3330" s="6" t="str">
        <f>IF($K3330="","",IF(ISNUMBER(SEARCH("sortie-epargne",IFERROR(INDEX('Paramètres'!$N:$N,MATCH($D3330,'Paramètres'!$M:$M,0))&amp;"",""))),$K3330,0))</f>
        <v/>
      </c>
      <c r="V3330" s="6" t="str">
        <f>IF(AND($A3330&lt;&gt;"",$O3330=1,$L3330="Débit",N($Q3330)&gt;0,$A3330&gt;=Visualisation!$B$1,$A3330&lt;Visualisation!$D$1),MAX($V$1:V3329)+1,"")</f>
        <v/>
      </c>
    </row>
    <row r="3331" spans="1:22" x14ac:dyDescent="0.25">
      <c r="A3331" s="9"/>
      <c r="E3331" s="10"/>
      <c r="K3331" s="11" t="str">
        <f>IF($E3331="","",ROUND($E3331*IF(ISNA(MATCH($C3331,'Paramètres'!$D:$D,0)),1,IF(INDEX('Paramètres'!$J:$J,MATCH($C3331,'Paramètres'!$D:$D,0))="",1,INDEX('Paramètres'!$J:$J,MATCH($C3331,'Paramètres'!$D:$D,0)))),2))</f>
        <v/>
      </c>
      <c r="L3331" s="6" t="str">
        <f>IF($D3331="","",IF($F3331&lt;&gt;"",$F3331,IF(ISNA(MATCH($D3331,'Paramètres'!$M:$M,0)),"⚠ Type inconnu",IFERROR(INDEX('Paramètres'!$P:$P,MATCH($D3331,'Paramètres'!$M:$M,0))&amp;"",""))))</f>
        <v/>
      </c>
      <c r="M3331" s="6" t="str">
        <f>IF($D3331="","",IF(ISNA(MATCH($D3331,'Paramètres'!$M:$M,0)),"⚠ Type inconnu",IF($L3331="Crédit","",IFERROR(INDEX('Paramètres'!$O:$O,MATCH($D3331,'Paramètres'!$M:$M,0))&amp;"",""))))</f>
        <v/>
      </c>
      <c r="N3331" s="6" t="str">
        <f>IF($D3331="","",IFERROR(INDEX('Paramètres'!$Q:$Q,MATCH($D3331,'Paramètres'!$M:$M,0))&amp;"",""))</f>
        <v/>
      </c>
      <c r="O3331" s="6" t="str">
        <f>IF($A3331="","",IF(OR($J3331&lt;&gt;"x",$A3331&lt;=FinReleve),1,0))</f>
        <v/>
      </c>
      <c r="P3331" s="6" t="str">
        <f>IF($D3331="","",IF(AND($L3331="Crédit",OR(IFERROR(INDEX('Paramètres'!$O:$O,MATCH($D3331,'Paramètres'!$M:$M,0))&amp;"","")&lt;&gt;"",ISNUMBER(SEARCH("remboursement",IFERROR(INDEX('Paramètres'!$N:$N,MATCH($D3331,'Paramètres'!$M:$M,0))&amp;"",""))))),1,0))</f>
        <v/>
      </c>
      <c r="Q3331" s="6" t="str">
        <f>IF($K3331="","",IF(ISNUMBER(SEARCH("transfert-interne",IFERROR(INDEX('Paramètres'!$N:$N,MATCH($D3331,'Paramètres'!$M:$M,0))&amp;"",""))),0,IF($L3331="Débit",$K3331,IF($P3331=1,-$K3331,0))))</f>
        <v/>
      </c>
      <c r="R3331" s="6" t="str">
        <f>IF($K3331="","",IF($L3331="Crédit",$K3331,-$K3331))</f>
        <v/>
      </c>
      <c r="S3331" s="6" t="str">
        <f>IF($C3331="","",IFERROR(INDEX('Paramètres'!$H:$H,MATCH($C3331,'Paramètres'!$D:$D,0))&amp;"",""))</f>
        <v/>
      </c>
      <c r="T3331" s="6" t="str">
        <f>IF($K3331="","",IF($S3331="",0,IF(ISNUMBER(SEARCH("apport-exterieur",IFERROR(INDEX('Paramètres'!$N:$N,MATCH($D3331,'Paramètres'!$M:$M,0))&amp;"",""))),0,IF(OR(IFERROR(INDEX('Paramètres'!$I:$I,MATCH($C3331,'Paramètres'!$D:$D,0))&amp;"","")="Les deux",IFERROR(INDEX('Paramètres'!$I:$I,MATCH($C3331,'Paramètres'!$D:$D,0))&amp;"","")=IF($P3331=1,"Débit",$L3331)),-IF($P3331=1,-$K3331,$K3331),0))))</f>
        <v/>
      </c>
      <c r="U3331" s="6" t="str">
        <f>IF($K3331="","",IF(ISNUMBER(SEARCH("sortie-epargne",IFERROR(INDEX('Paramètres'!$N:$N,MATCH($D3331,'Paramètres'!$M:$M,0))&amp;"",""))),$K3331,0))</f>
        <v/>
      </c>
      <c r="V3331" s="6" t="str">
        <f>IF(AND($A3331&lt;&gt;"",$O3331=1,$L3331="Débit",N($Q3331)&gt;0,$A3331&gt;=Visualisation!$B$1,$A3331&lt;Visualisation!$D$1),MAX($V$1:V3330)+1,"")</f>
        <v/>
      </c>
    </row>
    <row r="3332" spans="1:22" x14ac:dyDescent="0.25">
      <c r="A3332" s="9"/>
      <c r="E3332" s="10"/>
      <c r="K3332" s="11" t="str">
        <f>IF($E3332="","",ROUND($E3332*IF(ISNA(MATCH($C3332,'Paramètres'!$D:$D,0)),1,IF(INDEX('Paramètres'!$J:$J,MATCH($C3332,'Paramètres'!$D:$D,0))="",1,INDEX('Paramètres'!$J:$J,MATCH($C3332,'Paramètres'!$D:$D,0)))),2))</f>
        <v/>
      </c>
      <c r="L3332" s="6" t="str">
        <f>IF($D3332="","",IF($F3332&lt;&gt;"",$F3332,IF(ISNA(MATCH($D3332,'Paramètres'!$M:$M,0)),"⚠ Type inconnu",IFERROR(INDEX('Paramètres'!$P:$P,MATCH($D3332,'Paramètres'!$M:$M,0))&amp;"",""))))</f>
        <v/>
      </c>
      <c r="M3332" s="6" t="str">
        <f>IF($D3332="","",IF(ISNA(MATCH($D3332,'Paramètres'!$M:$M,0)),"⚠ Type inconnu",IF($L3332="Crédit","",IFERROR(INDEX('Paramètres'!$O:$O,MATCH($D3332,'Paramètres'!$M:$M,0))&amp;"",""))))</f>
        <v/>
      </c>
      <c r="N3332" s="6" t="str">
        <f>IF($D3332="","",IFERROR(INDEX('Paramètres'!$Q:$Q,MATCH($D3332,'Paramètres'!$M:$M,0))&amp;"",""))</f>
        <v/>
      </c>
      <c r="O3332" s="6" t="str">
        <f>IF($A3332="","",IF(OR($J3332&lt;&gt;"x",$A3332&lt;=FinReleve),1,0))</f>
        <v/>
      </c>
      <c r="P3332" s="6" t="str">
        <f>IF($D3332="","",IF(AND($L3332="Crédit",OR(IFERROR(INDEX('Paramètres'!$O:$O,MATCH($D3332,'Paramètres'!$M:$M,0))&amp;"","")&lt;&gt;"",ISNUMBER(SEARCH("remboursement",IFERROR(INDEX('Paramètres'!$N:$N,MATCH($D3332,'Paramètres'!$M:$M,0))&amp;"",""))))),1,0))</f>
        <v/>
      </c>
      <c r="Q3332" s="6" t="str">
        <f>IF($K3332="","",IF(ISNUMBER(SEARCH("transfert-interne",IFERROR(INDEX('Paramètres'!$N:$N,MATCH($D3332,'Paramètres'!$M:$M,0))&amp;"",""))),0,IF($L3332="Débit",$K3332,IF($P3332=1,-$K3332,0))))</f>
        <v/>
      </c>
      <c r="R3332" s="6" t="str">
        <f>IF($K3332="","",IF($L3332="Crédit",$K3332,-$K3332))</f>
        <v/>
      </c>
      <c r="S3332" s="6" t="str">
        <f>IF($C3332="","",IFERROR(INDEX('Paramètres'!$H:$H,MATCH($C3332,'Paramètres'!$D:$D,0))&amp;"",""))</f>
        <v/>
      </c>
      <c r="T3332" s="6" t="str">
        <f>IF($K3332="","",IF($S3332="",0,IF(ISNUMBER(SEARCH("apport-exterieur",IFERROR(INDEX('Paramètres'!$N:$N,MATCH($D3332,'Paramètres'!$M:$M,0))&amp;"",""))),0,IF(OR(IFERROR(INDEX('Paramètres'!$I:$I,MATCH($C3332,'Paramètres'!$D:$D,0))&amp;"","")="Les deux",IFERROR(INDEX('Paramètres'!$I:$I,MATCH($C3332,'Paramètres'!$D:$D,0))&amp;"","")=IF($P3332=1,"Débit",$L3332)),-IF($P3332=1,-$K3332,$K3332),0))))</f>
        <v/>
      </c>
      <c r="U3332" s="6" t="str">
        <f>IF($K3332="","",IF(ISNUMBER(SEARCH("sortie-epargne",IFERROR(INDEX('Paramètres'!$N:$N,MATCH($D3332,'Paramètres'!$M:$M,0))&amp;"",""))),$K3332,0))</f>
        <v/>
      </c>
      <c r="V3332" s="6" t="str">
        <f>IF(AND($A3332&lt;&gt;"",$O3332=1,$L3332="Débit",N($Q3332)&gt;0,$A3332&gt;=Visualisation!$B$1,$A3332&lt;Visualisation!$D$1),MAX($V$1:V3331)+1,"")</f>
        <v/>
      </c>
    </row>
    <row r="3333" spans="1:22" x14ac:dyDescent="0.25">
      <c r="A3333" s="9"/>
      <c r="E3333" s="10"/>
      <c r="K3333" s="11" t="str">
        <f>IF($E3333="","",ROUND($E3333*IF(ISNA(MATCH($C3333,'Paramètres'!$D:$D,0)),1,IF(INDEX('Paramètres'!$J:$J,MATCH($C3333,'Paramètres'!$D:$D,0))="",1,INDEX('Paramètres'!$J:$J,MATCH($C3333,'Paramètres'!$D:$D,0)))),2))</f>
        <v/>
      </c>
      <c r="L3333" s="6" t="str">
        <f>IF($D3333="","",IF($F3333&lt;&gt;"",$F3333,IF(ISNA(MATCH($D3333,'Paramètres'!$M:$M,0)),"⚠ Type inconnu",IFERROR(INDEX('Paramètres'!$P:$P,MATCH($D3333,'Paramètres'!$M:$M,0))&amp;"",""))))</f>
        <v/>
      </c>
      <c r="M3333" s="6" t="str">
        <f>IF($D3333="","",IF(ISNA(MATCH($D3333,'Paramètres'!$M:$M,0)),"⚠ Type inconnu",IF($L3333="Crédit","",IFERROR(INDEX('Paramètres'!$O:$O,MATCH($D3333,'Paramètres'!$M:$M,0))&amp;"",""))))</f>
        <v/>
      </c>
      <c r="N3333" s="6" t="str">
        <f>IF($D3333="","",IFERROR(INDEX('Paramètres'!$Q:$Q,MATCH($D3333,'Paramètres'!$M:$M,0))&amp;"",""))</f>
        <v/>
      </c>
      <c r="O3333" s="6" t="str">
        <f>IF($A3333="","",IF(OR($J3333&lt;&gt;"x",$A3333&lt;=FinReleve),1,0))</f>
        <v/>
      </c>
      <c r="P3333" s="6" t="str">
        <f>IF($D3333="","",IF(AND($L3333="Crédit",OR(IFERROR(INDEX('Paramètres'!$O:$O,MATCH($D3333,'Paramètres'!$M:$M,0))&amp;"","")&lt;&gt;"",ISNUMBER(SEARCH("remboursement",IFERROR(INDEX('Paramètres'!$N:$N,MATCH($D3333,'Paramètres'!$M:$M,0))&amp;"",""))))),1,0))</f>
        <v/>
      </c>
      <c r="Q3333" s="6" t="str">
        <f>IF($K3333="","",IF(ISNUMBER(SEARCH("transfert-interne",IFERROR(INDEX('Paramètres'!$N:$N,MATCH($D3333,'Paramètres'!$M:$M,0))&amp;"",""))),0,IF($L3333="Débit",$K3333,IF($P3333=1,-$K3333,0))))</f>
        <v/>
      </c>
      <c r="R3333" s="6" t="str">
        <f>IF($K3333="","",IF($L3333="Crédit",$K3333,-$K3333))</f>
        <v/>
      </c>
      <c r="S3333" s="6" t="str">
        <f>IF($C3333="","",IFERROR(INDEX('Paramètres'!$H:$H,MATCH($C3333,'Paramètres'!$D:$D,0))&amp;"",""))</f>
        <v/>
      </c>
      <c r="T3333" s="6" t="str">
        <f>IF($K3333="","",IF($S3333="",0,IF(ISNUMBER(SEARCH("apport-exterieur",IFERROR(INDEX('Paramètres'!$N:$N,MATCH($D3333,'Paramètres'!$M:$M,0))&amp;"",""))),0,IF(OR(IFERROR(INDEX('Paramètres'!$I:$I,MATCH($C3333,'Paramètres'!$D:$D,0))&amp;"","")="Les deux",IFERROR(INDEX('Paramètres'!$I:$I,MATCH($C3333,'Paramètres'!$D:$D,0))&amp;"","")=IF($P3333=1,"Débit",$L3333)),-IF($P3333=1,-$K3333,$K3333),0))))</f>
        <v/>
      </c>
      <c r="U3333" s="6" t="str">
        <f>IF($K3333="","",IF(ISNUMBER(SEARCH("sortie-epargne",IFERROR(INDEX('Paramètres'!$N:$N,MATCH($D3333,'Paramètres'!$M:$M,0))&amp;"",""))),$K3333,0))</f>
        <v/>
      </c>
      <c r="V3333" s="6" t="str">
        <f>IF(AND($A3333&lt;&gt;"",$O3333=1,$L3333="Débit",N($Q3333)&gt;0,$A3333&gt;=Visualisation!$B$1,$A3333&lt;Visualisation!$D$1),MAX($V$1:V3332)+1,"")</f>
        <v/>
      </c>
    </row>
    <row r="3334" spans="1:22" x14ac:dyDescent="0.25">
      <c r="A3334" s="9"/>
      <c r="E3334" s="10"/>
      <c r="K3334" s="11" t="str">
        <f>IF($E3334="","",ROUND($E3334*IF(ISNA(MATCH($C3334,'Paramètres'!$D:$D,0)),1,IF(INDEX('Paramètres'!$J:$J,MATCH($C3334,'Paramètres'!$D:$D,0))="",1,INDEX('Paramètres'!$J:$J,MATCH($C3334,'Paramètres'!$D:$D,0)))),2))</f>
        <v/>
      </c>
      <c r="L3334" s="6" t="str">
        <f>IF($D3334="","",IF($F3334&lt;&gt;"",$F3334,IF(ISNA(MATCH($D3334,'Paramètres'!$M:$M,0)),"⚠ Type inconnu",IFERROR(INDEX('Paramètres'!$P:$P,MATCH($D3334,'Paramètres'!$M:$M,0))&amp;"",""))))</f>
        <v/>
      </c>
      <c r="M3334" s="6" t="str">
        <f>IF($D3334="","",IF(ISNA(MATCH($D3334,'Paramètres'!$M:$M,0)),"⚠ Type inconnu",IF($L3334="Crédit","",IFERROR(INDEX('Paramètres'!$O:$O,MATCH($D3334,'Paramètres'!$M:$M,0))&amp;"",""))))</f>
        <v/>
      </c>
      <c r="N3334" s="6" t="str">
        <f>IF($D3334="","",IFERROR(INDEX('Paramètres'!$Q:$Q,MATCH($D3334,'Paramètres'!$M:$M,0))&amp;"",""))</f>
        <v/>
      </c>
      <c r="O3334" s="6" t="str">
        <f>IF($A3334="","",IF(OR($J3334&lt;&gt;"x",$A3334&lt;=FinReleve),1,0))</f>
        <v/>
      </c>
      <c r="P3334" s="6" t="str">
        <f>IF($D3334="","",IF(AND($L3334="Crédit",OR(IFERROR(INDEX('Paramètres'!$O:$O,MATCH($D3334,'Paramètres'!$M:$M,0))&amp;"","")&lt;&gt;"",ISNUMBER(SEARCH("remboursement",IFERROR(INDEX('Paramètres'!$N:$N,MATCH($D3334,'Paramètres'!$M:$M,0))&amp;"",""))))),1,0))</f>
        <v/>
      </c>
      <c r="Q3334" s="6" t="str">
        <f>IF($K3334="","",IF(ISNUMBER(SEARCH("transfert-interne",IFERROR(INDEX('Paramètres'!$N:$N,MATCH($D3334,'Paramètres'!$M:$M,0))&amp;"",""))),0,IF($L3334="Débit",$K3334,IF($P3334=1,-$K3334,0))))</f>
        <v/>
      </c>
      <c r="R3334" s="6" t="str">
        <f>IF($K3334="","",IF($L3334="Crédit",$K3334,-$K3334))</f>
        <v/>
      </c>
      <c r="S3334" s="6" t="str">
        <f>IF($C3334="","",IFERROR(INDEX('Paramètres'!$H:$H,MATCH($C3334,'Paramètres'!$D:$D,0))&amp;"",""))</f>
        <v/>
      </c>
      <c r="T3334" s="6" t="str">
        <f>IF($K3334="","",IF($S3334="",0,IF(ISNUMBER(SEARCH("apport-exterieur",IFERROR(INDEX('Paramètres'!$N:$N,MATCH($D3334,'Paramètres'!$M:$M,0))&amp;"",""))),0,IF(OR(IFERROR(INDEX('Paramètres'!$I:$I,MATCH($C3334,'Paramètres'!$D:$D,0))&amp;"","")="Les deux",IFERROR(INDEX('Paramètres'!$I:$I,MATCH($C3334,'Paramètres'!$D:$D,0))&amp;"","")=IF($P3334=1,"Débit",$L3334)),-IF($P3334=1,-$K3334,$K3334),0))))</f>
        <v/>
      </c>
      <c r="U3334" s="6" t="str">
        <f>IF($K3334="","",IF(ISNUMBER(SEARCH("sortie-epargne",IFERROR(INDEX('Paramètres'!$N:$N,MATCH($D3334,'Paramètres'!$M:$M,0))&amp;"",""))),$K3334,0))</f>
        <v/>
      </c>
      <c r="V3334" s="6" t="str">
        <f>IF(AND($A3334&lt;&gt;"",$O3334=1,$L3334="Débit",N($Q3334)&gt;0,$A3334&gt;=Visualisation!$B$1,$A3334&lt;Visualisation!$D$1),MAX($V$1:V3333)+1,"")</f>
        <v/>
      </c>
    </row>
    <row r="3335" spans="1:22" x14ac:dyDescent="0.25">
      <c r="A3335" s="9"/>
      <c r="E3335" s="10"/>
      <c r="K3335" s="11" t="str">
        <f>IF($E3335="","",ROUND($E3335*IF(ISNA(MATCH($C3335,'Paramètres'!$D:$D,0)),1,IF(INDEX('Paramètres'!$J:$J,MATCH($C3335,'Paramètres'!$D:$D,0))="",1,INDEX('Paramètres'!$J:$J,MATCH($C3335,'Paramètres'!$D:$D,0)))),2))</f>
        <v/>
      </c>
      <c r="L3335" s="6" t="str">
        <f>IF($D3335="","",IF($F3335&lt;&gt;"",$F3335,IF(ISNA(MATCH($D3335,'Paramètres'!$M:$M,0)),"⚠ Type inconnu",IFERROR(INDEX('Paramètres'!$P:$P,MATCH($D3335,'Paramètres'!$M:$M,0))&amp;"",""))))</f>
        <v/>
      </c>
      <c r="M3335" s="6" t="str">
        <f>IF($D3335="","",IF(ISNA(MATCH($D3335,'Paramètres'!$M:$M,0)),"⚠ Type inconnu",IF($L3335="Crédit","",IFERROR(INDEX('Paramètres'!$O:$O,MATCH($D3335,'Paramètres'!$M:$M,0))&amp;"",""))))</f>
        <v/>
      </c>
      <c r="N3335" s="6" t="str">
        <f>IF($D3335="","",IFERROR(INDEX('Paramètres'!$Q:$Q,MATCH($D3335,'Paramètres'!$M:$M,0))&amp;"",""))</f>
        <v/>
      </c>
      <c r="O3335" s="6" t="str">
        <f>IF($A3335="","",IF(OR($J3335&lt;&gt;"x",$A3335&lt;=FinReleve),1,0))</f>
        <v/>
      </c>
      <c r="P3335" s="6" t="str">
        <f>IF($D3335="","",IF(AND($L3335="Crédit",OR(IFERROR(INDEX('Paramètres'!$O:$O,MATCH($D3335,'Paramètres'!$M:$M,0))&amp;"","")&lt;&gt;"",ISNUMBER(SEARCH("remboursement",IFERROR(INDEX('Paramètres'!$N:$N,MATCH($D3335,'Paramètres'!$M:$M,0))&amp;"",""))))),1,0))</f>
        <v/>
      </c>
      <c r="Q3335" s="6" t="str">
        <f>IF($K3335="","",IF(ISNUMBER(SEARCH("transfert-interne",IFERROR(INDEX('Paramètres'!$N:$N,MATCH($D3335,'Paramètres'!$M:$M,0))&amp;"",""))),0,IF($L3335="Débit",$K3335,IF($P3335=1,-$K3335,0))))</f>
        <v/>
      </c>
      <c r="R3335" s="6" t="str">
        <f>IF($K3335="","",IF($L3335="Crédit",$K3335,-$K3335))</f>
        <v/>
      </c>
      <c r="S3335" s="6" t="str">
        <f>IF($C3335="","",IFERROR(INDEX('Paramètres'!$H:$H,MATCH($C3335,'Paramètres'!$D:$D,0))&amp;"",""))</f>
        <v/>
      </c>
      <c r="T3335" s="6" t="str">
        <f>IF($K3335="","",IF($S3335="",0,IF(ISNUMBER(SEARCH("apport-exterieur",IFERROR(INDEX('Paramètres'!$N:$N,MATCH($D3335,'Paramètres'!$M:$M,0))&amp;"",""))),0,IF(OR(IFERROR(INDEX('Paramètres'!$I:$I,MATCH($C3335,'Paramètres'!$D:$D,0))&amp;"","")="Les deux",IFERROR(INDEX('Paramètres'!$I:$I,MATCH($C3335,'Paramètres'!$D:$D,0))&amp;"","")=IF($P3335=1,"Débit",$L3335)),-IF($P3335=1,-$K3335,$K3335),0))))</f>
        <v/>
      </c>
      <c r="U3335" s="6" t="str">
        <f>IF($K3335="","",IF(ISNUMBER(SEARCH("sortie-epargne",IFERROR(INDEX('Paramètres'!$N:$N,MATCH($D3335,'Paramètres'!$M:$M,0))&amp;"",""))),$K3335,0))</f>
        <v/>
      </c>
      <c r="V3335" s="6" t="str">
        <f>IF(AND($A3335&lt;&gt;"",$O3335=1,$L3335="Débit",N($Q3335)&gt;0,$A3335&gt;=Visualisation!$B$1,$A3335&lt;Visualisation!$D$1),MAX($V$1:V3334)+1,"")</f>
        <v/>
      </c>
    </row>
    <row r="3336" spans="1:22" x14ac:dyDescent="0.25">
      <c r="A3336" s="9"/>
      <c r="E3336" s="10"/>
      <c r="K3336" s="11" t="str">
        <f>IF($E3336="","",ROUND($E3336*IF(ISNA(MATCH($C3336,'Paramètres'!$D:$D,0)),1,IF(INDEX('Paramètres'!$J:$J,MATCH($C3336,'Paramètres'!$D:$D,0))="",1,INDEX('Paramètres'!$J:$J,MATCH($C3336,'Paramètres'!$D:$D,0)))),2))</f>
        <v/>
      </c>
      <c r="L3336" s="6" t="str">
        <f>IF($D3336="","",IF($F3336&lt;&gt;"",$F3336,IF(ISNA(MATCH($D3336,'Paramètres'!$M:$M,0)),"⚠ Type inconnu",IFERROR(INDEX('Paramètres'!$P:$P,MATCH($D3336,'Paramètres'!$M:$M,0))&amp;"",""))))</f>
        <v/>
      </c>
      <c r="M3336" s="6" t="str">
        <f>IF($D3336="","",IF(ISNA(MATCH($D3336,'Paramètres'!$M:$M,0)),"⚠ Type inconnu",IF($L3336="Crédit","",IFERROR(INDEX('Paramètres'!$O:$O,MATCH($D3336,'Paramètres'!$M:$M,0))&amp;"",""))))</f>
        <v/>
      </c>
      <c r="N3336" s="6" t="str">
        <f>IF($D3336="","",IFERROR(INDEX('Paramètres'!$Q:$Q,MATCH($D3336,'Paramètres'!$M:$M,0))&amp;"",""))</f>
        <v/>
      </c>
      <c r="O3336" s="6" t="str">
        <f>IF($A3336="","",IF(OR($J3336&lt;&gt;"x",$A3336&lt;=FinReleve),1,0))</f>
        <v/>
      </c>
      <c r="P3336" s="6" t="str">
        <f>IF($D3336="","",IF(AND($L3336="Crédit",OR(IFERROR(INDEX('Paramètres'!$O:$O,MATCH($D3336,'Paramètres'!$M:$M,0))&amp;"","")&lt;&gt;"",ISNUMBER(SEARCH("remboursement",IFERROR(INDEX('Paramètres'!$N:$N,MATCH($D3336,'Paramètres'!$M:$M,0))&amp;"",""))))),1,0))</f>
        <v/>
      </c>
      <c r="Q3336" s="6" t="str">
        <f>IF($K3336="","",IF(ISNUMBER(SEARCH("transfert-interne",IFERROR(INDEX('Paramètres'!$N:$N,MATCH($D3336,'Paramètres'!$M:$M,0))&amp;"",""))),0,IF($L3336="Débit",$K3336,IF($P3336=1,-$K3336,0))))</f>
        <v/>
      </c>
      <c r="R3336" s="6" t="str">
        <f>IF($K3336="","",IF($L3336="Crédit",$K3336,-$K3336))</f>
        <v/>
      </c>
      <c r="S3336" s="6" t="str">
        <f>IF($C3336="","",IFERROR(INDEX('Paramètres'!$H:$H,MATCH($C3336,'Paramètres'!$D:$D,0))&amp;"",""))</f>
        <v/>
      </c>
      <c r="T3336" s="6" t="str">
        <f>IF($K3336="","",IF($S3336="",0,IF(ISNUMBER(SEARCH("apport-exterieur",IFERROR(INDEX('Paramètres'!$N:$N,MATCH($D3336,'Paramètres'!$M:$M,0))&amp;"",""))),0,IF(OR(IFERROR(INDEX('Paramètres'!$I:$I,MATCH($C3336,'Paramètres'!$D:$D,0))&amp;"","")="Les deux",IFERROR(INDEX('Paramètres'!$I:$I,MATCH($C3336,'Paramètres'!$D:$D,0))&amp;"","")=IF($P3336=1,"Débit",$L3336)),-IF($P3336=1,-$K3336,$K3336),0))))</f>
        <v/>
      </c>
      <c r="U3336" s="6" t="str">
        <f>IF($K3336="","",IF(ISNUMBER(SEARCH("sortie-epargne",IFERROR(INDEX('Paramètres'!$N:$N,MATCH($D3336,'Paramètres'!$M:$M,0))&amp;"",""))),$K3336,0))</f>
        <v/>
      </c>
      <c r="V3336" s="6" t="str">
        <f>IF(AND($A3336&lt;&gt;"",$O3336=1,$L3336="Débit",N($Q3336)&gt;0,$A3336&gt;=Visualisation!$B$1,$A3336&lt;Visualisation!$D$1),MAX($V$1:V3335)+1,"")</f>
        <v/>
      </c>
    </row>
    <row r="3337" spans="1:22" x14ac:dyDescent="0.25">
      <c r="A3337" s="9"/>
      <c r="E3337" s="10"/>
      <c r="K3337" s="11" t="str">
        <f>IF($E3337="","",ROUND($E3337*IF(ISNA(MATCH($C3337,'Paramètres'!$D:$D,0)),1,IF(INDEX('Paramètres'!$J:$J,MATCH($C3337,'Paramètres'!$D:$D,0))="",1,INDEX('Paramètres'!$J:$J,MATCH($C3337,'Paramètres'!$D:$D,0)))),2))</f>
        <v/>
      </c>
      <c r="L3337" s="6" t="str">
        <f>IF($D3337="","",IF($F3337&lt;&gt;"",$F3337,IF(ISNA(MATCH($D3337,'Paramètres'!$M:$M,0)),"⚠ Type inconnu",IFERROR(INDEX('Paramètres'!$P:$P,MATCH($D3337,'Paramètres'!$M:$M,0))&amp;"",""))))</f>
        <v/>
      </c>
      <c r="M3337" s="6" t="str">
        <f>IF($D3337="","",IF(ISNA(MATCH($D3337,'Paramètres'!$M:$M,0)),"⚠ Type inconnu",IF($L3337="Crédit","",IFERROR(INDEX('Paramètres'!$O:$O,MATCH($D3337,'Paramètres'!$M:$M,0))&amp;"",""))))</f>
        <v/>
      </c>
      <c r="N3337" s="6" t="str">
        <f>IF($D3337="","",IFERROR(INDEX('Paramètres'!$Q:$Q,MATCH($D3337,'Paramètres'!$M:$M,0))&amp;"",""))</f>
        <v/>
      </c>
      <c r="O3337" s="6" t="str">
        <f>IF($A3337="","",IF(OR($J3337&lt;&gt;"x",$A3337&lt;=FinReleve),1,0))</f>
        <v/>
      </c>
      <c r="P3337" s="6" t="str">
        <f>IF($D3337="","",IF(AND($L3337="Crédit",OR(IFERROR(INDEX('Paramètres'!$O:$O,MATCH($D3337,'Paramètres'!$M:$M,0))&amp;"","")&lt;&gt;"",ISNUMBER(SEARCH("remboursement",IFERROR(INDEX('Paramètres'!$N:$N,MATCH($D3337,'Paramètres'!$M:$M,0))&amp;"",""))))),1,0))</f>
        <v/>
      </c>
      <c r="Q3337" s="6" t="str">
        <f>IF($K3337="","",IF(ISNUMBER(SEARCH("transfert-interne",IFERROR(INDEX('Paramètres'!$N:$N,MATCH($D3337,'Paramètres'!$M:$M,0))&amp;"",""))),0,IF($L3337="Débit",$K3337,IF($P3337=1,-$K3337,0))))</f>
        <v/>
      </c>
      <c r="R3337" s="6" t="str">
        <f>IF($K3337="","",IF($L3337="Crédit",$K3337,-$K3337))</f>
        <v/>
      </c>
      <c r="S3337" s="6" t="str">
        <f>IF($C3337="","",IFERROR(INDEX('Paramètres'!$H:$H,MATCH($C3337,'Paramètres'!$D:$D,0))&amp;"",""))</f>
        <v/>
      </c>
      <c r="T3337" s="6" t="str">
        <f>IF($K3337="","",IF($S3337="",0,IF(ISNUMBER(SEARCH("apport-exterieur",IFERROR(INDEX('Paramètres'!$N:$N,MATCH($D3337,'Paramètres'!$M:$M,0))&amp;"",""))),0,IF(OR(IFERROR(INDEX('Paramètres'!$I:$I,MATCH($C3337,'Paramètres'!$D:$D,0))&amp;"","")="Les deux",IFERROR(INDEX('Paramètres'!$I:$I,MATCH($C3337,'Paramètres'!$D:$D,0))&amp;"","")=IF($P3337=1,"Débit",$L3337)),-IF($P3337=1,-$K3337,$K3337),0))))</f>
        <v/>
      </c>
      <c r="U3337" s="6" t="str">
        <f>IF($K3337="","",IF(ISNUMBER(SEARCH("sortie-epargne",IFERROR(INDEX('Paramètres'!$N:$N,MATCH($D3337,'Paramètres'!$M:$M,0))&amp;"",""))),$K3337,0))</f>
        <v/>
      </c>
      <c r="V3337" s="6" t="str">
        <f>IF(AND($A3337&lt;&gt;"",$O3337=1,$L3337="Débit",N($Q3337)&gt;0,$A3337&gt;=Visualisation!$B$1,$A3337&lt;Visualisation!$D$1),MAX($V$1:V3336)+1,"")</f>
        <v/>
      </c>
    </row>
    <row r="3338" spans="1:22" x14ac:dyDescent="0.25">
      <c r="A3338" s="9"/>
      <c r="E3338" s="10"/>
      <c r="K3338" s="11" t="str">
        <f>IF($E3338="","",ROUND($E3338*IF(ISNA(MATCH($C3338,'Paramètres'!$D:$D,0)),1,IF(INDEX('Paramètres'!$J:$J,MATCH($C3338,'Paramètres'!$D:$D,0))="",1,INDEX('Paramètres'!$J:$J,MATCH($C3338,'Paramètres'!$D:$D,0)))),2))</f>
        <v/>
      </c>
      <c r="L3338" s="6" t="str">
        <f>IF($D3338="","",IF($F3338&lt;&gt;"",$F3338,IF(ISNA(MATCH($D3338,'Paramètres'!$M:$M,0)),"⚠ Type inconnu",IFERROR(INDEX('Paramètres'!$P:$P,MATCH($D3338,'Paramètres'!$M:$M,0))&amp;"",""))))</f>
        <v/>
      </c>
      <c r="M3338" s="6" t="str">
        <f>IF($D3338="","",IF(ISNA(MATCH($D3338,'Paramètres'!$M:$M,0)),"⚠ Type inconnu",IF($L3338="Crédit","",IFERROR(INDEX('Paramètres'!$O:$O,MATCH($D3338,'Paramètres'!$M:$M,0))&amp;"",""))))</f>
        <v/>
      </c>
      <c r="N3338" s="6" t="str">
        <f>IF($D3338="","",IFERROR(INDEX('Paramètres'!$Q:$Q,MATCH($D3338,'Paramètres'!$M:$M,0))&amp;"",""))</f>
        <v/>
      </c>
      <c r="O3338" s="6" t="str">
        <f>IF($A3338="","",IF(OR($J3338&lt;&gt;"x",$A3338&lt;=FinReleve),1,0))</f>
        <v/>
      </c>
      <c r="P3338" s="6" t="str">
        <f>IF($D3338="","",IF(AND($L3338="Crédit",OR(IFERROR(INDEX('Paramètres'!$O:$O,MATCH($D3338,'Paramètres'!$M:$M,0))&amp;"","")&lt;&gt;"",ISNUMBER(SEARCH("remboursement",IFERROR(INDEX('Paramètres'!$N:$N,MATCH($D3338,'Paramètres'!$M:$M,0))&amp;"",""))))),1,0))</f>
        <v/>
      </c>
      <c r="Q3338" s="6" t="str">
        <f>IF($K3338="","",IF(ISNUMBER(SEARCH("transfert-interne",IFERROR(INDEX('Paramètres'!$N:$N,MATCH($D3338,'Paramètres'!$M:$M,0))&amp;"",""))),0,IF($L3338="Débit",$K3338,IF($P3338=1,-$K3338,0))))</f>
        <v/>
      </c>
      <c r="R3338" s="6" t="str">
        <f>IF($K3338="","",IF($L3338="Crédit",$K3338,-$K3338))</f>
        <v/>
      </c>
      <c r="S3338" s="6" t="str">
        <f>IF($C3338="","",IFERROR(INDEX('Paramètres'!$H:$H,MATCH($C3338,'Paramètres'!$D:$D,0))&amp;"",""))</f>
        <v/>
      </c>
      <c r="T3338" s="6" t="str">
        <f>IF($K3338="","",IF($S3338="",0,IF(ISNUMBER(SEARCH("apport-exterieur",IFERROR(INDEX('Paramètres'!$N:$N,MATCH($D3338,'Paramètres'!$M:$M,0))&amp;"",""))),0,IF(OR(IFERROR(INDEX('Paramètres'!$I:$I,MATCH($C3338,'Paramètres'!$D:$D,0))&amp;"","")="Les deux",IFERROR(INDEX('Paramètres'!$I:$I,MATCH($C3338,'Paramètres'!$D:$D,0))&amp;"","")=IF($P3338=1,"Débit",$L3338)),-IF($P3338=1,-$K3338,$K3338),0))))</f>
        <v/>
      </c>
      <c r="U3338" s="6" t="str">
        <f>IF($K3338="","",IF(ISNUMBER(SEARCH("sortie-epargne",IFERROR(INDEX('Paramètres'!$N:$N,MATCH($D3338,'Paramètres'!$M:$M,0))&amp;"",""))),$K3338,0))</f>
        <v/>
      </c>
      <c r="V3338" s="6" t="str">
        <f>IF(AND($A3338&lt;&gt;"",$O3338=1,$L3338="Débit",N($Q3338)&gt;0,$A3338&gt;=Visualisation!$B$1,$A3338&lt;Visualisation!$D$1),MAX($V$1:V3337)+1,"")</f>
        <v/>
      </c>
    </row>
    <row r="3339" spans="1:22" x14ac:dyDescent="0.25">
      <c r="A3339" s="9"/>
      <c r="E3339" s="10"/>
      <c r="K3339" s="11" t="str">
        <f>IF($E3339="","",ROUND($E3339*IF(ISNA(MATCH($C3339,'Paramètres'!$D:$D,0)),1,IF(INDEX('Paramètres'!$J:$J,MATCH($C3339,'Paramètres'!$D:$D,0))="",1,INDEX('Paramètres'!$J:$J,MATCH($C3339,'Paramètres'!$D:$D,0)))),2))</f>
        <v/>
      </c>
      <c r="L3339" s="6" t="str">
        <f>IF($D3339="","",IF($F3339&lt;&gt;"",$F3339,IF(ISNA(MATCH($D3339,'Paramètres'!$M:$M,0)),"⚠ Type inconnu",IFERROR(INDEX('Paramètres'!$P:$P,MATCH($D3339,'Paramètres'!$M:$M,0))&amp;"",""))))</f>
        <v/>
      </c>
      <c r="M3339" s="6" t="str">
        <f>IF($D3339="","",IF(ISNA(MATCH($D3339,'Paramètres'!$M:$M,0)),"⚠ Type inconnu",IF($L3339="Crédit","",IFERROR(INDEX('Paramètres'!$O:$O,MATCH($D3339,'Paramètres'!$M:$M,0))&amp;"",""))))</f>
        <v/>
      </c>
      <c r="N3339" s="6" t="str">
        <f>IF($D3339="","",IFERROR(INDEX('Paramètres'!$Q:$Q,MATCH($D3339,'Paramètres'!$M:$M,0))&amp;"",""))</f>
        <v/>
      </c>
      <c r="O3339" s="6" t="str">
        <f>IF($A3339="","",IF(OR($J3339&lt;&gt;"x",$A3339&lt;=FinReleve),1,0))</f>
        <v/>
      </c>
      <c r="P3339" s="6" t="str">
        <f>IF($D3339="","",IF(AND($L3339="Crédit",OR(IFERROR(INDEX('Paramètres'!$O:$O,MATCH($D3339,'Paramètres'!$M:$M,0))&amp;"","")&lt;&gt;"",ISNUMBER(SEARCH("remboursement",IFERROR(INDEX('Paramètres'!$N:$N,MATCH($D3339,'Paramètres'!$M:$M,0))&amp;"",""))))),1,0))</f>
        <v/>
      </c>
      <c r="Q3339" s="6" t="str">
        <f>IF($K3339="","",IF(ISNUMBER(SEARCH("transfert-interne",IFERROR(INDEX('Paramètres'!$N:$N,MATCH($D3339,'Paramètres'!$M:$M,0))&amp;"",""))),0,IF($L3339="Débit",$K3339,IF($P3339=1,-$K3339,0))))</f>
        <v/>
      </c>
      <c r="R3339" s="6" t="str">
        <f>IF($K3339="","",IF($L3339="Crédit",$K3339,-$K3339))</f>
        <v/>
      </c>
      <c r="S3339" s="6" t="str">
        <f>IF($C3339="","",IFERROR(INDEX('Paramètres'!$H:$H,MATCH($C3339,'Paramètres'!$D:$D,0))&amp;"",""))</f>
        <v/>
      </c>
      <c r="T3339" s="6" t="str">
        <f>IF($K3339="","",IF($S3339="",0,IF(ISNUMBER(SEARCH("apport-exterieur",IFERROR(INDEX('Paramètres'!$N:$N,MATCH($D3339,'Paramètres'!$M:$M,0))&amp;"",""))),0,IF(OR(IFERROR(INDEX('Paramètres'!$I:$I,MATCH($C3339,'Paramètres'!$D:$D,0))&amp;"","")="Les deux",IFERROR(INDEX('Paramètres'!$I:$I,MATCH($C3339,'Paramètres'!$D:$D,0))&amp;"","")=IF($P3339=1,"Débit",$L3339)),-IF($P3339=1,-$K3339,$K3339),0))))</f>
        <v/>
      </c>
      <c r="U3339" s="6" t="str">
        <f>IF($K3339="","",IF(ISNUMBER(SEARCH("sortie-epargne",IFERROR(INDEX('Paramètres'!$N:$N,MATCH($D3339,'Paramètres'!$M:$M,0))&amp;"",""))),$K3339,0))</f>
        <v/>
      </c>
      <c r="V3339" s="6" t="str">
        <f>IF(AND($A3339&lt;&gt;"",$O3339=1,$L3339="Débit",N($Q3339)&gt;0,$A3339&gt;=Visualisation!$B$1,$A3339&lt;Visualisation!$D$1),MAX($V$1:V3338)+1,"")</f>
        <v/>
      </c>
    </row>
    <row r="3340" spans="1:22" x14ac:dyDescent="0.25">
      <c r="A3340" s="9"/>
      <c r="E3340" s="10"/>
      <c r="K3340" s="11" t="str">
        <f>IF($E3340="","",ROUND($E3340*IF(ISNA(MATCH($C3340,'Paramètres'!$D:$D,0)),1,IF(INDEX('Paramètres'!$J:$J,MATCH($C3340,'Paramètres'!$D:$D,0))="",1,INDEX('Paramètres'!$J:$J,MATCH($C3340,'Paramètres'!$D:$D,0)))),2))</f>
        <v/>
      </c>
      <c r="L3340" s="6" t="str">
        <f>IF($D3340="","",IF($F3340&lt;&gt;"",$F3340,IF(ISNA(MATCH($D3340,'Paramètres'!$M:$M,0)),"⚠ Type inconnu",IFERROR(INDEX('Paramètres'!$P:$P,MATCH($D3340,'Paramètres'!$M:$M,0))&amp;"",""))))</f>
        <v/>
      </c>
      <c r="M3340" s="6" t="str">
        <f>IF($D3340="","",IF(ISNA(MATCH($D3340,'Paramètres'!$M:$M,0)),"⚠ Type inconnu",IF($L3340="Crédit","",IFERROR(INDEX('Paramètres'!$O:$O,MATCH($D3340,'Paramètres'!$M:$M,0))&amp;"",""))))</f>
        <v/>
      </c>
      <c r="N3340" s="6" t="str">
        <f>IF($D3340="","",IFERROR(INDEX('Paramètres'!$Q:$Q,MATCH($D3340,'Paramètres'!$M:$M,0))&amp;"",""))</f>
        <v/>
      </c>
      <c r="O3340" s="6" t="str">
        <f>IF($A3340="","",IF(OR($J3340&lt;&gt;"x",$A3340&lt;=FinReleve),1,0))</f>
        <v/>
      </c>
      <c r="P3340" s="6" t="str">
        <f>IF($D3340="","",IF(AND($L3340="Crédit",OR(IFERROR(INDEX('Paramètres'!$O:$O,MATCH($D3340,'Paramètres'!$M:$M,0))&amp;"","")&lt;&gt;"",ISNUMBER(SEARCH("remboursement",IFERROR(INDEX('Paramètres'!$N:$N,MATCH($D3340,'Paramètres'!$M:$M,0))&amp;"",""))))),1,0))</f>
        <v/>
      </c>
      <c r="Q3340" s="6" t="str">
        <f>IF($K3340="","",IF(ISNUMBER(SEARCH("transfert-interne",IFERROR(INDEX('Paramètres'!$N:$N,MATCH($D3340,'Paramètres'!$M:$M,0))&amp;"",""))),0,IF($L3340="Débit",$K3340,IF($P3340=1,-$K3340,0))))</f>
        <v/>
      </c>
      <c r="R3340" s="6" t="str">
        <f>IF($K3340="","",IF($L3340="Crédit",$K3340,-$K3340))</f>
        <v/>
      </c>
      <c r="S3340" s="6" t="str">
        <f>IF($C3340="","",IFERROR(INDEX('Paramètres'!$H:$H,MATCH($C3340,'Paramètres'!$D:$D,0))&amp;"",""))</f>
        <v/>
      </c>
      <c r="T3340" s="6" t="str">
        <f>IF($K3340="","",IF($S3340="",0,IF(ISNUMBER(SEARCH("apport-exterieur",IFERROR(INDEX('Paramètres'!$N:$N,MATCH($D3340,'Paramètres'!$M:$M,0))&amp;"",""))),0,IF(OR(IFERROR(INDEX('Paramètres'!$I:$I,MATCH($C3340,'Paramètres'!$D:$D,0))&amp;"","")="Les deux",IFERROR(INDEX('Paramètres'!$I:$I,MATCH($C3340,'Paramètres'!$D:$D,0))&amp;"","")=IF($P3340=1,"Débit",$L3340)),-IF($P3340=1,-$K3340,$K3340),0))))</f>
        <v/>
      </c>
      <c r="U3340" s="6" t="str">
        <f>IF($K3340="","",IF(ISNUMBER(SEARCH("sortie-epargne",IFERROR(INDEX('Paramètres'!$N:$N,MATCH($D3340,'Paramètres'!$M:$M,0))&amp;"",""))),$K3340,0))</f>
        <v/>
      </c>
      <c r="V3340" s="6" t="str">
        <f>IF(AND($A3340&lt;&gt;"",$O3340=1,$L3340="Débit",N($Q3340)&gt;0,$A3340&gt;=Visualisation!$B$1,$A3340&lt;Visualisation!$D$1),MAX($V$1:V3339)+1,"")</f>
        <v/>
      </c>
    </row>
    <row r="3341" spans="1:22" x14ac:dyDescent="0.25">
      <c r="A3341" s="9"/>
      <c r="E3341" s="10"/>
      <c r="K3341" s="11" t="str">
        <f>IF($E3341="","",ROUND($E3341*IF(ISNA(MATCH($C3341,'Paramètres'!$D:$D,0)),1,IF(INDEX('Paramètres'!$J:$J,MATCH($C3341,'Paramètres'!$D:$D,0))="",1,INDEX('Paramètres'!$J:$J,MATCH($C3341,'Paramètres'!$D:$D,0)))),2))</f>
        <v/>
      </c>
      <c r="L3341" s="6" t="str">
        <f>IF($D3341="","",IF($F3341&lt;&gt;"",$F3341,IF(ISNA(MATCH($D3341,'Paramètres'!$M:$M,0)),"⚠ Type inconnu",IFERROR(INDEX('Paramètres'!$P:$P,MATCH($D3341,'Paramètres'!$M:$M,0))&amp;"",""))))</f>
        <v/>
      </c>
      <c r="M3341" s="6" t="str">
        <f>IF($D3341="","",IF(ISNA(MATCH($D3341,'Paramètres'!$M:$M,0)),"⚠ Type inconnu",IF($L3341="Crédit","",IFERROR(INDEX('Paramètres'!$O:$O,MATCH($D3341,'Paramètres'!$M:$M,0))&amp;"",""))))</f>
        <v/>
      </c>
      <c r="N3341" s="6" t="str">
        <f>IF($D3341="","",IFERROR(INDEX('Paramètres'!$Q:$Q,MATCH($D3341,'Paramètres'!$M:$M,0))&amp;"",""))</f>
        <v/>
      </c>
      <c r="O3341" s="6" t="str">
        <f>IF($A3341="","",IF(OR($J3341&lt;&gt;"x",$A3341&lt;=FinReleve),1,0))</f>
        <v/>
      </c>
      <c r="P3341" s="6" t="str">
        <f>IF($D3341="","",IF(AND($L3341="Crédit",OR(IFERROR(INDEX('Paramètres'!$O:$O,MATCH($D3341,'Paramètres'!$M:$M,0))&amp;"","")&lt;&gt;"",ISNUMBER(SEARCH("remboursement",IFERROR(INDEX('Paramètres'!$N:$N,MATCH($D3341,'Paramètres'!$M:$M,0))&amp;"",""))))),1,0))</f>
        <v/>
      </c>
      <c r="Q3341" s="6" t="str">
        <f>IF($K3341="","",IF(ISNUMBER(SEARCH("transfert-interne",IFERROR(INDEX('Paramètres'!$N:$N,MATCH($D3341,'Paramètres'!$M:$M,0))&amp;"",""))),0,IF($L3341="Débit",$K3341,IF($P3341=1,-$K3341,0))))</f>
        <v/>
      </c>
      <c r="R3341" s="6" t="str">
        <f>IF($K3341="","",IF($L3341="Crédit",$K3341,-$K3341))</f>
        <v/>
      </c>
      <c r="S3341" s="6" t="str">
        <f>IF($C3341="","",IFERROR(INDEX('Paramètres'!$H:$H,MATCH($C3341,'Paramètres'!$D:$D,0))&amp;"",""))</f>
        <v/>
      </c>
      <c r="T3341" s="6" t="str">
        <f>IF($K3341="","",IF($S3341="",0,IF(ISNUMBER(SEARCH("apport-exterieur",IFERROR(INDEX('Paramètres'!$N:$N,MATCH($D3341,'Paramètres'!$M:$M,0))&amp;"",""))),0,IF(OR(IFERROR(INDEX('Paramètres'!$I:$I,MATCH($C3341,'Paramètres'!$D:$D,0))&amp;"","")="Les deux",IFERROR(INDEX('Paramètres'!$I:$I,MATCH($C3341,'Paramètres'!$D:$D,0))&amp;"","")=IF($P3341=1,"Débit",$L3341)),-IF($P3341=1,-$K3341,$K3341),0))))</f>
        <v/>
      </c>
      <c r="U3341" s="6" t="str">
        <f>IF($K3341="","",IF(ISNUMBER(SEARCH("sortie-epargne",IFERROR(INDEX('Paramètres'!$N:$N,MATCH($D3341,'Paramètres'!$M:$M,0))&amp;"",""))),$K3341,0))</f>
        <v/>
      </c>
      <c r="V3341" s="6" t="str">
        <f>IF(AND($A3341&lt;&gt;"",$O3341=1,$L3341="Débit",N($Q3341)&gt;0,$A3341&gt;=Visualisation!$B$1,$A3341&lt;Visualisation!$D$1),MAX($V$1:V3340)+1,"")</f>
        <v/>
      </c>
    </row>
    <row r="3342" spans="1:22" x14ac:dyDescent="0.25">
      <c r="A3342" s="9"/>
      <c r="E3342" s="10"/>
      <c r="K3342" s="11" t="str">
        <f>IF($E3342="","",ROUND($E3342*IF(ISNA(MATCH($C3342,'Paramètres'!$D:$D,0)),1,IF(INDEX('Paramètres'!$J:$J,MATCH($C3342,'Paramètres'!$D:$D,0))="",1,INDEX('Paramètres'!$J:$J,MATCH($C3342,'Paramètres'!$D:$D,0)))),2))</f>
        <v/>
      </c>
      <c r="L3342" s="6" t="str">
        <f>IF($D3342="","",IF($F3342&lt;&gt;"",$F3342,IF(ISNA(MATCH($D3342,'Paramètres'!$M:$M,0)),"⚠ Type inconnu",IFERROR(INDEX('Paramètres'!$P:$P,MATCH($D3342,'Paramètres'!$M:$M,0))&amp;"",""))))</f>
        <v/>
      </c>
      <c r="M3342" s="6" t="str">
        <f>IF($D3342="","",IF(ISNA(MATCH($D3342,'Paramètres'!$M:$M,0)),"⚠ Type inconnu",IF($L3342="Crédit","",IFERROR(INDEX('Paramètres'!$O:$O,MATCH($D3342,'Paramètres'!$M:$M,0))&amp;"",""))))</f>
        <v/>
      </c>
      <c r="N3342" s="6" t="str">
        <f>IF($D3342="","",IFERROR(INDEX('Paramètres'!$Q:$Q,MATCH($D3342,'Paramètres'!$M:$M,0))&amp;"",""))</f>
        <v/>
      </c>
      <c r="O3342" s="6" t="str">
        <f>IF($A3342="","",IF(OR($J3342&lt;&gt;"x",$A3342&lt;=FinReleve),1,0))</f>
        <v/>
      </c>
      <c r="P3342" s="6" t="str">
        <f>IF($D3342="","",IF(AND($L3342="Crédit",OR(IFERROR(INDEX('Paramètres'!$O:$O,MATCH($D3342,'Paramètres'!$M:$M,0))&amp;"","")&lt;&gt;"",ISNUMBER(SEARCH("remboursement",IFERROR(INDEX('Paramètres'!$N:$N,MATCH($D3342,'Paramètres'!$M:$M,0))&amp;"",""))))),1,0))</f>
        <v/>
      </c>
      <c r="Q3342" s="6" t="str">
        <f>IF($K3342="","",IF(ISNUMBER(SEARCH("transfert-interne",IFERROR(INDEX('Paramètres'!$N:$N,MATCH($D3342,'Paramètres'!$M:$M,0))&amp;"",""))),0,IF($L3342="Débit",$K3342,IF($P3342=1,-$K3342,0))))</f>
        <v/>
      </c>
      <c r="R3342" s="6" t="str">
        <f>IF($K3342="","",IF($L3342="Crédit",$K3342,-$K3342))</f>
        <v/>
      </c>
      <c r="S3342" s="6" t="str">
        <f>IF($C3342="","",IFERROR(INDEX('Paramètres'!$H:$H,MATCH($C3342,'Paramètres'!$D:$D,0))&amp;"",""))</f>
        <v/>
      </c>
      <c r="T3342" s="6" t="str">
        <f>IF($K3342="","",IF($S3342="",0,IF(ISNUMBER(SEARCH("apport-exterieur",IFERROR(INDEX('Paramètres'!$N:$N,MATCH($D3342,'Paramètres'!$M:$M,0))&amp;"",""))),0,IF(OR(IFERROR(INDEX('Paramètres'!$I:$I,MATCH($C3342,'Paramètres'!$D:$D,0))&amp;"","")="Les deux",IFERROR(INDEX('Paramètres'!$I:$I,MATCH($C3342,'Paramètres'!$D:$D,0))&amp;"","")=IF($P3342=1,"Débit",$L3342)),-IF($P3342=1,-$K3342,$K3342),0))))</f>
        <v/>
      </c>
      <c r="U3342" s="6" t="str">
        <f>IF($K3342="","",IF(ISNUMBER(SEARCH("sortie-epargne",IFERROR(INDEX('Paramètres'!$N:$N,MATCH($D3342,'Paramètres'!$M:$M,0))&amp;"",""))),$K3342,0))</f>
        <v/>
      </c>
      <c r="V3342" s="6" t="str">
        <f>IF(AND($A3342&lt;&gt;"",$O3342=1,$L3342="Débit",N($Q3342)&gt;0,$A3342&gt;=Visualisation!$B$1,$A3342&lt;Visualisation!$D$1),MAX($V$1:V3341)+1,"")</f>
        <v/>
      </c>
    </row>
    <row r="3343" spans="1:22" x14ac:dyDescent="0.25">
      <c r="A3343" s="9"/>
      <c r="E3343" s="10"/>
      <c r="K3343" s="11" t="str">
        <f>IF($E3343="","",ROUND($E3343*IF(ISNA(MATCH($C3343,'Paramètres'!$D:$D,0)),1,IF(INDEX('Paramètres'!$J:$J,MATCH($C3343,'Paramètres'!$D:$D,0))="",1,INDEX('Paramètres'!$J:$J,MATCH($C3343,'Paramètres'!$D:$D,0)))),2))</f>
        <v/>
      </c>
      <c r="L3343" s="6" t="str">
        <f>IF($D3343="","",IF($F3343&lt;&gt;"",$F3343,IF(ISNA(MATCH($D3343,'Paramètres'!$M:$M,0)),"⚠ Type inconnu",IFERROR(INDEX('Paramètres'!$P:$P,MATCH($D3343,'Paramètres'!$M:$M,0))&amp;"",""))))</f>
        <v/>
      </c>
      <c r="M3343" s="6" t="str">
        <f>IF($D3343="","",IF(ISNA(MATCH($D3343,'Paramètres'!$M:$M,0)),"⚠ Type inconnu",IF($L3343="Crédit","",IFERROR(INDEX('Paramètres'!$O:$O,MATCH($D3343,'Paramètres'!$M:$M,0))&amp;"",""))))</f>
        <v/>
      </c>
      <c r="N3343" s="6" t="str">
        <f>IF($D3343="","",IFERROR(INDEX('Paramètres'!$Q:$Q,MATCH($D3343,'Paramètres'!$M:$M,0))&amp;"",""))</f>
        <v/>
      </c>
      <c r="O3343" s="6" t="str">
        <f>IF($A3343="","",IF(OR($J3343&lt;&gt;"x",$A3343&lt;=FinReleve),1,0))</f>
        <v/>
      </c>
      <c r="P3343" s="6" t="str">
        <f>IF($D3343="","",IF(AND($L3343="Crédit",OR(IFERROR(INDEX('Paramètres'!$O:$O,MATCH($D3343,'Paramètres'!$M:$M,0))&amp;"","")&lt;&gt;"",ISNUMBER(SEARCH("remboursement",IFERROR(INDEX('Paramètres'!$N:$N,MATCH($D3343,'Paramètres'!$M:$M,0))&amp;"",""))))),1,0))</f>
        <v/>
      </c>
      <c r="Q3343" s="6" t="str">
        <f>IF($K3343="","",IF(ISNUMBER(SEARCH("transfert-interne",IFERROR(INDEX('Paramètres'!$N:$N,MATCH($D3343,'Paramètres'!$M:$M,0))&amp;"",""))),0,IF($L3343="Débit",$K3343,IF($P3343=1,-$K3343,0))))</f>
        <v/>
      </c>
      <c r="R3343" s="6" t="str">
        <f>IF($K3343="","",IF($L3343="Crédit",$K3343,-$K3343))</f>
        <v/>
      </c>
      <c r="S3343" s="6" t="str">
        <f>IF($C3343="","",IFERROR(INDEX('Paramètres'!$H:$H,MATCH($C3343,'Paramètres'!$D:$D,0))&amp;"",""))</f>
        <v/>
      </c>
      <c r="T3343" s="6" t="str">
        <f>IF($K3343="","",IF($S3343="",0,IF(ISNUMBER(SEARCH("apport-exterieur",IFERROR(INDEX('Paramètres'!$N:$N,MATCH($D3343,'Paramètres'!$M:$M,0))&amp;"",""))),0,IF(OR(IFERROR(INDEX('Paramètres'!$I:$I,MATCH($C3343,'Paramètres'!$D:$D,0))&amp;"","")="Les deux",IFERROR(INDEX('Paramètres'!$I:$I,MATCH($C3343,'Paramètres'!$D:$D,0))&amp;"","")=IF($P3343=1,"Débit",$L3343)),-IF($P3343=1,-$K3343,$K3343),0))))</f>
        <v/>
      </c>
      <c r="U3343" s="6" t="str">
        <f>IF($K3343="","",IF(ISNUMBER(SEARCH("sortie-epargne",IFERROR(INDEX('Paramètres'!$N:$N,MATCH($D3343,'Paramètres'!$M:$M,0))&amp;"",""))),$K3343,0))</f>
        <v/>
      </c>
      <c r="V3343" s="6" t="str">
        <f>IF(AND($A3343&lt;&gt;"",$O3343=1,$L3343="Débit",N($Q3343)&gt;0,$A3343&gt;=Visualisation!$B$1,$A3343&lt;Visualisation!$D$1),MAX($V$1:V3342)+1,"")</f>
        <v/>
      </c>
    </row>
    <row r="3344" spans="1:22" x14ac:dyDescent="0.25">
      <c r="A3344" s="9"/>
      <c r="E3344" s="10"/>
      <c r="K3344" s="11" t="str">
        <f>IF($E3344="","",ROUND($E3344*IF(ISNA(MATCH($C3344,'Paramètres'!$D:$D,0)),1,IF(INDEX('Paramètres'!$J:$J,MATCH($C3344,'Paramètres'!$D:$D,0))="",1,INDEX('Paramètres'!$J:$J,MATCH($C3344,'Paramètres'!$D:$D,0)))),2))</f>
        <v/>
      </c>
      <c r="L3344" s="6" t="str">
        <f>IF($D3344="","",IF($F3344&lt;&gt;"",$F3344,IF(ISNA(MATCH($D3344,'Paramètres'!$M:$M,0)),"⚠ Type inconnu",IFERROR(INDEX('Paramètres'!$P:$P,MATCH($D3344,'Paramètres'!$M:$M,0))&amp;"",""))))</f>
        <v/>
      </c>
      <c r="M3344" s="6" t="str">
        <f>IF($D3344="","",IF(ISNA(MATCH($D3344,'Paramètres'!$M:$M,0)),"⚠ Type inconnu",IF($L3344="Crédit","",IFERROR(INDEX('Paramètres'!$O:$O,MATCH($D3344,'Paramètres'!$M:$M,0))&amp;"",""))))</f>
        <v/>
      </c>
      <c r="N3344" s="6" t="str">
        <f>IF($D3344="","",IFERROR(INDEX('Paramètres'!$Q:$Q,MATCH($D3344,'Paramètres'!$M:$M,0))&amp;"",""))</f>
        <v/>
      </c>
      <c r="O3344" s="6" t="str">
        <f>IF($A3344="","",IF(OR($J3344&lt;&gt;"x",$A3344&lt;=FinReleve),1,0))</f>
        <v/>
      </c>
      <c r="P3344" s="6" t="str">
        <f>IF($D3344="","",IF(AND($L3344="Crédit",OR(IFERROR(INDEX('Paramètres'!$O:$O,MATCH($D3344,'Paramètres'!$M:$M,0))&amp;"","")&lt;&gt;"",ISNUMBER(SEARCH("remboursement",IFERROR(INDEX('Paramètres'!$N:$N,MATCH($D3344,'Paramètres'!$M:$M,0))&amp;"",""))))),1,0))</f>
        <v/>
      </c>
      <c r="Q3344" s="6" t="str">
        <f>IF($K3344="","",IF(ISNUMBER(SEARCH("transfert-interne",IFERROR(INDEX('Paramètres'!$N:$N,MATCH($D3344,'Paramètres'!$M:$M,0))&amp;"",""))),0,IF($L3344="Débit",$K3344,IF($P3344=1,-$K3344,0))))</f>
        <v/>
      </c>
      <c r="R3344" s="6" t="str">
        <f>IF($K3344="","",IF($L3344="Crédit",$K3344,-$K3344))</f>
        <v/>
      </c>
      <c r="S3344" s="6" t="str">
        <f>IF($C3344="","",IFERROR(INDEX('Paramètres'!$H:$H,MATCH($C3344,'Paramètres'!$D:$D,0))&amp;"",""))</f>
        <v/>
      </c>
      <c r="T3344" s="6" t="str">
        <f>IF($K3344="","",IF($S3344="",0,IF(ISNUMBER(SEARCH("apport-exterieur",IFERROR(INDEX('Paramètres'!$N:$N,MATCH($D3344,'Paramètres'!$M:$M,0))&amp;"",""))),0,IF(OR(IFERROR(INDEX('Paramètres'!$I:$I,MATCH($C3344,'Paramètres'!$D:$D,0))&amp;"","")="Les deux",IFERROR(INDEX('Paramètres'!$I:$I,MATCH($C3344,'Paramètres'!$D:$D,0))&amp;"","")=IF($P3344=1,"Débit",$L3344)),-IF($P3344=1,-$K3344,$K3344),0))))</f>
        <v/>
      </c>
      <c r="U3344" s="6" t="str">
        <f>IF($K3344="","",IF(ISNUMBER(SEARCH("sortie-epargne",IFERROR(INDEX('Paramètres'!$N:$N,MATCH($D3344,'Paramètres'!$M:$M,0))&amp;"",""))),$K3344,0))</f>
        <v/>
      </c>
      <c r="V3344" s="6" t="str">
        <f>IF(AND($A3344&lt;&gt;"",$O3344=1,$L3344="Débit",N($Q3344)&gt;0,$A3344&gt;=Visualisation!$B$1,$A3344&lt;Visualisation!$D$1),MAX($V$1:V3343)+1,"")</f>
        <v/>
      </c>
    </row>
    <row r="3345" spans="1:22" x14ac:dyDescent="0.25">
      <c r="A3345" s="9"/>
      <c r="E3345" s="10"/>
      <c r="K3345" s="11" t="str">
        <f>IF($E3345="","",ROUND($E3345*IF(ISNA(MATCH($C3345,'Paramètres'!$D:$D,0)),1,IF(INDEX('Paramètres'!$J:$J,MATCH($C3345,'Paramètres'!$D:$D,0))="",1,INDEX('Paramètres'!$J:$J,MATCH($C3345,'Paramètres'!$D:$D,0)))),2))</f>
        <v/>
      </c>
      <c r="L3345" s="6" t="str">
        <f>IF($D3345="","",IF($F3345&lt;&gt;"",$F3345,IF(ISNA(MATCH($D3345,'Paramètres'!$M:$M,0)),"⚠ Type inconnu",IFERROR(INDEX('Paramètres'!$P:$P,MATCH($D3345,'Paramètres'!$M:$M,0))&amp;"",""))))</f>
        <v/>
      </c>
      <c r="M3345" s="6" t="str">
        <f>IF($D3345="","",IF(ISNA(MATCH($D3345,'Paramètres'!$M:$M,0)),"⚠ Type inconnu",IF($L3345="Crédit","",IFERROR(INDEX('Paramètres'!$O:$O,MATCH($D3345,'Paramètres'!$M:$M,0))&amp;"",""))))</f>
        <v/>
      </c>
      <c r="N3345" s="6" t="str">
        <f>IF($D3345="","",IFERROR(INDEX('Paramètres'!$Q:$Q,MATCH($D3345,'Paramètres'!$M:$M,0))&amp;"",""))</f>
        <v/>
      </c>
      <c r="O3345" s="6" t="str">
        <f>IF($A3345="","",IF(OR($J3345&lt;&gt;"x",$A3345&lt;=FinReleve),1,0))</f>
        <v/>
      </c>
      <c r="P3345" s="6" t="str">
        <f>IF($D3345="","",IF(AND($L3345="Crédit",OR(IFERROR(INDEX('Paramètres'!$O:$O,MATCH($D3345,'Paramètres'!$M:$M,0))&amp;"","")&lt;&gt;"",ISNUMBER(SEARCH("remboursement",IFERROR(INDEX('Paramètres'!$N:$N,MATCH($D3345,'Paramètres'!$M:$M,0))&amp;"",""))))),1,0))</f>
        <v/>
      </c>
      <c r="Q3345" s="6" t="str">
        <f>IF($K3345="","",IF(ISNUMBER(SEARCH("transfert-interne",IFERROR(INDEX('Paramètres'!$N:$N,MATCH($D3345,'Paramètres'!$M:$M,0))&amp;"",""))),0,IF($L3345="Débit",$K3345,IF($P3345=1,-$K3345,0))))</f>
        <v/>
      </c>
      <c r="R3345" s="6" t="str">
        <f>IF($K3345="","",IF($L3345="Crédit",$K3345,-$K3345))</f>
        <v/>
      </c>
      <c r="S3345" s="6" t="str">
        <f>IF($C3345="","",IFERROR(INDEX('Paramètres'!$H:$H,MATCH($C3345,'Paramètres'!$D:$D,0))&amp;"",""))</f>
        <v/>
      </c>
      <c r="T3345" s="6" t="str">
        <f>IF($K3345="","",IF($S3345="",0,IF(ISNUMBER(SEARCH("apport-exterieur",IFERROR(INDEX('Paramètres'!$N:$N,MATCH($D3345,'Paramètres'!$M:$M,0))&amp;"",""))),0,IF(OR(IFERROR(INDEX('Paramètres'!$I:$I,MATCH($C3345,'Paramètres'!$D:$D,0))&amp;"","")="Les deux",IFERROR(INDEX('Paramètres'!$I:$I,MATCH($C3345,'Paramètres'!$D:$D,0))&amp;"","")=IF($P3345=1,"Débit",$L3345)),-IF($P3345=1,-$K3345,$K3345),0))))</f>
        <v/>
      </c>
      <c r="U3345" s="6" t="str">
        <f>IF($K3345="","",IF(ISNUMBER(SEARCH("sortie-epargne",IFERROR(INDEX('Paramètres'!$N:$N,MATCH($D3345,'Paramètres'!$M:$M,0))&amp;"",""))),$K3345,0))</f>
        <v/>
      </c>
      <c r="V3345" s="6" t="str">
        <f>IF(AND($A3345&lt;&gt;"",$O3345=1,$L3345="Débit",N($Q3345)&gt;0,$A3345&gt;=Visualisation!$B$1,$A3345&lt;Visualisation!$D$1),MAX($V$1:V3344)+1,"")</f>
        <v/>
      </c>
    </row>
    <row r="3346" spans="1:22" x14ac:dyDescent="0.25">
      <c r="A3346" s="9"/>
      <c r="E3346" s="10"/>
      <c r="K3346" s="11" t="str">
        <f>IF($E3346="","",ROUND($E3346*IF(ISNA(MATCH($C3346,'Paramètres'!$D:$D,0)),1,IF(INDEX('Paramètres'!$J:$J,MATCH($C3346,'Paramètres'!$D:$D,0))="",1,INDEX('Paramètres'!$J:$J,MATCH($C3346,'Paramètres'!$D:$D,0)))),2))</f>
        <v/>
      </c>
      <c r="L3346" s="6" t="str">
        <f>IF($D3346="","",IF($F3346&lt;&gt;"",$F3346,IF(ISNA(MATCH($D3346,'Paramètres'!$M:$M,0)),"⚠ Type inconnu",IFERROR(INDEX('Paramètres'!$P:$P,MATCH($D3346,'Paramètres'!$M:$M,0))&amp;"",""))))</f>
        <v/>
      </c>
      <c r="M3346" s="6" t="str">
        <f>IF($D3346="","",IF(ISNA(MATCH($D3346,'Paramètres'!$M:$M,0)),"⚠ Type inconnu",IF($L3346="Crédit","",IFERROR(INDEX('Paramètres'!$O:$O,MATCH($D3346,'Paramètres'!$M:$M,0))&amp;"",""))))</f>
        <v/>
      </c>
      <c r="N3346" s="6" t="str">
        <f>IF($D3346="","",IFERROR(INDEX('Paramètres'!$Q:$Q,MATCH($D3346,'Paramètres'!$M:$M,0))&amp;"",""))</f>
        <v/>
      </c>
      <c r="O3346" s="6" t="str">
        <f>IF($A3346="","",IF(OR($J3346&lt;&gt;"x",$A3346&lt;=FinReleve),1,0))</f>
        <v/>
      </c>
      <c r="P3346" s="6" t="str">
        <f>IF($D3346="","",IF(AND($L3346="Crédit",OR(IFERROR(INDEX('Paramètres'!$O:$O,MATCH($D3346,'Paramètres'!$M:$M,0))&amp;"","")&lt;&gt;"",ISNUMBER(SEARCH("remboursement",IFERROR(INDEX('Paramètres'!$N:$N,MATCH($D3346,'Paramètres'!$M:$M,0))&amp;"",""))))),1,0))</f>
        <v/>
      </c>
      <c r="Q3346" s="6" t="str">
        <f>IF($K3346="","",IF(ISNUMBER(SEARCH("transfert-interne",IFERROR(INDEX('Paramètres'!$N:$N,MATCH($D3346,'Paramètres'!$M:$M,0))&amp;"",""))),0,IF($L3346="Débit",$K3346,IF($P3346=1,-$K3346,0))))</f>
        <v/>
      </c>
      <c r="R3346" s="6" t="str">
        <f>IF($K3346="","",IF($L3346="Crédit",$K3346,-$K3346))</f>
        <v/>
      </c>
      <c r="S3346" s="6" t="str">
        <f>IF($C3346="","",IFERROR(INDEX('Paramètres'!$H:$H,MATCH($C3346,'Paramètres'!$D:$D,0))&amp;"",""))</f>
        <v/>
      </c>
      <c r="T3346" s="6" t="str">
        <f>IF($K3346="","",IF($S3346="",0,IF(ISNUMBER(SEARCH("apport-exterieur",IFERROR(INDEX('Paramètres'!$N:$N,MATCH($D3346,'Paramètres'!$M:$M,0))&amp;"",""))),0,IF(OR(IFERROR(INDEX('Paramètres'!$I:$I,MATCH($C3346,'Paramètres'!$D:$D,0))&amp;"","")="Les deux",IFERROR(INDEX('Paramètres'!$I:$I,MATCH($C3346,'Paramètres'!$D:$D,0))&amp;"","")=IF($P3346=1,"Débit",$L3346)),-IF($P3346=1,-$K3346,$K3346),0))))</f>
        <v/>
      </c>
      <c r="U3346" s="6" t="str">
        <f>IF($K3346="","",IF(ISNUMBER(SEARCH("sortie-epargne",IFERROR(INDEX('Paramètres'!$N:$N,MATCH($D3346,'Paramètres'!$M:$M,0))&amp;"",""))),$K3346,0))</f>
        <v/>
      </c>
      <c r="V3346" s="6" t="str">
        <f>IF(AND($A3346&lt;&gt;"",$O3346=1,$L3346="Débit",N($Q3346)&gt;0,$A3346&gt;=Visualisation!$B$1,$A3346&lt;Visualisation!$D$1),MAX($V$1:V3345)+1,"")</f>
        <v/>
      </c>
    </row>
    <row r="3347" spans="1:22" x14ac:dyDescent="0.25">
      <c r="A3347" s="9"/>
      <c r="E3347" s="10"/>
      <c r="K3347" s="11" t="str">
        <f>IF($E3347="","",ROUND($E3347*IF(ISNA(MATCH($C3347,'Paramètres'!$D:$D,0)),1,IF(INDEX('Paramètres'!$J:$J,MATCH($C3347,'Paramètres'!$D:$D,0))="",1,INDEX('Paramètres'!$J:$J,MATCH($C3347,'Paramètres'!$D:$D,0)))),2))</f>
        <v/>
      </c>
      <c r="L3347" s="6" t="str">
        <f>IF($D3347="","",IF($F3347&lt;&gt;"",$F3347,IF(ISNA(MATCH($D3347,'Paramètres'!$M:$M,0)),"⚠ Type inconnu",IFERROR(INDEX('Paramètres'!$P:$P,MATCH($D3347,'Paramètres'!$M:$M,0))&amp;"",""))))</f>
        <v/>
      </c>
      <c r="M3347" s="6" t="str">
        <f>IF($D3347="","",IF(ISNA(MATCH($D3347,'Paramètres'!$M:$M,0)),"⚠ Type inconnu",IF($L3347="Crédit","",IFERROR(INDEX('Paramètres'!$O:$O,MATCH($D3347,'Paramètres'!$M:$M,0))&amp;"",""))))</f>
        <v/>
      </c>
      <c r="N3347" s="6" t="str">
        <f>IF($D3347="","",IFERROR(INDEX('Paramètres'!$Q:$Q,MATCH($D3347,'Paramètres'!$M:$M,0))&amp;"",""))</f>
        <v/>
      </c>
      <c r="O3347" s="6" t="str">
        <f>IF($A3347="","",IF(OR($J3347&lt;&gt;"x",$A3347&lt;=FinReleve),1,0))</f>
        <v/>
      </c>
      <c r="P3347" s="6" t="str">
        <f>IF($D3347="","",IF(AND($L3347="Crédit",OR(IFERROR(INDEX('Paramètres'!$O:$O,MATCH($D3347,'Paramètres'!$M:$M,0))&amp;"","")&lt;&gt;"",ISNUMBER(SEARCH("remboursement",IFERROR(INDEX('Paramètres'!$N:$N,MATCH($D3347,'Paramètres'!$M:$M,0))&amp;"",""))))),1,0))</f>
        <v/>
      </c>
      <c r="Q3347" s="6" t="str">
        <f>IF($K3347="","",IF(ISNUMBER(SEARCH("transfert-interne",IFERROR(INDEX('Paramètres'!$N:$N,MATCH($D3347,'Paramètres'!$M:$M,0))&amp;"",""))),0,IF($L3347="Débit",$K3347,IF($P3347=1,-$K3347,0))))</f>
        <v/>
      </c>
      <c r="R3347" s="6" t="str">
        <f>IF($K3347="","",IF($L3347="Crédit",$K3347,-$K3347))</f>
        <v/>
      </c>
      <c r="S3347" s="6" t="str">
        <f>IF($C3347="","",IFERROR(INDEX('Paramètres'!$H:$H,MATCH($C3347,'Paramètres'!$D:$D,0))&amp;"",""))</f>
        <v/>
      </c>
      <c r="T3347" s="6" t="str">
        <f>IF($K3347="","",IF($S3347="",0,IF(ISNUMBER(SEARCH("apport-exterieur",IFERROR(INDEX('Paramètres'!$N:$N,MATCH($D3347,'Paramètres'!$M:$M,0))&amp;"",""))),0,IF(OR(IFERROR(INDEX('Paramètres'!$I:$I,MATCH($C3347,'Paramètres'!$D:$D,0))&amp;"","")="Les deux",IFERROR(INDEX('Paramètres'!$I:$I,MATCH($C3347,'Paramètres'!$D:$D,0))&amp;"","")=IF($P3347=1,"Débit",$L3347)),-IF($P3347=1,-$K3347,$K3347),0))))</f>
        <v/>
      </c>
      <c r="U3347" s="6" t="str">
        <f>IF($K3347="","",IF(ISNUMBER(SEARCH("sortie-epargne",IFERROR(INDEX('Paramètres'!$N:$N,MATCH($D3347,'Paramètres'!$M:$M,0))&amp;"",""))),$K3347,0))</f>
        <v/>
      </c>
      <c r="V3347" s="6" t="str">
        <f>IF(AND($A3347&lt;&gt;"",$O3347=1,$L3347="Débit",N($Q3347)&gt;0,$A3347&gt;=Visualisation!$B$1,$A3347&lt;Visualisation!$D$1),MAX($V$1:V3346)+1,"")</f>
        <v/>
      </c>
    </row>
    <row r="3348" spans="1:22" x14ac:dyDescent="0.25">
      <c r="A3348" s="9"/>
      <c r="E3348" s="10"/>
      <c r="K3348" s="11" t="str">
        <f>IF($E3348="","",ROUND($E3348*IF(ISNA(MATCH($C3348,'Paramètres'!$D:$D,0)),1,IF(INDEX('Paramètres'!$J:$J,MATCH($C3348,'Paramètres'!$D:$D,0))="",1,INDEX('Paramètres'!$J:$J,MATCH($C3348,'Paramètres'!$D:$D,0)))),2))</f>
        <v/>
      </c>
      <c r="L3348" s="6" t="str">
        <f>IF($D3348="","",IF($F3348&lt;&gt;"",$F3348,IF(ISNA(MATCH($D3348,'Paramètres'!$M:$M,0)),"⚠ Type inconnu",IFERROR(INDEX('Paramètres'!$P:$P,MATCH($D3348,'Paramètres'!$M:$M,0))&amp;"",""))))</f>
        <v/>
      </c>
      <c r="M3348" s="6" t="str">
        <f>IF($D3348="","",IF(ISNA(MATCH($D3348,'Paramètres'!$M:$M,0)),"⚠ Type inconnu",IF($L3348="Crédit","",IFERROR(INDEX('Paramètres'!$O:$O,MATCH($D3348,'Paramètres'!$M:$M,0))&amp;"",""))))</f>
        <v/>
      </c>
      <c r="N3348" s="6" t="str">
        <f>IF($D3348="","",IFERROR(INDEX('Paramètres'!$Q:$Q,MATCH($D3348,'Paramètres'!$M:$M,0))&amp;"",""))</f>
        <v/>
      </c>
      <c r="O3348" s="6" t="str">
        <f>IF($A3348="","",IF(OR($J3348&lt;&gt;"x",$A3348&lt;=FinReleve),1,0))</f>
        <v/>
      </c>
      <c r="P3348" s="6" t="str">
        <f>IF($D3348="","",IF(AND($L3348="Crédit",OR(IFERROR(INDEX('Paramètres'!$O:$O,MATCH($D3348,'Paramètres'!$M:$M,0))&amp;"","")&lt;&gt;"",ISNUMBER(SEARCH("remboursement",IFERROR(INDEX('Paramètres'!$N:$N,MATCH($D3348,'Paramètres'!$M:$M,0))&amp;"",""))))),1,0))</f>
        <v/>
      </c>
      <c r="Q3348" s="6" t="str">
        <f>IF($K3348="","",IF(ISNUMBER(SEARCH("transfert-interne",IFERROR(INDEX('Paramètres'!$N:$N,MATCH($D3348,'Paramètres'!$M:$M,0))&amp;"",""))),0,IF($L3348="Débit",$K3348,IF($P3348=1,-$K3348,0))))</f>
        <v/>
      </c>
      <c r="R3348" s="6" t="str">
        <f>IF($K3348="","",IF($L3348="Crédit",$K3348,-$K3348))</f>
        <v/>
      </c>
      <c r="S3348" s="6" t="str">
        <f>IF($C3348="","",IFERROR(INDEX('Paramètres'!$H:$H,MATCH($C3348,'Paramètres'!$D:$D,0))&amp;"",""))</f>
        <v/>
      </c>
      <c r="T3348" s="6" t="str">
        <f>IF($K3348="","",IF($S3348="",0,IF(ISNUMBER(SEARCH("apport-exterieur",IFERROR(INDEX('Paramètres'!$N:$N,MATCH($D3348,'Paramètres'!$M:$M,0))&amp;"",""))),0,IF(OR(IFERROR(INDEX('Paramètres'!$I:$I,MATCH($C3348,'Paramètres'!$D:$D,0))&amp;"","")="Les deux",IFERROR(INDEX('Paramètres'!$I:$I,MATCH($C3348,'Paramètres'!$D:$D,0))&amp;"","")=IF($P3348=1,"Débit",$L3348)),-IF($P3348=1,-$K3348,$K3348),0))))</f>
        <v/>
      </c>
      <c r="U3348" s="6" t="str">
        <f>IF($K3348="","",IF(ISNUMBER(SEARCH("sortie-epargne",IFERROR(INDEX('Paramètres'!$N:$N,MATCH($D3348,'Paramètres'!$M:$M,0))&amp;"",""))),$K3348,0))</f>
        <v/>
      </c>
      <c r="V3348" s="6" t="str">
        <f>IF(AND($A3348&lt;&gt;"",$O3348=1,$L3348="Débit",N($Q3348)&gt;0,$A3348&gt;=Visualisation!$B$1,$A3348&lt;Visualisation!$D$1),MAX($V$1:V3347)+1,"")</f>
        <v/>
      </c>
    </row>
    <row r="3349" spans="1:22" x14ac:dyDescent="0.25">
      <c r="A3349" s="9"/>
      <c r="E3349" s="10"/>
      <c r="K3349" s="11" t="str">
        <f>IF($E3349="","",ROUND($E3349*IF(ISNA(MATCH($C3349,'Paramètres'!$D:$D,0)),1,IF(INDEX('Paramètres'!$J:$J,MATCH($C3349,'Paramètres'!$D:$D,0))="",1,INDEX('Paramètres'!$J:$J,MATCH($C3349,'Paramètres'!$D:$D,0)))),2))</f>
        <v/>
      </c>
      <c r="L3349" s="6" t="str">
        <f>IF($D3349="","",IF($F3349&lt;&gt;"",$F3349,IF(ISNA(MATCH($D3349,'Paramètres'!$M:$M,0)),"⚠ Type inconnu",IFERROR(INDEX('Paramètres'!$P:$P,MATCH($D3349,'Paramètres'!$M:$M,0))&amp;"",""))))</f>
        <v/>
      </c>
      <c r="M3349" s="6" t="str">
        <f>IF($D3349="","",IF(ISNA(MATCH($D3349,'Paramètres'!$M:$M,0)),"⚠ Type inconnu",IF($L3349="Crédit","",IFERROR(INDEX('Paramètres'!$O:$O,MATCH($D3349,'Paramètres'!$M:$M,0))&amp;"",""))))</f>
        <v/>
      </c>
      <c r="N3349" s="6" t="str">
        <f>IF($D3349="","",IFERROR(INDEX('Paramètres'!$Q:$Q,MATCH($D3349,'Paramètres'!$M:$M,0))&amp;"",""))</f>
        <v/>
      </c>
      <c r="O3349" s="6" t="str">
        <f>IF($A3349="","",IF(OR($J3349&lt;&gt;"x",$A3349&lt;=FinReleve),1,0))</f>
        <v/>
      </c>
      <c r="P3349" s="6" t="str">
        <f>IF($D3349="","",IF(AND($L3349="Crédit",OR(IFERROR(INDEX('Paramètres'!$O:$O,MATCH($D3349,'Paramètres'!$M:$M,0))&amp;"","")&lt;&gt;"",ISNUMBER(SEARCH("remboursement",IFERROR(INDEX('Paramètres'!$N:$N,MATCH($D3349,'Paramètres'!$M:$M,0))&amp;"",""))))),1,0))</f>
        <v/>
      </c>
      <c r="Q3349" s="6" t="str">
        <f>IF($K3349="","",IF(ISNUMBER(SEARCH("transfert-interne",IFERROR(INDEX('Paramètres'!$N:$N,MATCH($D3349,'Paramètres'!$M:$M,0))&amp;"",""))),0,IF($L3349="Débit",$K3349,IF($P3349=1,-$K3349,0))))</f>
        <v/>
      </c>
      <c r="R3349" s="6" t="str">
        <f>IF($K3349="","",IF($L3349="Crédit",$K3349,-$K3349))</f>
        <v/>
      </c>
      <c r="S3349" s="6" t="str">
        <f>IF($C3349="","",IFERROR(INDEX('Paramètres'!$H:$H,MATCH($C3349,'Paramètres'!$D:$D,0))&amp;"",""))</f>
        <v/>
      </c>
      <c r="T3349" s="6" t="str">
        <f>IF($K3349="","",IF($S3349="",0,IF(ISNUMBER(SEARCH("apport-exterieur",IFERROR(INDEX('Paramètres'!$N:$N,MATCH($D3349,'Paramètres'!$M:$M,0))&amp;"",""))),0,IF(OR(IFERROR(INDEX('Paramètres'!$I:$I,MATCH($C3349,'Paramètres'!$D:$D,0))&amp;"","")="Les deux",IFERROR(INDEX('Paramètres'!$I:$I,MATCH($C3349,'Paramètres'!$D:$D,0))&amp;"","")=IF($P3349=1,"Débit",$L3349)),-IF($P3349=1,-$K3349,$K3349),0))))</f>
        <v/>
      </c>
      <c r="U3349" s="6" t="str">
        <f>IF($K3349="","",IF(ISNUMBER(SEARCH("sortie-epargne",IFERROR(INDEX('Paramètres'!$N:$N,MATCH($D3349,'Paramètres'!$M:$M,0))&amp;"",""))),$K3349,0))</f>
        <v/>
      </c>
      <c r="V3349" s="6" t="str">
        <f>IF(AND($A3349&lt;&gt;"",$O3349=1,$L3349="Débit",N($Q3349)&gt;0,$A3349&gt;=Visualisation!$B$1,$A3349&lt;Visualisation!$D$1),MAX($V$1:V3348)+1,"")</f>
        <v/>
      </c>
    </row>
    <row r="3350" spans="1:22" x14ac:dyDescent="0.25">
      <c r="A3350" s="9"/>
      <c r="E3350" s="10"/>
      <c r="K3350" s="11" t="str">
        <f>IF($E3350="","",ROUND($E3350*IF(ISNA(MATCH($C3350,'Paramètres'!$D:$D,0)),1,IF(INDEX('Paramètres'!$J:$J,MATCH($C3350,'Paramètres'!$D:$D,0))="",1,INDEX('Paramètres'!$J:$J,MATCH($C3350,'Paramètres'!$D:$D,0)))),2))</f>
        <v/>
      </c>
      <c r="L3350" s="6" t="str">
        <f>IF($D3350="","",IF($F3350&lt;&gt;"",$F3350,IF(ISNA(MATCH($D3350,'Paramètres'!$M:$M,0)),"⚠ Type inconnu",IFERROR(INDEX('Paramètres'!$P:$P,MATCH($D3350,'Paramètres'!$M:$M,0))&amp;"",""))))</f>
        <v/>
      </c>
      <c r="M3350" s="6" t="str">
        <f>IF($D3350="","",IF(ISNA(MATCH($D3350,'Paramètres'!$M:$M,0)),"⚠ Type inconnu",IF($L3350="Crédit","",IFERROR(INDEX('Paramètres'!$O:$O,MATCH($D3350,'Paramètres'!$M:$M,0))&amp;"",""))))</f>
        <v/>
      </c>
      <c r="N3350" s="6" t="str">
        <f>IF($D3350="","",IFERROR(INDEX('Paramètres'!$Q:$Q,MATCH($D3350,'Paramètres'!$M:$M,0))&amp;"",""))</f>
        <v/>
      </c>
      <c r="O3350" s="6" t="str">
        <f>IF($A3350="","",IF(OR($J3350&lt;&gt;"x",$A3350&lt;=FinReleve),1,0))</f>
        <v/>
      </c>
      <c r="P3350" s="6" t="str">
        <f>IF($D3350="","",IF(AND($L3350="Crédit",OR(IFERROR(INDEX('Paramètres'!$O:$O,MATCH($D3350,'Paramètres'!$M:$M,0))&amp;"","")&lt;&gt;"",ISNUMBER(SEARCH("remboursement",IFERROR(INDEX('Paramètres'!$N:$N,MATCH($D3350,'Paramètres'!$M:$M,0))&amp;"",""))))),1,0))</f>
        <v/>
      </c>
      <c r="Q3350" s="6" t="str">
        <f>IF($K3350="","",IF(ISNUMBER(SEARCH("transfert-interne",IFERROR(INDEX('Paramètres'!$N:$N,MATCH($D3350,'Paramètres'!$M:$M,0))&amp;"",""))),0,IF($L3350="Débit",$K3350,IF($P3350=1,-$K3350,0))))</f>
        <v/>
      </c>
      <c r="R3350" s="6" t="str">
        <f>IF($K3350="","",IF($L3350="Crédit",$K3350,-$K3350))</f>
        <v/>
      </c>
      <c r="S3350" s="6" t="str">
        <f>IF($C3350="","",IFERROR(INDEX('Paramètres'!$H:$H,MATCH($C3350,'Paramètres'!$D:$D,0))&amp;"",""))</f>
        <v/>
      </c>
      <c r="T3350" s="6" t="str">
        <f>IF($K3350="","",IF($S3350="",0,IF(ISNUMBER(SEARCH("apport-exterieur",IFERROR(INDEX('Paramètres'!$N:$N,MATCH($D3350,'Paramètres'!$M:$M,0))&amp;"",""))),0,IF(OR(IFERROR(INDEX('Paramètres'!$I:$I,MATCH($C3350,'Paramètres'!$D:$D,0))&amp;"","")="Les deux",IFERROR(INDEX('Paramètres'!$I:$I,MATCH($C3350,'Paramètres'!$D:$D,0))&amp;"","")=IF($P3350=1,"Débit",$L3350)),-IF($P3350=1,-$K3350,$K3350),0))))</f>
        <v/>
      </c>
      <c r="U3350" s="6" t="str">
        <f>IF($K3350="","",IF(ISNUMBER(SEARCH("sortie-epargne",IFERROR(INDEX('Paramètres'!$N:$N,MATCH($D3350,'Paramètres'!$M:$M,0))&amp;"",""))),$K3350,0))</f>
        <v/>
      </c>
      <c r="V3350" s="6" t="str">
        <f>IF(AND($A3350&lt;&gt;"",$O3350=1,$L3350="Débit",N($Q3350)&gt;0,$A3350&gt;=Visualisation!$B$1,$A3350&lt;Visualisation!$D$1),MAX($V$1:V3349)+1,"")</f>
        <v/>
      </c>
    </row>
    <row r="3351" spans="1:22" x14ac:dyDescent="0.25">
      <c r="A3351" s="9"/>
      <c r="E3351" s="10"/>
      <c r="K3351" s="11" t="str">
        <f>IF($E3351="","",ROUND($E3351*IF(ISNA(MATCH($C3351,'Paramètres'!$D:$D,0)),1,IF(INDEX('Paramètres'!$J:$J,MATCH($C3351,'Paramètres'!$D:$D,0))="",1,INDEX('Paramètres'!$J:$J,MATCH($C3351,'Paramètres'!$D:$D,0)))),2))</f>
        <v/>
      </c>
      <c r="L3351" s="6" t="str">
        <f>IF($D3351="","",IF($F3351&lt;&gt;"",$F3351,IF(ISNA(MATCH($D3351,'Paramètres'!$M:$M,0)),"⚠ Type inconnu",IFERROR(INDEX('Paramètres'!$P:$P,MATCH($D3351,'Paramètres'!$M:$M,0))&amp;"",""))))</f>
        <v/>
      </c>
      <c r="M3351" s="6" t="str">
        <f>IF($D3351="","",IF(ISNA(MATCH($D3351,'Paramètres'!$M:$M,0)),"⚠ Type inconnu",IF($L3351="Crédit","",IFERROR(INDEX('Paramètres'!$O:$O,MATCH($D3351,'Paramètres'!$M:$M,0))&amp;"",""))))</f>
        <v/>
      </c>
      <c r="N3351" s="6" t="str">
        <f>IF($D3351="","",IFERROR(INDEX('Paramètres'!$Q:$Q,MATCH($D3351,'Paramètres'!$M:$M,0))&amp;"",""))</f>
        <v/>
      </c>
      <c r="O3351" s="6" t="str">
        <f>IF($A3351="","",IF(OR($J3351&lt;&gt;"x",$A3351&lt;=FinReleve),1,0))</f>
        <v/>
      </c>
      <c r="P3351" s="6" t="str">
        <f>IF($D3351="","",IF(AND($L3351="Crédit",OR(IFERROR(INDEX('Paramètres'!$O:$O,MATCH($D3351,'Paramètres'!$M:$M,0))&amp;"","")&lt;&gt;"",ISNUMBER(SEARCH("remboursement",IFERROR(INDEX('Paramètres'!$N:$N,MATCH($D3351,'Paramètres'!$M:$M,0))&amp;"",""))))),1,0))</f>
        <v/>
      </c>
      <c r="Q3351" s="6" t="str">
        <f>IF($K3351="","",IF(ISNUMBER(SEARCH("transfert-interne",IFERROR(INDEX('Paramètres'!$N:$N,MATCH($D3351,'Paramètres'!$M:$M,0))&amp;"",""))),0,IF($L3351="Débit",$K3351,IF($P3351=1,-$K3351,0))))</f>
        <v/>
      </c>
      <c r="R3351" s="6" t="str">
        <f>IF($K3351="","",IF($L3351="Crédit",$K3351,-$K3351))</f>
        <v/>
      </c>
      <c r="S3351" s="6" t="str">
        <f>IF($C3351="","",IFERROR(INDEX('Paramètres'!$H:$H,MATCH($C3351,'Paramètres'!$D:$D,0))&amp;"",""))</f>
        <v/>
      </c>
      <c r="T3351" s="6" t="str">
        <f>IF($K3351="","",IF($S3351="",0,IF(ISNUMBER(SEARCH("apport-exterieur",IFERROR(INDEX('Paramètres'!$N:$N,MATCH($D3351,'Paramètres'!$M:$M,0))&amp;"",""))),0,IF(OR(IFERROR(INDEX('Paramètres'!$I:$I,MATCH($C3351,'Paramètres'!$D:$D,0))&amp;"","")="Les deux",IFERROR(INDEX('Paramètres'!$I:$I,MATCH($C3351,'Paramètres'!$D:$D,0))&amp;"","")=IF($P3351=1,"Débit",$L3351)),-IF($P3351=1,-$K3351,$K3351),0))))</f>
        <v/>
      </c>
      <c r="U3351" s="6" t="str">
        <f>IF($K3351="","",IF(ISNUMBER(SEARCH("sortie-epargne",IFERROR(INDEX('Paramètres'!$N:$N,MATCH($D3351,'Paramètres'!$M:$M,0))&amp;"",""))),$K3351,0))</f>
        <v/>
      </c>
      <c r="V3351" s="6" t="str">
        <f>IF(AND($A3351&lt;&gt;"",$O3351=1,$L3351="Débit",N($Q3351)&gt;0,$A3351&gt;=Visualisation!$B$1,$A3351&lt;Visualisation!$D$1),MAX($V$1:V3350)+1,"")</f>
        <v/>
      </c>
    </row>
    <row r="3352" spans="1:22" x14ac:dyDescent="0.25">
      <c r="A3352" s="9"/>
      <c r="E3352" s="10"/>
      <c r="K3352" s="11" t="str">
        <f>IF($E3352="","",ROUND($E3352*IF(ISNA(MATCH($C3352,'Paramètres'!$D:$D,0)),1,IF(INDEX('Paramètres'!$J:$J,MATCH($C3352,'Paramètres'!$D:$D,0))="",1,INDEX('Paramètres'!$J:$J,MATCH($C3352,'Paramètres'!$D:$D,0)))),2))</f>
        <v/>
      </c>
      <c r="L3352" s="6" t="str">
        <f>IF($D3352="","",IF($F3352&lt;&gt;"",$F3352,IF(ISNA(MATCH($D3352,'Paramètres'!$M:$M,0)),"⚠ Type inconnu",IFERROR(INDEX('Paramètres'!$P:$P,MATCH($D3352,'Paramètres'!$M:$M,0))&amp;"",""))))</f>
        <v/>
      </c>
      <c r="M3352" s="6" t="str">
        <f>IF($D3352="","",IF(ISNA(MATCH($D3352,'Paramètres'!$M:$M,0)),"⚠ Type inconnu",IF($L3352="Crédit","",IFERROR(INDEX('Paramètres'!$O:$O,MATCH($D3352,'Paramètres'!$M:$M,0))&amp;"",""))))</f>
        <v/>
      </c>
      <c r="N3352" s="6" t="str">
        <f>IF($D3352="","",IFERROR(INDEX('Paramètres'!$Q:$Q,MATCH($D3352,'Paramètres'!$M:$M,0))&amp;"",""))</f>
        <v/>
      </c>
      <c r="O3352" s="6" t="str">
        <f>IF($A3352="","",IF(OR($J3352&lt;&gt;"x",$A3352&lt;=FinReleve),1,0))</f>
        <v/>
      </c>
      <c r="P3352" s="6" t="str">
        <f>IF($D3352="","",IF(AND($L3352="Crédit",OR(IFERROR(INDEX('Paramètres'!$O:$O,MATCH($D3352,'Paramètres'!$M:$M,0))&amp;"","")&lt;&gt;"",ISNUMBER(SEARCH("remboursement",IFERROR(INDEX('Paramètres'!$N:$N,MATCH($D3352,'Paramètres'!$M:$M,0))&amp;"",""))))),1,0))</f>
        <v/>
      </c>
      <c r="Q3352" s="6" t="str">
        <f>IF($K3352="","",IF(ISNUMBER(SEARCH("transfert-interne",IFERROR(INDEX('Paramètres'!$N:$N,MATCH($D3352,'Paramètres'!$M:$M,0))&amp;"",""))),0,IF($L3352="Débit",$K3352,IF($P3352=1,-$K3352,0))))</f>
        <v/>
      </c>
      <c r="R3352" s="6" t="str">
        <f>IF($K3352="","",IF($L3352="Crédit",$K3352,-$K3352))</f>
        <v/>
      </c>
      <c r="S3352" s="6" t="str">
        <f>IF($C3352="","",IFERROR(INDEX('Paramètres'!$H:$H,MATCH($C3352,'Paramètres'!$D:$D,0))&amp;"",""))</f>
        <v/>
      </c>
      <c r="T3352" s="6" t="str">
        <f>IF($K3352="","",IF($S3352="",0,IF(ISNUMBER(SEARCH("apport-exterieur",IFERROR(INDEX('Paramètres'!$N:$N,MATCH($D3352,'Paramètres'!$M:$M,0))&amp;"",""))),0,IF(OR(IFERROR(INDEX('Paramètres'!$I:$I,MATCH($C3352,'Paramètres'!$D:$D,0))&amp;"","")="Les deux",IFERROR(INDEX('Paramètres'!$I:$I,MATCH($C3352,'Paramètres'!$D:$D,0))&amp;"","")=IF($P3352=1,"Débit",$L3352)),-IF($P3352=1,-$K3352,$K3352),0))))</f>
        <v/>
      </c>
      <c r="U3352" s="6" t="str">
        <f>IF($K3352="","",IF(ISNUMBER(SEARCH("sortie-epargne",IFERROR(INDEX('Paramètres'!$N:$N,MATCH($D3352,'Paramètres'!$M:$M,0))&amp;"",""))),$K3352,0))</f>
        <v/>
      </c>
      <c r="V3352" s="6" t="str">
        <f>IF(AND($A3352&lt;&gt;"",$O3352=1,$L3352="Débit",N($Q3352)&gt;0,$A3352&gt;=Visualisation!$B$1,$A3352&lt;Visualisation!$D$1),MAX($V$1:V3351)+1,"")</f>
        <v/>
      </c>
    </row>
    <row r="3353" spans="1:22" x14ac:dyDescent="0.25">
      <c r="A3353" s="9"/>
      <c r="E3353" s="10"/>
      <c r="K3353" s="11" t="str">
        <f>IF($E3353="","",ROUND($E3353*IF(ISNA(MATCH($C3353,'Paramètres'!$D:$D,0)),1,IF(INDEX('Paramètres'!$J:$J,MATCH($C3353,'Paramètres'!$D:$D,0))="",1,INDEX('Paramètres'!$J:$J,MATCH($C3353,'Paramètres'!$D:$D,0)))),2))</f>
        <v/>
      </c>
      <c r="L3353" s="6" t="str">
        <f>IF($D3353="","",IF($F3353&lt;&gt;"",$F3353,IF(ISNA(MATCH($D3353,'Paramètres'!$M:$M,0)),"⚠ Type inconnu",IFERROR(INDEX('Paramètres'!$P:$P,MATCH($D3353,'Paramètres'!$M:$M,0))&amp;"",""))))</f>
        <v/>
      </c>
      <c r="M3353" s="6" t="str">
        <f>IF($D3353="","",IF(ISNA(MATCH($D3353,'Paramètres'!$M:$M,0)),"⚠ Type inconnu",IF($L3353="Crédit","",IFERROR(INDEX('Paramètres'!$O:$O,MATCH($D3353,'Paramètres'!$M:$M,0))&amp;"",""))))</f>
        <v/>
      </c>
      <c r="N3353" s="6" t="str">
        <f>IF($D3353="","",IFERROR(INDEX('Paramètres'!$Q:$Q,MATCH($D3353,'Paramètres'!$M:$M,0))&amp;"",""))</f>
        <v/>
      </c>
      <c r="O3353" s="6" t="str">
        <f>IF($A3353="","",IF(OR($J3353&lt;&gt;"x",$A3353&lt;=FinReleve),1,0))</f>
        <v/>
      </c>
      <c r="P3353" s="6" t="str">
        <f>IF($D3353="","",IF(AND($L3353="Crédit",OR(IFERROR(INDEX('Paramètres'!$O:$O,MATCH($D3353,'Paramètres'!$M:$M,0))&amp;"","")&lt;&gt;"",ISNUMBER(SEARCH("remboursement",IFERROR(INDEX('Paramètres'!$N:$N,MATCH($D3353,'Paramètres'!$M:$M,0))&amp;"",""))))),1,0))</f>
        <v/>
      </c>
      <c r="Q3353" s="6" t="str">
        <f>IF($K3353="","",IF(ISNUMBER(SEARCH("transfert-interne",IFERROR(INDEX('Paramètres'!$N:$N,MATCH($D3353,'Paramètres'!$M:$M,0))&amp;"",""))),0,IF($L3353="Débit",$K3353,IF($P3353=1,-$K3353,0))))</f>
        <v/>
      </c>
      <c r="R3353" s="6" t="str">
        <f>IF($K3353="","",IF($L3353="Crédit",$K3353,-$K3353))</f>
        <v/>
      </c>
      <c r="S3353" s="6" t="str">
        <f>IF($C3353="","",IFERROR(INDEX('Paramètres'!$H:$H,MATCH($C3353,'Paramètres'!$D:$D,0))&amp;"",""))</f>
        <v/>
      </c>
      <c r="T3353" s="6" t="str">
        <f>IF($K3353="","",IF($S3353="",0,IF(ISNUMBER(SEARCH("apport-exterieur",IFERROR(INDEX('Paramètres'!$N:$N,MATCH($D3353,'Paramètres'!$M:$M,0))&amp;"",""))),0,IF(OR(IFERROR(INDEX('Paramètres'!$I:$I,MATCH($C3353,'Paramètres'!$D:$D,0))&amp;"","")="Les deux",IFERROR(INDEX('Paramètres'!$I:$I,MATCH($C3353,'Paramètres'!$D:$D,0))&amp;"","")=IF($P3353=1,"Débit",$L3353)),-IF($P3353=1,-$K3353,$K3353),0))))</f>
        <v/>
      </c>
      <c r="U3353" s="6" t="str">
        <f>IF($K3353="","",IF(ISNUMBER(SEARCH("sortie-epargne",IFERROR(INDEX('Paramètres'!$N:$N,MATCH($D3353,'Paramètres'!$M:$M,0))&amp;"",""))),$K3353,0))</f>
        <v/>
      </c>
      <c r="V3353" s="6" t="str">
        <f>IF(AND($A3353&lt;&gt;"",$O3353=1,$L3353="Débit",N($Q3353)&gt;0,$A3353&gt;=Visualisation!$B$1,$A3353&lt;Visualisation!$D$1),MAX($V$1:V3352)+1,"")</f>
        <v/>
      </c>
    </row>
    <row r="3354" spans="1:22" x14ac:dyDescent="0.25">
      <c r="A3354" s="9"/>
      <c r="E3354" s="10"/>
      <c r="K3354" s="11" t="str">
        <f>IF($E3354="","",ROUND($E3354*IF(ISNA(MATCH($C3354,'Paramètres'!$D:$D,0)),1,IF(INDEX('Paramètres'!$J:$J,MATCH($C3354,'Paramètres'!$D:$D,0))="",1,INDEX('Paramètres'!$J:$J,MATCH($C3354,'Paramètres'!$D:$D,0)))),2))</f>
        <v/>
      </c>
      <c r="L3354" s="6" t="str">
        <f>IF($D3354="","",IF($F3354&lt;&gt;"",$F3354,IF(ISNA(MATCH($D3354,'Paramètres'!$M:$M,0)),"⚠ Type inconnu",IFERROR(INDEX('Paramètres'!$P:$P,MATCH($D3354,'Paramètres'!$M:$M,0))&amp;"",""))))</f>
        <v/>
      </c>
      <c r="M3354" s="6" t="str">
        <f>IF($D3354="","",IF(ISNA(MATCH($D3354,'Paramètres'!$M:$M,0)),"⚠ Type inconnu",IF($L3354="Crédit","",IFERROR(INDEX('Paramètres'!$O:$O,MATCH($D3354,'Paramètres'!$M:$M,0))&amp;"",""))))</f>
        <v/>
      </c>
      <c r="N3354" s="6" t="str">
        <f>IF($D3354="","",IFERROR(INDEX('Paramètres'!$Q:$Q,MATCH($D3354,'Paramètres'!$M:$M,0))&amp;"",""))</f>
        <v/>
      </c>
      <c r="O3354" s="6" t="str">
        <f>IF($A3354="","",IF(OR($J3354&lt;&gt;"x",$A3354&lt;=FinReleve),1,0))</f>
        <v/>
      </c>
      <c r="P3354" s="6" t="str">
        <f>IF($D3354="","",IF(AND($L3354="Crédit",OR(IFERROR(INDEX('Paramètres'!$O:$O,MATCH($D3354,'Paramètres'!$M:$M,0))&amp;"","")&lt;&gt;"",ISNUMBER(SEARCH("remboursement",IFERROR(INDEX('Paramètres'!$N:$N,MATCH($D3354,'Paramètres'!$M:$M,0))&amp;"",""))))),1,0))</f>
        <v/>
      </c>
      <c r="Q3354" s="6" t="str">
        <f>IF($K3354="","",IF(ISNUMBER(SEARCH("transfert-interne",IFERROR(INDEX('Paramètres'!$N:$N,MATCH($D3354,'Paramètres'!$M:$M,0))&amp;"",""))),0,IF($L3354="Débit",$K3354,IF($P3354=1,-$K3354,0))))</f>
        <v/>
      </c>
      <c r="R3354" s="6" t="str">
        <f>IF($K3354="","",IF($L3354="Crédit",$K3354,-$K3354))</f>
        <v/>
      </c>
      <c r="S3354" s="6" t="str">
        <f>IF($C3354="","",IFERROR(INDEX('Paramètres'!$H:$H,MATCH($C3354,'Paramètres'!$D:$D,0))&amp;"",""))</f>
        <v/>
      </c>
      <c r="T3354" s="6" t="str">
        <f>IF($K3354="","",IF($S3354="",0,IF(ISNUMBER(SEARCH("apport-exterieur",IFERROR(INDEX('Paramètres'!$N:$N,MATCH($D3354,'Paramètres'!$M:$M,0))&amp;"",""))),0,IF(OR(IFERROR(INDEX('Paramètres'!$I:$I,MATCH($C3354,'Paramètres'!$D:$D,0))&amp;"","")="Les deux",IFERROR(INDEX('Paramètres'!$I:$I,MATCH($C3354,'Paramètres'!$D:$D,0))&amp;"","")=IF($P3354=1,"Débit",$L3354)),-IF($P3354=1,-$K3354,$K3354),0))))</f>
        <v/>
      </c>
      <c r="U3354" s="6" t="str">
        <f>IF($K3354="","",IF(ISNUMBER(SEARCH("sortie-epargne",IFERROR(INDEX('Paramètres'!$N:$N,MATCH($D3354,'Paramètres'!$M:$M,0))&amp;"",""))),$K3354,0))</f>
        <v/>
      </c>
      <c r="V3354" s="6" t="str">
        <f>IF(AND($A3354&lt;&gt;"",$O3354=1,$L3354="Débit",N($Q3354)&gt;0,$A3354&gt;=Visualisation!$B$1,$A3354&lt;Visualisation!$D$1),MAX($V$1:V3353)+1,"")</f>
        <v/>
      </c>
    </row>
    <row r="3355" spans="1:22" x14ac:dyDescent="0.25">
      <c r="A3355" s="9"/>
      <c r="E3355" s="10"/>
      <c r="K3355" s="11" t="str">
        <f>IF($E3355="","",ROUND($E3355*IF(ISNA(MATCH($C3355,'Paramètres'!$D:$D,0)),1,IF(INDEX('Paramètres'!$J:$J,MATCH($C3355,'Paramètres'!$D:$D,0))="",1,INDEX('Paramètres'!$J:$J,MATCH($C3355,'Paramètres'!$D:$D,0)))),2))</f>
        <v/>
      </c>
      <c r="L3355" s="6" t="str">
        <f>IF($D3355="","",IF($F3355&lt;&gt;"",$F3355,IF(ISNA(MATCH($D3355,'Paramètres'!$M:$M,0)),"⚠ Type inconnu",IFERROR(INDEX('Paramètres'!$P:$P,MATCH($D3355,'Paramètres'!$M:$M,0))&amp;"",""))))</f>
        <v/>
      </c>
      <c r="M3355" s="6" t="str">
        <f>IF($D3355="","",IF(ISNA(MATCH($D3355,'Paramètres'!$M:$M,0)),"⚠ Type inconnu",IF($L3355="Crédit","",IFERROR(INDEX('Paramètres'!$O:$O,MATCH($D3355,'Paramètres'!$M:$M,0))&amp;"",""))))</f>
        <v/>
      </c>
      <c r="N3355" s="6" t="str">
        <f>IF($D3355="","",IFERROR(INDEX('Paramètres'!$Q:$Q,MATCH($D3355,'Paramètres'!$M:$M,0))&amp;"",""))</f>
        <v/>
      </c>
      <c r="O3355" s="6" t="str">
        <f>IF($A3355="","",IF(OR($J3355&lt;&gt;"x",$A3355&lt;=FinReleve),1,0))</f>
        <v/>
      </c>
      <c r="P3355" s="6" t="str">
        <f>IF($D3355="","",IF(AND($L3355="Crédit",OR(IFERROR(INDEX('Paramètres'!$O:$O,MATCH($D3355,'Paramètres'!$M:$M,0))&amp;"","")&lt;&gt;"",ISNUMBER(SEARCH("remboursement",IFERROR(INDEX('Paramètres'!$N:$N,MATCH($D3355,'Paramètres'!$M:$M,0))&amp;"",""))))),1,0))</f>
        <v/>
      </c>
      <c r="Q3355" s="6" t="str">
        <f>IF($K3355="","",IF(ISNUMBER(SEARCH("transfert-interne",IFERROR(INDEX('Paramètres'!$N:$N,MATCH($D3355,'Paramètres'!$M:$M,0))&amp;"",""))),0,IF($L3355="Débit",$K3355,IF($P3355=1,-$K3355,0))))</f>
        <v/>
      </c>
      <c r="R3355" s="6" t="str">
        <f>IF($K3355="","",IF($L3355="Crédit",$K3355,-$K3355))</f>
        <v/>
      </c>
      <c r="S3355" s="6" t="str">
        <f>IF($C3355="","",IFERROR(INDEX('Paramètres'!$H:$H,MATCH($C3355,'Paramètres'!$D:$D,0))&amp;"",""))</f>
        <v/>
      </c>
      <c r="T3355" s="6" t="str">
        <f>IF($K3355="","",IF($S3355="",0,IF(ISNUMBER(SEARCH("apport-exterieur",IFERROR(INDEX('Paramètres'!$N:$N,MATCH($D3355,'Paramètres'!$M:$M,0))&amp;"",""))),0,IF(OR(IFERROR(INDEX('Paramètres'!$I:$I,MATCH($C3355,'Paramètres'!$D:$D,0))&amp;"","")="Les deux",IFERROR(INDEX('Paramètres'!$I:$I,MATCH($C3355,'Paramètres'!$D:$D,0))&amp;"","")=IF($P3355=1,"Débit",$L3355)),-IF($P3355=1,-$K3355,$K3355),0))))</f>
        <v/>
      </c>
      <c r="U3355" s="6" t="str">
        <f>IF($K3355="","",IF(ISNUMBER(SEARCH("sortie-epargne",IFERROR(INDEX('Paramètres'!$N:$N,MATCH($D3355,'Paramètres'!$M:$M,0))&amp;"",""))),$K3355,0))</f>
        <v/>
      </c>
      <c r="V3355" s="6" t="str">
        <f>IF(AND($A3355&lt;&gt;"",$O3355=1,$L3355="Débit",N($Q3355)&gt;0,$A3355&gt;=Visualisation!$B$1,$A3355&lt;Visualisation!$D$1),MAX($V$1:V3354)+1,"")</f>
        <v/>
      </c>
    </row>
    <row r="3356" spans="1:22" x14ac:dyDescent="0.25">
      <c r="A3356" s="9"/>
      <c r="E3356" s="10"/>
      <c r="K3356" s="11" t="str">
        <f>IF($E3356="","",ROUND($E3356*IF(ISNA(MATCH($C3356,'Paramètres'!$D:$D,0)),1,IF(INDEX('Paramètres'!$J:$J,MATCH($C3356,'Paramètres'!$D:$D,0))="",1,INDEX('Paramètres'!$J:$J,MATCH($C3356,'Paramètres'!$D:$D,0)))),2))</f>
        <v/>
      </c>
      <c r="L3356" s="6" t="str">
        <f>IF($D3356="","",IF($F3356&lt;&gt;"",$F3356,IF(ISNA(MATCH($D3356,'Paramètres'!$M:$M,0)),"⚠ Type inconnu",IFERROR(INDEX('Paramètres'!$P:$P,MATCH($D3356,'Paramètres'!$M:$M,0))&amp;"",""))))</f>
        <v/>
      </c>
      <c r="M3356" s="6" t="str">
        <f>IF($D3356="","",IF(ISNA(MATCH($D3356,'Paramètres'!$M:$M,0)),"⚠ Type inconnu",IF($L3356="Crédit","",IFERROR(INDEX('Paramètres'!$O:$O,MATCH($D3356,'Paramètres'!$M:$M,0))&amp;"",""))))</f>
        <v/>
      </c>
      <c r="N3356" s="6" t="str">
        <f>IF($D3356="","",IFERROR(INDEX('Paramètres'!$Q:$Q,MATCH($D3356,'Paramètres'!$M:$M,0))&amp;"",""))</f>
        <v/>
      </c>
      <c r="O3356" s="6" t="str">
        <f>IF($A3356="","",IF(OR($J3356&lt;&gt;"x",$A3356&lt;=FinReleve),1,0))</f>
        <v/>
      </c>
      <c r="P3356" s="6" t="str">
        <f>IF($D3356="","",IF(AND($L3356="Crédit",OR(IFERROR(INDEX('Paramètres'!$O:$O,MATCH($D3356,'Paramètres'!$M:$M,0))&amp;"","")&lt;&gt;"",ISNUMBER(SEARCH("remboursement",IFERROR(INDEX('Paramètres'!$N:$N,MATCH($D3356,'Paramètres'!$M:$M,0))&amp;"",""))))),1,0))</f>
        <v/>
      </c>
      <c r="Q3356" s="6" t="str">
        <f>IF($K3356="","",IF(ISNUMBER(SEARCH("transfert-interne",IFERROR(INDEX('Paramètres'!$N:$N,MATCH($D3356,'Paramètres'!$M:$M,0))&amp;"",""))),0,IF($L3356="Débit",$K3356,IF($P3356=1,-$K3356,0))))</f>
        <v/>
      </c>
      <c r="R3356" s="6" t="str">
        <f>IF($K3356="","",IF($L3356="Crédit",$K3356,-$K3356))</f>
        <v/>
      </c>
      <c r="S3356" s="6" t="str">
        <f>IF($C3356="","",IFERROR(INDEX('Paramètres'!$H:$H,MATCH($C3356,'Paramètres'!$D:$D,0))&amp;"",""))</f>
        <v/>
      </c>
      <c r="T3356" s="6" t="str">
        <f>IF($K3356="","",IF($S3356="",0,IF(ISNUMBER(SEARCH("apport-exterieur",IFERROR(INDEX('Paramètres'!$N:$N,MATCH($D3356,'Paramètres'!$M:$M,0))&amp;"",""))),0,IF(OR(IFERROR(INDEX('Paramètres'!$I:$I,MATCH($C3356,'Paramètres'!$D:$D,0))&amp;"","")="Les deux",IFERROR(INDEX('Paramètres'!$I:$I,MATCH($C3356,'Paramètres'!$D:$D,0))&amp;"","")=IF($P3356=1,"Débit",$L3356)),-IF($P3356=1,-$K3356,$K3356),0))))</f>
        <v/>
      </c>
      <c r="U3356" s="6" t="str">
        <f>IF($K3356="","",IF(ISNUMBER(SEARCH("sortie-epargne",IFERROR(INDEX('Paramètres'!$N:$N,MATCH($D3356,'Paramètres'!$M:$M,0))&amp;"",""))),$K3356,0))</f>
        <v/>
      </c>
      <c r="V3356" s="6" t="str">
        <f>IF(AND($A3356&lt;&gt;"",$O3356=1,$L3356="Débit",N($Q3356)&gt;0,$A3356&gt;=Visualisation!$B$1,$A3356&lt;Visualisation!$D$1),MAX($V$1:V3355)+1,"")</f>
        <v/>
      </c>
    </row>
    <row r="3357" spans="1:22" x14ac:dyDescent="0.25">
      <c r="A3357" s="9"/>
      <c r="E3357" s="10"/>
      <c r="K3357" s="11" t="str">
        <f>IF($E3357="","",ROUND($E3357*IF(ISNA(MATCH($C3357,'Paramètres'!$D:$D,0)),1,IF(INDEX('Paramètres'!$J:$J,MATCH($C3357,'Paramètres'!$D:$D,0))="",1,INDEX('Paramètres'!$J:$J,MATCH($C3357,'Paramètres'!$D:$D,0)))),2))</f>
        <v/>
      </c>
      <c r="L3357" s="6" t="str">
        <f>IF($D3357="","",IF($F3357&lt;&gt;"",$F3357,IF(ISNA(MATCH($D3357,'Paramètres'!$M:$M,0)),"⚠ Type inconnu",IFERROR(INDEX('Paramètres'!$P:$P,MATCH($D3357,'Paramètres'!$M:$M,0))&amp;"",""))))</f>
        <v/>
      </c>
      <c r="M3357" s="6" t="str">
        <f>IF($D3357="","",IF(ISNA(MATCH($D3357,'Paramètres'!$M:$M,0)),"⚠ Type inconnu",IF($L3357="Crédit","",IFERROR(INDEX('Paramètres'!$O:$O,MATCH($D3357,'Paramètres'!$M:$M,0))&amp;"",""))))</f>
        <v/>
      </c>
      <c r="N3357" s="6" t="str">
        <f>IF($D3357="","",IFERROR(INDEX('Paramètres'!$Q:$Q,MATCH($D3357,'Paramètres'!$M:$M,0))&amp;"",""))</f>
        <v/>
      </c>
      <c r="O3357" s="6" t="str">
        <f>IF($A3357="","",IF(OR($J3357&lt;&gt;"x",$A3357&lt;=FinReleve),1,0))</f>
        <v/>
      </c>
      <c r="P3357" s="6" t="str">
        <f>IF($D3357="","",IF(AND($L3357="Crédit",OR(IFERROR(INDEX('Paramètres'!$O:$O,MATCH($D3357,'Paramètres'!$M:$M,0))&amp;"","")&lt;&gt;"",ISNUMBER(SEARCH("remboursement",IFERROR(INDEX('Paramètres'!$N:$N,MATCH($D3357,'Paramètres'!$M:$M,0))&amp;"",""))))),1,0))</f>
        <v/>
      </c>
      <c r="Q3357" s="6" t="str">
        <f>IF($K3357="","",IF(ISNUMBER(SEARCH("transfert-interne",IFERROR(INDEX('Paramètres'!$N:$N,MATCH($D3357,'Paramètres'!$M:$M,0))&amp;"",""))),0,IF($L3357="Débit",$K3357,IF($P3357=1,-$K3357,0))))</f>
        <v/>
      </c>
      <c r="R3357" s="6" t="str">
        <f>IF($K3357="","",IF($L3357="Crédit",$K3357,-$K3357))</f>
        <v/>
      </c>
      <c r="S3357" s="6" t="str">
        <f>IF($C3357="","",IFERROR(INDEX('Paramètres'!$H:$H,MATCH($C3357,'Paramètres'!$D:$D,0))&amp;"",""))</f>
        <v/>
      </c>
      <c r="T3357" s="6" t="str">
        <f>IF($K3357="","",IF($S3357="",0,IF(ISNUMBER(SEARCH("apport-exterieur",IFERROR(INDEX('Paramètres'!$N:$N,MATCH($D3357,'Paramètres'!$M:$M,0))&amp;"",""))),0,IF(OR(IFERROR(INDEX('Paramètres'!$I:$I,MATCH($C3357,'Paramètres'!$D:$D,0))&amp;"","")="Les deux",IFERROR(INDEX('Paramètres'!$I:$I,MATCH($C3357,'Paramètres'!$D:$D,0))&amp;"","")=IF($P3357=1,"Débit",$L3357)),-IF($P3357=1,-$K3357,$K3357),0))))</f>
        <v/>
      </c>
      <c r="U3357" s="6" t="str">
        <f>IF($K3357="","",IF(ISNUMBER(SEARCH("sortie-epargne",IFERROR(INDEX('Paramètres'!$N:$N,MATCH($D3357,'Paramètres'!$M:$M,0))&amp;"",""))),$K3357,0))</f>
        <v/>
      </c>
      <c r="V3357" s="6" t="str">
        <f>IF(AND($A3357&lt;&gt;"",$O3357=1,$L3357="Débit",N($Q3357)&gt;0,$A3357&gt;=Visualisation!$B$1,$A3357&lt;Visualisation!$D$1),MAX($V$1:V3356)+1,"")</f>
        <v/>
      </c>
    </row>
    <row r="3358" spans="1:22" x14ac:dyDescent="0.25">
      <c r="A3358" s="9"/>
      <c r="E3358" s="10"/>
      <c r="K3358" s="11" t="str">
        <f>IF($E3358="","",ROUND($E3358*IF(ISNA(MATCH($C3358,'Paramètres'!$D:$D,0)),1,IF(INDEX('Paramètres'!$J:$J,MATCH($C3358,'Paramètres'!$D:$D,0))="",1,INDEX('Paramètres'!$J:$J,MATCH($C3358,'Paramètres'!$D:$D,0)))),2))</f>
        <v/>
      </c>
      <c r="L3358" s="6" t="str">
        <f>IF($D3358="","",IF($F3358&lt;&gt;"",$F3358,IF(ISNA(MATCH($D3358,'Paramètres'!$M:$M,0)),"⚠ Type inconnu",IFERROR(INDEX('Paramètres'!$P:$P,MATCH($D3358,'Paramètres'!$M:$M,0))&amp;"",""))))</f>
        <v/>
      </c>
      <c r="M3358" s="6" t="str">
        <f>IF($D3358="","",IF(ISNA(MATCH($D3358,'Paramètres'!$M:$M,0)),"⚠ Type inconnu",IF($L3358="Crédit","",IFERROR(INDEX('Paramètres'!$O:$O,MATCH($D3358,'Paramètres'!$M:$M,0))&amp;"",""))))</f>
        <v/>
      </c>
      <c r="N3358" s="6" t="str">
        <f>IF($D3358="","",IFERROR(INDEX('Paramètres'!$Q:$Q,MATCH($D3358,'Paramètres'!$M:$M,0))&amp;"",""))</f>
        <v/>
      </c>
      <c r="O3358" s="6" t="str">
        <f>IF($A3358="","",IF(OR($J3358&lt;&gt;"x",$A3358&lt;=FinReleve),1,0))</f>
        <v/>
      </c>
      <c r="P3358" s="6" t="str">
        <f>IF($D3358="","",IF(AND($L3358="Crédit",OR(IFERROR(INDEX('Paramètres'!$O:$O,MATCH($D3358,'Paramètres'!$M:$M,0))&amp;"","")&lt;&gt;"",ISNUMBER(SEARCH("remboursement",IFERROR(INDEX('Paramètres'!$N:$N,MATCH($D3358,'Paramètres'!$M:$M,0))&amp;"",""))))),1,0))</f>
        <v/>
      </c>
      <c r="Q3358" s="6" t="str">
        <f>IF($K3358="","",IF(ISNUMBER(SEARCH("transfert-interne",IFERROR(INDEX('Paramètres'!$N:$N,MATCH($D3358,'Paramètres'!$M:$M,0))&amp;"",""))),0,IF($L3358="Débit",$K3358,IF($P3358=1,-$K3358,0))))</f>
        <v/>
      </c>
      <c r="R3358" s="6" t="str">
        <f>IF($K3358="","",IF($L3358="Crédit",$K3358,-$K3358))</f>
        <v/>
      </c>
      <c r="S3358" s="6" t="str">
        <f>IF($C3358="","",IFERROR(INDEX('Paramètres'!$H:$H,MATCH($C3358,'Paramètres'!$D:$D,0))&amp;"",""))</f>
        <v/>
      </c>
      <c r="T3358" s="6" t="str">
        <f>IF($K3358="","",IF($S3358="",0,IF(ISNUMBER(SEARCH("apport-exterieur",IFERROR(INDEX('Paramètres'!$N:$N,MATCH($D3358,'Paramètres'!$M:$M,0))&amp;"",""))),0,IF(OR(IFERROR(INDEX('Paramètres'!$I:$I,MATCH($C3358,'Paramètres'!$D:$D,0))&amp;"","")="Les deux",IFERROR(INDEX('Paramètres'!$I:$I,MATCH($C3358,'Paramètres'!$D:$D,0))&amp;"","")=IF($P3358=1,"Débit",$L3358)),-IF($P3358=1,-$K3358,$K3358),0))))</f>
        <v/>
      </c>
      <c r="U3358" s="6" t="str">
        <f>IF($K3358="","",IF(ISNUMBER(SEARCH("sortie-epargne",IFERROR(INDEX('Paramètres'!$N:$N,MATCH($D3358,'Paramètres'!$M:$M,0))&amp;"",""))),$K3358,0))</f>
        <v/>
      </c>
      <c r="V3358" s="6" t="str">
        <f>IF(AND($A3358&lt;&gt;"",$O3358=1,$L3358="Débit",N($Q3358)&gt;0,$A3358&gt;=Visualisation!$B$1,$A3358&lt;Visualisation!$D$1),MAX($V$1:V3357)+1,"")</f>
        <v/>
      </c>
    </row>
    <row r="3359" spans="1:22" x14ac:dyDescent="0.25">
      <c r="A3359" s="9"/>
      <c r="E3359" s="10"/>
      <c r="K3359" s="11" t="str">
        <f>IF($E3359="","",ROUND($E3359*IF(ISNA(MATCH($C3359,'Paramètres'!$D:$D,0)),1,IF(INDEX('Paramètres'!$J:$J,MATCH($C3359,'Paramètres'!$D:$D,0))="",1,INDEX('Paramètres'!$J:$J,MATCH($C3359,'Paramètres'!$D:$D,0)))),2))</f>
        <v/>
      </c>
      <c r="L3359" s="6" t="str">
        <f>IF($D3359="","",IF($F3359&lt;&gt;"",$F3359,IF(ISNA(MATCH($D3359,'Paramètres'!$M:$M,0)),"⚠ Type inconnu",IFERROR(INDEX('Paramètres'!$P:$P,MATCH($D3359,'Paramètres'!$M:$M,0))&amp;"",""))))</f>
        <v/>
      </c>
      <c r="M3359" s="6" t="str">
        <f>IF($D3359="","",IF(ISNA(MATCH($D3359,'Paramètres'!$M:$M,0)),"⚠ Type inconnu",IF($L3359="Crédit","",IFERROR(INDEX('Paramètres'!$O:$O,MATCH($D3359,'Paramètres'!$M:$M,0))&amp;"",""))))</f>
        <v/>
      </c>
      <c r="N3359" s="6" t="str">
        <f>IF($D3359="","",IFERROR(INDEX('Paramètres'!$Q:$Q,MATCH($D3359,'Paramètres'!$M:$M,0))&amp;"",""))</f>
        <v/>
      </c>
      <c r="O3359" s="6" t="str">
        <f>IF($A3359="","",IF(OR($J3359&lt;&gt;"x",$A3359&lt;=FinReleve),1,0))</f>
        <v/>
      </c>
      <c r="P3359" s="6" t="str">
        <f>IF($D3359="","",IF(AND($L3359="Crédit",OR(IFERROR(INDEX('Paramètres'!$O:$O,MATCH($D3359,'Paramètres'!$M:$M,0))&amp;"","")&lt;&gt;"",ISNUMBER(SEARCH("remboursement",IFERROR(INDEX('Paramètres'!$N:$N,MATCH($D3359,'Paramètres'!$M:$M,0))&amp;"",""))))),1,0))</f>
        <v/>
      </c>
      <c r="Q3359" s="6" t="str">
        <f>IF($K3359="","",IF(ISNUMBER(SEARCH("transfert-interne",IFERROR(INDEX('Paramètres'!$N:$N,MATCH($D3359,'Paramètres'!$M:$M,0))&amp;"",""))),0,IF($L3359="Débit",$K3359,IF($P3359=1,-$K3359,0))))</f>
        <v/>
      </c>
      <c r="R3359" s="6" t="str">
        <f>IF($K3359="","",IF($L3359="Crédit",$K3359,-$K3359))</f>
        <v/>
      </c>
      <c r="S3359" s="6" t="str">
        <f>IF($C3359="","",IFERROR(INDEX('Paramètres'!$H:$H,MATCH($C3359,'Paramètres'!$D:$D,0))&amp;"",""))</f>
        <v/>
      </c>
      <c r="T3359" s="6" t="str">
        <f>IF($K3359="","",IF($S3359="",0,IF(ISNUMBER(SEARCH("apport-exterieur",IFERROR(INDEX('Paramètres'!$N:$N,MATCH($D3359,'Paramètres'!$M:$M,0))&amp;"",""))),0,IF(OR(IFERROR(INDEX('Paramètres'!$I:$I,MATCH($C3359,'Paramètres'!$D:$D,0))&amp;"","")="Les deux",IFERROR(INDEX('Paramètres'!$I:$I,MATCH($C3359,'Paramètres'!$D:$D,0))&amp;"","")=IF($P3359=1,"Débit",$L3359)),-IF($P3359=1,-$K3359,$K3359),0))))</f>
        <v/>
      </c>
      <c r="U3359" s="6" t="str">
        <f>IF($K3359="","",IF(ISNUMBER(SEARCH("sortie-epargne",IFERROR(INDEX('Paramètres'!$N:$N,MATCH($D3359,'Paramètres'!$M:$M,0))&amp;"",""))),$K3359,0))</f>
        <v/>
      </c>
      <c r="V3359" s="6" t="str">
        <f>IF(AND($A3359&lt;&gt;"",$O3359=1,$L3359="Débit",N($Q3359)&gt;0,$A3359&gt;=Visualisation!$B$1,$A3359&lt;Visualisation!$D$1),MAX($V$1:V3358)+1,"")</f>
        <v/>
      </c>
    </row>
    <row r="3360" spans="1:22" x14ac:dyDescent="0.25">
      <c r="A3360" s="9"/>
      <c r="E3360" s="10"/>
      <c r="K3360" s="11" t="str">
        <f>IF($E3360="","",ROUND($E3360*IF(ISNA(MATCH($C3360,'Paramètres'!$D:$D,0)),1,IF(INDEX('Paramètres'!$J:$J,MATCH($C3360,'Paramètres'!$D:$D,0))="",1,INDEX('Paramètres'!$J:$J,MATCH($C3360,'Paramètres'!$D:$D,0)))),2))</f>
        <v/>
      </c>
      <c r="L3360" s="6" t="str">
        <f>IF($D3360="","",IF($F3360&lt;&gt;"",$F3360,IF(ISNA(MATCH($D3360,'Paramètres'!$M:$M,0)),"⚠ Type inconnu",IFERROR(INDEX('Paramètres'!$P:$P,MATCH($D3360,'Paramètres'!$M:$M,0))&amp;"",""))))</f>
        <v/>
      </c>
      <c r="M3360" s="6" t="str">
        <f>IF($D3360="","",IF(ISNA(MATCH($D3360,'Paramètres'!$M:$M,0)),"⚠ Type inconnu",IF($L3360="Crédit","",IFERROR(INDEX('Paramètres'!$O:$O,MATCH($D3360,'Paramètres'!$M:$M,0))&amp;"",""))))</f>
        <v/>
      </c>
      <c r="N3360" s="6" t="str">
        <f>IF($D3360="","",IFERROR(INDEX('Paramètres'!$Q:$Q,MATCH($D3360,'Paramètres'!$M:$M,0))&amp;"",""))</f>
        <v/>
      </c>
      <c r="O3360" s="6" t="str">
        <f>IF($A3360="","",IF(OR($J3360&lt;&gt;"x",$A3360&lt;=FinReleve),1,0))</f>
        <v/>
      </c>
      <c r="P3360" s="6" t="str">
        <f>IF($D3360="","",IF(AND($L3360="Crédit",OR(IFERROR(INDEX('Paramètres'!$O:$O,MATCH($D3360,'Paramètres'!$M:$M,0))&amp;"","")&lt;&gt;"",ISNUMBER(SEARCH("remboursement",IFERROR(INDEX('Paramètres'!$N:$N,MATCH($D3360,'Paramètres'!$M:$M,0))&amp;"",""))))),1,0))</f>
        <v/>
      </c>
      <c r="Q3360" s="6" t="str">
        <f>IF($K3360="","",IF(ISNUMBER(SEARCH("transfert-interne",IFERROR(INDEX('Paramètres'!$N:$N,MATCH($D3360,'Paramètres'!$M:$M,0))&amp;"",""))),0,IF($L3360="Débit",$K3360,IF($P3360=1,-$K3360,0))))</f>
        <v/>
      </c>
      <c r="R3360" s="6" t="str">
        <f>IF($K3360="","",IF($L3360="Crédit",$K3360,-$K3360))</f>
        <v/>
      </c>
      <c r="S3360" s="6" t="str">
        <f>IF($C3360="","",IFERROR(INDEX('Paramètres'!$H:$H,MATCH($C3360,'Paramètres'!$D:$D,0))&amp;"",""))</f>
        <v/>
      </c>
      <c r="T3360" s="6" t="str">
        <f>IF($K3360="","",IF($S3360="",0,IF(ISNUMBER(SEARCH("apport-exterieur",IFERROR(INDEX('Paramètres'!$N:$N,MATCH($D3360,'Paramètres'!$M:$M,0))&amp;"",""))),0,IF(OR(IFERROR(INDEX('Paramètres'!$I:$I,MATCH($C3360,'Paramètres'!$D:$D,0))&amp;"","")="Les deux",IFERROR(INDEX('Paramètres'!$I:$I,MATCH($C3360,'Paramètres'!$D:$D,0))&amp;"","")=IF($P3360=1,"Débit",$L3360)),-IF($P3360=1,-$K3360,$K3360),0))))</f>
        <v/>
      </c>
      <c r="U3360" s="6" t="str">
        <f>IF($K3360="","",IF(ISNUMBER(SEARCH("sortie-epargne",IFERROR(INDEX('Paramètres'!$N:$N,MATCH($D3360,'Paramètres'!$M:$M,0))&amp;"",""))),$K3360,0))</f>
        <v/>
      </c>
      <c r="V3360" s="6" t="str">
        <f>IF(AND($A3360&lt;&gt;"",$O3360=1,$L3360="Débit",N($Q3360)&gt;0,$A3360&gt;=Visualisation!$B$1,$A3360&lt;Visualisation!$D$1),MAX($V$1:V3359)+1,"")</f>
        <v/>
      </c>
    </row>
    <row r="3361" spans="1:22" x14ac:dyDescent="0.25">
      <c r="A3361" s="9"/>
      <c r="E3361" s="10"/>
      <c r="K3361" s="11" t="str">
        <f>IF($E3361="","",ROUND($E3361*IF(ISNA(MATCH($C3361,'Paramètres'!$D:$D,0)),1,IF(INDEX('Paramètres'!$J:$J,MATCH($C3361,'Paramètres'!$D:$D,0))="",1,INDEX('Paramètres'!$J:$J,MATCH($C3361,'Paramètres'!$D:$D,0)))),2))</f>
        <v/>
      </c>
      <c r="L3361" s="6" t="str">
        <f>IF($D3361="","",IF($F3361&lt;&gt;"",$F3361,IF(ISNA(MATCH($D3361,'Paramètres'!$M:$M,0)),"⚠ Type inconnu",IFERROR(INDEX('Paramètres'!$P:$P,MATCH($D3361,'Paramètres'!$M:$M,0))&amp;"",""))))</f>
        <v/>
      </c>
      <c r="M3361" s="6" t="str">
        <f>IF($D3361="","",IF(ISNA(MATCH($D3361,'Paramètres'!$M:$M,0)),"⚠ Type inconnu",IF($L3361="Crédit","",IFERROR(INDEX('Paramètres'!$O:$O,MATCH($D3361,'Paramètres'!$M:$M,0))&amp;"",""))))</f>
        <v/>
      </c>
      <c r="N3361" s="6" t="str">
        <f>IF($D3361="","",IFERROR(INDEX('Paramètres'!$Q:$Q,MATCH($D3361,'Paramètres'!$M:$M,0))&amp;"",""))</f>
        <v/>
      </c>
      <c r="O3361" s="6" t="str">
        <f>IF($A3361="","",IF(OR($J3361&lt;&gt;"x",$A3361&lt;=FinReleve),1,0))</f>
        <v/>
      </c>
      <c r="P3361" s="6" t="str">
        <f>IF($D3361="","",IF(AND($L3361="Crédit",OR(IFERROR(INDEX('Paramètres'!$O:$O,MATCH($D3361,'Paramètres'!$M:$M,0))&amp;"","")&lt;&gt;"",ISNUMBER(SEARCH("remboursement",IFERROR(INDEX('Paramètres'!$N:$N,MATCH($D3361,'Paramètres'!$M:$M,0))&amp;"",""))))),1,0))</f>
        <v/>
      </c>
      <c r="Q3361" s="6" t="str">
        <f>IF($K3361="","",IF(ISNUMBER(SEARCH("transfert-interne",IFERROR(INDEX('Paramètres'!$N:$N,MATCH($D3361,'Paramètres'!$M:$M,0))&amp;"",""))),0,IF($L3361="Débit",$K3361,IF($P3361=1,-$K3361,0))))</f>
        <v/>
      </c>
      <c r="R3361" s="6" t="str">
        <f>IF($K3361="","",IF($L3361="Crédit",$K3361,-$K3361))</f>
        <v/>
      </c>
      <c r="S3361" s="6" t="str">
        <f>IF($C3361="","",IFERROR(INDEX('Paramètres'!$H:$H,MATCH($C3361,'Paramètres'!$D:$D,0))&amp;"",""))</f>
        <v/>
      </c>
      <c r="T3361" s="6" t="str">
        <f>IF($K3361="","",IF($S3361="",0,IF(ISNUMBER(SEARCH("apport-exterieur",IFERROR(INDEX('Paramètres'!$N:$N,MATCH($D3361,'Paramètres'!$M:$M,0))&amp;"",""))),0,IF(OR(IFERROR(INDEX('Paramètres'!$I:$I,MATCH($C3361,'Paramètres'!$D:$D,0))&amp;"","")="Les deux",IFERROR(INDEX('Paramètres'!$I:$I,MATCH($C3361,'Paramètres'!$D:$D,0))&amp;"","")=IF($P3361=1,"Débit",$L3361)),-IF($P3361=1,-$K3361,$K3361),0))))</f>
        <v/>
      </c>
      <c r="U3361" s="6" t="str">
        <f>IF($K3361="","",IF(ISNUMBER(SEARCH("sortie-epargne",IFERROR(INDEX('Paramètres'!$N:$N,MATCH($D3361,'Paramètres'!$M:$M,0))&amp;"",""))),$K3361,0))</f>
        <v/>
      </c>
      <c r="V3361" s="6" t="str">
        <f>IF(AND($A3361&lt;&gt;"",$O3361=1,$L3361="Débit",N($Q3361)&gt;0,$A3361&gt;=Visualisation!$B$1,$A3361&lt;Visualisation!$D$1),MAX($V$1:V3360)+1,"")</f>
        <v/>
      </c>
    </row>
    <row r="3362" spans="1:22" x14ac:dyDescent="0.25">
      <c r="A3362" s="9"/>
      <c r="E3362" s="10"/>
      <c r="K3362" s="11" t="str">
        <f>IF($E3362="","",ROUND($E3362*IF(ISNA(MATCH($C3362,'Paramètres'!$D:$D,0)),1,IF(INDEX('Paramètres'!$J:$J,MATCH($C3362,'Paramètres'!$D:$D,0))="",1,INDEX('Paramètres'!$J:$J,MATCH($C3362,'Paramètres'!$D:$D,0)))),2))</f>
        <v/>
      </c>
      <c r="L3362" s="6" t="str">
        <f>IF($D3362="","",IF($F3362&lt;&gt;"",$F3362,IF(ISNA(MATCH($D3362,'Paramètres'!$M:$M,0)),"⚠ Type inconnu",IFERROR(INDEX('Paramètres'!$P:$P,MATCH($D3362,'Paramètres'!$M:$M,0))&amp;"",""))))</f>
        <v/>
      </c>
      <c r="M3362" s="6" t="str">
        <f>IF($D3362="","",IF(ISNA(MATCH($D3362,'Paramètres'!$M:$M,0)),"⚠ Type inconnu",IF($L3362="Crédit","",IFERROR(INDEX('Paramètres'!$O:$O,MATCH($D3362,'Paramètres'!$M:$M,0))&amp;"",""))))</f>
        <v/>
      </c>
      <c r="N3362" s="6" t="str">
        <f>IF($D3362="","",IFERROR(INDEX('Paramètres'!$Q:$Q,MATCH($D3362,'Paramètres'!$M:$M,0))&amp;"",""))</f>
        <v/>
      </c>
      <c r="O3362" s="6" t="str">
        <f>IF($A3362="","",IF(OR($J3362&lt;&gt;"x",$A3362&lt;=FinReleve),1,0))</f>
        <v/>
      </c>
      <c r="P3362" s="6" t="str">
        <f>IF($D3362="","",IF(AND($L3362="Crédit",OR(IFERROR(INDEX('Paramètres'!$O:$O,MATCH($D3362,'Paramètres'!$M:$M,0))&amp;"","")&lt;&gt;"",ISNUMBER(SEARCH("remboursement",IFERROR(INDEX('Paramètres'!$N:$N,MATCH($D3362,'Paramètres'!$M:$M,0))&amp;"",""))))),1,0))</f>
        <v/>
      </c>
      <c r="Q3362" s="6" t="str">
        <f>IF($K3362="","",IF(ISNUMBER(SEARCH("transfert-interne",IFERROR(INDEX('Paramètres'!$N:$N,MATCH($D3362,'Paramètres'!$M:$M,0))&amp;"",""))),0,IF($L3362="Débit",$K3362,IF($P3362=1,-$K3362,0))))</f>
        <v/>
      </c>
      <c r="R3362" s="6" t="str">
        <f>IF($K3362="","",IF($L3362="Crédit",$K3362,-$K3362))</f>
        <v/>
      </c>
      <c r="S3362" s="6" t="str">
        <f>IF($C3362="","",IFERROR(INDEX('Paramètres'!$H:$H,MATCH($C3362,'Paramètres'!$D:$D,0))&amp;"",""))</f>
        <v/>
      </c>
      <c r="T3362" s="6" t="str">
        <f>IF($K3362="","",IF($S3362="",0,IF(ISNUMBER(SEARCH("apport-exterieur",IFERROR(INDEX('Paramètres'!$N:$N,MATCH($D3362,'Paramètres'!$M:$M,0))&amp;"",""))),0,IF(OR(IFERROR(INDEX('Paramètres'!$I:$I,MATCH($C3362,'Paramètres'!$D:$D,0))&amp;"","")="Les deux",IFERROR(INDEX('Paramètres'!$I:$I,MATCH($C3362,'Paramètres'!$D:$D,0))&amp;"","")=IF($P3362=1,"Débit",$L3362)),-IF($P3362=1,-$K3362,$K3362),0))))</f>
        <v/>
      </c>
      <c r="U3362" s="6" t="str">
        <f>IF($K3362="","",IF(ISNUMBER(SEARCH("sortie-epargne",IFERROR(INDEX('Paramètres'!$N:$N,MATCH($D3362,'Paramètres'!$M:$M,0))&amp;"",""))),$K3362,0))</f>
        <v/>
      </c>
      <c r="V3362" s="6" t="str">
        <f>IF(AND($A3362&lt;&gt;"",$O3362=1,$L3362="Débit",N($Q3362)&gt;0,$A3362&gt;=Visualisation!$B$1,$A3362&lt;Visualisation!$D$1),MAX($V$1:V3361)+1,"")</f>
        <v/>
      </c>
    </row>
    <row r="3363" spans="1:22" x14ac:dyDescent="0.25">
      <c r="A3363" s="9"/>
      <c r="E3363" s="10"/>
      <c r="K3363" s="11" t="str">
        <f>IF($E3363="","",ROUND($E3363*IF(ISNA(MATCH($C3363,'Paramètres'!$D:$D,0)),1,IF(INDEX('Paramètres'!$J:$J,MATCH($C3363,'Paramètres'!$D:$D,0))="",1,INDEX('Paramètres'!$J:$J,MATCH($C3363,'Paramètres'!$D:$D,0)))),2))</f>
        <v/>
      </c>
      <c r="L3363" s="6" t="str">
        <f>IF($D3363="","",IF($F3363&lt;&gt;"",$F3363,IF(ISNA(MATCH($D3363,'Paramètres'!$M:$M,0)),"⚠ Type inconnu",IFERROR(INDEX('Paramètres'!$P:$P,MATCH($D3363,'Paramètres'!$M:$M,0))&amp;"",""))))</f>
        <v/>
      </c>
      <c r="M3363" s="6" t="str">
        <f>IF($D3363="","",IF(ISNA(MATCH($D3363,'Paramètres'!$M:$M,0)),"⚠ Type inconnu",IF($L3363="Crédit","",IFERROR(INDEX('Paramètres'!$O:$O,MATCH($D3363,'Paramètres'!$M:$M,0))&amp;"",""))))</f>
        <v/>
      </c>
      <c r="N3363" s="6" t="str">
        <f>IF($D3363="","",IFERROR(INDEX('Paramètres'!$Q:$Q,MATCH($D3363,'Paramètres'!$M:$M,0))&amp;"",""))</f>
        <v/>
      </c>
      <c r="O3363" s="6" t="str">
        <f>IF($A3363="","",IF(OR($J3363&lt;&gt;"x",$A3363&lt;=FinReleve),1,0))</f>
        <v/>
      </c>
      <c r="P3363" s="6" t="str">
        <f>IF($D3363="","",IF(AND($L3363="Crédit",OR(IFERROR(INDEX('Paramètres'!$O:$O,MATCH($D3363,'Paramètres'!$M:$M,0))&amp;"","")&lt;&gt;"",ISNUMBER(SEARCH("remboursement",IFERROR(INDEX('Paramètres'!$N:$N,MATCH($D3363,'Paramètres'!$M:$M,0))&amp;"",""))))),1,0))</f>
        <v/>
      </c>
      <c r="Q3363" s="6" t="str">
        <f>IF($K3363="","",IF(ISNUMBER(SEARCH("transfert-interne",IFERROR(INDEX('Paramètres'!$N:$N,MATCH($D3363,'Paramètres'!$M:$M,0))&amp;"",""))),0,IF($L3363="Débit",$K3363,IF($P3363=1,-$K3363,0))))</f>
        <v/>
      </c>
      <c r="R3363" s="6" t="str">
        <f>IF($K3363="","",IF($L3363="Crédit",$K3363,-$K3363))</f>
        <v/>
      </c>
      <c r="S3363" s="6" t="str">
        <f>IF($C3363="","",IFERROR(INDEX('Paramètres'!$H:$H,MATCH($C3363,'Paramètres'!$D:$D,0))&amp;"",""))</f>
        <v/>
      </c>
      <c r="T3363" s="6" t="str">
        <f>IF($K3363="","",IF($S3363="",0,IF(ISNUMBER(SEARCH("apport-exterieur",IFERROR(INDEX('Paramètres'!$N:$N,MATCH($D3363,'Paramètres'!$M:$M,0))&amp;"",""))),0,IF(OR(IFERROR(INDEX('Paramètres'!$I:$I,MATCH($C3363,'Paramètres'!$D:$D,0))&amp;"","")="Les deux",IFERROR(INDEX('Paramètres'!$I:$I,MATCH($C3363,'Paramètres'!$D:$D,0))&amp;"","")=IF($P3363=1,"Débit",$L3363)),-IF($P3363=1,-$K3363,$K3363),0))))</f>
        <v/>
      </c>
      <c r="U3363" s="6" t="str">
        <f>IF($K3363="","",IF(ISNUMBER(SEARCH("sortie-epargne",IFERROR(INDEX('Paramètres'!$N:$N,MATCH($D3363,'Paramètres'!$M:$M,0))&amp;"",""))),$K3363,0))</f>
        <v/>
      </c>
      <c r="V3363" s="6" t="str">
        <f>IF(AND($A3363&lt;&gt;"",$O3363=1,$L3363="Débit",N($Q3363)&gt;0,$A3363&gt;=Visualisation!$B$1,$A3363&lt;Visualisation!$D$1),MAX($V$1:V3362)+1,"")</f>
        <v/>
      </c>
    </row>
    <row r="3364" spans="1:22" x14ac:dyDescent="0.25">
      <c r="A3364" s="9"/>
      <c r="E3364" s="10"/>
      <c r="K3364" s="11" t="str">
        <f>IF($E3364="","",ROUND($E3364*IF(ISNA(MATCH($C3364,'Paramètres'!$D:$D,0)),1,IF(INDEX('Paramètres'!$J:$J,MATCH($C3364,'Paramètres'!$D:$D,0))="",1,INDEX('Paramètres'!$J:$J,MATCH($C3364,'Paramètres'!$D:$D,0)))),2))</f>
        <v/>
      </c>
      <c r="L3364" s="6" t="str">
        <f>IF($D3364="","",IF($F3364&lt;&gt;"",$F3364,IF(ISNA(MATCH($D3364,'Paramètres'!$M:$M,0)),"⚠ Type inconnu",IFERROR(INDEX('Paramètres'!$P:$P,MATCH($D3364,'Paramètres'!$M:$M,0))&amp;"",""))))</f>
        <v/>
      </c>
      <c r="M3364" s="6" t="str">
        <f>IF($D3364="","",IF(ISNA(MATCH($D3364,'Paramètres'!$M:$M,0)),"⚠ Type inconnu",IF($L3364="Crédit","",IFERROR(INDEX('Paramètres'!$O:$O,MATCH($D3364,'Paramètres'!$M:$M,0))&amp;"",""))))</f>
        <v/>
      </c>
      <c r="N3364" s="6" t="str">
        <f>IF($D3364="","",IFERROR(INDEX('Paramètres'!$Q:$Q,MATCH($D3364,'Paramètres'!$M:$M,0))&amp;"",""))</f>
        <v/>
      </c>
      <c r="O3364" s="6" t="str">
        <f>IF($A3364="","",IF(OR($J3364&lt;&gt;"x",$A3364&lt;=FinReleve),1,0))</f>
        <v/>
      </c>
      <c r="P3364" s="6" t="str">
        <f>IF($D3364="","",IF(AND($L3364="Crédit",OR(IFERROR(INDEX('Paramètres'!$O:$O,MATCH($D3364,'Paramètres'!$M:$M,0))&amp;"","")&lt;&gt;"",ISNUMBER(SEARCH("remboursement",IFERROR(INDEX('Paramètres'!$N:$N,MATCH($D3364,'Paramètres'!$M:$M,0))&amp;"",""))))),1,0))</f>
        <v/>
      </c>
      <c r="Q3364" s="6" t="str">
        <f>IF($K3364="","",IF(ISNUMBER(SEARCH("transfert-interne",IFERROR(INDEX('Paramètres'!$N:$N,MATCH($D3364,'Paramètres'!$M:$M,0))&amp;"",""))),0,IF($L3364="Débit",$K3364,IF($P3364=1,-$K3364,0))))</f>
        <v/>
      </c>
      <c r="R3364" s="6" t="str">
        <f>IF($K3364="","",IF($L3364="Crédit",$K3364,-$K3364))</f>
        <v/>
      </c>
      <c r="S3364" s="6" t="str">
        <f>IF($C3364="","",IFERROR(INDEX('Paramètres'!$H:$H,MATCH($C3364,'Paramètres'!$D:$D,0))&amp;"",""))</f>
        <v/>
      </c>
      <c r="T3364" s="6" t="str">
        <f>IF($K3364="","",IF($S3364="",0,IF(ISNUMBER(SEARCH("apport-exterieur",IFERROR(INDEX('Paramètres'!$N:$N,MATCH($D3364,'Paramètres'!$M:$M,0))&amp;"",""))),0,IF(OR(IFERROR(INDEX('Paramètres'!$I:$I,MATCH($C3364,'Paramètres'!$D:$D,0))&amp;"","")="Les deux",IFERROR(INDEX('Paramètres'!$I:$I,MATCH($C3364,'Paramètres'!$D:$D,0))&amp;"","")=IF($P3364=1,"Débit",$L3364)),-IF($P3364=1,-$K3364,$K3364),0))))</f>
        <v/>
      </c>
      <c r="U3364" s="6" t="str">
        <f>IF($K3364="","",IF(ISNUMBER(SEARCH("sortie-epargne",IFERROR(INDEX('Paramètres'!$N:$N,MATCH($D3364,'Paramètres'!$M:$M,0))&amp;"",""))),$K3364,0))</f>
        <v/>
      </c>
      <c r="V3364" s="6" t="str">
        <f>IF(AND($A3364&lt;&gt;"",$O3364=1,$L3364="Débit",N($Q3364)&gt;0,$A3364&gt;=Visualisation!$B$1,$A3364&lt;Visualisation!$D$1),MAX($V$1:V3363)+1,"")</f>
        <v/>
      </c>
    </row>
    <row r="3365" spans="1:22" x14ac:dyDescent="0.25">
      <c r="A3365" s="9"/>
      <c r="E3365" s="10"/>
      <c r="K3365" s="11" t="str">
        <f>IF($E3365="","",ROUND($E3365*IF(ISNA(MATCH($C3365,'Paramètres'!$D:$D,0)),1,IF(INDEX('Paramètres'!$J:$J,MATCH($C3365,'Paramètres'!$D:$D,0))="",1,INDEX('Paramètres'!$J:$J,MATCH($C3365,'Paramètres'!$D:$D,0)))),2))</f>
        <v/>
      </c>
      <c r="L3365" s="6" t="str">
        <f>IF($D3365="","",IF($F3365&lt;&gt;"",$F3365,IF(ISNA(MATCH($D3365,'Paramètres'!$M:$M,0)),"⚠ Type inconnu",IFERROR(INDEX('Paramètres'!$P:$P,MATCH($D3365,'Paramètres'!$M:$M,0))&amp;"",""))))</f>
        <v/>
      </c>
      <c r="M3365" s="6" t="str">
        <f>IF($D3365="","",IF(ISNA(MATCH($D3365,'Paramètres'!$M:$M,0)),"⚠ Type inconnu",IF($L3365="Crédit","",IFERROR(INDEX('Paramètres'!$O:$O,MATCH($D3365,'Paramètres'!$M:$M,0))&amp;"",""))))</f>
        <v/>
      </c>
      <c r="N3365" s="6" t="str">
        <f>IF($D3365="","",IFERROR(INDEX('Paramètres'!$Q:$Q,MATCH($D3365,'Paramètres'!$M:$M,0))&amp;"",""))</f>
        <v/>
      </c>
      <c r="O3365" s="6" t="str">
        <f>IF($A3365="","",IF(OR($J3365&lt;&gt;"x",$A3365&lt;=FinReleve),1,0))</f>
        <v/>
      </c>
      <c r="P3365" s="6" t="str">
        <f>IF($D3365="","",IF(AND($L3365="Crédit",OR(IFERROR(INDEX('Paramètres'!$O:$O,MATCH($D3365,'Paramètres'!$M:$M,0))&amp;"","")&lt;&gt;"",ISNUMBER(SEARCH("remboursement",IFERROR(INDEX('Paramètres'!$N:$N,MATCH($D3365,'Paramètres'!$M:$M,0))&amp;"",""))))),1,0))</f>
        <v/>
      </c>
      <c r="Q3365" s="6" t="str">
        <f>IF($K3365="","",IF(ISNUMBER(SEARCH("transfert-interne",IFERROR(INDEX('Paramètres'!$N:$N,MATCH($D3365,'Paramètres'!$M:$M,0))&amp;"",""))),0,IF($L3365="Débit",$K3365,IF($P3365=1,-$K3365,0))))</f>
        <v/>
      </c>
      <c r="R3365" s="6" t="str">
        <f>IF($K3365="","",IF($L3365="Crédit",$K3365,-$K3365))</f>
        <v/>
      </c>
      <c r="S3365" s="6" t="str">
        <f>IF($C3365="","",IFERROR(INDEX('Paramètres'!$H:$H,MATCH($C3365,'Paramètres'!$D:$D,0))&amp;"",""))</f>
        <v/>
      </c>
      <c r="T3365" s="6" t="str">
        <f>IF($K3365="","",IF($S3365="",0,IF(ISNUMBER(SEARCH("apport-exterieur",IFERROR(INDEX('Paramètres'!$N:$N,MATCH($D3365,'Paramètres'!$M:$M,0))&amp;"",""))),0,IF(OR(IFERROR(INDEX('Paramètres'!$I:$I,MATCH($C3365,'Paramètres'!$D:$D,0))&amp;"","")="Les deux",IFERROR(INDEX('Paramètres'!$I:$I,MATCH($C3365,'Paramètres'!$D:$D,0))&amp;"","")=IF($P3365=1,"Débit",$L3365)),-IF($P3365=1,-$K3365,$K3365),0))))</f>
        <v/>
      </c>
      <c r="U3365" s="6" t="str">
        <f>IF($K3365="","",IF(ISNUMBER(SEARCH("sortie-epargne",IFERROR(INDEX('Paramètres'!$N:$N,MATCH($D3365,'Paramètres'!$M:$M,0))&amp;"",""))),$K3365,0))</f>
        <v/>
      </c>
      <c r="V3365" s="6" t="str">
        <f>IF(AND($A3365&lt;&gt;"",$O3365=1,$L3365="Débit",N($Q3365)&gt;0,$A3365&gt;=Visualisation!$B$1,$A3365&lt;Visualisation!$D$1),MAX($V$1:V3364)+1,"")</f>
        <v/>
      </c>
    </row>
    <row r="3366" spans="1:22" x14ac:dyDescent="0.25">
      <c r="A3366" s="9"/>
      <c r="E3366" s="10"/>
      <c r="K3366" s="11" t="str">
        <f>IF($E3366="","",ROUND($E3366*IF(ISNA(MATCH($C3366,'Paramètres'!$D:$D,0)),1,IF(INDEX('Paramètres'!$J:$J,MATCH($C3366,'Paramètres'!$D:$D,0))="",1,INDEX('Paramètres'!$J:$J,MATCH($C3366,'Paramètres'!$D:$D,0)))),2))</f>
        <v/>
      </c>
      <c r="L3366" s="6" t="str">
        <f>IF($D3366="","",IF($F3366&lt;&gt;"",$F3366,IF(ISNA(MATCH($D3366,'Paramètres'!$M:$M,0)),"⚠ Type inconnu",IFERROR(INDEX('Paramètres'!$P:$P,MATCH($D3366,'Paramètres'!$M:$M,0))&amp;"",""))))</f>
        <v/>
      </c>
      <c r="M3366" s="6" t="str">
        <f>IF($D3366="","",IF(ISNA(MATCH($D3366,'Paramètres'!$M:$M,0)),"⚠ Type inconnu",IF($L3366="Crédit","",IFERROR(INDEX('Paramètres'!$O:$O,MATCH($D3366,'Paramètres'!$M:$M,0))&amp;"",""))))</f>
        <v/>
      </c>
      <c r="N3366" s="6" t="str">
        <f>IF($D3366="","",IFERROR(INDEX('Paramètres'!$Q:$Q,MATCH($D3366,'Paramètres'!$M:$M,0))&amp;"",""))</f>
        <v/>
      </c>
      <c r="O3366" s="6" t="str">
        <f>IF($A3366="","",IF(OR($J3366&lt;&gt;"x",$A3366&lt;=FinReleve),1,0))</f>
        <v/>
      </c>
      <c r="P3366" s="6" t="str">
        <f>IF($D3366="","",IF(AND($L3366="Crédit",OR(IFERROR(INDEX('Paramètres'!$O:$O,MATCH($D3366,'Paramètres'!$M:$M,0))&amp;"","")&lt;&gt;"",ISNUMBER(SEARCH("remboursement",IFERROR(INDEX('Paramètres'!$N:$N,MATCH($D3366,'Paramètres'!$M:$M,0))&amp;"",""))))),1,0))</f>
        <v/>
      </c>
      <c r="Q3366" s="6" t="str">
        <f>IF($K3366="","",IF(ISNUMBER(SEARCH("transfert-interne",IFERROR(INDEX('Paramètres'!$N:$N,MATCH($D3366,'Paramètres'!$M:$M,0))&amp;"",""))),0,IF($L3366="Débit",$K3366,IF($P3366=1,-$K3366,0))))</f>
        <v/>
      </c>
      <c r="R3366" s="6" t="str">
        <f>IF($K3366="","",IF($L3366="Crédit",$K3366,-$K3366))</f>
        <v/>
      </c>
      <c r="S3366" s="6" t="str">
        <f>IF($C3366="","",IFERROR(INDEX('Paramètres'!$H:$H,MATCH($C3366,'Paramètres'!$D:$D,0))&amp;"",""))</f>
        <v/>
      </c>
      <c r="T3366" s="6" t="str">
        <f>IF($K3366="","",IF($S3366="",0,IF(ISNUMBER(SEARCH("apport-exterieur",IFERROR(INDEX('Paramètres'!$N:$N,MATCH($D3366,'Paramètres'!$M:$M,0))&amp;"",""))),0,IF(OR(IFERROR(INDEX('Paramètres'!$I:$I,MATCH($C3366,'Paramètres'!$D:$D,0))&amp;"","")="Les deux",IFERROR(INDEX('Paramètres'!$I:$I,MATCH($C3366,'Paramètres'!$D:$D,0))&amp;"","")=IF($P3366=1,"Débit",$L3366)),-IF($P3366=1,-$K3366,$K3366),0))))</f>
        <v/>
      </c>
      <c r="U3366" s="6" t="str">
        <f>IF($K3366="","",IF(ISNUMBER(SEARCH("sortie-epargne",IFERROR(INDEX('Paramètres'!$N:$N,MATCH($D3366,'Paramètres'!$M:$M,0))&amp;"",""))),$K3366,0))</f>
        <v/>
      </c>
      <c r="V3366" s="6" t="str">
        <f>IF(AND($A3366&lt;&gt;"",$O3366=1,$L3366="Débit",N($Q3366)&gt;0,$A3366&gt;=Visualisation!$B$1,$A3366&lt;Visualisation!$D$1),MAX($V$1:V3365)+1,"")</f>
        <v/>
      </c>
    </row>
    <row r="3367" spans="1:22" x14ac:dyDescent="0.25">
      <c r="A3367" s="9"/>
      <c r="E3367" s="10"/>
      <c r="K3367" s="11" t="str">
        <f>IF($E3367="","",ROUND($E3367*IF(ISNA(MATCH($C3367,'Paramètres'!$D:$D,0)),1,IF(INDEX('Paramètres'!$J:$J,MATCH($C3367,'Paramètres'!$D:$D,0))="",1,INDEX('Paramètres'!$J:$J,MATCH($C3367,'Paramètres'!$D:$D,0)))),2))</f>
        <v/>
      </c>
      <c r="L3367" s="6" t="str">
        <f>IF($D3367="","",IF($F3367&lt;&gt;"",$F3367,IF(ISNA(MATCH($D3367,'Paramètres'!$M:$M,0)),"⚠ Type inconnu",IFERROR(INDEX('Paramètres'!$P:$P,MATCH($D3367,'Paramètres'!$M:$M,0))&amp;"",""))))</f>
        <v/>
      </c>
      <c r="M3367" s="6" t="str">
        <f>IF($D3367="","",IF(ISNA(MATCH($D3367,'Paramètres'!$M:$M,0)),"⚠ Type inconnu",IF($L3367="Crédit","",IFERROR(INDEX('Paramètres'!$O:$O,MATCH($D3367,'Paramètres'!$M:$M,0))&amp;"",""))))</f>
        <v/>
      </c>
      <c r="N3367" s="6" t="str">
        <f>IF($D3367="","",IFERROR(INDEX('Paramètres'!$Q:$Q,MATCH($D3367,'Paramètres'!$M:$M,0))&amp;"",""))</f>
        <v/>
      </c>
      <c r="O3367" s="6" t="str">
        <f>IF($A3367="","",IF(OR($J3367&lt;&gt;"x",$A3367&lt;=FinReleve),1,0))</f>
        <v/>
      </c>
      <c r="P3367" s="6" t="str">
        <f>IF($D3367="","",IF(AND($L3367="Crédit",OR(IFERROR(INDEX('Paramètres'!$O:$O,MATCH($D3367,'Paramètres'!$M:$M,0))&amp;"","")&lt;&gt;"",ISNUMBER(SEARCH("remboursement",IFERROR(INDEX('Paramètres'!$N:$N,MATCH($D3367,'Paramètres'!$M:$M,0))&amp;"",""))))),1,0))</f>
        <v/>
      </c>
      <c r="Q3367" s="6" t="str">
        <f>IF($K3367="","",IF(ISNUMBER(SEARCH("transfert-interne",IFERROR(INDEX('Paramètres'!$N:$N,MATCH($D3367,'Paramètres'!$M:$M,0))&amp;"",""))),0,IF($L3367="Débit",$K3367,IF($P3367=1,-$K3367,0))))</f>
        <v/>
      </c>
      <c r="R3367" s="6" t="str">
        <f>IF($K3367="","",IF($L3367="Crédit",$K3367,-$K3367))</f>
        <v/>
      </c>
      <c r="S3367" s="6" t="str">
        <f>IF($C3367="","",IFERROR(INDEX('Paramètres'!$H:$H,MATCH($C3367,'Paramètres'!$D:$D,0))&amp;"",""))</f>
        <v/>
      </c>
      <c r="T3367" s="6" t="str">
        <f>IF($K3367="","",IF($S3367="",0,IF(ISNUMBER(SEARCH("apport-exterieur",IFERROR(INDEX('Paramètres'!$N:$N,MATCH($D3367,'Paramètres'!$M:$M,0))&amp;"",""))),0,IF(OR(IFERROR(INDEX('Paramètres'!$I:$I,MATCH($C3367,'Paramètres'!$D:$D,0))&amp;"","")="Les deux",IFERROR(INDEX('Paramètres'!$I:$I,MATCH($C3367,'Paramètres'!$D:$D,0))&amp;"","")=IF($P3367=1,"Débit",$L3367)),-IF($P3367=1,-$K3367,$K3367),0))))</f>
        <v/>
      </c>
      <c r="U3367" s="6" t="str">
        <f>IF($K3367="","",IF(ISNUMBER(SEARCH("sortie-epargne",IFERROR(INDEX('Paramètres'!$N:$N,MATCH($D3367,'Paramètres'!$M:$M,0))&amp;"",""))),$K3367,0))</f>
        <v/>
      </c>
      <c r="V3367" s="6" t="str">
        <f>IF(AND($A3367&lt;&gt;"",$O3367=1,$L3367="Débit",N($Q3367)&gt;0,$A3367&gt;=Visualisation!$B$1,$A3367&lt;Visualisation!$D$1),MAX($V$1:V3366)+1,"")</f>
        <v/>
      </c>
    </row>
    <row r="3368" spans="1:22" x14ac:dyDescent="0.25">
      <c r="A3368" s="9"/>
      <c r="E3368" s="10"/>
      <c r="K3368" s="11" t="str">
        <f>IF($E3368="","",ROUND($E3368*IF(ISNA(MATCH($C3368,'Paramètres'!$D:$D,0)),1,IF(INDEX('Paramètres'!$J:$J,MATCH($C3368,'Paramètres'!$D:$D,0))="",1,INDEX('Paramètres'!$J:$J,MATCH($C3368,'Paramètres'!$D:$D,0)))),2))</f>
        <v/>
      </c>
      <c r="L3368" s="6" t="str">
        <f>IF($D3368="","",IF($F3368&lt;&gt;"",$F3368,IF(ISNA(MATCH($D3368,'Paramètres'!$M:$M,0)),"⚠ Type inconnu",IFERROR(INDEX('Paramètres'!$P:$P,MATCH($D3368,'Paramètres'!$M:$M,0))&amp;"",""))))</f>
        <v/>
      </c>
      <c r="M3368" s="6" t="str">
        <f>IF($D3368="","",IF(ISNA(MATCH($D3368,'Paramètres'!$M:$M,0)),"⚠ Type inconnu",IF($L3368="Crédit","",IFERROR(INDEX('Paramètres'!$O:$O,MATCH($D3368,'Paramètres'!$M:$M,0))&amp;"",""))))</f>
        <v/>
      </c>
      <c r="N3368" s="6" t="str">
        <f>IF($D3368="","",IFERROR(INDEX('Paramètres'!$Q:$Q,MATCH($D3368,'Paramètres'!$M:$M,0))&amp;"",""))</f>
        <v/>
      </c>
      <c r="O3368" s="6" t="str">
        <f>IF($A3368="","",IF(OR($J3368&lt;&gt;"x",$A3368&lt;=FinReleve),1,0))</f>
        <v/>
      </c>
      <c r="P3368" s="6" t="str">
        <f>IF($D3368="","",IF(AND($L3368="Crédit",OR(IFERROR(INDEX('Paramètres'!$O:$O,MATCH($D3368,'Paramètres'!$M:$M,0))&amp;"","")&lt;&gt;"",ISNUMBER(SEARCH("remboursement",IFERROR(INDEX('Paramètres'!$N:$N,MATCH($D3368,'Paramètres'!$M:$M,0))&amp;"",""))))),1,0))</f>
        <v/>
      </c>
      <c r="Q3368" s="6" t="str">
        <f>IF($K3368="","",IF(ISNUMBER(SEARCH("transfert-interne",IFERROR(INDEX('Paramètres'!$N:$N,MATCH($D3368,'Paramètres'!$M:$M,0))&amp;"",""))),0,IF($L3368="Débit",$K3368,IF($P3368=1,-$K3368,0))))</f>
        <v/>
      </c>
      <c r="R3368" s="6" t="str">
        <f>IF($K3368="","",IF($L3368="Crédit",$K3368,-$K3368))</f>
        <v/>
      </c>
      <c r="S3368" s="6" t="str">
        <f>IF($C3368="","",IFERROR(INDEX('Paramètres'!$H:$H,MATCH($C3368,'Paramètres'!$D:$D,0))&amp;"",""))</f>
        <v/>
      </c>
      <c r="T3368" s="6" t="str">
        <f>IF($K3368="","",IF($S3368="",0,IF(ISNUMBER(SEARCH("apport-exterieur",IFERROR(INDEX('Paramètres'!$N:$N,MATCH($D3368,'Paramètres'!$M:$M,0))&amp;"",""))),0,IF(OR(IFERROR(INDEX('Paramètres'!$I:$I,MATCH($C3368,'Paramètres'!$D:$D,0))&amp;"","")="Les deux",IFERROR(INDEX('Paramètres'!$I:$I,MATCH($C3368,'Paramètres'!$D:$D,0))&amp;"","")=IF($P3368=1,"Débit",$L3368)),-IF($P3368=1,-$K3368,$K3368),0))))</f>
        <v/>
      </c>
      <c r="U3368" s="6" t="str">
        <f>IF($K3368="","",IF(ISNUMBER(SEARCH("sortie-epargne",IFERROR(INDEX('Paramètres'!$N:$N,MATCH($D3368,'Paramètres'!$M:$M,0))&amp;"",""))),$K3368,0))</f>
        <v/>
      </c>
      <c r="V3368" s="6" t="str">
        <f>IF(AND($A3368&lt;&gt;"",$O3368=1,$L3368="Débit",N($Q3368)&gt;0,$A3368&gt;=Visualisation!$B$1,$A3368&lt;Visualisation!$D$1),MAX($V$1:V3367)+1,"")</f>
        <v/>
      </c>
    </row>
    <row r="3369" spans="1:22" x14ac:dyDescent="0.25">
      <c r="A3369" s="9"/>
      <c r="E3369" s="10"/>
      <c r="K3369" s="11" t="str">
        <f>IF($E3369="","",ROUND($E3369*IF(ISNA(MATCH($C3369,'Paramètres'!$D:$D,0)),1,IF(INDEX('Paramètres'!$J:$J,MATCH($C3369,'Paramètres'!$D:$D,0))="",1,INDEX('Paramètres'!$J:$J,MATCH($C3369,'Paramètres'!$D:$D,0)))),2))</f>
        <v/>
      </c>
      <c r="L3369" s="6" t="str">
        <f>IF($D3369="","",IF($F3369&lt;&gt;"",$F3369,IF(ISNA(MATCH($D3369,'Paramètres'!$M:$M,0)),"⚠ Type inconnu",IFERROR(INDEX('Paramètres'!$P:$P,MATCH($D3369,'Paramètres'!$M:$M,0))&amp;"",""))))</f>
        <v/>
      </c>
      <c r="M3369" s="6" t="str">
        <f>IF($D3369="","",IF(ISNA(MATCH($D3369,'Paramètres'!$M:$M,0)),"⚠ Type inconnu",IF($L3369="Crédit","",IFERROR(INDEX('Paramètres'!$O:$O,MATCH($D3369,'Paramètres'!$M:$M,0))&amp;"",""))))</f>
        <v/>
      </c>
      <c r="N3369" s="6" t="str">
        <f>IF($D3369="","",IFERROR(INDEX('Paramètres'!$Q:$Q,MATCH($D3369,'Paramètres'!$M:$M,0))&amp;"",""))</f>
        <v/>
      </c>
      <c r="O3369" s="6" t="str">
        <f>IF($A3369="","",IF(OR($J3369&lt;&gt;"x",$A3369&lt;=FinReleve),1,0))</f>
        <v/>
      </c>
      <c r="P3369" s="6" t="str">
        <f>IF($D3369="","",IF(AND($L3369="Crédit",OR(IFERROR(INDEX('Paramètres'!$O:$O,MATCH($D3369,'Paramètres'!$M:$M,0))&amp;"","")&lt;&gt;"",ISNUMBER(SEARCH("remboursement",IFERROR(INDEX('Paramètres'!$N:$N,MATCH($D3369,'Paramètres'!$M:$M,0))&amp;"",""))))),1,0))</f>
        <v/>
      </c>
      <c r="Q3369" s="6" t="str">
        <f>IF($K3369="","",IF(ISNUMBER(SEARCH("transfert-interne",IFERROR(INDEX('Paramètres'!$N:$N,MATCH($D3369,'Paramètres'!$M:$M,0))&amp;"",""))),0,IF($L3369="Débit",$K3369,IF($P3369=1,-$K3369,0))))</f>
        <v/>
      </c>
      <c r="R3369" s="6" t="str">
        <f>IF($K3369="","",IF($L3369="Crédit",$K3369,-$K3369))</f>
        <v/>
      </c>
      <c r="S3369" s="6" t="str">
        <f>IF($C3369="","",IFERROR(INDEX('Paramètres'!$H:$H,MATCH($C3369,'Paramètres'!$D:$D,0))&amp;"",""))</f>
        <v/>
      </c>
      <c r="T3369" s="6" t="str">
        <f>IF($K3369="","",IF($S3369="",0,IF(ISNUMBER(SEARCH("apport-exterieur",IFERROR(INDEX('Paramètres'!$N:$N,MATCH($D3369,'Paramètres'!$M:$M,0))&amp;"",""))),0,IF(OR(IFERROR(INDEX('Paramètres'!$I:$I,MATCH($C3369,'Paramètres'!$D:$D,0))&amp;"","")="Les deux",IFERROR(INDEX('Paramètres'!$I:$I,MATCH($C3369,'Paramètres'!$D:$D,0))&amp;"","")=IF($P3369=1,"Débit",$L3369)),-IF($P3369=1,-$K3369,$K3369),0))))</f>
        <v/>
      </c>
      <c r="U3369" s="6" t="str">
        <f>IF($K3369="","",IF(ISNUMBER(SEARCH("sortie-epargne",IFERROR(INDEX('Paramètres'!$N:$N,MATCH($D3369,'Paramètres'!$M:$M,0))&amp;"",""))),$K3369,0))</f>
        <v/>
      </c>
      <c r="V3369" s="6" t="str">
        <f>IF(AND($A3369&lt;&gt;"",$O3369=1,$L3369="Débit",N($Q3369)&gt;0,$A3369&gt;=Visualisation!$B$1,$A3369&lt;Visualisation!$D$1),MAX($V$1:V3368)+1,"")</f>
        <v/>
      </c>
    </row>
    <row r="3370" spans="1:22" x14ac:dyDescent="0.25">
      <c r="A3370" s="9"/>
      <c r="E3370" s="10"/>
      <c r="K3370" s="11" t="str">
        <f>IF($E3370="","",ROUND($E3370*IF(ISNA(MATCH($C3370,'Paramètres'!$D:$D,0)),1,IF(INDEX('Paramètres'!$J:$J,MATCH($C3370,'Paramètres'!$D:$D,0))="",1,INDEX('Paramètres'!$J:$J,MATCH($C3370,'Paramètres'!$D:$D,0)))),2))</f>
        <v/>
      </c>
      <c r="L3370" s="6" t="str">
        <f>IF($D3370="","",IF($F3370&lt;&gt;"",$F3370,IF(ISNA(MATCH($D3370,'Paramètres'!$M:$M,0)),"⚠ Type inconnu",IFERROR(INDEX('Paramètres'!$P:$P,MATCH($D3370,'Paramètres'!$M:$M,0))&amp;"",""))))</f>
        <v/>
      </c>
      <c r="M3370" s="6" t="str">
        <f>IF($D3370="","",IF(ISNA(MATCH($D3370,'Paramètres'!$M:$M,0)),"⚠ Type inconnu",IF($L3370="Crédit","",IFERROR(INDEX('Paramètres'!$O:$O,MATCH($D3370,'Paramètres'!$M:$M,0))&amp;"",""))))</f>
        <v/>
      </c>
      <c r="N3370" s="6" t="str">
        <f>IF($D3370="","",IFERROR(INDEX('Paramètres'!$Q:$Q,MATCH($D3370,'Paramètres'!$M:$M,0))&amp;"",""))</f>
        <v/>
      </c>
      <c r="O3370" s="6" t="str">
        <f>IF($A3370="","",IF(OR($J3370&lt;&gt;"x",$A3370&lt;=FinReleve),1,0))</f>
        <v/>
      </c>
      <c r="P3370" s="6" t="str">
        <f>IF($D3370="","",IF(AND($L3370="Crédit",OR(IFERROR(INDEX('Paramètres'!$O:$O,MATCH($D3370,'Paramètres'!$M:$M,0))&amp;"","")&lt;&gt;"",ISNUMBER(SEARCH("remboursement",IFERROR(INDEX('Paramètres'!$N:$N,MATCH($D3370,'Paramètres'!$M:$M,0))&amp;"",""))))),1,0))</f>
        <v/>
      </c>
      <c r="Q3370" s="6" t="str">
        <f>IF($K3370="","",IF(ISNUMBER(SEARCH("transfert-interne",IFERROR(INDEX('Paramètres'!$N:$N,MATCH($D3370,'Paramètres'!$M:$M,0))&amp;"",""))),0,IF($L3370="Débit",$K3370,IF($P3370=1,-$K3370,0))))</f>
        <v/>
      </c>
      <c r="R3370" s="6" t="str">
        <f>IF($K3370="","",IF($L3370="Crédit",$K3370,-$K3370))</f>
        <v/>
      </c>
      <c r="S3370" s="6" t="str">
        <f>IF($C3370="","",IFERROR(INDEX('Paramètres'!$H:$H,MATCH($C3370,'Paramètres'!$D:$D,0))&amp;"",""))</f>
        <v/>
      </c>
      <c r="T3370" s="6" t="str">
        <f>IF($K3370="","",IF($S3370="",0,IF(ISNUMBER(SEARCH("apport-exterieur",IFERROR(INDEX('Paramètres'!$N:$N,MATCH($D3370,'Paramètres'!$M:$M,0))&amp;"",""))),0,IF(OR(IFERROR(INDEX('Paramètres'!$I:$I,MATCH($C3370,'Paramètres'!$D:$D,0))&amp;"","")="Les deux",IFERROR(INDEX('Paramètres'!$I:$I,MATCH($C3370,'Paramètres'!$D:$D,0))&amp;"","")=IF($P3370=1,"Débit",$L3370)),-IF($P3370=1,-$K3370,$K3370),0))))</f>
        <v/>
      </c>
      <c r="U3370" s="6" t="str">
        <f>IF($K3370="","",IF(ISNUMBER(SEARCH("sortie-epargne",IFERROR(INDEX('Paramètres'!$N:$N,MATCH($D3370,'Paramètres'!$M:$M,0))&amp;"",""))),$K3370,0))</f>
        <v/>
      </c>
      <c r="V3370" s="6" t="str">
        <f>IF(AND($A3370&lt;&gt;"",$O3370=1,$L3370="Débit",N($Q3370)&gt;0,$A3370&gt;=Visualisation!$B$1,$A3370&lt;Visualisation!$D$1),MAX($V$1:V3369)+1,"")</f>
        <v/>
      </c>
    </row>
    <row r="3371" spans="1:22" x14ac:dyDescent="0.25">
      <c r="A3371" s="9"/>
      <c r="E3371" s="10"/>
      <c r="K3371" s="11" t="str">
        <f>IF($E3371="","",ROUND($E3371*IF(ISNA(MATCH($C3371,'Paramètres'!$D:$D,0)),1,IF(INDEX('Paramètres'!$J:$J,MATCH($C3371,'Paramètres'!$D:$D,0))="",1,INDEX('Paramètres'!$J:$J,MATCH($C3371,'Paramètres'!$D:$D,0)))),2))</f>
        <v/>
      </c>
      <c r="L3371" s="6" t="str">
        <f>IF($D3371="","",IF($F3371&lt;&gt;"",$F3371,IF(ISNA(MATCH($D3371,'Paramètres'!$M:$M,0)),"⚠ Type inconnu",IFERROR(INDEX('Paramètres'!$P:$P,MATCH($D3371,'Paramètres'!$M:$M,0))&amp;"",""))))</f>
        <v/>
      </c>
      <c r="M3371" s="6" t="str">
        <f>IF($D3371="","",IF(ISNA(MATCH($D3371,'Paramètres'!$M:$M,0)),"⚠ Type inconnu",IF($L3371="Crédit","",IFERROR(INDEX('Paramètres'!$O:$O,MATCH($D3371,'Paramètres'!$M:$M,0))&amp;"",""))))</f>
        <v/>
      </c>
      <c r="N3371" s="6" t="str">
        <f>IF($D3371="","",IFERROR(INDEX('Paramètres'!$Q:$Q,MATCH($D3371,'Paramètres'!$M:$M,0))&amp;"",""))</f>
        <v/>
      </c>
      <c r="O3371" s="6" t="str">
        <f>IF($A3371="","",IF(OR($J3371&lt;&gt;"x",$A3371&lt;=FinReleve),1,0))</f>
        <v/>
      </c>
      <c r="P3371" s="6" t="str">
        <f>IF($D3371="","",IF(AND($L3371="Crédit",OR(IFERROR(INDEX('Paramètres'!$O:$O,MATCH($D3371,'Paramètres'!$M:$M,0))&amp;"","")&lt;&gt;"",ISNUMBER(SEARCH("remboursement",IFERROR(INDEX('Paramètres'!$N:$N,MATCH($D3371,'Paramètres'!$M:$M,0))&amp;"",""))))),1,0))</f>
        <v/>
      </c>
      <c r="Q3371" s="6" t="str">
        <f>IF($K3371="","",IF(ISNUMBER(SEARCH("transfert-interne",IFERROR(INDEX('Paramètres'!$N:$N,MATCH($D3371,'Paramètres'!$M:$M,0))&amp;"",""))),0,IF($L3371="Débit",$K3371,IF($P3371=1,-$K3371,0))))</f>
        <v/>
      </c>
      <c r="R3371" s="6" t="str">
        <f>IF($K3371="","",IF($L3371="Crédit",$K3371,-$K3371))</f>
        <v/>
      </c>
      <c r="S3371" s="6" t="str">
        <f>IF($C3371="","",IFERROR(INDEX('Paramètres'!$H:$H,MATCH($C3371,'Paramètres'!$D:$D,0))&amp;"",""))</f>
        <v/>
      </c>
      <c r="T3371" s="6" t="str">
        <f>IF($K3371="","",IF($S3371="",0,IF(ISNUMBER(SEARCH("apport-exterieur",IFERROR(INDEX('Paramètres'!$N:$N,MATCH($D3371,'Paramètres'!$M:$M,0))&amp;"",""))),0,IF(OR(IFERROR(INDEX('Paramètres'!$I:$I,MATCH($C3371,'Paramètres'!$D:$D,0))&amp;"","")="Les deux",IFERROR(INDEX('Paramètres'!$I:$I,MATCH($C3371,'Paramètres'!$D:$D,0))&amp;"","")=IF($P3371=1,"Débit",$L3371)),-IF($P3371=1,-$K3371,$K3371),0))))</f>
        <v/>
      </c>
      <c r="U3371" s="6" t="str">
        <f>IF($K3371="","",IF(ISNUMBER(SEARCH("sortie-epargne",IFERROR(INDEX('Paramètres'!$N:$N,MATCH($D3371,'Paramètres'!$M:$M,0))&amp;"",""))),$K3371,0))</f>
        <v/>
      </c>
      <c r="V3371" s="6" t="str">
        <f>IF(AND($A3371&lt;&gt;"",$O3371=1,$L3371="Débit",N($Q3371)&gt;0,$A3371&gt;=Visualisation!$B$1,$A3371&lt;Visualisation!$D$1),MAX($V$1:V3370)+1,"")</f>
        <v/>
      </c>
    </row>
    <row r="3372" spans="1:22" x14ac:dyDescent="0.25">
      <c r="A3372" s="9"/>
      <c r="E3372" s="10"/>
      <c r="K3372" s="11" t="str">
        <f>IF($E3372="","",ROUND($E3372*IF(ISNA(MATCH($C3372,'Paramètres'!$D:$D,0)),1,IF(INDEX('Paramètres'!$J:$J,MATCH($C3372,'Paramètres'!$D:$D,0))="",1,INDEX('Paramètres'!$J:$J,MATCH($C3372,'Paramètres'!$D:$D,0)))),2))</f>
        <v/>
      </c>
      <c r="L3372" s="6" t="str">
        <f>IF($D3372="","",IF($F3372&lt;&gt;"",$F3372,IF(ISNA(MATCH($D3372,'Paramètres'!$M:$M,0)),"⚠ Type inconnu",IFERROR(INDEX('Paramètres'!$P:$P,MATCH($D3372,'Paramètres'!$M:$M,0))&amp;"",""))))</f>
        <v/>
      </c>
      <c r="M3372" s="6" t="str">
        <f>IF($D3372="","",IF(ISNA(MATCH($D3372,'Paramètres'!$M:$M,0)),"⚠ Type inconnu",IF($L3372="Crédit","",IFERROR(INDEX('Paramètres'!$O:$O,MATCH($D3372,'Paramètres'!$M:$M,0))&amp;"",""))))</f>
        <v/>
      </c>
      <c r="N3372" s="6" t="str">
        <f>IF($D3372="","",IFERROR(INDEX('Paramètres'!$Q:$Q,MATCH($D3372,'Paramètres'!$M:$M,0))&amp;"",""))</f>
        <v/>
      </c>
      <c r="O3372" s="6" t="str">
        <f>IF($A3372="","",IF(OR($J3372&lt;&gt;"x",$A3372&lt;=FinReleve),1,0))</f>
        <v/>
      </c>
      <c r="P3372" s="6" t="str">
        <f>IF($D3372="","",IF(AND($L3372="Crédit",OR(IFERROR(INDEX('Paramètres'!$O:$O,MATCH($D3372,'Paramètres'!$M:$M,0))&amp;"","")&lt;&gt;"",ISNUMBER(SEARCH("remboursement",IFERROR(INDEX('Paramètres'!$N:$N,MATCH($D3372,'Paramètres'!$M:$M,0))&amp;"",""))))),1,0))</f>
        <v/>
      </c>
      <c r="Q3372" s="6" t="str">
        <f>IF($K3372="","",IF(ISNUMBER(SEARCH("transfert-interne",IFERROR(INDEX('Paramètres'!$N:$N,MATCH($D3372,'Paramètres'!$M:$M,0))&amp;"",""))),0,IF($L3372="Débit",$K3372,IF($P3372=1,-$K3372,0))))</f>
        <v/>
      </c>
      <c r="R3372" s="6" t="str">
        <f>IF($K3372="","",IF($L3372="Crédit",$K3372,-$K3372))</f>
        <v/>
      </c>
      <c r="S3372" s="6" t="str">
        <f>IF($C3372="","",IFERROR(INDEX('Paramètres'!$H:$H,MATCH($C3372,'Paramètres'!$D:$D,0))&amp;"",""))</f>
        <v/>
      </c>
      <c r="T3372" s="6" t="str">
        <f>IF($K3372="","",IF($S3372="",0,IF(ISNUMBER(SEARCH("apport-exterieur",IFERROR(INDEX('Paramètres'!$N:$N,MATCH($D3372,'Paramètres'!$M:$M,0))&amp;"",""))),0,IF(OR(IFERROR(INDEX('Paramètres'!$I:$I,MATCH($C3372,'Paramètres'!$D:$D,0))&amp;"","")="Les deux",IFERROR(INDEX('Paramètres'!$I:$I,MATCH($C3372,'Paramètres'!$D:$D,0))&amp;"","")=IF($P3372=1,"Débit",$L3372)),-IF($P3372=1,-$K3372,$K3372),0))))</f>
        <v/>
      </c>
      <c r="U3372" s="6" t="str">
        <f>IF($K3372="","",IF(ISNUMBER(SEARCH("sortie-epargne",IFERROR(INDEX('Paramètres'!$N:$N,MATCH($D3372,'Paramètres'!$M:$M,0))&amp;"",""))),$K3372,0))</f>
        <v/>
      </c>
      <c r="V3372" s="6" t="str">
        <f>IF(AND($A3372&lt;&gt;"",$O3372=1,$L3372="Débit",N($Q3372)&gt;0,$A3372&gt;=Visualisation!$B$1,$A3372&lt;Visualisation!$D$1),MAX($V$1:V3371)+1,"")</f>
        <v/>
      </c>
    </row>
    <row r="3373" spans="1:22" x14ac:dyDescent="0.25">
      <c r="A3373" s="9"/>
      <c r="E3373" s="10"/>
      <c r="K3373" s="11" t="str">
        <f>IF($E3373="","",ROUND($E3373*IF(ISNA(MATCH($C3373,'Paramètres'!$D:$D,0)),1,IF(INDEX('Paramètres'!$J:$J,MATCH($C3373,'Paramètres'!$D:$D,0))="",1,INDEX('Paramètres'!$J:$J,MATCH($C3373,'Paramètres'!$D:$D,0)))),2))</f>
        <v/>
      </c>
      <c r="L3373" s="6" t="str">
        <f>IF($D3373="","",IF($F3373&lt;&gt;"",$F3373,IF(ISNA(MATCH($D3373,'Paramètres'!$M:$M,0)),"⚠ Type inconnu",IFERROR(INDEX('Paramètres'!$P:$P,MATCH($D3373,'Paramètres'!$M:$M,0))&amp;"",""))))</f>
        <v/>
      </c>
      <c r="M3373" s="6" t="str">
        <f>IF($D3373="","",IF(ISNA(MATCH($D3373,'Paramètres'!$M:$M,0)),"⚠ Type inconnu",IF($L3373="Crédit","",IFERROR(INDEX('Paramètres'!$O:$O,MATCH($D3373,'Paramètres'!$M:$M,0))&amp;"",""))))</f>
        <v/>
      </c>
      <c r="N3373" s="6" t="str">
        <f>IF($D3373="","",IFERROR(INDEX('Paramètres'!$Q:$Q,MATCH($D3373,'Paramètres'!$M:$M,0))&amp;"",""))</f>
        <v/>
      </c>
      <c r="O3373" s="6" t="str">
        <f>IF($A3373="","",IF(OR($J3373&lt;&gt;"x",$A3373&lt;=FinReleve),1,0))</f>
        <v/>
      </c>
      <c r="P3373" s="6" t="str">
        <f>IF($D3373="","",IF(AND($L3373="Crédit",OR(IFERROR(INDEX('Paramètres'!$O:$O,MATCH($D3373,'Paramètres'!$M:$M,0))&amp;"","")&lt;&gt;"",ISNUMBER(SEARCH("remboursement",IFERROR(INDEX('Paramètres'!$N:$N,MATCH($D3373,'Paramètres'!$M:$M,0))&amp;"",""))))),1,0))</f>
        <v/>
      </c>
      <c r="Q3373" s="6" t="str">
        <f>IF($K3373="","",IF(ISNUMBER(SEARCH("transfert-interne",IFERROR(INDEX('Paramètres'!$N:$N,MATCH($D3373,'Paramètres'!$M:$M,0))&amp;"",""))),0,IF($L3373="Débit",$K3373,IF($P3373=1,-$K3373,0))))</f>
        <v/>
      </c>
      <c r="R3373" s="6" t="str">
        <f>IF($K3373="","",IF($L3373="Crédit",$K3373,-$K3373))</f>
        <v/>
      </c>
      <c r="S3373" s="6" t="str">
        <f>IF($C3373="","",IFERROR(INDEX('Paramètres'!$H:$H,MATCH($C3373,'Paramètres'!$D:$D,0))&amp;"",""))</f>
        <v/>
      </c>
      <c r="T3373" s="6" t="str">
        <f>IF($K3373="","",IF($S3373="",0,IF(ISNUMBER(SEARCH("apport-exterieur",IFERROR(INDEX('Paramètres'!$N:$N,MATCH($D3373,'Paramètres'!$M:$M,0))&amp;"",""))),0,IF(OR(IFERROR(INDEX('Paramètres'!$I:$I,MATCH($C3373,'Paramètres'!$D:$D,0))&amp;"","")="Les deux",IFERROR(INDEX('Paramètres'!$I:$I,MATCH($C3373,'Paramètres'!$D:$D,0))&amp;"","")=IF($P3373=1,"Débit",$L3373)),-IF($P3373=1,-$K3373,$K3373),0))))</f>
        <v/>
      </c>
      <c r="U3373" s="6" t="str">
        <f>IF($K3373="","",IF(ISNUMBER(SEARCH("sortie-epargne",IFERROR(INDEX('Paramètres'!$N:$N,MATCH($D3373,'Paramètres'!$M:$M,0))&amp;"",""))),$K3373,0))</f>
        <v/>
      </c>
      <c r="V3373" s="6" t="str">
        <f>IF(AND($A3373&lt;&gt;"",$O3373=1,$L3373="Débit",N($Q3373)&gt;0,$A3373&gt;=Visualisation!$B$1,$A3373&lt;Visualisation!$D$1),MAX($V$1:V3372)+1,"")</f>
        <v/>
      </c>
    </row>
    <row r="3374" spans="1:22" x14ac:dyDescent="0.25">
      <c r="A3374" s="9"/>
      <c r="E3374" s="10"/>
      <c r="K3374" s="11" t="str">
        <f>IF($E3374="","",ROUND($E3374*IF(ISNA(MATCH($C3374,'Paramètres'!$D:$D,0)),1,IF(INDEX('Paramètres'!$J:$J,MATCH($C3374,'Paramètres'!$D:$D,0))="",1,INDEX('Paramètres'!$J:$J,MATCH($C3374,'Paramètres'!$D:$D,0)))),2))</f>
        <v/>
      </c>
      <c r="L3374" s="6" t="str">
        <f>IF($D3374="","",IF($F3374&lt;&gt;"",$F3374,IF(ISNA(MATCH($D3374,'Paramètres'!$M:$M,0)),"⚠ Type inconnu",IFERROR(INDEX('Paramètres'!$P:$P,MATCH($D3374,'Paramètres'!$M:$M,0))&amp;"",""))))</f>
        <v/>
      </c>
      <c r="M3374" s="6" t="str">
        <f>IF($D3374="","",IF(ISNA(MATCH($D3374,'Paramètres'!$M:$M,0)),"⚠ Type inconnu",IF($L3374="Crédit","",IFERROR(INDEX('Paramètres'!$O:$O,MATCH($D3374,'Paramètres'!$M:$M,0))&amp;"",""))))</f>
        <v/>
      </c>
      <c r="N3374" s="6" t="str">
        <f>IF($D3374="","",IFERROR(INDEX('Paramètres'!$Q:$Q,MATCH($D3374,'Paramètres'!$M:$M,0))&amp;"",""))</f>
        <v/>
      </c>
      <c r="O3374" s="6" t="str">
        <f>IF($A3374="","",IF(OR($J3374&lt;&gt;"x",$A3374&lt;=FinReleve),1,0))</f>
        <v/>
      </c>
      <c r="P3374" s="6" t="str">
        <f>IF($D3374="","",IF(AND($L3374="Crédit",OR(IFERROR(INDEX('Paramètres'!$O:$O,MATCH($D3374,'Paramètres'!$M:$M,0))&amp;"","")&lt;&gt;"",ISNUMBER(SEARCH("remboursement",IFERROR(INDEX('Paramètres'!$N:$N,MATCH($D3374,'Paramètres'!$M:$M,0))&amp;"",""))))),1,0))</f>
        <v/>
      </c>
      <c r="Q3374" s="6" t="str">
        <f>IF($K3374="","",IF(ISNUMBER(SEARCH("transfert-interne",IFERROR(INDEX('Paramètres'!$N:$N,MATCH($D3374,'Paramètres'!$M:$M,0))&amp;"",""))),0,IF($L3374="Débit",$K3374,IF($P3374=1,-$K3374,0))))</f>
        <v/>
      </c>
      <c r="R3374" s="6" t="str">
        <f>IF($K3374="","",IF($L3374="Crédit",$K3374,-$K3374))</f>
        <v/>
      </c>
      <c r="S3374" s="6" t="str">
        <f>IF($C3374="","",IFERROR(INDEX('Paramètres'!$H:$H,MATCH($C3374,'Paramètres'!$D:$D,0))&amp;"",""))</f>
        <v/>
      </c>
      <c r="T3374" s="6" t="str">
        <f>IF($K3374="","",IF($S3374="",0,IF(ISNUMBER(SEARCH("apport-exterieur",IFERROR(INDEX('Paramètres'!$N:$N,MATCH($D3374,'Paramètres'!$M:$M,0))&amp;"",""))),0,IF(OR(IFERROR(INDEX('Paramètres'!$I:$I,MATCH($C3374,'Paramètres'!$D:$D,0))&amp;"","")="Les deux",IFERROR(INDEX('Paramètres'!$I:$I,MATCH($C3374,'Paramètres'!$D:$D,0))&amp;"","")=IF($P3374=1,"Débit",$L3374)),-IF($P3374=1,-$K3374,$K3374),0))))</f>
        <v/>
      </c>
      <c r="U3374" s="6" t="str">
        <f>IF($K3374="","",IF(ISNUMBER(SEARCH("sortie-epargne",IFERROR(INDEX('Paramètres'!$N:$N,MATCH($D3374,'Paramètres'!$M:$M,0))&amp;"",""))),$K3374,0))</f>
        <v/>
      </c>
      <c r="V3374" s="6" t="str">
        <f>IF(AND($A3374&lt;&gt;"",$O3374=1,$L3374="Débit",N($Q3374)&gt;0,$A3374&gt;=Visualisation!$B$1,$A3374&lt;Visualisation!$D$1),MAX($V$1:V3373)+1,"")</f>
        <v/>
      </c>
    </row>
    <row r="3375" spans="1:22" x14ac:dyDescent="0.25">
      <c r="A3375" s="9"/>
      <c r="E3375" s="10"/>
      <c r="K3375" s="11" t="str">
        <f>IF($E3375="","",ROUND($E3375*IF(ISNA(MATCH($C3375,'Paramètres'!$D:$D,0)),1,IF(INDEX('Paramètres'!$J:$J,MATCH($C3375,'Paramètres'!$D:$D,0))="",1,INDEX('Paramètres'!$J:$J,MATCH($C3375,'Paramètres'!$D:$D,0)))),2))</f>
        <v/>
      </c>
      <c r="L3375" s="6" t="str">
        <f>IF($D3375="","",IF($F3375&lt;&gt;"",$F3375,IF(ISNA(MATCH($D3375,'Paramètres'!$M:$M,0)),"⚠ Type inconnu",IFERROR(INDEX('Paramètres'!$P:$P,MATCH($D3375,'Paramètres'!$M:$M,0))&amp;"",""))))</f>
        <v/>
      </c>
      <c r="M3375" s="6" t="str">
        <f>IF($D3375="","",IF(ISNA(MATCH($D3375,'Paramètres'!$M:$M,0)),"⚠ Type inconnu",IF($L3375="Crédit","",IFERROR(INDEX('Paramètres'!$O:$O,MATCH($D3375,'Paramètres'!$M:$M,0))&amp;"",""))))</f>
        <v/>
      </c>
      <c r="N3375" s="6" t="str">
        <f>IF($D3375="","",IFERROR(INDEX('Paramètres'!$Q:$Q,MATCH($D3375,'Paramètres'!$M:$M,0))&amp;"",""))</f>
        <v/>
      </c>
      <c r="O3375" s="6" t="str">
        <f>IF($A3375="","",IF(OR($J3375&lt;&gt;"x",$A3375&lt;=FinReleve),1,0))</f>
        <v/>
      </c>
      <c r="P3375" s="6" t="str">
        <f>IF($D3375="","",IF(AND($L3375="Crédit",OR(IFERROR(INDEX('Paramètres'!$O:$O,MATCH($D3375,'Paramètres'!$M:$M,0))&amp;"","")&lt;&gt;"",ISNUMBER(SEARCH("remboursement",IFERROR(INDEX('Paramètres'!$N:$N,MATCH($D3375,'Paramètres'!$M:$M,0))&amp;"",""))))),1,0))</f>
        <v/>
      </c>
      <c r="Q3375" s="6" t="str">
        <f>IF($K3375="","",IF(ISNUMBER(SEARCH("transfert-interne",IFERROR(INDEX('Paramètres'!$N:$N,MATCH($D3375,'Paramètres'!$M:$M,0))&amp;"",""))),0,IF($L3375="Débit",$K3375,IF($P3375=1,-$K3375,0))))</f>
        <v/>
      </c>
      <c r="R3375" s="6" t="str">
        <f>IF($K3375="","",IF($L3375="Crédit",$K3375,-$K3375))</f>
        <v/>
      </c>
      <c r="S3375" s="6" t="str">
        <f>IF($C3375="","",IFERROR(INDEX('Paramètres'!$H:$H,MATCH($C3375,'Paramètres'!$D:$D,0))&amp;"",""))</f>
        <v/>
      </c>
      <c r="T3375" s="6" t="str">
        <f>IF($K3375="","",IF($S3375="",0,IF(ISNUMBER(SEARCH("apport-exterieur",IFERROR(INDEX('Paramètres'!$N:$N,MATCH($D3375,'Paramètres'!$M:$M,0))&amp;"",""))),0,IF(OR(IFERROR(INDEX('Paramètres'!$I:$I,MATCH($C3375,'Paramètres'!$D:$D,0))&amp;"","")="Les deux",IFERROR(INDEX('Paramètres'!$I:$I,MATCH($C3375,'Paramètres'!$D:$D,0))&amp;"","")=IF($P3375=1,"Débit",$L3375)),-IF($P3375=1,-$K3375,$K3375),0))))</f>
        <v/>
      </c>
      <c r="U3375" s="6" t="str">
        <f>IF($K3375="","",IF(ISNUMBER(SEARCH("sortie-epargne",IFERROR(INDEX('Paramètres'!$N:$N,MATCH($D3375,'Paramètres'!$M:$M,0))&amp;"",""))),$K3375,0))</f>
        <v/>
      </c>
      <c r="V3375" s="6" t="str">
        <f>IF(AND($A3375&lt;&gt;"",$O3375=1,$L3375="Débit",N($Q3375)&gt;0,$A3375&gt;=Visualisation!$B$1,$A3375&lt;Visualisation!$D$1),MAX($V$1:V3374)+1,"")</f>
        <v/>
      </c>
    </row>
    <row r="3376" spans="1:22" x14ac:dyDescent="0.25">
      <c r="A3376" s="9"/>
      <c r="E3376" s="10"/>
      <c r="K3376" s="11" t="str">
        <f>IF($E3376="","",ROUND($E3376*IF(ISNA(MATCH($C3376,'Paramètres'!$D:$D,0)),1,IF(INDEX('Paramètres'!$J:$J,MATCH($C3376,'Paramètres'!$D:$D,0))="",1,INDEX('Paramètres'!$J:$J,MATCH($C3376,'Paramètres'!$D:$D,0)))),2))</f>
        <v/>
      </c>
      <c r="L3376" s="6" t="str">
        <f>IF($D3376="","",IF($F3376&lt;&gt;"",$F3376,IF(ISNA(MATCH($D3376,'Paramètres'!$M:$M,0)),"⚠ Type inconnu",IFERROR(INDEX('Paramètres'!$P:$P,MATCH($D3376,'Paramètres'!$M:$M,0))&amp;"",""))))</f>
        <v/>
      </c>
      <c r="M3376" s="6" t="str">
        <f>IF($D3376="","",IF(ISNA(MATCH($D3376,'Paramètres'!$M:$M,0)),"⚠ Type inconnu",IF($L3376="Crédit","",IFERROR(INDEX('Paramètres'!$O:$O,MATCH($D3376,'Paramètres'!$M:$M,0))&amp;"",""))))</f>
        <v/>
      </c>
      <c r="N3376" s="6" t="str">
        <f>IF($D3376="","",IFERROR(INDEX('Paramètres'!$Q:$Q,MATCH($D3376,'Paramètres'!$M:$M,0))&amp;"",""))</f>
        <v/>
      </c>
      <c r="O3376" s="6" t="str">
        <f>IF($A3376="","",IF(OR($J3376&lt;&gt;"x",$A3376&lt;=FinReleve),1,0))</f>
        <v/>
      </c>
      <c r="P3376" s="6" t="str">
        <f>IF($D3376="","",IF(AND($L3376="Crédit",OR(IFERROR(INDEX('Paramètres'!$O:$O,MATCH($D3376,'Paramètres'!$M:$M,0))&amp;"","")&lt;&gt;"",ISNUMBER(SEARCH("remboursement",IFERROR(INDEX('Paramètres'!$N:$N,MATCH($D3376,'Paramètres'!$M:$M,0))&amp;"",""))))),1,0))</f>
        <v/>
      </c>
      <c r="Q3376" s="6" t="str">
        <f>IF($K3376="","",IF(ISNUMBER(SEARCH("transfert-interne",IFERROR(INDEX('Paramètres'!$N:$N,MATCH($D3376,'Paramètres'!$M:$M,0))&amp;"",""))),0,IF($L3376="Débit",$K3376,IF($P3376=1,-$K3376,0))))</f>
        <v/>
      </c>
      <c r="R3376" s="6" t="str">
        <f>IF($K3376="","",IF($L3376="Crédit",$K3376,-$K3376))</f>
        <v/>
      </c>
      <c r="S3376" s="6" t="str">
        <f>IF($C3376="","",IFERROR(INDEX('Paramètres'!$H:$H,MATCH($C3376,'Paramètres'!$D:$D,0))&amp;"",""))</f>
        <v/>
      </c>
      <c r="T3376" s="6" t="str">
        <f>IF($K3376="","",IF($S3376="",0,IF(ISNUMBER(SEARCH("apport-exterieur",IFERROR(INDEX('Paramètres'!$N:$N,MATCH($D3376,'Paramètres'!$M:$M,0))&amp;"",""))),0,IF(OR(IFERROR(INDEX('Paramètres'!$I:$I,MATCH($C3376,'Paramètres'!$D:$D,0))&amp;"","")="Les deux",IFERROR(INDEX('Paramètres'!$I:$I,MATCH($C3376,'Paramètres'!$D:$D,0))&amp;"","")=IF($P3376=1,"Débit",$L3376)),-IF($P3376=1,-$K3376,$K3376),0))))</f>
        <v/>
      </c>
      <c r="U3376" s="6" t="str">
        <f>IF($K3376="","",IF(ISNUMBER(SEARCH("sortie-epargne",IFERROR(INDEX('Paramètres'!$N:$N,MATCH($D3376,'Paramètres'!$M:$M,0))&amp;"",""))),$K3376,0))</f>
        <v/>
      </c>
      <c r="V3376" s="6" t="str">
        <f>IF(AND($A3376&lt;&gt;"",$O3376=1,$L3376="Débit",N($Q3376)&gt;0,$A3376&gt;=Visualisation!$B$1,$A3376&lt;Visualisation!$D$1),MAX($V$1:V3375)+1,"")</f>
        <v/>
      </c>
    </row>
    <row r="3377" spans="1:22" x14ac:dyDescent="0.25">
      <c r="A3377" s="9"/>
      <c r="E3377" s="10"/>
      <c r="K3377" s="11" t="str">
        <f>IF($E3377="","",ROUND($E3377*IF(ISNA(MATCH($C3377,'Paramètres'!$D:$D,0)),1,IF(INDEX('Paramètres'!$J:$J,MATCH($C3377,'Paramètres'!$D:$D,0))="",1,INDEX('Paramètres'!$J:$J,MATCH($C3377,'Paramètres'!$D:$D,0)))),2))</f>
        <v/>
      </c>
      <c r="L3377" s="6" t="str">
        <f>IF($D3377="","",IF($F3377&lt;&gt;"",$F3377,IF(ISNA(MATCH($D3377,'Paramètres'!$M:$M,0)),"⚠ Type inconnu",IFERROR(INDEX('Paramètres'!$P:$P,MATCH($D3377,'Paramètres'!$M:$M,0))&amp;"",""))))</f>
        <v/>
      </c>
      <c r="M3377" s="6" t="str">
        <f>IF($D3377="","",IF(ISNA(MATCH($D3377,'Paramètres'!$M:$M,0)),"⚠ Type inconnu",IF($L3377="Crédit","",IFERROR(INDEX('Paramètres'!$O:$O,MATCH($D3377,'Paramètres'!$M:$M,0))&amp;"",""))))</f>
        <v/>
      </c>
      <c r="N3377" s="6" t="str">
        <f>IF($D3377="","",IFERROR(INDEX('Paramètres'!$Q:$Q,MATCH($D3377,'Paramètres'!$M:$M,0))&amp;"",""))</f>
        <v/>
      </c>
      <c r="O3377" s="6" t="str">
        <f>IF($A3377="","",IF(OR($J3377&lt;&gt;"x",$A3377&lt;=FinReleve),1,0))</f>
        <v/>
      </c>
      <c r="P3377" s="6" t="str">
        <f>IF($D3377="","",IF(AND($L3377="Crédit",OR(IFERROR(INDEX('Paramètres'!$O:$O,MATCH($D3377,'Paramètres'!$M:$M,0))&amp;"","")&lt;&gt;"",ISNUMBER(SEARCH("remboursement",IFERROR(INDEX('Paramètres'!$N:$N,MATCH($D3377,'Paramètres'!$M:$M,0))&amp;"",""))))),1,0))</f>
        <v/>
      </c>
      <c r="Q3377" s="6" t="str">
        <f>IF($K3377="","",IF(ISNUMBER(SEARCH("transfert-interne",IFERROR(INDEX('Paramètres'!$N:$N,MATCH($D3377,'Paramètres'!$M:$M,0))&amp;"",""))),0,IF($L3377="Débit",$K3377,IF($P3377=1,-$K3377,0))))</f>
        <v/>
      </c>
      <c r="R3377" s="6" t="str">
        <f>IF($K3377="","",IF($L3377="Crédit",$K3377,-$K3377))</f>
        <v/>
      </c>
      <c r="S3377" s="6" t="str">
        <f>IF($C3377="","",IFERROR(INDEX('Paramètres'!$H:$H,MATCH($C3377,'Paramètres'!$D:$D,0))&amp;"",""))</f>
        <v/>
      </c>
      <c r="T3377" s="6" t="str">
        <f>IF($K3377="","",IF($S3377="",0,IF(ISNUMBER(SEARCH("apport-exterieur",IFERROR(INDEX('Paramètres'!$N:$N,MATCH($D3377,'Paramètres'!$M:$M,0))&amp;"",""))),0,IF(OR(IFERROR(INDEX('Paramètres'!$I:$I,MATCH($C3377,'Paramètres'!$D:$D,0))&amp;"","")="Les deux",IFERROR(INDEX('Paramètres'!$I:$I,MATCH($C3377,'Paramètres'!$D:$D,0))&amp;"","")=IF($P3377=1,"Débit",$L3377)),-IF($P3377=1,-$K3377,$K3377),0))))</f>
        <v/>
      </c>
      <c r="U3377" s="6" t="str">
        <f>IF($K3377="","",IF(ISNUMBER(SEARCH("sortie-epargne",IFERROR(INDEX('Paramètres'!$N:$N,MATCH($D3377,'Paramètres'!$M:$M,0))&amp;"",""))),$K3377,0))</f>
        <v/>
      </c>
      <c r="V3377" s="6" t="str">
        <f>IF(AND($A3377&lt;&gt;"",$O3377=1,$L3377="Débit",N($Q3377)&gt;0,$A3377&gt;=Visualisation!$B$1,$A3377&lt;Visualisation!$D$1),MAX($V$1:V3376)+1,"")</f>
        <v/>
      </c>
    </row>
    <row r="3378" spans="1:22" x14ac:dyDescent="0.25">
      <c r="A3378" s="9"/>
      <c r="E3378" s="10"/>
      <c r="K3378" s="11" t="str">
        <f>IF($E3378="","",ROUND($E3378*IF(ISNA(MATCH($C3378,'Paramètres'!$D:$D,0)),1,IF(INDEX('Paramètres'!$J:$J,MATCH($C3378,'Paramètres'!$D:$D,0))="",1,INDEX('Paramètres'!$J:$J,MATCH($C3378,'Paramètres'!$D:$D,0)))),2))</f>
        <v/>
      </c>
      <c r="L3378" s="6" t="str">
        <f>IF($D3378="","",IF($F3378&lt;&gt;"",$F3378,IF(ISNA(MATCH($D3378,'Paramètres'!$M:$M,0)),"⚠ Type inconnu",IFERROR(INDEX('Paramètres'!$P:$P,MATCH($D3378,'Paramètres'!$M:$M,0))&amp;"",""))))</f>
        <v/>
      </c>
      <c r="M3378" s="6" t="str">
        <f>IF($D3378="","",IF(ISNA(MATCH($D3378,'Paramètres'!$M:$M,0)),"⚠ Type inconnu",IF($L3378="Crédit","",IFERROR(INDEX('Paramètres'!$O:$O,MATCH($D3378,'Paramètres'!$M:$M,0))&amp;"",""))))</f>
        <v/>
      </c>
      <c r="N3378" s="6" t="str">
        <f>IF($D3378="","",IFERROR(INDEX('Paramètres'!$Q:$Q,MATCH($D3378,'Paramètres'!$M:$M,0))&amp;"",""))</f>
        <v/>
      </c>
      <c r="O3378" s="6" t="str">
        <f>IF($A3378="","",IF(OR($J3378&lt;&gt;"x",$A3378&lt;=FinReleve),1,0))</f>
        <v/>
      </c>
      <c r="P3378" s="6" t="str">
        <f>IF($D3378="","",IF(AND($L3378="Crédit",OR(IFERROR(INDEX('Paramètres'!$O:$O,MATCH($D3378,'Paramètres'!$M:$M,0))&amp;"","")&lt;&gt;"",ISNUMBER(SEARCH("remboursement",IFERROR(INDEX('Paramètres'!$N:$N,MATCH($D3378,'Paramètres'!$M:$M,0))&amp;"",""))))),1,0))</f>
        <v/>
      </c>
      <c r="Q3378" s="6" t="str">
        <f>IF($K3378="","",IF(ISNUMBER(SEARCH("transfert-interne",IFERROR(INDEX('Paramètres'!$N:$N,MATCH($D3378,'Paramètres'!$M:$M,0))&amp;"",""))),0,IF($L3378="Débit",$K3378,IF($P3378=1,-$K3378,0))))</f>
        <v/>
      </c>
      <c r="R3378" s="6" t="str">
        <f>IF($K3378="","",IF($L3378="Crédit",$K3378,-$K3378))</f>
        <v/>
      </c>
      <c r="S3378" s="6" t="str">
        <f>IF($C3378="","",IFERROR(INDEX('Paramètres'!$H:$H,MATCH($C3378,'Paramètres'!$D:$D,0))&amp;"",""))</f>
        <v/>
      </c>
      <c r="T3378" s="6" t="str">
        <f>IF($K3378="","",IF($S3378="",0,IF(ISNUMBER(SEARCH("apport-exterieur",IFERROR(INDEX('Paramètres'!$N:$N,MATCH($D3378,'Paramètres'!$M:$M,0))&amp;"",""))),0,IF(OR(IFERROR(INDEX('Paramètres'!$I:$I,MATCH($C3378,'Paramètres'!$D:$D,0))&amp;"","")="Les deux",IFERROR(INDEX('Paramètres'!$I:$I,MATCH($C3378,'Paramètres'!$D:$D,0))&amp;"","")=IF($P3378=1,"Débit",$L3378)),-IF($P3378=1,-$K3378,$K3378),0))))</f>
        <v/>
      </c>
      <c r="U3378" s="6" t="str">
        <f>IF($K3378="","",IF(ISNUMBER(SEARCH("sortie-epargne",IFERROR(INDEX('Paramètres'!$N:$N,MATCH($D3378,'Paramètres'!$M:$M,0))&amp;"",""))),$K3378,0))</f>
        <v/>
      </c>
      <c r="V3378" s="6" t="str">
        <f>IF(AND($A3378&lt;&gt;"",$O3378=1,$L3378="Débit",N($Q3378)&gt;0,$A3378&gt;=Visualisation!$B$1,$A3378&lt;Visualisation!$D$1),MAX($V$1:V3377)+1,"")</f>
        <v/>
      </c>
    </row>
    <row r="3379" spans="1:22" x14ac:dyDescent="0.25">
      <c r="A3379" s="9"/>
      <c r="E3379" s="10"/>
      <c r="K3379" s="11" t="str">
        <f>IF($E3379="","",ROUND($E3379*IF(ISNA(MATCH($C3379,'Paramètres'!$D:$D,0)),1,IF(INDEX('Paramètres'!$J:$J,MATCH($C3379,'Paramètres'!$D:$D,0))="",1,INDEX('Paramètres'!$J:$J,MATCH($C3379,'Paramètres'!$D:$D,0)))),2))</f>
        <v/>
      </c>
      <c r="L3379" s="6" t="str">
        <f>IF($D3379="","",IF($F3379&lt;&gt;"",$F3379,IF(ISNA(MATCH($D3379,'Paramètres'!$M:$M,0)),"⚠ Type inconnu",IFERROR(INDEX('Paramètres'!$P:$P,MATCH($D3379,'Paramètres'!$M:$M,0))&amp;"",""))))</f>
        <v/>
      </c>
      <c r="M3379" s="6" t="str">
        <f>IF($D3379="","",IF(ISNA(MATCH($D3379,'Paramètres'!$M:$M,0)),"⚠ Type inconnu",IF($L3379="Crédit","",IFERROR(INDEX('Paramètres'!$O:$O,MATCH($D3379,'Paramètres'!$M:$M,0))&amp;"",""))))</f>
        <v/>
      </c>
      <c r="N3379" s="6" t="str">
        <f>IF($D3379="","",IFERROR(INDEX('Paramètres'!$Q:$Q,MATCH($D3379,'Paramètres'!$M:$M,0))&amp;"",""))</f>
        <v/>
      </c>
      <c r="O3379" s="6" t="str">
        <f>IF($A3379="","",IF(OR($J3379&lt;&gt;"x",$A3379&lt;=FinReleve),1,0))</f>
        <v/>
      </c>
      <c r="P3379" s="6" t="str">
        <f>IF($D3379="","",IF(AND($L3379="Crédit",OR(IFERROR(INDEX('Paramètres'!$O:$O,MATCH($D3379,'Paramètres'!$M:$M,0))&amp;"","")&lt;&gt;"",ISNUMBER(SEARCH("remboursement",IFERROR(INDEX('Paramètres'!$N:$N,MATCH($D3379,'Paramètres'!$M:$M,0))&amp;"",""))))),1,0))</f>
        <v/>
      </c>
      <c r="Q3379" s="6" t="str">
        <f>IF($K3379="","",IF(ISNUMBER(SEARCH("transfert-interne",IFERROR(INDEX('Paramètres'!$N:$N,MATCH($D3379,'Paramètres'!$M:$M,0))&amp;"",""))),0,IF($L3379="Débit",$K3379,IF($P3379=1,-$K3379,0))))</f>
        <v/>
      </c>
      <c r="R3379" s="6" t="str">
        <f>IF($K3379="","",IF($L3379="Crédit",$K3379,-$K3379))</f>
        <v/>
      </c>
      <c r="S3379" s="6" t="str">
        <f>IF($C3379="","",IFERROR(INDEX('Paramètres'!$H:$H,MATCH($C3379,'Paramètres'!$D:$D,0))&amp;"",""))</f>
        <v/>
      </c>
      <c r="T3379" s="6" t="str">
        <f>IF($K3379="","",IF($S3379="",0,IF(ISNUMBER(SEARCH("apport-exterieur",IFERROR(INDEX('Paramètres'!$N:$N,MATCH($D3379,'Paramètres'!$M:$M,0))&amp;"",""))),0,IF(OR(IFERROR(INDEX('Paramètres'!$I:$I,MATCH($C3379,'Paramètres'!$D:$D,0))&amp;"","")="Les deux",IFERROR(INDEX('Paramètres'!$I:$I,MATCH($C3379,'Paramètres'!$D:$D,0))&amp;"","")=IF($P3379=1,"Débit",$L3379)),-IF($P3379=1,-$K3379,$K3379),0))))</f>
        <v/>
      </c>
      <c r="U3379" s="6" t="str">
        <f>IF($K3379="","",IF(ISNUMBER(SEARCH("sortie-epargne",IFERROR(INDEX('Paramètres'!$N:$N,MATCH($D3379,'Paramètres'!$M:$M,0))&amp;"",""))),$K3379,0))</f>
        <v/>
      </c>
      <c r="V3379" s="6" t="str">
        <f>IF(AND($A3379&lt;&gt;"",$O3379=1,$L3379="Débit",N($Q3379)&gt;0,$A3379&gt;=Visualisation!$B$1,$A3379&lt;Visualisation!$D$1),MAX($V$1:V3378)+1,"")</f>
        <v/>
      </c>
    </row>
    <row r="3380" spans="1:22" x14ac:dyDescent="0.25">
      <c r="A3380" s="9"/>
      <c r="E3380" s="10"/>
      <c r="K3380" s="11" t="str">
        <f>IF($E3380="","",ROUND($E3380*IF(ISNA(MATCH($C3380,'Paramètres'!$D:$D,0)),1,IF(INDEX('Paramètres'!$J:$J,MATCH($C3380,'Paramètres'!$D:$D,0))="",1,INDEX('Paramètres'!$J:$J,MATCH($C3380,'Paramètres'!$D:$D,0)))),2))</f>
        <v/>
      </c>
      <c r="L3380" s="6" t="str">
        <f>IF($D3380="","",IF($F3380&lt;&gt;"",$F3380,IF(ISNA(MATCH($D3380,'Paramètres'!$M:$M,0)),"⚠ Type inconnu",IFERROR(INDEX('Paramètres'!$P:$P,MATCH($D3380,'Paramètres'!$M:$M,0))&amp;"",""))))</f>
        <v/>
      </c>
      <c r="M3380" s="6" t="str">
        <f>IF($D3380="","",IF(ISNA(MATCH($D3380,'Paramètres'!$M:$M,0)),"⚠ Type inconnu",IF($L3380="Crédit","",IFERROR(INDEX('Paramètres'!$O:$O,MATCH($D3380,'Paramètres'!$M:$M,0))&amp;"",""))))</f>
        <v/>
      </c>
      <c r="N3380" s="6" t="str">
        <f>IF($D3380="","",IFERROR(INDEX('Paramètres'!$Q:$Q,MATCH($D3380,'Paramètres'!$M:$M,0))&amp;"",""))</f>
        <v/>
      </c>
      <c r="O3380" s="6" t="str">
        <f>IF($A3380="","",IF(OR($J3380&lt;&gt;"x",$A3380&lt;=FinReleve),1,0))</f>
        <v/>
      </c>
      <c r="P3380" s="6" t="str">
        <f>IF($D3380="","",IF(AND($L3380="Crédit",OR(IFERROR(INDEX('Paramètres'!$O:$O,MATCH($D3380,'Paramètres'!$M:$M,0))&amp;"","")&lt;&gt;"",ISNUMBER(SEARCH("remboursement",IFERROR(INDEX('Paramètres'!$N:$N,MATCH($D3380,'Paramètres'!$M:$M,0))&amp;"",""))))),1,0))</f>
        <v/>
      </c>
      <c r="Q3380" s="6" t="str">
        <f>IF($K3380="","",IF(ISNUMBER(SEARCH("transfert-interne",IFERROR(INDEX('Paramètres'!$N:$N,MATCH($D3380,'Paramètres'!$M:$M,0))&amp;"",""))),0,IF($L3380="Débit",$K3380,IF($P3380=1,-$K3380,0))))</f>
        <v/>
      </c>
      <c r="R3380" s="6" t="str">
        <f>IF($K3380="","",IF($L3380="Crédit",$K3380,-$K3380))</f>
        <v/>
      </c>
      <c r="S3380" s="6" t="str">
        <f>IF($C3380="","",IFERROR(INDEX('Paramètres'!$H:$H,MATCH($C3380,'Paramètres'!$D:$D,0))&amp;"",""))</f>
        <v/>
      </c>
      <c r="T3380" s="6" t="str">
        <f>IF($K3380="","",IF($S3380="",0,IF(ISNUMBER(SEARCH("apport-exterieur",IFERROR(INDEX('Paramètres'!$N:$N,MATCH($D3380,'Paramètres'!$M:$M,0))&amp;"",""))),0,IF(OR(IFERROR(INDEX('Paramètres'!$I:$I,MATCH($C3380,'Paramètres'!$D:$D,0))&amp;"","")="Les deux",IFERROR(INDEX('Paramètres'!$I:$I,MATCH($C3380,'Paramètres'!$D:$D,0))&amp;"","")=IF($P3380=1,"Débit",$L3380)),-IF($P3380=1,-$K3380,$K3380),0))))</f>
        <v/>
      </c>
      <c r="U3380" s="6" t="str">
        <f>IF($K3380="","",IF(ISNUMBER(SEARCH("sortie-epargne",IFERROR(INDEX('Paramètres'!$N:$N,MATCH($D3380,'Paramètres'!$M:$M,0))&amp;"",""))),$K3380,0))</f>
        <v/>
      </c>
      <c r="V3380" s="6" t="str">
        <f>IF(AND($A3380&lt;&gt;"",$O3380=1,$L3380="Débit",N($Q3380)&gt;0,$A3380&gt;=Visualisation!$B$1,$A3380&lt;Visualisation!$D$1),MAX($V$1:V3379)+1,"")</f>
        <v/>
      </c>
    </row>
    <row r="3381" spans="1:22" x14ac:dyDescent="0.25">
      <c r="A3381" s="9"/>
      <c r="E3381" s="10"/>
      <c r="K3381" s="11" t="str">
        <f>IF($E3381="","",ROUND($E3381*IF(ISNA(MATCH($C3381,'Paramètres'!$D:$D,0)),1,IF(INDEX('Paramètres'!$J:$J,MATCH($C3381,'Paramètres'!$D:$D,0))="",1,INDEX('Paramètres'!$J:$J,MATCH($C3381,'Paramètres'!$D:$D,0)))),2))</f>
        <v/>
      </c>
      <c r="L3381" s="6" t="str">
        <f>IF($D3381="","",IF($F3381&lt;&gt;"",$F3381,IF(ISNA(MATCH($D3381,'Paramètres'!$M:$M,0)),"⚠ Type inconnu",IFERROR(INDEX('Paramètres'!$P:$P,MATCH($D3381,'Paramètres'!$M:$M,0))&amp;"",""))))</f>
        <v/>
      </c>
      <c r="M3381" s="6" t="str">
        <f>IF($D3381="","",IF(ISNA(MATCH($D3381,'Paramètres'!$M:$M,0)),"⚠ Type inconnu",IF($L3381="Crédit","",IFERROR(INDEX('Paramètres'!$O:$O,MATCH($D3381,'Paramètres'!$M:$M,0))&amp;"",""))))</f>
        <v/>
      </c>
      <c r="N3381" s="6" t="str">
        <f>IF($D3381="","",IFERROR(INDEX('Paramètres'!$Q:$Q,MATCH($D3381,'Paramètres'!$M:$M,0))&amp;"",""))</f>
        <v/>
      </c>
      <c r="O3381" s="6" t="str">
        <f>IF($A3381="","",IF(OR($J3381&lt;&gt;"x",$A3381&lt;=FinReleve),1,0))</f>
        <v/>
      </c>
      <c r="P3381" s="6" t="str">
        <f>IF($D3381="","",IF(AND($L3381="Crédit",OR(IFERROR(INDEX('Paramètres'!$O:$O,MATCH($D3381,'Paramètres'!$M:$M,0))&amp;"","")&lt;&gt;"",ISNUMBER(SEARCH("remboursement",IFERROR(INDEX('Paramètres'!$N:$N,MATCH($D3381,'Paramètres'!$M:$M,0))&amp;"",""))))),1,0))</f>
        <v/>
      </c>
      <c r="Q3381" s="6" t="str">
        <f>IF($K3381="","",IF(ISNUMBER(SEARCH("transfert-interne",IFERROR(INDEX('Paramètres'!$N:$N,MATCH($D3381,'Paramètres'!$M:$M,0))&amp;"",""))),0,IF($L3381="Débit",$K3381,IF($P3381=1,-$K3381,0))))</f>
        <v/>
      </c>
      <c r="R3381" s="6" t="str">
        <f>IF($K3381="","",IF($L3381="Crédit",$K3381,-$K3381))</f>
        <v/>
      </c>
      <c r="S3381" s="6" t="str">
        <f>IF($C3381="","",IFERROR(INDEX('Paramètres'!$H:$H,MATCH($C3381,'Paramètres'!$D:$D,0))&amp;"",""))</f>
        <v/>
      </c>
      <c r="T3381" s="6" t="str">
        <f>IF($K3381="","",IF($S3381="",0,IF(ISNUMBER(SEARCH("apport-exterieur",IFERROR(INDEX('Paramètres'!$N:$N,MATCH($D3381,'Paramètres'!$M:$M,0))&amp;"",""))),0,IF(OR(IFERROR(INDEX('Paramètres'!$I:$I,MATCH($C3381,'Paramètres'!$D:$D,0))&amp;"","")="Les deux",IFERROR(INDEX('Paramètres'!$I:$I,MATCH($C3381,'Paramètres'!$D:$D,0))&amp;"","")=IF($P3381=1,"Débit",$L3381)),-IF($P3381=1,-$K3381,$K3381),0))))</f>
        <v/>
      </c>
      <c r="U3381" s="6" t="str">
        <f>IF($K3381="","",IF(ISNUMBER(SEARCH("sortie-epargne",IFERROR(INDEX('Paramètres'!$N:$N,MATCH($D3381,'Paramètres'!$M:$M,0))&amp;"",""))),$K3381,0))</f>
        <v/>
      </c>
      <c r="V3381" s="6" t="str">
        <f>IF(AND($A3381&lt;&gt;"",$O3381=1,$L3381="Débit",N($Q3381)&gt;0,$A3381&gt;=Visualisation!$B$1,$A3381&lt;Visualisation!$D$1),MAX($V$1:V3380)+1,"")</f>
        <v/>
      </c>
    </row>
    <row r="3382" spans="1:22" x14ac:dyDescent="0.25">
      <c r="A3382" s="9"/>
      <c r="E3382" s="10"/>
      <c r="K3382" s="11" t="str">
        <f>IF($E3382="","",ROUND($E3382*IF(ISNA(MATCH($C3382,'Paramètres'!$D:$D,0)),1,IF(INDEX('Paramètres'!$J:$J,MATCH($C3382,'Paramètres'!$D:$D,0))="",1,INDEX('Paramètres'!$J:$J,MATCH($C3382,'Paramètres'!$D:$D,0)))),2))</f>
        <v/>
      </c>
      <c r="L3382" s="6" t="str">
        <f>IF($D3382="","",IF($F3382&lt;&gt;"",$F3382,IF(ISNA(MATCH($D3382,'Paramètres'!$M:$M,0)),"⚠ Type inconnu",IFERROR(INDEX('Paramètres'!$P:$P,MATCH($D3382,'Paramètres'!$M:$M,0))&amp;"",""))))</f>
        <v/>
      </c>
      <c r="M3382" s="6" t="str">
        <f>IF($D3382="","",IF(ISNA(MATCH($D3382,'Paramètres'!$M:$M,0)),"⚠ Type inconnu",IF($L3382="Crédit","",IFERROR(INDEX('Paramètres'!$O:$O,MATCH($D3382,'Paramètres'!$M:$M,0))&amp;"",""))))</f>
        <v/>
      </c>
      <c r="N3382" s="6" t="str">
        <f>IF($D3382="","",IFERROR(INDEX('Paramètres'!$Q:$Q,MATCH($D3382,'Paramètres'!$M:$M,0))&amp;"",""))</f>
        <v/>
      </c>
      <c r="O3382" s="6" t="str">
        <f>IF($A3382="","",IF(OR($J3382&lt;&gt;"x",$A3382&lt;=FinReleve),1,0))</f>
        <v/>
      </c>
      <c r="P3382" s="6" t="str">
        <f>IF($D3382="","",IF(AND($L3382="Crédit",OR(IFERROR(INDEX('Paramètres'!$O:$O,MATCH($D3382,'Paramètres'!$M:$M,0))&amp;"","")&lt;&gt;"",ISNUMBER(SEARCH("remboursement",IFERROR(INDEX('Paramètres'!$N:$N,MATCH($D3382,'Paramètres'!$M:$M,0))&amp;"",""))))),1,0))</f>
        <v/>
      </c>
      <c r="Q3382" s="6" t="str">
        <f>IF($K3382="","",IF(ISNUMBER(SEARCH("transfert-interne",IFERROR(INDEX('Paramètres'!$N:$N,MATCH($D3382,'Paramètres'!$M:$M,0))&amp;"",""))),0,IF($L3382="Débit",$K3382,IF($P3382=1,-$K3382,0))))</f>
        <v/>
      </c>
      <c r="R3382" s="6" t="str">
        <f>IF($K3382="","",IF($L3382="Crédit",$K3382,-$K3382))</f>
        <v/>
      </c>
      <c r="S3382" s="6" t="str">
        <f>IF($C3382="","",IFERROR(INDEX('Paramètres'!$H:$H,MATCH($C3382,'Paramètres'!$D:$D,0))&amp;"",""))</f>
        <v/>
      </c>
      <c r="T3382" s="6" t="str">
        <f>IF($K3382="","",IF($S3382="",0,IF(ISNUMBER(SEARCH("apport-exterieur",IFERROR(INDEX('Paramètres'!$N:$N,MATCH($D3382,'Paramètres'!$M:$M,0))&amp;"",""))),0,IF(OR(IFERROR(INDEX('Paramètres'!$I:$I,MATCH($C3382,'Paramètres'!$D:$D,0))&amp;"","")="Les deux",IFERROR(INDEX('Paramètres'!$I:$I,MATCH($C3382,'Paramètres'!$D:$D,0))&amp;"","")=IF($P3382=1,"Débit",$L3382)),-IF($P3382=1,-$K3382,$K3382),0))))</f>
        <v/>
      </c>
      <c r="U3382" s="6" t="str">
        <f>IF($K3382="","",IF(ISNUMBER(SEARCH("sortie-epargne",IFERROR(INDEX('Paramètres'!$N:$N,MATCH($D3382,'Paramètres'!$M:$M,0))&amp;"",""))),$K3382,0))</f>
        <v/>
      </c>
      <c r="V3382" s="6" t="str">
        <f>IF(AND($A3382&lt;&gt;"",$O3382=1,$L3382="Débit",N($Q3382)&gt;0,$A3382&gt;=Visualisation!$B$1,$A3382&lt;Visualisation!$D$1),MAX($V$1:V3381)+1,"")</f>
        <v/>
      </c>
    </row>
    <row r="3383" spans="1:22" x14ac:dyDescent="0.25">
      <c r="A3383" s="9"/>
      <c r="E3383" s="10"/>
      <c r="K3383" s="11" t="str">
        <f>IF($E3383="","",ROUND($E3383*IF(ISNA(MATCH($C3383,'Paramètres'!$D:$D,0)),1,IF(INDEX('Paramètres'!$J:$J,MATCH($C3383,'Paramètres'!$D:$D,0))="",1,INDEX('Paramètres'!$J:$J,MATCH($C3383,'Paramètres'!$D:$D,0)))),2))</f>
        <v/>
      </c>
      <c r="L3383" s="6" t="str">
        <f>IF($D3383="","",IF($F3383&lt;&gt;"",$F3383,IF(ISNA(MATCH($D3383,'Paramètres'!$M:$M,0)),"⚠ Type inconnu",IFERROR(INDEX('Paramètres'!$P:$P,MATCH($D3383,'Paramètres'!$M:$M,0))&amp;"",""))))</f>
        <v/>
      </c>
      <c r="M3383" s="6" t="str">
        <f>IF($D3383="","",IF(ISNA(MATCH($D3383,'Paramètres'!$M:$M,0)),"⚠ Type inconnu",IF($L3383="Crédit","",IFERROR(INDEX('Paramètres'!$O:$O,MATCH($D3383,'Paramètres'!$M:$M,0))&amp;"",""))))</f>
        <v/>
      </c>
      <c r="N3383" s="6" t="str">
        <f>IF($D3383="","",IFERROR(INDEX('Paramètres'!$Q:$Q,MATCH($D3383,'Paramètres'!$M:$M,0))&amp;"",""))</f>
        <v/>
      </c>
      <c r="O3383" s="6" t="str">
        <f>IF($A3383="","",IF(OR($J3383&lt;&gt;"x",$A3383&lt;=FinReleve),1,0))</f>
        <v/>
      </c>
      <c r="P3383" s="6" t="str">
        <f>IF($D3383="","",IF(AND($L3383="Crédit",OR(IFERROR(INDEX('Paramètres'!$O:$O,MATCH($D3383,'Paramètres'!$M:$M,0))&amp;"","")&lt;&gt;"",ISNUMBER(SEARCH("remboursement",IFERROR(INDEX('Paramètres'!$N:$N,MATCH($D3383,'Paramètres'!$M:$M,0))&amp;"",""))))),1,0))</f>
        <v/>
      </c>
      <c r="Q3383" s="6" t="str">
        <f>IF($K3383="","",IF(ISNUMBER(SEARCH("transfert-interne",IFERROR(INDEX('Paramètres'!$N:$N,MATCH($D3383,'Paramètres'!$M:$M,0))&amp;"",""))),0,IF($L3383="Débit",$K3383,IF($P3383=1,-$K3383,0))))</f>
        <v/>
      </c>
      <c r="R3383" s="6" t="str">
        <f>IF($K3383="","",IF($L3383="Crédit",$K3383,-$K3383))</f>
        <v/>
      </c>
      <c r="S3383" s="6" t="str">
        <f>IF($C3383="","",IFERROR(INDEX('Paramètres'!$H:$H,MATCH($C3383,'Paramètres'!$D:$D,0))&amp;"",""))</f>
        <v/>
      </c>
      <c r="T3383" s="6" t="str">
        <f>IF($K3383="","",IF($S3383="",0,IF(ISNUMBER(SEARCH("apport-exterieur",IFERROR(INDEX('Paramètres'!$N:$N,MATCH($D3383,'Paramètres'!$M:$M,0))&amp;"",""))),0,IF(OR(IFERROR(INDEX('Paramètres'!$I:$I,MATCH($C3383,'Paramètres'!$D:$D,0))&amp;"","")="Les deux",IFERROR(INDEX('Paramètres'!$I:$I,MATCH($C3383,'Paramètres'!$D:$D,0))&amp;"","")=IF($P3383=1,"Débit",$L3383)),-IF($P3383=1,-$K3383,$K3383),0))))</f>
        <v/>
      </c>
      <c r="U3383" s="6" t="str">
        <f>IF($K3383="","",IF(ISNUMBER(SEARCH("sortie-epargne",IFERROR(INDEX('Paramètres'!$N:$N,MATCH($D3383,'Paramètres'!$M:$M,0))&amp;"",""))),$K3383,0))</f>
        <v/>
      </c>
      <c r="V3383" s="6" t="str">
        <f>IF(AND($A3383&lt;&gt;"",$O3383=1,$L3383="Débit",N($Q3383)&gt;0,$A3383&gt;=Visualisation!$B$1,$A3383&lt;Visualisation!$D$1),MAX($V$1:V3382)+1,"")</f>
        <v/>
      </c>
    </row>
    <row r="3384" spans="1:22" x14ac:dyDescent="0.25">
      <c r="A3384" s="9"/>
      <c r="E3384" s="10"/>
      <c r="K3384" s="11" t="str">
        <f>IF($E3384="","",ROUND($E3384*IF(ISNA(MATCH($C3384,'Paramètres'!$D:$D,0)),1,IF(INDEX('Paramètres'!$J:$J,MATCH($C3384,'Paramètres'!$D:$D,0))="",1,INDEX('Paramètres'!$J:$J,MATCH($C3384,'Paramètres'!$D:$D,0)))),2))</f>
        <v/>
      </c>
      <c r="L3384" s="6" t="str">
        <f>IF($D3384="","",IF($F3384&lt;&gt;"",$F3384,IF(ISNA(MATCH($D3384,'Paramètres'!$M:$M,0)),"⚠ Type inconnu",IFERROR(INDEX('Paramètres'!$P:$P,MATCH($D3384,'Paramètres'!$M:$M,0))&amp;"",""))))</f>
        <v/>
      </c>
      <c r="M3384" s="6" t="str">
        <f>IF($D3384="","",IF(ISNA(MATCH($D3384,'Paramètres'!$M:$M,0)),"⚠ Type inconnu",IF($L3384="Crédit","",IFERROR(INDEX('Paramètres'!$O:$O,MATCH($D3384,'Paramètres'!$M:$M,0))&amp;"",""))))</f>
        <v/>
      </c>
      <c r="N3384" s="6" t="str">
        <f>IF($D3384="","",IFERROR(INDEX('Paramètres'!$Q:$Q,MATCH($D3384,'Paramètres'!$M:$M,0))&amp;"",""))</f>
        <v/>
      </c>
      <c r="O3384" s="6" t="str">
        <f>IF($A3384="","",IF(OR($J3384&lt;&gt;"x",$A3384&lt;=FinReleve),1,0))</f>
        <v/>
      </c>
      <c r="P3384" s="6" t="str">
        <f>IF($D3384="","",IF(AND($L3384="Crédit",OR(IFERROR(INDEX('Paramètres'!$O:$O,MATCH($D3384,'Paramètres'!$M:$M,0))&amp;"","")&lt;&gt;"",ISNUMBER(SEARCH("remboursement",IFERROR(INDEX('Paramètres'!$N:$N,MATCH($D3384,'Paramètres'!$M:$M,0))&amp;"",""))))),1,0))</f>
        <v/>
      </c>
      <c r="Q3384" s="6" t="str">
        <f>IF($K3384="","",IF(ISNUMBER(SEARCH("transfert-interne",IFERROR(INDEX('Paramètres'!$N:$N,MATCH($D3384,'Paramètres'!$M:$M,0))&amp;"",""))),0,IF($L3384="Débit",$K3384,IF($P3384=1,-$K3384,0))))</f>
        <v/>
      </c>
      <c r="R3384" s="6" t="str">
        <f>IF($K3384="","",IF($L3384="Crédit",$K3384,-$K3384))</f>
        <v/>
      </c>
      <c r="S3384" s="6" t="str">
        <f>IF($C3384="","",IFERROR(INDEX('Paramètres'!$H:$H,MATCH($C3384,'Paramètres'!$D:$D,0))&amp;"",""))</f>
        <v/>
      </c>
      <c r="T3384" s="6" t="str">
        <f>IF($K3384="","",IF($S3384="",0,IF(ISNUMBER(SEARCH("apport-exterieur",IFERROR(INDEX('Paramètres'!$N:$N,MATCH($D3384,'Paramètres'!$M:$M,0))&amp;"",""))),0,IF(OR(IFERROR(INDEX('Paramètres'!$I:$I,MATCH($C3384,'Paramètres'!$D:$D,0))&amp;"","")="Les deux",IFERROR(INDEX('Paramètres'!$I:$I,MATCH($C3384,'Paramètres'!$D:$D,0))&amp;"","")=IF($P3384=1,"Débit",$L3384)),-IF($P3384=1,-$K3384,$K3384),0))))</f>
        <v/>
      </c>
      <c r="U3384" s="6" t="str">
        <f>IF($K3384="","",IF(ISNUMBER(SEARCH("sortie-epargne",IFERROR(INDEX('Paramètres'!$N:$N,MATCH($D3384,'Paramètres'!$M:$M,0))&amp;"",""))),$K3384,0))</f>
        <v/>
      </c>
      <c r="V3384" s="6" t="str">
        <f>IF(AND($A3384&lt;&gt;"",$O3384=1,$L3384="Débit",N($Q3384)&gt;0,$A3384&gt;=Visualisation!$B$1,$A3384&lt;Visualisation!$D$1),MAX($V$1:V3383)+1,"")</f>
        <v/>
      </c>
    </row>
    <row r="3385" spans="1:22" x14ac:dyDescent="0.25">
      <c r="A3385" s="9"/>
      <c r="E3385" s="10"/>
      <c r="K3385" s="11" t="str">
        <f>IF($E3385="","",ROUND($E3385*IF(ISNA(MATCH($C3385,'Paramètres'!$D:$D,0)),1,IF(INDEX('Paramètres'!$J:$J,MATCH($C3385,'Paramètres'!$D:$D,0))="",1,INDEX('Paramètres'!$J:$J,MATCH($C3385,'Paramètres'!$D:$D,0)))),2))</f>
        <v/>
      </c>
      <c r="L3385" s="6" t="str">
        <f>IF($D3385="","",IF($F3385&lt;&gt;"",$F3385,IF(ISNA(MATCH($D3385,'Paramètres'!$M:$M,0)),"⚠ Type inconnu",IFERROR(INDEX('Paramètres'!$P:$P,MATCH($D3385,'Paramètres'!$M:$M,0))&amp;"",""))))</f>
        <v/>
      </c>
      <c r="M3385" s="6" t="str">
        <f>IF($D3385="","",IF(ISNA(MATCH($D3385,'Paramètres'!$M:$M,0)),"⚠ Type inconnu",IF($L3385="Crédit","",IFERROR(INDEX('Paramètres'!$O:$O,MATCH($D3385,'Paramètres'!$M:$M,0))&amp;"",""))))</f>
        <v/>
      </c>
      <c r="N3385" s="6" t="str">
        <f>IF($D3385="","",IFERROR(INDEX('Paramètres'!$Q:$Q,MATCH($D3385,'Paramètres'!$M:$M,0))&amp;"",""))</f>
        <v/>
      </c>
      <c r="O3385" s="6" t="str">
        <f>IF($A3385="","",IF(OR($J3385&lt;&gt;"x",$A3385&lt;=FinReleve),1,0))</f>
        <v/>
      </c>
      <c r="P3385" s="6" t="str">
        <f>IF($D3385="","",IF(AND($L3385="Crédit",OR(IFERROR(INDEX('Paramètres'!$O:$O,MATCH($D3385,'Paramètres'!$M:$M,0))&amp;"","")&lt;&gt;"",ISNUMBER(SEARCH("remboursement",IFERROR(INDEX('Paramètres'!$N:$N,MATCH($D3385,'Paramètres'!$M:$M,0))&amp;"",""))))),1,0))</f>
        <v/>
      </c>
      <c r="Q3385" s="6" t="str">
        <f>IF($K3385="","",IF(ISNUMBER(SEARCH("transfert-interne",IFERROR(INDEX('Paramètres'!$N:$N,MATCH($D3385,'Paramètres'!$M:$M,0))&amp;"",""))),0,IF($L3385="Débit",$K3385,IF($P3385=1,-$K3385,0))))</f>
        <v/>
      </c>
      <c r="R3385" s="6" t="str">
        <f>IF($K3385="","",IF($L3385="Crédit",$K3385,-$K3385))</f>
        <v/>
      </c>
      <c r="S3385" s="6" t="str">
        <f>IF($C3385="","",IFERROR(INDEX('Paramètres'!$H:$H,MATCH($C3385,'Paramètres'!$D:$D,0))&amp;"",""))</f>
        <v/>
      </c>
      <c r="T3385" s="6" t="str">
        <f>IF($K3385="","",IF($S3385="",0,IF(ISNUMBER(SEARCH("apport-exterieur",IFERROR(INDEX('Paramètres'!$N:$N,MATCH($D3385,'Paramètres'!$M:$M,0))&amp;"",""))),0,IF(OR(IFERROR(INDEX('Paramètres'!$I:$I,MATCH($C3385,'Paramètres'!$D:$D,0))&amp;"","")="Les deux",IFERROR(INDEX('Paramètres'!$I:$I,MATCH($C3385,'Paramètres'!$D:$D,0))&amp;"","")=IF($P3385=1,"Débit",$L3385)),-IF($P3385=1,-$K3385,$K3385),0))))</f>
        <v/>
      </c>
      <c r="U3385" s="6" t="str">
        <f>IF($K3385="","",IF(ISNUMBER(SEARCH("sortie-epargne",IFERROR(INDEX('Paramètres'!$N:$N,MATCH($D3385,'Paramètres'!$M:$M,0))&amp;"",""))),$K3385,0))</f>
        <v/>
      </c>
      <c r="V3385" s="6" t="str">
        <f>IF(AND($A3385&lt;&gt;"",$O3385=1,$L3385="Débit",N($Q3385)&gt;0,$A3385&gt;=Visualisation!$B$1,$A3385&lt;Visualisation!$D$1),MAX($V$1:V3384)+1,"")</f>
        <v/>
      </c>
    </row>
    <row r="3386" spans="1:22" x14ac:dyDescent="0.25">
      <c r="A3386" s="9"/>
      <c r="E3386" s="10"/>
      <c r="K3386" s="11" t="str">
        <f>IF($E3386="","",ROUND($E3386*IF(ISNA(MATCH($C3386,'Paramètres'!$D:$D,0)),1,IF(INDEX('Paramètres'!$J:$J,MATCH($C3386,'Paramètres'!$D:$D,0))="",1,INDEX('Paramètres'!$J:$J,MATCH($C3386,'Paramètres'!$D:$D,0)))),2))</f>
        <v/>
      </c>
      <c r="L3386" s="6" t="str">
        <f>IF($D3386="","",IF($F3386&lt;&gt;"",$F3386,IF(ISNA(MATCH($D3386,'Paramètres'!$M:$M,0)),"⚠ Type inconnu",IFERROR(INDEX('Paramètres'!$P:$P,MATCH($D3386,'Paramètres'!$M:$M,0))&amp;"",""))))</f>
        <v/>
      </c>
      <c r="M3386" s="6" t="str">
        <f>IF($D3386="","",IF(ISNA(MATCH($D3386,'Paramètres'!$M:$M,0)),"⚠ Type inconnu",IF($L3386="Crédit","",IFERROR(INDEX('Paramètres'!$O:$O,MATCH($D3386,'Paramètres'!$M:$M,0))&amp;"",""))))</f>
        <v/>
      </c>
      <c r="N3386" s="6" t="str">
        <f>IF($D3386="","",IFERROR(INDEX('Paramètres'!$Q:$Q,MATCH($D3386,'Paramètres'!$M:$M,0))&amp;"",""))</f>
        <v/>
      </c>
      <c r="O3386" s="6" t="str">
        <f>IF($A3386="","",IF(OR($J3386&lt;&gt;"x",$A3386&lt;=FinReleve),1,0))</f>
        <v/>
      </c>
      <c r="P3386" s="6" t="str">
        <f>IF($D3386="","",IF(AND($L3386="Crédit",OR(IFERROR(INDEX('Paramètres'!$O:$O,MATCH($D3386,'Paramètres'!$M:$M,0))&amp;"","")&lt;&gt;"",ISNUMBER(SEARCH("remboursement",IFERROR(INDEX('Paramètres'!$N:$N,MATCH($D3386,'Paramètres'!$M:$M,0))&amp;"",""))))),1,0))</f>
        <v/>
      </c>
      <c r="Q3386" s="6" t="str">
        <f>IF($K3386="","",IF(ISNUMBER(SEARCH("transfert-interne",IFERROR(INDEX('Paramètres'!$N:$N,MATCH($D3386,'Paramètres'!$M:$M,0))&amp;"",""))),0,IF($L3386="Débit",$K3386,IF($P3386=1,-$K3386,0))))</f>
        <v/>
      </c>
      <c r="R3386" s="6" t="str">
        <f>IF($K3386="","",IF($L3386="Crédit",$K3386,-$K3386))</f>
        <v/>
      </c>
      <c r="S3386" s="6" t="str">
        <f>IF($C3386="","",IFERROR(INDEX('Paramètres'!$H:$H,MATCH($C3386,'Paramètres'!$D:$D,0))&amp;"",""))</f>
        <v/>
      </c>
      <c r="T3386" s="6" t="str">
        <f>IF($K3386="","",IF($S3386="",0,IF(ISNUMBER(SEARCH("apport-exterieur",IFERROR(INDEX('Paramètres'!$N:$N,MATCH($D3386,'Paramètres'!$M:$M,0))&amp;"",""))),0,IF(OR(IFERROR(INDEX('Paramètres'!$I:$I,MATCH($C3386,'Paramètres'!$D:$D,0))&amp;"","")="Les deux",IFERROR(INDEX('Paramètres'!$I:$I,MATCH($C3386,'Paramètres'!$D:$D,0))&amp;"","")=IF($P3386=1,"Débit",$L3386)),-IF($P3386=1,-$K3386,$K3386),0))))</f>
        <v/>
      </c>
      <c r="U3386" s="6" t="str">
        <f>IF($K3386="","",IF(ISNUMBER(SEARCH("sortie-epargne",IFERROR(INDEX('Paramètres'!$N:$N,MATCH($D3386,'Paramètres'!$M:$M,0))&amp;"",""))),$K3386,0))</f>
        <v/>
      </c>
      <c r="V3386" s="6" t="str">
        <f>IF(AND($A3386&lt;&gt;"",$O3386=1,$L3386="Débit",N($Q3386)&gt;0,$A3386&gt;=Visualisation!$B$1,$A3386&lt;Visualisation!$D$1),MAX($V$1:V3385)+1,"")</f>
        <v/>
      </c>
    </row>
    <row r="3387" spans="1:22" x14ac:dyDescent="0.25">
      <c r="A3387" s="9"/>
      <c r="E3387" s="10"/>
      <c r="K3387" s="11" t="str">
        <f>IF($E3387="","",ROUND($E3387*IF(ISNA(MATCH($C3387,'Paramètres'!$D:$D,0)),1,IF(INDEX('Paramètres'!$J:$J,MATCH($C3387,'Paramètres'!$D:$D,0))="",1,INDEX('Paramètres'!$J:$J,MATCH($C3387,'Paramètres'!$D:$D,0)))),2))</f>
        <v/>
      </c>
      <c r="L3387" s="6" t="str">
        <f>IF($D3387="","",IF($F3387&lt;&gt;"",$F3387,IF(ISNA(MATCH($D3387,'Paramètres'!$M:$M,0)),"⚠ Type inconnu",IFERROR(INDEX('Paramètres'!$P:$P,MATCH($D3387,'Paramètres'!$M:$M,0))&amp;"",""))))</f>
        <v/>
      </c>
      <c r="M3387" s="6" t="str">
        <f>IF($D3387="","",IF(ISNA(MATCH($D3387,'Paramètres'!$M:$M,0)),"⚠ Type inconnu",IF($L3387="Crédit","",IFERROR(INDEX('Paramètres'!$O:$O,MATCH($D3387,'Paramètres'!$M:$M,0))&amp;"",""))))</f>
        <v/>
      </c>
      <c r="N3387" s="6" t="str">
        <f>IF($D3387="","",IFERROR(INDEX('Paramètres'!$Q:$Q,MATCH($D3387,'Paramètres'!$M:$M,0))&amp;"",""))</f>
        <v/>
      </c>
      <c r="O3387" s="6" t="str">
        <f>IF($A3387="","",IF(OR($J3387&lt;&gt;"x",$A3387&lt;=FinReleve),1,0))</f>
        <v/>
      </c>
      <c r="P3387" s="6" t="str">
        <f>IF($D3387="","",IF(AND($L3387="Crédit",OR(IFERROR(INDEX('Paramètres'!$O:$O,MATCH($D3387,'Paramètres'!$M:$M,0))&amp;"","")&lt;&gt;"",ISNUMBER(SEARCH("remboursement",IFERROR(INDEX('Paramètres'!$N:$N,MATCH($D3387,'Paramètres'!$M:$M,0))&amp;"",""))))),1,0))</f>
        <v/>
      </c>
      <c r="Q3387" s="6" t="str">
        <f>IF($K3387="","",IF(ISNUMBER(SEARCH("transfert-interne",IFERROR(INDEX('Paramètres'!$N:$N,MATCH($D3387,'Paramètres'!$M:$M,0))&amp;"",""))),0,IF($L3387="Débit",$K3387,IF($P3387=1,-$K3387,0))))</f>
        <v/>
      </c>
      <c r="R3387" s="6" t="str">
        <f>IF($K3387="","",IF($L3387="Crédit",$K3387,-$K3387))</f>
        <v/>
      </c>
      <c r="S3387" s="6" t="str">
        <f>IF($C3387="","",IFERROR(INDEX('Paramètres'!$H:$H,MATCH($C3387,'Paramètres'!$D:$D,0))&amp;"",""))</f>
        <v/>
      </c>
      <c r="T3387" s="6" t="str">
        <f>IF($K3387="","",IF($S3387="",0,IF(ISNUMBER(SEARCH("apport-exterieur",IFERROR(INDEX('Paramètres'!$N:$N,MATCH($D3387,'Paramètres'!$M:$M,0))&amp;"",""))),0,IF(OR(IFERROR(INDEX('Paramètres'!$I:$I,MATCH($C3387,'Paramètres'!$D:$D,0))&amp;"","")="Les deux",IFERROR(INDEX('Paramètres'!$I:$I,MATCH($C3387,'Paramètres'!$D:$D,0))&amp;"","")=IF($P3387=1,"Débit",$L3387)),-IF($P3387=1,-$K3387,$K3387),0))))</f>
        <v/>
      </c>
      <c r="U3387" s="6" t="str">
        <f>IF($K3387="","",IF(ISNUMBER(SEARCH("sortie-epargne",IFERROR(INDEX('Paramètres'!$N:$N,MATCH($D3387,'Paramètres'!$M:$M,0))&amp;"",""))),$K3387,0))</f>
        <v/>
      </c>
      <c r="V3387" s="6" t="str">
        <f>IF(AND($A3387&lt;&gt;"",$O3387=1,$L3387="Débit",N($Q3387)&gt;0,$A3387&gt;=Visualisation!$B$1,$A3387&lt;Visualisation!$D$1),MAX($V$1:V3386)+1,"")</f>
        <v/>
      </c>
    </row>
    <row r="3388" spans="1:22" x14ac:dyDescent="0.25">
      <c r="A3388" s="9"/>
      <c r="E3388" s="10"/>
      <c r="K3388" s="11" t="str">
        <f>IF($E3388="","",ROUND($E3388*IF(ISNA(MATCH($C3388,'Paramètres'!$D:$D,0)),1,IF(INDEX('Paramètres'!$J:$J,MATCH($C3388,'Paramètres'!$D:$D,0))="",1,INDEX('Paramètres'!$J:$J,MATCH($C3388,'Paramètres'!$D:$D,0)))),2))</f>
        <v/>
      </c>
      <c r="L3388" s="6" t="str">
        <f>IF($D3388="","",IF($F3388&lt;&gt;"",$F3388,IF(ISNA(MATCH($D3388,'Paramètres'!$M:$M,0)),"⚠ Type inconnu",IFERROR(INDEX('Paramètres'!$P:$P,MATCH($D3388,'Paramètres'!$M:$M,0))&amp;"",""))))</f>
        <v/>
      </c>
      <c r="M3388" s="6" t="str">
        <f>IF($D3388="","",IF(ISNA(MATCH($D3388,'Paramètres'!$M:$M,0)),"⚠ Type inconnu",IF($L3388="Crédit","",IFERROR(INDEX('Paramètres'!$O:$O,MATCH($D3388,'Paramètres'!$M:$M,0))&amp;"",""))))</f>
        <v/>
      </c>
      <c r="N3388" s="6" t="str">
        <f>IF($D3388="","",IFERROR(INDEX('Paramètres'!$Q:$Q,MATCH($D3388,'Paramètres'!$M:$M,0))&amp;"",""))</f>
        <v/>
      </c>
      <c r="O3388" s="6" t="str">
        <f>IF($A3388="","",IF(OR($J3388&lt;&gt;"x",$A3388&lt;=FinReleve),1,0))</f>
        <v/>
      </c>
      <c r="P3388" s="6" t="str">
        <f>IF($D3388="","",IF(AND($L3388="Crédit",OR(IFERROR(INDEX('Paramètres'!$O:$O,MATCH($D3388,'Paramètres'!$M:$M,0))&amp;"","")&lt;&gt;"",ISNUMBER(SEARCH("remboursement",IFERROR(INDEX('Paramètres'!$N:$N,MATCH($D3388,'Paramètres'!$M:$M,0))&amp;"",""))))),1,0))</f>
        <v/>
      </c>
      <c r="Q3388" s="6" t="str">
        <f>IF($K3388="","",IF(ISNUMBER(SEARCH("transfert-interne",IFERROR(INDEX('Paramètres'!$N:$N,MATCH($D3388,'Paramètres'!$M:$M,0))&amp;"",""))),0,IF($L3388="Débit",$K3388,IF($P3388=1,-$K3388,0))))</f>
        <v/>
      </c>
      <c r="R3388" s="6" t="str">
        <f>IF($K3388="","",IF($L3388="Crédit",$K3388,-$K3388))</f>
        <v/>
      </c>
      <c r="S3388" s="6" t="str">
        <f>IF($C3388="","",IFERROR(INDEX('Paramètres'!$H:$H,MATCH($C3388,'Paramètres'!$D:$D,0))&amp;"",""))</f>
        <v/>
      </c>
      <c r="T3388" s="6" t="str">
        <f>IF($K3388="","",IF($S3388="",0,IF(ISNUMBER(SEARCH("apport-exterieur",IFERROR(INDEX('Paramètres'!$N:$N,MATCH($D3388,'Paramètres'!$M:$M,0))&amp;"",""))),0,IF(OR(IFERROR(INDEX('Paramètres'!$I:$I,MATCH($C3388,'Paramètres'!$D:$D,0))&amp;"","")="Les deux",IFERROR(INDEX('Paramètres'!$I:$I,MATCH($C3388,'Paramètres'!$D:$D,0))&amp;"","")=IF($P3388=1,"Débit",$L3388)),-IF($P3388=1,-$K3388,$K3388),0))))</f>
        <v/>
      </c>
      <c r="U3388" s="6" t="str">
        <f>IF($K3388="","",IF(ISNUMBER(SEARCH("sortie-epargne",IFERROR(INDEX('Paramètres'!$N:$N,MATCH($D3388,'Paramètres'!$M:$M,0))&amp;"",""))),$K3388,0))</f>
        <v/>
      </c>
      <c r="V3388" s="6" t="str">
        <f>IF(AND($A3388&lt;&gt;"",$O3388=1,$L3388="Débit",N($Q3388)&gt;0,$A3388&gt;=Visualisation!$B$1,$A3388&lt;Visualisation!$D$1),MAX($V$1:V3387)+1,"")</f>
        <v/>
      </c>
    </row>
    <row r="3389" spans="1:22" x14ac:dyDescent="0.25">
      <c r="A3389" s="9"/>
      <c r="E3389" s="10"/>
      <c r="K3389" s="11" t="str">
        <f>IF($E3389="","",ROUND($E3389*IF(ISNA(MATCH($C3389,'Paramètres'!$D:$D,0)),1,IF(INDEX('Paramètres'!$J:$J,MATCH($C3389,'Paramètres'!$D:$D,0))="",1,INDEX('Paramètres'!$J:$J,MATCH($C3389,'Paramètres'!$D:$D,0)))),2))</f>
        <v/>
      </c>
      <c r="L3389" s="6" t="str">
        <f>IF($D3389="","",IF($F3389&lt;&gt;"",$F3389,IF(ISNA(MATCH($D3389,'Paramètres'!$M:$M,0)),"⚠ Type inconnu",IFERROR(INDEX('Paramètres'!$P:$P,MATCH($D3389,'Paramètres'!$M:$M,0))&amp;"",""))))</f>
        <v/>
      </c>
      <c r="M3389" s="6" t="str">
        <f>IF($D3389="","",IF(ISNA(MATCH($D3389,'Paramètres'!$M:$M,0)),"⚠ Type inconnu",IF($L3389="Crédit","",IFERROR(INDEX('Paramètres'!$O:$O,MATCH($D3389,'Paramètres'!$M:$M,0))&amp;"",""))))</f>
        <v/>
      </c>
      <c r="N3389" s="6" t="str">
        <f>IF($D3389="","",IFERROR(INDEX('Paramètres'!$Q:$Q,MATCH($D3389,'Paramètres'!$M:$M,0))&amp;"",""))</f>
        <v/>
      </c>
      <c r="O3389" s="6" t="str">
        <f>IF($A3389="","",IF(OR($J3389&lt;&gt;"x",$A3389&lt;=FinReleve),1,0))</f>
        <v/>
      </c>
      <c r="P3389" s="6" t="str">
        <f>IF($D3389="","",IF(AND($L3389="Crédit",OR(IFERROR(INDEX('Paramètres'!$O:$O,MATCH($D3389,'Paramètres'!$M:$M,0))&amp;"","")&lt;&gt;"",ISNUMBER(SEARCH("remboursement",IFERROR(INDEX('Paramètres'!$N:$N,MATCH($D3389,'Paramètres'!$M:$M,0))&amp;"",""))))),1,0))</f>
        <v/>
      </c>
      <c r="Q3389" s="6" t="str">
        <f>IF($K3389="","",IF(ISNUMBER(SEARCH("transfert-interne",IFERROR(INDEX('Paramètres'!$N:$N,MATCH($D3389,'Paramètres'!$M:$M,0))&amp;"",""))),0,IF($L3389="Débit",$K3389,IF($P3389=1,-$K3389,0))))</f>
        <v/>
      </c>
      <c r="R3389" s="6" t="str">
        <f>IF($K3389="","",IF($L3389="Crédit",$K3389,-$K3389))</f>
        <v/>
      </c>
      <c r="S3389" s="6" t="str">
        <f>IF($C3389="","",IFERROR(INDEX('Paramètres'!$H:$H,MATCH($C3389,'Paramètres'!$D:$D,0))&amp;"",""))</f>
        <v/>
      </c>
      <c r="T3389" s="6" t="str">
        <f>IF($K3389="","",IF($S3389="",0,IF(ISNUMBER(SEARCH("apport-exterieur",IFERROR(INDEX('Paramètres'!$N:$N,MATCH($D3389,'Paramètres'!$M:$M,0))&amp;"",""))),0,IF(OR(IFERROR(INDEX('Paramètres'!$I:$I,MATCH($C3389,'Paramètres'!$D:$D,0))&amp;"","")="Les deux",IFERROR(INDEX('Paramètres'!$I:$I,MATCH($C3389,'Paramètres'!$D:$D,0))&amp;"","")=IF($P3389=1,"Débit",$L3389)),-IF($P3389=1,-$K3389,$K3389),0))))</f>
        <v/>
      </c>
      <c r="U3389" s="6" t="str">
        <f>IF($K3389="","",IF(ISNUMBER(SEARCH("sortie-epargne",IFERROR(INDEX('Paramètres'!$N:$N,MATCH($D3389,'Paramètres'!$M:$M,0))&amp;"",""))),$K3389,0))</f>
        <v/>
      </c>
      <c r="V3389" s="6" t="str">
        <f>IF(AND($A3389&lt;&gt;"",$O3389=1,$L3389="Débit",N($Q3389)&gt;0,$A3389&gt;=Visualisation!$B$1,$A3389&lt;Visualisation!$D$1),MAX($V$1:V3388)+1,"")</f>
        <v/>
      </c>
    </row>
    <row r="3390" spans="1:22" x14ac:dyDescent="0.25">
      <c r="A3390" s="9"/>
      <c r="E3390" s="10"/>
      <c r="K3390" s="11" t="str">
        <f>IF($E3390="","",ROUND($E3390*IF(ISNA(MATCH($C3390,'Paramètres'!$D:$D,0)),1,IF(INDEX('Paramètres'!$J:$J,MATCH($C3390,'Paramètres'!$D:$D,0))="",1,INDEX('Paramètres'!$J:$J,MATCH($C3390,'Paramètres'!$D:$D,0)))),2))</f>
        <v/>
      </c>
      <c r="L3390" s="6" t="str">
        <f>IF($D3390="","",IF($F3390&lt;&gt;"",$F3390,IF(ISNA(MATCH($D3390,'Paramètres'!$M:$M,0)),"⚠ Type inconnu",IFERROR(INDEX('Paramètres'!$P:$P,MATCH($D3390,'Paramètres'!$M:$M,0))&amp;"",""))))</f>
        <v/>
      </c>
      <c r="M3390" s="6" t="str">
        <f>IF($D3390="","",IF(ISNA(MATCH($D3390,'Paramètres'!$M:$M,0)),"⚠ Type inconnu",IF($L3390="Crédit","",IFERROR(INDEX('Paramètres'!$O:$O,MATCH($D3390,'Paramètres'!$M:$M,0))&amp;"",""))))</f>
        <v/>
      </c>
      <c r="N3390" s="6" t="str">
        <f>IF($D3390="","",IFERROR(INDEX('Paramètres'!$Q:$Q,MATCH($D3390,'Paramètres'!$M:$M,0))&amp;"",""))</f>
        <v/>
      </c>
      <c r="O3390" s="6" t="str">
        <f>IF($A3390="","",IF(OR($J3390&lt;&gt;"x",$A3390&lt;=FinReleve),1,0))</f>
        <v/>
      </c>
      <c r="P3390" s="6" t="str">
        <f>IF($D3390="","",IF(AND($L3390="Crédit",OR(IFERROR(INDEX('Paramètres'!$O:$O,MATCH($D3390,'Paramètres'!$M:$M,0))&amp;"","")&lt;&gt;"",ISNUMBER(SEARCH("remboursement",IFERROR(INDEX('Paramètres'!$N:$N,MATCH($D3390,'Paramètres'!$M:$M,0))&amp;"",""))))),1,0))</f>
        <v/>
      </c>
      <c r="Q3390" s="6" t="str">
        <f>IF($K3390="","",IF(ISNUMBER(SEARCH("transfert-interne",IFERROR(INDEX('Paramètres'!$N:$N,MATCH($D3390,'Paramètres'!$M:$M,0))&amp;"",""))),0,IF($L3390="Débit",$K3390,IF($P3390=1,-$K3390,0))))</f>
        <v/>
      </c>
      <c r="R3390" s="6" t="str">
        <f>IF($K3390="","",IF($L3390="Crédit",$K3390,-$K3390))</f>
        <v/>
      </c>
      <c r="S3390" s="6" t="str">
        <f>IF($C3390="","",IFERROR(INDEX('Paramètres'!$H:$H,MATCH($C3390,'Paramètres'!$D:$D,0))&amp;"",""))</f>
        <v/>
      </c>
      <c r="T3390" s="6" t="str">
        <f>IF($K3390="","",IF($S3390="",0,IF(ISNUMBER(SEARCH("apport-exterieur",IFERROR(INDEX('Paramètres'!$N:$N,MATCH($D3390,'Paramètres'!$M:$M,0))&amp;"",""))),0,IF(OR(IFERROR(INDEX('Paramètres'!$I:$I,MATCH($C3390,'Paramètres'!$D:$D,0))&amp;"","")="Les deux",IFERROR(INDEX('Paramètres'!$I:$I,MATCH($C3390,'Paramètres'!$D:$D,0))&amp;"","")=IF($P3390=1,"Débit",$L3390)),-IF($P3390=1,-$K3390,$K3390),0))))</f>
        <v/>
      </c>
      <c r="U3390" s="6" t="str">
        <f>IF($K3390="","",IF(ISNUMBER(SEARCH("sortie-epargne",IFERROR(INDEX('Paramètres'!$N:$N,MATCH($D3390,'Paramètres'!$M:$M,0))&amp;"",""))),$K3390,0))</f>
        <v/>
      </c>
      <c r="V3390" s="6" t="str">
        <f>IF(AND($A3390&lt;&gt;"",$O3390=1,$L3390="Débit",N($Q3390)&gt;0,$A3390&gt;=Visualisation!$B$1,$A3390&lt;Visualisation!$D$1),MAX($V$1:V3389)+1,"")</f>
        <v/>
      </c>
    </row>
    <row r="3391" spans="1:22" x14ac:dyDescent="0.25">
      <c r="A3391" s="9"/>
      <c r="E3391" s="10"/>
      <c r="K3391" s="11" t="str">
        <f>IF($E3391="","",ROUND($E3391*IF(ISNA(MATCH($C3391,'Paramètres'!$D:$D,0)),1,IF(INDEX('Paramètres'!$J:$J,MATCH($C3391,'Paramètres'!$D:$D,0))="",1,INDEX('Paramètres'!$J:$J,MATCH($C3391,'Paramètres'!$D:$D,0)))),2))</f>
        <v/>
      </c>
      <c r="L3391" s="6" t="str">
        <f>IF($D3391="","",IF($F3391&lt;&gt;"",$F3391,IF(ISNA(MATCH($D3391,'Paramètres'!$M:$M,0)),"⚠ Type inconnu",IFERROR(INDEX('Paramètres'!$P:$P,MATCH($D3391,'Paramètres'!$M:$M,0))&amp;"",""))))</f>
        <v/>
      </c>
      <c r="M3391" s="6" t="str">
        <f>IF($D3391="","",IF(ISNA(MATCH($D3391,'Paramètres'!$M:$M,0)),"⚠ Type inconnu",IF($L3391="Crédit","",IFERROR(INDEX('Paramètres'!$O:$O,MATCH($D3391,'Paramètres'!$M:$M,0))&amp;"",""))))</f>
        <v/>
      </c>
      <c r="N3391" s="6" t="str">
        <f>IF($D3391="","",IFERROR(INDEX('Paramètres'!$Q:$Q,MATCH($D3391,'Paramètres'!$M:$M,0))&amp;"",""))</f>
        <v/>
      </c>
      <c r="O3391" s="6" t="str">
        <f>IF($A3391="","",IF(OR($J3391&lt;&gt;"x",$A3391&lt;=FinReleve),1,0))</f>
        <v/>
      </c>
      <c r="P3391" s="6" t="str">
        <f>IF($D3391="","",IF(AND($L3391="Crédit",OR(IFERROR(INDEX('Paramètres'!$O:$O,MATCH($D3391,'Paramètres'!$M:$M,0))&amp;"","")&lt;&gt;"",ISNUMBER(SEARCH("remboursement",IFERROR(INDEX('Paramètres'!$N:$N,MATCH($D3391,'Paramètres'!$M:$M,0))&amp;"",""))))),1,0))</f>
        <v/>
      </c>
      <c r="Q3391" s="6" t="str">
        <f>IF($K3391="","",IF(ISNUMBER(SEARCH("transfert-interne",IFERROR(INDEX('Paramètres'!$N:$N,MATCH($D3391,'Paramètres'!$M:$M,0))&amp;"",""))),0,IF($L3391="Débit",$K3391,IF($P3391=1,-$K3391,0))))</f>
        <v/>
      </c>
      <c r="R3391" s="6" t="str">
        <f>IF($K3391="","",IF($L3391="Crédit",$K3391,-$K3391))</f>
        <v/>
      </c>
      <c r="S3391" s="6" t="str">
        <f>IF($C3391="","",IFERROR(INDEX('Paramètres'!$H:$H,MATCH($C3391,'Paramètres'!$D:$D,0))&amp;"",""))</f>
        <v/>
      </c>
      <c r="T3391" s="6" t="str">
        <f>IF($K3391="","",IF($S3391="",0,IF(ISNUMBER(SEARCH("apport-exterieur",IFERROR(INDEX('Paramètres'!$N:$N,MATCH($D3391,'Paramètres'!$M:$M,0))&amp;"",""))),0,IF(OR(IFERROR(INDEX('Paramètres'!$I:$I,MATCH($C3391,'Paramètres'!$D:$D,0))&amp;"","")="Les deux",IFERROR(INDEX('Paramètres'!$I:$I,MATCH($C3391,'Paramètres'!$D:$D,0))&amp;"","")=IF($P3391=1,"Débit",$L3391)),-IF($P3391=1,-$K3391,$K3391),0))))</f>
        <v/>
      </c>
      <c r="U3391" s="6" t="str">
        <f>IF($K3391="","",IF(ISNUMBER(SEARCH("sortie-epargne",IFERROR(INDEX('Paramètres'!$N:$N,MATCH($D3391,'Paramètres'!$M:$M,0))&amp;"",""))),$K3391,0))</f>
        <v/>
      </c>
      <c r="V3391" s="6" t="str">
        <f>IF(AND($A3391&lt;&gt;"",$O3391=1,$L3391="Débit",N($Q3391)&gt;0,$A3391&gt;=Visualisation!$B$1,$A3391&lt;Visualisation!$D$1),MAX($V$1:V3390)+1,"")</f>
        <v/>
      </c>
    </row>
    <row r="3392" spans="1:22" x14ac:dyDescent="0.25">
      <c r="A3392" s="9"/>
      <c r="E3392" s="10"/>
      <c r="K3392" s="11" t="str">
        <f>IF($E3392="","",ROUND($E3392*IF(ISNA(MATCH($C3392,'Paramètres'!$D:$D,0)),1,IF(INDEX('Paramètres'!$J:$J,MATCH($C3392,'Paramètres'!$D:$D,0))="",1,INDEX('Paramètres'!$J:$J,MATCH($C3392,'Paramètres'!$D:$D,0)))),2))</f>
        <v/>
      </c>
      <c r="L3392" s="6" t="str">
        <f>IF($D3392="","",IF($F3392&lt;&gt;"",$F3392,IF(ISNA(MATCH($D3392,'Paramètres'!$M:$M,0)),"⚠ Type inconnu",IFERROR(INDEX('Paramètres'!$P:$P,MATCH($D3392,'Paramètres'!$M:$M,0))&amp;"",""))))</f>
        <v/>
      </c>
      <c r="M3392" s="6" t="str">
        <f>IF($D3392="","",IF(ISNA(MATCH($D3392,'Paramètres'!$M:$M,0)),"⚠ Type inconnu",IF($L3392="Crédit","",IFERROR(INDEX('Paramètres'!$O:$O,MATCH($D3392,'Paramètres'!$M:$M,0))&amp;"",""))))</f>
        <v/>
      </c>
      <c r="N3392" s="6" t="str">
        <f>IF($D3392="","",IFERROR(INDEX('Paramètres'!$Q:$Q,MATCH($D3392,'Paramètres'!$M:$M,0))&amp;"",""))</f>
        <v/>
      </c>
      <c r="O3392" s="6" t="str">
        <f>IF($A3392="","",IF(OR($J3392&lt;&gt;"x",$A3392&lt;=FinReleve),1,0))</f>
        <v/>
      </c>
      <c r="P3392" s="6" t="str">
        <f>IF($D3392="","",IF(AND($L3392="Crédit",OR(IFERROR(INDEX('Paramètres'!$O:$O,MATCH($D3392,'Paramètres'!$M:$M,0))&amp;"","")&lt;&gt;"",ISNUMBER(SEARCH("remboursement",IFERROR(INDEX('Paramètres'!$N:$N,MATCH($D3392,'Paramètres'!$M:$M,0))&amp;"",""))))),1,0))</f>
        <v/>
      </c>
      <c r="Q3392" s="6" t="str">
        <f>IF($K3392="","",IF(ISNUMBER(SEARCH("transfert-interne",IFERROR(INDEX('Paramètres'!$N:$N,MATCH($D3392,'Paramètres'!$M:$M,0))&amp;"",""))),0,IF($L3392="Débit",$K3392,IF($P3392=1,-$K3392,0))))</f>
        <v/>
      </c>
      <c r="R3392" s="6" t="str">
        <f>IF($K3392="","",IF($L3392="Crédit",$K3392,-$K3392))</f>
        <v/>
      </c>
      <c r="S3392" s="6" t="str">
        <f>IF($C3392="","",IFERROR(INDEX('Paramètres'!$H:$H,MATCH($C3392,'Paramètres'!$D:$D,0))&amp;"",""))</f>
        <v/>
      </c>
      <c r="T3392" s="6" t="str">
        <f>IF($K3392="","",IF($S3392="",0,IF(ISNUMBER(SEARCH("apport-exterieur",IFERROR(INDEX('Paramètres'!$N:$N,MATCH($D3392,'Paramètres'!$M:$M,0))&amp;"",""))),0,IF(OR(IFERROR(INDEX('Paramètres'!$I:$I,MATCH($C3392,'Paramètres'!$D:$D,0))&amp;"","")="Les deux",IFERROR(INDEX('Paramètres'!$I:$I,MATCH($C3392,'Paramètres'!$D:$D,0))&amp;"","")=IF($P3392=1,"Débit",$L3392)),-IF($P3392=1,-$K3392,$K3392),0))))</f>
        <v/>
      </c>
      <c r="U3392" s="6" t="str">
        <f>IF($K3392="","",IF(ISNUMBER(SEARCH("sortie-epargne",IFERROR(INDEX('Paramètres'!$N:$N,MATCH($D3392,'Paramètres'!$M:$M,0))&amp;"",""))),$K3392,0))</f>
        <v/>
      </c>
      <c r="V3392" s="6" t="str">
        <f>IF(AND($A3392&lt;&gt;"",$O3392=1,$L3392="Débit",N($Q3392)&gt;0,$A3392&gt;=Visualisation!$B$1,$A3392&lt;Visualisation!$D$1),MAX($V$1:V3391)+1,"")</f>
        <v/>
      </c>
    </row>
    <row r="3393" spans="1:22" x14ac:dyDescent="0.25">
      <c r="A3393" s="9"/>
      <c r="E3393" s="10"/>
      <c r="K3393" s="11" t="str">
        <f>IF($E3393="","",ROUND($E3393*IF(ISNA(MATCH($C3393,'Paramètres'!$D:$D,0)),1,IF(INDEX('Paramètres'!$J:$J,MATCH($C3393,'Paramètres'!$D:$D,0))="",1,INDEX('Paramètres'!$J:$J,MATCH($C3393,'Paramètres'!$D:$D,0)))),2))</f>
        <v/>
      </c>
      <c r="L3393" s="6" t="str">
        <f>IF($D3393="","",IF($F3393&lt;&gt;"",$F3393,IF(ISNA(MATCH($D3393,'Paramètres'!$M:$M,0)),"⚠ Type inconnu",IFERROR(INDEX('Paramètres'!$P:$P,MATCH($D3393,'Paramètres'!$M:$M,0))&amp;"",""))))</f>
        <v/>
      </c>
      <c r="M3393" s="6" t="str">
        <f>IF($D3393="","",IF(ISNA(MATCH($D3393,'Paramètres'!$M:$M,0)),"⚠ Type inconnu",IF($L3393="Crédit","",IFERROR(INDEX('Paramètres'!$O:$O,MATCH($D3393,'Paramètres'!$M:$M,0))&amp;"",""))))</f>
        <v/>
      </c>
      <c r="N3393" s="6" t="str">
        <f>IF($D3393="","",IFERROR(INDEX('Paramètres'!$Q:$Q,MATCH($D3393,'Paramètres'!$M:$M,0))&amp;"",""))</f>
        <v/>
      </c>
      <c r="O3393" s="6" t="str">
        <f>IF($A3393="","",IF(OR($J3393&lt;&gt;"x",$A3393&lt;=FinReleve),1,0))</f>
        <v/>
      </c>
      <c r="P3393" s="6" t="str">
        <f>IF($D3393="","",IF(AND($L3393="Crédit",OR(IFERROR(INDEX('Paramètres'!$O:$O,MATCH($D3393,'Paramètres'!$M:$M,0))&amp;"","")&lt;&gt;"",ISNUMBER(SEARCH("remboursement",IFERROR(INDEX('Paramètres'!$N:$N,MATCH($D3393,'Paramètres'!$M:$M,0))&amp;"",""))))),1,0))</f>
        <v/>
      </c>
      <c r="Q3393" s="6" t="str">
        <f>IF($K3393="","",IF(ISNUMBER(SEARCH("transfert-interne",IFERROR(INDEX('Paramètres'!$N:$N,MATCH($D3393,'Paramètres'!$M:$M,0))&amp;"",""))),0,IF($L3393="Débit",$K3393,IF($P3393=1,-$K3393,0))))</f>
        <v/>
      </c>
      <c r="R3393" s="6" t="str">
        <f>IF($K3393="","",IF($L3393="Crédit",$K3393,-$K3393))</f>
        <v/>
      </c>
      <c r="S3393" s="6" t="str">
        <f>IF($C3393="","",IFERROR(INDEX('Paramètres'!$H:$H,MATCH($C3393,'Paramètres'!$D:$D,0))&amp;"",""))</f>
        <v/>
      </c>
      <c r="T3393" s="6" t="str">
        <f>IF($K3393="","",IF($S3393="",0,IF(ISNUMBER(SEARCH("apport-exterieur",IFERROR(INDEX('Paramètres'!$N:$N,MATCH($D3393,'Paramètres'!$M:$M,0))&amp;"",""))),0,IF(OR(IFERROR(INDEX('Paramètres'!$I:$I,MATCH($C3393,'Paramètres'!$D:$D,0))&amp;"","")="Les deux",IFERROR(INDEX('Paramètres'!$I:$I,MATCH($C3393,'Paramètres'!$D:$D,0))&amp;"","")=IF($P3393=1,"Débit",$L3393)),-IF($P3393=1,-$K3393,$K3393),0))))</f>
        <v/>
      </c>
      <c r="U3393" s="6" t="str">
        <f>IF($K3393="","",IF(ISNUMBER(SEARCH("sortie-epargne",IFERROR(INDEX('Paramètres'!$N:$N,MATCH($D3393,'Paramètres'!$M:$M,0))&amp;"",""))),$K3393,0))</f>
        <v/>
      </c>
      <c r="V3393" s="6" t="str">
        <f>IF(AND($A3393&lt;&gt;"",$O3393=1,$L3393="Débit",N($Q3393)&gt;0,$A3393&gt;=Visualisation!$B$1,$A3393&lt;Visualisation!$D$1),MAX($V$1:V3392)+1,"")</f>
        <v/>
      </c>
    </row>
    <row r="3394" spans="1:22" x14ac:dyDescent="0.25">
      <c r="A3394" s="9"/>
      <c r="E3394" s="10"/>
      <c r="K3394" s="11" t="str">
        <f>IF($E3394="","",ROUND($E3394*IF(ISNA(MATCH($C3394,'Paramètres'!$D:$D,0)),1,IF(INDEX('Paramètres'!$J:$J,MATCH($C3394,'Paramètres'!$D:$D,0))="",1,INDEX('Paramètres'!$J:$J,MATCH($C3394,'Paramètres'!$D:$D,0)))),2))</f>
        <v/>
      </c>
      <c r="L3394" s="6" t="str">
        <f>IF($D3394="","",IF($F3394&lt;&gt;"",$F3394,IF(ISNA(MATCH($D3394,'Paramètres'!$M:$M,0)),"⚠ Type inconnu",IFERROR(INDEX('Paramètres'!$P:$P,MATCH($D3394,'Paramètres'!$M:$M,0))&amp;"",""))))</f>
        <v/>
      </c>
      <c r="M3394" s="6" t="str">
        <f>IF($D3394="","",IF(ISNA(MATCH($D3394,'Paramètres'!$M:$M,0)),"⚠ Type inconnu",IF($L3394="Crédit","",IFERROR(INDEX('Paramètres'!$O:$O,MATCH($D3394,'Paramètres'!$M:$M,0))&amp;"",""))))</f>
        <v/>
      </c>
      <c r="N3394" s="6" t="str">
        <f>IF($D3394="","",IFERROR(INDEX('Paramètres'!$Q:$Q,MATCH($D3394,'Paramètres'!$M:$M,0))&amp;"",""))</f>
        <v/>
      </c>
      <c r="O3394" s="6" t="str">
        <f>IF($A3394="","",IF(OR($J3394&lt;&gt;"x",$A3394&lt;=FinReleve),1,0))</f>
        <v/>
      </c>
      <c r="P3394" s="6" t="str">
        <f>IF($D3394="","",IF(AND($L3394="Crédit",OR(IFERROR(INDEX('Paramètres'!$O:$O,MATCH($D3394,'Paramètres'!$M:$M,0))&amp;"","")&lt;&gt;"",ISNUMBER(SEARCH("remboursement",IFERROR(INDEX('Paramètres'!$N:$N,MATCH($D3394,'Paramètres'!$M:$M,0))&amp;"",""))))),1,0))</f>
        <v/>
      </c>
      <c r="Q3394" s="6" t="str">
        <f>IF($K3394="","",IF(ISNUMBER(SEARCH("transfert-interne",IFERROR(INDEX('Paramètres'!$N:$N,MATCH($D3394,'Paramètres'!$M:$M,0))&amp;"",""))),0,IF($L3394="Débit",$K3394,IF($P3394=1,-$K3394,0))))</f>
        <v/>
      </c>
      <c r="R3394" s="6" t="str">
        <f>IF($K3394="","",IF($L3394="Crédit",$K3394,-$K3394))</f>
        <v/>
      </c>
      <c r="S3394" s="6" t="str">
        <f>IF($C3394="","",IFERROR(INDEX('Paramètres'!$H:$H,MATCH($C3394,'Paramètres'!$D:$D,0))&amp;"",""))</f>
        <v/>
      </c>
      <c r="T3394" s="6" t="str">
        <f>IF($K3394="","",IF($S3394="",0,IF(ISNUMBER(SEARCH("apport-exterieur",IFERROR(INDEX('Paramètres'!$N:$N,MATCH($D3394,'Paramètres'!$M:$M,0))&amp;"",""))),0,IF(OR(IFERROR(INDEX('Paramètres'!$I:$I,MATCH($C3394,'Paramètres'!$D:$D,0))&amp;"","")="Les deux",IFERROR(INDEX('Paramètres'!$I:$I,MATCH($C3394,'Paramètres'!$D:$D,0))&amp;"","")=IF($P3394=1,"Débit",$L3394)),-IF($P3394=1,-$K3394,$K3394),0))))</f>
        <v/>
      </c>
      <c r="U3394" s="6" t="str">
        <f>IF($K3394="","",IF(ISNUMBER(SEARCH("sortie-epargne",IFERROR(INDEX('Paramètres'!$N:$N,MATCH($D3394,'Paramètres'!$M:$M,0))&amp;"",""))),$K3394,0))</f>
        <v/>
      </c>
      <c r="V3394" s="6" t="str">
        <f>IF(AND($A3394&lt;&gt;"",$O3394=1,$L3394="Débit",N($Q3394)&gt;0,$A3394&gt;=Visualisation!$B$1,$A3394&lt;Visualisation!$D$1),MAX($V$1:V3393)+1,"")</f>
        <v/>
      </c>
    </row>
    <row r="3395" spans="1:22" x14ac:dyDescent="0.25">
      <c r="A3395" s="9"/>
      <c r="E3395" s="10"/>
      <c r="K3395" s="11" t="str">
        <f>IF($E3395="","",ROUND($E3395*IF(ISNA(MATCH($C3395,'Paramètres'!$D:$D,0)),1,IF(INDEX('Paramètres'!$J:$J,MATCH($C3395,'Paramètres'!$D:$D,0))="",1,INDEX('Paramètres'!$J:$J,MATCH($C3395,'Paramètres'!$D:$D,0)))),2))</f>
        <v/>
      </c>
      <c r="L3395" s="6" t="str">
        <f>IF($D3395="","",IF($F3395&lt;&gt;"",$F3395,IF(ISNA(MATCH($D3395,'Paramètres'!$M:$M,0)),"⚠ Type inconnu",IFERROR(INDEX('Paramètres'!$P:$P,MATCH($D3395,'Paramètres'!$M:$M,0))&amp;"",""))))</f>
        <v/>
      </c>
      <c r="M3395" s="6" t="str">
        <f>IF($D3395="","",IF(ISNA(MATCH($D3395,'Paramètres'!$M:$M,0)),"⚠ Type inconnu",IF($L3395="Crédit","",IFERROR(INDEX('Paramètres'!$O:$O,MATCH($D3395,'Paramètres'!$M:$M,0))&amp;"",""))))</f>
        <v/>
      </c>
      <c r="N3395" s="6" t="str">
        <f>IF($D3395="","",IFERROR(INDEX('Paramètres'!$Q:$Q,MATCH($D3395,'Paramètres'!$M:$M,0))&amp;"",""))</f>
        <v/>
      </c>
      <c r="O3395" s="6" t="str">
        <f>IF($A3395="","",IF(OR($J3395&lt;&gt;"x",$A3395&lt;=FinReleve),1,0))</f>
        <v/>
      </c>
      <c r="P3395" s="6" t="str">
        <f>IF($D3395="","",IF(AND($L3395="Crédit",OR(IFERROR(INDEX('Paramètres'!$O:$O,MATCH($D3395,'Paramètres'!$M:$M,0))&amp;"","")&lt;&gt;"",ISNUMBER(SEARCH("remboursement",IFERROR(INDEX('Paramètres'!$N:$N,MATCH($D3395,'Paramètres'!$M:$M,0))&amp;"",""))))),1,0))</f>
        <v/>
      </c>
      <c r="Q3395" s="6" t="str">
        <f>IF($K3395="","",IF(ISNUMBER(SEARCH("transfert-interne",IFERROR(INDEX('Paramètres'!$N:$N,MATCH($D3395,'Paramètres'!$M:$M,0))&amp;"",""))),0,IF($L3395="Débit",$K3395,IF($P3395=1,-$K3395,0))))</f>
        <v/>
      </c>
      <c r="R3395" s="6" t="str">
        <f>IF($K3395="","",IF($L3395="Crédit",$K3395,-$K3395))</f>
        <v/>
      </c>
      <c r="S3395" s="6" t="str">
        <f>IF($C3395="","",IFERROR(INDEX('Paramètres'!$H:$H,MATCH($C3395,'Paramètres'!$D:$D,0))&amp;"",""))</f>
        <v/>
      </c>
      <c r="T3395" s="6" t="str">
        <f>IF($K3395="","",IF($S3395="",0,IF(ISNUMBER(SEARCH("apport-exterieur",IFERROR(INDEX('Paramètres'!$N:$N,MATCH($D3395,'Paramètres'!$M:$M,0))&amp;"",""))),0,IF(OR(IFERROR(INDEX('Paramètres'!$I:$I,MATCH($C3395,'Paramètres'!$D:$D,0))&amp;"","")="Les deux",IFERROR(INDEX('Paramètres'!$I:$I,MATCH($C3395,'Paramètres'!$D:$D,0))&amp;"","")=IF($P3395=1,"Débit",$L3395)),-IF($P3395=1,-$K3395,$K3395),0))))</f>
        <v/>
      </c>
      <c r="U3395" s="6" t="str">
        <f>IF($K3395="","",IF(ISNUMBER(SEARCH("sortie-epargne",IFERROR(INDEX('Paramètres'!$N:$N,MATCH($D3395,'Paramètres'!$M:$M,0))&amp;"",""))),$K3395,0))</f>
        <v/>
      </c>
      <c r="V3395" s="6" t="str">
        <f>IF(AND($A3395&lt;&gt;"",$O3395=1,$L3395="Débit",N($Q3395)&gt;0,$A3395&gt;=Visualisation!$B$1,$A3395&lt;Visualisation!$D$1),MAX($V$1:V3394)+1,"")</f>
        <v/>
      </c>
    </row>
    <row r="3396" spans="1:22" x14ac:dyDescent="0.25">
      <c r="A3396" s="9"/>
      <c r="E3396" s="10"/>
      <c r="K3396" s="11" t="str">
        <f>IF($E3396="","",ROUND($E3396*IF(ISNA(MATCH($C3396,'Paramètres'!$D:$D,0)),1,IF(INDEX('Paramètres'!$J:$J,MATCH($C3396,'Paramètres'!$D:$D,0))="",1,INDEX('Paramètres'!$J:$J,MATCH($C3396,'Paramètres'!$D:$D,0)))),2))</f>
        <v/>
      </c>
      <c r="L3396" s="6" t="str">
        <f>IF($D3396="","",IF($F3396&lt;&gt;"",$F3396,IF(ISNA(MATCH($D3396,'Paramètres'!$M:$M,0)),"⚠ Type inconnu",IFERROR(INDEX('Paramètres'!$P:$P,MATCH($D3396,'Paramètres'!$M:$M,0))&amp;"",""))))</f>
        <v/>
      </c>
      <c r="M3396" s="6" t="str">
        <f>IF($D3396="","",IF(ISNA(MATCH($D3396,'Paramètres'!$M:$M,0)),"⚠ Type inconnu",IF($L3396="Crédit","",IFERROR(INDEX('Paramètres'!$O:$O,MATCH($D3396,'Paramètres'!$M:$M,0))&amp;"",""))))</f>
        <v/>
      </c>
      <c r="N3396" s="6" t="str">
        <f>IF($D3396="","",IFERROR(INDEX('Paramètres'!$Q:$Q,MATCH($D3396,'Paramètres'!$M:$M,0))&amp;"",""))</f>
        <v/>
      </c>
      <c r="O3396" s="6" t="str">
        <f>IF($A3396="","",IF(OR($J3396&lt;&gt;"x",$A3396&lt;=FinReleve),1,0))</f>
        <v/>
      </c>
      <c r="P3396" s="6" t="str">
        <f>IF($D3396="","",IF(AND($L3396="Crédit",OR(IFERROR(INDEX('Paramètres'!$O:$O,MATCH($D3396,'Paramètres'!$M:$M,0))&amp;"","")&lt;&gt;"",ISNUMBER(SEARCH("remboursement",IFERROR(INDEX('Paramètres'!$N:$N,MATCH($D3396,'Paramètres'!$M:$M,0))&amp;"",""))))),1,0))</f>
        <v/>
      </c>
      <c r="Q3396" s="6" t="str">
        <f>IF($K3396="","",IF(ISNUMBER(SEARCH("transfert-interne",IFERROR(INDEX('Paramètres'!$N:$N,MATCH($D3396,'Paramètres'!$M:$M,0))&amp;"",""))),0,IF($L3396="Débit",$K3396,IF($P3396=1,-$K3396,0))))</f>
        <v/>
      </c>
      <c r="R3396" s="6" t="str">
        <f>IF($K3396="","",IF($L3396="Crédit",$K3396,-$K3396))</f>
        <v/>
      </c>
      <c r="S3396" s="6" t="str">
        <f>IF($C3396="","",IFERROR(INDEX('Paramètres'!$H:$H,MATCH($C3396,'Paramètres'!$D:$D,0))&amp;"",""))</f>
        <v/>
      </c>
      <c r="T3396" s="6" t="str">
        <f>IF($K3396="","",IF($S3396="",0,IF(ISNUMBER(SEARCH("apport-exterieur",IFERROR(INDEX('Paramètres'!$N:$N,MATCH($D3396,'Paramètres'!$M:$M,0))&amp;"",""))),0,IF(OR(IFERROR(INDEX('Paramètres'!$I:$I,MATCH($C3396,'Paramètres'!$D:$D,0))&amp;"","")="Les deux",IFERROR(INDEX('Paramètres'!$I:$I,MATCH($C3396,'Paramètres'!$D:$D,0))&amp;"","")=IF($P3396=1,"Débit",$L3396)),-IF($P3396=1,-$K3396,$K3396),0))))</f>
        <v/>
      </c>
      <c r="U3396" s="6" t="str">
        <f>IF($K3396="","",IF(ISNUMBER(SEARCH("sortie-epargne",IFERROR(INDEX('Paramètres'!$N:$N,MATCH($D3396,'Paramètres'!$M:$M,0))&amp;"",""))),$K3396,0))</f>
        <v/>
      </c>
      <c r="V3396" s="6" t="str">
        <f>IF(AND($A3396&lt;&gt;"",$O3396=1,$L3396="Débit",N($Q3396)&gt;0,$A3396&gt;=Visualisation!$B$1,$A3396&lt;Visualisation!$D$1),MAX($V$1:V3395)+1,"")</f>
        <v/>
      </c>
    </row>
    <row r="3397" spans="1:22" x14ac:dyDescent="0.25">
      <c r="A3397" s="9"/>
      <c r="E3397" s="10"/>
      <c r="K3397" s="11" t="str">
        <f>IF($E3397="","",ROUND($E3397*IF(ISNA(MATCH($C3397,'Paramètres'!$D:$D,0)),1,IF(INDEX('Paramètres'!$J:$J,MATCH($C3397,'Paramètres'!$D:$D,0))="",1,INDEX('Paramètres'!$J:$J,MATCH($C3397,'Paramètres'!$D:$D,0)))),2))</f>
        <v/>
      </c>
      <c r="L3397" s="6" t="str">
        <f>IF($D3397="","",IF($F3397&lt;&gt;"",$F3397,IF(ISNA(MATCH($D3397,'Paramètres'!$M:$M,0)),"⚠ Type inconnu",IFERROR(INDEX('Paramètres'!$P:$P,MATCH($D3397,'Paramètres'!$M:$M,0))&amp;"",""))))</f>
        <v/>
      </c>
      <c r="M3397" s="6" t="str">
        <f>IF($D3397="","",IF(ISNA(MATCH($D3397,'Paramètres'!$M:$M,0)),"⚠ Type inconnu",IF($L3397="Crédit","",IFERROR(INDEX('Paramètres'!$O:$O,MATCH($D3397,'Paramètres'!$M:$M,0))&amp;"",""))))</f>
        <v/>
      </c>
      <c r="N3397" s="6" t="str">
        <f>IF($D3397="","",IFERROR(INDEX('Paramètres'!$Q:$Q,MATCH($D3397,'Paramètres'!$M:$M,0))&amp;"",""))</f>
        <v/>
      </c>
      <c r="O3397" s="6" t="str">
        <f>IF($A3397="","",IF(OR($J3397&lt;&gt;"x",$A3397&lt;=FinReleve),1,0))</f>
        <v/>
      </c>
      <c r="P3397" s="6" t="str">
        <f>IF($D3397="","",IF(AND($L3397="Crédit",OR(IFERROR(INDEX('Paramètres'!$O:$O,MATCH($D3397,'Paramètres'!$M:$M,0))&amp;"","")&lt;&gt;"",ISNUMBER(SEARCH("remboursement",IFERROR(INDEX('Paramètres'!$N:$N,MATCH($D3397,'Paramètres'!$M:$M,0))&amp;"",""))))),1,0))</f>
        <v/>
      </c>
      <c r="Q3397" s="6" t="str">
        <f>IF($K3397="","",IF(ISNUMBER(SEARCH("transfert-interne",IFERROR(INDEX('Paramètres'!$N:$N,MATCH($D3397,'Paramètres'!$M:$M,0))&amp;"",""))),0,IF($L3397="Débit",$K3397,IF($P3397=1,-$K3397,0))))</f>
        <v/>
      </c>
      <c r="R3397" s="6" t="str">
        <f>IF($K3397="","",IF($L3397="Crédit",$K3397,-$K3397))</f>
        <v/>
      </c>
      <c r="S3397" s="6" t="str">
        <f>IF($C3397="","",IFERROR(INDEX('Paramètres'!$H:$H,MATCH($C3397,'Paramètres'!$D:$D,0))&amp;"",""))</f>
        <v/>
      </c>
      <c r="T3397" s="6" t="str">
        <f>IF($K3397="","",IF($S3397="",0,IF(ISNUMBER(SEARCH("apport-exterieur",IFERROR(INDEX('Paramètres'!$N:$N,MATCH($D3397,'Paramètres'!$M:$M,0))&amp;"",""))),0,IF(OR(IFERROR(INDEX('Paramètres'!$I:$I,MATCH($C3397,'Paramètres'!$D:$D,0))&amp;"","")="Les deux",IFERROR(INDEX('Paramètres'!$I:$I,MATCH($C3397,'Paramètres'!$D:$D,0))&amp;"","")=IF($P3397=1,"Débit",$L3397)),-IF($P3397=1,-$K3397,$K3397),0))))</f>
        <v/>
      </c>
      <c r="U3397" s="6" t="str">
        <f>IF($K3397="","",IF(ISNUMBER(SEARCH("sortie-epargne",IFERROR(INDEX('Paramètres'!$N:$N,MATCH($D3397,'Paramètres'!$M:$M,0))&amp;"",""))),$K3397,0))</f>
        <v/>
      </c>
      <c r="V3397" s="6" t="str">
        <f>IF(AND($A3397&lt;&gt;"",$O3397=1,$L3397="Débit",N($Q3397)&gt;0,$A3397&gt;=Visualisation!$B$1,$A3397&lt;Visualisation!$D$1),MAX($V$1:V3396)+1,"")</f>
        <v/>
      </c>
    </row>
    <row r="3398" spans="1:22" x14ac:dyDescent="0.25">
      <c r="A3398" s="9"/>
      <c r="E3398" s="10"/>
      <c r="K3398" s="11" t="str">
        <f>IF($E3398="","",ROUND($E3398*IF(ISNA(MATCH($C3398,'Paramètres'!$D:$D,0)),1,IF(INDEX('Paramètres'!$J:$J,MATCH($C3398,'Paramètres'!$D:$D,0))="",1,INDEX('Paramètres'!$J:$J,MATCH($C3398,'Paramètres'!$D:$D,0)))),2))</f>
        <v/>
      </c>
      <c r="L3398" s="6" t="str">
        <f>IF($D3398="","",IF($F3398&lt;&gt;"",$F3398,IF(ISNA(MATCH($D3398,'Paramètres'!$M:$M,0)),"⚠ Type inconnu",IFERROR(INDEX('Paramètres'!$P:$P,MATCH($D3398,'Paramètres'!$M:$M,0))&amp;"",""))))</f>
        <v/>
      </c>
      <c r="M3398" s="6" t="str">
        <f>IF($D3398="","",IF(ISNA(MATCH($D3398,'Paramètres'!$M:$M,0)),"⚠ Type inconnu",IF($L3398="Crédit","",IFERROR(INDEX('Paramètres'!$O:$O,MATCH($D3398,'Paramètres'!$M:$M,0))&amp;"",""))))</f>
        <v/>
      </c>
      <c r="N3398" s="6" t="str">
        <f>IF($D3398="","",IFERROR(INDEX('Paramètres'!$Q:$Q,MATCH($D3398,'Paramètres'!$M:$M,0))&amp;"",""))</f>
        <v/>
      </c>
      <c r="O3398" s="6" t="str">
        <f>IF($A3398="","",IF(OR($J3398&lt;&gt;"x",$A3398&lt;=FinReleve),1,0))</f>
        <v/>
      </c>
      <c r="P3398" s="6" t="str">
        <f>IF($D3398="","",IF(AND($L3398="Crédit",OR(IFERROR(INDEX('Paramètres'!$O:$O,MATCH($D3398,'Paramètres'!$M:$M,0))&amp;"","")&lt;&gt;"",ISNUMBER(SEARCH("remboursement",IFERROR(INDEX('Paramètres'!$N:$N,MATCH($D3398,'Paramètres'!$M:$M,0))&amp;"",""))))),1,0))</f>
        <v/>
      </c>
      <c r="Q3398" s="6" t="str">
        <f>IF($K3398="","",IF(ISNUMBER(SEARCH("transfert-interne",IFERROR(INDEX('Paramètres'!$N:$N,MATCH($D3398,'Paramètres'!$M:$M,0))&amp;"",""))),0,IF($L3398="Débit",$K3398,IF($P3398=1,-$K3398,0))))</f>
        <v/>
      </c>
      <c r="R3398" s="6" t="str">
        <f>IF($K3398="","",IF($L3398="Crédit",$K3398,-$K3398))</f>
        <v/>
      </c>
      <c r="S3398" s="6" t="str">
        <f>IF($C3398="","",IFERROR(INDEX('Paramètres'!$H:$H,MATCH($C3398,'Paramètres'!$D:$D,0))&amp;"",""))</f>
        <v/>
      </c>
      <c r="T3398" s="6" t="str">
        <f>IF($K3398="","",IF($S3398="",0,IF(ISNUMBER(SEARCH("apport-exterieur",IFERROR(INDEX('Paramètres'!$N:$N,MATCH($D3398,'Paramètres'!$M:$M,0))&amp;"",""))),0,IF(OR(IFERROR(INDEX('Paramètres'!$I:$I,MATCH($C3398,'Paramètres'!$D:$D,0))&amp;"","")="Les deux",IFERROR(INDEX('Paramètres'!$I:$I,MATCH($C3398,'Paramètres'!$D:$D,0))&amp;"","")=IF($P3398=1,"Débit",$L3398)),-IF($P3398=1,-$K3398,$K3398),0))))</f>
        <v/>
      </c>
      <c r="U3398" s="6" t="str">
        <f>IF($K3398="","",IF(ISNUMBER(SEARCH("sortie-epargne",IFERROR(INDEX('Paramètres'!$N:$N,MATCH($D3398,'Paramètres'!$M:$M,0))&amp;"",""))),$K3398,0))</f>
        <v/>
      </c>
      <c r="V3398" s="6" t="str">
        <f>IF(AND($A3398&lt;&gt;"",$O3398=1,$L3398="Débit",N($Q3398)&gt;0,$A3398&gt;=Visualisation!$B$1,$A3398&lt;Visualisation!$D$1),MAX($V$1:V3397)+1,"")</f>
        <v/>
      </c>
    </row>
    <row r="3399" spans="1:22" x14ac:dyDescent="0.25">
      <c r="A3399" s="9"/>
      <c r="E3399" s="10"/>
      <c r="K3399" s="11" t="str">
        <f>IF($E3399="","",ROUND($E3399*IF(ISNA(MATCH($C3399,'Paramètres'!$D:$D,0)),1,IF(INDEX('Paramètres'!$J:$J,MATCH($C3399,'Paramètres'!$D:$D,0))="",1,INDEX('Paramètres'!$J:$J,MATCH($C3399,'Paramètres'!$D:$D,0)))),2))</f>
        <v/>
      </c>
      <c r="L3399" s="6" t="str">
        <f>IF($D3399="","",IF($F3399&lt;&gt;"",$F3399,IF(ISNA(MATCH($D3399,'Paramètres'!$M:$M,0)),"⚠ Type inconnu",IFERROR(INDEX('Paramètres'!$P:$P,MATCH($D3399,'Paramètres'!$M:$M,0))&amp;"",""))))</f>
        <v/>
      </c>
      <c r="M3399" s="6" t="str">
        <f>IF($D3399="","",IF(ISNA(MATCH($D3399,'Paramètres'!$M:$M,0)),"⚠ Type inconnu",IF($L3399="Crédit","",IFERROR(INDEX('Paramètres'!$O:$O,MATCH($D3399,'Paramètres'!$M:$M,0))&amp;"",""))))</f>
        <v/>
      </c>
      <c r="N3399" s="6" t="str">
        <f>IF($D3399="","",IFERROR(INDEX('Paramètres'!$Q:$Q,MATCH($D3399,'Paramètres'!$M:$M,0))&amp;"",""))</f>
        <v/>
      </c>
      <c r="O3399" s="6" t="str">
        <f>IF($A3399="","",IF(OR($J3399&lt;&gt;"x",$A3399&lt;=FinReleve),1,0))</f>
        <v/>
      </c>
      <c r="P3399" s="6" t="str">
        <f>IF($D3399="","",IF(AND($L3399="Crédit",OR(IFERROR(INDEX('Paramètres'!$O:$O,MATCH($D3399,'Paramètres'!$M:$M,0))&amp;"","")&lt;&gt;"",ISNUMBER(SEARCH("remboursement",IFERROR(INDEX('Paramètres'!$N:$N,MATCH($D3399,'Paramètres'!$M:$M,0))&amp;"",""))))),1,0))</f>
        <v/>
      </c>
      <c r="Q3399" s="6" t="str">
        <f>IF($K3399="","",IF(ISNUMBER(SEARCH("transfert-interne",IFERROR(INDEX('Paramètres'!$N:$N,MATCH($D3399,'Paramètres'!$M:$M,0))&amp;"",""))),0,IF($L3399="Débit",$K3399,IF($P3399=1,-$K3399,0))))</f>
        <v/>
      </c>
      <c r="R3399" s="6" t="str">
        <f>IF($K3399="","",IF($L3399="Crédit",$K3399,-$K3399))</f>
        <v/>
      </c>
      <c r="S3399" s="6" t="str">
        <f>IF($C3399="","",IFERROR(INDEX('Paramètres'!$H:$H,MATCH($C3399,'Paramètres'!$D:$D,0))&amp;"",""))</f>
        <v/>
      </c>
      <c r="T3399" s="6" t="str">
        <f>IF($K3399="","",IF($S3399="",0,IF(ISNUMBER(SEARCH("apport-exterieur",IFERROR(INDEX('Paramètres'!$N:$N,MATCH($D3399,'Paramètres'!$M:$M,0))&amp;"",""))),0,IF(OR(IFERROR(INDEX('Paramètres'!$I:$I,MATCH($C3399,'Paramètres'!$D:$D,0))&amp;"","")="Les deux",IFERROR(INDEX('Paramètres'!$I:$I,MATCH($C3399,'Paramètres'!$D:$D,0))&amp;"","")=IF($P3399=1,"Débit",$L3399)),-IF($P3399=1,-$K3399,$K3399),0))))</f>
        <v/>
      </c>
      <c r="U3399" s="6" t="str">
        <f>IF($K3399="","",IF(ISNUMBER(SEARCH("sortie-epargne",IFERROR(INDEX('Paramètres'!$N:$N,MATCH($D3399,'Paramètres'!$M:$M,0))&amp;"",""))),$K3399,0))</f>
        <v/>
      </c>
      <c r="V3399" s="6" t="str">
        <f>IF(AND($A3399&lt;&gt;"",$O3399=1,$L3399="Débit",N($Q3399)&gt;0,$A3399&gt;=Visualisation!$B$1,$A3399&lt;Visualisation!$D$1),MAX($V$1:V3398)+1,"")</f>
        <v/>
      </c>
    </row>
    <row r="3400" spans="1:22" x14ac:dyDescent="0.25">
      <c r="A3400" s="9"/>
      <c r="E3400" s="10"/>
      <c r="K3400" s="11" t="str">
        <f>IF($E3400="","",ROUND($E3400*IF(ISNA(MATCH($C3400,'Paramètres'!$D:$D,0)),1,IF(INDEX('Paramètres'!$J:$J,MATCH($C3400,'Paramètres'!$D:$D,0))="",1,INDEX('Paramètres'!$J:$J,MATCH($C3400,'Paramètres'!$D:$D,0)))),2))</f>
        <v/>
      </c>
      <c r="L3400" s="6" t="str">
        <f>IF($D3400="","",IF($F3400&lt;&gt;"",$F3400,IF(ISNA(MATCH($D3400,'Paramètres'!$M:$M,0)),"⚠ Type inconnu",IFERROR(INDEX('Paramètres'!$P:$P,MATCH($D3400,'Paramètres'!$M:$M,0))&amp;"",""))))</f>
        <v/>
      </c>
      <c r="M3400" s="6" t="str">
        <f>IF($D3400="","",IF(ISNA(MATCH($D3400,'Paramètres'!$M:$M,0)),"⚠ Type inconnu",IF($L3400="Crédit","",IFERROR(INDEX('Paramètres'!$O:$O,MATCH($D3400,'Paramètres'!$M:$M,0))&amp;"",""))))</f>
        <v/>
      </c>
      <c r="N3400" s="6" t="str">
        <f>IF($D3400="","",IFERROR(INDEX('Paramètres'!$Q:$Q,MATCH($D3400,'Paramètres'!$M:$M,0))&amp;"",""))</f>
        <v/>
      </c>
      <c r="O3400" s="6" t="str">
        <f>IF($A3400="","",IF(OR($J3400&lt;&gt;"x",$A3400&lt;=FinReleve),1,0))</f>
        <v/>
      </c>
      <c r="P3400" s="6" t="str">
        <f>IF($D3400="","",IF(AND($L3400="Crédit",OR(IFERROR(INDEX('Paramètres'!$O:$O,MATCH($D3400,'Paramètres'!$M:$M,0))&amp;"","")&lt;&gt;"",ISNUMBER(SEARCH("remboursement",IFERROR(INDEX('Paramètres'!$N:$N,MATCH($D3400,'Paramètres'!$M:$M,0))&amp;"",""))))),1,0))</f>
        <v/>
      </c>
      <c r="Q3400" s="6" t="str">
        <f>IF($K3400="","",IF(ISNUMBER(SEARCH("transfert-interne",IFERROR(INDEX('Paramètres'!$N:$N,MATCH($D3400,'Paramètres'!$M:$M,0))&amp;"",""))),0,IF($L3400="Débit",$K3400,IF($P3400=1,-$K3400,0))))</f>
        <v/>
      </c>
      <c r="R3400" s="6" t="str">
        <f>IF($K3400="","",IF($L3400="Crédit",$K3400,-$K3400))</f>
        <v/>
      </c>
      <c r="S3400" s="6" t="str">
        <f>IF($C3400="","",IFERROR(INDEX('Paramètres'!$H:$H,MATCH($C3400,'Paramètres'!$D:$D,0))&amp;"",""))</f>
        <v/>
      </c>
      <c r="T3400" s="6" t="str">
        <f>IF($K3400="","",IF($S3400="",0,IF(ISNUMBER(SEARCH("apport-exterieur",IFERROR(INDEX('Paramètres'!$N:$N,MATCH($D3400,'Paramètres'!$M:$M,0))&amp;"",""))),0,IF(OR(IFERROR(INDEX('Paramètres'!$I:$I,MATCH($C3400,'Paramètres'!$D:$D,0))&amp;"","")="Les deux",IFERROR(INDEX('Paramètres'!$I:$I,MATCH($C3400,'Paramètres'!$D:$D,0))&amp;"","")=IF($P3400=1,"Débit",$L3400)),-IF($P3400=1,-$K3400,$K3400),0))))</f>
        <v/>
      </c>
      <c r="U3400" s="6" t="str">
        <f>IF($K3400="","",IF(ISNUMBER(SEARCH("sortie-epargne",IFERROR(INDEX('Paramètres'!$N:$N,MATCH($D3400,'Paramètres'!$M:$M,0))&amp;"",""))),$K3400,0))</f>
        <v/>
      </c>
      <c r="V3400" s="6" t="str">
        <f>IF(AND($A3400&lt;&gt;"",$O3400=1,$L3400="Débit",N($Q3400)&gt;0,$A3400&gt;=Visualisation!$B$1,$A3400&lt;Visualisation!$D$1),MAX($V$1:V3399)+1,"")</f>
        <v/>
      </c>
    </row>
    <row r="3401" spans="1:22" x14ac:dyDescent="0.25">
      <c r="A3401" s="9"/>
      <c r="E3401" s="10"/>
      <c r="K3401" s="11" t="str">
        <f>IF($E3401="","",ROUND($E3401*IF(ISNA(MATCH($C3401,'Paramètres'!$D:$D,0)),1,IF(INDEX('Paramètres'!$J:$J,MATCH($C3401,'Paramètres'!$D:$D,0))="",1,INDEX('Paramètres'!$J:$J,MATCH($C3401,'Paramètres'!$D:$D,0)))),2))</f>
        <v/>
      </c>
      <c r="L3401" s="6" t="str">
        <f>IF($D3401="","",IF($F3401&lt;&gt;"",$F3401,IF(ISNA(MATCH($D3401,'Paramètres'!$M:$M,0)),"⚠ Type inconnu",IFERROR(INDEX('Paramètres'!$P:$P,MATCH($D3401,'Paramètres'!$M:$M,0))&amp;"",""))))</f>
        <v/>
      </c>
      <c r="M3401" s="6" t="str">
        <f>IF($D3401="","",IF(ISNA(MATCH($D3401,'Paramètres'!$M:$M,0)),"⚠ Type inconnu",IF($L3401="Crédit","",IFERROR(INDEX('Paramètres'!$O:$O,MATCH($D3401,'Paramètres'!$M:$M,0))&amp;"",""))))</f>
        <v/>
      </c>
      <c r="N3401" s="6" t="str">
        <f>IF($D3401="","",IFERROR(INDEX('Paramètres'!$Q:$Q,MATCH($D3401,'Paramètres'!$M:$M,0))&amp;"",""))</f>
        <v/>
      </c>
      <c r="O3401" s="6" t="str">
        <f>IF($A3401="","",IF(OR($J3401&lt;&gt;"x",$A3401&lt;=FinReleve),1,0))</f>
        <v/>
      </c>
      <c r="P3401" s="6" t="str">
        <f>IF($D3401="","",IF(AND($L3401="Crédit",OR(IFERROR(INDEX('Paramètres'!$O:$O,MATCH($D3401,'Paramètres'!$M:$M,0))&amp;"","")&lt;&gt;"",ISNUMBER(SEARCH("remboursement",IFERROR(INDEX('Paramètres'!$N:$N,MATCH($D3401,'Paramètres'!$M:$M,0))&amp;"",""))))),1,0))</f>
        <v/>
      </c>
      <c r="Q3401" s="6" t="str">
        <f>IF($K3401="","",IF(ISNUMBER(SEARCH("transfert-interne",IFERROR(INDEX('Paramètres'!$N:$N,MATCH($D3401,'Paramètres'!$M:$M,0))&amp;"",""))),0,IF($L3401="Débit",$K3401,IF($P3401=1,-$K3401,0))))</f>
        <v/>
      </c>
      <c r="R3401" s="6" t="str">
        <f>IF($K3401="","",IF($L3401="Crédit",$K3401,-$K3401))</f>
        <v/>
      </c>
      <c r="S3401" s="6" t="str">
        <f>IF($C3401="","",IFERROR(INDEX('Paramètres'!$H:$H,MATCH($C3401,'Paramètres'!$D:$D,0))&amp;"",""))</f>
        <v/>
      </c>
      <c r="T3401" s="6" t="str">
        <f>IF($K3401="","",IF($S3401="",0,IF(ISNUMBER(SEARCH("apport-exterieur",IFERROR(INDEX('Paramètres'!$N:$N,MATCH($D3401,'Paramètres'!$M:$M,0))&amp;"",""))),0,IF(OR(IFERROR(INDEX('Paramètres'!$I:$I,MATCH($C3401,'Paramètres'!$D:$D,0))&amp;"","")="Les deux",IFERROR(INDEX('Paramètres'!$I:$I,MATCH($C3401,'Paramètres'!$D:$D,0))&amp;"","")=IF($P3401=1,"Débit",$L3401)),-IF($P3401=1,-$K3401,$K3401),0))))</f>
        <v/>
      </c>
      <c r="U3401" s="6" t="str">
        <f>IF($K3401="","",IF(ISNUMBER(SEARCH("sortie-epargne",IFERROR(INDEX('Paramètres'!$N:$N,MATCH($D3401,'Paramètres'!$M:$M,0))&amp;"",""))),$K3401,0))</f>
        <v/>
      </c>
      <c r="V3401" s="6" t="str">
        <f>IF(AND($A3401&lt;&gt;"",$O3401=1,$L3401="Débit",N($Q3401)&gt;0,$A3401&gt;=Visualisation!$B$1,$A3401&lt;Visualisation!$D$1),MAX($V$1:V3400)+1,"")</f>
        <v/>
      </c>
    </row>
    <row r="3402" spans="1:22" x14ac:dyDescent="0.25">
      <c r="A3402" s="9"/>
      <c r="E3402" s="10"/>
      <c r="K3402" s="11" t="str">
        <f>IF($E3402="","",ROUND($E3402*IF(ISNA(MATCH($C3402,'Paramètres'!$D:$D,0)),1,IF(INDEX('Paramètres'!$J:$J,MATCH($C3402,'Paramètres'!$D:$D,0))="",1,INDEX('Paramètres'!$J:$J,MATCH($C3402,'Paramètres'!$D:$D,0)))),2))</f>
        <v/>
      </c>
      <c r="L3402" s="6" t="str">
        <f>IF($D3402="","",IF($F3402&lt;&gt;"",$F3402,IF(ISNA(MATCH($D3402,'Paramètres'!$M:$M,0)),"⚠ Type inconnu",IFERROR(INDEX('Paramètres'!$P:$P,MATCH($D3402,'Paramètres'!$M:$M,0))&amp;"",""))))</f>
        <v/>
      </c>
      <c r="M3402" s="6" t="str">
        <f>IF($D3402="","",IF(ISNA(MATCH($D3402,'Paramètres'!$M:$M,0)),"⚠ Type inconnu",IF($L3402="Crédit","",IFERROR(INDEX('Paramètres'!$O:$O,MATCH($D3402,'Paramètres'!$M:$M,0))&amp;"",""))))</f>
        <v/>
      </c>
      <c r="N3402" s="6" t="str">
        <f>IF($D3402="","",IFERROR(INDEX('Paramètres'!$Q:$Q,MATCH($D3402,'Paramètres'!$M:$M,0))&amp;"",""))</f>
        <v/>
      </c>
      <c r="O3402" s="6" t="str">
        <f>IF($A3402="","",IF(OR($J3402&lt;&gt;"x",$A3402&lt;=FinReleve),1,0))</f>
        <v/>
      </c>
      <c r="P3402" s="6" t="str">
        <f>IF($D3402="","",IF(AND($L3402="Crédit",OR(IFERROR(INDEX('Paramètres'!$O:$O,MATCH($D3402,'Paramètres'!$M:$M,0))&amp;"","")&lt;&gt;"",ISNUMBER(SEARCH("remboursement",IFERROR(INDEX('Paramètres'!$N:$N,MATCH($D3402,'Paramètres'!$M:$M,0))&amp;"",""))))),1,0))</f>
        <v/>
      </c>
      <c r="Q3402" s="6" t="str">
        <f>IF($K3402="","",IF(ISNUMBER(SEARCH("transfert-interne",IFERROR(INDEX('Paramètres'!$N:$N,MATCH($D3402,'Paramètres'!$M:$M,0))&amp;"",""))),0,IF($L3402="Débit",$K3402,IF($P3402=1,-$K3402,0))))</f>
        <v/>
      </c>
      <c r="R3402" s="6" t="str">
        <f>IF($K3402="","",IF($L3402="Crédit",$K3402,-$K3402))</f>
        <v/>
      </c>
      <c r="S3402" s="6" t="str">
        <f>IF($C3402="","",IFERROR(INDEX('Paramètres'!$H:$H,MATCH($C3402,'Paramètres'!$D:$D,0))&amp;"",""))</f>
        <v/>
      </c>
      <c r="T3402" s="6" t="str">
        <f>IF($K3402="","",IF($S3402="",0,IF(ISNUMBER(SEARCH("apport-exterieur",IFERROR(INDEX('Paramètres'!$N:$N,MATCH($D3402,'Paramètres'!$M:$M,0))&amp;"",""))),0,IF(OR(IFERROR(INDEX('Paramètres'!$I:$I,MATCH($C3402,'Paramètres'!$D:$D,0))&amp;"","")="Les deux",IFERROR(INDEX('Paramètres'!$I:$I,MATCH($C3402,'Paramètres'!$D:$D,0))&amp;"","")=IF($P3402=1,"Débit",$L3402)),-IF($P3402=1,-$K3402,$K3402),0))))</f>
        <v/>
      </c>
      <c r="U3402" s="6" t="str">
        <f>IF($K3402="","",IF(ISNUMBER(SEARCH("sortie-epargne",IFERROR(INDEX('Paramètres'!$N:$N,MATCH($D3402,'Paramètres'!$M:$M,0))&amp;"",""))),$K3402,0))</f>
        <v/>
      </c>
      <c r="V3402" s="6" t="str">
        <f>IF(AND($A3402&lt;&gt;"",$O3402=1,$L3402="Débit",N($Q3402)&gt;0,$A3402&gt;=Visualisation!$B$1,$A3402&lt;Visualisation!$D$1),MAX($V$1:V3401)+1,"")</f>
        <v/>
      </c>
    </row>
    <row r="3403" spans="1:22" x14ac:dyDescent="0.25">
      <c r="A3403" s="9"/>
      <c r="E3403" s="10"/>
      <c r="K3403" s="11" t="str">
        <f>IF($E3403="","",ROUND($E3403*IF(ISNA(MATCH($C3403,'Paramètres'!$D:$D,0)),1,IF(INDEX('Paramètres'!$J:$J,MATCH($C3403,'Paramètres'!$D:$D,0))="",1,INDEX('Paramètres'!$J:$J,MATCH($C3403,'Paramètres'!$D:$D,0)))),2))</f>
        <v/>
      </c>
      <c r="L3403" s="6" t="str">
        <f>IF($D3403="","",IF($F3403&lt;&gt;"",$F3403,IF(ISNA(MATCH($D3403,'Paramètres'!$M:$M,0)),"⚠ Type inconnu",IFERROR(INDEX('Paramètres'!$P:$P,MATCH($D3403,'Paramètres'!$M:$M,0))&amp;"",""))))</f>
        <v/>
      </c>
      <c r="M3403" s="6" t="str">
        <f>IF($D3403="","",IF(ISNA(MATCH($D3403,'Paramètres'!$M:$M,0)),"⚠ Type inconnu",IF($L3403="Crédit","",IFERROR(INDEX('Paramètres'!$O:$O,MATCH($D3403,'Paramètres'!$M:$M,0))&amp;"",""))))</f>
        <v/>
      </c>
      <c r="N3403" s="6" t="str">
        <f>IF($D3403="","",IFERROR(INDEX('Paramètres'!$Q:$Q,MATCH($D3403,'Paramètres'!$M:$M,0))&amp;"",""))</f>
        <v/>
      </c>
      <c r="O3403" s="6" t="str">
        <f>IF($A3403="","",IF(OR($J3403&lt;&gt;"x",$A3403&lt;=FinReleve),1,0))</f>
        <v/>
      </c>
      <c r="P3403" s="6" t="str">
        <f>IF($D3403="","",IF(AND($L3403="Crédit",OR(IFERROR(INDEX('Paramètres'!$O:$O,MATCH($D3403,'Paramètres'!$M:$M,0))&amp;"","")&lt;&gt;"",ISNUMBER(SEARCH("remboursement",IFERROR(INDEX('Paramètres'!$N:$N,MATCH($D3403,'Paramètres'!$M:$M,0))&amp;"",""))))),1,0))</f>
        <v/>
      </c>
      <c r="Q3403" s="6" t="str">
        <f>IF($K3403="","",IF(ISNUMBER(SEARCH("transfert-interne",IFERROR(INDEX('Paramètres'!$N:$N,MATCH($D3403,'Paramètres'!$M:$M,0))&amp;"",""))),0,IF($L3403="Débit",$K3403,IF($P3403=1,-$K3403,0))))</f>
        <v/>
      </c>
      <c r="R3403" s="6" t="str">
        <f>IF($K3403="","",IF($L3403="Crédit",$K3403,-$K3403))</f>
        <v/>
      </c>
      <c r="S3403" s="6" t="str">
        <f>IF($C3403="","",IFERROR(INDEX('Paramètres'!$H:$H,MATCH($C3403,'Paramètres'!$D:$D,0))&amp;"",""))</f>
        <v/>
      </c>
      <c r="T3403" s="6" t="str">
        <f>IF($K3403="","",IF($S3403="",0,IF(ISNUMBER(SEARCH("apport-exterieur",IFERROR(INDEX('Paramètres'!$N:$N,MATCH($D3403,'Paramètres'!$M:$M,0))&amp;"",""))),0,IF(OR(IFERROR(INDEX('Paramètres'!$I:$I,MATCH($C3403,'Paramètres'!$D:$D,0))&amp;"","")="Les deux",IFERROR(INDEX('Paramètres'!$I:$I,MATCH($C3403,'Paramètres'!$D:$D,0))&amp;"","")=IF($P3403=1,"Débit",$L3403)),-IF($P3403=1,-$K3403,$K3403),0))))</f>
        <v/>
      </c>
      <c r="U3403" s="6" t="str">
        <f>IF($K3403="","",IF(ISNUMBER(SEARCH("sortie-epargne",IFERROR(INDEX('Paramètres'!$N:$N,MATCH($D3403,'Paramètres'!$M:$M,0))&amp;"",""))),$K3403,0))</f>
        <v/>
      </c>
      <c r="V3403" s="6" t="str">
        <f>IF(AND($A3403&lt;&gt;"",$O3403=1,$L3403="Débit",N($Q3403)&gt;0,$A3403&gt;=Visualisation!$B$1,$A3403&lt;Visualisation!$D$1),MAX($V$1:V3402)+1,"")</f>
        <v/>
      </c>
    </row>
    <row r="3404" spans="1:22" x14ac:dyDescent="0.25">
      <c r="A3404" s="9"/>
      <c r="E3404" s="10"/>
      <c r="K3404" s="11" t="str">
        <f>IF($E3404="","",ROUND($E3404*IF(ISNA(MATCH($C3404,'Paramètres'!$D:$D,0)),1,IF(INDEX('Paramètres'!$J:$J,MATCH($C3404,'Paramètres'!$D:$D,0))="",1,INDEX('Paramètres'!$J:$J,MATCH($C3404,'Paramètres'!$D:$D,0)))),2))</f>
        <v/>
      </c>
      <c r="L3404" s="6" t="str">
        <f>IF($D3404="","",IF($F3404&lt;&gt;"",$F3404,IF(ISNA(MATCH($D3404,'Paramètres'!$M:$M,0)),"⚠ Type inconnu",IFERROR(INDEX('Paramètres'!$P:$P,MATCH($D3404,'Paramètres'!$M:$M,0))&amp;"",""))))</f>
        <v/>
      </c>
      <c r="M3404" s="6" t="str">
        <f>IF($D3404="","",IF(ISNA(MATCH($D3404,'Paramètres'!$M:$M,0)),"⚠ Type inconnu",IF($L3404="Crédit","",IFERROR(INDEX('Paramètres'!$O:$O,MATCH($D3404,'Paramètres'!$M:$M,0))&amp;"",""))))</f>
        <v/>
      </c>
      <c r="N3404" s="6" t="str">
        <f>IF($D3404="","",IFERROR(INDEX('Paramètres'!$Q:$Q,MATCH($D3404,'Paramètres'!$M:$M,0))&amp;"",""))</f>
        <v/>
      </c>
      <c r="O3404" s="6" t="str">
        <f>IF($A3404="","",IF(OR($J3404&lt;&gt;"x",$A3404&lt;=FinReleve),1,0))</f>
        <v/>
      </c>
      <c r="P3404" s="6" t="str">
        <f>IF($D3404="","",IF(AND($L3404="Crédit",OR(IFERROR(INDEX('Paramètres'!$O:$O,MATCH($D3404,'Paramètres'!$M:$M,0))&amp;"","")&lt;&gt;"",ISNUMBER(SEARCH("remboursement",IFERROR(INDEX('Paramètres'!$N:$N,MATCH($D3404,'Paramètres'!$M:$M,0))&amp;"",""))))),1,0))</f>
        <v/>
      </c>
      <c r="Q3404" s="6" t="str">
        <f>IF($K3404="","",IF(ISNUMBER(SEARCH("transfert-interne",IFERROR(INDEX('Paramètres'!$N:$N,MATCH($D3404,'Paramètres'!$M:$M,0))&amp;"",""))),0,IF($L3404="Débit",$K3404,IF($P3404=1,-$K3404,0))))</f>
        <v/>
      </c>
      <c r="R3404" s="6" t="str">
        <f>IF($K3404="","",IF($L3404="Crédit",$K3404,-$K3404))</f>
        <v/>
      </c>
      <c r="S3404" s="6" t="str">
        <f>IF($C3404="","",IFERROR(INDEX('Paramètres'!$H:$H,MATCH($C3404,'Paramètres'!$D:$D,0))&amp;"",""))</f>
        <v/>
      </c>
      <c r="T3404" s="6" t="str">
        <f>IF($K3404="","",IF($S3404="",0,IF(ISNUMBER(SEARCH("apport-exterieur",IFERROR(INDEX('Paramètres'!$N:$N,MATCH($D3404,'Paramètres'!$M:$M,0))&amp;"",""))),0,IF(OR(IFERROR(INDEX('Paramètres'!$I:$I,MATCH($C3404,'Paramètres'!$D:$D,0))&amp;"","")="Les deux",IFERROR(INDEX('Paramètres'!$I:$I,MATCH($C3404,'Paramètres'!$D:$D,0))&amp;"","")=IF($P3404=1,"Débit",$L3404)),-IF($P3404=1,-$K3404,$K3404),0))))</f>
        <v/>
      </c>
      <c r="U3404" s="6" t="str">
        <f>IF($K3404="","",IF(ISNUMBER(SEARCH("sortie-epargne",IFERROR(INDEX('Paramètres'!$N:$N,MATCH($D3404,'Paramètres'!$M:$M,0))&amp;"",""))),$K3404,0))</f>
        <v/>
      </c>
      <c r="V3404" s="6" t="str">
        <f>IF(AND($A3404&lt;&gt;"",$O3404=1,$L3404="Débit",N($Q3404)&gt;0,$A3404&gt;=Visualisation!$B$1,$A3404&lt;Visualisation!$D$1),MAX($V$1:V3403)+1,"")</f>
        <v/>
      </c>
    </row>
    <row r="3405" spans="1:22" x14ac:dyDescent="0.25">
      <c r="A3405" s="9"/>
      <c r="E3405" s="10"/>
      <c r="K3405" s="11" t="str">
        <f>IF($E3405="","",ROUND($E3405*IF(ISNA(MATCH($C3405,'Paramètres'!$D:$D,0)),1,IF(INDEX('Paramètres'!$J:$J,MATCH($C3405,'Paramètres'!$D:$D,0))="",1,INDEX('Paramètres'!$J:$J,MATCH($C3405,'Paramètres'!$D:$D,0)))),2))</f>
        <v/>
      </c>
      <c r="L3405" s="6" t="str">
        <f>IF($D3405="","",IF($F3405&lt;&gt;"",$F3405,IF(ISNA(MATCH($D3405,'Paramètres'!$M:$M,0)),"⚠ Type inconnu",IFERROR(INDEX('Paramètres'!$P:$P,MATCH($D3405,'Paramètres'!$M:$M,0))&amp;"",""))))</f>
        <v/>
      </c>
      <c r="M3405" s="6" t="str">
        <f>IF($D3405="","",IF(ISNA(MATCH($D3405,'Paramètres'!$M:$M,0)),"⚠ Type inconnu",IF($L3405="Crédit","",IFERROR(INDEX('Paramètres'!$O:$O,MATCH($D3405,'Paramètres'!$M:$M,0))&amp;"",""))))</f>
        <v/>
      </c>
      <c r="N3405" s="6" t="str">
        <f>IF($D3405="","",IFERROR(INDEX('Paramètres'!$Q:$Q,MATCH($D3405,'Paramètres'!$M:$M,0))&amp;"",""))</f>
        <v/>
      </c>
      <c r="O3405" s="6" t="str">
        <f>IF($A3405="","",IF(OR($J3405&lt;&gt;"x",$A3405&lt;=FinReleve),1,0))</f>
        <v/>
      </c>
      <c r="P3405" s="6" t="str">
        <f>IF($D3405="","",IF(AND($L3405="Crédit",OR(IFERROR(INDEX('Paramètres'!$O:$O,MATCH($D3405,'Paramètres'!$M:$M,0))&amp;"","")&lt;&gt;"",ISNUMBER(SEARCH("remboursement",IFERROR(INDEX('Paramètres'!$N:$N,MATCH($D3405,'Paramètres'!$M:$M,0))&amp;"",""))))),1,0))</f>
        <v/>
      </c>
      <c r="Q3405" s="6" t="str">
        <f>IF($K3405="","",IF(ISNUMBER(SEARCH("transfert-interne",IFERROR(INDEX('Paramètres'!$N:$N,MATCH($D3405,'Paramètres'!$M:$M,0))&amp;"",""))),0,IF($L3405="Débit",$K3405,IF($P3405=1,-$K3405,0))))</f>
        <v/>
      </c>
      <c r="R3405" s="6" t="str">
        <f>IF($K3405="","",IF($L3405="Crédit",$K3405,-$K3405))</f>
        <v/>
      </c>
      <c r="S3405" s="6" t="str">
        <f>IF($C3405="","",IFERROR(INDEX('Paramètres'!$H:$H,MATCH($C3405,'Paramètres'!$D:$D,0))&amp;"",""))</f>
        <v/>
      </c>
      <c r="T3405" s="6" t="str">
        <f>IF($K3405="","",IF($S3405="",0,IF(ISNUMBER(SEARCH("apport-exterieur",IFERROR(INDEX('Paramètres'!$N:$N,MATCH($D3405,'Paramètres'!$M:$M,0))&amp;"",""))),0,IF(OR(IFERROR(INDEX('Paramètres'!$I:$I,MATCH($C3405,'Paramètres'!$D:$D,0))&amp;"","")="Les deux",IFERROR(INDEX('Paramètres'!$I:$I,MATCH($C3405,'Paramètres'!$D:$D,0))&amp;"","")=IF($P3405=1,"Débit",$L3405)),-IF($P3405=1,-$K3405,$K3405),0))))</f>
        <v/>
      </c>
      <c r="U3405" s="6" t="str">
        <f>IF($K3405="","",IF(ISNUMBER(SEARCH("sortie-epargne",IFERROR(INDEX('Paramètres'!$N:$N,MATCH($D3405,'Paramètres'!$M:$M,0))&amp;"",""))),$K3405,0))</f>
        <v/>
      </c>
      <c r="V3405" s="6" t="str">
        <f>IF(AND($A3405&lt;&gt;"",$O3405=1,$L3405="Débit",N($Q3405)&gt;0,$A3405&gt;=Visualisation!$B$1,$A3405&lt;Visualisation!$D$1),MAX($V$1:V3404)+1,"")</f>
        <v/>
      </c>
    </row>
    <row r="3406" spans="1:22" x14ac:dyDescent="0.25">
      <c r="A3406" s="9"/>
      <c r="E3406" s="10"/>
      <c r="K3406" s="11" t="str">
        <f>IF($E3406="","",ROUND($E3406*IF(ISNA(MATCH($C3406,'Paramètres'!$D:$D,0)),1,IF(INDEX('Paramètres'!$J:$J,MATCH($C3406,'Paramètres'!$D:$D,0))="",1,INDEX('Paramètres'!$J:$J,MATCH($C3406,'Paramètres'!$D:$D,0)))),2))</f>
        <v/>
      </c>
      <c r="L3406" s="6" t="str">
        <f>IF($D3406="","",IF($F3406&lt;&gt;"",$F3406,IF(ISNA(MATCH($D3406,'Paramètres'!$M:$M,0)),"⚠ Type inconnu",IFERROR(INDEX('Paramètres'!$P:$P,MATCH($D3406,'Paramètres'!$M:$M,0))&amp;"",""))))</f>
        <v/>
      </c>
      <c r="M3406" s="6" t="str">
        <f>IF($D3406="","",IF(ISNA(MATCH($D3406,'Paramètres'!$M:$M,0)),"⚠ Type inconnu",IF($L3406="Crédit","",IFERROR(INDEX('Paramètres'!$O:$O,MATCH($D3406,'Paramètres'!$M:$M,0))&amp;"",""))))</f>
        <v/>
      </c>
      <c r="N3406" s="6" t="str">
        <f>IF($D3406="","",IFERROR(INDEX('Paramètres'!$Q:$Q,MATCH($D3406,'Paramètres'!$M:$M,0))&amp;"",""))</f>
        <v/>
      </c>
      <c r="O3406" s="6" t="str">
        <f>IF($A3406="","",IF(OR($J3406&lt;&gt;"x",$A3406&lt;=FinReleve),1,0))</f>
        <v/>
      </c>
      <c r="P3406" s="6" t="str">
        <f>IF($D3406="","",IF(AND($L3406="Crédit",OR(IFERROR(INDEX('Paramètres'!$O:$O,MATCH($D3406,'Paramètres'!$M:$M,0))&amp;"","")&lt;&gt;"",ISNUMBER(SEARCH("remboursement",IFERROR(INDEX('Paramètres'!$N:$N,MATCH($D3406,'Paramètres'!$M:$M,0))&amp;"",""))))),1,0))</f>
        <v/>
      </c>
      <c r="Q3406" s="6" t="str">
        <f>IF($K3406="","",IF(ISNUMBER(SEARCH("transfert-interne",IFERROR(INDEX('Paramètres'!$N:$N,MATCH($D3406,'Paramètres'!$M:$M,0))&amp;"",""))),0,IF($L3406="Débit",$K3406,IF($P3406=1,-$K3406,0))))</f>
        <v/>
      </c>
      <c r="R3406" s="6" t="str">
        <f>IF($K3406="","",IF($L3406="Crédit",$K3406,-$K3406))</f>
        <v/>
      </c>
      <c r="S3406" s="6" t="str">
        <f>IF($C3406="","",IFERROR(INDEX('Paramètres'!$H:$H,MATCH($C3406,'Paramètres'!$D:$D,0))&amp;"",""))</f>
        <v/>
      </c>
      <c r="T3406" s="6" t="str">
        <f>IF($K3406="","",IF($S3406="",0,IF(ISNUMBER(SEARCH("apport-exterieur",IFERROR(INDEX('Paramètres'!$N:$N,MATCH($D3406,'Paramètres'!$M:$M,0))&amp;"",""))),0,IF(OR(IFERROR(INDEX('Paramètres'!$I:$I,MATCH($C3406,'Paramètres'!$D:$D,0))&amp;"","")="Les deux",IFERROR(INDEX('Paramètres'!$I:$I,MATCH($C3406,'Paramètres'!$D:$D,0))&amp;"","")=IF($P3406=1,"Débit",$L3406)),-IF($P3406=1,-$K3406,$K3406),0))))</f>
        <v/>
      </c>
      <c r="U3406" s="6" t="str">
        <f>IF($K3406="","",IF(ISNUMBER(SEARCH("sortie-epargne",IFERROR(INDEX('Paramètres'!$N:$N,MATCH($D3406,'Paramètres'!$M:$M,0))&amp;"",""))),$K3406,0))</f>
        <v/>
      </c>
      <c r="V3406" s="6" t="str">
        <f>IF(AND($A3406&lt;&gt;"",$O3406=1,$L3406="Débit",N($Q3406)&gt;0,$A3406&gt;=Visualisation!$B$1,$A3406&lt;Visualisation!$D$1),MAX($V$1:V3405)+1,"")</f>
        <v/>
      </c>
    </row>
    <row r="3407" spans="1:22" x14ac:dyDescent="0.25">
      <c r="A3407" s="9"/>
      <c r="E3407" s="10"/>
      <c r="K3407" s="11" t="str">
        <f>IF($E3407="","",ROUND($E3407*IF(ISNA(MATCH($C3407,'Paramètres'!$D:$D,0)),1,IF(INDEX('Paramètres'!$J:$J,MATCH($C3407,'Paramètres'!$D:$D,0))="",1,INDEX('Paramètres'!$J:$J,MATCH($C3407,'Paramètres'!$D:$D,0)))),2))</f>
        <v/>
      </c>
      <c r="L3407" s="6" t="str">
        <f>IF($D3407="","",IF($F3407&lt;&gt;"",$F3407,IF(ISNA(MATCH($D3407,'Paramètres'!$M:$M,0)),"⚠ Type inconnu",IFERROR(INDEX('Paramètres'!$P:$P,MATCH($D3407,'Paramètres'!$M:$M,0))&amp;"",""))))</f>
        <v/>
      </c>
      <c r="M3407" s="6" t="str">
        <f>IF($D3407="","",IF(ISNA(MATCH($D3407,'Paramètres'!$M:$M,0)),"⚠ Type inconnu",IF($L3407="Crédit","",IFERROR(INDEX('Paramètres'!$O:$O,MATCH($D3407,'Paramètres'!$M:$M,0))&amp;"",""))))</f>
        <v/>
      </c>
      <c r="N3407" s="6" t="str">
        <f>IF($D3407="","",IFERROR(INDEX('Paramètres'!$Q:$Q,MATCH($D3407,'Paramètres'!$M:$M,0))&amp;"",""))</f>
        <v/>
      </c>
      <c r="O3407" s="6" t="str">
        <f>IF($A3407="","",IF(OR($J3407&lt;&gt;"x",$A3407&lt;=FinReleve),1,0))</f>
        <v/>
      </c>
      <c r="P3407" s="6" t="str">
        <f>IF($D3407="","",IF(AND($L3407="Crédit",OR(IFERROR(INDEX('Paramètres'!$O:$O,MATCH($D3407,'Paramètres'!$M:$M,0))&amp;"","")&lt;&gt;"",ISNUMBER(SEARCH("remboursement",IFERROR(INDEX('Paramètres'!$N:$N,MATCH($D3407,'Paramètres'!$M:$M,0))&amp;"",""))))),1,0))</f>
        <v/>
      </c>
      <c r="Q3407" s="6" t="str">
        <f>IF($K3407="","",IF(ISNUMBER(SEARCH("transfert-interne",IFERROR(INDEX('Paramètres'!$N:$N,MATCH($D3407,'Paramètres'!$M:$M,0))&amp;"",""))),0,IF($L3407="Débit",$K3407,IF($P3407=1,-$K3407,0))))</f>
        <v/>
      </c>
      <c r="R3407" s="6" t="str">
        <f>IF($K3407="","",IF($L3407="Crédit",$K3407,-$K3407))</f>
        <v/>
      </c>
      <c r="S3407" s="6" t="str">
        <f>IF($C3407="","",IFERROR(INDEX('Paramètres'!$H:$H,MATCH($C3407,'Paramètres'!$D:$D,0))&amp;"",""))</f>
        <v/>
      </c>
      <c r="T3407" s="6" t="str">
        <f>IF($K3407="","",IF($S3407="",0,IF(ISNUMBER(SEARCH("apport-exterieur",IFERROR(INDEX('Paramètres'!$N:$N,MATCH($D3407,'Paramètres'!$M:$M,0))&amp;"",""))),0,IF(OR(IFERROR(INDEX('Paramètres'!$I:$I,MATCH($C3407,'Paramètres'!$D:$D,0))&amp;"","")="Les deux",IFERROR(INDEX('Paramètres'!$I:$I,MATCH($C3407,'Paramètres'!$D:$D,0))&amp;"","")=IF($P3407=1,"Débit",$L3407)),-IF($P3407=1,-$K3407,$K3407),0))))</f>
        <v/>
      </c>
      <c r="U3407" s="6" t="str">
        <f>IF($K3407="","",IF(ISNUMBER(SEARCH("sortie-epargne",IFERROR(INDEX('Paramètres'!$N:$N,MATCH($D3407,'Paramètres'!$M:$M,0))&amp;"",""))),$K3407,0))</f>
        <v/>
      </c>
      <c r="V3407" s="6" t="str">
        <f>IF(AND($A3407&lt;&gt;"",$O3407=1,$L3407="Débit",N($Q3407)&gt;0,$A3407&gt;=Visualisation!$B$1,$A3407&lt;Visualisation!$D$1),MAX($V$1:V3406)+1,"")</f>
        <v/>
      </c>
    </row>
    <row r="3408" spans="1:22" x14ac:dyDescent="0.25">
      <c r="A3408" s="9"/>
      <c r="E3408" s="10"/>
      <c r="K3408" s="11" t="str">
        <f>IF($E3408="","",ROUND($E3408*IF(ISNA(MATCH($C3408,'Paramètres'!$D:$D,0)),1,IF(INDEX('Paramètres'!$J:$J,MATCH($C3408,'Paramètres'!$D:$D,0))="",1,INDEX('Paramètres'!$J:$J,MATCH($C3408,'Paramètres'!$D:$D,0)))),2))</f>
        <v/>
      </c>
      <c r="L3408" s="6" t="str">
        <f>IF($D3408="","",IF($F3408&lt;&gt;"",$F3408,IF(ISNA(MATCH($D3408,'Paramètres'!$M:$M,0)),"⚠ Type inconnu",IFERROR(INDEX('Paramètres'!$P:$P,MATCH($D3408,'Paramètres'!$M:$M,0))&amp;"",""))))</f>
        <v/>
      </c>
      <c r="M3408" s="6" t="str">
        <f>IF($D3408="","",IF(ISNA(MATCH($D3408,'Paramètres'!$M:$M,0)),"⚠ Type inconnu",IF($L3408="Crédit","",IFERROR(INDEX('Paramètres'!$O:$O,MATCH($D3408,'Paramètres'!$M:$M,0))&amp;"",""))))</f>
        <v/>
      </c>
      <c r="N3408" s="6" t="str">
        <f>IF($D3408="","",IFERROR(INDEX('Paramètres'!$Q:$Q,MATCH($D3408,'Paramètres'!$M:$M,0))&amp;"",""))</f>
        <v/>
      </c>
      <c r="O3408" s="6" t="str">
        <f>IF($A3408="","",IF(OR($J3408&lt;&gt;"x",$A3408&lt;=FinReleve),1,0))</f>
        <v/>
      </c>
      <c r="P3408" s="6" t="str">
        <f>IF($D3408="","",IF(AND($L3408="Crédit",OR(IFERROR(INDEX('Paramètres'!$O:$O,MATCH($D3408,'Paramètres'!$M:$M,0))&amp;"","")&lt;&gt;"",ISNUMBER(SEARCH("remboursement",IFERROR(INDEX('Paramètres'!$N:$N,MATCH($D3408,'Paramètres'!$M:$M,0))&amp;"",""))))),1,0))</f>
        <v/>
      </c>
      <c r="Q3408" s="6" t="str">
        <f>IF($K3408="","",IF(ISNUMBER(SEARCH("transfert-interne",IFERROR(INDEX('Paramètres'!$N:$N,MATCH($D3408,'Paramètres'!$M:$M,0))&amp;"",""))),0,IF($L3408="Débit",$K3408,IF($P3408=1,-$K3408,0))))</f>
        <v/>
      </c>
      <c r="R3408" s="6" t="str">
        <f>IF($K3408="","",IF($L3408="Crédit",$K3408,-$K3408))</f>
        <v/>
      </c>
      <c r="S3408" s="6" t="str">
        <f>IF($C3408="","",IFERROR(INDEX('Paramètres'!$H:$H,MATCH($C3408,'Paramètres'!$D:$D,0))&amp;"",""))</f>
        <v/>
      </c>
      <c r="T3408" s="6" t="str">
        <f>IF($K3408="","",IF($S3408="",0,IF(ISNUMBER(SEARCH("apport-exterieur",IFERROR(INDEX('Paramètres'!$N:$N,MATCH($D3408,'Paramètres'!$M:$M,0))&amp;"",""))),0,IF(OR(IFERROR(INDEX('Paramètres'!$I:$I,MATCH($C3408,'Paramètres'!$D:$D,0))&amp;"","")="Les deux",IFERROR(INDEX('Paramètres'!$I:$I,MATCH($C3408,'Paramètres'!$D:$D,0))&amp;"","")=IF($P3408=1,"Débit",$L3408)),-IF($P3408=1,-$K3408,$K3408),0))))</f>
        <v/>
      </c>
      <c r="U3408" s="6" t="str">
        <f>IF($K3408="","",IF(ISNUMBER(SEARCH("sortie-epargne",IFERROR(INDEX('Paramètres'!$N:$N,MATCH($D3408,'Paramètres'!$M:$M,0))&amp;"",""))),$K3408,0))</f>
        <v/>
      </c>
      <c r="V3408" s="6" t="str">
        <f>IF(AND($A3408&lt;&gt;"",$O3408=1,$L3408="Débit",N($Q3408)&gt;0,$A3408&gt;=Visualisation!$B$1,$A3408&lt;Visualisation!$D$1),MAX($V$1:V3407)+1,"")</f>
        <v/>
      </c>
    </row>
    <row r="3409" spans="1:22" x14ac:dyDescent="0.25">
      <c r="A3409" s="9"/>
      <c r="E3409" s="10"/>
      <c r="K3409" s="11" t="str">
        <f>IF($E3409="","",ROUND($E3409*IF(ISNA(MATCH($C3409,'Paramètres'!$D:$D,0)),1,IF(INDEX('Paramètres'!$J:$J,MATCH($C3409,'Paramètres'!$D:$D,0))="",1,INDEX('Paramètres'!$J:$J,MATCH($C3409,'Paramètres'!$D:$D,0)))),2))</f>
        <v/>
      </c>
      <c r="L3409" s="6" t="str">
        <f>IF($D3409="","",IF($F3409&lt;&gt;"",$F3409,IF(ISNA(MATCH($D3409,'Paramètres'!$M:$M,0)),"⚠ Type inconnu",IFERROR(INDEX('Paramètres'!$P:$P,MATCH($D3409,'Paramètres'!$M:$M,0))&amp;"",""))))</f>
        <v/>
      </c>
      <c r="M3409" s="6" t="str">
        <f>IF($D3409="","",IF(ISNA(MATCH($D3409,'Paramètres'!$M:$M,0)),"⚠ Type inconnu",IF($L3409="Crédit","",IFERROR(INDEX('Paramètres'!$O:$O,MATCH($D3409,'Paramètres'!$M:$M,0))&amp;"",""))))</f>
        <v/>
      </c>
      <c r="N3409" s="6" t="str">
        <f>IF($D3409="","",IFERROR(INDEX('Paramètres'!$Q:$Q,MATCH($D3409,'Paramètres'!$M:$M,0))&amp;"",""))</f>
        <v/>
      </c>
      <c r="O3409" s="6" t="str">
        <f>IF($A3409="","",IF(OR($J3409&lt;&gt;"x",$A3409&lt;=FinReleve),1,0))</f>
        <v/>
      </c>
      <c r="P3409" s="6" t="str">
        <f>IF($D3409="","",IF(AND($L3409="Crédit",OR(IFERROR(INDEX('Paramètres'!$O:$O,MATCH($D3409,'Paramètres'!$M:$M,0))&amp;"","")&lt;&gt;"",ISNUMBER(SEARCH("remboursement",IFERROR(INDEX('Paramètres'!$N:$N,MATCH($D3409,'Paramètres'!$M:$M,0))&amp;"",""))))),1,0))</f>
        <v/>
      </c>
      <c r="Q3409" s="6" t="str">
        <f>IF($K3409="","",IF(ISNUMBER(SEARCH("transfert-interne",IFERROR(INDEX('Paramètres'!$N:$N,MATCH($D3409,'Paramètres'!$M:$M,0))&amp;"",""))),0,IF($L3409="Débit",$K3409,IF($P3409=1,-$K3409,0))))</f>
        <v/>
      </c>
      <c r="R3409" s="6" t="str">
        <f>IF($K3409="","",IF($L3409="Crédit",$K3409,-$K3409))</f>
        <v/>
      </c>
      <c r="S3409" s="6" t="str">
        <f>IF($C3409="","",IFERROR(INDEX('Paramètres'!$H:$H,MATCH($C3409,'Paramètres'!$D:$D,0))&amp;"",""))</f>
        <v/>
      </c>
      <c r="T3409" s="6" t="str">
        <f>IF($K3409="","",IF($S3409="",0,IF(ISNUMBER(SEARCH("apport-exterieur",IFERROR(INDEX('Paramètres'!$N:$N,MATCH($D3409,'Paramètres'!$M:$M,0))&amp;"",""))),0,IF(OR(IFERROR(INDEX('Paramètres'!$I:$I,MATCH($C3409,'Paramètres'!$D:$D,0))&amp;"","")="Les deux",IFERROR(INDEX('Paramètres'!$I:$I,MATCH($C3409,'Paramètres'!$D:$D,0))&amp;"","")=IF($P3409=1,"Débit",$L3409)),-IF($P3409=1,-$K3409,$K3409),0))))</f>
        <v/>
      </c>
      <c r="U3409" s="6" t="str">
        <f>IF($K3409="","",IF(ISNUMBER(SEARCH("sortie-epargne",IFERROR(INDEX('Paramètres'!$N:$N,MATCH($D3409,'Paramètres'!$M:$M,0))&amp;"",""))),$K3409,0))</f>
        <v/>
      </c>
      <c r="V3409" s="6" t="str">
        <f>IF(AND($A3409&lt;&gt;"",$O3409=1,$L3409="Débit",N($Q3409)&gt;0,$A3409&gt;=Visualisation!$B$1,$A3409&lt;Visualisation!$D$1),MAX($V$1:V3408)+1,"")</f>
        <v/>
      </c>
    </row>
    <row r="3410" spans="1:22" x14ac:dyDescent="0.25">
      <c r="A3410" s="9"/>
      <c r="E3410" s="10"/>
      <c r="K3410" s="11" t="str">
        <f>IF($E3410="","",ROUND($E3410*IF(ISNA(MATCH($C3410,'Paramètres'!$D:$D,0)),1,IF(INDEX('Paramètres'!$J:$J,MATCH($C3410,'Paramètres'!$D:$D,0))="",1,INDEX('Paramètres'!$J:$J,MATCH($C3410,'Paramètres'!$D:$D,0)))),2))</f>
        <v/>
      </c>
      <c r="L3410" s="6" t="str">
        <f>IF($D3410="","",IF($F3410&lt;&gt;"",$F3410,IF(ISNA(MATCH($D3410,'Paramètres'!$M:$M,0)),"⚠ Type inconnu",IFERROR(INDEX('Paramètres'!$P:$P,MATCH($D3410,'Paramètres'!$M:$M,0))&amp;"",""))))</f>
        <v/>
      </c>
      <c r="M3410" s="6" t="str">
        <f>IF($D3410="","",IF(ISNA(MATCH($D3410,'Paramètres'!$M:$M,0)),"⚠ Type inconnu",IF($L3410="Crédit","",IFERROR(INDEX('Paramètres'!$O:$O,MATCH($D3410,'Paramètres'!$M:$M,0))&amp;"",""))))</f>
        <v/>
      </c>
      <c r="N3410" s="6" t="str">
        <f>IF($D3410="","",IFERROR(INDEX('Paramètres'!$Q:$Q,MATCH($D3410,'Paramètres'!$M:$M,0))&amp;"",""))</f>
        <v/>
      </c>
      <c r="O3410" s="6" t="str">
        <f>IF($A3410="","",IF(OR($J3410&lt;&gt;"x",$A3410&lt;=FinReleve),1,0))</f>
        <v/>
      </c>
      <c r="P3410" s="6" t="str">
        <f>IF($D3410="","",IF(AND($L3410="Crédit",OR(IFERROR(INDEX('Paramètres'!$O:$O,MATCH($D3410,'Paramètres'!$M:$M,0))&amp;"","")&lt;&gt;"",ISNUMBER(SEARCH("remboursement",IFERROR(INDEX('Paramètres'!$N:$N,MATCH($D3410,'Paramètres'!$M:$M,0))&amp;"",""))))),1,0))</f>
        <v/>
      </c>
      <c r="Q3410" s="6" t="str">
        <f>IF($K3410="","",IF(ISNUMBER(SEARCH("transfert-interne",IFERROR(INDEX('Paramètres'!$N:$N,MATCH($D3410,'Paramètres'!$M:$M,0))&amp;"",""))),0,IF($L3410="Débit",$K3410,IF($P3410=1,-$K3410,0))))</f>
        <v/>
      </c>
      <c r="R3410" s="6" t="str">
        <f>IF($K3410="","",IF($L3410="Crédit",$K3410,-$K3410))</f>
        <v/>
      </c>
      <c r="S3410" s="6" t="str">
        <f>IF($C3410="","",IFERROR(INDEX('Paramètres'!$H:$H,MATCH($C3410,'Paramètres'!$D:$D,0))&amp;"",""))</f>
        <v/>
      </c>
      <c r="T3410" s="6" t="str">
        <f>IF($K3410="","",IF($S3410="",0,IF(ISNUMBER(SEARCH("apport-exterieur",IFERROR(INDEX('Paramètres'!$N:$N,MATCH($D3410,'Paramètres'!$M:$M,0))&amp;"",""))),0,IF(OR(IFERROR(INDEX('Paramètres'!$I:$I,MATCH($C3410,'Paramètres'!$D:$D,0))&amp;"","")="Les deux",IFERROR(INDEX('Paramètres'!$I:$I,MATCH($C3410,'Paramètres'!$D:$D,0))&amp;"","")=IF($P3410=1,"Débit",$L3410)),-IF($P3410=1,-$K3410,$K3410),0))))</f>
        <v/>
      </c>
      <c r="U3410" s="6" t="str">
        <f>IF($K3410="","",IF(ISNUMBER(SEARCH("sortie-epargne",IFERROR(INDEX('Paramètres'!$N:$N,MATCH($D3410,'Paramètres'!$M:$M,0))&amp;"",""))),$K3410,0))</f>
        <v/>
      </c>
      <c r="V3410" s="6" t="str">
        <f>IF(AND($A3410&lt;&gt;"",$O3410=1,$L3410="Débit",N($Q3410)&gt;0,$A3410&gt;=Visualisation!$B$1,$A3410&lt;Visualisation!$D$1),MAX($V$1:V3409)+1,"")</f>
        <v/>
      </c>
    </row>
    <row r="3411" spans="1:22" x14ac:dyDescent="0.25">
      <c r="A3411" s="9"/>
      <c r="E3411" s="10"/>
      <c r="K3411" s="11" t="str">
        <f>IF($E3411="","",ROUND($E3411*IF(ISNA(MATCH($C3411,'Paramètres'!$D:$D,0)),1,IF(INDEX('Paramètres'!$J:$J,MATCH($C3411,'Paramètres'!$D:$D,0))="",1,INDEX('Paramètres'!$J:$J,MATCH($C3411,'Paramètres'!$D:$D,0)))),2))</f>
        <v/>
      </c>
      <c r="L3411" s="6" t="str">
        <f>IF($D3411="","",IF($F3411&lt;&gt;"",$F3411,IF(ISNA(MATCH($D3411,'Paramètres'!$M:$M,0)),"⚠ Type inconnu",IFERROR(INDEX('Paramètres'!$P:$P,MATCH($D3411,'Paramètres'!$M:$M,0))&amp;"",""))))</f>
        <v/>
      </c>
      <c r="M3411" s="6" t="str">
        <f>IF($D3411="","",IF(ISNA(MATCH($D3411,'Paramètres'!$M:$M,0)),"⚠ Type inconnu",IF($L3411="Crédit","",IFERROR(INDEX('Paramètres'!$O:$O,MATCH($D3411,'Paramètres'!$M:$M,0))&amp;"",""))))</f>
        <v/>
      </c>
      <c r="N3411" s="6" t="str">
        <f>IF($D3411="","",IFERROR(INDEX('Paramètres'!$Q:$Q,MATCH($D3411,'Paramètres'!$M:$M,0))&amp;"",""))</f>
        <v/>
      </c>
      <c r="O3411" s="6" t="str">
        <f>IF($A3411="","",IF(OR($J3411&lt;&gt;"x",$A3411&lt;=FinReleve),1,0))</f>
        <v/>
      </c>
      <c r="P3411" s="6" t="str">
        <f>IF($D3411="","",IF(AND($L3411="Crédit",OR(IFERROR(INDEX('Paramètres'!$O:$O,MATCH($D3411,'Paramètres'!$M:$M,0))&amp;"","")&lt;&gt;"",ISNUMBER(SEARCH("remboursement",IFERROR(INDEX('Paramètres'!$N:$N,MATCH($D3411,'Paramètres'!$M:$M,0))&amp;"",""))))),1,0))</f>
        <v/>
      </c>
      <c r="Q3411" s="6" t="str">
        <f>IF($K3411="","",IF(ISNUMBER(SEARCH("transfert-interne",IFERROR(INDEX('Paramètres'!$N:$N,MATCH($D3411,'Paramètres'!$M:$M,0))&amp;"",""))),0,IF($L3411="Débit",$K3411,IF($P3411=1,-$K3411,0))))</f>
        <v/>
      </c>
      <c r="R3411" s="6" t="str">
        <f>IF($K3411="","",IF($L3411="Crédit",$K3411,-$K3411))</f>
        <v/>
      </c>
      <c r="S3411" s="6" t="str">
        <f>IF($C3411="","",IFERROR(INDEX('Paramètres'!$H:$H,MATCH($C3411,'Paramètres'!$D:$D,0))&amp;"",""))</f>
        <v/>
      </c>
      <c r="T3411" s="6" t="str">
        <f>IF($K3411="","",IF($S3411="",0,IF(ISNUMBER(SEARCH("apport-exterieur",IFERROR(INDEX('Paramètres'!$N:$N,MATCH($D3411,'Paramètres'!$M:$M,0))&amp;"",""))),0,IF(OR(IFERROR(INDEX('Paramètres'!$I:$I,MATCH($C3411,'Paramètres'!$D:$D,0))&amp;"","")="Les deux",IFERROR(INDEX('Paramètres'!$I:$I,MATCH($C3411,'Paramètres'!$D:$D,0))&amp;"","")=IF($P3411=1,"Débit",$L3411)),-IF($P3411=1,-$K3411,$K3411),0))))</f>
        <v/>
      </c>
      <c r="U3411" s="6" t="str">
        <f>IF($K3411="","",IF(ISNUMBER(SEARCH("sortie-epargne",IFERROR(INDEX('Paramètres'!$N:$N,MATCH($D3411,'Paramètres'!$M:$M,0))&amp;"",""))),$K3411,0))</f>
        <v/>
      </c>
      <c r="V3411" s="6" t="str">
        <f>IF(AND($A3411&lt;&gt;"",$O3411=1,$L3411="Débit",N($Q3411)&gt;0,$A3411&gt;=Visualisation!$B$1,$A3411&lt;Visualisation!$D$1),MAX($V$1:V3410)+1,"")</f>
        <v/>
      </c>
    </row>
    <row r="3412" spans="1:22" x14ac:dyDescent="0.25">
      <c r="A3412" s="9"/>
      <c r="E3412" s="10"/>
      <c r="K3412" s="11" t="str">
        <f>IF($E3412="","",ROUND($E3412*IF(ISNA(MATCH($C3412,'Paramètres'!$D:$D,0)),1,IF(INDEX('Paramètres'!$J:$J,MATCH($C3412,'Paramètres'!$D:$D,0))="",1,INDEX('Paramètres'!$J:$J,MATCH($C3412,'Paramètres'!$D:$D,0)))),2))</f>
        <v/>
      </c>
      <c r="L3412" s="6" t="str">
        <f>IF($D3412="","",IF($F3412&lt;&gt;"",$F3412,IF(ISNA(MATCH($D3412,'Paramètres'!$M:$M,0)),"⚠ Type inconnu",IFERROR(INDEX('Paramètres'!$P:$P,MATCH($D3412,'Paramètres'!$M:$M,0))&amp;"",""))))</f>
        <v/>
      </c>
      <c r="M3412" s="6" t="str">
        <f>IF($D3412="","",IF(ISNA(MATCH($D3412,'Paramètres'!$M:$M,0)),"⚠ Type inconnu",IF($L3412="Crédit","",IFERROR(INDEX('Paramètres'!$O:$O,MATCH($D3412,'Paramètres'!$M:$M,0))&amp;"",""))))</f>
        <v/>
      </c>
      <c r="N3412" s="6" t="str">
        <f>IF($D3412="","",IFERROR(INDEX('Paramètres'!$Q:$Q,MATCH($D3412,'Paramètres'!$M:$M,0))&amp;"",""))</f>
        <v/>
      </c>
      <c r="O3412" s="6" t="str">
        <f>IF($A3412="","",IF(OR($J3412&lt;&gt;"x",$A3412&lt;=FinReleve),1,0))</f>
        <v/>
      </c>
      <c r="P3412" s="6" t="str">
        <f>IF($D3412="","",IF(AND($L3412="Crédit",OR(IFERROR(INDEX('Paramètres'!$O:$O,MATCH($D3412,'Paramètres'!$M:$M,0))&amp;"","")&lt;&gt;"",ISNUMBER(SEARCH("remboursement",IFERROR(INDEX('Paramètres'!$N:$N,MATCH($D3412,'Paramètres'!$M:$M,0))&amp;"",""))))),1,0))</f>
        <v/>
      </c>
      <c r="Q3412" s="6" t="str">
        <f>IF($K3412="","",IF(ISNUMBER(SEARCH("transfert-interne",IFERROR(INDEX('Paramètres'!$N:$N,MATCH($D3412,'Paramètres'!$M:$M,0))&amp;"",""))),0,IF($L3412="Débit",$K3412,IF($P3412=1,-$K3412,0))))</f>
        <v/>
      </c>
      <c r="R3412" s="6" t="str">
        <f>IF($K3412="","",IF($L3412="Crédit",$K3412,-$K3412))</f>
        <v/>
      </c>
      <c r="S3412" s="6" t="str">
        <f>IF($C3412="","",IFERROR(INDEX('Paramètres'!$H:$H,MATCH($C3412,'Paramètres'!$D:$D,0))&amp;"",""))</f>
        <v/>
      </c>
      <c r="T3412" s="6" t="str">
        <f>IF($K3412="","",IF($S3412="",0,IF(ISNUMBER(SEARCH("apport-exterieur",IFERROR(INDEX('Paramètres'!$N:$N,MATCH($D3412,'Paramètres'!$M:$M,0))&amp;"",""))),0,IF(OR(IFERROR(INDEX('Paramètres'!$I:$I,MATCH($C3412,'Paramètres'!$D:$D,0))&amp;"","")="Les deux",IFERROR(INDEX('Paramètres'!$I:$I,MATCH($C3412,'Paramètres'!$D:$D,0))&amp;"","")=IF($P3412=1,"Débit",$L3412)),-IF($P3412=1,-$K3412,$K3412),0))))</f>
        <v/>
      </c>
      <c r="U3412" s="6" t="str">
        <f>IF($K3412="","",IF(ISNUMBER(SEARCH("sortie-epargne",IFERROR(INDEX('Paramètres'!$N:$N,MATCH($D3412,'Paramètres'!$M:$M,0))&amp;"",""))),$K3412,0))</f>
        <v/>
      </c>
      <c r="V3412" s="6" t="str">
        <f>IF(AND($A3412&lt;&gt;"",$O3412=1,$L3412="Débit",N($Q3412)&gt;0,$A3412&gt;=Visualisation!$B$1,$A3412&lt;Visualisation!$D$1),MAX($V$1:V3411)+1,"")</f>
        <v/>
      </c>
    </row>
    <row r="3413" spans="1:22" x14ac:dyDescent="0.25">
      <c r="A3413" s="9"/>
      <c r="E3413" s="10"/>
      <c r="K3413" s="11" t="str">
        <f>IF($E3413="","",ROUND($E3413*IF(ISNA(MATCH($C3413,'Paramètres'!$D:$D,0)),1,IF(INDEX('Paramètres'!$J:$J,MATCH($C3413,'Paramètres'!$D:$D,0))="",1,INDEX('Paramètres'!$J:$J,MATCH($C3413,'Paramètres'!$D:$D,0)))),2))</f>
        <v/>
      </c>
      <c r="L3413" s="6" t="str">
        <f>IF($D3413="","",IF($F3413&lt;&gt;"",$F3413,IF(ISNA(MATCH($D3413,'Paramètres'!$M:$M,0)),"⚠ Type inconnu",IFERROR(INDEX('Paramètres'!$P:$P,MATCH($D3413,'Paramètres'!$M:$M,0))&amp;"",""))))</f>
        <v/>
      </c>
      <c r="M3413" s="6" t="str">
        <f>IF($D3413="","",IF(ISNA(MATCH($D3413,'Paramètres'!$M:$M,0)),"⚠ Type inconnu",IF($L3413="Crédit","",IFERROR(INDEX('Paramètres'!$O:$O,MATCH($D3413,'Paramètres'!$M:$M,0))&amp;"",""))))</f>
        <v/>
      </c>
      <c r="N3413" s="6" t="str">
        <f>IF($D3413="","",IFERROR(INDEX('Paramètres'!$Q:$Q,MATCH($D3413,'Paramètres'!$M:$M,0))&amp;"",""))</f>
        <v/>
      </c>
      <c r="O3413" s="6" t="str">
        <f>IF($A3413="","",IF(OR($J3413&lt;&gt;"x",$A3413&lt;=FinReleve),1,0))</f>
        <v/>
      </c>
      <c r="P3413" s="6" t="str">
        <f>IF($D3413="","",IF(AND($L3413="Crédit",OR(IFERROR(INDEX('Paramètres'!$O:$O,MATCH($D3413,'Paramètres'!$M:$M,0))&amp;"","")&lt;&gt;"",ISNUMBER(SEARCH("remboursement",IFERROR(INDEX('Paramètres'!$N:$N,MATCH($D3413,'Paramètres'!$M:$M,0))&amp;"",""))))),1,0))</f>
        <v/>
      </c>
      <c r="Q3413" s="6" t="str">
        <f>IF($K3413="","",IF(ISNUMBER(SEARCH("transfert-interne",IFERROR(INDEX('Paramètres'!$N:$N,MATCH($D3413,'Paramètres'!$M:$M,0))&amp;"",""))),0,IF($L3413="Débit",$K3413,IF($P3413=1,-$K3413,0))))</f>
        <v/>
      </c>
      <c r="R3413" s="6" t="str">
        <f>IF($K3413="","",IF($L3413="Crédit",$K3413,-$K3413))</f>
        <v/>
      </c>
      <c r="S3413" s="6" t="str">
        <f>IF($C3413="","",IFERROR(INDEX('Paramètres'!$H:$H,MATCH($C3413,'Paramètres'!$D:$D,0))&amp;"",""))</f>
        <v/>
      </c>
      <c r="T3413" s="6" t="str">
        <f>IF($K3413="","",IF($S3413="",0,IF(ISNUMBER(SEARCH("apport-exterieur",IFERROR(INDEX('Paramètres'!$N:$N,MATCH($D3413,'Paramètres'!$M:$M,0))&amp;"",""))),0,IF(OR(IFERROR(INDEX('Paramètres'!$I:$I,MATCH($C3413,'Paramètres'!$D:$D,0))&amp;"","")="Les deux",IFERROR(INDEX('Paramètres'!$I:$I,MATCH($C3413,'Paramètres'!$D:$D,0))&amp;"","")=IF($P3413=1,"Débit",$L3413)),-IF($P3413=1,-$K3413,$K3413),0))))</f>
        <v/>
      </c>
      <c r="U3413" s="6" t="str">
        <f>IF($K3413="","",IF(ISNUMBER(SEARCH("sortie-epargne",IFERROR(INDEX('Paramètres'!$N:$N,MATCH($D3413,'Paramètres'!$M:$M,0))&amp;"",""))),$K3413,0))</f>
        <v/>
      </c>
      <c r="V3413" s="6" t="str">
        <f>IF(AND($A3413&lt;&gt;"",$O3413=1,$L3413="Débit",N($Q3413)&gt;0,$A3413&gt;=Visualisation!$B$1,$A3413&lt;Visualisation!$D$1),MAX($V$1:V3412)+1,"")</f>
        <v/>
      </c>
    </row>
    <row r="3414" spans="1:22" x14ac:dyDescent="0.25">
      <c r="A3414" s="9"/>
      <c r="E3414" s="10"/>
      <c r="K3414" s="11" t="str">
        <f>IF($E3414="","",ROUND($E3414*IF(ISNA(MATCH($C3414,'Paramètres'!$D:$D,0)),1,IF(INDEX('Paramètres'!$J:$J,MATCH($C3414,'Paramètres'!$D:$D,0))="",1,INDEX('Paramètres'!$J:$J,MATCH($C3414,'Paramètres'!$D:$D,0)))),2))</f>
        <v/>
      </c>
      <c r="L3414" s="6" t="str">
        <f>IF($D3414="","",IF($F3414&lt;&gt;"",$F3414,IF(ISNA(MATCH($D3414,'Paramètres'!$M:$M,0)),"⚠ Type inconnu",IFERROR(INDEX('Paramètres'!$P:$P,MATCH($D3414,'Paramètres'!$M:$M,0))&amp;"",""))))</f>
        <v/>
      </c>
      <c r="M3414" s="6" t="str">
        <f>IF($D3414="","",IF(ISNA(MATCH($D3414,'Paramètres'!$M:$M,0)),"⚠ Type inconnu",IF($L3414="Crédit","",IFERROR(INDEX('Paramètres'!$O:$O,MATCH($D3414,'Paramètres'!$M:$M,0))&amp;"",""))))</f>
        <v/>
      </c>
      <c r="N3414" s="6" t="str">
        <f>IF($D3414="","",IFERROR(INDEX('Paramètres'!$Q:$Q,MATCH($D3414,'Paramètres'!$M:$M,0))&amp;"",""))</f>
        <v/>
      </c>
      <c r="O3414" s="6" t="str">
        <f>IF($A3414="","",IF(OR($J3414&lt;&gt;"x",$A3414&lt;=FinReleve),1,0))</f>
        <v/>
      </c>
      <c r="P3414" s="6" t="str">
        <f>IF($D3414="","",IF(AND($L3414="Crédit",OR(IFERROR(INDEX('Paramètres'!$O:$O,MATCH($D3414,'Paramètres'!$M:$M,0))&amp;"","")&lt;&gt;"",ISNUMBER(SEARCH("remboursement",IFERROR(INDEX('Paramètres'!$N:$N,MATCH($D3414,'Paramètres'!$M:$M,0))&amp;"",""))))),1,0))</f>
        <v/>
      </c>
      <c r="Q3414" s="6" t="str">
        <f>IF($K3414="","",IF(ISNUMBER(SEARCH("transfert-interne",IFERROR(INDEX('Paramètres'!$N:$N,MATCH($D3414,'Paramètres'!$M:$M,0))&amp;"",""))),0,IF($L3414="Débit",$K3414,IF($P3414=1,-$K3414,0))))</f>
        <v/>
      </c>
      <c r="R3414" s="6" t="str">
        <f>IF($K3414="","",IF($L3414="Crédit",$K3414,-$K3414))</f>
        <v/>
      </c>
      <c r="S3414" s="6" t="str">
        <f>IF($C3414="","",IFERROR(INDEX('Paramètres'!$H:$H,MATCH($C3414,'Paramètres'!$D:$D,0))&amp;"",""))</f>
        <v/>
      </c>
      <c r="T3414" s="6" t="str">
        <f>IF($K3414="","",IF($S3414="",0,IF(ISNUMBER(SEARCH("apport-exterieur",IFERROR(INDEX('Paramètres'!$N:$N,MATCH($D3414,'Paramètres'!$M:$M,0))&amp;"",""))),0,IF(OR(IFERROR(INDEX('Paramètres'!$I:$I,MATCH($C3414,'Paramètres'!$D:$D,0))&amp;"","")="Les deux",IFERROR(INDEX('Paramètres'!$I:$I,MATCH($C3414,'Paramètres'!$D:$D,0))&amp;"","")=IF($P3414=1,"Débit",$L3414)),-IF($P3414=1,-$K3414,$K3414),0))))</f>
        <v/>
      </c>
      <c r="U3414" s="6" t="str">
        <f>IF($K3414="","",IF(ISNUMBER(SEARCH("sortie-epargne",IFERROR(INDEX('Paramètres'!$N:$N,MATCH($D3414,'Paramètres'!$M:$M,0))&amp;"",""))),$K3414,0))</f>
        <v/>
      </c>
      <c r="V3414" s="6" t="str">
        <f>IF(AND($A3414&lt;&gt;"",$O3414=1,$L3414="Débit",N($Q3414)&gt;0,$A3414&gt;=Visualisation!$B$1,$A3414&lt;Visualisation!$D$1),MAX($V$1:V3413)+1,"")</f>
        <v/>
      </c>
    </row>
    <row r="3415" spans="1:22" x14ac:dyDescent="0.25">
      <c r="A3415" s="9"/>
      <c r="E3415" s="10"/>
      <c r="K3415" s="11" t="str">
        <f>IF($E3415="","",ROUND($E3415*IF(ISNA(MATCH($C3415,'Paramètres'!$D:$D,0)),1,IF(INDEX('Paramètres'!$J:$J,MATCH($C3415,'Paramètres'!$D:$D,0))="",1,INDEX('Paramètres'!$J:$J,MATCH($C3415,'Paramètres'!$D:$D,0)))),2))</f>
        <v/>
      </c>
      <c r="L3415" s="6" t="str">
        <f>IF($D3415="","",IF($F3415&lt;&gt;"",$F3415,IF(ISNA(MATCH($D3415,'Paramètres'!$M:$M,0)),"⚠ Type inconnu",IFERROR(INDEX('Paramètres'!$P:$P,MATCH($D3415,'Paramètres'!$M:$M,0))&amp;"",""))))</f>
        <v/>
      </c>
      <c r="M3415" s="6" t="str">
        <f>IF($D3415="","",IF(ISNA(MATCH($D3415,'Paramètres'!$M:$M,0)),"⚠ Type inconnu",IF($L3415="Crédit","",IFERROR(INDEX('Paramètres'!$O:$O,MATCH($D3415,'Paramètres'!$M:$M,0))&amp;"",""))))</f>
        <v/>
      </c>
      <c r="N3415" s="6" t="str">
        <f>IF($D3415="","",IFERROR(INDEX('Paramètres'!$Q:$Q,MATCH($D3415,'Paramètres'!$M:$M,0))&amp;"",""))</f>
        <v/>
      </c>
      <c r="O3415" s="6" t="str">
        <f>IF($A3415="","",IF(OR($J3415&lt;&gt;"x",$A3415&lt;=FinReleve),1,0))</f>
        <v/>
      </c>
      <c r="P3415" s="6" t="str">
        <f>IF($D3415="","",IF(AND($L3415="Crédit",OR(IFERROR(INDEX('Paramètres'!$O:$O,MATCH($D3415,'Paramètres'!$M:$M,0))&amp;"","")&lt;&gt;"",ISNUMBER(SEARCH("remboursement",IFERROR(INDEX('Paramètres'!$N:$N,MATCH($D3415,'Paramètres'!$M:$M,0))&amp;"",""))))),1,0))</f>
        <v/>
      </c>
      <c r="Q3415" s="6" t="str">
        <f>IF($K3415="","",IF(ISNUMBER(SEARCH("transfert-interne",IFERROR(INDEX('Paramètres'!$N:$N,MATCH($D3415,'Paramètres'!$M:$M,0))&amp;"",""))),0,IF($L3415="Débit",$K3415,IF($P3415=1,-$K3415,0))))</f>
        <v/>
      </c>
      <c r="R3415" s="6" t="str">
        <f>IF($K3415="","",IF($L3415="Crédit",$K3415,-$K3415))</f>
        <v/>
      </c>
      <c r="S3415" s="6" t="str">
        <f>IF($C3415="","",IFERROR(INDEX('Paramètres'!$H:$H,MATCH($C3415,'Paramètres'!$D:$D,0))&amp;"",""))</f>
        <v/>
      </c>
      <c r="T3415" s="6" t="str">
        <f>IF($K3415="","",IF($S3415="",0,IF(ISNUMBER(SEARCH("apport-exterieur",IFERROR(INDEX('Paramètres'!$N:$N,MATCH($D3415,'Paramètres'!$M:$M,0))&amp;"",""))),0,IF(OR(IFERROR(INDEX('Paramètres'!$I:$I,MATCH($C3415,'Paramètres'!$D:$D,0))&amp;"","")="Les deux",IFERROR(INDEX('Paramètres'!$I:$I,MATCH($C3415,'Paramètres'!$D:$D,0))&amp;"","")=IF($P3415=1,"Débit",$L3415)),-IF($P3415=1,-$K3415,$K3415),0))))</f>
        <v/>
      </c>
      <c r="U3415" s="6" t="str">
        <f>IF($K3415="","",IF(ISNUMBER(SEARCH("sortie-epargne",IFERROR(INDEX('Paramètres'!$N:$N,MATCH($D3415,'Paramètres'!$M:$M,0))&amp;"",""))),$K3415,0))</f>
        <v/>
      </c>
      <c r="V3415" s="6" t="str">
        <f>IF(AND($A3415&lt;&gt;"",$O3415=1,$L3415="Débit",N($Q3415)&gt;0,$A3415&gt;=Visualisation!$B$1,$A3415&lt;Visualisation!$D$1),MAX($V$1:V3414)+1,"")</f>
        <v/>
      </c>
    </row>
    <row r="3416" spans="1:22" x14ac:dyDescent="0.25">
      <c r="A3416" s="9"/>
      <c r="E3416" s="10"/>
      <c r="K3416" s="11" t="str">
        <f>IF($E3416="","",ROUND($E3416*IF(ISNA(MATCH($C3416,'Paramètres'!$D:$D,0)),1,IF(INDEX('Paramètres'!$J:$J,MATCH($C3416,'Paramètres'!$D:$D,0))="",1,INDEX('Paramètres'!$J:$J,MATCH($C3416,'Paramètres'!$D:$D,0)))),2))</f>
        <v/>
      </c>
      <c r="L3416" s="6" t="str">
        <f>IF($D3416="","",IF($F3416&lt;&gt;"",$F3416,IF(ISNA(MATCH($D3416,'Paramètres'!$M:$M,0)),"⚠ Type inconnu",IFERROR(INDEX('Paramètres'!$P:$P,MATCH($D3416,'Paramètres'!$M:$M,0))&amp;"",""))))</f>
        <v/>
      </c>
      <c r="M3416" s="6" t="str">
        <f>IF($D3416="","",IF(ISNA(MATCH($D3416,'Paramètres'!$M:$M,0)),"⚠ Type inconnu",IF($L3416="Crédit","",IFERROR(INDEX('Paramètres'!$O:$O,MATCH($D3416,'Paramètres'!$M:$M,0))&amp;"",""))))</f>
        <v/>
      </c>
      <c r="N3416" s="6" t="str">
        <f>IF($D3416="","",IFERROR(INDEX('Paramètres'!$Q:$Q,MATCH($D3416,'Paramètres'!$M:$M,0))&amp;"",""))</f>
        <v/>
      </c>
      <c r="O3416" s="6" t="str">
        <f>IF($A3416="","",IF(OR($J3416&lt;&gt;"x",$A3416&lt;=FinReleve),1,0))</f>
        <v/>
      </c>
      <c r="P3416" s="6" t="str">
        <f>IF($D3416="","",IF(AND($L3416="Crédit",OR(IFERROR(INDEX('Paramètres'!$O:$O,MATCH($D3416,'Paramètres'!$M:$M,0))&amp;"","")&lt;&gt;"",ISNUMBER(SEARCH("remboursement",IFERROR(INDEX('Paramètres'!$N:$N,MATCH($D3416,'Paramètres'!$M:$M,0))&amp;"",""))))),1,0))</f>
        <v/>
      </c>
      <c r="Q3416" s="6" t="str">
        <f>IF($K3416="","",IF(ISNUMBER(SEARCH("transfert-interne",IFERROR(INDEX('Paramètres'!$N:$N,MATCH($D3416,'Paramètres'!$M:$M,0))&amp;"",""))),0,IF($L3416="Débit",$K3416,IF($P3416=1,-$K3416,0))))</f>
        <v/>
      </c>
      <c r="R3416" s="6" t="str">
        <f>IF($K3416="","",IF($L3416="Crédit",$K3416,-$K3416))</f>
        <v/>
      </c>
      <c r="S3416" s="6" t="str">
        <f>IF($C3416="","",IFERROR(INDEX('Paramètres'!$H:$H,MATCH($C3416,'Paramètres'!$D:$D,0))&amp;"",""))</f>
        <v/>
      </c>
      <c r="T3416" s="6" t="str">
        <f>IF($K3416="","",IF($S3416="",0,IF(ISNUMBER(SEARCH("apport-exterieur",IFERROR(INDEX('Paramètres'!$N:$N,MATCH($D3416,'Paramètres'!$M:$M,0))&amp;"",""))),0,IF(OR(IFERROR(INDEX('Paramètres'!$I:$I,MATCH($C3416,'Paramètres'!$D:$D,0))&amp;"","")="Les deux",IFERROR(INDEX('Paramètres'!$I:$I,MATCH($C3416,'Paramètres'!$D:$D,0))&amp;"","")=IF($P3416=1,"Débit",$L3416)),-IF($P3416=1,-$K3416,$K3416),0))))</f>
        <v/>
      </c>
      <c r="U3416" s="6" t="str">
        <f>IF($K3416="","",IF(ISNUMBER(SEARCH("sortie-epargne",IFERROR(INDEX('Paramètres'!$N:$N,MATCH($D3416,'Paramètres'!$M:$M,0))&amp;"",""))),$K3416,0))</f>
        <v/>
      </c>
      <c r="V3416" s="6" t="str">
        <f>IF(AND($A3416&lt;&gt;"",$O3416=1,$L3416="Débit",N($Q3416)&gt;0,$A3416&gt;=Visualisation!$B$1,$A3416&lt;Visualisation!$D$1),MAX($V$1:V3415)+1,"")</f>
        <v/>
      </c>
    </row>
    <row r="3417" spans="1:22" x14ac:dyDescent="0.25">
      <c r="A3417" s="9"/>
      <c r="E3417" s="10"/>
      <c r="K3417" s="11" t="str">
        <f>IF($E3417="","",ROUND($E3417*IF(ISNA(MATCH($C3417,'Paramètres'!$D:$D,0)),1,IF(INDEX('Paramètres'!$J:$J,MATCH($C3417,'Paramètres'!$D:$D,0))="",1,INDEX('Paramètres'!$J:$J,MATCH($C3417,'Paramètres'!$D:$D,0)))),2))</f>
        <v/>
      </c>
      <c r="L3417" s="6" t="str">
        <f>IF($D3417="","",IF($F3417&lt;&gt;"",$F3417,IF(ISNA(MATCH($D3417,'Paramètres'!$M:$M,0)),"⚠ Type inconnu",IFERROR(INDEX('Paramètres'!$P:$P,MATCH($D3417,'Paramètres'!$M:$M,0))&amp;"",""))))</f>
        <v/>
      </c>
      <c r="M3417" s="6" t="str">
        <f>IF($D3417="","",IF(ISNA(MATCH($D3417,'Paramètres'!$M:$M,0)),"⚠ Type inconnu",IF($L3417="Crédit","",IFERROR(INDEX('Paramètres'!$O:$O,MATCH($D3417,'Paramètres'!$M:$M,0))&amp;"",""))))</f>
        <v/>
      </c>
      <c r="N3417" s="6" t="str">
        <f>IF($D3417="","",IFERROR(INDEX('Paramètres'!$Q:$Q,MATCH($D3417,'Paramètres'!$M:$M,0))&amp;"",""))</f>
        <v/>
      </c>
      <c r="O3417" s="6" t="str">
        <f>IF($A3417="","",IF(OR($J3417&lt;&gt;"x",$A3417&lt;=FinReleve),1,0))</f>
        <v/>
      </c>
      <c r="P3417" s="6" t="str">
        <f>IF($D3417="","",IF(AND($L3417="Crédit",OR(IFERROR(INDEX('Paramètres'!$O:$O,MATCH($D3417,'Paramètres'!$M:$M,0))&amp;"","")&lt;&gt;"",ISNUMBER(SEARCH("remboursement",IFERROR(INDEX('Paramètres'!$N:$N,MATCH($D3417,'Paramètres'!$M:$M,0))&amp;"",""))))),1,0))</f>
        <v/>
      </c>
      <c r="Q3417" s="6" t="str">
        <f>IF($K3417="","",IF(ISNUMBER(SEARCH("transfert-interne",IFERROR(INDEX('Paramètres'!$N:$N,MATCH($D3417,'Paramètres'!$M:$M,0))&amp;"",""))),0,IF($L3417="Débit",$K3417,IF($P3417=1,-$K3417,0))))</f>
        <v/>
      </c>
      <c r="R3417" s="6" t="str">
        <f>IF($K3417="","",IF($L3417="Crédit",$K3417,-$K3417))</f>
        <v/>
      </c>
      <c r="S3417" s="6" t="str">
        <f>IF($C3417="","",IFERROR(INDEX('Paramètres'!$H:$H,MATCH($C3417,'Paramètres'!$D:$D,0))&amp;"",""))</f>
        <v/>
      </c>
      <c r="T3417" s="6" t="str">
        <f>IF($K3417="","",IF($S3417="",0,IF(ISNUMBER(SEARCH("apport-exterieur",IFERROR(INDEX('Paramètres'!$N:$N,MATCH($D3417,'Paramètres'!$M:$M,0))&amp;"",""))),0,IF(OR(IFERROR(INDEX('Paramètres'!$I:$I,MATCH($C3417,'Paramètres'!$D:$D,0))&amp;"","")="Les deux",IFERROR(INDEX('Paramètres'!$I:$I,MATCH($C3417,'Paramètres'!$D:$D,0))&amp;"","")=IF($P3417=1,"Débit",$L3417)),-IF($P3417=1,-$K3417,$K3417),0))))</f>
        <v/>
      </c>
      <c r="U3417" s="6" t="str">
        <f>IF($K3417="","",IF(ISNUMBER(SEARCH("sortie-epargne",IFERROR(INDEX('Paramètres'!$N:$N,MATCH($D3417,'Paramètres'!$M:$M,0))&amp;"",""))),$K3417,0))</f>
        <v/>
      </c>
      <c r="V3417" s="6" t="str">
        <f>IF(AND($A3417&lt;&gt;"",$O3417=1,$L3417="Débit",N($Q3417)&gt;0,$A3417&gt;=Visualisation!$B$1,$A3417&lt;Visualisation!$D$1),MAX($V$1:V3416)+1,"")</f>
        <v/>
      </c>
    </row>
    <row r="3418" spans="1:22" x14ac:dyDescent="0.25">
      <c r="A3418" s="9"/>
      <c r="E3418" s="10"/>
      <c r="K3418" s="11" t="str">
        <f>IF($E3418="","",ROUND($E3418*IF(ISNA(MATCH($C3418,'Paramètres'!$D:$D,0)),1,IF(INDEX('Paramètres'!$J:$J,MATCH($C3418,'Paramètres'!$D:$D,0))="",1,INDEX('Paramètres'!$J:$J,MATCH($C3418,'Paramètres'!$D:$D,0)))),2))</f>
        <v/>
      </c>
      <c r="L3418" s="6" t="str">
        <f>IF($D3418="","",IF($F3418&lt;&gt;"",$F3418,IF(ISNA(MATCH($D3418,'Paramètres'!$M:$M,0)),"⚠ Type inconnu",IFERROR(INDEX('Paramètres'!$P:$P,MATCH($D3418,'Paramètres'!$M:$M,0))&amp;"",""))))</f>
        <v/>
      </c>
      <c r="M3418" s="6" t="str">
        <f>IF($D3418="","",IF(ISNA(MATCH($D3418,'Paramètres'!$M:$M,0)),"⚠ Type inconnu",IF($L3418="Crédit","",IFERROR(INDEX('Paramètres'!$O:$O,MATCH($D3418,'Paramètres'!$M:$M,0))&amp;"",""))))</f>
        <v/>
      </c>
      <c r="N3418" s="6" t="str">
        <f>IF($D3418="","",IFERROR(INDEX('Paramètres'!$Q:$Q,MATCH($D3418,'Paramètres'!$M:$M,0))&amp;"",""))</f>
        <v/>
      </c>
      <c r="O3418" s="6" t="str">
        <f>IF($A3418="","",IF(OR($J3418&lt;&gt;"x",$A3418&lt;=FinReleve),1,0))</f>
        <v/>
      </c>
      <c r="P3418" s="6" t="str">
        <f>IF($D3418="","",IF(AND($L3418="Crédit",OR(IFERROR(INDEX('Paramètres'!$O:$O,MATCH($D3418,'Paramètres'!$M:$M,0))&amp;"","")&lt;&gt;"",ISNUMBER(SEARCH("remboursement",IFERROR(INDEX('Paramètres'!$N:$N,MATCH($D3418,'Paramètres'!$M:$M,0))&amp;"",""))))),1,0))</f>
        <v/>
      </c>
      <c r="Q3418" s="6" t="str">
        <f>IF($K3418="","",IF(ISNUMBER(SEARCH("transfert-interne",IFERROR(INDEX('Paramètres'!$N:$N,MATCH($D3418,'Paramètres'!$M:$M,0))&amp;"",""))),0,IF($L3418="Débit",$K3418,IF($P3418=1,-$K3418,0))))</f>
        <v/>
      </c>
      <c r="R3418" s="6" t="str">
        <f>IF($K3418="","",IF($L3418="Crédit",$K3418,-$K3418))</f>
        <v/>
      </c>
      <c r="S3418" s="6" t="str">
        <f>IF($C3418="","",IFERROR(INDEX('Paramètres'!$H:$H,MATCH($C3418,'Paramètres'!$D:$D,0))&amp;"",""))</f>
        <v/>
      </c>
      <c r="T3418" s="6" t="str">
        <f>IF($K3418="","",IF($S3418="",0,IF(ISNUMBER(SEARCH("apport-exterieur",IFERROR(INDEX('Paramètres'!$N:$N,MATCH($D3418,'Paramètres'!$M:$M,0))&amp;"",""))),0,IF(OR(IFERROR(INDEX('Paramètres'!$I:$I,MATCH($C3418,'Paramètres'!$D:$D,0))&amp;"","")="Les deux",IFERROR(INDEX('Paramètres'!$I:$I,MATCH($C3418,'Paramètres'!$D:$D,0))&amp;"","")=IF($P3418=1,"Débit",$L3418)),-IF($P3418=1,-$K3418,$K3418),0))))</f>
        <v/>
      </c>
      <c r="U3418" s="6" t="str">
        <f>IF($K3418="","",IF(ISNUMBER(SEARCH("sortie-epargne",IFERROR(INDEX('Paramètres'!$N:$N,MATCH($D3418,'Paramètres'!$M:$M,0))&amp;"",""))),$K3418,0))</f>
        <v/>
      </c>
      <c r="V3418" s="6" t="str">
        <f>IF(AND($A3418&lt;&gt;"",$O3418=1,$L3418="Débit",N($Q3418)&gt;0,$A3418&gt;=Visualisation!$B$1,$A3418&lt;Visualisation!$D$1),MAX($V$1:V3417)+1,"")</f>
        <v/>
      </c>
    </row>
    <row r="3419" spans="1:22" x14ac:dyDescent="0.25">
      <c r="A3419" s="9"/>
      <c r="E3419" s="10"/>
      <c r="K3419" s="11" t="str">
        <f>IF($E3419="","",ROUND($E3419*IF(ISNA(MATCH($C3419,'Paramètres'!$D:$D,0)),1,IF(INDEX('Paramètres'!$J:$J,MATCH($C3419,'Paramètres'!$D:$D,0))="",1,INDEX('Paramètres'!$J:$J,MATCH($C3419,'Paramètres'!$D:$D,0)))),2))</f>
        <v/>
      </c>
      <c r="L3419" s="6" t="str">
        <f>IF($D3419="","",IF($F3419&lt;&gt;"",$F3419,IF(ISNA(MATCH($D3419,'Paramètres'!$M:$M,0)),"⚠ Type inconnu",IFERROR(INDEX('Paramètres'!$P:$P,MATCH($D3419,'Paramètres'!$M:$M,0))&amp;"",""))))</f>
        <v/>
      </c>
      <c r="M3419" s="6" t="str">
        <f>IF($D3419="","",IF(ISNA(MATCH($D3419,'Paramètres'!$M:$M,0)),"⚠ Type inconnu",IF($L3419="Crédit","",IFERROR(INDEX('Paramètres'!$O:$O,MATCH($D3419,'Paramètres'!$M:$M,0))&amp;"",""))))</f>
        <v/>
      </c>
      <c r="N3419" s="6" t="str">
        <f>IF($D3419="","",IFERROR(INDEX('Paramètres'!$Q:$Q,MATCH($D3419,'Paramètres'!$M:$M,0))&amp;"",""))</f>
        <v/>
      </c>
      <c r="O3419" s="6" t="str">
        <f>IF($A3419="","",IF(OR($J3419&lt;&gt;"x",$A3419&lt;=FinReleve),1,0))</f>
        <v/>
      </c>
      <c r="P3419" s="6" t="str">
        <f>IF($D3419="","",IF(AND($L3419="Crédit",OR(IFERROR(INDEX('Paramètres'!$O:$O,MATCH($D3419,'Paramètres'!$M:$M,0))&amp;"","")&lt;&gt;"",ISNUMBER(SEARCH("remboursement",IFERROR(INDEX('Paramètres'!$N:$N,MATCH($D3419,'Paramètres'!$M:$M,0))&amp;"",""))))),1,0))</f>
        <v/>
      </c>
      <c r="Q3419" s="6" t="str">
        <f>IF($K3419="","",IF(ISNUMBER(SEARCH("transfert-interne",IFERROR(INDEX('Paramètres'!$N:$N,MATCH($D3419,'Paramètres'!$M:$M,0))&amp;"",""))),0,IF($L3419="Débit",$K3419,IF($P3419=1,-$K3419,0))))</f>
        <v/>
      </c>
      <c r="R3419" s="6" t="str">
        <f>IF($K3419="","",IF($L3419="Crédit",$K3419,-$K3419))</f>
        <v/>
      </c>
      <c r="S3419" s="6" t="str">
        <f>IF($C3419="","",IFERROR(INDEX('Paramètres'!$H:$H,MATCH($C3419,'Paramètres'!$D:$D,0))&amp;"",""))</f>
        <v/>
      </c>
      <c r="T3419" s="6" t="str">
        <f>IF($K3419="","",IF($S3419="",0,IF(ISNUMBER(SEARCH("apport-exterieur",IFERROR(INDEX('Paramètres'!$N:$N,MATCH($D3419,'Paramètres'!$M:$M,0))&amp;"",""))),0,IF(OR(IFERROR(INDEX('Paramètres'!$I:$I,MATCH($C3419,'Paramètres'!$D:$D,0))&amp;"","")="Les deux",IFERROR(INDEX('Paramètres'!$I:$I,MATCH($C3419,'Paramètres'!$D:$D,0))&amp;"","")=IF($P3419=1,"Débit",$L3419)),-IF($P3419=1,-$K3419,$K3419),0))))</f>
        <v/>
      </c>
      <c r="U3419" s="6" t="str">
        <f>IF($K3419="","",IF(ISNUMBER(SEARCH("sortie-epargne",IFERROR(INDEX('Paramètres'!$N:$N,MATCH($D3419,'Paramètres'!$M:$M,0))&amp;"",""))),$K3419,0))</f>
        <v/>
      </c>
      <c r="V3419" s="6" t="str">
        <f>IF(AND($A3419&lt;&gt;"",$O3419=1,$L3419="Débit",N($Q3419)&gt;0,$A3419&gt;=Visualisation!$B$1,$A3419&lt;Visualisation!$D$1),MAX($V$1:V3418)+1,"")</f>
        <v/>
      </c>
    </row>
    <row r="3420" spans="1:22" x14ac:dyDescent="0.25">
      <c r="A3420" s="9"/>
      <c r="E3420" s="10"/>
      <c r="K3420" s="11" t="str">
        <f>IF($E3420="","",ROUND($E3420*IF(ISNA(MATCH($C3420,'Paramètres'!$D:$D,0)),1,IF(INDEX('Paramètres'!$J:$J,MATCH($C3420,'Paramètres'!$D:$D,0))="",1,INDEX('Paramètres'!$J:$J,MATCH($C3420,'Paramètres'!$D:$D,0)))),2))</f>
        <v/>
      </c>
      <c r="L3420" s="6" t="str">
        <f>IF($D3420="","",IF($F3420&lt;&gt;"",$F3420,IF(ISNA(MATCH($D3420,'Paramètres'!$M:$M,0)),"⚠ Type inconnu",IFERROR(INDEX('Paramètres'!$P:$P,MATCH($D3420,'Paramètres'!$M:$M,0))&amp;"",""))))</f>
        <v/>
      </c>
      <c r="M3420" s="6" t="str">
        <f>IF($D3420="","",IF(ISNA(MATCH($D3420,'Paramètres'!$M:$M,0)),"⚠ Type inconnu",IF($L3420="Crédit","",IFERROR(INDEX('Paramètres'!$O:$O,MATCH($D3420,'Paramètres'!$M:$M,0))&amp;"",""))))</f>
        <v/>
      </c>
      <c r="N3420" s="6" t="str">
        <f>IF($D3420="","",IFERROR(INDEX('Paramètres'!$Q:$Q,MATCH($D3420,'Paramètres'!$M:$M,0))&amp;"",""))</f>
        <v/>
      </c>
      <c r="O3420" s="6" t="str">
        <f>IF($A3420="","",IF(OR($J3420&lt;&gt;"x",$A3420&lt;=FinReleve),1,0))</f>
        <v/>
      </c>
      <c r="P3420" s="6" t="str">
        <f>IF($D3420="","",IF(AND($L3420="Crédit",OR(IFERROR(INDEX('Paramètres'!$O:$O,MATCH($D3420,'Paramètres'!$M:$M,0))&amp;"","")&lt;&gt;"",ISNUMBER(SEARCH("remboursement",IFERROR(INDEX('Paramètres'!$N:$N,MATCH($D3420,'Paramètres'!$M:$M,0))&amp;"",""))))),1,0))</f>
        <v/>
      </c>
      <c r="Q3420" s="6" t="str">
        <f>IF($K3420="","",IF(ISNUMBER(SEARCH("transfert-interne",IFERROR(INDEX('Paramètres'!$N:$N,MATCH($D3420,'Paramètres'!$M:$M,0))&amp;"",""))),0,IF($L3420="Débit",$K3420,IF($P3420=1,-$K3420,0))))</f>
        <v/>
      </c>
      <c r="R3420" s="6" t="str">
        <f>IF($K3420="","",IF($L3420="Crédit",$K3420,-$K3420))</f>
        <v/>
      </c>
      <c r="S3420" s="6" t="str">
        <f>IF($C3420="","",IFERROR(INDEX('Paramètres'!$H:$H,MATCH($C3420,'Paramètres'!$D:$D,0))&amp;"",""))</f>
        <v/>
      </c>
      <c r="T3420" s="6" t="str">
        <f>IF($K3420="","",IF($S3420="",0,IF(ISNUMBER(SEARCH("apport-exterieur",IFERROR(INDEX('Paramètres'!$N:$N,MATCH($D3420,'Paramètres'!$M:$M,0))&amp;"",""))),0,IF(OR(IFERROR(INDEX('Paramètres'!$I:$I,MATCH($C3420,'Paramètres'!$D:$D,0))&amp;"","")="Les deux",IFERROR(INDEX('Paramètres'!$I:$I,MATCH($C3420,'Paramètres'!$D:$D,0))&amp;"","")=IF($P3420=1,"Débit",$L3420)),-IF($P3420=1,-$K3420,$K3420),0))))</f>
        <v/>
      </c>
      <c r="U3420" s="6" t="str">
        <f>IF($K3420="","",IF(ISNUMBER(SEARCH("sortie-epargne",IFERROR(INDEX('Paramètres'!$N:$N,MATCH($D3420,'Paramètres'!$M:$M,0))&amp;"",""))),$K3420,0))</f>
        <v/>
      </c>
      <c r="V3420" s="6" t="str">
        <f>IF(AND($A3420&lt;&gt;"",$O3420=1,$L3420="Débit",N($Q3420)&gt;0,$A3420&gt;=Visualisation!$B$1,$A3420&lt;Visualisation!$D$1),MAX($V$1:V3419)+1,"")</f>
        <v/>
      </c>
    </row>
    <row r="3421" spans="1:22" x14ac:dyDescent="0.25">
      <c r="A3421" s="9"/>
      <c r="E3421" s="10"/>
      <c r="K3421" s="11" t="str">
        <f>IF($E3421="","",ROUND($E3421*IF(ISNA(MATCH($C3421,'Paramètres'!$D:$D,0)),1,IF(INDEX('Paramètres'!$J:$J,MATCH($C3421,'Paramètres'!$D:$D,0))="",1,INDEX('Paramètres'!$J:$J,MATCH($C3421,'Paramètres'!$D:$D,0)))),2))</f>
        <v/>
      </c>
      <c r="L3421" s="6" t="str">
        <f>IF($D3421="","",IF($F3421&lt;&gt;"",$F3421,IF(ISNA(MATCH($D3421,'Paramètres'!$M:$M,0)),"⚠ Type inconnu",IFERROR(INDEX('Paramètres'!$P:$P,MATCH($D3421,'Paramètres'!$M:$M,0))&amp;"",""))))</f>
        <v/>
      </c>
      <c r="M3421" s="6" t="str">
        <f>IF($D3421="","",IF(ISNA(MATCH($D3421,'Paramètres'!$M:$M,0)),"⚠ Type inconnu",IF($L3421="Crédit","",IFERROR(INDEX('Paramètres'!$O:$O,MATCH($D3421,'Paramètres'!$M:$M,0))&amp;"",""))))</f>
        <v/>
      </c>
      <c r="N3421" s="6" t="str">
        <f>IF($D3421="","",IFERROR(INDEX('Paramètres'!$Q:$Q,MATCH($D3421,'Paramètres'!$M:$M,0))&amp;"",""))</f>
        <v/>
      </c>
      <c r="O3421" s="6" t="str">
        <f>IF($A3421="","",IF(OR($J3421&lt;&gt;"x",$A3421&lt;=FinReleve),1,0))</f>
        <v/>
      </c>
      <c r="P3421" s="6" t="str">
        <f>IF($D3421="","",IF(AND($L3421="Crédit",OR(IFERROR(INDEX('Paramètres'!$O:$O,MATCH($D3421,'Paramètres'!$M:$M,0))&amp;"","")&lt;&gt;"",ISNUMBER(SEARCH("remboursement",IFERROR(INDEX('Paramètres'!$N:$N,MATCH($D3421,'Paramètres'!$M:$M,0))&amp;"",""))))),1,0))</f>
        <v/>
      </c>
      <c r="Q3421" s="6" t="str">
        <f>IF($K3421="","",IF(ISNUMBER(SEARCH("transfert-interne",IFERROR(INDEX('Paramètres'!$N:$N,MATCH($D3421,'Paramètres'!$M:$M,0))&amp;"",""))),0,IF($L3421="Débit",$K3421,IF($P3421=1,-$K3421,0))))</f>
        <v/>
      </c>
      <c r="R3421" s="6" t="str">
        <f>IF($K3421="","",IF($L3421="Crédit",$K3421,-$K3421))</f>
        <v/>
      </c>
      <c r="S3421" s="6" t="str">
        <f>IF($C3421="","",IFERROR(INDEX('Paramètres'!$H:$H,MATCH($C3421,'Paramètres'!$D:$D,0))&amp;"",""))</f>
        <v/>
      </c>
      <c r="T3421" s="6" t="str">
        <f>IF($K3421="","",IF($S3421="",0,IF(ISNUMBER(SEARCH("apport-exterieur",IFERROR(INDEX('Paramètres'!$N:$N,MATCH($D3421,'Paramètres'!$M:$M,0))&amp;"",""))),0,IF(OR(IFERROR(INDEX('Paramètres'!$I:$I,MATCH($C3421,'Paramètres'!$D:$D,0))&amp;"","")="Les deux",IFERROR(INDEX('Paramètres'!$I:$I,MATCH($C3421,'Paramètres'!$D:$D,0))&amp;"","")=IF($P3421=1,"Débit",$L3421)),-IF($P3421=1,-$K3421,$K3421),0))))</f>
        <v/>
      </c>
      <c r="U3421" s="6" t="str">
        <f>IF($K3421="","",IF(ISNUMBER(SEARCH("sortie-epargne",IFERROR(INDEX('Paramètres'!$N:$N,MATCH($D3421,'Paramètres'!$M:$M,0))&amp;"",""))),$K3421,0))</f>
        <v/>
      </c>
      <c r="V3421" s="6" t="str">
        <f>IF(AND($A3421&lt;&gt;"",$O3421=1,$L3421="Débit",N($Q3421)&gt;0,$A3421&gt;=Visualisation!$B$1,$A3421&lt;Visualisation!$D$1),MAX($V$1:V3420)+1,"")</f>
        <v/>
      </c>
    </row>
    <row r="3422" spans="1:22" x14ac:dyDescent="0.25">
      <c r="A3422" s="9"/>
      <c r="E3422" s="10"/>
      <c r="K3422" s="11" t="str">
        <f>IF($E3422="","",ROUND($E3422*IF(ISNA(MATCH($C3422,'Paramètres'!$D:$D,0)),1,IF(INDEX('Paramètres'!$J:$J,MATCH($C3422,'Paramètres'!$D:$D,0))="",1,INDEX('Paramètres'!$J:$J,MATCH($C3422,'Paramètres'!$D:$D,0)))),2))</f>
        <v/>
      </c>
      <c r="L3422" s="6" t="str">
        <f>IF($D3422="","",IF($F3422&lt;&gt;"",$F3422,IF(ISNA(MATCH($D3422,'Paramètres'!$M:$M,0)),"⚠ Type inconnu",IFERROR(INDEX('Paramètres'!$P:$P,MATCH($D3422,'Paramètres'!$M:$M,0))&amp;"",""))))</f>
        <v/>
      </c>
      <c r="M3422" s="6" t="str">
        <f>IF($D3422="","",IF(ISNA(MATCH($D3422,'Paramètres'!$M:$M,0)),"⚠ Type inconnu",IF($L3422="Crédit","",IFERROR(INDEX('Paramètres'!$O:$O,MATCH($D3422,'Paramètres'!$M:$M,0))&amp;"",""))))</f>
        <v/>
      </c>
      <c r="N3422" s="6" t="str">
        <f>IF($D3422="","",IFERROR(INDEX('Paramètres'!$Q:$Q,MATCH($D3422,'Paramètres'!$M:$M,0))&amp;"",""))</f>
        <v/>
      </c>
      <c r="O3422" s="6" t="str">
        <f>IF($A3422="","",IF(OR($J3422&lt;&gt;"x",$A3422&lt;=FinReleve),1,0))</f>
        <v/>
      </c>
      <c r="P3422" s="6" t="str">
        <f>IF($D3422="","",IF(AND($L3422="Crédit",OR(IFERROR(INDEX('Paramètres'!$O:$O,MATCH($D3422,'Paramètres'!$M:$M,0))&amp;"","")&lt;&gt;"",ISNUMBER(SEARCH("remboursement",IFERROR(INDEX('Paramètres'!$N:$N,MATCH($D3422,'Paramètres'!$M:$M,0))&amp;"",""))))),1,0))</f>
        <v/>
      </c>
      <c r="Q3422" s="6" t="str">
        <f>IF($K3422="","",IF(ISNUMBER(SEARCH("transfert-interne",IFERROR(INDEX('Paramètres'!$N:$N,MATCH($D3422,'Paramètres'!$M:$M,0))&amp;"",""))),0,IF($L3422="Débit",$K3422,IF($P3422=1,-$K3422,0))))</f>
        <v/>
      </c>
      <c r="R3422" s="6" t="str">
        <f>IF($K3422="","",IF($L3422="Crédit",$K3422,-$K3422))</f>
        <v/>
      </c>
      <c r="S3422" s="6" t="str">
        <f>IF($C3422="","",IFERROR(INDEX('Paramètres'!$H:$H,MATCH($C3422,'Paramètres'!$D:$D,0))&amp;"",""))</f>
        <v/>
      </c>
      <c r="T3422" s="6" t="str">
        <f>IF($K3422="","",IF($S3422="",0,IF(ISNUMBER(SEARCH("apport-exterieur",IFERROR(INDEX('Paramètres'!$N:$N,MATCH($D3422,'Paramètres'!$M:$M,0))&amp;"",""))),0,IF(OR(IFERROR(INDEX('Paramètres'!$I:$I,MATCH($C3422,'Paramètres'!$D:$D,0))&amp;"","")="Les deux",IFERROR(INDEX('Paramètres'!$I:$I,MATCH($C3422,'Paramètres'!$D:$D,0))&amp;"","")=IF($P3422=1,"Débit",$L3422)),-IF($P3422=1,-$K3422,$K3422),0))))</f>
        <v/>
      </c>
      <c r="U3422" s="6" t="str">
        <f>IF($K3422="","",IF(ISNUMBER(SEARCH("sortie-epargne",IFERROR(INDEX('Paramètres'!$N:$N,MATCH($D3422,'Paramètres'!$M:$M,0))&amp;"",""))),$K3422,0))</f>
        <v/>
      </c>
      <c r="V3422" s="6" t="str">
        <f>IF(AND($A3422&lt;&gt;"",$O3422=1,$L3422="Débit",N($Q3422)&gt;0,$A3422&gt;=Visualisation!$B$1,$A3422&lt;Visualisation!$D$1),MAX($V$1:V3421)+1,"")</f>
        <v/>
      </c>
    </row>
    <row r="3423" spans="1:22" x14ac:dyDescent="0.25">
      <c r="A3423" s="9"/>
      <c r="E3423" s="10"/>
      <c r="K3423" s="11" t="str">
        <f>IF($E3423="","",ROUND($E3423*IF(ISNA(MATCH($C3423,'Paramètres'!$D:$D,0)),1,IF(INDEX('Paramètres'!$J:$J,MATCH($C3423,'Paramètres'!$D:$D,0))="",1,INDEX('Paramètres'!$J:$J,MATCH($C3423,'Paramètres'!$D:$D,0)))),2))</f>
        <v/>
      </c>
      <c r="L3423" s="6" t="str">
        <f>IF($D3423="","",IF($F3423&lt;&gt;"",$F3423,IF(ISNA(MATCH($D3423,'Paramètres'!$M:$M,0)),"⚠ Type inconnu",IFERROR(INDEX('Paramètres'!$P:$P,MATCH($D3423,'Paramètres'!$M:$M,0))&amp;"",""))))</f>
        <v/>
      </c>
      <c r="M3423" s="6" t="str">
        <f>IF($D3423="","",IF(ISNA(MATCH($D3423,'Paramètres'!$M:$M,0)),"⚠ Type inconnu",IF($L3423="Crédit","",IFERROR(INDEX('Paramètres'!$O:$O,MATCH($D3423,'Paramètres'!$M:$M,0))&amp;"",""))))</f>
        <v/>
      </c>
      <c r="N3423" s="6" t="str">
        <f>IF($D3423="","",IFERROR(INDEX('Paramètres'!$Q:$Q,MATCH($D3423,'Paramètres'!$M:$M,0))&amp;"",""))</f>
        <v/>
      </c>
      <c r="O3423" s="6" t="str">
        <f>IF($A3423="","",IF(OR($J3423&lt;&gt;"x",$A3423&lt;=FinReleve),1,0))</f>
        <v/>
      </c>
      <c r="P3423" s="6" t="str">
        <f>IF($D3423="","",IF(AND($L3423="Crédit",OR(IFERROR(INDEX('Paramètres'!$O:$O,MATCH($D3423,'Paramètres'!$M:$M,0))&amp;"","")&lt;&gt;"",ISNUMBER(SEARCH("remboursement",IFERROR(INDEX('Paramètres'!$N:$N,MATCH($D3423,'Paramètres'!$M:$M,0))&amp;"",""))))),1,0))</f>
        <v/>
      </c>
      <c r="Q3423" s="6" t="str">
        <f>IF($K3423="","",IF(ISNUMBER(SEARCH("transfert-interne",IFERROR(INDEX('Paramètres'!$N:$N,MATCH($D3423,'Paramètres'!$M:$M,0))&amp;"",""))),0,IF($L3423="Débit",$K3423,IF($P3423=1,-$K3423,0))))</f>
        <v/>
      </c>
      <c r="R3423" s="6" t="str">
        <f>IF($K3423="","",IF($L3423="Crédit",$K3423,-$K3423))</f>
        <v/>
      </c>
      <c r="S3423" s="6" t="str">
        <f>IF($C3423="","",IFERROR(INDEX('Paramètres'!$H:$H,MATCH($C3423,'Paramètres'!$D:$D,0))&amp;"",""))</f>
        <v/>
      </c>
      <c r="T3423" s="6" t="str">
        <f>IF($K3423="","",IF($S3423="",0,IF(ISNUMBER(SEARCH("apport-exterieur",IFERROR(INDEX('Paramètres'!$N:$N,MATCH($D3423,'Paramètres'!$M:$M,0))&amp;"",""))),0,IF(OR(IFERROR(INDEX('Paramètres'!$I:$I,MATCH($C3423,'Paramètres'!$D:$D,0))&amp;"","")="Les deux",IFERROR(INDEX('Paramètres'!$I:$I,MATCH($C3423,'Paramètres'!$D:$D,0))&amp;"","")=IF($P3423=1,"Débit",$L3423)),-IF($P3423=1,-$K3423,$K3423),0))))</f>
        <v/>
      </c>
      <c r="U3423" s="6" t="str">
        <f>IF($K3423="","",IF(ISNUMBER(SEARCH("sortie-epargne",IFERROR(INDEX('Paramètres'!$N:$N,MATCH($D3423,'Paramètres'!$M:$M,0))&amp;"",""))),$K3423,0))</f>
        <v/>
      </c>
      <c r="V3423" s="6" t="str">
        <f>IF(AND($A3423&lt;&gt;"",$O3423=1,$L3423="Débit",N($Q3423)&gt;0,$A3423&gt;=Visualisation!$B$1,$A3423&lt;Visualisation!$D$1),MAX($V$1:V3422)+1,"")</f>
        <v/>
      </c>
    </row>
    <row r="3424" spans="1:22" x14ac:dyDescent="0.25">
      <c r="A3424" s="9"/>
      <c r="E3424" s="10"/>
      <c r="K3424" s="11" t="str">
        <f>IF($E3424="","",ROUND($E3424*IF(ISNA(MATCH($C3424,'Paramètres'!$D:$D,0)),1,IF(INDEX('Paramètres'!$J:$J,MATCH($C3424,'Paramètres'!$D:$D,0))="",1,INDEX('Paramètres'!$J:$J,MATCH($C3424,'Paramètres'!$D:$D,0)))),2))</f>
        <v/>
      </c>
      <c r="L3424" s="6" t="str">
        <f>IF($D3424="","",IF($F3424&lt;&gt;"",$F3424,IF(ISNA(MATCH($D3424,'Paramètres'!$M:$M,0)),"⚠ Type inconnu",IFERROR(INDEX('Paramètres'!$P:$P,MATCH($D3424,'Paramètres'!$M:$M,0))&amp;"",""))))</f>
        <v/>
      </c>
      <c r="M3424" s="6" t="str">
        <f>IF($D3424="","",IF(ISNA(MATCH($D3424,'Paramètres'!$M:$M,0)),"⚠ Type inconnu",IF($L3424="Crédit","",IFERROR(INDEX('Paramètres'!$O:$O,MATCH($D3424,'Paramètres'!$M:$M,0))&amp;"",""))))</f>
        <v/>
      </c>
      <c r="N3424" s="6" t="str">
        <f>IF($D3424="","",IFERROR(INDEX('Paramètres'!$Q:$Q,MATCH($D3424,'Paramètres'!$M:$M,0))&amp;"",""))</f>
        <v/>
      </c>
      <c r="O3424" s="6" t="str">
        <f>IF($A3424="","",IF(OR($J3424&lt;&gt;"x",$A3424&lt;=FinReleve),1,0))</f>
        <v/>
      </c>
      <c r="P3424" s="6" t="str">
        <f>IF($D3424="","",IF(AND($L3424="Crédit",OR(IFERROR(INDEX('Paramètres'!$O:$O,MATCH($D3424,'Paramètres'!$M:$M,0))&amp;"","")&lt;&gt;"",ISNUMBER(SEARCH("remboursement",IFERROR(INDEX('Paramètres'!$N:$N,MATCH($D3424,'Paramètres'!$M:$M,0))&amp;"",""))))),1,0))</f>
        <v/>
      </c>
      <c r="Q3424" s="6" t="str">
        <f>IF($K3424="","",IF(ISNUMBER(SEARCH("transfert-interne",IFERROR(INDEX('Paramètres'!$N:$N,MATCH($D3424,'Paramètres'!$M:$M,0))&amp;"",""))),0,IF($L3424="Débit",$K3424,IF($P3424=1,-$K3424,0))))</f>
        <v/>
      </c>
      <c r="R3424" s="6" t="str">
        <f>IF($K3424="","",IF($L3424="Crédit",$K3424,-$K3424))</f>
        <v/>
      </c>
      <c r="S3424" s="6" t="str">
        <f>IF($C3424="","",IFERROR(INDEX('Paramètres'!$H:$H,MATCH($C3424,'Paramètres'!$D:$D,0))&amp;"",""))</f>
        <v/>
      </c>
      <c r="T3424" s="6" t="str">
        <f>IF($K3424="","",IF($S3424="",0,IF(ISNUMBER(SEARCH("apport-exterieur",IFERROR(INDEX('Paramètres'!$N:$N,MATCH($D3424,'Paramètres'!$M:$M,0))&amp;"",""))),0,IF(OR(IFERROR(INDEX('Paramètres'!$I:$I,MATCH($C3424,'Paramètres'!$D:$D,0))&amp;"","")="Les deux",IFERROR(INDEX('Paramètres'!$I:$I,MATCH($C3424,'Paramètres'!$D:$D,0))&amp;"","")=IF($P3424=1,"Débit",$L3424)),-IF($P3424=1,-$K3424,$K3424),0))))</f>
        <v/>
      </c>
      <c r="U3424" s="6" t="str">
        <f>IF($K3424="","",IF(ISNUMBER(SEARCH("sortie-epargne",IFERROR(INDEX('Paramètres'!$N:$N,MATCH($D3424,'Paramètres'!$M:$M,0))&amp;"",""))),$K3424,0))</f>
        <v/>
      </c>
      <c r="V3424" s="6" t="str">
        <f>IF(AND($A3424&lt;&gt;"",$O3424=1,$L3424="Débit",N($Q3424)&gt;0,$A3424&gt;=Visualisation!$B$1,$A3424&lt;Visualisation!$D$1),MAX($V$1:V3423)+1,"")</f>
        <v/>
      </c>
    </row>
    <row r="3425" spans="1:22" x14ac:dyDescent="0.25">
      <c r="A3425" s="9"/>
      <c r="E3425" s="10"/>
      <c r="K3425" s="11" t="str">
        <f>IF($E3425="","",ROUND($E3425*IF(ISNA(MATCH($C3425,'Paramètres'!$D:$D,0)),1,IF(INDEX('Paramètres'!$J:$J,MATCH($C3425,'Paramètres'!$D:$D,0))="",1,INDEX('Paramètres'!$J:$J,MATCH($C3425,'Paramètres'!$D:$D,0)))),2))</f>
        <v/>
      </c>
      <c r="L3425" s="6" t="str">
        <f>IF($D3425="","",IF($F3425&lt;&gt;"",$F3425,IF(ISNA(MATCH($D3425,'Paramètres'!$M:$M,0)),"⚠ Type inconnu",IFERROR(INDEX('Paramètres'!$P:$P,MATCH($D3425,'Paramètres'!$M:$M,0))&amp;"",""))))</f>
        <v/>
      </c>
      <c r="M3425" s="6" t="str">
        <f>IF($D3425="","",IF(ISNA(MATCH($D3425,'Paramètres'!$M:$M,0)),"⚠ Type inconnu",IF($L3425="Crédit","",IFERROR(INDEX('Paramètres'!$O:$O,MATCH($D3425,'Paramètres'!$M:$M,0))&amp;"",""))))</f>
        <v/>
      </c>
      <c r="N3425" s="6" t="str">
        <f>IF($D3425="","",IFERROR(INDEX('Paramètres'!$Q:$Q,MATCH($D3425,'Paramètres'!$M:$M,0))&amp;"",""))</f>
        <v/>
      </c>
      <c r="O3425" s="6" t="str">
        <f>IF($A3425="","",IF(OR($J3425&lt;&gt;"x",$A3425&lt;=FinReleve),1,0))</f>
        <v/>
      </c>
      <c r="P3425" s="6" t="str">
        <f>IF($D3425="","",IF(AND($L3425="Crédit",OR(IFERROR(INDEX('Paramètres'!$O:$O,MATCH($D3425,'Paramètres'!$M:$M,0))&amp;"","")&lt;&gt;"",ISNUMBER(SEARCH("remboursement",IFERROR(INDEX('Paramètres'!$N:$N,MATCH($D3425,'Paramètres'!$M:$M,0))&amp;"",""))))),1,0))</f>
        <v/>
      </c>
      <c r="Q3425" s="6" t="str">
        <f>IF($K3425="","",IF(ISNUMBER(SEARCH("transfert-interne",IFERROR(INDEX('Paramètres'!$N:$N,MATCH($D3425,'Paramètres'!$M:$M,0))&amp;"",""))),0,IF($L3425="Débit",$K3425,IF($P3425=1,-$K3425,0))))</f>
        <v/>
      </c>
      <c r="R3425" s="6" t="str">
        <f>IF($K3425="","",IF($L3425="Crédit",$K3425,-$K3425))</f>
        <v/>
      </c>
      <c r="S3425" s="6" t="str">
        <f>IF($C3425="","",IFERROR(INDEX('Paramètres'!$H:$H,MATCH($C3425,'Paramètres'!$D:$D,0))&amp;"",""))</f>
        <v/>
      </c>
      <c r="T3425" s="6" t="str">
        <f>IF($K3425="","",IF($S3425="",0,IF(ISNUMBER(SEARCH("apport-exterieur",IFERROR(INDEX('Paramètres'!$N:$N,MATCH($D3425,'Paramètres'!$M:$M,0))&amp;"",""))),0,IF(OR(IFERROR(INDEX('Paramètres'!$I:$I,MATCH($C3425,'Paramètres'!$D:$D,0))&amp;"","")="Les deux",IFERROR(INDEX('Paramètres'!$I:$I,MATCH($C3425,'Paramètres'!$D:$D,0))&amp;"","")=IF($P3425=1,"Débit",$L3425)),-IF($P3425=1,-$K3425,$K3425),0))))</f>
        <v/>
      </c>
      <c r="U3425" s="6" t="str">
        <f>IF($K3425="","",IF(ISNUMBER(SEARCH("sortie-epargne",IFERROR(INDEX('Paramètres'!$N:$N,MATCH($D3425,'Paramètres'!$M:$M,0))&amp;"",""))),$K3425,0))</f>
        <v/>
      </c>
      <c r="V3425" s="6" t="str">
        <f>IF(AND($A3425&lt;&gt;"",$O3425=1,$L3425="Débit",N($Q3425)&gt;0,$A3425&gt;=Visualisation!$B$1,$A3425&lt;Visualisation!$D$1),MAX($V$1:V3424)+1,"")</f>
        <v/>
      </c>
    </row>
    <row r="3426" spans="1:22" x14ac:dyDescent="0.25">
      <c r="A3426" s="9"/>
      <c r="E3426" s="10"/>
      <c r="K3426" s="11" t="str">
        <f>IF($E3426="","",ROUND($E3426*IF(ISNA(MATCH($C3426,'Paramètres'!$D:$D,0)),1,IF(INDEX('Paramètres'!$J:$J,MATCH($C3426,'Paramètres'!$D:$D,0))="",1,INDEX('Paramètres'!$J:$J,MATCH($C3426,'Paramètres'!$D:$D,0)))),2))</f>
        <v/>
      </c>
      <c r="L3426" s="6" t="str">
        <f>IF($D3426="","",IF($F3426&lt;&gt;"",$F3426,IF(ISNA(MATCH($D3426,'Paramètres'!$M:$M,0)),"⚠ Type inconnu",IFERROR(INDEX('Paramètres'!$P:$P,MATCH($D3426,'Paramètres'!$M:$M,0))&amp;"",""))))</f>
        <v/>
      </c>
      <c r="M3426" s="6" t="str">
        <f>IF($D3426="","",IF(ISNA(MATCH($D3426,'Paramètres'!$M:$M,0)),"⚠ Type inconnu",IF($L3426="Crédit","",IFERROR(INDEX('Paramètres'!$O:$O,MATCH($D3426,'Paramètres'!$M:$M,0))&amp;"",""))))</f>
        <v/>
      </c>
      <c r="N3426" s="6" t="str">
        <f>IF($D3426="","",IFERROR(INDEX('Paramètres'!$Q:$Q,MATCH($D3426,'Paramètres'!$M:$M,0))&amp;"",""))</f>
        <v/>
      </c>
      <c r="O3426" s="6" t="str">
        <f>IF($A3426="","",IF(OR($J3426&lt;&gt;"x",$A3426&lt;=FinReleve),1,0))</f>
        <v/>
      </c>
      <c r="P3426" s="6" t="str">
        <f>IF($D3426="","",IF(AND($L3426="Crédit",OR(IFERROR(INDEX('Paramètres'!$O:$O,MATCH($D3426,'Paramètres'!$M:$M,0))&amp;"","")&lt;&gt;"",ISNUMBER(SEARCH("remboursement",IFERROR(INDEX('Paramètres'!$N:$N,MATCH($D3426,'Paramètres'!$M:$M,0))&amp;"",""))))),1,0))</f>
        <v/>
      </c>
      <c r="Q3426" s="6" t="str">
        <f>IF($K3426="","",IF(ISNUMBER(SEARCH("transfert-interne",IFERROR(INDEX('Paramètres'!$N:$N,MATCH($D3426,'Paramètres'!$M:$M,0))&amp;"",""))),0,IF($L3426="Débit",$K3426,IF($P3426=1,-$K3426,0))))</f>
        <v/>
      </c>
      <c r="R3426" s="6" t="str">
        <f>IF($K3426="","",IF($L3426="Crédit",$K3426,-$K3426))</f>
        <v/>
      </c>
      <c r="S3426" s="6" t="str">
        <f>IF($C3426="","",IFERROR(INDEX('Paramètres'!$H:$H,MATCH($C3426,'Paramètres'!$D:$D,0))&amp;"",""))</f>
        <v/>
      </c>
      <c r="T3426" s="6" t="str">
        <f>IF($K3426="","",IF($S3426="",0,IF(ISNUMBER(SEARCH("apport-exterieur",IFERROR(INDEX('Paramètres'!$N:$N,MATCH($D3426,'Paramètres'!$M:$M,0))&amp;"",""))),0,IF(OR(IFERROR(INDEX('Paramètres'!$I:$I,MATCH($C3426,'Paramètres'!$D:$D,0))&amp;"","")="Les deux",IFERROR(INDEX('Paramètres'!$I:$I,MATCH($C3426,'Paramètres'!$D:$D,0))&amp;"","")=IF($P3426=1,"Débit",$L3426)),-IF($P3426=1,-$K3426,$K3426),0))))</f>
        <v/>
      </c>
      <c r="U3426" s="6" t="str">
        <f>IF($K3426="","",IF(ISNUMBER(SEARCH("sortie-epargne",IFERROR(INDEX('Paramètres'!$N:$N,MATCH($D3426,'Paramètres'!$M:$M,0))&amp;"",""))),$K3426,0))</f>
        <v/>
      </c>
      <c r="V3426" s="6" t="str">
        <f>IF(AND($A3426&lt;&gt;"",$O3426=1,$L3426="Débit",N($Q3426)&gt;0,$A3426&gt;=Visualisation!$B$1,$A3426&lt;Visualisation!$D$1),MAX($V$1:V3425)+1,"")</f>
        <v/>
      </c>
    </row>
    <row r="3427" spans="1:22" x14ac:dyDescent="0.25">
      <c r="A3427" s="9"/>
      <c r="E3427" s="10"/>
      <c r="K3427" s="11" t="str">
        <f>IF($E3427="","",ROUND($E3427*IF(ISNA(MATCH($C3427,'Paramètres'!$D:$D,0)),1,IF(INDEX('Paramètres'!$J:$J,MATCH($C3427,'Paramètres'!$D:$D,0))="",1,INDEX('Paramètres'!$J:$J,MATCH($C3427,'Paramètres'!$D:$D,0)))),2))</f>
        <v/>
      </c>
      <c r="L3427" s="6" t="str">
        <f>IF($D3427="","",IF($F3427&lt;&gt;"",$F3427,IF(ISNA(MATCH($D3427,'Paramètres'!$M:$M,0)),"⚠ Type inconnu",IFERROR(INDEX('Paramètres'!$P:$P,MATCH($D3427,'Paramètres'!$M:$M,0))&amp;"",""))))</f>
        <v/>
      </c>
      <c r="M3427" s="6" t="str">
        <f>IF($D3427="","",IF(ISNA(MATCH($D3427,'Paramètres'!$M:$M,0)),"⚠ Type inconnu",IF($L3427="Crédit","",IFERROR(INDEX('Paramètres'!$O:$O,MATCH($D3427,'Paramètres'!$M:$M,0))&amp;"",""))))</f>
        <v/>
      </c>
      <c r="N3427" s="6" t="str">
        <f>IF($D3427="","",IFERROR(INDEX('Paramètres'!$Q:$Q,MATCH($D3427,'Paramètres'!$M:$M,0))&amp;"",""))</f>
        <v/>
      </c>
      <c r="O3427" s="6" t="str">
        <f>IF($A3427="","",IF(OR($J3427&lt;&gt;"x",$A3427&lt;=FinReleve),1,0))</f>
        <v/>
      </c>
      <c r="P3427" s="6" t="str">
        <f>IF($D3427="","",IF(AND($L3427="Crédit",OR(IFERROR(INDEX('Paramètres'!$O:$O,MATCH($D3427,'Paramètres'!$M:$M,0))&amp;"","")&lt;&gt;"",ISNUMBER(SEARCH("remboursement",IFERROR(INDEX('Paramètres'!$N:$N,MATCH($D3427,'Paramètres'!$M:$M,0))&amp;"",""))))),1,0))</f>
        <v/>
      </c>
      <c r="Q3427" s="6" t="str">
        <f>IF($K3427="","",IF(ISNUMBER(SEARCH("transfert-interne",IFERROR(INDEX('Paramètres'!$N:$N,MATCH($D3427,'Paramètres'!$M:$M,0))&amp;"",""))),0,IF($L3427="Débit",$K3427,IF($P3427=1,-$K3427,0))))</f>
        <v/>
      </c>
      <c r="R3427" s="6" t="str">
        <f>IF($K3427="","",IF($L3427="Crédit",$K3427,-$K3427))</f>
        <v/>
      </c>
      <c r="S3427" s="6" t="str">
        <f>IF($C3427="","",IFERROR(INDEX('Paramètres'!$H:$H,MATCH($C3427,'Paramètres'!$D:$D,0))&amp;"",""))</f>
        <v/>
      </c>
      <c r="T3427" s="6" t="str">
        <f>IF($K3427="","",IF($S3427="",0,IF(ISNUMBER(SEARCH("apport-exterieur",IFERROR(INDEX('Paramètres'!$N:$N,MATCH($D3427,'Paramètres'!$M:$M,0))&amp;"",""))),0,IF(OR(IFERROR(INDEX('Paramètres'!$I:$I,MATCH($C3427,'Paramètres'!$D:$D,0))&amp;"","")="Les deux",IFERROR(INDEX('Paramètres'!$I:$I,MATCH($C3427,'Paramètres'!$D:$D,0))&amp;"","")=IF($P3427=1,"Débit",$L3427)),-IF($P3427=1,-$K3427,$K3427),0))))</f>
        <v/>
      </c>
      <c r="U3427" s="6" t="str">
        <f>IF($K3427="","",IF(ISNUMBER(SEARCH("sortie-epargne",IFERROR(INDEX('Paramètres'!$N:$N,MATCH($D3427,'Paramètres'!$M:$M,0))&amp;"",""))),$K3427,0))</f>
        <v/>
      </c>
      <c r="V3427" s="6" t="str">
        <f>IF(AND($A3427&lt;&gt;"",$O3427=1,$L3427="Débit",N($Q3427)&gt;0,$A3427&gt;=Visualisation!$B$1,$A3427&lt;Visualisation!$D$1),MAX($V$1:V3426)+1,"")</f>
        <v/>
      </c>
    </row>
    <row r="3428" spans="1:22" x14ac:dyDescent="0.25">
      <c r="A3428" s="9"/>
      <c r="E3428" s="10"/>
      <c r="K3428" s="11" t="str">
        <f>IF($E3428="","",ROUND($E3428*IF(ISNA(MATCH($C3428,'Paramètres'!$D:$D,0)),1,IF(INDEX('Paramètres'!$J:$J,MATCH($C3428,'Paramètres'!$D:$D,0))="",1,INDEX('Paramètres'!$J:$J,MATCH($C3428,'Paramètres'!$D:$D,0)))),2))</f>
        <v/>
      </c>
      <c r="L3428" s="6" t="str">
        <f>IF($D3428="","",IF($F3428&lt;&gt;"",$F3428,IF(ISNA(MATCH($D3428,'Paramètres'!$M:$M,0)),"⚠ Type inconnu",IFERROR(INDEX('Paramètres'!$P:$P,MATCH($D3428,'Paramètres'!$M:$M,0))&amp;"",""))))</f>
        <v/>
      </c>
      <c r="M3428" s="6" t="str">
        <f>IF($D3428="","",IF(ISNA(MATCH($D3428,'Paramètres'!$M:$M,0)),"⚠ Type inconnu",IF($L3428="Crédit","",IFERROR(INDEX('Paramètres'!$O:$O,MATCH($D3428,'Paramètres'!$M:$M,0))&amp;"",""))))</f>
        <v/>
      </c>
      <c r="N3428" s="6" t="str">
        <f>IF($D3428="","",IFERROR(INDEX('Paramètres'!$Q:$Q,MATCH($D3428,'Paramètres'!$M:$M,0))&amp;"",""))</f>
        <v/>
      </c>
      <c r="O3428" s="6" t="str">
        <f>IF($A3428="","",IF(OR($J3428&lt;&gt;"x",$A3428&lt;=FinReleve),1,0))</f>
        <v/>
      </c>
      <c r="P3428" s="6" t="str">
        <f>IF($D3428="","",IF(AND($L3428="Crédit",OR(IFERROR(INDEX('Paramètres'!$O:$O,MATCH($D3428,'Paramètres'!$M:$M,0))&amp;"","")&lt;&gt;"",ISNUMBER(SEARCH("remboursement",IFERROR(INDEX('Paramètres'!$N:$N,MATCH($D3428,'Paramètres'!$M:$M,0))&amp;"",""))))),1,0))</f>
        <v/>
      </c>
      <c r="Q3428" s="6" t="str">
        <f>IF($K3428="","",IF(ISNUMBER(SEARCH("transfert-interne",IFERROR(INDEX('Paramètres'!$N:$N,MATCH($D3428,'Paramètres'!$M:$M,0))&amp;"",""))),0,IF($L3428="Débit",$K3428,IF($P3428=1,-$K3428,0))))</f>
        <v/>
      </c>
      <c r="R3428" s="6" t="str">
        <f>IF($K3428="","",IF($L3428="Crédit",$K3428,-$K3428))</f>
        <v/>
      </c>
      <c r="S3428" s="6" t="str">
        <f>IF($C3428="","",IFERROR(INDEX('Paramètres'!$H:$H,MATCH($C3428,'Paramètres'!$D:$D,0))&amp;"",""))</f>
        <v/>
      </c>
      <c r="T3428" s="6" t="str">
        <f>IF($K3428="","",IF($S3428="",0,IF(ISNUMBER(SEARCH("apport-exterieur",IFERROR(INDEX('Paramètres'!$N:$N,MATCH($D3428,'Paramètres'!$M:$M,0))&amp;"",""))),0,IF(OR(IFERROR(INDEX('Paramètres'!$I:$I,MATCH($C3428,'Paramètres'!$D:$D,0))&amp;"","")="Les deux",IFERROR(INDEX('Paramètres'!$I:$I,MATCH($C3428,'Paramètres'!$D:$D,0))&amp;"","")=IF($P3428=1,"Débit",$L3428)),-IF($P3428=1,-$K3428,$K3428),0))))</f>
        <v/>
      </c>
      <c r="U3428" s="6" t="str">
        <f>IF($K3428="","",IF(ISNUMBER(SEARCH("sortie-epargne",IFERROR(INDEX('Paramètres'!$N:$N,MATCH($D3428,'Paramètres'!$M:$M,0))&amp;"",""))),$K3428,0))</f>
        <v/>
      </c>
      <c r="V3428" s="6" t="str">
        <f>IF(AND($A3428&lt;&gt;"",$O3428=1,$L3428="Débit",N($Q3428)&gt;0,$A3428&gt;=Visualisation!$B$1,$A3428&lt;Visualisation!$D$1),MAX($V$1:V3427)+1,"")</f>
        <v/>
      </c>
    </row>
    <row r="3429" spans="1:22" x14ac:dyDescent="0.25">
      <c r="A3429" s="9"/>
      <c r="E3429" s="10"/>
      <c r="K3429" s="11" t="str">
        <f>IF($E3429="","",ROUND($E3429*IF(ISNA(MATCH($C3429,'Paramètres'!$D:$D,0)),1,IF(INDEX('Paramètres'!$J:$J,MATCH($C3429,'Paramètres'!$D:$D,0))="",1,INDEX('Paramètres'!$J:$J,MATCH($C3429,'Paramètres'!$D:$D,0)))),2))</f>
        <v/>
      </c>
      <c r="L3429" s="6" t="str">
        <f>IF($D3429="","",IF($F3429&lt;&gt;"",$F3429,IF(ISNA(MATCH($D3429,'Paramètres'!$M:$M,0)),"⚠ Type inconnu",IFERROR(INDEX('Paramètres'!$P:$P,MATCH($D3429,'Paramètres'!$M:$M,0))&amp;"",""))))</f>
        <v/>
      </c>
      <c r="M3429" s="6" t="str">
        <f>IF($D3429="","",IF(ISNA(MATCH($D3429,'Paramètres'!$M:$M,0)),"⚠ Type inconnu",IF($L3429="Crédit","",IFERROR(INDEX('Paramètres'!$O:$O,MATCH($D3429,'Paramètres'!$M:$M,0))&amp;"",""))))</f>
        <v/>
      </c>
      <c r="N3429" s="6" t="str">
        <f>IF($D3429="","",IFERROR(INDEX('Paramètres'!$Q:$Q,MATCH($D3429,'Paramètres'!$M:$M,0))&amp;"",""))</f>
        <v/>
      </c>
      <c r="O3429" s="6" t="str">
        <f>IF($A3429="","",IF(OR($J3429&lt;&gt;"x",$A3429&lt;=FinReleve),1,0))</f>
        <v/>
      </c>
      <c r="P3429" s="6" t="str">
        <f>IF($D3429="","",IF(AND($L3429="Crédit",OR(IFERROR(INDEX('Paramètres'!$O:$O,MATCH($D3429,'Paramètres'!$M:$M,0))&amp;"","")&lt;&gt;"",ISNUMBER(SEARCH("remboursement",IFERROR(INDEX('Paramètres'!$N:$N,MATCH($D3429,'Paramètres'!$M:$M,0))&amp;"",""))))),1,0))</f>
        <v/>
      </c>
      <c r="Q3429" s="6" t="str">
        <f>IF($K3429="","",IF(ISNUMBER(SEARCH("transfert-interne",IFERROR(INDEX('Paramètres'!$N:$N,MATCH($D3429,'Paramètres'!$M:$M,0))&amp;"",""))),0,IF($L3429="Débit",$K3429,IF($P3429=1,-$K3429,0))))</f>
        <v/>
      </c>
      <c r="R3429" s="6" t="str">
        <f>IF($K3429="","",IF($L3429="Crédit",$K3429,-$K3429))</f>
        <v/>
      </c>
      <c r="S3429" s="6" t="str">
        <f>IF($C3429="","",IFERROR(INDEX('Paramètres'!$H:$H,MATCH($C3429,'Paramètres'!$D:$D,0))&amp;"",""))</f>
        <v/>
      </c>
      <c r="T3429" s="6" t="str">
        <f>IF($K3429="","",IF($S3429="",0,IF(ISNUMBER(SEARCH("apport-exterieur",IFERROR(INDEX('Paramètres'!$N:$N,MATCH($D3429,'Paramètres'!$M:$M,0))&amp;"",""))),0,IF(OR(IFERROR(INDEX('Paramètres'!$I:$I,MATCH($C3429,'Paramètres'!$D:$D,0))&amp;"","")="Les deux",IFERROR(INDEX('Paramètres'!$I:$I,MATCH($C3429,'Paramètres'!$D:$D,0))&amp;"","")=IF($P3429=1,"Débit",$L3429)),-IF($P3429=1,-$K3429,$K3429),0))))</f>
        <v/>
      </c>
      <c r="U3429" s="6" t="str">
        <f>IF($K3429="","",IF(ISNUMBER(SEARCH("sortie-epargne",IFERROR(INDEX('Paramètres'!$N:$N,MATCH($D3429,'Paramètres'!$M:$M,0))&amp;"",""))),$K3429,0))</f>
        <v/>
      </c>
      <c r="V3429" s="6" t="str">
        <f>IF(AND($A3429&lt;&gt;"",$O3429=1,$L3429="Débit",N($Q3429)&gt;0,$A3429&gt;=Visualisation!$B$1,$A3429&lt;Visualisation!$D$1),MAX($V$1:V3428)+1,"")</f>
        <v/>
      </c>
    </row>
    <row r="3430" spans="1:22" x14ac:dyDescent="0.25">
      <c r="A3430" s="9"/>
      <c r="E3430" s="10"/>
      <c r="K3430" s="11" t="str">
        <f>IF($E3430="","",ROUND($E3430*IF(ISNA(MATCH($C3430,'Paramètres'!$D:$D,0)),1,IF(INDEX('Paramètres'!$J:$J,MATCH($C3430,'Paramètres'!$D:$D,0))="",1,INDEX('Paramètres'!$J:$J,MATCH($C3430,'Paramètres'!$D:$D,0)))),2))</f>
        <v/>
      </c>
      <c r="L3430" s="6" t="str">
        <f>IF($D3430="","",IF($F3430&lt;&gt;"",$F3430,IF(ISNA(MATCH($D3430,'Paramètres'!$M:$M,0)),"⚠ Type inconnu",IFERROR(INDEX('Paramètres'!$P:$P,MATCH($D3430,'Paramètres'!$M:$M,0))&amp;"",""))))</f>
        <v/>
      </c>
      <c r="M3430" s="6" t="str">
        <f>IF($D3430="","",IF(ISNA(MATCH($D3430,'Paramètres'!$M:$M,0)),"⚠ Type inconnu",IF($L3430="Crédit","",IFERROR(INDEX('Paramètres'!$O:$O,MATCH($D3430,'Paramètres'!$M:$M,0))&amp;"",""))))</f>
        <v/>
      </c>
      <c r="N3430" s="6" t="str">
        <f>IF($D3430="","",IFERROR(INDEX('Paramètres'!$Q:$Q,MATCH($D3430,'Paramètres'!$M:$M,0))&amp;"",""))</f>
        <v/>
      </c>
      <c r="O3430" s="6" t="str">
        <f>IF($A3430="","",IF(OR($J3430&lt;&gt;"x",$A3430&lt;=FinReleve),1,0))</f>
        <v/>
      </c>
      <c r="P3430" s="6" t="str">
        <f>IF($D3430="","",IF(AND($L3430="Crédit",OR(IFERROR(INDEX('Paramètres'!$O:$O,MATCH($D3430,'Paramètres'!$M:$M,0))&amp;"","")&lt;&gt;"",ISNUMBER(SEARCH("remboursement",IFERROR(INDEX('Paramètres'!$N:$N,MATCH($D3430,'Paramètres'!$M:$M,0))&amp;"",""))))),1,0))</f>
        <v/>
      </c>
      <c r="Q3430" s="6" t="str">
        <f>IF($K3430="","",IF(ISNUMBER(SEARCH("transfert-interne",IFERROR(INDEX('Paramètres'!$N:$N,MATCH($D3430,'Paramètres'!$M:$M,0))&amp;"",""))),0,IF($L3430="Débit",$K3430,IF($P3430=1,-$K3430,0))))</f>
        <v/>
      </c>
      <c r="R3430" s="6" t="str">
        <f>IF($K3430="","",IF($L3430="Crédit",$K3430,-$K3430))</f>
        <v/>
      </c>
      <c r="S3430" s="6" t="str">
        <f>IF($C3430="","",IFERROR(INDEX('Paramètres'!$H:$H,MATCH($C3430,'Paramètres'!$D:$D,0))&amp;"",""))</f>
        <v/>
      </c>
      <c r="T3430" s="6" t="str">
        <f>IF($K3430="","",IF($S3430="",0,IF(ISNUMBER(SEARCH("apport-exterieur",IFERROR(INDEX('Paramètres'!$N:$N,MATCH($D3430,'Paramètres'!$M:$M,0))&amp;"",""))),0,IF(OR(IFERROR(INDEX('Paramètres'!$I:$I,MATCH($C3430,'Paramètres'!$D:$D,0))&amp;"","")="Les deux",IFERROR(INDEX('Paramètres'!$I:$I,MATCH($C3430,'Paramètres'!$D:$D,0))&amp;"","")=IF($P3430=1,"Débit",$L3430)),-IF($P3430=1,-$K3430,$K3430),0))))</f>
        <v/>
      </c>
      <c r="U3430" s="6" t="str">
        <f>IF($K3430="","",IF(ISNUMBER(SEARCH("sortie-epargne",IFERROR(INDEX('Paramètres'!$N:$N,MATCH($D3430,'Paramètres'!$M:$M,0))&amp;"",""))),$K3430,0))</f>
        <v/>
      </c>
      <c r="V3430" s="6" t="str">
        <f>IF(AND($A3430&lt;&gt;"",$O3430=1,$L3430="Débit",N($Q3430)&gt;0,$A3430&gt;=Visualisation!$B$1,$A3430&lt;Visualisation!$D$1),MAX($V$1:V3429)+1,"")</f>
        <v/>
      </c>
    </row>
    <row r="3431" spans="1:22" x14ac:dyDescent="0.25">
      <c r="A3431" s="9"/>
      <c r="E3431" s="10"/>
      <c r="K3431" s="11" t="str">
        <f>IF($E3431="","",ROUND($E3431*IF(ISNA(MATCH($C3431,'Paramètres'!$D:$D,0)),1,IF(INDEX('Paramètres'!$J:$J,MATCH($C3431,'Paramètres'!$D:$D,0))="",1,INDEX('Paramètres'!$J:$J,MATCH($C3431,'Paramètres'!$D:$D,0)))),2))</f>
        <v/>
      </c>
      <c r="L3431" s="6" t="str">
        <f>IF($D3431="","",IF($F3431&lt;&gt;"",$F3431,IF(ISNA(MATCH($D3431,'Paramètres'!$M:$M,0)),"⚠ Type inconnu",IFERROR(INDEX('Paramètres'!$P:$P,MATCH($D3431,'Paramètres'!$M:$M,0))&amp;"",""))))</f>
        <v/>
      </c>
      <c r="M3431" s="6" t="str">
        <f>IF($D3431="","",IF(ISNA(MATCH($D3431,'Paramètres'!$M:$M,0)),"⚠ Type inconnu",IF($L3431="Crédit","",IFERROR(INDEX('Paramètres'!$O:$O,MATCH($D3431,'Paramètres'!$M:$M,0))&amp;"",""))))</f>
        <v/>
      </c>
      <c r="N3431" s="6" t="str">
        <f>IF($D3431="","",IFERROR(INDEX('Paramètres'!$Q:$Q,MATCH($D3431,'Paramètres'!$M:$M,0))&amp;"",""))</f>
        <v/>
      </c>
      <c r="O3431" s="6" t="str">
        <f>IF($A3431="","",IF(OR($J3431&lt;&gt;"x",$A3431&lt;=FinReleve),1,0))</f>
        <v/>
      </c>
      <c r="P3431" s="6" t="str">
        <f>IF($D3431="","",IF(AND($L3431="Crédit",OR(IFERROR(INDEX('Paramètres'!$O:$O,MATCH($D3431,'Paramètres'!$M:$M,0))&amp;"","")&lt;&gt;"",ISNUMBER(SEARCH("remboursement",IFERROR(INDEX('Paramètres'!$N:$N,MATCH($D3431,'Paramètres'!$M:$M,0))&amp;"",""))))),1,0))</f>
        <v/>
      </c>
      <c r="Q3431" s="6" t="str">
        <f>IF($K3431="","",IF(ISNUMBER(SEARCH("transfert-interne",IFERROR(INDEX('Paramètres'!$N:$N,MATCH($D3431,'Paramètres'!$M:$M,0))&amp;"",""))),0,IF($L3431="Débit",$K3431,IF($P3431=1,-$K3431,0))))</f>
        <v/>
      </c>
      <c r="R3431" s="6" t="str">
        <f>IF($K3431="","",IF($L3431="Crédit",$K3431,-$K3431))</f>
        <v/>
      </c>
      <c r="S3431" s="6" t="str">
        <f>IF($C3431="","",IFERROR(INDEX('Paramètres'!$H:$H,MATCH($C3431,'Paramètres'!$D:$D,0))&amp;"",""))</f>
        <v/>
      </c>
      <c r="T3431" s="6" t="str">
        <f>IF($K3431="","",IF($S3431="",0,IF(ISNUMBER(SEARCH("apport-exterieur",IFERROR(INDEX('Paramètres'!$N:$N,MATCH($D3431,'Paramètres'!$M:$M,0))&amp;"",""))),0,IF(OR(IFERROR(INDEX('Paramètres'!$I:$I,MATCH($C3431,'Paramètres'!$D:$D,0))&amp;"","")="Les deux",IFERROR(INDEX('Paramètres'!$I:$I,MATCH($C3431,'Paramètres'!$D:$D,0))&amp;"","")=IF($P3431=1,"Débit",$L3431)),-IF($P3431=1,-$K3431,$K3431),0))))</f>
        <v/>
      </c>
      <c r="U3431" s="6" t="str">
        <f>IF($K3431="","",IF(ISNUMBER(SEARCH("sortie-epargne",IFERROR(INDEX('Paramètres'!$N:$N,MATCH($D3431,'Paramètres'!$M:$M,0))&amp;"",""))),$K3431,0))</f>
        <v/>
      </c>
      <c r="V3431" s="6" t="str">
        <f>IF(AND($A3431&lt;&gt;"",$O3431=1,$L3431="Débit",N($Q3431)&gt;0,$A3431&gt;=Visualisation!$B$1,$A3431&lt;Visualisation!$D$1),MAX($V$1:V3430)+1,"")</f>
        <v/>
      </c>
    </row>
    <row r="3432" spans="1:22" x14ac:dyDescent="0.25">
      <c r="A3432" s="9"/>
      <c r="E3432" s="10"/>
      <c r="K3432" s="11" t="str">
        <f>IF($E3432="","",ROUND($E3432*IF(ISNA(MATCH($C3432,'Paramètres'!$D:$D,0)),1,IF(INDEX('Paramètres'!$J:$J,MATCH($C3432,'Paramètres'!$D:$D,0))="",1,INDEX('Paramètres'!$J:$J,MATCH($C3432,'Paramètres'!$D:$D,0)))),2))</f>
        <v/>
      </c>
      <c r="L3432" s="6" t="str">
        <f>IF($D3432="","",IF($F3432&lt;&gt;"",$F3432,IF(ISNA(MATCH($D3432,'Paramètres'!$M:$M,0)),"⚠ Type inconnu",IFERROR(INDEX('Paramètres'!$P:$P,MATCH($D3432,'Paramètres'!$M:$M,0))&amp;"",""))))</f>
        <v/>
      </c>
      <c r="M3432" s="6" t="str">
        <f>IF($D3432="","",IF(ISNA(MATCH($D3432,'Paramètres'!$M:$M,0)),"⚠ Type inconnu",IF($L3432="Crédit","",IFERROR(INDEX('Paramètres'!$O:$O,MATCH($D3432,'Paramètres'!$M:$M,0))&amp;"",""))))</f>
        <v/>
      </c>
      <c r="N3432" s="6" t="str">
        <f>IF($D3432="","",IFERROR(INDEX('Paramètres'!$Q:$Q,MATCH($D3432,'Paramètres'!$M:$M,0))&amp;"",""))</f>
        <v/>
      </c>
      <c r="O3432" s="6" t="str">
        <f>IF($A3432="","",IF(OR($J3432&lt;&gt;"x",$A3432&lt;=FinReleve),1,0))</f>
        <v/>
      </c>
      <c r="P3432" s="6" t="str">
        <f>IF($D3432="","",IF(AND($L3432="Crédit",OR(IFERROR(INDEX('Paramètres'!$O:$O,MATCH($D3432,'Paramètres'!$M:$M,0))&amp;"","")&lt;&gt;"",ISNUMBER(SEARCH("remboursement",IFERROR(INDEX('Paramètres'!$N:$N,MATCH($D3432,'Paramètres'!$M:$M,0))&amp;"",""))))),1,0))</f>
        <v/>
      </c>
      <c r="Q3432" s="6" t="str">
        <f>IF($K3432="","",IF(ISNUMBER(SEARCH("transfert-interne",IFERROR(INDEX('Paramètres'!$N:$N,MATCH($D3432,'Paramètres'!$M:$M,0))&amp;"",""))),0,IF($L3432="Débit",$K3432,IF($P3432=1,-$K3432,0))))</f>
        <v/>
      </c>
      <c r="R3432" s="6" t="str">
        <f>IF($K3432="","",IF($L3432="Crédit",$K3432,-$K3432))</f>
        <v/>
      </c>
      <c r="S3432" s="6" t="str">
        <f>IF($C3432="","",IFERROR(INDEX('Paramètres'!$H:$H,MATCH($C3432,'Paramètres'!$D:$D,0))&amp;"",""))</f>
        <v/>
      </c>
      <c r="T3432" s="6" t="str">
        <f>IF($K3432="","",IF($S3432="",0,IF(ISNUMBER(SEARCH("apport-exterieur",IFERROR(INDEX('Paramètres'!$N:$N,MATCH($D3432,'Paramètres'!$M:$M,0))&amp;"",""))),0,IF(OR(IFERROR(INDEX('Paramètres'!$I:$I,MATCH($C3432,'Paramètres'!$D:$D,0))&amp;"","")="Les deux",IFERROR(INDEX('Paramètres'!$I:$I,MATCH($C3432,'Paramètres'!$D:$D,0))&amp;"","")=IF($P3432=1,"Débit",$L3432)),-IF($P3432=1,-$K3432,$K3432),0))))</f>
        <v/>
      </c>
      <c r="U3432" s="6" t="str">
        <f>IF($K3432="","",IF(ISNUMBER(SEARCH("sortie-epargne",IFERROR(INDEX('Paramètres'!$N:$N,MATCH($D3432,'Paramètres'!$M:$M,0))&amp;"",""))),$K3432,0))</f>
        <v/>
      </c>
      <c r="V3432" s="6" t="str">
        <f>IF(AND($A3432&lt;&gt;"",$O3432=1,$L3432="Débit",N($Q3432)&gt;0,$A3432&gt;=Visualisation!$B$1,$A3432&lt;Visualisation!$D$1),MAX($V$1:V3431)+1,"")</f>
        <v/>
      </c>
    </row>
    <row r="3433" spans="1:22" x14ac:dyDescent="0.25">
      <c r="A3433" s="9"/>
      <c r="E3433" s="10"/>
      <c r="K3433" s="11" t="str">
        <f>IF($E3433="","",ROUND($E3433*IF(ISNA(MATCH($C3433,'Paramètres'!$D:$D,0)),1,IF(INDEX('Paramètres'!$J:$J,MATCH($C3433,'Paramètres'!$D:$D,0))="",1,INDEX('Paramètres'!$J:$J,MATCH($C3433,'Paramètres'!$D:$D,0)))),2))</f>
        <v/>
      </c>
      <c r="L3433" s="6" t="str">
        <f>IF($D3433="","",IF($F3433&lt;&gt;"",$F3433,IF(ISNA(MATCH($D3433,'Paramètres'!$M:$M,0)),"⚠ Type inconnu",IFERROR(INDEX('Paramètres'!$P:$P,MATCH($D3433,'Paramètres'!$M:$M,0))&amp;"",""))))</f>
        <v/>
      </c>
      <c r="M3433" s="6" t="str">
        <f>IF($D3433="","",IF(ISNA(MATCH($D3433,'Paramètres'!$M:$M,0)),"⚠ Type inconnu",IF($L3433="Crédit","",IFERROR(INDEX('Paramètres'!$O:$O,MATCH($D3433,'Paramètres'!$M:$M,0))&amp;"",""))))</f>
        <v/>
      </c>
      <c r="N3433" s="6" t="str">
        <f>IF($D3433="","",IFERROR(INDEX('Paramètres'!$Q:$Q,MATCH($D3433,'Paramètres'!$M:$M,0))&amp;"",""))</f>
        <v/>
      </c>
      <c r="O3433" s="6" t="str">
        <f>IF($A3433="","",IF(OR($J3433&lt;&gt;"x",$A3433&lt;=FinReleve),1,0))</f>
        <v/>
      </c>
      <c r="P3433" s="6" t="str">
        <f>IF($D3433="","",IF(AND($L3433="Crédit",OR(IFERROR(INDEX('Paramètres'!$O:$O,MATCH($D3433,'Paramètres'!$M:$M,0))&amp;"","")&lt;&gt;"",ISNUMBER(SEARCH("remboursement",IFERROR(INDEX('Paramètres'!$N:$N,MATCH($D3433,'Paramètres'!$M:$M,0))&amp;"",""))))),1,0))</f>
        <v/>
      </c>
      <c r="Q3433" s="6" t="str">
        <f>IF($K3433="","",IF(ISNUMBER(SEARCH("transfert-interne",IFERROR(INDEX('Paramètres'!$N:$N,MATCH($D3433,'Paramètres'!$M:$M,0))&amp;"",""))),0,IF($L3433="Débit",$K3433,IF($P3433=1,-$K3433,0))))</f>
        <v/>
      </c>
      <c r="R3433" s="6" t="str">
        <f>IF($K3433="","",IF($L3433="Crédit",$K3433,-$K3433))</f>
        <v/>
      </c>
      <c r="S3433" s="6" t="str">
        <f>IF($C3433="","",IFERROR(INDEX('Paramètres'!$H:$H,MATCH($C3433,'Paramètres'!$D:$D,0))&amp;"",""))</f>
        <v/>
      </c>
      <c r="T3433" s="6" t="str">
        <f>IF($K3433="","",IF($S3433="",0,IF(ISNUMBER(SEARCH("apport-exterieur",IFERROR(INDEX('Paramètres'!$N:$N,MATCH($D3433,'Paramètres'!$M:$M,0))&amp;"",""))),0,IF(OR(IFERROR(INDEX('Paramètres'!$I:$I,MATCH($C3433,'Paramètres'!$D:$D,0))&amp;"","")="Les deux",IFERROR(INDEX('Paramètres'!$I:$I,MATCH($C3433,'Paramètres'!$D:$D,0))&amp;"","")=IF($P3433=1,"Débit",$L3433)),-IF($P3433=1,-$K3433,$K3433),0))))</f>
        <v/>
      </c>
      <c r="U3433" s="6" t="str">
        <f>IF($K3433="","",IF(ISNUMBER(SEARCH("sortie-epargne",IFERROR(INDEX('Paramètres'!$N:$N,MATCH($D3433,'Paramètres'!$M:$M,0))&amp;"",""))),$K3433,0))</f>
        <v/>
      </c>
      <c r="V3433" s="6" t="str">
        <f>IF(AND($A3433&lt;&gt;"",$O3433=1,$L3433="Débit",N($Q3433)&gt;0,$A3433&gt;=Visualisation!$B$1,$A3433&lt;Visualisation!$D$1),MAX($V$1:V3432)+1,"")</f>
        <v/>
      </c>
    </row>
    <row r="3434" spans="1:22" x14ac:dyDescent="0.25">
      <c r="A3434" s="9"/>
      <c r="E3434" s="10"/>
      <c r="K3434" s="11" t="str">
        <f>IF($E3434="","",ROUND($E3434*IF(ISNA(MATCH($C3434,'Paramètres'!$D:$D,0)),1,IF(INDEX('Paramètres'!$J:$J,MATCH($C3434,'Paramètres'!$D:$D,0))="",1,INDEX('Paramètres'!$J:$J,MATCH($C3434,'Paramètres'!$D:$D,0)))),2))</f>
        <v/>
      </c>
      <c r="L3434" s="6" t="str">
        <f>IF($D3434="","",IF($F3434&lt;&gt;"",$F3434,IF(ISNA(MATCH($D3434,'Paramètres'!$M:$M,0)),"⚠ Type inconnu",IFERROR(INDEX('Paramètres'!$P:$P,MATCH($D3434,'Paramètres'!$M:$M,0))&amp;"",""))))</f>
        <v/>
      </c>
      <c r="M3434" s="6" t="str">
        <f>IF($D3434="","",IF(ISNA(MATCH($D3434,'Paramètres'!$M:$M,0)),"⚠ Type inconnu",IF($L3434="Crédit","",IFERROR(INDEX('Paramètres'!$O:$O,MATCH($D3434,'Paramètres'!$M:$M,0))&amp;"",""))))</f>
        <v/>
      </c>
      <c r="N3434" s="6" t="str">
        <f>IF($D3434="","",IFERROR(INDEX('Paramètres'!$Q:$Q,MATCH($D3434,'Paramètres'!$M:$M,0))&amp;"",""))</f>
        <v/>
      </c>
      <c r="O3434" s="6" t="str">
        <f>IF($A3434="","",IF(OR($J3434&lt;&gt;"x",$A3434&lt;=FinReleve),1,0))</f>
        <v/>
      </c>
      <c r="P3434" s="6" t="str">
        <f>IF($D3434="","",IF(AND($L3434="Crédit",OR(IFERROR(INDEX('Paramètres'!$O:$O,MATCH($D3434,'Paramètres'!$M:$M,0))&amp;"","")&lt;&gt;"",ISNUMBER(SEARCH("remboursement",IFERROR(INDEX('Paramètres'!$N:$N,MATCH($D3434,'Paramètres'!$M:$M,0))&amp;"",""))))),1,0))</f>
        <v/>
      </c>
      <c r="Q3434" s="6" t="str">
        <f>IF($K3434="","",IF(ISNUMBER(SEARCH("transfert-interne",IFERROR(INDEX('Paramètres'!$N:$N,MATCH($D3434,'Paramètres'!$M:$M,0))&amp;"",""))),0,IF($L3434="Débit",$K3434,IF($P3434=1,-$K3434,0))))</f>
        <v/>
      </c>
      <c r="R3434" s="6" t="str">
        <f>IF($K3434="","",IF($L3434="Crédit",$K3434,-$K3434))</f>
        <v/>
      </c>
      <c r="S3434" s="6" t="str">
        <f>IF($C3434="","",IFERROR(INDEX('Paramètres'!$H:$H,MATCH($C3434,'Paramètres'!$D:$D,0))&amp;"",""))</f>
        <v/>
      </c>
      <c r="T3434" s="6" t="str">
        <f>IF($K3434="","",IF($S3434="",0,IF(ISNUMBER(SEARCH("apport-exterieur",IFERROR(INDEX('Paramètres'!$N:$N,MATCH($D3434,'Paramètres'!$M:$M,0))&amp;"",""))),0,IF(OR(IFERROR(INDEX('Paramètres'!$I:$I,MATCH($C3434,'Paramètres'!$D:$D,0))&amp;"","")="Les deux",IFERROR(INDEX('Paramètres'!$I:$I,MATCH($C3434,'Paramètres'!$D:$D,0))&amp;"","")=IF($P3434=1,"Débit",$L3434)),-IF($P3434=1,-$K3434,$K3434),0))))</f>
        <v/>
      </c>
      <c r="U3434" s="6" t="str">
        <f>IF($K3434="","",IF(ISNUMBER(SEARCH("sortie-epargne",IFERROR(INDEX('Paramètres'!$N:$N,MATCH($D3434,'Paramètres'!$M:$M,0))&amp;"",""))),$K3434,0))</f>
        <v/>
      </c>
      <c r="V3434" s="6" t="str">
        <f>IF(AND($A3434&lt;&gt;"",$O3434=1,$L3434="Débit",N($Q3434)&gt;0,$A3434&gt;=Visualisation!$B$1,$A3434&lt;Visualisation!$D$1),MAX($V$1:V3433)+1,"")</f>
        <v/>
      </c>
    </row>
    <row r="3435" spans="1:22" x14ac:dyDescent="0.25">
      <c r="A3435" s="9"/>
      <c r="E3435" s="10"/>
      <c r="K3435" s="11" t="str">
        <f>IF($E3435="","",ROUND($E3435*IF(ISNA(MATCH($C3435,'Paramètres'!$D:$D,0)),1,IF(INDEX('Paramètres'!$J:$J,MATCH($C3435,'Paramètres'!$D:$D,0))="",1,INDEX('Paramètres'!$J:$J,MATCH($C3435,'Paramètres'!$D:$D,0)))),2))</f>
        <v/>
      </c>
      <c r="L3435" s="6" t="str">
        <f>IF($D3435="","",IF($F3435&lt;&gt;"",$F3435,IF(ISNA(MATCH($D3435,'Paramètres'!$M:$M,0)),"⚠ Type inconnu",IFERROR(INDEX('Paramètres'!$P:$P,MATCH($D3435,'Paramètres'!$M:$M,0))&amp;"",""))))</f>
        <v/>
      </c>
      <c r="M3435" s="6" t="str">
        <f>IF($D3435="","",IF(ISNA(MATCH($D3435,'Paramètres'!$M:$M,0)),"⚠ Type inconnu",IF($L3435="Crédit","",IFERROR(INDEX('Paramètres'!$O:$O,MATCH($D3435,'Paramètres'!$M:$M,0))&amp;"",""))))</f>
        <v/>
      </c>
      <c r="N3435" s="6" t="str">
        <f>IF($D3435="","",IFERROR(INDEX('Paramètres'!$Q:$Q,MATCH($D3435,'Paramètres'!$M:$M,0))&amp;"",""))</f>
        <v/>
      </c>
      <c r="O3435" s="6" t="str">
        <f>IF($A3435="","",IF(OR($J3435&lt;&gt;"x",$A3435&lt;=FinReleve),1,0))</f>
        <v/>
      </c>
      <c r="P3435" s="6" t="str">
        <f>IF($D3435="","",IF(AND($L3435="Crédit",OR(IFERROR(INDEX('Paramètres'!$O:$O,MATCH($D3435,'Paramètres'!$M:$M,0))&amp;"","")&lt;&gt;"",ISNUMBER(SEARCH("remboursement",IFERROR(INDEX('Paramètres'!$N:$N,MATCH($D3435,'Paramètres'!$M:$M,0))&amp;"",""))))),1,0))</f>
        <v/>
      </c>
      <c r="Q3435" s="6" t="str">
        <f>IF($K3435="","",IF(ISNUMBER(SEARCH("transfert-interne",IFERROR(INDEX('Paramètres'!$N:$N,MATCH($D3435,'Paramètres'!$M:$M,0))&amp;"",""))),0,IF($L3435="Débit",$K3435,IF($P3435=1,-$K3435,0))))</f>
        <v/>
      </c>
      <c r="R3435" s="6" t="str">
        <f>IF($K3435="","",IF($L3435="Crédit",$K3435,-$K3435))</f>
        <v/>
      </c>
      <c r="S3435" s="6" t="str">
        <f>IF($C3435="","",IFERROR(INDEX('Paramètres'!$H:$H,MATCH($C3435,'Paramètres'!$D:$D,0))&amp;"",""))</f>
        <v/>
      </c>
      <c r="T3435" s="6" t="str">
        <f>IF($K3435="","",IF($S3435="",0,IF(ISNUMBER(SEARCH("apport-exterieur",IFERROR(INDEX('Paramètres'!$N:$N,MATCH($D3435,'Paramètres'!$M:$M,0))&amp;"",""))),0,IF(OR(IFERROR(INDEX('Paramètres'!$I:$I,MATCH($C3435,'Paramètres'!$D:$D,0))&amp;"","")="Les deux",IFERROR(INDEX('Paramètres'!$I:$I,MATCH($C3435,'Paramètres'!$D:$D,0))&amp;"","")=IF($P3435=1,"Débit",$L3435)),-IF($P3435=1,-$K3435,$K3435),0))))</f>
        <v/>
      </c>
      <c r="U3435" s="6" t="str">
        <f>IF($K3435="","",IF(ISNUMBER(SEARCH("sortie-epargne",IFERROR(INDEX('Paramètres'!$N:$N,MATCH($D3435,'Paramètres'!$M:$M,0))&amp;"",""))),$K3435,0))</f>
        <v/>
      </c>
      <c r="V3435" s="6" t="str">
        <f>IF(AND($A3435&lt;&gt;"",$O3435=1,$L3435="Débit",N($Q3435)&gt;0,$A3435&gt;=Visualisation!$B$1,$A3435&lt;Visualisation!$D$1),MAX($V$1:V3434)+1,"")</f>
        <v/>
      </c>
    </row>
    <row r="3436" spans="1:22" x14ac:dyDescent="0.25">
      <c r="A3436" s="9"/>
      <c r="E3436" s="10"/>
      <c r="K3436" s="11" t="str">
        <f>IF($E3436="","",ROUND($E3436*IF(ISNA(MATCH($C3436,'Paramètres'!$D:$D,0)),1,IF(INDEX('Paramètres'!$J:$J,MATCH($C3436,'Paramètres'!$D:$D,0))="",1,INDEX('Paramètres'!$J:$J,MATCH($C3436,'Paramètres'!$D:$D,0)))),2))</f>
        <v/>
      </c>
      <c r="L3436" s="6" t="str">
        <f>IF($D3436="","",IF($F3436&lt;&gt;"",$F3436,IF(ISNA(MATCH($D3436,'Paramètres'!$M:$M,0)),"⚠ Type inconnu",IFERROR(INDEX('Paramètres'!$P:$P,MATCH($D3436,'Paramètres'!$M:$M,0))&amp;"",""))))</f>
        <v/>
      </c>
      <c r="M3436" s="6" t="str">
        <f>IF($D3436="","",IF(ISNA(MATCH($D3436,'Paramètres'!$M:$M,0)),"⚠ Type inconnu",IF($L3436="Crédit","",IFERROR(INDEX('Paramètres'!$O:$O,MATCH($D3436,'Paramètres'!$M:$M,0))&amp;"",""))))</f>
        <v/>
      </c>
      <c r="N3436" s="6" t="str">
        <f>IF($D3436="","",IFERROR(INDEX('Paramètres'!$Q:$Q,MATCH($D3436,'Paramètres'!$M:$M,0))&amp;"",""))</f>
        <v/>
      </c>
      <c r="O3436" s="6" t="str">
        <f>IF($A3436="","",IF(OR($J3436&lt;&gt;"x",$A3436&lt;=FinReleve),1,0))</f>
        <v/>
      </c>
      <c r="P3436" s="6" t="str">
        <f>IF($D3436="","",IF(AND($L3436="Crédit",OR(IFERROR(INDEX('Paramètres'!$O:$O,MATCH($D3436,'Paramètres'!$M:$M,0))&amp;"","")&lt;&gt;"",ISNUMBER(SEARCH("remboursement",IFERROR(INDEX('Paramètres'!$N:$N,MATCH($D3436,'Paramètres'!$M:$M,0))&amp;"",""))))),1,0))</f>
        <v/>
      </c>
      <c r="Q3436" s="6" t="str">
        <f>IF($K3436="","",IF(ISNUMBER(SEARCH("transfert-interne",IFERROR(INDEX('Paramètres'!$N:$N,MATCH($D3436,'Paramètres'!$M:$M,0))&amp;"",""))),0,IF($L3436="Débit",$K3436,IF($P3436=1,-$K3436,0))))</f>
        <v/>
      </c>
      <c r="R3436" s="6" t="str">
        <f>IF($K3436="","",IF($L3436="Crédit",$K3436,-$K3436))</f>
        <v/>
      </c>
      <c r="S3436" s="6" t="str">
        <f>IF($C3436="","",IFERROR(INDEX('Paramètres'!$H:$H,MATCH($C3436,'Paramètres'!$D:$D,0))&amp;"",""))</f>
        <v/>
      </c>
      <c r="T3436" s="6" t="str">
        <f>IF($K3436="","",IF($S3436="",0,IF(ISNUMBER(SEARCH("apport-exterieur",IFERROR(INDEX('Paramètres'!$N:$N,MATCH($D3436,'Paramètres'!$M:$M,0))&amp;"",""))),0,IF(OR(IFERROR(INDEX('Paramètres'!$I:$I,MATCH($C3436,'Paramètres'!$D:$D,0))&amp;"","")="Les deux",IFERROR(INDEX('Paramètres'!$I:$I,MATCH($C3436,'Paramètres'!$D:$D,0))&amp;"","")=IF($P3436=1,"Débit",$L3436)),-IF($P3436=1,-$K3436,$K3436),0))))</f>
        <v/>
      </c>
      <c r="U3436" s="6" t="str">
        <f>IF($K3436="","",IF(ISNUMBER(SEARCH("sortie-epargne",IFERROR(INDEX('Paramètres'!$N:$N,MATCH($D3436,'Paramètres'!$M:$M,0))&amp;"",""))),$K3436,0))</f>
        <v/>
      </c>
      <c r="V3436" s="6" t="str">
        <f>IF(AND($A3436&lt;&gt;"",$O3436=1,$L3436="Débit",N($Q3436)&gt;0,$A3436&gt;=Visualisation!$B$1,$A3436&lt;Visualisation!$D$1),MAX($V$1:V3435)+1,"")</f>
        <v/>
      </c>
    </row>
    <row r="3437" spans="1:22" x14ac:dyDescent="0.25">
      <c r="A3437" s="9"/>
      <c r="E3437" s="10"/>
      <c r="K3437" s="11" t="str">
        <f>IF($E3437="","",ROUND($E3437*IF(ISNA(MATCH($C3437,'Paramètres'!$D:$D,0)),1,IF(INDEX('Paramètres'!$J:$J,MATCH($C3437,'Paramètres'!$D:$D,0))="",1,INDEX('Paramètres'!$J:$J,MATCH($C3437,'Paramètres'!$D:$D,0)))),2))</f>
        <v/>
      </c>
      <c r="L3437" s="6" t="str">
        <f>IF($D3437="","",IF($F3437&lt;&gt;"",$F3437,IF(ISNA(MATCH($D3437,'Paramètres'!$M:$M,0)),"⚠ Type inconnu",IFERROR(INDEX('Paramètres'!$P:$P,MATCH($D3437,'Paramètres'!$M:$M,0))&amp;"",""))))</f>
        <v/>
      </c>
      <c r="M3437" s="6" t="str">
        <f>IF($D3437="","",IF(ISNA(MATCH($D3437,'Paramètres'!$M:$M,0)),"⚠ Type inconnu",IF($L3437="Crédit","",IFERROR(INDEX('Paramètres'!$O:$O,MATCH($D3437,'Paramètres'!$M:$M,0))&amp;"",""))))</f>
        <v/>
      </c>
      <c r="N3437" s="6" t="str">
        <f>IF($D3437="","",IFERROR(INDEX('Paramètres'!$Q:$Q,MATCH($D3437,'Paramètres'!$M:$M,0))&amp;"",""))</f>
        <v/>
      </c>
      <c r="O3437" s="6" t="str">
        <f>IF($A3437="","",IF(OR($J3437&lt;&gt;"x",$A3437&lt;=FinReleve),1,0))</f>
        <v/>
      </c>
      <c r="P3437" s="6" t="str">
        <f>IF($D3437="","",IF(AND($L3437="Crédit",OR(IFERROR(INDEX('Paramètres'!$O:$O,MATCH($D3437,'Paramètres'!$M:$M,0))&amp;"","")&lt;&gt;"",ISNUMBER(SEARCH("remboursement",IFERROR(INDEX('Paramètres'!$N:$N,MATCH($D3437,'Paramètres'!$M:$M,0))&amp;"",""))))),1,0))</f>
        <v/>
      </c>
      <c r="Q3437" s="6" t="str">
        <f>IF($K3437="","",IF(ISNUMBER(SEARCH("transfert-interne",IFERROR(INDEX('Paramètres'!$N:$N,MATCH($D3437,'Paramètres'!$M:$M,0))&amp;"",""))),0,IF($L3437="Débit",$K3437,IF($P3437=1,-$K3437,0))))</f>
        <v/>
      </c>
      <c r="R3437" s="6" t="str">
        <f>IF($K3437="","",IF($L3437="Crédit",$K3437,-$K3437))</f>
        <v/>
      </c>
      <c r="S3437" s="6" t="str">
        <f>IF($C3437="","",IFERROR(INDEX('Paramètres'!$H:$H,MATCH($C3437,'Paramètres'!$D:$D,0))&amp;"",""))</f>
        <v/>
      </c>
      <c r="T3437" s="6" t="str">
        <f>IF($K3437="","",IF($S3437="",0,IF(ISNUMBER(SEARCH("apport-exterieur",IFERROR(INDEX('Paramètres'!$N:$N,MATCH($D3437,'Paramètres'!$M:$M,0))&amp;"",""))),0,IF(OR(IFERROR(INDEX('Paramètres'!$I:$I,MATCH($C3437,'Paramètres'!$D:$D,0))&amp;"","")="Les deux",IFERROR(INDEX('Paramètres'!$I:$I,MATCH($C3437,'Paramètres'!$D:$D,0))&amp;"","")=IF($P3437=1,"Débit",$L3437)),-IF($P3437=1,-$K3437,$K3437),0))))</f>
        <v/>
      </c>
      <c r="U3437" s="6" t="str">
        <f>IF($K3437="","",IF(ISNUMBER(SEARCH("sortie-epargne",IFERROR(INDEX('Paramètres'!$N:$N,MATCH($D3437,'Paramètres'!$M:$M,0))&amp;"",""))),$K3437,0))</f>
        <v/>
      </c>
      <c r="V3437" s="6" t="str">
        <f>IF(AND($A3437&lt;&gt;"",$O3437=1,$L3437="Débit",N($Q3437)&gt;0,$A3437&gt;=Visualisation!$B$1,$A3437&lt;Visualisation!$D$1),MAX($V$1:V3436)+1,"")</f>
        <v/>
      </c>
    </row>
    <row r="3438" spans="1:22" x14ac:dyDescent="0.25">
      <c r="A3438" s="9"/>
      <c r="E3438" s="10"/>
      <c r="K3438" s="11" t="str">
        <f>IF($E3438="","",ROUND($E3438*IF(ISNA(MATCH($C3438,'Paramètres'!$D:$D,0)),1,IF(INDEX('Paramètres'!$J:$J,MATCH($C3438,'Paramètres'!$D:$D,0))="",1,INDEX('Paramètres'!$J:$J,MATCH($C3438,'Paramètres'!$D:$D,0)))),2))</f>
        <v/>
      </c>
      <c r="L3438" s="6" t="str">
        <f>IF($D3438="","",IF($F3438&lt;&gt;"",$F3438,IF(ISNA(MATCH($D3438,'Paramètres'!$M:$M,0)),"⚠ Type inconnu",IFERROR(INDEX('Paramètres'!$P:$P,MATCH($D3438,'Paramètres'!$M:$M,0))&amp;"",""))))</f>
        <v/>
      </c>
      <c r="M3438" s="6" t="str">
        <f>IF($D3438="","",IF(ISNA(MATCH($D3438,'Paramètres'!$M:$M,0)),"⚠ Type inconnu",IF($L3438="Crédit","",IFERROR(INDEX('Paramètres'!$O:$O,MATCH($D3438,'Paramètres'!$M:$M,0))&amp;"",""))))</f>
        <v/>
      </c>
      <c r="N3438" s="6" t="str">
        <f>IF($D3438="","",IFERROR(INDEX('Paramètres'!$Q:$Q,MATCH($D3438,'Paramètres'!$M:$M,0))&amp;"",""))</f>
        <v/>
      </c>
      <c r="O3438" s="6" t="str">
        <f>IF($A3438="","",IF(OR($J3438&lt;&gt;"x",$A3438&lt;=FinReleve),1,0))</f>
        <v/>
      </c>
      <c r="P3438" s="6" t="str">
        <f>IF($D3438="","",IF(AND($L3438="Crédit",OR(IFERROR(INDEX('Paramètres'!$O:$O,MATCH($D3438,'Paramètres'!$M:$M,0))&amp;"","")&lt;&gt;"",ISNUMBER(SEARCH("remboursement",IFERROR(INDEX('Paramètres'!$N:$N,MATCH($D3438,'Paramètres'!$M:$M,0))&amp;"",""))))),1,0))</f>
        <v/>
      </c>
      <c r="Q3438" s="6" t="str">
        <f>IF($K3438="","",IF(ISNUMBER(SEARCH("transfert-interne",IFERROR(INDEX('Paramètres'!$N:$N,MATCH($D3438,'Paramètres'!$M:$M,0))&amp;"",""))),0,IF($L3438="Débit",$K3438,IF($P3438=1,-$K3438,0))))</f>
        <v/>
      </c>
      <c r="R3438" s="6" t="str">
        <f>IF($K3438="","",IF($L3438="Crédit",$K3438,-$K3438))</f>
        <v/>
      </c>
      <c r="S3438" s="6" t="str">
        <f>IF($C3438="","",IFERROR(INDEX('Paramètres'!$H:$H,MATCH($C3438,'Paramètres'!$D:$D,0))&amp;"",""))</f>
        <v/>
      </c>
      <c r="T3438" s="6" t="str">
        <f>IF($K3438="","",IF($S3438="",0,IF(ISNUMBER(SEARCH("apport-exterieur",IFERROR(INDEX('Paramètres'!$N:$N,MATCH($D3438,'Paramètres'!$M:$M,0))&amp;"",""))),0,IF(OR(IFERROR(INDEX('Paramètres'!$I:$I,MATCH($C3438,'Paramètres'!$D:$D,0))&amp;"","")="Les deux",IFERROR(INDEX('Paramètres'!$I:$I,MATCH($C3438,'Paramètres'!$D:$D,0))&amp;"","")=IF($P3438=1,"Débit",$L3438)),-IF($P3438=1,-$K3438,$K3438),0))))</f>
        <v/>
      </c>
      <c r="U3438" s="6" t="str">
        <f>IF($K3438="","",IF(ISNUMBER(SEARCH("sortie-epargne",IFERROR(INDEX('Paramètres'!$N:$N,MATCH($D3438,'Paramètres'!$M:$M,0))&amp;"",""))),$K3438,0))</f>
        <v/>
      </c>
      <c r="V3438" s="6" t="str">
        <f>IF(AND($A3438&lt;&gt;"",$O3438=1,$L3438="Débit",N($Q3438)&gt;0,$A3438&gt;=Visualisation!$B$1,$A3438&lt;Visualisation!$D$1),MAX($V$1:V3437)+1,"")</f>
        <v/>
      </c>
    </row>
    <row r="3439" spans="1:22" x14ac:dyDescent="0.25">
      <c r="A3439" s="9"/>
      <c r="E3439" s="10"/>
      <c r="K3439" s="11" t="str">
        <f>IF($E3439="","",ROUND($E3439*IF(ISNA(MATCH($C3439,'Paramètres'!$D:$D,0)),1,IF(INDEX('Paramètres'!$J:$J,MATCH($C3439,'Paramètres'!$D:$D,0))="",1,INDEX('Paramètres'!$J:$J,MATCH($C3439,'Paramètres'!$D:$D,0)))),2))</f>
        <v/>
      </c>
      <c r="L3439" s="6" t="str">
        <f>IF($D3439="","",IF($F3439&lt;&gt;"",$F3439,IF(ISNA(MATCH($D3439,'Paramètres'!$M:$M,0)),"⚠ Type inconnu",IFERROR(INDEX('Paramètres'!$P:$P,MATCH($D3439,'Paramètres'!$M:$M,0))&amp;"",""))))</f>
        <v/>
      </c>
      <c r="M3439" s="6" t="str">
        <f>IF($D3439="","",IF(ISNA(MATCH($D3439,'Paramètres'!$M:$M,0)),"⚠ Type inconnu",IF($L3439="Crédit","",IFERROR(INDEX('Paramètres'!$O:$O,MATCH($D3439,'Paramètres'!$M:$M,0))&amp;"",""))))</f>
        <v/>
      </c>
      <c r="N3439" s="6" t="str">
        <f>IF($D3439="","",IFERROR(INDEX('Paramètres'!$Q:$Q,MATCH($D3439,'Paramètres'!$M:$M,0))&amp;"",""))</f>
        <v/>
      </c>
      <c r="O3439" s="6" t="str">
        <f>IF($A3439="","",IF(OR($J3439&lt;&gt;"x",$A3439&lt;=FinReleve),1,0))</f>
        <v/>
      </c>
      <c r="P3439" s="6" t="str">
        <f>IF($D3439="","",IF(AND($L3439="Crédit",OR(IFERROR(INDEX('Paramètres'!$O:$O,MATCH($D3439,'Paramètres'!$M:$M,0))&amp;"","")&lt;&gt;"",ISNUMBER(SEARCH("remboursement",IFERROR(INDEX('Paramètres'!$N:$N,MATCH($D3439,'Paramètres'!$M:$M,0))&amp;"",""))))),1,0))</f>
        <v/>
      </c>
      <c r="Q3439" s="6" t="str">
        <f>IF($K3439="","",IF(ISNUMBER(SEARCH("transfert-interne",IFERROR(INDEX('Paramètres'!$N:$N,MATCH($D3439,'Paramètres'!$M:$M,0))&amp;"",""))),0,IF($L3439="Débit",$K3439,IF($P3439=1,-$K3439,0))))</f>
        <v/>
      </c>
      <c r="R3439" s="6" t="str">
        <f>IF($K3439="","",IF($L3439="Crédit",$K3439,-$K3439))</f>
        <v/>
      </c>
      <c r="S3439" s="6" t="str">
        <f>IF($C3439="","",IFERROR(INDEX('Paramètres'!$H:$H,MATCH($C3439,'Paramètres'!$D:$D,0))&amp;"",""))</f>
        <v/>
      </c>
      <c r="T3439" s="6" t="str">
        <f>IF($K3439="","",IF($S3439="",0,IF(ISNUMBER(SEARCH("apport-exterieur",IFERROR(INDEX('Paramètres'!$N:$N,MATCH($D3439,'Paramètres'!$M:$M,0))&amp;"",""))),0,IF(OR(IFERROR(INDEX('Paramètres'!$I:$I,MATCH($C3439,'Paramètres'!$D:$D,0))&amp;"","")="Les deux",IFERROR(INDEX('Paramètres'!$I:$I,MATCH($C3439,'Paramètres'!$D:$D,0))&amp;"","")=IF($P3439=1,"Débit",$L3439)),-IF($P3439=1,-$K3439,$K3439),0))))</f>
        <v/>
      </c>
      <c r="U3439" s="6" t="str">
        <f>IF($K3439="","",IF(ISNUMBER(SEARCH("sortie-epargne",IFERROR(INDEX('Paramètres'!$N:$N,MATCH($D3439,'Paramètres'!$M:$M,0))&amp;"",""))),$K3439,0))</f>
        <v/>
      </c>
      <c r="V3439" s="6" t="str">
        <f>IF(AND($A3439&lt;&gt;"",$O3439=1,$L3439="Débit",N($Q3439)&gt;0,$A3439&gt;=Visualisation!$B$1,$A3439&lt;Visualisation!$D$1),MAX($V$1:V3438)+1,"")</f>
        <v/>
      </c>
    </row>
    <row r="3440" spans="1:22" x14ac:dyDescent="0.25">
      <c r="A3440" s="9"/>
      <c r="E3440" s="10"/>
      <c r="K3440" s="11" t="str">
        <f>IF($E3440="","",ROUND($E3440*IF(ISNA(MATCH($C3440,'Paramètres'!$D:$D,0)),1,IF(INDEX('Paramètres'!$J:$J,MATCH($C3440,'Paramètres'!$D:$D,0))="",1,INDEX('Paramètres'!$J:$J,MATCH($C3440,'Paramètres'!$D:$D,0)))),2))</f>
        <v/>
      </c>
      <c r="L3440" s="6" t="str">
        <f>IF($D3440="","",IF($F3440&lt;&gt;"",$F3440,IF(ISNA(MATCH($D3440,'Paramètres'!$M:$M,0)),"⚠ Type inconnu",IFERROR(INDEX('Paramètres'!$P:$P,MATCH($D3440,'Paramètres'!$M:$M,0))&amp;"",""))))</f>
        <v/>
      </c>
      <c r="M3440" s="6" t="str">
        <f>IF($D3440="","",IF(ISNA(MATCH($D3440,'Paramètres'!$M:$M,0)),"⚠ Type inconnu",IF($L3440="Crédit","",IFERROR(INDEX('Paramètres'!$O:$O,MATCH($D3440,'Paramètres'!$M:$M,0))&amp;"",""))))</f>
        <v/>
      </c>
      <c r="N3440" s="6" t="str">
        <f>IF($D3440="","",IFERROR(INDEX('Paramètres'!$Q:$Q,MATCH($D3440,'Paramètres'!$M:$M,0))&amp;"",""))</f>
        <v/>
      </c>
      <c r="O3440" s="6" t="str">
        <f>IF($A3440="","",IF(OR($J3440&lt;&gt;"x",$A3440&lt;=FinReleve),1,0))</f>
        <v/>
      </c>
      <c r="P3440" s="6" t="str">
        <f>IF($D3440="","",IF(AND($L3440="Crédit",OR(IFERROR(INDEX('Paramètres'!$O:$O,MATCH($D3440,'Paramètres'!$M:$M,0))&amp;"","")&lt;&gt;"",ISNUMBER(SEARCH("remboursement",IFERROR(INDEX('Paramètres'!$N:$N,MATCH($D3440,'Paramètres'!$M:$M,0))&amp;"",""))))),1,0))</f>
        <v/>
      </c>
      <c r="Q3440" s="6" t="str">
        <f>IF($K3440="","",IF(ISNUMBER(SEARCH("transfert-interne",IFERROR(INDEX('Paramètres'!$N:$N,MATCH($D3440,'Paramètres'!$M:$M,0))&amp;"",""))),0,IF($L3440="Débit",$K3440,IF($P3440=1,-$K3440,0))))</f>
        <v/>
      </c>
      <c r="R3440" s="6" t="str">
        <f>IF($K3440="","",IF($L3440="Crédit",$K3440,-$K3440))</f>
        <v/>
      </c>
      <c r="S3440" s="6" t="str">
        <f>IF($C3440="","",IFERROR(INDEX('Paramètres'!$H:$H,MATCH($C3440,'Paramètres'!$D:$D,0))&amp;"",""))</f>
        <v/>
      </c>
      <c r="T3440" s="6" t="str">
        <f>IF($K3440="","",IF($S3440="",0,IF(ISNUMBER(SEARCH("apport-exterieur",IFERROR(INDEX('Paramètres'!$N:$N,MATCH($D3440,'Paramètres'!$M:$M,0))&amp;"",""))),0,IF(OR(IFERROR(INDEX('Paramètres'!$I:$I,MATCH($C3440,'Paramètres'!$D:$D,0))&amp;"","")="Les deux",IFERROR(INDEX('Paramètres'!$I:$I,MATCH($C3440,'Paramètres'!$D:$D,0))&amp;"","")=IF($P3440=1,"Débit",$L3440)),-IF($P3440=1,-$K3440,$K3440),0))))</f>
        <v/>
      </c>
      <c r="U3440" s="6" t="str">
        <f>IF($K3440="","",IF(ISNUMBER(SEARCH("sortie-epargne",IFERROR(INDEX('Paramètres'!$N:$N,MATCH($D3440,'Paramètres'!$M:$M,0))&amp;"",""))),$K3440,0))</f>
        <v/>
      </c>
      <c r="V3440" s="6" t="str">
        <f>IF(AND($A3440&lt;&gt;"",$O3440=1,$L3440="Débit",N($Q3440)&gt;0,$A3440&gt;=Visualisation!$B$1,$A3440&lt;Visualisation!$D$1),MAX($V$1:V3439)+1,"")</f>
        <v/>
      </c>
    </row>
    <row r="3441" spans="1:22" x14ac:dyDescent="0.25">
      <c r="A3441" s="9"/>
      <c r="E3441" s="10"/>
      <c r="K3441" s="11" t="str">
        <f>IF($E3441="","",ROUND($E3441*IF(ISNA(MATCH($C3441,'Paramètres'!$D:$D,0)),1,IF(INDEX('Paramètres'!$J:$J,MATCH($C3441,'Paramètres'!$D:$D,0))="",1,INDEX('Paramètres'!$J:$J,MATCH($C3441,'Paramètres'!$D:$D,0)))),2))</f>
        <v/>
      </c>
      <c r="L3441" s="6" t="str">
        <f>IF($D3441="","",IF($F3441&lt;&gt;"",$F3441,IF(ISNA(MATCH($D3441,'Paramètres'!$M:$M,0)),"⚠ Type inconnu",IFERROR(INDEX('Paramètres'!$P:$P,MATCH($D3441,'Paramètres'!$M:$M,0))&amp;"",""))))</f>
        <v/>
      </c>
      <c r="M3441" s="6" t="str">
        <f>IF($D3441="","",IF(ISNA(MATCH($D3441,'Paramètres'!$M:$M,0)),"⚠ Type inconnu",IF($L3441="Crédit","",IFERROR(INDEX('Paramètres'!$O:$O,MATCH($D3441,'Paramètres'!$M:$M,0))&amp;"",""))))</f>
        <v/>
      </c>
      <c r="N3441" s="6" t="str">
        <f>IF($D3441="","",IFERROR(INDEX('Paramètres'!$Q:$Q,MATCH($D3441,'Paramètres'!$M:$M,0))&amp;"",""))</f>
        <v/>
      </c>
      <c r="O3441" s="6" t="str">
        <f>IF($A3441="","",IF(OR($J3441&lt;&gt;"x",$A3441&lt;=FinReleve),1,0))</f>
        <v/>
      </c>
      <c r="P3441" s="6" t="str">
        <f>IF($D3441="","",IF(AND($L3441="Crédit",OR(IFERROR(INDEX('Paramètres'!$O:$O,MATCH($D3441,'Paramètres'!$M:$M,0))&amp;"","")&lt;&gt;"",ISNUMBER(SEARCH("remboursement",IFERROR(INDEX('Paramètres'!$N:$N,MATCH($D3441,'Paramètres'!$M:$M,0))&amp;"",""))))),1,0))</f>
        <v/>
      </c>
      <c r="Q3441" s="6" t="str">
        <f>IF($K3441="","",IF(ISNUMBER(SEARCH("transfert-interne",IFERROR(INDEX('Paramètres'!$N:$N,MATCH($D3441,'Paramètres'!$M:$M,0))&amp;"",""))),0,IF($L3441="Débit",$K3441,IF($P3441=1,-$K3441,0))))</f>
        <v/>
      </c>
      <c r="R3441" s="6" t="str">
        <f>IF($K3441="","",IF($L3441="Crédit",$K3441,-$K3441))</f>
        <v/>
      </c>
      <c r="S3441" s="6" t="str">
        <f>IF($C3441="","",IFERROR(INDEX('Paramètres'!$H:$H,MATCH($C3441,'Paramètres'!$D:$D,0))&amp;"",""))</f>
        <v/>
      </c>
      <c r="T3441" s="6" t="str">
        <f>IF($K3441="","",IF($S3441="",0,IF(ISNUMBER(SEARCH("apport-exterieur",IFERROR(INDEX('Paramètres'!$N:$N,MATCH($D3441,'Paramètres'!$M:$M,0))&amp;"",""))),0,IF(OR(IFERROR(INDEX('Paramètres'!$I:$I,MATCH($C3441,'Paramètres'!$D:$D,0))&amp;"","")="Les deux",IFERROR(INDEX('Paramètres'!$I:$I,MATCH($C3441,'Paramètres'!$D:$D,0))&amp;"","")=IF($P3441=1,"Débit",$L3441)),-IF($P3441=1,-$K3441,$K3441),0))))</f>
        <v/>
      </c>
      <c r="U3441" s="6" t="str">
        <f>IF($K3441="","",IF(ISNUMBER(SEARCH("sortie-epargne",IFERROR(INDEX('Paramètres'!$N:$N,MATCH($D3441,'Paramètres'!$M:$M,0))&amp;"",""))),$K3441,0))</f>
        <v/>
      </c>
      <c r="V3441" s="6" t="str">
        <f>IF(AND($A3441&lt;&gt;"",$O3441=1,$L3441="Débit",N($Q3441)&gt;0,$A3441&gt;=Visualisation!$B$1,$A3441&lt;Visualisation!$D$1),MAX($V$1:V3440)+1,"")</f>
        <v/>
      </c>
    </row>
    <row r="3442" spans="1:22" x14ac:dyDescent="0.25">
      <c r="A3442" s="9"/>
      <c r="E3442" s="10"/>
      <c r="K3442" s="11" t="str">
        <f>IF($E3442="","",ROUND($E3442*IF(ISNA(MATCH($C3442,'Paramètres'!$D:$D,0)),1,IF(INDEX('Paramètres'!$J:$J,MATCH($C3442,'Paramètres'!$D:$D,0))="",1,INDEX('Paramètres'!$J:$J,MATCH($C3442,'Paramètres'!$D:$D,0)))),2))</f>
        <v/>
      </c>
      <c r="L3442" s="6" t="str">
        <f>IF($D3442="","",IF($F3442&lt;&gt;"",$F3442,IF(ISNA(MATCH($D3442,'Paramètres'!$M:$M,0)),"⚠ Type inconnu",IFERROR(INDEX('Paramètres'!$P:$P,MATCH($D3442,'Paramètres'!$M:$M,0))&amp;"",""))))</f>
        <v/>
      </c>
      <c r="M3442" s="6" t="str">
        <f>IF($D3442="","",IF(ISNA(MATCH($D3442,'Paramètres'!$M:$M,0)),"⚠ Type inconnu",IF($L3442="Crédit","",IFERROR(INDEX('Paramètres'!$O:$O,MATCH($D3442,'Paramètres'!$M:$M,0))&amp;"",""))))</f>
        <v/>
      </c>
      <c r="N3442" s="6" t="str">
        <f>IF($D3442="","",IFERROR(INDEX('Paramètres'!$Q:$Q,MATCH($D3442,'Paramètres'!$M:$M,0))&amp;"",""))</f>
        <v/>
      </c>
      <c r="O3442" s="6" t="str">
        <f>IF($A3442="","",IF(OR($J3442&lt;&gt;"x",$A3442&lt;=FinReleve),1,0))</f>
        <v/>
      </c>
      <c r="P3442" s="6" t="str">
        <f>IF($D3442="","",IF(AND($L3442="Crédit",OR(IFERROR(INDEX('Paramètres'!$O:$O,MATCH($D3442,'Paramètres'!$M:$M,0))&amp;"","")&lt;&gt;"",ISNUMBER(SEARCH("remboursement",IFERROR(INDEX('Paramètres'!$N:$N,MATCH($D3442,'Paramètres'!$M:$M,0))&amp;"",""))))),1,0))</f>
        <v/>
      </c>
      <c r="Q3442" s="6" t="str">
        <f>IF($K3442="","",IF(ISNUMBER(SEARCH("transfert-interne",IFERROR(INDEX('Paramètres'!$N:$N,MATCH($D3442,'Paramètres'!$M:$M,0))&amp;"",""))),0,IF($L3442="Débit",$K3442,IF($P3442=1,-$K3442,0))))</f>
        <v/>
      </c>
      <c r="R3442" s="6" t="str">
        <f>IF($K3442="","",IF($L3442="Crédit",$K3442,-$K3442))</f>
        <v/>
      </c>
      <c r="S3442" s="6" t="str">
        <f>IF($C3442="","",IFERROR(INDEX('Paramètres'!$H:$H,MATCH($C3442,'Paramètres'!$D:$D,0))&amp;"",""))</f>
        <v/>
      </c>
      <c r="T3442" s="6" t="str">
        <f>IF($K3442="","",IF($S3442="",0,IF(ISNUMBER(SEARCH("apport-exterieur",IFERROR(INDEX('Paramètres'!$N:$N,MATCH($D3442,'Paramètres'!$M:$M,0))&amp;"",""))),0,IF(OR(IFERROR(INDEX('Paramètres'!$I:$I,MATCH($C3442,'Paramètres'!$D:$D,0))&amp;"","")="Les deux",IFERROR(INDEX('Paramètres'!$I:$I,MATCH($C3442,'Paramètres'!$D:$D,0))&amp;"","")=IF($P3442=1,"Débit",$L3442)),-IF($P3442=1,-$K3442,$K3442),0))))</f>
        <v/>
      </c>
      <c r="U3442" s="6" t="str">
        <f>IF($K3442="","",IF(ISNUMBER(SEARCH("sortie-epargne",IFERROR(INDEX('Paramètres'!$N:$N,MATCH($D3442,'Paramètres'!$M:$M,0))&amp;"",""))),$K3442,0))</f>
        <v/>
      </c>
      <c r="V3442" s="6" t="str">
        <f>IF(AND($A3442&lt;&gt;"",$O3442=1,$L3442="Débit",N($Q3442)&gt;0,$A3442&gt;=Visualisation!$B$1,$A3442&lt;Visualisation!$D$1),MAX($V$1:V3441)+1,"")</f>
        <v/>
      </c>
    </row>
    <row r="3443" spans="1:22" x14ac:dyDescent="0.25">
      <c r="A3443" s="9"/>
      <c r="E3443" s="10"/>
      <c r="K3443" s="11" t="str">
        <f>IF($E3443="","",ROUND($E3443*IF(ISNA(MATCH($C3443,'Paramètres'!$D:$D,0)),1,IF(INDEX('Paramètres'!$J:$J,MATCH($C3443,'Paramètres'!$D:$D,0))="",1,INDEX('Paramètres'!$J:$J,MATCH($C3443,'Paramètres'!$D:$D,0)))),2))</f>
        <v/>
      </c>
      <c r="L3443" s="6" t="str">
        <f>IF($D3443="","",IF($F3443&lt;&gt;"",$F3443,IF(ISNA(MATCH($D3443,'Paramètres'!$M:$M,0)),"⚠ Type inconnu",IFERROR(INDEX('Paramètres'!$P:$P,MATCH($D3443,'Paramètres'!$M:$M,0))&amp;"",""))))</f>
        <v/>
      </c>
      <c r="M3443" s="6" t="str">
        <f>IF($D3443="","",IF(ISNA(MATCH($D3443,'Paramètres'!$M:$M,0)),"⚠ Type inconnu",IF($L3443="Crédit","",IFERROR(INDEX('Paramètres'!$O:$O,MATCH($D3443,'Paramètres'!$M:$M,0))&amp;"",""))))</f>
        <v/>
      </c>
      <c r="N3443" s="6" t="str">
        <f>IF($D3443="","",IFERROR(INDEX('Paramètres'!$Q:$Q,MATCH($D3443,'Paramètres'!$M:$M,0))&amp;"",""))</f>
        <v/>
      </c>
      <c r="O3443" s="6" t="str">
        <f>IF($A3443="","",IF(OR($J3443&lt;&gt;"x",$A3443&lt;=FinReleve),1,0))</f>
        <v/>
      </c>
      <c r="P3443" s="6" t="str">
        <f>IF($D3443="","",IF(AND($L3443="Crédit",OR(IFERROR(INDEX('Paramètres'!$O:$O,MATCH($D3443,'Paramètres'!$M:$M,0))&amp;"","")&lt;&gt;"",ISNUMBER(SEARCH("remboursement",IFERROR(INDEX('Paramètres'!$N:$N,MATCH($D3443,'Paramètres'!$M:$M,0))&amp;"",""))))),1,0))</f>
        <v/>
      </c>
      <c r="Q3443" s="6" t="str">
        <f>IF($K3443="","",IF(ISNUMBER(SEARCH("transfert-interne",IFERROR(INDEX('Paramètres'!$N:$N,MATCH($D3443,'Paramètres'!$M:$M,0))&amp;"",""))),0,IF($L3443="Débit",$K3443,IF($P3443=1,-$K3443,0))))</f>
        <v/>
      </c>
      <c r="R3443" s="6" t="str">
        <f>IF($K3443="","",IF($L3443="Crédit",$K3443,-$K3443))</f>
        <v/>
      </c>
      <c r="S3443" s="6" t="str">
        <f>IF($C3443="","",IFERROR(INDEX('Paramètres'!$H:$H,MATCH($C3443,'Paramètres'!$D:$D,0))&amp;"",""))</f>
        <v/>
      </c>
      <c r="T3443" s="6" t="str">
        <f>IF($K3443="","",IF($S3443="",0,IF(ISNUMBER(SEARCH("apport-exterieur",IFERROR(INDEX('Paramètres'!$N:$N,MATCH($D3443,'Paramètres'!$M:$M,0))&amp;"",""))),0,IF(OR(IFERROR(INDEX('Paramètres'!$I:$I,MATCH($C3443,'Paramètres'!$D:$D,0))&amp;"","")="Les deux",IFERROR(INDEX('Paramètres'!$I:$I,MATCH($C3443,'Paramètres'!$D:$D,0))&amp;"","")=IF($P3443=1,"Débit",$L3443)),-IF($P3443=1,-$K3443,$K3443),0))))</f>
        <v/>
      </c>
      <c r="U3443" s="6" t="str">
        <f>IF($K3443="","",IF(ISNUMBER(SEARCH("sortie-epargne",IFERROR(INDEX('Paramètres'!$N:$N,MATCH($D3443,'Paramètres'!$M:$M,0))&amp;"",""))),$K3443,0))</f>
        <v/>
      </c>
      <c r="V3443" s="6" t="str">
        <f>IF(AND($A3443&lt;&gt;"",$O3443=1,$L3443="Débit",N($Q3443)&gt;0,$A3443&gt;=Visualisation!$B$1,$A3443&lt;Visualisation!$D$1),MAX($V$1:V3442)+1,"")</f>
        <v/>
      </c>
    </row>
    <row r="3444" spans="1:22" x14ac:dyDescent="0.25">
      <c r="A3444" s="9"/>
      <c r="E3444" s="10"/>
      <c r="K3444" s="11" t="str">
        <f>IF($E3444="","",ROUND($E3444*IF(ISNA(MATCH($C3444,'Paramètres'!$D:$D,0)),1,IF(INDEX('Paramètres'!$J:$J,MATCH($C3444,'Paramètres'!$D:$D,0))="",1,INDEX('Paramètres'!$J:$J,MATCH($C3444,'Paramètres'!$D:$D,0)))),2))</f>
        <v/>
      </c>
      <c r="L3444" s="6" t="str">
        <f>IF($D3444="","",IF($F3444&lt;&gt;"",$F3444,IF(ISNA(MATCH($D3444,'Paramètres'!$M:$M,0)),"⚠ Type inconnu",IFERROR(INDEX('Paramètres'!$P:$P,MATCH($D3444,'Paramètres'!$M:$M,0))&amp;"",""))))</f>
        <v/>
      </c>
      <c r="M3444" s="6" t="str">
        <f>IF($D3444="","",IF(ISNA(MATCH($D3444,'Paramètres'!$M:$M,0)),"⚠ Type inconnu",IF($L3444="Crédit","",IFERROR(INDEX('Paramètres'!$O:$O,MATCH($D3444,'Paramètres'!$M:$M,0))&amp;"",""))))</f>
        <v/>
      </c>
      <c r="N3444" s="6" t="str">
        <f>IF($D3444="","",IFERROR(INDEX('Paramètres'!$Q:$Q,MATCH($D3444,'Paramètres'!$M:$M,0))&amp;"",""))</f>
        <v/>
      </c>
      <c r="O3444" s="6" t="str">
        <f>IF($A3444="","",IF(OR($J3444&lt;&gt;"x",$A3444&lt;=FinReleve),1,0))</f>
        <v/>
      </c>
      <c r="P3444" s="6" t="str">
        <f>IF($D3444="","",IF(AND($L3444="Crédit",OR(IFERROR(INDEX('Paramètres'!$O:$O,MATCH($D3444,'Paramètres'!$M:$M,0))&amp;"","")&lt;&gt;"",ISNUMBER(SEARCH("remboursement",IFERROR(INDEX('Paramètres'!$N:$N,MATCH($D3444,'Paramètres'!$M:$M,0))&amp;"",""))))),1,0))</f>
        <v/>
      </c>
      <c r="Q3444" s="6" t="str">
        <f>IF($K3444="","",IF(ISNUMBER(SEARCH("transfert-interne",IFERROR(INDEX('Paramètres'!$N:$N,MATCH($D3444,'Paramètres'!$M:$M,0))&amp;"",""))),0,IF($L3444="Débit",$K3444,IF($P3444=1,-$K3444,0))))</f>
        <v/>
      </c>
      <c r="R3444" s="6" t="str">
        <f>IF($K3444="","",IF($L3444="Crédit",$K3444,-$K3444))</f>
        <v/>
      </c>
      <c r="S3444" s="6" t="str">
        <f>IF($C3444="","",IFERROR(INDEX('Paramètres'!$H:$H,MATCH($C3444,'Paramètres'!$D:$D,0))&amp;"",""))</f>
        <v/>
      </c>
      <c r="T3444" s="6" t="str">
        <f>IF($K3444="","",IF($S3444="",0,IF(ISNUMBER(SEARCH("apport-exterieur",IFERROR(INDEX('Paramètres'!$N:$N,MATCH($D3444,'Paramètres'!$M:$M,0))&amp;"",""))),0,IF(OR(IFERROR(INDEX('Paramètres'!$I:$I,MATCH($C3444,'Paramètres'!$D:$D,0))&amp;"","")="Les deux",IFERROR(INDEX('Paramètres'!$I:$I,MATCH($C3444,'Paramètres'!$D:$D,0))&amp;"","")=IF($P3444=1,"Débit",$L3444)),-IF($P3444=1,-$K3444,$K3444),0))))</f>
        <v/>
      </c>
      <c r="U3444" s="6" t="str">
        <f>IF($K3444="","",IF(ISNUMBER(SEARCH("sortie-epargne",IFERROR(INDEX('Paramètres'!$N:$N,MATCH($D3444,'Paramètres'!$M:$M,0))&amp;"",""))),$K3444,0))</f>
        <v/>
      </c>
      <c r="V3444" s="6" t="str">
        <f>IF(AND($A3444&lt;&gt;"",$O3444=1,$L3444="Débit",N($Q3444)&gt;0,$A3444&gt;=Visualisation!$B$1,$A3444&lt;Visualisation!$D$1),MAX($V$1:V3443)+1,"")</f>
        <v/>
      </c>
    </row>
    <row r="3445" spans="1:22" x14ac:dyDescent="0.25">
      <c r="A3445" s="9"/>
      <c r="E3445" s="10"/>
      <c r="K3445" s="11" t="str">
        <f>IF($E3445="","",ROUND($E3445*IF(ISNA(MATCH($C3445,'Paramètres'!$D:$D,0)),1,IF(INDEX('Paramètres'!$J:$J,MATCH($C3445,'Paramètres'!$D:$D,0))="",1,INDEX('Paramètres'!$J:$J,MATCH($C3445,'Paramètres'!$D:$D,0)))),2))</f>
        <v/>
      </c>
      <c r="L3445" s="6" t="str">
        <f>IF($D3445="","",IF($F3445&lt;&gt;"",$F3445,IF(ISNA(MATCH($D3445,'Paramètres'!$M:$M,0)),"⚠ Type inconnu",IFERROR(INDEX('Paramètres'!$P:$P,MATCH($D3445,'Paramètres'!$M:$M,0))&amp;"",""))))</f>
        <v/>
      </c>
      <c r="M3445" s="6" t="str">
        <f>IF($D3445="","",IF(ISNA(MATCH($D3445,'Paramètres'!$M:$M,0)),"⚠ Type inconnu",IF($L3445="Crédit","",IFERROR(INDEX('Paramètres'!$O:$O,MATCH($D3445,'Paramètres'!$M:$M,0))&amp;"",""))))</f>
        <v/>
      </c>
      <c r="N3445" s="6" t="str">
        <f>IF($D3445="","",IFERROR(INDEX('Paramètres'!$Q:$Q,MATCH($D3445,'Paramètres'!$M:$M,0))&amp;"",""))</f>
        <v/>
      </c>
      <c r="O3445" s="6" t="str">
        <f>IF($A3445="","",IF(OR($J3445&lt;&gt;"x",$A3445&lt;=FinReleve),1,0))</f>
        <v/>
      </c>
      <c r="P3445" s="6" t="str">
        <f>IF($D3445="","",IF(AND($L3445="Crédit",OR(IFERROR(INDEX('Paramètres'!$O:$O,MATCH($D3445,'Paramètres'!$M:$M,0))&amp;"","")&lt;&gt;"",ISNUMBER(SEARCH("remboursement",IFERROR(INDEX('Paramètres'!$N:$N,MATCH($D3445,'Paramètres'!$M:$M,0))&amp;"",""))))),1,0))</f>
        <v/>
      </c>
      <c r="Q3445" s="6" t="str">
        <f>IF($K3445="","",IF(ISNUMBER(SEARCH("transfert-interne",IFERROR(INDEX('Paramètres'!$N:$N,MATCH($D3445,'Paramètres'!$M:$M,0))&amp;"",""))),0,IF($L3445="Débit",$K3445,IF($P3445=1,-$K3445,0))))</f>
        <v/>
      </c>
      <c r="R3445" s="6" t="str">
        <f>IF($K3445="","",IF($L3445="Crédit",$K3445,-$K3445))</f>
        <v/>
      </c>
      <c r="S3445" s="6" t="str">
        <f>IF($C3445="","",IFERROR(INDEX('Paramètres'!$H:$H,MATCH($C3445,'Paramètres'!$D:$D,0))&amp;"",""))</f>
        <v/>
      </c>
      <c r="T3445" s="6" t="str">
        <f>IF($K3445="","",IF($S3445="",0,IF(ISNUMBER(SEARCH("apport-exterieur",IFERROR(INDEX('Paramètres'!$N:$N,MATCH($D3445,'Paramètres'!$M:$M,0))&amp;"",""))),0,IF(OR(IFERROR(INDEX('Paramètres'!$I:$I,MATCH($C3445,'Paramètres'!$D:$D,0))&amp;"","")="Les deux",IFERROR(INDEX('Paramètres'!$I:$I,MATCH($C3445,'Paramètres'!$D:$D,0))&amp;"","")=IF($P3445=1,"Débit",$L3445)),-IF($P3445=1,-$K3445,$K3445),0))))</f>
        <v/>
      </c>
      <c r="U3445" s="6" t="str">
        <f>IF($K3445="","",IF(ISNUMBER(SEARCH("sortie-epargne",IFERROR(INDEX('Paramètres'!$N:$N,MATCH($D3445,'Paramètres'!$M:$M,0))&amp;"",""))),$K3445,0))</f>
        <v/>
      </c>
      <c r="V3445" s="6" t="str">
        <f>IF(AND($A3445&lt;&gt;"",$O3445=1,$L3445="Débit",N($Q3445)&gt;0,$A3445&gt;=Visualisation!$B$1,$A3445&lt;Visualisation!$D$1),MAX($V$1:V3444)+1,"")</f>
        <v/>
      </c>
    </row>
    <row r="3446" spans="1:22" x14ac:dyDescent="0.25">
      <c r="A3446" s="9"/>
      <c r="E3446" s="10"/>
      <c r="K3446" s="11" t="str">
        <f>IF($E3446="","",ROUND($E3446*IF(ISNA(MATCH($C3446,'Paramètres'!$D:$D,0)),1,IF(INDEX('Paramètres'!$J:$J,MATCH($C3446,'Paramètres'!$D:$D,0))="",1,INDEX('Paramètres'!$J:$J,MATCH($C3446,'Paramètres'!$D:$D,0)))),2))</f>
        <v/>
      </c>
      <c r="L3446" s="6" t="str">
        <f>IF($D3446="","",IF($F3446&lt;&gt;"",$F3446,IF(ISNA(MATCH($D3446,'Paramètres'!$M:$M,0)),"⚠ Type inconnu",IFERROR(INDEX('Paramètres'!$P:$P,MATCH($D3446,'Paramètres'!$M:$M,0))&amp;"",""))))</f>
        <v/>
      </c>
      <c r="M3446" s="6" t="str">
        <f>IF($D3446="","",IF(ISNA(MATCH($D3446,'Paramètres'!$M:$M,0)),"⚠ Type inconnu",IF($L3446="Crédit","",IFERROR(INDEX('Paramètres'!$O:$O,MATCH($D3446,'Paramètres'!$M:$M,0))&amp;"",""))))</f>
        <v/>
      </c>
      <c r="N3446" s="6" t="str">
        <f>IF($D3446="","",IFERROR(INDEX('Paramètres'!$Q:$Q,MATCH($D3446,'Paramètres'!$M:$M,0))&amp;"",""))</f>
        <v/>
      </c>
      <c r="O3446" s="6" t="str">
        <f>IF($A3446="","",IF(OR($J3446&lt;&gt;"x",$A3446&lt;=FinReleve),1,0))</f>
        <v/>
      </c>
      <c r="P3446" s="6" t="str">
        <f>IF($D3446="","",IF(AND($L3446="Crédit",OR(IFERROR(INDEX('Paramètres'!$O:$O,MATCH($D3446,'Paramètres'!$M:$M,0))&amp;"","")&lt;&gt;"",ISNUMBER(SEARCH("remboursement",IFERROR(INDEX('Paramètres'!$N:$N,MATCH($D3446,'Paramètres'!$M:$M,0))&amp;"",""))))),1,0))</f>
        <v/>
      </c>
      <c r="Q3446" s="6" t="str">
        <f>IF($K3446="","",IF(ISNUMBER(SEARCH("transfert-interne",IFERROR(INDEX('Paramètres'!$N:$N,MATCH($D3446,'Paramètres'!$M:$M,0))&amp;"",""))),0,IF($L3446="Débit",$K3446,IF($P3446=1,-$K3446,0))))</f>
        <v/>
      </c>
      <c r="R3446" s="6" t="str">
        <f>IF($K3446="","",IF($L3446="Crédit",$K3446,-$K3446))</f>
        <v/>
      </c>
      <c r="S3446" s="6" t="str">
        <f>IF($C3446="","",IFERROR(INDEX('Paramètres'!$H:$H,MATCH($C3446,'Paramètres'!$D:$D,0))&amp;"",""))</f>
        <v/>
      </c>
      <c r="T3446" s="6" t="str">
        <f>IF($K3446="","",IF($S3446="",0,IF(ISNUMBER(SEARCH("apport-exterieur",IFERROR(INDEX('Paramètres'!$N:$N,MATCH($D3446,'Paramètres'!$M:$M,0))&amp;"",""))),0,IF(OR(IFERROR(INDEX('Paramètres'!$I:$I,MATCH($C3446,'Paramètres'!$D:$D,0))&amp;"","")="Les deux",IFERROR(INDEX('Paramètres'!$I:$I,MATCH($C3446,'Paramètres'!$D:$D,0))&amp;"","")=IF($P3446=1,"Débit",$L3446)),-IF($P3446=1,-$K3446,$K3446),0))))</f>
        <v/>
      </c>
      <c r="U3446" s="6" t="str">
        <f>IF($K3446="","",IF(ISNUMBER(SEARCH("sortie-epargne",IFERROR(INDEX('Paramètres'!$N:$N,MATCH($D3446,'Paramètres'!$M:$M,0))&amp;"",""))),$K3446,0))</f>
        <v/>
      </c>
      <c r="V3446" s="6" t="str">
        <f>IF(AND($A3446&lt;&gt;"",$O3446=1,$L3446="Débit",N($Q3446)&gt;0,$A3446&gt;=Visualisation!$B$1,$A3446&lt;Visualisation!$D$1),MAX($V$1:V3445)+1,"")</f>
        <v/>
      </c>
    </row>
    <row r="3447" spans="1:22" x14ac:dyDescent="0.25">
      <c r="A3447" s="9"/>
      <c r="E3447" s="10"/>
      <c r="K3447" s="11" t="str">
        <f>IF($E3447="","",ROUND($E3447*IF(ISNA(MATCH($C3447,'Paramètres'!$D:$D,0)),1,IF(INDEX('Paramètres'!$J:$J,MATCH($C3447,'Paramètres'!$D:$D,0))="",1,INDEX('Paramètres'!$J:$J,MATCH($C3447,'Paramètres'!$D:$D,0)))),2))</f>
        <v/>
      </c>
      <c r="L3447" s="6" t="str">
        <f>IF($D3447="","",IF($F3447&lt;&gt;"",$F3447,IF(ISNA(MATCH($D3447,'Paramètres'!$M:$M,0)),"⚠ Type inconnu",IFERROR(INDEX('Paramètres'!$P:$P,MATCH($D3447,'Paramètres'!$M:$M,0))&amp;"",""))))</f>
        <v/>
      </c>
      <c r="M3447" s="6" t="str">
        <f>IF($D3447="","",IF(ISNA(MATCH($D3447,'Paramètres'!$M:$M,0)),"⚠ Type inconnu",IF($L3447="Crédit","",IFERROR(INDEX('Paramètres'!$O:$O,MATCH($D3447,'Paramètres'!$M:$M,0))&amp;"",""))))</f>
        <v/>
      </c>
      <c r="N3447" s="6" t="str">
        <f>IF($D3447="","",IFERROR(INDEX('Paramètres'!$Q:$Q,MATCH($D3447,'Paramètres'!$M:$M,0))&amp;"",""))</f>
        <v/>
      </c>
      <c r="O3447" s="6" t="str">
        <f>IF($A3447="","",IF(OR($J3447&lt;&gt;"x",$A3447&lt;=FinReleve),1,0))</f>
        <v/>
      </c>
      <c r="P3447" s="6" t="str">
        <f>IF($D3447="","",IF(AND($L3447="Crédit",OR(IFERROR(INDEX('Paramètres'!$O:$O,MATCH($D3447,'Paramètres'!$M:$M,0))&amp;"","")&lt;&gt;"",ISNUMBER(SEARCH("remboursement",IFERROR(INDEX('Paramètres'!$N:$N,MATCH($D3447,'Paramètres'!$M:$M,0))&amp;"",""))))),1,0))</f>
        <v/>
      </c>
      <c r="Q3447" s="6" t="str">
        <f>IF($K3447="","",IF(ISNUMBER(SEARCH("transfert-interne",IFERROR(INDEX('Paramètres'!$N:$N,MATCH($D3447,'Paramètres'!$M:$M,0))&amp;"",""))),0,IF($L3447="Débit",$K3447,IF($P3447=1,-$K3447,0))))</f>
        <v/>
      </c>
      <c r="R3447" s="6" t="str">
        <f>IF($K3447="","",IF($L3447="Crédit",$K3447,-$K3447))</f>
        <v/>
      </c>
      <c r="S3447" s="6" t="str">
        <f>IF($C3447="","",IFERROR(INDEX('Paramètres'!$H:$H,MATCH($C3447,'Paramètres'!$D:$D,0))&amp;"",""))</f>
        <v/>
      </c>
      <c r="T3447" s="6" t="str">
        <f>IF($K3447="","",IF($S3447="",0,IF(ISNUMBER(SEARCH("apport-exterieur",IFERROR(INDEX('Paramètres'!$N:$N,MATCH($D3447,'Paramètres'!$M:$M,0))&amp;"",""))),0,IF(OR(IFERROR(INDEX('Paramètres'!$I:$I,MATCH($C3447,'Paramètres'!$D:$D,0))&amp;"","")="Les deux",IFERROR(INDEX('Paramètres'!$I:$I,MATCH($C3447,'Paramètres'!$D:$D,0))&amp;"","")=IF($P3447=1,"Débit",$L3447)),-IF($P3447=1,-$K3447,$K3447),0))))</f>
        <v/>
      </c>
      <c r="U3447" s="6" t="str">
        <f>IF($K3447="","",IF(ISNUMBER(SEARCH("sortie-epargne",IFERROR(INDEX('Paramètres'!$N:$N,MATCH($D3447,'Paramètres'!$M:$M,0))&amp;"",""))),$K3447,0))</f>
        <v/>
      </c>
      <c r="V3447" s="6" t="str">
        <f>IF(AND($A3447&lt;&gt;"",$O3447=1,$L3447="Débit",N($Q3447)&gt;0,$A3447&gt;=Visualisation!$B$1,$A3447&lt;Visualisation!$D$1),MAX($V$1:V3446)+1,"")</f>
        <v/>
      </c>
    </row>
    <row r="3448" spans="1:22" x14ac:dyDescent="0.25">
      <c r="A3448" s="9"/>
      <c r="E3448" s="10"/>
      <c r="K3448" s="11" t="str">
        <f>IF($E3448="","",ROUND($E3448*IF(ISNA(MATCH($C3448,'Paramètres'!$D:$D,0)),1,IF(INDEX('Paramètres'!$J:$J,MATCH($C3448,'Paramètres'!$D:$D,0))="",1,INDEX('Paramètres'!$J:$J,MATCH($C3448,'Paramètres'!$D:$D,0)))),2))</f>
        <v/>
      </c>
      <c r="L3448" s="6" t="str">
        <f>IF($D3448="","",IF($F3448&lt;&gt;"",$F3448,IF(ISNA(MATCH($D3448,'Paramètres'!$M:$M,0)),"⚠ Type inconnu",IFERROR(INDEX('Paramètres'!$P:$P,MATCH($D3448,'Paramètres'!$M:$M,0))&amp;"",""))))</f>
        <v/>
      </c>
      <c r="M3448" s="6" t="str">
        <f>IF($D3448="","",IF(ISNA(MATCH($D3448,'Paramètres'!$M:$M,0)),"⚠ Type inconnu",IF($L3448="Crédit","",IFERROR(INDEX('Paramètres'!$O:$O,MATCH($D3448,'Paramètres'!$M:$M,0))&amp;"",""))))</f>
        <v/>
      </c>
      <c r="N3448" s="6" t="str">
        <f>IF($D3448="","",IFERROR(INDEX('Paramètres'!$Q:$Q,MATCH($D3448,'Paramètres'!$M:$M,0))&amp;"",""))</f>
        <v/>
      </c>
      <c r="O3448" s="6" t="str">
        <f>IF($A3448="","",IF(OR($J3448&lt;&gt;"x",$A3448&lt;=FinReleve),1,0))</f>
        <v/>
      </c>
      <c r="P3448" s="6" t="str">
        <f>IF($D3448="","",IF(AND($L3448="Crédit",OR(IFERROR(INDEX('Paramètres'!$O:$O,MATCH($D3448,'Paramètres'!$M:$M,0))&amp;"","")&lt;&gt;"",ISNUMBER(SEARCH("remboursement",IFERROR(INDEX('Paramètres'!$N:$N,MATCH($D3448,'Paramètres'!$M:$M,0))&amp;"",""))))),1,0))</f>
        <v/>
      </c>
      <c r="Q3448" s="6" t="str">
        <f>IF($K3448="","",IF(ISNUMBER(SEARCH("transfert-interne",IFERROR(INDEX('Paramètres'!$N:$N,MATCH($D3448,'Paramètres'!$M:$M,0))&amp;"",""))),0,IF($L3448="Débit",$K3448,IF($P3448=1,-$K3448,0))))</f>
        <v/>
      </c>
      <c r="R3448" s="6" t="str">
        <f>IF($K3448="","",IF($L3448="Crédit",$K3448,-$K3448))</f>
        <v/>
      </c>
      <c r="S3448" s="6" t="str">
        <f>IF($C3448="","",IFERROR(INDEX('Paramètres'!$H:$H,MATCH($C3448,'Paramètres'!$D:$D,0))&amp;"",""))</f>
        <v/>
      </c>
      <c r="T3448" s="6" t="str">
        <f>IF($K3448="","",IF($S3448="",0,IF(ISNUMBER(SEARCH("apport-exterieur",IFERROR(INDEX('Paramètres'!$N:$N,MATCH($D3448,'Paramètres'!$M:$M,0))&amp;"",""))),0,IF(OR(IFERROR(INDEX('Paramètres'!$I:$I,MATCH($C3448,'Paramètres'!$D:$D,0))&amp;"","")="Les deux",IFERROR(INDEX('Paramètres'!$I:$I,MATCH($C3448,'Paramètres'!$D:$D,0))&amp;"","")=IF($P3448=1,"Débit",$L3448)),-IF($P3448=1,-$K3448,$K3448),0))))</f>
        <v/>
      </c>
      <c r="U3448" s="6" t="str">
        <f>IF($K3448="","",IF(ISNUMBER(SEARCH("sortie-epargne",IFERROR(INDEX('Paramètres'!$N:$N,MATCH($D3448,'Paramètres'!$M:$M,0))&amp;"",""))),$K3448,0))</f>
        <v/>
      </c>
      <c r="V3448" s="6" t="str">
        <f>IF(AND($A3448&lt;&gt;"",$O3448=1,$L3448="Débit",N($Q3448)&gt;0,$A3448&gt;=Visualisation!$B$1,$A3448&lt;Visualisation!$D$1),MAX($V$1:V3447)+1,"")</f>
        <v/>
      </c>
    </row>
    <row r="3449" spans="1:22" x14ac:dyDescent="0.25">
      <c r="A3449" s="9"/>
      <c r="E3449" s="10"/>
      <c r="K3449" s="11" t="str">
        <f>IF($E3449="","",ROUND($E3449*IF(ISNA(MATCH($C3449,'Paramètres'!$D:$D,0)),1,IF(INDEX('Paramètres'!$J:$J,MATCH($C3449,'Paramètres'!$D:$D,0))="",1,INDEX('Paramètres'!$J:$J,MATCH($C3449,'Paramètres'!$D:$D,0)))),2))</f>
        <v/>
      </c>
      <c r="L3449" s="6" t="str">
        <f>IF($D3449="","",IF($F3449&lt;&gt;"",$F3449,IF(ISNA(MATCH($D3449,'Paramètres'!$M:$M,0)),"⚠ Type inconnu",IFERROR(INDEX('Paramètres'!$P:$P,MATCH($D3449,'Paramètres'!$M:$M,0))&amp;"",""))))</f>
        <v/>
      </c>
      <c r="M3449" s="6" t="str">
        <f>IF($D3449="","",IF(ISNA(MATCH($D3449,'Paramètres'!$M:$M,0)),"⚠ Type inconnu",IF($L3449="Crédit","",IFERROR(INDEX('Paramètres'!$O:$O,MATCH($D3449,'Paramètres'!$M:$M,0))&amp;"",""))))</f>
        <v/>
      </c>
      <c r="N3449" s="6" t="str">
        <f>IF($D3449="","",IFERROR(INDEX('Paramètres'!$Q:$Q,MATCH($D3449,'Paramètres'!$M:$M,0))&amp;"",""))</f>
        <v/>
      </c>
      <c r="O3449" s="6" t="str">
        <f>IF($A3449="","",IF(OR($J3449&lt;&gt;"x",$A3449&lt;=FinReleve),1,0))</f>
        <v/>
      </c>
      <c r="P3449" s="6" t="str">
        <f>IF($D3449="","",IF(AND($L3449="Crédit",OR(IFERROR(INDEX('Paramètres'!$O:$O,MATCH($D3449,'Paramètres'!$M:$M,0))&amp;"","")&lt;&gt;"",ISNUMBER(SEARCH("remboursement",IFERROR(INDEX('Paramètres'!$N:$N,MATCH($D3449,'Paramètres'!$M:$M,0))&amp;"",""))))),1,0))</f>
        <v/>
      </c>
      <c r="Q3449" s="6" t="str">
        <f>IF($K3449="","",IF(ISNUMBER(SEARCH("transfert-interne",IFERROR(INDEX('Paramètres'!$N:$N,MATCH($D3449,'Paramètres'!$M:$M,0))&amp;"",""))),0,IF($L3449="Débit",$K3449,IF($P3449=1,-$K3449,0))))</f>
        <v/>
      </c>
      <c r="R3449" s="6" t="str">
        <f>IF($K3449="","",IF($L3449="Crédit",$K3449,-$K3449))</f>
        <v/>
      </c>
      <c r="S3449" s="6" t="str">
        <f>IF($C3449="","",IFERROR(INDEX('Paramètres'!$H:$H,MATCH($C3449,'Paramètres'!$D:$D,0))&amp;"",""))</f>
        <v/>
      </c>
      <c r="T3449" s="6" t="str">
        <f>IF($K3449="","",IF($S3449="",0,IF(ISNUMBER(SEARCH("apport-exterieur",IFERROR(INDEX('Paramètres'!$N:$N,MATCH($D3449,'Paramètres'!$M:$M,0))&amp;"",""))),0,IF(OR(IFERROR(INDEX('Paramètres'!$I:$I,MATCH($C3449,'Paramètres'!$D:$D,0))&amp;"","")="Les deux",IFERROR(INDEX('Paramètres'!$I:$I,MATCH($C3449,'Paramètres'!$D:$D,0))&amp;"","")=IF($P3449=1,"Débit",$L3449)),-IF($P3449=1,-$K3449,$K3449),0))))</f>
        <v/>
      </c>
      <c r="U3449" s="6" t="str">
        <f>IF($K3449="","",IF(ISNUMBER(SEARCH("sortie-epargne",IFERROR(INDEX('Paramètres'!$N:$N,MATCH($D3449,'Paramètres'!$M:$M,0))&amp;"",""))),$K3449,0))</f>
        <v/>
      </c>
      <c r="V3449" s="6" t="str">
        <f>IF(AND($A3449&lt;&gt;"",$O3449=1,$L3449="Débit",N($Q3449)&gt;0,$A3449&gt;=Visualisation!$B$1,$A3449&lt;Visualisation!$D$1),MAX($V$1:V3448)+1,"")</f>
        <v/>
      </c>
    </row>
    <row r="3450" spans="1:22" x14ac:dyDescent="0.25">
      <c r="A3450" s="9"/>
      <c r="E3450" s="10"/>
      <c r="K3450" s="11" t="str">
        <f>IF($E3450="","",ROUND($E3450*IF(ISNA(MATCH($C3450,'Paramètres'!$D:$D,0)),1,IF(INDEX('Paramètres'!$J:$J,MATCH($C3450,'Paramètres'!$D:$D,0))="",1,INDEX('Paramètres'!$J:$J,MATCH($C3450,'Paramètres'!$D:$D,0)))),2))</f>
        <v/>
      </c>
      <c r="L3450" s="6" t="str">
        <f>IF($D3450="","",IF($F3450&lt;&gt;"",$F3450,IF(ISNA(MATCH($D3450,'Paramètres'!$M:$M,0)),"⚠ Type inconnu",IFERROR(INDEX('Paramètres'!$P:$P,MATCH($D3450,'Paramètres'!$M:$M,0))&amp;"",""))))</f>
        <v/>
      </c>
      <c r="M3450" s="6" t="str">
        <f>IF($D3450="","",IF(ISNA(MATCH($D3450,'Paramètres'!$M:$M,0)),"⚠ Type inconnu",IF($L3450="Crédit","",IFERROR(INDEX('Paramètres'!$O:$O,MATCH($D3450,'Paramètres'!$M:$M,0))&amp;"",""))))</f>
        <v/>
      </c>
      <c r="N3450" s="6" t="str">
        <f>IF($D3450="","",IFERROR(INDEX('Paramètres'!$Q:$Q,MATCH($D3450,'Paramètres'!$M:$M,0))&amp;"",""))</f>
        <v/>
      </c>
      <c r="O3450" s="6" t="str">
        <f>IF($A3450="","",IF(OR($J3450&lt;&gt;"x",$A3450&lt;=FinReleve),1,0))</f>
        <v/>
      </c>
      <c r="P3450" s="6" t="str">
        <f>IF($D3450="","",IF(AND($L3450="Crédit",OR(IFERROR(INDEX('Paramètres'!$O:$O,MATCH($D3450,'Paramètres'!$M:$M,0))&amp;"","")&lt;&gt;"",ISNUMBER(SEARCH("remboursement",IFERROR(INDEX('Paramètres'!$N:$N,MATCH($D3450,'Paramètres'!$M:$M,0))&amp;"",""))))),1,0))</f>
        <v/>
      </c>
      <c r="Q3450" s="6" t="str">
        <f>IF($K3450="","",IF(ISNUMBER(SEARCH("transfert-interne",IFERROR(INDEX('Paramètres'!$N:$N,MATCH($D3450,'Paramètres'!$M:$M,0))&amp;"",""))),0,IF($L3450="Débit",$K3450,IF($P3450=1,-$K3450,0))))</f>
        <v/>
      </c>
      <c r="R3450" s="6" t="str">
        <f>IF($K3450="","",IF($L3450="Crédit",$K3450,-$K3450))</f>
        <v/>
      </c>
      <c r="S3450" s="6" t="str">
        <f>IF($C3450="","",IFERROR(INDEX('Paramètres'!$H:$H,MATCH($C3450,'Paramètres'!$D:$D,0))&amp;"",""))</f>
        <v/>
      </c>
      <c r="T3450" s="6" t="str">
        <f>IF($K3450="","",IF($S3450="",0,IF(ISNUMBER(SEARCH("apport-exterieur",IFERROR(INDEX('Paramètres'!$N:$N,MATCH($D3450,'Paramètres'!$M:$M,0))&amp;"",""))),0,IF(OR(IFERROR(INDEX('Paramètres'!$I:$I,MATCH($C3450,'Paramètres'!$D:$D,0))&amp;"","")="Les deux",IFERROR(INDEX('Paramètres'!$I:$I,MATCH($C3450,'Paramètres'!$D:$D,0))&amp;"","")=IF($P3450=1,"Débit",$L3450)),-IF($P3450=1,-$K3450,$K3450),0))))</f>
        <v/>
      </c>
      <c r="U3450" s="6" t="str">
        <f>IF($K3450="","",IF(ISNUMBER(SEARCH("sortie-epargne",IFERROR(INDEX('Paramètres'!$N:$N,MATCH($D3450,'Paramètres'!$M:$M,0))&amp;"",""))),$K3450,0))</f>
        <v/>
      </c>
      <c r="V3450" s="6" t="str">
        <f>IF(AND($A3450&lt;&gt;"",$O3450=1,$L3450="Débit",N($Q3450)&gt;0,$A3450&gt;=Visualisation!$B$1,$A3450&lt;Visualisation!$D$1),MAX($V$1:V3449)+1,"")</f>
        <v/>
      </c>
    </row>
    <row r="3451" spans="1:22" x14ac:dyDescent="0.25">
      <c r="A3451" s="9"/>
      <c r="E3451" s="10"/>
      <c r="K3451" s="11" t="str">
        <f>IF($E3451="","",ROUND($E3451*IF(ISNA(MATCH($C3451,'Paramètres'!$D:$D,0)),1,IF(INDEX('Paramètres'!$J:$J,MATCH($C3451,'Paramètres'!$D:$D,0))="",1,INDEX('Paramètres'!$J:$J,MATCH($C3451,'Paramètres'!$D:$D,0)))),2))</f>
        <v/>
      </c>
      <c r="L3451" s="6" t="str">
        <f>IF($D3451="","",IF($F3451&lt;&gt;"",$F3451,IF(ISNA(MATCH($D3451,'Paramètres'!$M:$M,0)),"⚠ Type inconnu",IFERROR(INDEX('Paramètres'!$P:$P,MATCH($D3451,'Paramètres'!$M:$M,0))&amp;"",""))))</f>
        <v/>
      </c>
      <c r="M3451" s="6" t="str">
        <f>IF($D3451="","",IF(ISNA(MATCH($D3451,'Paramètres'!$M:$M,0)),"⚠ Type inconnu",IF($L3451="Crédit","",IFERROR(INDEX('Paramètres'!$O:$O,MATCH($D3451,'Paramètres'!$M:$M,0))&amp;"",""))))</f>
        <v/>
      </c>
      <c r="N3451" s="6" t="str">
        <f>IF($D3451="","",IFERROR(INDEX('Paramètres'!$Q:$Q,MATCH($D3451,'Paramètres'!$M:$M,0))&amp;"",""))</f>
        <v/>
      </c>
      <c r="O3451" s="6" t="str">
        <f>IF($A3451="","",IF(OR($J3451&lt;&gt;"x",$A3451&lt;=FinReleve),1,0))</f>
        <v/>
      </c>
      <c r="P3451" s="6" t="str">
        <f>IF($D3451="","",IF(AND($L3451="Crédit",OR(IFERROR(INDEX('Paramètres'!$O:$O,MATCH($D3451,'Paramètres'!$M:$M,0))&amp;"","")&lt;&gt;"",ISNUMBER(SEARCH("remboursement",IFERROR(INDEX('Paramètres'!$N:$N,MATCH($D3451,'Paramètres'!$M:$M,0))&amp;"",""))))),1,0))</f>
        <v/>
      </c>
      <c r="Q3451" s="6" t="str">
        <f>IF($K3451="","",IF(ISNUMBER(SEARCH("transfert-interne",IFERROR(INDEX('Paramètres'!$N:$N,MATCH($D3451,'Paramètres'!$M:$M,0))&amp;"",""))),0,IF($L3451="Débit",$K3451,IF($P3451=1,-$K3451,0))))</f>
        <v/>
      </c>
      <c r="R3451" s="6" t="str">
        <f>IF($K3451="","",IF($L3451="Crédit",$K3451,-$K3451))</f>
        <v/>
      </c>
      <c r="S3451" s="6" t="str">
        <f>IF($C3451="","",IFERROR(INDEX('Paramètres'!$H:$H,MATCH($C3451,'Paramètres'!$D:$D,0))&amp;"",""))</f>
        <v/>
      </c>
      <c r="T3451" s="6" t="str">
        <f>IF($K3451="","",IF($S3451="",0,IF(ISNUMBER(SEARCH("apport-exterieur",IFERROR(INDEX('Paramètres'!$N:$N,MATCH($D3451,'Paramètres'!$M:$M,0))&amp;"",""))),0,IF(OR(IFERROR(INDEX('Paramètres'!$I:$I,MATCH($C3451,'Paramètres'!$D:$D,0))&amp;"","")="Les deux",IFERROR(INDEX('Paramètres'!$I:$I,MATCH($C3451,'Paramètres'!$D:$D,0))&amp;"","")=IF($P3451=1,"Débit",$L3451)),-IF($P3451=1,-$K3451,$K3451),0))))</f>
        <v/>
      </c>
      <c r="U3451" s="6" t="str">
        <f>IF($K3451="","",IF(ISNUMBER(SEARCH("sortie-epargne",IFERROR(INDEX('Paramètres'!$N:$N,MATCH($D3451,'Paramètres'!$M:$M,0))&amp;"",""))),$K3451,0))</f>
        <v/>
      </c>
      <c r="V3451" s="6" t="str">
        <f>IF(AND($A3451&lt;&gt;"",$O3451=1,$L3451="Débit",N($Q3451)&gt;0,$A3451&gt;=Visualisation!$B$1,$A3451&lt;Visualisation!$D$1),MAX($V$1:V3450)+1,"")</f>
        <v/>
      </c>
    </row>
    <row r="3452" spans="1:22" x14ac:dyDescent="0.25">
      <c r="A3452" s="9"/>
      <c r="E3452" s="10"/>
      <c r="K3452" s="11" t="str">
        <f>IF($E3452="","",ROUND($E3452*IF(ISNA(MATCH($C3452,'Paramètres'!$D:$D,0)),1,IF(INDEX('Paramètres'!$J:$J,MATCH($C3452,'Paramètres'!$D:$D,0))="",1,INDEX('Paramètres'!$J:$J,MATCH($C3452,'Paramètres'!$D:$D,0)))),2))</f>
        <v/>
      </c>
      <c r="L3452" s="6" t="str">
        <f>IF($D3452="","",IF($F3452&lt;&gt;"",$F3452,IF(ISNA(MATCH($D3452,'Paramètres'!$M:$M,0)),"⚠ Type inconnu",IFERROR(INDEX('Paramètres'!$P:$P,MATCH($D3452,'Paramètres'!$M:$M,0))&amp;"",""))))</f>
        <v/>
      </c>
      <c r="M3452" s="6" t="str">
        <f>IF($D3452="","",IF(ISNA(MATCH($D3452,'Paramètres'!$M:$M,0)),"⚠ Type inconnu",IF($L3452="Crédit","",IFERROR(INDEX('Paramètres'!$O:$O,MATCH($D3452,'Paramètres'!$M:$M,0))&amp;"",""))))</f>
        <v/>
      </c>
      <c r="N3452" s="6" t="str">
        <f>IF($D3452="","",IFERROR(INDEX('Paramètres'!$Q:$Q,MATCH($D3452,'Paramètres'!$M:$M,0))&amp;"",""))</f>
        <v/>
      </c>
      <c r="O3452" s="6" t="str">
        <f>IF($A3452="","",IF(OR($J3452&lt;&gt;"x",$A3452&lt;=FinReleve),1,0))</f>
        <v/>
      </c>
      <c r="P3452" s="6" t="str">
        <f>IF($D3452="","",IF(AND($L3452="Crédit",OR(IFERROR(INDEX('Paramètres'!$O:$O,MATCH($D3452,'Paramètres'!$M:$M,0))&amp;"","")&lt;&gt;"",ISNUMBER(SEARCH("remboursement",IFERROR(INDEX('Paramètres'!$N:$N,MATCH($D3452,'Paramètres'!$M:$M,0))&amp;"",""))))),1,0))</f>
        <v/>
      </c>
      <c r="Q3452" s="6" t="str">
        <f>IF($K3452="","",IF(ISNUMBER(SEARCH("transfert-interne",IFERROR(INDEX('Paramètres'!$N:$N,MATCH($D3452,'Paramètres'!$M:$M,0))&amp;"",""))),0,IF($L3452="Débit",$K3452,IF($P3452=1,-$K3452,0))))</f>
        <v/>
      </c>
      <c r="R3452" s="6" t="str">
        <f>IF($K3452="","",IF($L3452="Crédit",$K3452,-$K3452))</f>
        <v/>
      </c>
      <c r="S3452" s="6" t="str">
        <f>IF($C3452="","",IFERROR(INDEX('Paramètres'!$H:$H,MATCH($C3452,'Paramètres'!$D:$D,0))&amp;"",""))</f>
        <v/>
      </c>
      <c r="T3452" s="6" t="str">
        <f>IF($K3452="","",IF($S3452="",0,IF(ISNUMBER(SEARCH("apport-exterieur",IFERROR(INDEX('Paramètres'!$N:$N,MATCH($D3452,'Paramètres'!$M:$M,0))&amp;"",""))),0,IF(OR(IFERROR(INDEX('Paramètres'!$I:$I,MATCH($C3452,'Paramètres'!$D:$D,0))&amp;"","")="Les deux",IFERROR(INDEX('Paramètres'!$I:$I,MATCH($C3452,'Paramètres'!$D:$D,0))&amp;"","")=IF($P3452=1,"Débit",$L3452)),-IF($P3452=1,-$K3452,$K3452),0))))</f>
        <v/>
      </c>
      <c r="U3452" s="6" t="str">
        <f>IF($K3452="","",IF(ISNUMBER(SEARCH("sortie-epargne",IFERROR(INDEX('Paramètres'!$N:$N,MATCH($D3452,'Paramètres'!$M:$M,0))&amp;"",""))),$K3452,0))</f>
        <v/>
      </c>
      <c r="V3452" s="6" t="str">
        <f>IF(AND($A3452&lt;&gt;"",$O3452=1,$L3452="Débit",N($Q3452)&gt;0,$A3452&gt;=Visualisation!$B$1,$A3452&lt;Visualisation!$D$1),MAX($V$1:V3451)+1,"")</f>
        <v/>
      </c>
    </row>
    <row r="3453" spans="1:22" x14ac:dyDescent="0.25">
      <c r="A3453" s="9"/>
      <c r="E3453" s="10"/>
      <c r="K3453" s="11" t="str">
        <f>IF($E3453="","",ROUND($E3453*IF(ISNA(MATCH($C3453,'Paramètres'!$D:$D,0)),1,IF(INDEX('Paramètres'!$J:$J,MATCH($C3453,'Paramètres'!$D:$D,0))="",1,INDEX('Paramètres'!$J:$J,MATCH($C3453,'Paramètres'!$D:$D,0)))),2))</f>
        <v/>
      </c>
      <c r="L3453" s="6" t="str">
        <f>IF($D3453="","",IF($F3453&lt;&gt;"",$F3453,IF(ISNA(MATCH($D3453,'Paramètres'!$M:$M,0)),"⚠ Type inconnu",IFERROR(INDEX('Paramètres'!$P:$P,MATCH($D3453,'Paramètres'!$M:$M,0))&amp;"",""))))</f>
        <v/>
      </c>
      <c r="M3453" s="6" t="str">
        <f>IF($D3453="","",IF(ISNA(MATCH($D3453,'Paramètres'!$M:$M,0)),"⚠ Type inconnu",IF($L3453="Crédit","",IFERROR(INDEX('Paramètres'!$O:$O,MATCH($D3453,'Paramètres'!$M:$M,0))&amp;"",""))))</f>
        <v/>
      </c>
      <c r="N3453" s="6" t="str">
        <f>IF($D3453="","",IFERROR(INDEX('Paramètres'!$Q:$Q,MATCH($D3453,'Paramètres'!$M:$M,0))&amp;"",""))</f>
        <v/>
      </c>
      <c r="O3453" s="6" t="str">
        <f>IF($A3453="","",IF(OR($J3453&lt;&gt;"x",$A3453&lt;=FinReleve),1,0))</f>
        <v/>
      </c>
      <c r="P3453" s="6" t="str">
        <f>IF($D3453="","",IF(AND($L3453="Crédit",OR(IFERROR(INDEX('Paramètres'!$O:$O,MATCH($D3453,'Paramètres'!$M:$M,0))&amp;"","")&lt;&gt;"",ISNUMBER(SEARCH("remboursement",IFERROR(INDEX('Paramètres'!$N:$N,MATCH($D3453,'Paramètres'!$M:$M,0))&amp;"",""))))),1,0))</f>
        <v/>
      </c>
      <c r="Q3453" s="6" t="str">
        <f>IF($K3453="","",IF(ISNUMBER(SEARCH("transfert-interne",IFERROR(INDEX('Paramètres'!$N:$N,MATCH($D3453,'Paramètres'!$M:$M,0))&amp;"",""))),0,IF($L3453="Débit",$K3453,IF($P3453=1,-$K3453,0))))</f>
        <v/>
      </c>
      <c r="R3453" s="6" t="str">
        <f>IF($K3453="","",IF($L3453="Crédit",$K3453,-$K3453))</f>
        <v/>
      </c>
      <c r="S3453" s="6" t="str">
        <f>IF($C3453="","",IFERROR(INDEX('Paramètres'!$H:$H,MATCH($C3453,'Paramètres'!$D:$D,0))&amp;"",""))</f>
        <v/>
      </c>
      <c r="T3453" s="6" t="str">
        <f>IF($K3453="","",IF($S3453="",0,IF(ISNUMBER(SEARCH("apport-exterieur",IFERROR(INDEX('Paramètres'!$N:$N,MATCH($D3453,'Paramètres'!$M:$M,0))&amp;"",""))),0,IF(OR(IFERROR(INDEX('Paramètres'!$I:$I,MATCH($C3453,'Paramètres'!$D:$D,0))&amp;"","")="Les deux",IFERROR(INDEX('Paramètres'!$I:$I,MATCH($C3453,'Paramètres'!$D:$D,0))&amp;"","")=IF($P3453=1,"Débit",$L3453)),-IF($P3453=1,-$K3453,$K3453),0))))</f>
        <v/>
      </c>
      <c r="U3453" s="6" t="str">
        <f>IF($K3453="","",IF(ISNUMBER(SEARCH("sortie-epargne",IFERROR(INDEX('Paramètres'!$N:$N,MATCH($D3453,'Paramètres'!$M:$M,0))&amp;"",""))),$K3453,0))</f>
        <v/>
      </c>
      <c r="V3453" s="6" t="str">
        <f>IF(AND($A3453&lt;&gt;"",$O3453=1,$L3453="Débit",N($Q3453)&gt;0,$A3453&gt;=Visualisation!$B$1,$A3453&lt;Visualisation!$D$1),MAX($V$1:V3452)+1,"")</f>
        <v/>
      </c>
    </row>
    <row r="3454" spans="1:22" x14ac:dyDescent="0.25">
      <c r="A3454" s="9"/>
      <c r="E3454" s="10"/>
      <c r="K3454" s="11" t="str">
        <f>IF($E3454="","",ROUND($E3454*IF(ISNA(MATCH($C3454,'Paramètres'!$D:$D,0)),1,IF(INDEX('Paramètres'!$J:$J,MATCH($C3454,'Paramètres'!$D:$D,0))="",1,INDEX('Paramètres'!$J:$J,MATCH($C3454,'Paramètres'!$D:$D,0)))),2))</f>
        <v/>
      </c>
      <c r="L3454" s="6" t="str">
        <f>IF($D3454="","",IF($F3454&lt;&gt;"",$F3454,IF(ISNA(MATCH($D3454,'Paramètres'!$M:$M,0)),"⚠ Type inconnu",IFERROR(INDEX('Paramètres'!$P:$P,MATCH($D3454,'Paramètres'!$M:$M,0))&amp;"",""))))</f>
        <v/>
      </c>
      <c r="M3454" s="6" t="str">
        <f>IF($D3454="","",IF(ISNA(MATCH($D3454,'Paramètres'!$M:$M,0)),"⚠ Type inconnu",IF($L3454="Crédit","",IFERROR(INDEX('Paramètres'!$O:$O,MATCH($D3454,'Paramètres'!$M:$M,0))&amp;"",""))))</f>
        <v/>
      </c>
      <c r="N3454" s="6" t="str">
        <f>IF($D3454="","",IFERROR(INDEX('Paramètres'!$Q:$Q,MATCH($D3454,'Paramètres'!$M:$M,0))&amp;"",""))</f>
        <v/>
      </c>
      <c r="O3454" s="6" t="str">
        <f>IF($A3454="","",IF(OR($J3454&lt;&gt;"x",$A3454&lt;=FinReleve),1,0))</f>
        <v/>
      </c>
      <c r="P3454" s="6" t="str">
        <f>IF($D3454="","",IF(AND($L3454="Crédit",OR(IFERROR(INDEX('Paramètres'!$O:$O,MATCH($D3454,'Paramètres'!$M:$M,0))&amp;"","")&lt;&gt;"",ISNUMBER(SEARCH("remboursement",IFERROR(INDEX('Paramètres'!$N:$N,MATCH($D3454,'Paramètres'!$M:$M,0))&amp;"",""))))),1,0))</f>
        <v/>
      </c>
      <c r="Q3454" s="6" t="str">
        <f>IF($K3454="","",IF(ISNUMBER(SEARCH("transfert-interne",IFERROR(INDEX('Paramètres'!$N:$N,MATCH($D3454,'Paramètres'!$M:$M,0))&amp;"",""))),0,IF($L3454="Débit",$K3454,IF($P3454=1,-$K3454,0))))</f>
        <v/>
      </c>
      <c r="R3454" s="6" t="str">
        <f>IF($K3454="","",IF($L3454="Crédit",$K3454,-$K3454))</f>
        <v/>
      </c>
      <c r="S3454" s="6" t="str">
        <f>IF($C3454="","",IFERROR(INDEX('Paramètres'!$H:$H,MATCH($C3454,'Paramètres'!$D:$D,0))&amp;"",""))</f>
        <v/>
      </c>
      <c r="T3454" s="6" t="str">
        <f>IF($K3454="","",IF($S3454="",0,IF(ISNUMBER(SEARCH("apport-exterieur",IFERROR(INDEX('Paramètres'!$N:$N,MATCH($D3454,'Paramètres'!$M:$M,0))&amp;"",""))),0,IF(OR(IFERROR(INDEX('Paramètres'!$I:$I,MATCH($C3454,'Paramètres'!$D:$D,0))&amp;"","")="Les deux",IFERROR(INDEX('Paramètres'!$I:$I,MATCH($C3454,'Paramètres'!$D:$D,0))&amp;"","")=IF($P3454=1,"Débit",$L3454)),-IF($P3454=1,-$K3454,$K3454),0))))</f>
        <v/>
      </c>
      <c r="U3454" s="6" t="str">
        <f>IF($K3454="","",IF(ISNUMBER(SEARCH("sortie-epargne",IFERROR(INDEX('Paramètres'!$N:$N,MATCH($D3454,'Paramètres'!$M:$M,0))&amp;"",""))),$K3454,0))</f>
        <v/>
      </c>
      <c r="V3454" s="6" t="str">
        <f>IF(AND($A3454&lt;&gt;"",$O3454=1,$L3454="Débit",N($Q3454)&gt;0,$A3454&gt;=Visualisation!$B$1,$A3454&lt;Visualisation!$D$1),MAX($V$1:V3453)+1,"")</f>
        <v/>
      </c>
    </row>
    <row r="3455" spans="1:22" x14ac:dyDescent="0.25">
      <c r="A3455" s="9"/>
      <c r="E3455" s="10"/>
      <c r="K3455" s="11" t="str">
        <f>IF($E3455="","",ROUND($E3455*IF(ISNA(MATCH($C3455,'Paramètres'!$D:$D,0)),1,IF(INDEX('Paramètres'!$J:$J,MATCH($C3455,'Paramètres'!$D:$D,0))="",1,INDEX('Paramètres'!$J:$J,MATCH($C3455,'Paramètres'!$D:$D,0)))),2))</f>
        <v/>
      </c>
      <c r="L3455" s="6" t="str">
        <f>IF($D3455="","",IF($F3455&lt;&gt;"",$F3455,IF(ISNA(MATCH($D3455,'Paramètres'!$M:$M,0)),"⚠ Type inconnu",IFERROR(INDEX('Paramètres'!$P:$P,MATCH($D3455,'Paramètres'!$M:$M,0))&amp;"",""))))</f>
        <v/>
      </c>
      <c r="M3455" s="6" t="str">
        <f>IF($D3455="","",IF(ISNA(MATCH($D3455,'Paramètres'!$M:$M,0)),"⚠ Type inconnu",IF($L3455="Crédit","",IFERROR(INDEX('Paramètres'!$O:$O,MATCH($D3455,'Paramètres'!$M:$M,0))&amp;"",""))))</f>
        <v/>
      </c>
      <c r="N3455" s="6" t="str">
        <f>IF($D3455="","",IFERROR(INDEX('Paramètres'!$Q:$Q,MATCH($D3455,'Paramètres'!$M:$M,0))&amp;"",""))</f>
        <v/>
      </c>
      <c r="O3455" s="6" t="str">
        <f>IF($A3455="","",IF(OR($J3455&lt;&gt;"x",$A3455&lt;=FinReleve),1,0))</f>
        <v/>
      </c>
      <c r="P3455" s="6" t="str">
        <f>IF($D3455="","",IF(AND($L3455="Crédit",OR(IFERROR(INDEX('Paramètres'!$O:$O,MATCH($D3455,'Paramètres'!$M:$M,0))&amp;"","")&lt;&gt;"",ISNUMBER(SEARCH("remboursement",IFERROR(INDEX('Paramètres'!$N:$N,MATCH($D3455,'Paramètres'!$M:$M,0))&amp;"",""))))),1,0))</f>
        <v/>
      </c>
      <c r="Q3455" s="6" t="str">
        <f>IF($K3455="","",IF(ISNUMBER(SEARCH("transfert-interne",IFERROR(INDEX('Paramètres'!$N:$N,MATCH($D3455,'Paramètres'!$M:$M,0))&amp;"",""))),0,IF($L3455="Débit",$K3455,IF($P3455=1,-$K3455,0))))</f>
        <v/>
      </c>
      <c r="R3455" s="6" t="str">
        <f>IF($K3455="","",IF($L3455="Crédit",$K3455,-$K3455))</f>
        <v/>
      </c>
      <c r="S3455" s="6" t="str">
        <f>IF($C3455="","",IFERROR(INDEX('Paramètres'!$H:$H,MATCH($C3455,'Paramètres'!$D:$D,0))&amp;"",""))</f>
        <v/>
      </c>
      <c r="T3455" s="6" t="str">
        <f>IF($K3455="","",IF($S3455="",0,IF(ISNUMBER(SEARCH("apport-exterieur",IFERROR(INDEX('Paramètres'!$N:$N,MATCH($D3455,'Paramètres'!$M:$M,0))&amp;"",""))),0,IF(OR(IFERROR(INDEX('Paramètres'!$I:$I,MATCH($C3455,'Paramètres'!$D:$D,0))&amp;"","")="Les deux",IFERROR(INDEX('Paramètres'!$I:$I,MATCH($C3455,'Paramètres'!$D:$D,0))&amp;"","")=IF($P3455=1,"Débit",$L3455)),-IF($P3455=1,-$K3455,$K3455),0))))</f>
        <v/>
      </c>
      <c r="U3455" s="6" t="str">
        <f>IF($K3455="","",IF(ISNUMBER(SEARCH("sortie-epargne",IFERROR(INDEX('Paramètres'!$N:$N,MATCH($D3455,'Paramètres'!$M:$M,0))&amp;"",""))),$K3455,0))</f>
        <v/>
      </c>
      <c r="V3455" s="6" t="str">
        <f>IF(AND($A3455&lt;&gt;"",$O3455=1,$L3455="Débit",N($Q3455)&gt;0,$A3455&gt;=Visualisation!$B$1,$A3455&lt;Visualisation!$D$1),MAX($V$1:V3454)+1,"")</f>
        <v/>
      </c>
    </row>
    <row r="3456" spans="1:22" x14ac:dyDescent="0.25">
      <c r="A3456" s="9"/>
      <c r="E3456" s="10"/>
      <c r="K3456" s="11" t="str">
        <f>IF($E3456="","",ROUND($E3456*IF(ISNA(MATCH($C3456,'Paramètres'!$D:$D,0)),1,IF(INDEX('Paramètres'!$J:$J,MATCH($C3456,'Paramètres'!$D:$D,0))="",1,INDEX('Paramètres'!$J:$J,MATCH($C3456,'Paramètres'!$D:$D,0)))),2))</f>
        <v/>
      </c>
      <c r="L3456" s="6" t="str">
        <f>IF($D3456="","",IF($F3456&lt;&gt;"",$F3456,IF(ISNA(MATCH($D3456,'Paramètres'!$M:$M,0)),"⚠ Type inconnu",IFERROR(INDEX('Paramètres'!$P:$P,MATCH($D3456,'Paramètres'!$M:$M,0))&amp;"",""))))</f>
        <v/>
      </c>
      <c r="M3456" s="6" t="str">
        <f>IF($D3456="","",IF(ISNA(MATCH($D3456,'Paramètres'!$M:$M,0)),"⚠ Type inconnu",IF($L3456="Crédit","",IFERROR(INDEX('Paramètres'!$O:$O,MATCH($D3456,'Paramètres'!$M:$M,0))&amp;"",""))))</f>
        <v/>
      </c>
      <c r="N3456" s="6" t="str">
        <f>IF($D3456="","",IFERROR(INDEX('Paramètres'!$Q:$Q,MATCH($D3456,'Paramètres'!$M:$M,0))&amp;"",""))</f>
        <v/>
      </c>
      <c r="O3456" s="6" t="str">
        <f>IF($A3456="","",IF(OR($J3456&lt;&gt;"x",$A3456&lt;=FinReleve),1,0))</f>
        <v/>
      </c>
      <c r="P3456" s="6" t="str">
        <f>IF($D3456="","",IF(AND($L3456="Crédit",OR(IFERROR(INDEX('Paramètres'!$O:$O,MATCH($D3456,'Paramètres'!$M:$M,0))&amp;"","")&lt;&gt;"",ISNUMBER(SEARCH("remboursement",IFERROR(INDEX('Paramètres'!$N:$N,MATCH($D3456,'Paramètres'!$M:$M,0))&amp;"",""))))),1,0))</f>
        <v/>
      </c>
      <c r="Q3456" s="6" t="str">
        <f>IF($K3456="","",IF(ISNUMBER(SEARCH("transfert-interne",IFERROR(INDEX('Paramètres'!$N:$N,MATCH($D3456,'Paramètres'!$M:$M,0))&amp;"",""))),0,IF($L3456="Débit",$K3456,IF($P3456=1,-$K3456,0))))</f>
        <v/>
      </c>
      <c r="R3456" s="6" t="str">
        <f>IF($K3456="","",IF($L3456="Crédit",$K3456,-$K3456))</f>
        <v/>
      </c>
      <c r="S3456" s="6" t="str">
        <f>IF($C3456="","",IFERROR(INDEX('Paramètres'!$H:$H,MATCH($C3456,'Paramètres'!$D:$D,0))&amp;"",""))</f>
        <v/>
      </c>
      <c r="T3456" s="6" t="str">
        <f>IF($K3456="","",IF($S3456="",0,IF(ISNUMBER(SEARCH("apport-exterieur",IFERROR(INDEX('Paramètres'!$N:$N,MATCH($D3456,'Paramètres'!$M:$M,0))&amp;"",""))),0,IF(OR(IFERROR(INDEX('Paramètres'!$I:$I,MATCH($C3456,'Paramètres'!$D:$D,0))&amp;"","")="Les deux",IFERROR(INDEX('Paramètres'!$I:$I,MATCH($C3456,'Paramètres'!$D:$D,0))&amp;"","")=IF($P3456=1,"Débit",$L3456)),-IF($P3456=1,-$K3456,$K3456),0))))</f>
        <v/>
      </c>
      <c r="U3456" s="6" t="str">
        <f>IF($K3456="","",IF(ISNUMBER(SEARCH("sortie-epargne",IFERROR(INDEX('Paramètres'!$N:$N,MATCH($D3456,'Paramètres'!$M:$M,0))&amp;"",""))),$K3456,0))</f>
        <v/>
      </c>
      <c r="V3456" s="6" t="str">
        <f>IF(AND($A3456&lt;&gt;"",$O3456=1,$L3456="Débit",N($Q3456)&gt;0,$A3456&gt;=Visualisation!$B$1,$A3456&lt;Visualisation!$D$1),MAX($V$1:V3455)+1,"")</f>
        <v/>
      </c>
    </row>
    <row r="3457" spans="1:22" x14ac:dyDescent="0.25">
      <c r="A3457" s="9"/>
      <c r="E3457" s="10"/>
      <c r="K3457" s="11" t="str">
        <f>IF($E3457="","",ROUND($E3457*IF(ISNA(MATCH($C3457,'Paramètres'!$D:$D,0)),1,IF(INDEX('Paramètres'!$J:$J,MATCH($C3457,'Paramètres'!$D:$D,0))="",1,INDEX('Paramètres'!$J:$J,MATCH($C3457,'Paramètres'!$D:$D,0)))),2))</f>
        <v/>
      </c>
      <c r="L3457" s="6" t="str">
        <f>IF($D3457="","",IF($F3457&lt;&gt;"",$F3457,IF(ISNA(MATCH($D3457,'Paramètres'!$M:$M,0)),"⚠ Type inconnu",IFERROR(INDEX('Paramètres'!$P:$P,MATCH($D3457,'Paramètres'!$M:$M,0))&amp;"",""))))</f>
        <v/>
      </c>
      <c r="M3457" s="6" t="str">
        <f>IF($D3457="","",IF(ISNA(MATCH($D3457,'Paramètres'!$M:$M,0)),"⚠ Type inconnu",IF($L3457="Crédit","",IFERROR(INDEX('Paramètres'!$O:$O,MATCH($D3457,'Paramètres'!$M:$M,0))&amp;"",""))))</f>
        <v/>
      </c>
      <c r="N3457" s="6" t="str">
        <f>IF($D3457="","",IFERROR(INDEX('Paramètres'!$Q:$Q,MATCH($D3457,'Paramètres'!$M:$M,0))&amp;"",""))</f>
        <v/>
      </c>
      <c r="O3457" s="6" t="str">
        <f>IF($A3457="","",IF(OR($J3457&lt;&gt;"x",$A3457&lt;=FinReleve),1,0))</f>
        <v/>
      </c>
      <c r="P3457" s="6" t="str">
        <f>IF($D3457="","",IF(AND($L3457="Crédit",OR(IFERROR(INDEX('Paramètres'!$O:$O,MATCH($D3457,'Paramètres'!$M:$M,0))&amp;"","")&lt;&gt;"",ISNUMBER(SEARCH("remboursement",IFERROR(INDEX('Paramètres'!$N:$N,MATCH($D3457,'Paramètres'!$M:$M,0))&amp;"",""))))),1,0))</f>
        <v/>
      </c>
      <c r="Q3457" s="6" t="str">
        <f>IF($K3457="","",IF(ISNUMBER(SEARCH("transfert-interne",IFERROR(INDEX('Paramètres'!$N:$N,MATCH($D3457,'Paramètres'!$M:$M,0))&amp;"",""))),0,IF($L3457="Débit",$K3457,IF($P3457=1,-$K3457,0))))</f>
        <v/>
      </c>
      <c r="R3457" s="6" t="str">
        <f>IF($K3457="","",IF($L3457="Crédit",$K3457,-$K3457))</f>
        <v/>
      </c>
      <c r="S3457" s="6" t="str">
        <f>IF($C3457="","",IFERROR(INDEX('Paramètres'!$H:$H,MATCH($C3457,'Paramètres'!$D:$D,0))&amp;"",""))</f>
        <v/>
      </c>
      <c r="T3457" s="6" t="str">
        <f>IF($K3457="","",IF($S3457="",0,IF(ISNUMBER(SEARCH("apport-exterieur",IFERROR(INDEX('Paramètres'!$N:$N,MATCH($D3457,'Paramètres'!$M:$M,0))&amp;"",""))),0,IF(OR(IFERROR(INDEX('Paramètres'!$I:$I,MATCH($C3457,'Paramètres'!$D:$D,0))&amp;"","")="Les deux",IFERROR(INDEX('Paramètres'!$I:$I,MATCH($C3457,'Paramètres'!$D:$D,0))&amp;"","")=IF($P3457=1,"Débit",$L3457)),-IF($P3457=1,-$K3457,$K3457),0))))</f>
        <v/>
      </c>
      <c r="U3457" s="6" t="str">
        <f>IF($K3457="","",IF(ISNUMBER(SEARCH("sortie-epargne",IFERROR(INDEX('Paramètres'!$N:$N,MATCH($D3457,'Paramètres'!$M:$M,0))&amp;"",""))),$K3457,0))</f>
        <v/>
      </c>
      <c r="V3457" s="6" t="str">
        <f>IF(AND($A3457&lt;&gt;"",$O3457=1,$L3457="Débit",N($Q3457)&gt;0,$A3457&gt;=Visualisation!$B$1,$A3457&lt;Visualisation!$D$1),MAX($V$1:V3456)+1,"")</f>
        <v/>
      </c>
    </row>
    <row r="3458" spans="1:22" x14ac:dyDescent="0.25">
      <c r="A3458" s="9"/>
      <c r="E3458" s="10"/>
      <c r="K3458" s="11" t="str">
        <f>IF($E3458="","",ROUND($E3458*IF(ISNA(MATCH($C3458,'Paramètres'!$D:$D,0)),1,IF(INDEX('Paramètres'!$J:$J,MATCH($C3458,'Paramètres'!$D:$D,0))="",1,INDEX('Paramètres'!$J:$J,MATCH($C3458,'Paramètres'!$D:$D,0)))),2))</f>
        <v/>
      </c>
      <c r="L3458" s="6" t="str">
        <f>IF($D3458="","",IF($F3458&lt;&gt;"",$F3458,IF(ISNA(MATCH($D3458,'Paramètres'!$M:$M,0)),"⚠ Type inconnu",IFERROR(INDEX('Paramètres'!$P:$P,MATCH($D3458,'Paramètres'!$M:$M,0))&amp;"",""))))</f>
        <v/>
      </c>
      <c r="M3458" s="6" t="str">
        <f>IF($D3458="","",IF(ISNA(MATCH($D3458,'Paramètres'!$M:$M,0)),"⚠ Type inconnu",IF($L3458="Crédit","",IFERROR(INDEX('Paramètres'!$O:$O,MATCH($D3458,'Paramètres'!$M:$M,0))&amp;"",""))))</f>
        <v/>
      </c>
      <c r="N3458" s="6" t="str">
        <f>IF($D3458="","",IFERROR(INDEX('Paramètres'!$Q:$Q,MATCH($D3458,'Paramètres'!$M:$M,0))&amp;"",""))</f>
        <v/>
      </c>
      <c r="O3458" s="6" t="str">
        <f>IF($A3458="","",IF(OR($J3458&lt;&gt;"x",$A3458&lt;=FinReleve),1,0))</f>
        <v/>
      </c>
      <c r="P3458" s="6" t="str">
        <f>IF($D3458="","",IF(AND($L3458="Crédit",OR(IFERROR(INDEX('Paramètres'!$O:$O,MATCH($D3458,'Paramètres'!$M:$M,0))&amp;"","")&lt;&gt;"",ISNUMBER(SEARCH("remboursement",IFERROR(INDEX('Paramètres'!$N:$N,MATCH($D3458,'Paramètres'!$M:$M,0))&amp;"",""))))),1,0))</f>
        <v/>
      </c>
      <c r="Q3458" s="6" t="str">
        <f>IF($K3458="","",IF(ISNUMBER(SEARCH("transfert-interne",IFERROR(INDEX('Paramètres'!$N:$N,MATCH($D3458,'Paramètres'!$M:$M,0))&amp;"",""))),0,IF($L3458="Débit",$K3458,IF($P3458=1,-$K3458,0))))</f>
        <v/>
      </c>
      <c r="R3458" s="6" t="str">
        <f>IF($K3458="","",IF($L3458="Crédit",$K3458,-$K3458))</f>
        <v/>
      </c>
      <c r="S3458" s="6" t="str">
        <f>IF($C3458="","",IFERROR(INDEX('Paramètres'!$H:$H,MATCH($C3458,'Paramètres'!$D:$D,0))&amp;"",""))</f>
        <v/>
      </c>
      <c r="T3458" s="6" t="str">
        <f>IF($K3458="","",IF($S3458="",0,IF(ISNUMBER(SEARCH("apport-exterieur",IFERROR(INDEX('Paramètres'!$N:$N,MATCH($D3458,'Paramètres'!$M:$M,0))&amp;"",""))),0,IF(OR(IFERROR(INDEX('Paramètres'!$I:$I,MATCH($C3458,'Paramètres'!$D:$D,0))&amp;"","")="Les deux",IFERROR(INDEX('Paramètres'!$I:$I,MATCH($C3458,'Paramètres'!$D:$D,0))&amp;"","")=IF($P3458=1,"Débit",$L3458)),-IF($P3458=1,-$K3458,$K3458),0))))</f>
        <v/>
      </c>
      <c r="U3458" s="6" t="str">
        <f>IF($K3458="","",IF(ISNUMBER(SEARCH("sortie-epargne",IFERROR(INDEX('Paramètres'!$N:$N,MATCH($D3458,'Paramètres'!$M:$M,0))&amp;"",""))),$K3458,0))</f>
        <v/>
      </c>
      <c r="V3458" s="6" t="str">
        <f>IF(AND($A3458&lt;&gt;"",$O3458=1,$L3458="Débit",N($Q3458)&gt;0,$A3458&gt;=Visualisation!$B$1,$A3458&lt;Visualisation!$D$1),MAX($V$1:V3457)+1,"")</f>
        <v/>
      </c>
    </row>
    <row r="3459" spans="1:22" x14ac:dyDescent="0.25">
      <c r="A3459" s="9"/>
      <c r="E3459" s="10"/>
      <c r="K3459" s="11" t="str">
        <f>IF($E3459="","",ROUND($E3459*IF(ISNA(MATCH($C3459,'Paramètres'!$D:$D,0)),1,IF(INDEX('Paramètres'!$J:$J,MATCH($C3459,'Paramètres'!$D:$D,0))="",1,INDEX('Paramètres'!$J:$J,MATCH($C3459,'Paramètres'!$D:$D,0)))),2))</f>
        <v/>
      </c>
      <c r="L3459" s="6" t="str">
        <f>IF($D3459="","",IF($F3459&lt;&gt;"",$F3459,IF(ISNA(MATCH($D3459,'Paramètres'!$M:$M,0)),"⚠ Type inconnu",IFERROR(INDEX('Paramètres'!$P:$P,MATCH($D3459,'Paramètres'!$M:$M,0))&amp;"",""))))</f>
        <v/>
      </c>
      <c r="M3459" s="6" t="str">
        <f>IF($D3459="","",IF(ISNA(MATCH($D3459,'Paramètres'!$M:$M,0)),"⚠ Type inconnu",IF($L3459="Crédit","",IFERROR(INDEX('Paramètres'!$O:$O,MATCH($D3459,'Paramètres'!$M:$M,0))&amp;"",""))))</f>
        <v/>
      </c>
      <c r="N3459" s="6" t="str">
        <f>IF($D3459="","",IFERROR(INDEX('Paramètres'!$Q:$Q,MATCH($D3459,'Paramètres'!$M:$M,0))&amp;"",""))</f>
        <v/>
      </c>
      <c r="O3459" s="6" t="str">
        <f>IF($A3459="","",IF(OR($J3459&lt;&gt;"x",$A3459&lt;=FinReleve),1,0))</f>
        <v/>
      </c>
      <c r="P3459" s="6" t="str">
        <f>IF($D3459="","",IF(AND($L3459="Crédit",OR(IFERROR(INDEX('Paramètres'!$O:$O,MATCH($D3459,'Paramètres'!$M:$M,0))&amp;"","")&lt;&gt;"",ISNUMBER(SEARCH("remboursement",IFERROR(INDEX('Paramètres'!$N:$N,MATCH($D3459,'Paramètres'!$M:$M,0))&amp;"",""))))),1,0))</f>
        <v/>
      </c>
      <c r="Q3459" s="6" t="str">
        <f>IF($K3459="","",IF(ISNUMBER(SEARCH("transfert-interne",IFERROR(INDEX('Paramètres'!$N:$N,MATCH($D3459,'Paramètres'!$M:$M,0))&amp;"",""))),0,IF($L3459="Débit",$K3459,IF($P3459=1,-$K3459,0))))</f>
        <v/>
      </c>
      <c r="R3459" s="6" t="str">
        <f>IF($K3459="","",IF($L3459="Crédit",$K3459,-$K3459))</f>
        <v/>
      </c>
      <c r="S3459" s="6" t="str">
        <f>IF($C3459="","",IFERROR(INDEX('Paramètres'!$H:$H,MATCH($C3459,'Paramètres'!$D:$D,0))&amp;"",""))</f>
        <v/>
      </c>
      <c r="T3459" s="6" t="str">
        <f>IF($K3459="","",IF($S3459="",0,IF(ISNUMBER(SEARCH("apport-exterieur",IFERROR(INDEX('Paramètres'!$N:$N,MATCH($D3459,'Paramètres'!$M:$M,0))&amp;"",""))),0,IF(OR(IFERROR(INDEX('Paramètres'!$I:$I,MATCH($C3459,'Paramètres'!$D:$D,0))&amp;"","")="Les deux",IFERROR(INDEX('Paramètres'!$I:$I,MATCH($C3459,'Paramètres'!$D:$D,0))&amp;"","")=IF($P3459=1,"Débit",$L3459)),-IF($P3459=1,-$K3459,$K3459),0))))</f>
        <v/>
      </c>
      <c r="U3459" s="6" t="str">
        <f>IF($K3459="","",IF(ISNUMBER(SEARCH("sortie-epargne",IFERROR(INDEX('Paramètres'!$N:$N,MATCH($D3459,'Paramètres'!$M:$M,0))&amp;"",""))),$K3459,0))</f>
        <v/>
      </c>
      <c r="V3459" s="6" t="str">
        <f>IF(AND($A3459&lt;&gt;"",$O3459=1,$L3459="Débit",N($Q3459)&gt;0,$A3459&gt;=Visualisation!$B$1,$A3459&lt;Visualisation!$D$1),MAX($V$1:V3458)+1,"")</f>
        <v/>
      </c>
    </row>
    <row r="3460" spans="1:22" x14ac:dyDescent="0.25">
      <c r="A3460" s="9"/>
      <c r="E3460" s="10"/>
      <c r="K3460" s="11" t="str">
        <f>IF($E3460="","",ROUND($E3460*IF(ISNA(MATCH($C3460,'Paramètres'!$D:$D,0)),1,IF(INDEX('Paramètres'!$J:$J,MATCH($C3460,'Paramètres'!$D:$D,0))="",1,INDEX('Paramètres'!$J:$J,MATCH($C3460,'Paramètres'!$D:$D,0)))),2))</f>
        <v/>
      </c>
      <c r="L3460" s="6" t="str">
        <f>IF($D3460="","",IF($F3460&lt;&gt;"",$F3460,IF(ISNA(MATCH($D3460,'Paramètres'!$M:$M,0)),"⚠ Type inconnu",IFERROR(INDEX('Paramètres'!$P:$P,MATCH($D3460,'Paramètres'!$M:$M,0))&amp;"",""))))</f>
        <v/>
      </c>
      <c r="M3460" s="6" t="str">
        <f>IF($D3460="","",IF(ISNA(MATCH($D3460,'Paramètres'!$M:$M,0)),"⚠ Type inconnu",IF($L3460="Crédit","",IFERROR(INDEX('Paramètres'!$O:$O,MATCH($D3460,'Paramètres'!$M:$M,0))&amp;"",""))))</f>
        <v/>
      </c>
      <c r="N3460" s="6" t="str">
        <f>IF($D3460="","",IFERROR(INDEX('Paramètres'!$Q:$Q,MATCH($D3460,'Paramètres'!$M:$M,0))&amp;"",""))</f>
        <v/>
      </c>
      <c r="O3460" s="6" t="str">
        <f>IF($A3460="","",IF(OR($J3460&lt;&gt;"x",$A3460&lt;=FinReleve),1,0))</f>
        <v/>
      </c>
      <c r="P3460" s="6" t="str">
        <f>IF($D3460="","",IF(AND($L3460="Crédit",OR(IFERROR(INDEX('Paramètres'!$O:$O,MATCH($D3460,'Paramètres'!$M:$M,0))&amp;"","")&lt;&gt;"",ISNUMBER(SEARCH("remboursement",IFERROR(INDEX('Paramètres'!$N:$N,MATCH($D3460,'Paramètres'!$M:$M,0))&amp;"",""))))),1,0))</f>
        <v/>
      </c>
      <c r="Q3460" s="6" t="str">
        <f>IF($K3460="","",IF(ISNUMBER(SEARCH("transfert-interne",IFERROR(INDEX('Paramètres'!$N:$N,MATCH($D3460,'Paramètres'!$M:$M,0))&amp;"",""))),0,IF($L3460="Débit",$K3460,IF($P3460=1,-$K3460,0))))</f>
        <v/>
      </c>
      <c r="R3460" s="6" t="str">
        <f>IF($K3460="","",IF($L3460="Crédit",$K3460,-$K3460))</f>
        <v/>
      </c>
      <c r="S3460" s="6" t="str">
        <f>IF($C3460="","",IFERROR(INDEX('Paramètres'!$H:$H,MATCH($C3460,'Paramètres'!$D:$D,0))&amp;"",""))</f>
        <v/>
      </c>
      <c r="T3460" s="6" t="str">
        <f>IF($K3460="","",IF($S3460="",0,IF(ISNUMBER(SEARCH("apport-exterieur",IFERROR(INDEX('Paramètres'!$N:$N,MATCH($D3460,'Paramètres'!$M:$M,0))&amp;"",""))),0,IF(OR(IFERROR(INDEX('Paramètres'!$I:$I,MATCH($C3460,'Paramètres'!$D:$D,0))&amp;"","")="Les deux",IFERROR(INDEX('Paramètres'!$I:$I,MATCH($C3460,'Paramètres'!$D:$D,0))&amp;"","")=IF($P3460=1,"Débit",$L3460)),-IF($P3460=1,-$K3460,$K3460),0))))</f>
        <v/>
      </c>
      <c r="U3460" s="6" t="str">
        <f>IF($K3460="","",IF(ISNUMBER(SEARCH("sortie-epargne",IFERROR(INDEX('Paramètres'!$N:$N,MATCH($D3460,'Paramètres'!$M:$M,0))&amp;"",""))),$K3460,0))</f>
        <v/>
      </c>
      <c r="V3460" s="6" t="str">
        <f>IF(AND($A3460&lt;&gt;"",$O3460=1,$L3460="Débit",N($Q3460)&gt;0,$A3460&gt;=Visualisation!$B$1,$A3460&lt;Visualisation!$D$1),MAX($V$1:V3459)+1,"")</f>
        <v/>
      </c>
    </row>
    <row r="3461" spans="1:22" x14ac:dyDescent="0.25">
      <c r="A3461" s="9"/>
      <c r="E3461" s="10"/>
      <c r="K3461" s="11" t="str">
        <f>IF($E3461="","",ROUND($E3461*IF(ISNA(MATCH($C3461,'Paramètres'!$D:$D,0)),1,IF(INDEX('Paramètres'!$J:$J,MATCH($C3461,'Paramètres'!$D:$D,0))="",1,INDEX('Paramètres'!$J:$J,MATCH($C3461,'Paramètres'!$D:$D,0)))),2))</f>
        <v/>
      </c>
      <c r="L3461" s="6" t="str">
        <f>IF($D3461="","",IF($F3461&lt;&gt;"",$F3461,IF(ISNA(MATCH($D3461,'Paramètres'!$M:$M,0)),"⚠ Type inconnu",IFERROR(INDEX('Paramètres'!$P:$P,MATCH($D3461,'Paramètres'!$M:$M,0))&amp;"",""))))</f>
        <v/>
      </c>
      <c r="M3461" s="6" t="str">
        <f>IF($D3461="","",IF(ISNA(MATCH($D3461,'Paramètres'!$M:$M,0)),"⚠ Type inconnu",IF($L3461="Crédit","",IFERROR(INDEX('Paramètres'!$O:$O,MATCH($D3461,'Paramètres'!$M:$M,0))&amp;"",""))))</f>
        <v/>
      </c>
      <c r="N3461" s="6" t="str">
        <f>IF($D3461="","",IFERROR(INDEX('Paramètres'!$Q:$Q,MATCH($D3461,'Paramètres'!$M:$M,0))&amp;"",""))</f>
        <v/>
      </c>
      <c r="O3461" s="6" t="str">
        <f>IF($A3461="","",IF(OR($J3461&lt;&gt;"x",$A3461&lt;=FinReleve),1,0))</f>
        <v/>
      </c>
      <c r="P3461" s="6" t="str">
        <f>IF($D3461="","",IF(AND($L3461="Crédit",OR(IFERROR(INDEX('Paramètres'!$O:$O,MATCH($D3461,'Paramètres'!$M:$M,0))&amp;"","")&lt;&gt;"",ISNUMBER(SEARCH("remboursement",IFERROR(INDEX('Paramètres'!$N:$N,MATCH($D3461,'Paramètres'!$M:$M,0))&amp;"",""))))),1,0))</f>
        <v/>
      </c>
      <c r="Q3461" s="6" t="str">
        <f>IF($K3461="","",IF(ISNUMBER(SEARCH("transfert-interne",IFERROR(INDEX('Paramètres'!$N:$N,MATCH($D3461,'Paramètres'!$M:$M,0))&amp;"",""))),0,IF($L3461="Débit",$K3461,IF($P3461=1,-$K3461,0))))</f>
        <v/>
      </c>
      <c r="R3461" s="6" t="str">
        <f>IF($K3461="","",IF($L3461="Crédit",$K3461,-$K3461))</f>
        <v/>
      </c>
      <c r="S3461" s="6" t="str">
        <f>IF($C3461="","",IFERROR(INDEX('Paramètres'!$H:$H,MATCH($C3461,'Paramètres'!$D:$D,0))&amp;"",""))</f>
        <v/>
      </c>
      <c r="T3461" s="6" t="str">
        <f>IF($K3461="","",IF($S3461="",0,IF(ISNUMBER(SEARCH("apport-exterieur",IFERROR(INDEX('Paramètres'!$N:$N,MATCH($D3461,'Paramètres'!$M:$M,0))&amp;"",""))),0,IF(OR(IFERROR(INDEX('Paramètres'!$I:$I,MATCH($C3461,'Paramètres'!$D:$D,0))&amp;"","")="Les deux",IFERROR(INDEX('Paramètres'!$I:$I,MATCH($C3461,'Paramètres'!$D:$D,0))&amp;"","")=IF($P3461=1,"Débit",$L3461)),-IF($P3461=1,-$K3461,$K3461),0))))</f>
        <v/>
      </c>
      <c r="U3461" s="6" t="str">
        <f>IF($K3461="","",IF(ISNUMBER(SEARCH("sortie-epargne",IFERROR(INDEX('Paramètres'!$N:$N,MATCH($D3461,'Paramètres'!$M:$M,0))&amp;"",""))),$K3461,0))</f>
        <v/>
      </c>
      <c r="V3461" s="6" t="str">
        <f>IF(AND($A3461&lt;&gt;"",$O3461=1,$L3461="Débit",N($Q3461)&gt;0,$A3461&gt;=Visualisation!$B$1,$A3461&lt;Visualisation!$D$1),MAX($V$1:V3460)+1,"")</f>
        <v/>
      </c>
    </row>
    <row r="3462" spans="1:22" x14ac:dyDescent="0.25">
      <c r="A3462" s="9"/>
      <c r="E3462" s="10"/>
      <c r="K3462" s="11" t="str">
        <f>IF($E3462="","",ROUND($E3462*IF(ISNA(MATCH($C3462,'Paramètres'!$D:$D,0)),1,IF(INDEX('Paramètres'!$J:$J,MATCH($C3462,'Paramètres'!$D:$D,0))="",1,INDEX('Paramètres'!$J:$J,MATCH($C3462,'Paramètres'!$D:$D,0)))),2))</f>
        <v/>
      </c>
      <c r="L3462" s="6" t="str">
        <f>IF($D3462="","",IF($F3462&lt;&gt;"",$F3462,IF(ISNA(MATCH($D3462,'Paramètres'!$M:$M,0)),"⚠ Type inconnu",IFERROR(INDEX('Paramètres'!$P:$P,MATCH($D3462,'Paramètres'!$M:$M,0))&amp;"",""))))</f>
        <v/>
      </c>
      <c r="M3462" s="6" t="str">
        <f>IF($D3462="","",IF(ISNA(MATCH($D3462,'Paramètres'!$M:$M,0)),"⚠ Type inconnu",IF($L3462="Crédit","",IFERROR(INDEX('Paramètres'!$O:$O,MATCH($D3462,'Paramètres'!$M:$M,0))&amp;"",""))))</f>
        <v/>
      </c>
      <c r="N3462" s="6" t="str">
        <f>IF($D3462="","",IFERROR(INDEX('Paramètres'!$Q:$Q,MATCH($D3462,'Paramètres'!$M:$M,0))&amp;"",""))</f>
        <v/>
      </c>
      <c r="O3462" s="6" t="str">
        <f>IF($A3462="","",IF(OR($J3462&lt;&gt;"x",$A3462&lt;=FinReleve),1,0))</f>
        <v/>
      </c>
      <c r="P3462" s="6" t="str">
        <f>IF($D3462="","",IF(AND($L3462="Crédit",OR(IFERROR(INDEX('Paramètres'!$O:$O,MATCH($D3462,'Paramètres'!$M:$M,0))&amp;"","")&lt;&gt;"",ISNUMBER(SEARCH("remboursement",IFERROR(INDEX('Paramètres'!$N:$N,MATCH($D3462,'Paramètres'!$M:$M,0))&amp;"",""))))),1,0))</f>
        <v/>
      </c>
      <c r="Q3462" s="6" t="str">
        <f>IF($K3462="","",IF(ISNUMBER(SEARCH("transfert-interne",IFERROR(INDEX('Paramètres'!$N:$N,MATCH($D3462,'Paramètres'!$M:$M,0))&amp;"",""))),0,IF($L3462="Débit",$K3462,IF($P3462=1,-$K3462,0))))</f>
        <v/>
      </c>
      <c r="R3462" s="6" t="str">
        <f>IF($K3462="","",IF($L3462="Crédit",$K3462,-$K3462))</f>
        <v/>
      </c>
      <c r="S3462" s="6" t="str">
        <f>IF($C3462="","",IFERROR(INDEX('Paramètres'!$H:$H,MATCH($C3462,'Paramètres'!$D:$D,0))&amp;"",""))</f>
        <v/>
      </c>
      <c r="T3462" s="6" t="str">
        <f>IF($K3462="","",IF($S3462="",0,IF(ISNUMBER(SEARCH("apport-exterieur",IFERROR(INDEX('Paramètres'!$N:$N,MATCH($D3462,'Paramètres'!$M:$M,0))&amp;"",""))),0,IF(OR(IFERROR(INDEX('Paramètres'!$I:$I,MATCH($C3462,'Paramètres'!$D:$D,0))&amp;"","")="Les deux",IFERROR(INDEX('Paramètres'!$I:$I,MATCH($C3462,'Paramètres'!$D:$D,0))&amp;"","")=IF($P3462=1,"Débit",$L3462)),-IF($P3462=1,-$K3462,$K3462),0))))</f>
        <v/>
      </c>
      <c r="U3462" s="6" t="str">
        <f>IF($K3462="","",IF(ISNUMBER(SEARCH("sortie-epargne",IFERROR(INDEX('Paramètres'!$N:$N,MATCH($D3462,'Paramètres'!$M:$M,0))&amp;"",""))),$K3462,0))</f>
        <v/>
      </c>
      <c r="V3462" s="6" t="str">
        <f>IF(AND($A3462&lt;&gt;"",$O3462=1,$L3462="Débit",N($Q3462)&gt;0,$A3462&gt;=Visualisation!$B$1,$A3462&lt;Visualisation!$D$1),MAX($V$1:V3461)+1,"")</f>
        <v/>
      </c>
    </row>
    <row r="3463" spans="1:22" x14ac:dyDescent="0.25">
      <c r="A3463" s="9"/>
      <c r="E3463" s="10"/>
      <c r="K3463" s="11" t="str">
        <f>IF($E3463="","",ROUND($E3463*IF(ISNA(MATCH($C3463,'Paramètres'!$D:$D,0)),1,IF(INDEX('Paramètres'!$J:$J,MATCH($C3463,'Paramètres'!$D:$D,0))="",1,INDEX('Paramètres'!$J:$J,MATCH($C3463,'Paramètres'!$D:$D,0)))),2))</f>
        <v/>
      </c>
      <c r="L3463" s="6" t="str">
        <f>IF($D3463="","",IF($F3463&lt;&gt;"",$F3463,IF(ISNA(MATCH($D3463,'Paramètres'!$M:$M,0)),"⚠ Type inconnu",IFERROR(INDEX('Paramètres'!$P:$P,MATCH($D3463,'Paramètres'!$M:$M,0))&amp;"",""))))</f>
        <v/>
      </c>
      <c r="M3463" s="6" t="str">
        <f>IF($D3463="","",IF(ISNA(MATCH($D3463,'Paramètres'!$M:$M,0)),"⚠ Type inconnu",IF($L3463="Crédit","",IFERROR(INDEX('Paramètres'!$O:$O,MATCH($D3463,'Paramètres'!$M:$M,0))&amp;"",""))))</f>
        <v/>
      </c>
      <c r="N3463" s="6" t="str">
        <f>IF($D3463="","",IFERROR(INDEX('Paramètres'!$Q:$Q,MATCH($D3463,'Paramètres'!$M:$M,0))&amp;"",""))</f>
        <v/>
      </c>
      <c r="O3463" s="6" t="str">
        <f>IF($A3463="","",IF(OR($J3463&lt;&gt;"x",$A3463&lt;=FinReleve),1,0))</f>
        <v/>
      </c>
      <c r="P3463" s="6" t="str">
        <f>IF($D3463="","",IF(AND($L3463="Crédit",OR(IFERROR(INDEX('Paramètres'!$O:$O,MATCH($D3463,'Paramètres'!$M:$M,0))&amp;"","")&lt;&gt;"",ISNUMBER(SEARCH("remboursement",IFERROR(INDEX('Paramètres'!$N:$N,MATCH($D3463,'Paramètres'!$M:$M,0))&amp;"",""))))),1,0))</f>
        <v/>
      </c>
      <c r="Q3463" s="6" t="str">
        <f>IF($K3463="","",IF(ISNUMBER(SEARCH("transfert-interne",IFERROR(INDEX('Paramètres'!$N:$N,MATCH($D3463,'Paramètres'!$M:$M,0))&amp;"",""))),0,IF($L3463="Débit",$K3463,IF($P3463=1,-$K3463,0))))</f>
        <v/>
      </c>
      <c r="R3463" s="6" t="str">
        <f>IF($K3463="","",IF($L3463="Crédit",$K3463,-$K3463))</f>
        <v/>
      </c>
      <c r="S3463" s="6" t="str">
        <f>IF($C3463="","",IFERROR(INDEX('Paramètres'!$H:$H,MATCH($C3463,'Paramètres'!$D:$D,0))&amp;"",""))</f>
        <v/>
      </c>
      <c r="T3463" s="6" t="str">
        <f>IF($K3463="","",IF($S3463="",0,IF(ISNUMBER(SEARCH("apport-exterieur",IFERROR(INDEX('Paramètres'!$N:$N,MATCH($D3463,'Paramètres'!$M:$M,0))&amp;"",""))),0,IF(OR(IFERROR(INDEX('Paramètres'!$I:$I,MATCH($C3463,'Paramètres'!$D:$D,0))&amp;"","")="Les deux",IFERROR(INDEX('Paramètres'!$I:$I,MATCH($C3463,'Paramètres'!$D:$D,0))&amp;"","")=IF($P3463=1,"Débit",$L3463)),-IF($P3463=1,-$K3463,$K3463),0))))</f>
        <v/>
      </c>
      <c r="U3463" s="6" t="str">
        <f>IF($K3463="","",IF(ISNUMBER(SEARCH("sortie-epargne",IFERROR(INDEX('Paramètres'!$N:$N,MATCH($D3463,'Paramètres'!$M:$M,0))&amp;"",""))),$K3463,0))</f>
        <v/>
      </c>
      <c r="V3463" s="6" t="str">
        <f>IF(AND($A3463&lt;&gt;"",$O3463=1,$L3463="Débit",N($Q3463)&gt;0,$A3463&gt;=Visualisation!$B$1,$A3463&lt;Visualisation!$D$1),MAX($V$1:V3462)+1,"")</f>
        <v/>
      </c>
    </row>
    <row r="3464" spans="1:22" x14ac:dyDescent="0.25">
      <c r="A3464" s="9"/>
      <c r="E3464" s="10"/>
      <c r="K3464" s="11" t="str">
        <f>IF($E3464="","",ROUND($E3464*IF(ISNA(MATCH($C3464,'Paramètres'!$D:$D,0)),1,IF(INDEX('Paramètres'!$J:$J,MATCH($C3464,'Paramètres'!$D:$D,0))="",1,INDEX('Paramètres'!$J:$J,MATCH($C3464,'Paramètres'!$D:$D,0)))),2))</f>
        <v/>
      </c>
      <c r="L3464" s="6" t="str">
        <f>IF($D3464="","",IF($F3464&lt;&gt;"",$F3464,IF(ISNA(MATCH($D3464,'Paramètres'!$M:$M,0)),"⚠ Type inconnu",IFERROR(INDEX('Paramètres'!$P:$P,MATCH($D3464,'Paramètres'!$M:$M,0))&amp;"",""))))</f>
        <v/>
      </c>
      <c r="M3464" s="6" t="str">
        <f>IF($D3464="","",IF(ISNA(MATCH($D3464,'Paramètres'!$M:$M,0)),"⚠ Type inconnu",IF($L3464="Crédit","",IFERROR(INDEX('Paramètres'!$O:$O,MATCH($D3464,'Paramètres'!$M:$M,0))&amp;"",""))))</f>
        <v/>
      </c>
      <c r="N3464" s="6" t="str">
        <f>IF($D3464="","",IFERROR(INDEX('Paramètres'!$Q:$Q,MATCH($D3464,'Paramètres'!$M:$M,0))&amp;"",""))</f>
        <v/>
      </c>
      <c r="O3464" s="6" t="str">
        <f>IF($A3464="","",IF(OR($J3464&lt;&gt;"x",$A3464&lt;=FinReleve),1,0))</f>
        <v/>
      </c>
      <c r="P3464" s="6" t="str">
        <f>IF($D3464="","",IF(AND($L3464="Crédit",OR(IFERROR(INDEX('Paramètres'!$O:$O,MATCH($D3464,'Paramètres'!$M:$M,0))&amp;"","")&lt;&gt;"",ISNUMBER(SEARCH("remboursement",IFERROR(INDEX('Paramètres'!$N:$N,MATCH($D3464,'Paramètres'!$M:$M,0))&amp;"",""))))),1,0))</f>
        <v/>
      </c>
      <c r="Q3464" s="6" t="str">
        <f>IF($K3464="","",IF(ISNUMBER(SEARCH("transfert-interne",IFERROR(INDEX('Paramètres'!$N:$N,MATCH($D3464,'Paramètres'!$M:$M,0))&amp;"",""))),0,IF($L3464="Débit",$K3464,IF($P3464=1,-$K3464,0))))</f>
        <v/>
      </c>
      <c r="R3464" s="6" t="str">
        <f>IF($K3464="","",IF($L3464="Crédit",$K3464,-$K3464))</f>
        <v/>
      </c>
      <c r="S3464" s="6" t="str">
        <f>IF($C3464="","",IFERROR(INDEX('Paramètres'!$H:$H,MATCH($C3464,'Paramètres'!$D:$D,0))&amp;"",""))</f>
        <v/>
      </c>
      <c r="T3464" s="6" t="str">
        <f>IF($K3464="","",IF($S3464="",0,IF(ISNUMBER(SEARCH("apport-exterieur",IFERROR(INDEX('Paramètres'!$N:$N,MATCH($D3464,'Paramètres'!$M:$M,0))&amp;"",""))),0,IF(OR(IFERROR(INDEX('Paramètres'!$I:$I,MATCH($C3464,'Paramètres'!$D:$D,0))&amp;"","")="Les deux",IFERROR(INDEX('Paramètres'!$I:$I,MATCH($C3464,'Paramètres'!$D:$D,0))&amp;"","")=IF($P3464=1,"Débit",$L3464)),-IF($P3464=1,-$K3464,$K3464),0))))</f>
        <v/>
      </c>
      <c r="U3464" s="6" t="str">
        <f>IF($K3464="","",IF(ISNUMBER(SEARCH("sortie-epargne",IFERROR(INDEX('Paramètres'!$N:$N,MATCH($D3464,'Paramètres'!$M:$M,0))&amp;"",""))),$K3464,0))</f>
        <v/>
      </c>
      <c r="V3464" s="6" t="str">
        <f>IF(AND($A3464&lt;&gt;"",$O3464=1,$L3464="Débit",N($Q3464)&gt;0,$A3464&gt;=Visualisation!$B$1,$A3464&lt;Visualisation!$D$1),MAX($V$1:V3463)+1,"")</f>
        <v/>
      </c>
    </row>
    <row r="3465" spans="1:22" x14ac:dyDescent="0.25">
      <c r="A3465" s="9"/>
      <c r="E3465" s="10"/>
      <c r="K3465" s="11" t="str">
        <f>IF($E3465="","",ROUND($E3465*IF(ISNA(MATCH($C3465,'Paramètres'!$D:$D,0)),1,IF(INDEX('Paramètres'!$J:$J,MATCH($C3465,'Paramètres'!$D:$D,0))="",1,INDEX('Paramètres'!$J:$J,MATCH($C3465,'Paramètres'!$D:$D,0)))),2))</f>
        <v/>
      </c>
      <c r="L3465" s="6" t="str">
        <f>IF($D3465="","",IF($F3465&lt;&gt;"",$F3465,IF(ISNA(MATCH($D3465,'Paramètres'!$M:$M,0)),"⚠ Type inconnu",IFERROR(INDEX('Paramètres'!$P:$P,MATCH($D3465,'Paramètres'!$M:$M,0))&amp;"",""))))</f>
        <v/>
      </c>
      <c r="M3465" s="6" t="str">
        <f>IF($D3465="","",IF(ISNA(MATCH($D3465,'Paramètres'!$M:$M,0)),"⚠ Type inconnu",IF($L3465="Crédit","",IFERROR(INDEX('Paramètres'!$O:$O,MATCH($D3465,'Paramètres'!$M:$M,0))&amp;"",""))))</f>
        <v/>
      </c>
      <c r="N3465" s="6" t="str">
        <f>IF($D3465="","",IFERROR(INDEX('Paramètres'!$Q:$Q,MATCH($D3465,'Paramètres'!$M:$M,0))&amp;"",""))</f>
        <v/>
      </c>
      <c r="O3465" s="6" t="str">
        <f>IF($A3465="","",IF(OR($J3465&lt;&gt;"x",$A3465&lt;=FinReleve),1,0))</f>
        <v/>
      </c>
      <c r="P3465" s="6" t="str">
        <f>IF($D3465="","",IF(AND($L3465="Crédit",OR(IFERROR(INDEX('Paramètres'!$O:$O,MATCH($D3465,'Paramètres'!$M:$M,0))&amp;"","")&lt;&gt;"",ISNUMBER(SEARCH("remboursement",IFERROR(INDEX('Paramètres'!$N:$N,MATCH($D3465,'Paramètres'!$M:$M,0))&amp;"",""))))),1,0))</f>
        <v/>
      </c>
      <c r="Q3465" s="6" t="str">
        <f>IF($K3465="","",IF(ISNUMBER(SEARCH("transfert-interne",IFERROR(INDEX('Paramètres'!$N:$N,MATCH($D3465,'Paramètres'!$M:$M,0))&amp;"",""))),0,IF($L3465="Débit",$K3465,IF($P3465=1,-$K3465,0))))</f>
        <v/>
      </c>
      <c r="R3465" s="6" t="str">
        <f>IF($K3465="","",IF($L3465="Crédit",$K3465,-$K3465))</f>
        <v/>
      </c>
      <c r="S3465" s="6" t="str">
        <f>IF($C3465="","",IFERROR(INDEX('Paramètres'!$H:$H,MATCH($C3465,'Paramètres'!$D:$D,0))&amp;"",""))</f>
        <v/>
      </c>
      <c r="T3465" s="6" t="str">
        <f>IF($K3465="","",IF($S3465="",0,IF(ISNUMBER(SEARCH("apport-exterieur",IFERROR(INDEX('Paramètres'!$N:$N,MATCH($D3465,'Paramètres'!$M:$M,0))&amp;"",""))),0,IF(OR(IFERROR(INDEX('Paramètres'!$I:$I,MATCH($C3465,'Paramètres'!$D:$D,0))&amp;"","")="Les deux",IFERROR(INDEX('Paramètres'!$I:$I,MATCH($C3465,'Paramètres'!$D:$D,0))&amp;"","")=IF($P3465=1,"Débit",$L3465)),-IF($P3465=1,-$K3465,$K3465),0))))</f>
        <v/>
      </c>
      <c r="U3465" s="6" t="str">
        <f>IF($K3465="","",IF(ISNUMBER(SEARCH("sortie-epargne",IFERROR(INDEX('Paramètres'!$N:$N,MATCH($D3465,'Paramètres'!$M:$M,0))&amp;"",""))),$K3465,0))</f>
        <v/>
      </c>
      <c r="V3465" s="6" t="str">
        <f>IF(AND($A3465&lt;&gt;"",$O3465=1,$L3465="Débit",N($Q3465)&gt;0,$A3465&gt;=Visualisation!$B$1,$A3465&lt;Visualisation!$D$1),MAX($V$1:V3464)+1,"")</f>
        <v/>
      </c>
    </row>
    <row r="3466" spans="1:22" x14ac:dyDescent="0.25">
      <c r="A3466" s="9"/>
      <c r="E3466" s="10"/>
      <c r="K3466" s="11" t="str">
        <f>IF($E3466="","",ROUND($E3466*IF(ISNA(MATCH($C3466,'Paramètres'!$D:$D,0)),1,IF(INDEX('Paramètres'!$J:$J,MATCH($C3466,'Paramètres'!$D:$D,0))="",1,INDEX('Paramètres'!$J:$J,MATCH($C3466,'Paramètres'!$D:$D,0)))),2))</f>
        <v/>
      </c>
      <c r="L3466" s="6" t="str">
        <f>IF($D3466="","",IF($F3466&lt;&gt;"",$F3466,IF(ISNA(MATCH($D3466,'Paramètres'!$M:$M,0)),"⚠ Type inconnu",IFERROR(INDEX('Paramètres'!$P:$P,MATCH($D3466,'Paramètres'!$M:$M,0))&amp;"",""))))</f>
        <v/>
      </c>
      <c r="M3466" s="6" t="str">
        <f>IF($D3466="","",IF(ISNA(MATCH($D3466,'Paramètres'!$M:$M,0)),"⚠ Type inconnu",IF($L3466="Crédit","",IFERROR(INDEX('Paramètres'!$O:$O,MATCH($D3466,'Paramètres'!$M:$M,0))&amp;"",""))))</f>
        <v/>
      </c>
      <c r="N3466" s="6" t="str">
        <f>IF($D3466="","",IFERROR(INDEX('Paramètres'!$Q:$Q,MATCH($D3466,'Paramètres'!$M:$M,0))&amp;"",""))</f>
        <v/>
      </c>
      <c r="O3466" s="6" t="str">
        <f>IF($A3466="","",IF(OR($J3466&lt;&gt;"x",$A3466&lt;=FinReleve),1,0))</f>
        <v/>
      </c>
      <c r="P3466" s="6" t="str">
        <f>IF($D3466="","",IF(AND($L3466="Crédit",OR(IFERROR(INDEX('Paramètres'!$O:$O,MATCH($D3466,'Paramètres'!$M:$M,0))&amp;"","")&lt;&gt;"",ISNUMBER(SEARCH("remboursement",IFERROR(INDEX('Paramètres'!$N:$N,MATCH($D3466,'Paramètres'!$M:$M,0))&amp;"",""))))),1,0))</f>
        <v/>
      </c>
      <c r="Q3466" s="6" t="str">
        <f>IF($K3466="","",IF(ISNUMBER(SEARCH("transfert-interne",IFERROR(INDEX('Paramètres'!$N:$N,MATCH($D3466,'Paramètres'!$M:$M,0))&amp;"",""))),0,IF($L3466="Débit",$K3466,IF($P3466=1,-$K3466,0))))</f>
        <v/>
      </c>
      <c r="R3466" s="6" t="str">
        <f>IF($K3466="","",IF($L3466="Crédit",$K3466,-$K3466))</f>
        <v/>
      </c>
      <c r="S3466" s="6" t="str">
        <f>IF($C3466="","",IFERROR(INDEX('Paramètres'!$H:$H,MATCH($C3466,'Paramètres'!$D:$D,0))&amp;"",""))</f>
        <v/>
      </c>
      <c r="T3466" s="6" t="str">
        <f>IF($K3466="","",IF($S3466="",0,IF(ISNUMBER(SEARCH("apport-exterieur",IFERROR(INDEX('Paramètres'!$N:$N,MATCH($D3466,'Paramètres'!$M:$M,0))&amp;"",""))),0,IF(OR(IFERROR(INDEX('Paramètres'!$I:$I,MATCH($C3466,'Paramètres'!$D:$D,0))&amp;"","")="Les deux",IFERROR(INDEX('Paramètres'!$I:$I,MATCH($C3466,'Paramètres'!$D:$D,0))&amp;"","")=IF($P3466=1,"Débit",$L3466)),-IF($P3466=1,-$K3466,$K3466),0))))</f>
        <v/>
      </c>
      <c r="U3466" s="6" t="str">
        <f>IF($K3466="","",IF(ISNUMBER(SEARCH("sortie-epargne",IFERROR(INDEX('Paramètres'!$N:$N,MATCH($D3466,'Paramètres'!$M:$M,0))&amp;"",""))),$K3466,0))</f>
        <v/>
      </c>
      <c r="V3466" s="6" t="str">
        <f>IF(AND($A3466&lt;&gt;"",$O3466=1,$L3466="Débit",N($Q3466)&gt;0,$A3466&gt;=Visualisation!$B$1,$A3466&lt;Visualisation!$D$1),MAX($V$1:V3465)+1,"")</f>
        <v/>
      </c>
    </row>
    <row r="3467" spans="1:22" x14ac:dyDescent="0.25">
      <c r="A3467" s="9"/>
      <c r="E3467" s="10"/>
      <c r="K3467" s="11" t="str">
        <f>IF($E3467="","",ROUND($E3467*IF(ISNA(MATCH($C3467,'Paramètres'!$D:$D,0)),1,IF(INDEX('Paramètres'!$J:$J,MATCH($C3467,'Paramètres'!$D:$D,0))="",1,INDEX('Paramètres'!$J:$J,MATCH($C3467,'Paramètres'!$D:$D,0)))),2))</f>
        <v/>
      </c>
      <c r="L3467" s="6" t="str">
        <f>IF($D3467="","",IF($F3467&lt;&gt;"",$F3467,IF(ISNA(MATCH($D3467,'Paramètres'!$M:$M,0)),"⚠ Type inconnu",IFERROR(INDEX('Paramètres'!$P:$P,MATCH($D3467,'Paramètres'!$M:$M,0))&amp;"",""))))</f>
        <v/>
      </c>
      <c r="M3467" s="6" t="str">
        <f>IF($D3467="","",IF(ISNA(MATCH($D3467,'Paramètres'!$M:$M,0)),"⚠ Type inconnu",IF($L3467="Crédit","",IFERROR(INDEX('Paramètres'!$O:$O,MATCH($D3467,'Paramètres'!$M:$M,0))&amp;"",""))))</f>
        <v/>
      </c>
      <c r="N3467" s="6" t="str">
        <f>IF($D3467="","",IFERROR(INDEX('Paramètres'!$Q:$Q,MATCH($D3467,'Paramètres'!$M:$M,0))&amp;"",""))</f>
        <v/>
      </c>
      <c r="O3467" s="6" t="str">
        <f>IF($A3467="","",IF(OR($J3467&lt;&gt;"x",$A3467&lt;=FinReleve),1,0))</f>
        <v/>
      </c>
      <c r="P3467" s="6" t="str">
        <f>IF($D3467="","",IF(AND($L3467="Crédit",OR(IFERROR(INDEX('Paramètres'!$O:$O,MATCH($D3467,'Paramètres'!$M:$M,0))&amp;"","")&lt;&gt;"",ISNUMBER(SEARCH("remboursement",IFERROR(INDEX('Paramètres'!$N:$N,MATCH($D3467,'Paramètres'!$M:$M,0))&amp;"",""))))),1,0))</f>
        <v/>
      </c>
      <c r="Q3467" s="6" t="str">
        <f>IF($K3467="","",IF(ISNUMBER(SEARCH("transfert-interne",IFERROR(INDEX('Paramètres'!$N:$N,MATCH($D3467,'Paramètres'!$M:$M,0))&amp;"",""))),0,IF($L3467="Débit",$K3467,IF($P3467=1,-$K3467,0))))</f>
        <v/>
      </c>
      <c r="R3467" s="6" t="str">
        <f>IF($K3467="","",IF($L3467="Crédit",$K3467,-$K3467))</f>
        <v/>
      </c>
      <c r="S3467" s="6" t="str">
        <f>IF($C3467="","",IFERROR(INDEX('Paramètres'!$H:$H,MATCH($C3467,'Paramètres'!$D:$D,0))&amp;"",""))</f>
        <v/>
      </c>
      <c r="T3467" s="6" t="str">
        <f>IF($K3467="","",IF($S3467="",0,IF(ISNUMBER(SEARCH("apport-exterieur",IFERROR(INDEX('Paramètres'!$N:$N,MATCH($D3467,'Paramètres'!$M:$M,0))&amp;"",""))),0,IF(OR(IFERROR(INDEX('Paramètres'!$I:$I,MATCH($C3467,'Paramètres'!$D:$D,0))&amp;"","")="Les deux",IFERROR(INDEX('Paramètres'!$I:$I,MATCH($C3467,'Paramètres'!$D:$D,0))&amp;"","")=IF($P3467=1,"Débit",$L3467)),-IF($P3467=1,-$K3467,$K3467),0))))</f>
        <v/>
      </c>
      <c r="U3467" s="6" t="str">
        <f>IF($K3467="","",IF(ISNUMBER(SEARCH("sortie-epargne",IFERROR(INDEX('Paramètres'!$N:$N,MATCH($D3467,'Paramètres'!$M:$M,0))&amp;"",""))),$K3467,0))</f>
        <v/>
      </c>
      <c r="V3467" s="6" t="str">
        <f>IF(AND($A3467&lt;&gt;"",$O3467=1,$L3467="Débit",N($Q3467)&gt;0,$A3467&gt;=Visualisation!$B$1,$A3467&lt;Visualisation!$D$1),MAX($V$1:V3466)+1,"")</f>
        <v/>
      </c>
    </row>
    <row r="3468" spans="1:22" x14ac:dyDescent="0.25">
      <c r="A3468" s="9"/>
      <c r="E3468" s="10"/>
      <c r="K3468" s="11" t="str">
        <f>IF($E3468="","",ROUND($E3468*IF(ISNA(MATCH($C3468,'Paramètres'!$D:$D,0)),1,IF(INDEX('Paramètres'!$J:$J,MATCH($C3468,'Paramètres'!$D:$D,0))="",1,INDEX('Paramètres'!$J:$J,MATCH($C3468,'Paramètres'!$D:$D,0)))),2))</f>
        <v/>
      </c>
      <c r="L3468" s="6" t="str">
        <f>IF($D3468="","",IF($F3468&lt;&gt;"",$F3468,IF(ISNA(MATCH($D3468,'Paramètres'!$M:$M,0)),"⚠ Type inconnu",IFERROR(INDEX('Paramètres'!$P:$P,MATCH($D3468,'Paramètres'!$M:$M,0))&amp;"",""))))</f>
        <v/>
      </c>
      <c r="M3468" s="6" t="str">
        <f>IF($D3468="","",IF(ISNA(MATCH($D3468,'Paramètres'!$M:$M,0)),"⚠ Type inconnu",IF($L3468="Crédit","",IFERROR(INDEX('Paramètres'!$O:$O,MATCH($D3468,'Paramètres'!$M:$M,0))&amp;"",""))))</f>
        <v/>
      </c>
      <c r="N3468" s="6" t="str">
        <f>IF($D3468="","",IFERROR(INDEX('Paramètres'!$Q:$Q,MATCH($D3468,'Paramètres'!$M:$M,0))&amp;"",""))</f>
        <v/>
      </c>
      <c r="O3468" s="6" t="str">
        <f>IF($A3468="","",IF(OR($J3468&lt;&gt;"x",$A3468&lt;=FinReleve),1,0))</f>
        <v/>
      </c>
      <c r="P3468" s="6" t="str">
        <f>IF($D3468="","",IF(AND($L3468="Crédit",OR(IFERROR(INDEX('Paramètres'!$O:$O,MATCH($D3468,'Paramètres'!$M:$M,0))&amp;"","")&lt;&gt;"",ISNUMBER(SEARCH("remboursement",IFERROR(INDEX('Paramètres'!$N:$N,MATCH($D3468,'Paramètres'!$M:$M,0))&amp;"",""))))),1,0))</f>
        <v/>
      </c>
      <c r="Q3468" s="6" t="str">
        <f>IF($K3468="","",IF(ISNUMBER(SEARCH("transfert-interne",IFERROR(INDEX('Paramètres'!$N:$N,MATCH($D3468,'Paramètres'!$M:$M,0))&amp;"",""))),0,IF($L3468="Débit",$K3468,IF($P3468=1,-$K3468,0))))</f>
        <v/>
      </c>
      <c r="R3468" s="6" t="str">
        <f>IF($K3468="","",IF($L3468="Crédit",$K3468,-$K3468))</f>
        <v/>
      </c>
      <c r="S3468" s="6" t="str">
        <f>IF($C3468="","",IFERROR(INDEX('Paramètres'!$H:$H,MATCH($C3468,'Paramètres'!$D:$D,0))&amp;"",""))</f>
        <v/>
      </c>
      <c r="T3468" s="6" t="str">
        <f>IF($K3468="","",IF($S3468="",0,IF(ISNUMBER(SEARCH("apport-exterieur",IFERROR(INDEX('Paramètres'!$N:$N,MATCH($D3468,'Paramètres'!$M:$M,0))&amp;"",""))),0,IF(OR(IFERROR(INDEX('Paramètres'!$I:$I,MATCH($C3468,'Paramètres'!$D:$D,0))&amp;"","")="Les deux",IFERROR(INDEX('Paramètres'!$I:$I,MATCH($C3468,'Paramètres'!$D:$D,0))&amp;"","")=IF($P3468=1,"Débit",$L3468)),-IF($P3468=1,-$K3468,$K3468),0))))</f>
        <v/>
      </c>
      <c r="U3468" s="6" t="str">
        <f>IF($K3468="","",IF(ISNUMBER(SEARCH("sortie-epargne",IFERROR(INDEX('Paramètres'!$N:$N,MATCH($D3468,'Paramètres'!$M:$M,0))&amp;"",""))),$K3468,0))</f>
        <v/>
      </c>
      <c r="V3468" s="6" t="str">
        <f>IF(AND($A3468&lt;&gt;"",$O3468=1,$L3468="Débit",N($Q3468)&gt;0,$A3468&gt;=Visualisation!$B$1,$A3468&lt;Visualisation!$D$1),MAX($V$1:V3467)+1,"")</f>
        <v/>
      </c>
    </row>
    <row r="3469" spans="1:22" x14ac:dyDescent="0.25">
      <c r="A3469" s="9"/>
      <c r="E3469" s="10"/>
      <c r="K3469" s="11" t="str">
        <f>IF($E3469="","",ROUND($E3469*IF(ISNA(MATCH($C3469,'Paramètres'!$D:$D,0)),1,IF(INDEX('Paramètres'!$J:$J,MATCH($C3469,'Paramètres'!$D:$D,0))="",1,INDEX('Paramètres'!$J:$J,MATCH($C3469,'Paramètres'!$D:$D,0)))),2))</f>
        <v/>
      </c>
      <c r="L3469" s="6" t="str">
        <f>IF($D3469="","",IF($F3469&lt;&gt;"",$F3469,IF(ISNA(MATCH($D3469,'Paramètres'!$M:$M,0)),"⚠ Type inconnu",IFERROR(INDEX('Paramètres'!$P:$P,MATCH($D3469,'Paramètres'!$M:$M,0))&amp;"",""))))</f>
        <v/>
      </c>
      <c r="M3469" s="6" t="str">
        <f>IF($D3469="","",IF(ISNA(MATCH($D3469,'Paramètres'!$M:$M,0)),"⚠ Type inconnu",IF($L3469="Crédit","",IFERROR(INDEX('Paramètres'!$O:$O,MATCH($D3469,'Paramètres'!$M:$M,0))&amp;"",""))))</f>
        <v/>
      </c>
      <c r="N3469" s="6" t="str">
        <f>IF($D3469="","",IFERROR(INDEX('Paramètres'!$Q:$Q,MATCH($D3469,'Paramètres'!$M:$M,0))&amp;"",""))</f>
        <v/>
      </c>
      <c r="O3469" s="6" t="str">
        <f>IF($A3469="","",IF(OR($J3469&lt;&gt;"x",$A3469&lt;=FinReleve),1,0))</f>
        <v/>
      </c>
      <c r="P3469" s="6" t="str">
        <f>IF($D3469="","",IF(AND($L3469="Crédit",OR(IFERROR(INDEX('Paramètres'!$O:$O,MATCH($D3469,'Paramètres'!$M:$M,0))&amp;"","")&lt;&gt;"",ISNUMBER(SEARCH("remboursement",IFERROR(INDEX('Paramètres'!$N:$N,MATCH($D3469,'Paramètres'!$M:$M,0))&amp;"",""))))),1,0))</f>
        <v/>
      </c>
      <c r="Q3469" s="6" t="str">
        <f>IF($K3469="","",IF(ISNUMBER(SEARCH("transfert-interne",IFERROR(INDEX('Paramètres'!$N:$N,MATCH($D3469,'Paramètres'!$M:$M,0))&amp;"",""))),0,IF($L3469="Débit",$K3469,IF($P3469=1,-$K3469,0))))</f>
        <v/>
      </c>
      <c r="R3469" s="6" t="str">
        <f>IF($K3469="","",IF($L3469="Crédit",$K3469,-$K3469))</f>
        <v/>
      </c>
      <c r="S3469" s="6" t="str">
        <f>IF($C3469="","",IFERROR(INDEX('Paramètres'!$H:$H,MATCH($C3469,'Paramètres'!$D:$D,0))&amp;"",""))</f>
        <v/>
      </c>
      <c r="T3469" s="6" t="str">
        <f>IF($K3469="","",IF($S3469="",0,IF(ISNUMBER(SEARCH("apport-exterieur",IFERROR(INDEX('Paramètres'!$N:$N,MATCH($D3469,'Paramètres'!$M:$M,0))&amp;"",""))),0,IF(OR(IFERROR(INDEX('Paramètres'!$I:$I,MATCH($C3469,'Paramètres'!$D:$D,0))&amp;"","")="Les deux",IFERROR(INDEX('Paramètres'!$I:$I,MATCH($C3469,'Paramètres'!$D:$D,0))&amp;"","")=IF($P3469=1,"Débit",$L3469)),-IF($P3469=1,-$K3469,$K3469),0))))</f>
        <v/>
      </c>
      <c r="U3469" s="6" t="str">
        <f>IF($K3469="","",IF(ISNUMBER(SEARCH("sortie-epargne",IFERROR(INDEX('Paramètres'!$N:$N,MATCH($D3469,'Paramètres'!$M:$M,0))&amp;"",""))),$K3469,0))</f>
        <v/>
      </c>
      <c r="V3469" s="6" t="str">
        <f>IF(AND($A3469&lt;&gt;"",$O3469=1,$L3469="Débit",N($Q3469)&gt;0,$A3469&gt;=Visualisation!$B$1,$A3469&lt;Visualisation!$D$1),MAX($V$1:V3468)+1,"")</f>
        <v/>
      </c>
    </row>
    <row r="3470" spans="1:22" x14ac:dyDescent="0.25">
      <c r="A3470" s="9"/>
      <c r="E3470" s="10"/>
      <c r="K3470" s="11" t="str">
        <f>IF($E3470="","",ROUND($E3470*IF(ISNA(MATCH($C3470,'Paramètres'!$D:$D,0)),1,IF(INDEX('Paramètres'!$J:$J,MATCH($C3470,'Paramètres'!$D:$D,0))="",1,INDEX('Paramètres'!$J:$J,MATCH($C3470,'Paramètres'!$D:$D,0)))),2))</f>
        <v/>
      </c>
      <c r="L3470" s="6" t="str">
        <f>IF($D3470="","",IF($F3470&lt;&gt;"",$F3470,IF(ISNA(MATCH($D3470,'Paramètres'!$M:$M,0)),"⚠ Type inconnu",IFERROR(INDEX('Paramètres'!$P:$P,MATCH($D3470,'Paramètres'!$M:$M,0))&amp;"",""))))</f>
        <v/>
      </c>
      <c r="M3470" s="6" t="str">
        <f>IF($D3470="","",IF(ISNA(MATCH($D3470,'Paramètres'!$M:$M,0)),"⚠ Type inconnu",IF($L3470="Crédit","",IFERROR(INDEX('Paramètres'!$O:$O,MATCH($D3470,'Paramètres'!$M:$M,0))&amp;"",""))))</f>
        <v/>
      </c>
      <c r="N3470" s="6" t="str">
        <f>IF($D3470="","",IFERROR(INDEX('Paramètres'!$Q:$Q,MATCH($D3470,'Paramètres'!$M:$M,0))&amp;"",""))</f>
        <v/>
      </c>
      <c r="O3470" s="6" t="str">
        <f>IF($A3470="","",IF(OR($J3470&lt;&gt;"x",$A3470&lt;=FinReleve),1,0))</f>
        <v/>
      </c>
      <c r="P3470" s="6" t="str">
        <f>IF($D3470="","",IF(AND($L3470="Crédit",OR(IFERROR(INDEX('Paramètres'!$O:$O,MATCH($D3470,'Paramètres'!$M:$M,0))&amp;"","")&lt;&gt;"",ISNUMBER(SEARCH("remboursement",IFERROR(INDEX('Paramètres'!$N:$N,MATCH($D3470,'Paramètres'!$M:$M,0))&amp;"",""))))),1,0))</f>
        <v/>
      </c>
      <c r="Q3470" s="6" t="str">
        <f>IF($K3470="","",IF(ISNUMBER(SEARCH("transfert-interne",IFERROR(INDEX('Paramètres'!$N:$N,MATCH($D3470,'Paramètres'!$M:$M,0))&amp;"",""))),0,IF($L3470="Débit",$K3470,IF($P3470=1,-$K3470,0))))</f>
        <v/>
      </c>
      <c r="R3470" s="6" t="str">
        <f>IF($K3470="","",IF($L3470="Crédit",$K3470,-$K3470))</f>
        <v/>
      </c>
      <c r="S3470" s="6" t="str">
        <f>IF($C3470="","",IFERROR(INDEX('Paramètres'!$H:$H,MATCH($C3470,'Paramètres'!$D:$D,0))&amp;"",""))</f>
        <v/>
      </c>
      <c r="T3470" s="6" t="str">
        <f>IF($K3470="","",IF($S3470="",0,IF(ISNUMBER(SEARCH("apport-exterieur",IFERROR(INDEX('Paramètres'!$N:$N,MATCH($D3470,'Paramètres'!$M:$M,0))&amp;"",""))),0,IF(OR(IFERROR(INDEX('Paramètres'!$I:$I,MATCH($C3470,'Paramètres'!$D:$D,0))&amp;"","")="Les deux",IFERROR(INDEX('Paramètres'!$I:$I,MATCH($C3470,'Paramètres'!$D:$D,0))&amp;"","")=IF($P3470=1,"Débit",$L3470)),-IF($P3470=1,-$K3470,$K3470),0))))</f>
        <v/>
      </c>
      <c r="U3470" s="6" t="str">
        <f>IF($K3470="","",IF(ISNUMBER(SEARCH("sortie-epargne",IFERROR(INDEX('Paramètres'!$N:$N,MATCH($D3470,'Paramètres'!$M:$M,0))&amp;"",""))),$K3470,0))</f>
        <v/>
      </c>
      <c r="V3470" s="6" t="str">
        <f>IF(AND($A3470&lt;&gt;"",$O3470=1,$L3470="Débit",N($Q3470)&gt;0,$A3470&gt;=Visualisation!$B$1,$A3470&lt;Visualisation!$D$1),MAX($V$1:V3469)+1,"")</f>
        <v/>
      </c>
    </row>
    <row r="3471" spans="1:22" x14ac:dyDescent="0.25">
      <c r="A3471" s="9"/>
      <c r="E3471" s="10"/>
      <c r="K3471" s="11" t="str">
        <f>IF($E3471="","",ROUND($E3471*IF(ISNA(MATCH($C3471,'Paramètres'!$D:$D,0)),1,IF(INDEX('Paramètres'!$J:$J,MATCH($C3471,'Paramètres'!$D:$D,0))="",1,INDEX('Paramètres'!$J:$J,MATCH($C3471,'Paramètres'!$D:$D,0)))),2))</f>
        <v/>
      </c>
      <c r="L3471" s="6" t="str">
        <f>IF($D3471="","",IF($F3471&lt;&gt;"",$F3471,IF(ISNA(MATCH($D3471,'Paramètres'!$M:$M,0)),"⚠ Type inconnu",IFERROR(INDEX('Paramètres'!$P:$P,MATCH($D3471,'Paramètres'!$M:$M,0))&amp;"",""))))</f>
        <v/>
      </c>
      <c r="M3471" s="6" t="str">
        <f>IF($D3471="","",IF(ISNA(MATCH($D3471,'Paramètres'!$M:$M,0)),"⚠ Type inconnu",IF($L3471="Crédit","",IFERROR(INDEX('Paramètres'!$O:$O,MATCH($D3471,'Paramètres'!$M:$M,0))&amp;"",""))))</f>
        <v/>
      </c>
      <c r="N3471" s="6" t="str">
        <f>IF($D3471="","",IFERROR(INDEX('Paramètres'!$Q:$Q,MATCH($D3471,'Paramètres'!$M:$M,0))&amp;"",""))</f>
        <v/>
      </c>
      <c r="O3471" s="6" t="str">
        <f>IF($A3471="","",IF(OR($J3471&lt;&gt;"x",$A3471&lt;=FinReleve),1,0))</f>
        <v/>
      </c>
      <c r="P3471" s="6" t="str">
        <f>IF($D3471="","",IF(AND($L3471="Crédit",OR(IFERROR(INDEX('Paramètres'!$O:$O,MATCH($D3471,'Paramètres'!$M:$M,0))&amp;"","")&lt;&gt;"",ISNUMBER(SEARCH("remboursement",IFERROR(INDEX('Paramètres'!$N:$N,MATCH($D3471,'Paramètres'!$M:$M,0))&amp;"",""))))),1,0))</f>
        <v/>
      </c>
      <c r="Q3471" s="6" t="str">
        <f>IF($K3471="","",IF(ISNUMBER(SEARCH("transfert-interne",IFERROR(INDEX('Paramètres'!$N:$N,MATCH($D3471,'Paramètres'!$M:$M,0))&amp;"",""))),0,IF($L3471="Débit",$K3471,IF($P3471=1,-$K3471,0))))</f>
        <v/>
      </c>
      <c r="R3471" s="6" t="str">
        <f>IF($K3471="","",IF($L3471="Crédit",$K3471,-$K3471))</f>
        <v/>
      </c>
      <c r="S3471" s="6" t="str">
        <f>IF($C3471="","",IFERROR(INDEX('Paramètres'!$H:$H,MATCH($C3471,'Paramètres'!$D:$D,0))&amp;"",""))</f>
        <v/>
      </c>
      <c r="T3471" s="6" t="str">
        <f>IF($K3471="","",IF($S3471="",0,IF(ISNUMBER(SEARCH("apport-exterieur",IFERROR(INDEX('Paramètres'!$N:$N,MATCH($D3471,'Paramètres'!$M:$M,0))&amp;"",""))),0,IF(OR(IFERROR(INDEX('Paramètres'!$I:$I,MATCH($C3471,'Paramètres'!$D:$D,0))&amp;"","")="Les deux",IFERROR(INDEX('Paramètres'!$I:$I,MATCH($C3471,'Paramètres'!$D:$D,0))&amp;"","")=IF($P3471=1,"Débit",$L3471)),-IF($P3471=1,-$K3471,$K3471),0))))</f>
        <v/>
      </c>
      <c r="U3471" s="6" t="str">
        <f>IF($K3471="","",IF(ISNUMBER(SEARCH("sortie-epargne",IFERROR(INDEX('Paramètres'!$N:$N,MATCH($D3471,'Paramètres'!$M:$M,0))&amp;"",""))),$K3471,0))</f>
        <v/>
      </c>
      <c r="V3471" s="6" t="str">
        <f>IF(AND($A3471&lt;&gt;"",$O3471=1,$L3471="Débit",N($Q3471)&gt;0,$A3471&gt;=Visualisation!$B$1,$A3471&lt;Visualisation!$D$1),MAX($V$1:V3470)+1,"")</f>
        <v/>
      </c>
    </row>
    <row r="3472" spans="1:22" x14ac:dyDescent="0.25">
      <c r="A3472" s="9"/>
      <c r="E3472" s="10"/>
      <c r="K3472" s="11" t="str">
        <f>IF($E3472="","",ROUND($E3472*IF(ISNA(MATCH($C3472,'Paramètres'!$D:$D,0)),1,IF(INDEX('Paramètres'!$J:$J,MATCH($C3472,'Paramètres'!$D:$D,0))="",1,INDEX('Paramètres'!$J:$J,MATCH($C3472,'Paramètres'!$D:$D,0)))),2))</f>
        <v/>
      </c>
      <c r="L3472" s="6" t="str">
        <f>IF($D3472="","",IF($F3472&lt;&gt;"",$F3472,IF(ISNA(MATCH($D3472,'Paramètres'!$M:$M,0)),"⚠ Type inconnu",IFERROR(INDEX('Paramètres'!$P:$P,MATCH($D3472,'Paramètres'!$M:$M,0))&amp;"",""))))</f>
        <v/>
      </c>
      <c r="M3472" s="6" t="str">
        <f>IF($D3472="","",IF(ISNA(MATCH($D3472,'Paramètres'!$M:$M,0)),"⚠ Type inconnu",IF($L3472="Crédit","",IFERROR(INDEX('Paramètres'!$O:$O,MATCH($D3472,'Paramètres'!$M:$M,0))&amp;"",""))))</f>
        <v/>
      </c>
      <c r="N3472" s="6" t="str">
        <f>IF($D3472="","",IFERROR(INDEX('Paramètres'!$Q:$Q,MATCH($D3472,'Paramètres'!$M:$M,0))&amp;"",""))</f>
        <v/>
      </c>
      <c r="O3472" s="6" t="str">
        <f>IF($A3472="","",IF(OR($J3472&lt;&gt;"x",$A3472&lt;=FinReleve),1,0))</f>
        <v/>
      </c>
      <c r="P3472" s="6" t="str">
        <f>IF($D3472="","",IF(AND($L3472="Crédit",OR(IFERROR(INDEX('Paramètres'!$O:$O,MATCH($D3472,'Paramètres'!$M:$M,0))&amp;"","")&lt;&gt;"",ISNUMBER(SEARCH("remboursement",IFERROR(INDEX('Paramètres'!$N:$N,MATCH($D3472,'Paramètres'!$M:$M,0))&amp;"",""))))),1,0))</f>
        <v/>
      </c>
      <c r="Q3472" s="6" t="str">
        <f>IF($K3472="","",IF(ISNUMBER(SEARCH("transfert-interne",IFERROR(INDEX('Paramètres'!$N:$N,MATCH($D3472,'Paramètres'!$M:$M,0))&amp;"",""))),0,IF($L3472="Débit",$K3472,IF($P3472=1,-$K3472,0))))</f>
        <v/>
      </c>
      <c r="R3472" s="6" t="str">
        <f>IF($K3472="","",IF($L3472="Crédit",$K3472,-$K3472))</f>
        <v/>
      </c>
      <c r="S3472" s="6" t="str">
        <f>IF($C3472="","",IFERROR(INDEX('Paramètres'!$H:$H,MATCH($C3472,'Paramètres'!$D:$D,0))&amp;"",""))</f>
        <v/>
      </c>
      <c r="T3472" s="6" t="str">
        <f>IF($K3472="","",IF($S3472="",0,IF(ISNUMBER(SEARCH("apport-exterieur",IFERROR(INDEX('Paramètres'!$N:$N,MATCH($D3472,'Paramètres'!$M:$M,0))&amp;"",""))),0,IF(OR(IFERROR(INDEX('Paramètres'!$I:$I,MATCH($C3472,'Paramètres'!$D:$D,0))&amp;"","")="Les deux",IFERROR(INDEX('Paramètres'!$I:$I,MATCH($C3472,'Paramètres'!$D:$D,0))&amp;"","")=IF($P3472=1,"Débit",$L3472)),-IF($P3472=1,-$K3472,$K3472),0))))</f>
        <v/>
      </c>
      <c r="U3472" s="6" t="str">
        <f>IF($K3472="","",IF(ISNUMBER(SEARCH("sortie-epargne",IFERROR(INDEX('Paramètres'!$N:$N,MATCH($D3472,'Paramètres'!$M:$M,0))&amp;"",""))),$K3472,0))</f>
        <v/>
      </c>
      <c r="V3472" s="6" t="str">
        <f>IF(AND($A3472&lt;&gt;"",$O3472=1,$L3472="Débit",N($Q3472)&gt;0,$A3472&gt;=Visualisation!$B$1,$A3472&lt;Visualisation!$D$1),MAX($V$1:V3471)+1,"")</f>
        <v/>
      </c>
    </row>
    <row r="3473" spans="1:22" x14ac:dyDescent="0.25">
      <c r="A3473" s="9"/>
      <c r="E3473" s="10"/>
      <c r="K3473" s="11" t="str">
        <f>IF($E3473="","",ROUND($E3473*IF(ISNA(MATCH($C3473,'Paramètres'!$D:$D,0)),1,IF(INDEX('Paramètres'!$J:$J,MATCH($C3473,'Paramètres'!$D:$D,0))="",1,INDEX('Paramètres'!$J:$J,MATCH($C3473,'Paramètres'!$D:$D,0)))),2))</f>
        <v/>
      </c>
      <c r="L3473" s="6" t="str">
        <f>IF($D3473="","",IF($F3473&lt;&gt;"",$F3473,IF(ISNA(MATCH($D3473,'Paramètres'!$M:$M,0)),"⚠ Type inconnu",IFERROR(INDEX('Paramètres'!$P:$P,MATCH($D3473,'Paramètres'!$M:$M,0))&amp;"",""))))</f>
        <v/>
      </c>
      <c r="M3473" s="6" t="str">
        <f>IF($D3473="","",IF(ISNA(MATCH($D3473,'Paramètres'!$M:$M,0)),"⚠ Type inconnu",IF($L3473="Crédit","",IFERROR(INDEX('Paramètres'!$O:$O,MATCH($D3473,'Paramètres'!$M:$M,0))&amp;"",""))))</f>
        <v/>
      </c>
      <c r="N3473" s="6" t="str">
        <f>IF($D3473="","",IFERROR(INDEX('Paramètres'!$Q:$Q,MATCH($D3473,'Paramètres'!$M:$M,0))&amp;"",""))</f>
        <v/>
      </c>
      <c r="O3473" s="6" t="str">
        <f>IF($A3473="","",IF(OR($J3473&lt;&gt;"x",$A3473&lt;=FinReleve),1,0))</f>
        <v/>
      </c>
      <c r="P3473" s="6" t="str">
        <f>IF($D3473="","",IF(AND($L3473="Crédit",OR(IFERROR(INDEX('Paramètres'!$O:$O,MATCH($D3473,'Paramètres'!$M:$M,0))&amp;"","")&lt;&gt;"",ISNUMBER(SEARCH("remboursement",IFERROR(INDEX('Paramètres'!$N:$N,MATCH($D3473,'Paramètres'!$M:$M,0))&amp;"",""))))),1,0))</f>
        <v/>
      </c>
      <c r="Q3473" s="6" t="str">
        <f>IF($K3473="","",IF(ISNUMBER(SEARCH("transfert-interne",IFERROR(INDEX('Paramètres'!$N:$N,MATCH($D3473,'Paramètres'!$M:$M,0))&amp;"",""))),0,IF($L3473="Débit",$K3473,IF($P3473=1,-$K3473,0))))</f>
        <v/>
      </c>
      <c r="R3473" s="6" t="str">
        <f>IF($K3473="","",IF($L3473="Crédit",$K3473,-$K3473))</f>
        <v/>
      </c>
      <c r="S3473" s="6" t="str">
        <f>IF($C3473="","",IFERROR(INDEX('Paramètres'!$H:$H,MATCH($C3473,'Paramètres'!$D:$D,0))&amp;"",""))</f>
        <v/>
      </c>
      <c r="T3473" s="6" t="str">
        <f>IF($K3473="","",IF($S3473="",0,IF(ISNUMBER(SEARCH("apport-exterieur",IFERROR(INDEX('Paramètres'!$N:$N,MATCH($D3473,'Paramètres'!$M:$M,0))&amp;"",""))),0,IF(OR(IFERROR(INDEX('Paramètres'!$I:$I,MATCH($C3473,'Paramètres'!$D:$D,0))&amp;"","")="Les deux",IFERROR(INDEX('Paramètres'!$I:$I,MATCH($C3473,'Paramètres'!$D:$D,0))&amp;"","")=IF($P3473=1,"Débit",$L3473)),-IF($P3473=1,-$K3473,$K3473),0))))</f>
        <v/>
      </c>
      <c r="U3473" s="6" t="str">
        <f>IF($K3473="","",IF(ISNUMBER(SEARCH("sortie-epargne",IFERROR(INDEX('Paramètres'!$N:$N,MATCH($D3473,'Paramètres'!$M:$M,0))&amp;"",""))),$K3473,0))</f>
        <v/>
      </c>
      <c r="V3473" s="6" t="str">
        <f>IF(AND($A3473&lt;&gt;"",$O3473=1,$L3473="Débit",N($Q3473)&gt;0,$A3473&gt;=Visualisation!$B$1,$A3473&lt;Visualisation!$D$1),MAX($V$1:V3472)+1,"")</f>
        <v/>
      </c>
    </row>
    <row r="3474" spans="1:22" x14ac:dyDescent="0.25">
      <c r="A3474" s="9"/>
      <c r="E3474" s="10"/>
      <c r="K3474" s="11" t="str">
        <f>IF($E3474="","",ROUND($E3474*IF(ISNA(MATCH($C3474,'Paramètres'!$D:$D,0)),1,IF(INDEX('Paramètres'!$J:$J,MATCH($C3474,'Paramètres'!$D:$D,0))="",1,INDEX('Paramètres'!$J:$J,MATCH($C3474,'Paramètres'!$D:$D,0)))),2))</f>
        <v/>
      </c>
      <c r="L3474" s="6" t="str">
        <f>IF($D3474="","",IF($F3474&lt;&gt;"",$F3474,IF(ISNA(MATCH($D3474,'Paramètres'!$M:$M,0)),"⚠ Type inconnu",IFERROR(INDEX('Paramètres'!$P:$P,MATCH($D3474,'Paramètres'!$M:$M,0))&amp;"",""))))</f>
        <v/>
      </c>
      <c r="M3474" s="6" t="str">
        <f>IF($D3474="","",IF(ISNA(MATCH($D3474,'Paramètres'!$M:$M,0)),"⚠ Type inconnu",IF($L3474="Crédit","",IFERROR(INDEX('Paramètres'!$O:$O,MATCH($D3474,'Paramètres'!$M:$M,0))&amp;"",""))))</f>
        <v/>
      </c>
      <c r="N3474" s="6" t="str">
        <f>IF($D3474="","",IFERROR(INDEX('Paramètres'!$Q:$Q,MATCH($D3474,'Paramètres'!$M:$M,0))&amp;"",""))</f>
        <v/>
      </c>
      <c r="O3474" s="6" t="str">
        <f>IF($A3474="","",IF(OR($J3474&lt;&gt;"x",$A3474&lt;=FinReleve),1,0))</f>
        <v/>
      </c>
      <c r="P3474" s="6" t="str">
        <f>IF($D3474="","",IF(AND($L3474="Crédit",OR(IFERROR(INDEX('Paramètres'!$O:$O,MATCH($D3474,'Paramètres'!$M:$M,0))&amp;"","")&lt;&gt;"",ISNUMBER(SEARCH("remboursement",IFERROR(INDEX('Paramètres'!$N:$N,MATCH($D3474,'Paramètres'!$M:$M,0))&amp;"",""))))),1,0))</f>
        <v/>
      </c>
      <c r="Q3474" s="6" t="str">
        <f>IF($K3474="","",IF(ISNUMBER(SEARCH("transfert-interne",IFERROR(INDEX('Paramètres'!$N:$N,MATCH($D3474,'Paramètres'!$M:$M,0))&amp;"",""))),0,IF($L3474="Débit",$K3474,IF($P3474=1,-$K3474,0))))</f>
        <v/>
      </c>
      <c r="R3474" s="6" t="str">
        <f>IF($K3474="","",IF($L3474="Crédit",$K3474,-$K3474))</f>
        <v/>
      </c>
      <c r="S3474" s="6" t="str">
        <f>IF($C3474="","",IFERROR(INDEX('Paramètres'!$H:$H,MATCH($C3474,'Paramètres'!$D:$D,0))&amp;"",""))</f>
        <v/>
      </c>
      <c r="T3474" s="6" t="str">
        <f>IF($K3474="","",IF($S3474="",0,IF(ISNUMBER(SEARCH("apport-exterieur",IFERROR(INDEX('Paramètres'!$N:$N,MATCH($D3474,'Paramètres'!$M:$M,0))&amp;"",""))),0,IF(OR(IFERROR(INDEX('Paramètres'!$I:$I,MATCH($C3474,'Paramètres'!$D:$D,0))&amp;"","")="Les deux",IFERROR(INDEX('Paramètres'!$I:$I,MATCH($C3474,'Paramètres'!$D:$D,0))&amp;"","")=IF($P3474=1,"Débit",$L3474)),-IF($P3474=1,-$K3474,$K3474),0))))</f>
        <v/>
      </c>
      <c r="U3474" s="6" t="str">
        <f>IF($K3474="","",IF(ISNUMBER(SEARCH("sortie-epargne",IFERROR(INDEX('Paramètres'!$N:$N,MATCH($D3474,'Paramètres'!$M:$M,0))&amp;"",""))),$K3474,0))</f>
        <v/>
      </c>
      <c r="V3474" s="6" t="str">
        <f>IF(AND($A3474&lt;&gt;"",$O3474=1,$L3474="Débit",N($Q3474)&gt;0,$A3474&gt;=Visualisation!$B$1,$A3474&lt;Visualisation!$D$1),MAX($V$1:V3473)+1,"")</f>
        <v/>
      </c>
    </row>
    <row r="3475" spans="1:22" x14ac:dyDescent="0.25">
      <c r="A3475" s="9"/>
      <c r="E3475" s="10"/>
      <c r="K3475" s="11" t="str">
        <f>IF($E3475="","",ROUND($E3475*IF(ISNA(MATCH($C3475,'Paramètres'!$D:$D,0)),1,IF(INDEX('Paramètres'!$J:$J,MATCH($C3475,'Paramètres'!$D:$D,0))="",1,INDEX('Paramètres'!$J:$J,MATCH($C3475,'Paramètres'!$D:$D,0)))),2))</f>
        <v/>
      </c>
      <c r="L3475" s="6" t="str">
        <f>IF($D3475="","",IF($F3475&lt;&gt;"",$F3475,IF(ISNA(MATCH($D3475,'Paramètres'!$M:$M,0)),"⚠ Type inconnu",IFERROR(INDEX('Paramètres'!$P:$P,MATCH($D3475,'Paramètres'!$M:$M,0))&amp;"",""))))</f>
        <v/>
      </c>
      <c r="M3475" s="6" t="str">
        <f>IF($D3475="","",IF(ISNA(MATCH($D3475,'Paramètres'!$M:$M,0)),"⚠ Type inconnu",IF($L3475="Crédit","",IFERROR(INDEX('Paramètres'!$O:$O,MATCH($D3475,'Paramètres'!$M:$M,0))&amp;"",""))))</f>
        <v/>
      </c>
      <c r="N3475" s="6" t="str">
        <f>IF($D3475="","",IFERROR(INDEX('Paramètres'!$Q:$Q,MATCH($D3475,'Paramètres'!$M:$M,0))&amp;"",""))</f>
        <v/>
      </c>
      <c r="O3475" s="6" t="str">
        <f>IF($A3475="","",IF(OR($J3475&lt;&gt;"x",$A3475&lt;=FinReleve),1,0))</f>
        <v/>
      </c>
      <c r="P3475" s="6" t="str">
        <f>IF($D3475="","",IF(AND($L3475="Crédit",OR(IFERROR(INDEX('Paramètres'!$O:$O,MATCH($D3475,'Paramètres'!$M:$M,0))&amp;"","")&lt;&gt;"",ISNUMBER(SEARCH("remboursement",IFERROR(INDEX('Paramètres'!$N:$N,MATCH($D3475,'Paramètres'!$M:$M,0))&amp;"",""))))),1,0))</f>
        <v/>
      </c>
      <c r="Q3475" s="6" t="str">
        <f>IF($K3475="","",IF(ISNUMBER(SEARCH("transfert-interne",IFERROR(INDEX('Paramètres'!$N:$N,MATCH($D3475,'Paramètres'!$M:$M,0))&amp;"",""))),0,IF($L3475="Débit",$K3475,IF($P3475=1,-$K3475,0))))</f>
        <v/>
      </c>
      <c r="R3475" s="6" t="str">
        <f>IF($K3475="","",IF($L3475="Crédit",$K3475,-$K3475))</f>
        <v/>
      </c>
      <c r="S3475" s="6" t="str">
        <f>IF($C3475="","",IFERROR(INDEX('Paramètres'!$H:$H,MATCH($C3475,'Paramètres'!$D:$D,0))&amp;"",""))</f>
        <v/>
      </c>
      <c r="T3475" s="6" t="str">
        <f>IF($K3475="","",IF($S3475="",0,IF(ISNUMBER(SEARCH("apport-exterieur",IFERROR(INDEX('Paramètres'!$N:$N,MATCH($D3475,'Paramètres'!$M:$M,0))&amp;"",""))),0,IF(OR(IFERROR(INDEX('Paramètres'!$I:$I,MATCH($C3475,'Paramètres'!$D:$D,0))&amp;"","")="Les deux",IFERROR(INDEX('Paramètres'!$I:$I,MATCH($C3475,'Paramètres'!$D:$D,0))&amp;"","")=IF($P3475=1,"Débit",$L3475)),-IF($P3475=1,-$K3475,$K3475),0))))</f>
        <v/>
      </c>
      <c r="U3475" s="6" t="str">
        <f>IF($K3475="","",IF(ISNUMBER(SEARCH("sortie-epargne",IFERROR(INDEX('Paramètres'!$N:$N,MATCH($D3475,'Paramètres'!$M:$M,0))&amp;"",""))),$K3475,0))</f>
        <v/>
      </c>
      <c r="V3475" s="6" t="str">
        <f>IF(AND($A3475&lt;&gt;"",$O3475=1,$L3475="Débit",N($Q3475)&gt;0,$A3475&gt;=Visualisation!$B$1,$A3475&lt;Visualisation!$D$1),MAX($V$1:V3474)+1,"")</f>
        <v/>
      </c>
    </row>
    <row r="3476" spans="1:22" x14ac:dyDescent="0.25">
      <c r="A3476" s="9"/>
      <c r="E3476" s="10"/>
      <c r="K3476" s="11" t="str">
        <f>IF($E3476="","",ROUND($E3476*IF(ISNA(MATCH($C3476,'Paramètres'!$D:$D,0)),1,IF(INDEX('Paramètres'!$J:$J,MATCH($C3476,'Paramètres'!$D:$D,0))="",1,INDEX('Paramètres'!$J:$J,MATCH($C3476,'Paramètres'!$D:$D,0)))),2))</f>
        <v/>
      </c>
      <c r="L3476" s="6" t="str">
        <f>IF($D3476="","",IF($F3476&lt;&gt;"",$F3476,IF(ISNA(MATCH($D3476,'Paramètres'!$M:$M,0)),"⚠ Type inconnu",IFERROR(INDEX('Paramètres'!$P:$P,MATCH($D3476,'Paramètres'!$M:$M,0))&amp;"",""))))</f>
        <v/>
      </c>
      <c r="M3476" s="6" t="str">
        <f>IF($D3476="","",IF(ISNA(MATCH($D3476,'Paramètres'!$M:$M,0)),"⚠ Type inconnu",IF($L3476="Crédit","",IFERROR(INDEX('Paramètres'!$O:$O,MATCH($D3476,'Paramètres'!$M:$M,0))&amp;"",""))))</f>
        <v/>
      </c>
      <c r="N3476" s="6" t="str">
        <f>IF($D3476="","",IFERROR(INDEX('Paramètres'!$Q:$Q,MATCH($D3476,'Paramètres'!$M:$M,0))&amp;"",""))</f>
        <v/>
      </c>
      <c r="O3476" s="6" t="str">
        <f>IF($A3476="","",IF(OR($J3476&lt;&gt;"x",$A3476&lt;=FinReleve),1,0))</f>
        <v/>
      </c>
      <c r="P3476" s="6" t="str">
        <f>IF($D3476="","",IF(AND($L3476="Crédit",OR(IFERROR(INDEX('Paramètres'!$O:$O,MATCH($D3476,'Paramètres'!$M:$M,0))&amp;"","")&lt;&gt;"",ISNUMBER(SEARCH("remboursement",IFERROR(INDEX('Paramètres'!$N:$N,MATCH($D3476,'Paramètres'!$M:$M,0))&amp;"",""))))),1,0))</f>
        <v/>
      </c>
      <c r="Q3476" s="6" t="str">
        <f>IF($K3476="","",IF(ISNUMBER(SEARCH("transfert-interne",IFERROR(INDEX('Paramètres'!$N:$N,MATCH($D3476,'Paramètres'!$M:$M,0))&amp;"",""))),0,IF($L3476="Débit",$K3476,IF($P3476=1,-$K3476,0))))</f>
        <v/>
      </c>
      <c r="R3476" s="6" t="str">
        <f>IF($K3476="","",IF($L3476="Crédit",$K3476,-$K3476))</f>
        <v/>
      </c>
      <c r="S3476" s="6" t="str">
        <f>IF($C3476="","",IFERROR(INDEX('Paramètres'!$H:$H,MATCH($C3476,'Paramètres'!$D:$D,0))&amp;"",""))</f>
        <v/>
      </c>
      <c r="T3476" s="6" t="str">
        <f>IF($K3476="","",IF($S3476="",0,IF(ISNUMBER(SEARCH("apport-exterieur",IFERROR(INDEX('Paramètres'!$N:$N,MATCH($D3476,'Paramètres'!$M:$M,0))&amp;"",""))),0,IF(OR(IFERROR(INDEX('Paramètres'!$I:$I,MATCH($C3476,'Paramètres'!$D:$D,0))&amp;"","")="Les deux",IFERROR(INDEX('Paramètres'!$I:$I,MATCH($C3476,'Paramètres'!$D:$D,0))&amp;"","")=IF($P3476=1,"Débit",$L3476)),-IF($P3476=1,-$K3476,$K3476),0))))</f>
        <v/>
      </c>
      <c r="U3476" s="6" t="str">
        <f>IF($K3476="","",IF(ISNUMBER(SEARCH("sortie-epargne",IFERROR(INDEX('Paramètres'!$N:$N,MATCH($D3476,'Paramètres'!$M:$M,0))&amp;"",""))),$K3476,0))</f>
        <v/>
      </c>
      <c r="V3476" s="6" t="str">
        <f>IF(AND($A3476&lt;&gt;"",$O3476=1,$L3476="Débit",N($Q3476)&gt;0,$A3476&gt;=Visualisation!$B$1,$A3476&lt;Visualisation!$D$1),MAX($V$1:V3475)+1,"")</f>
        <v/>
      </c>
    </row>
    <row r="3477" spans="1:22" x14ac:dyDescent="0.25">
      <c r="A3477" s="9"/>
      <c r="E3477" s="10"/>
      <c r="K3477" s="11" t="str">
        <f>IF($E3477="","",ROUND($E3477*IF(ISNA(MATCH($C3477,'Paramètres'!$D:$D,0)),1,IF(INDEX('Paramètres'!$J:$J,MATCH($C3477,'Paramètres'!$D:$D,0))="",1,INDEX('Paramètres'!$J:$J,MATCH($C3477,'Paramètres'!$D:$D,0)))),2))</f>
        <v/>
      </c>
      <c r="L3477" s="6" t="str">
        <f>IF($D3477="","",IF($F3477&lt;&gt;"",$F3477,IF(ISNA(MATCH($D3477,'Paramètres'!$M:$M,0)),"⚠ Type inconnu",IFERROR(INDEX('Paramètres'!$P:$P,MATCH($D3477,'Paramètres'!$M:$M,0))&amp;"",""))))</f>
        <v/>
      </c>
      <c r="M3477" s="6" t="str">
        <f>IF($D3477="","",IF(ISNA(MATCH($D3477,'Paramètres'!$M:$M,0)),"⚠ Type inconnu",IF($L3477="Crédit","",IFERROR(INDEX('Paramètres'!$O:$O,MATCH($D3477,'Paramètres'!$M:$M,0))&amp;"",""))))</f>
        <v/>
      </c>
      <c r="N3477" s="6" t="str">
        <f>IF($D3477="","",IFERROR(INDEX('Paramètres'!$Q:$Q,MATCH($D3477,'Paramètres'!$M:$M,0))&amp;"",""))</f>
        <v/>
      </c>
      <c r="O3477" s="6" t="str">
        <f>IF($A3477="","",IF(OR($J3477&lt;&gt;"x",$A3477&lt;=FinReleve),1,0))</f>
        <v/>
      </c>
      <c r="P3477" s="6" t="str">
        <f>IF($D3477="","",IF(AND($L3477="Crédit",OR(IFERROR(INDEX('Paramètres'!$O:$O,MATCH($D3477,'Paramètres'!$M:$M,0))&amp;"","")&lt;&gt;"",ISNUMBER(SEARCH("remboursement",IFERROR(INDEX('Paramètres'!$N:$N,MATCH($D3477,'Paramètres'!$M:$M,0))&amp;"",""))))),1,0))</f>
        <v/>
      </c>
      <c r="Q3477" s="6" t="str">
        <f>IF($K3477="","",IF(ISNUMBER(SEARCH("transfert-interne",IFERROR(INDEX('Paramètres'!$N:$N,MATCH($D3477,'Paramètres'!$M:$M,0))&amp;"",""))),0,IF($L3477="Débit",$K3477,IF($P3477=1,-$K3477,0))))</f>
        <v/>
      </c>
      <c r="R3477" s="6" t="str">
        <f>IF($K3477="","",IF($L3477="Crédit",$K3477,-$K3477))</f>
        <v/>
      </c>
      <c r="S3477" s="6" t="str">
        <f>IF($C3477="","",IFERROR(INDEX('Paramètres'!$H:$H,MATCH($C3477,'Paramètres'!$D:$D,0))&amp;"",""))</f>
        <v/>
      </c>
      <c r="T3477" s="6" t="str">
        <f>IF($K3477="","",IF($S3477="",0,IF(ISNUMBER(SEARCH("apport-exterieur",IFERROR(INDEX('Paramètres'!$N:$N,MATCH($D3477,'Paramètres'!$M:$M,0))&amp;"",""))),0,IF(OR(IFERROR(INDEX('Paramètres'!$I:$I,MATCH($C3477,'Paramètres'!$D:$D,0))&amp;"","")="Les deux",IFERROR(INDEX('Paramètres'!$I:$I,MATCH($C3477,'Paramètres'!$D:$D,0))&amp;"","")=IF($P3477=1,"Débit",$L3477)),-IF($P3477=1,-$K3477,$K3477),0))))</f>
        <v/>
      </c>
      <c r="U3477" s="6" t="str">
        <f>IF($K3477="","",IF(ISNUMBER(SEARCH("sortie-epargne",IFERROR(INDEX('Paramètres'!$N:$N,MATCH($D3477,'Paramètres'!$M:$M,0))&amp;"",""))),$K3477,0))</f>
        <v/>
      </c>
      <c r="V3477" s="6" t="str">
        <f>IF(AND($A3477&lt;&gt;"",$O3477=1,$L3477="Débit",N($Q3477)&gt;0,$A3477&gt;=Visualisation!$B$1,$A3477&lt;Visualisation!$D$1),MAX($V$1:V3476)+1,"")</f>
        <v/>
      </c>
    </row>
    <row r="3478" spans="1:22" x14ac:dyDescent="0.25">
      <c r="A3478" s="9"/>
      <c r="E3478" s="10"/>
      <c r="K3478" s="11" t="str">
        <f>IF($E3478="","",ROUND($E3478*IF(ISNA(MATCH($C3478,'Paramètres'!$D:$D,0)),1,IF(INDEX('Paramètres'!$J:$J,MATCH($C3478,'Paramètres'!$D:$D,0))="",1,INDEX('Paramètres'!$J:$J,MATCH($C3478,'Paramètres'!$D:$D,0)))),2))</f>
        <v/>
      </c>
      <c r="L3478" s="6" t="str">
        <f>IF($D3478="","",IF($F3478&lt;&gt;"",$F3478,IF(ISNA(MATCH($D3478,'Paramètres'!$M:$M,0)),"⚠ Type inconnu",IFERROR(INDEX('Paramètres'!$P:$P,MATCH($D3478,'Paramètres'!$M:$M,0))&amp;"",""))))</f>
        <v/>
      </c>
      <c r="M3478" s="6" t="str">
        <f>IF($D3478="","",IF(ISNA(MATCH($D3478,'Paramètres'!$M:$M,0)),"⚠ Type inconnu",IF($L3478="Crédit","",IFERROR(INDEX('Paramètres'!$O:$O,MATCH($D3478,'Paramètres'!$M:$M,0))&amp;"",""))))</f>
        <v/>
      </c>
      <c r="N3478" s="6" t="str">
        <f>IF($D3478="","",IFERROR(INDEX('Paramètres'!$Q:$Q,MATCH($D3478,'Paramètres'!$M:$M,0))&amp;"",""))</f>
        <v/>
      </c>
      <c r="O3478" s="6" t="str">
        <f>IF($A3478="","",IF(OR($J3478&lt;&gt;"x",$A3478&lt;=FinReleve),1,0))</f>
        <v/>
      </c>
      <c r="P3478" s="6" t="str">
        <f>IF($D3478="","",IF(AND($L3478="Crédit",OR(IFERROR(INDEX('Paramètres'!$O:$O,MATCH($D3478,'Paramètres'!$M:$M,0))&amp;"","")&lt;&gt;"",ISNUMBER(SEARCH("remboursement",IFERROR(INDEX('Paramètres'!$N:$N,MATCH($D3478,'Paramètres'!$M:$M,0))&amp;"",""))))),1,0))</f>
        <v/>
      </c>
      <c r="Q3478" s="6" t="str">
        <f>IF($K3478="","",IF(ISNUMBER(SEARCH("transfert-interne",IFERROR(INDEX('Paramètres'!$N:$N,MATCH($D3478,'Paramètres'!$M:$M,0))&amp;"",""))),0,IF($L3478="Débit",$K3478,IF($P3478=1,-$K3478,0))))</f>
        <v/>
      </c>
      <c r="R3478" s="6" t="str">
        <f>IF($K3478="","",IF($L3478="Crédit",$K3478,-$K3478))</f>
        <v/>
      </c>
      <c r="S3478" s="6" t="str">
        <f>IF($C3478="","",IFERROR(INDEX('Paramètres'!$H:$H,MATCH($C3478,'Paramètres'!$D:$D,0))&amp;"",""))</f>
        <v/>
      </c>
      <c r="T3478" s="6" t="str">
        <f>IF($K3478="","",IF($S3478="",0,IF(ISNUMBER(SEARCH("apport-exterieur",IFERROR(INDEX('Paramètres'!$N:$N,MATCH($D3478,'Paramètres'!$M:$M,0))&amp;"",""))),0,IF(OR(IFERROR(INDEX('Paramètres'!$I:$I,MATCH($C3478,'Paramètres'!$D:$D,0))&amp;"","")="Les deux",IFERROR(INDEX('Paramètres'!$I:$I,MATCH($C3478,'Paramètres'!$D:$D,0))&amp;"","")=IF($P3478=1,"Débit",$L3478)),-IF($P3478=1,-$K3478,$K3478),0))))</f>
        <v/>
      </c>
      <c r="U3478" s="6" t="str">
        <f>IF($K3478="","",IF(ISNUMBER(SEARCH("sortie-epargne",IFERROR(INDEX('Paramètres'!$N:$N,MATCH($D3478,'Paramètres'!$M:$M,0))&amp;"",""))),$K3478,0))</f>
        <v/>
      </c>
      <c r="V3478" s="6" t="str">
        <f>IF(AND($A3478&lt;&gt;"",$O3478=1,$L3478="Débit",N($Q3478)&gt;0,$A3478&gt;=Visualisation!$B$1,$A3478&lt;Visualisation!$D$1),MAX($V$1:V3477)+1,"")</f>
        <v/>
      </c>
    </row>
    <row r="3479" spans="1:22" x14ac:dyDescent="0.25">
      <c r="A3479" s="9"/>
      <c r="E3479" s="10"/>
      <c r="K3479" s="11" t="str">
        <f>IF($E3479="","",ROUND($E3479*IF(ISNA(MATCH($C3479,'Paramètres'!$D:$D,0)),1,IF(INDEX('Paramètres'!$J:$J,MATCH($C3479,'Paramètres'!$D:$D,0))="",1,INDEX('Paramètres'!$J:$J,MATCH($C3479,'Paramètres'!$D:$D,0)))),2))</f>
        <v/>
      </c>
      <c r="L3479" s="6" t="str">
        <f>IF($D3479="","",IF($F3479&lt;&gt;"",$F3479,IF(ISNA(MATCH($D3479,'Paramètres'!$M:$M,0)),"⚠ Type inconnu",IFERROR(INDEX('Paramètres'!$P:$P,MATCH($D3479,'Paramètres'!$M:$M,0))&amp;"",""))))</f>
        <v/>
      </c>
      <c r="M3479" s="6" t="str">
        <f>IF($D3479="","",IF(ISNA(MATCH($D3479,'Paramètres'!$M:$M,0)),"⚠ Type inconnu",IF($L3479="Crédit","",IFERROR(INDEX('Paramètres'!$O:$O,MATCH($D3479,'Paramètres'!$M:$M,0))&amp;"",""))))</f>
        <v/>
      </c>
      <c r="N3479" s="6" t="str">
        <f>IF($D3479="","",IFERROR(INDEX('Paramètres'!$Q:$Q,MATCH($D3479,'Paramètres'!$M:$M,0))&amp;"",""))</f>
        <v/>
      </c>
      <c r="O3479" s="6" t="str">
        <f>IF($A3479="","",IF(OR($J3479&lt;&gt;"x",$A3479&lt;=FinReleve),1,0))</f>
        <v/>
      </c>
      <c r="P3479" s="6" t="str">
        <f>IF($D3479="","",IF(AND($L3479="Crédit",OR(IFERROR(INDEX('Paramètres'!$O:$O,MATCH($D3479,'Paramètres'!$M:$M,0))&amp;"","")&lt;&gt;"",ISNUMBER(SEARCH("remboursement",IFERROR(INDEX('Paramètres'!$N:$N,MATCH($D3479,'Paramètres'!$M:$M,0))&amp;"",""))))),1,0))</f>
        <v/>
      </c>
      <c r="Q3479" s="6" t="str">
        <f>IF($K3479="","",IF(ISNUMBER(SEARCH("transfert-interne",IFERROR(INDEX('Paramètres'!$N:$N,MATCH($D3479,'Paramètres'!$M:$M,0))&amp;"",""))),0,IF($L3479="Débit",$K3479,IF($P3479=1,-$K3479,0))))</f>
        <v/>
      </c>
      <c r="R3479" s="6" t="str">
        <f>IF($K3479="","",IF($L3479="Crédit",$K3479,-$K3479))</f>
        <v/>
      </c>
      <c r="S3479" s="6" t="str">
        <f>IF($C3479="","",IFERROR(INDEX('Paramètres'!$H:$H,MATCH($C3479,'Paramètres'!$D:$D,0))&amp;"",""))</f>
        <v/>
      </c>
      <c r="T3479" s="6" t="str">
        <f>IF($K3479="","",IF($S3479="",0,IF(ISNUMBER(SEARCH("apport-exterieur",IFERROR(INDEX('Paramètres'!$N:$N,MATCH($D3479,'Paramètres'!$M:$M,0))&amp;"",""))),0,IF(OR(IFERROR(INDEX('Paramètres'!$I:$I,MATCH($C3479,'Paramètres'!$D:$D,0))&amp;"","")="Les deux",IFERROR(INDEX('Paramètres'!$I:$I,MATCH($C3479,'Paramètres'!$D:$D,0))&amp;"","")=IF($P3479=1,"Débit",$L3479)),-IF($P3479=1,-$K3479,$K3479),0))))</f>
        <v/>
      </c>
      <c r="U3479" s="6" t="str">
        <f>IF($K3479="","",IF(ISNUMBER(SEARCH("sortie-epargne",IFERROR(INDEX('Paramètres'!$N:$N,MATCH($D3479,'Paramètres'!$M:$M,0))&amp;"",""))),$K3479,0))</f>
        <v/>
      </c>
      <c r="V3479" s="6" t="str">
        <f>IF(AND($A3479&lt;&gt;"",$O3479=1,$L3479="Débit",N($Q3479)&gt;0,$A3479&gt;=Visualisation!$B$1,$A3479&lt;Visualisation!$D$1),MAX($V$1:V3478)+1,"")</f>
        <v/>
      </c>
    </row>
    <row r="3480" spans="1:22" x14ac:dyDescent="0.25">
      <c r="A3480" s="9"/>
      <c r="E3480" s="10"/>
      <c r="K3480" s="11" t="str">
        <f>IF($E3480="","",ROUND($E3480*IF(ISNA(MATCH($C3480,'Paramètres'!$D:$D,0)),1,IF(INDEX('Paramètres'!$J:$J,MATCH($C3480,'Paramètres'!$D:$D,0))="",1,INDEX('Paramètres'!$J:$J,MATCH($C3480,'Paramètres'!$D:$D,0)))),2))</f>
        <v/>
      </c>
      <c r="L3480" s="6" t="str">
        <f>IF($D3480="","",IF($F3480&lt;&gt;"",$F3480,IF(ISNA(MATCH($D3480,'Paramètres'!$M:$M,0)),"⚠ Type inconnu",IFERROR(INDEX('Paramètres'!$P:$P,MATCH($D3480,'Paramètres'!$M:$M,0))&amp;"",""))))</f>
        <v/>
      </c>
      <c r="M3480" s="6" t="str">
        <f>IF($D3480="","",IF(ISNA(MATCH($D3480,'Paramètres'!$M:$M,0)),"⚠ Type inconnu",IF($L3480="Crédit","",IFERROR(INDEX('Paramètres'!$O:$O,MATCH($D3480,'Paramètres'!$M:$M,0))&amp;"",""))))</f>
        <v/>
      </c>
      <c r="N3480" s="6" t="str">
        <f>IF($D3480="","",IFERROR(INDEX('Paramètres'!$Q:$Q,MATCH($D3480,'Paramètres'!$M:$M,0))&amp;"",""))</f>
        <v/>
      </c>
      <c r="O3480" s="6" t="str">
        <f>IF($A3480="","",IF(OR($J3480&lt;&gt;"x",$A3480&lt;=FinReleve),1,0))</f>
        <v/>
      </c>
      <c r="P3480" s="6" t="str">
        <f>IF($D3480="","",IF(AND($L3480="Crédit",OR(IFERROR(INDEX('Paramètres'!$O:$O,MATCH($D3480,'Paramètres'!$M:$M,0))&amp;"","")&lt;&gt;"",ISNUMBER(SEARCH("remboursement",IFERROR(INDEX('Paramètres'!$N:$N,MATCH($D3480,'Paramètres'!$M:$M,0))&amp;"",""))))),1,0))</f>
        <v/>
      </c>
      <c r="Q3480" s="6" t="str">
        <f>IF($K3480="","",IF(ISNUMBER(SEARCH("transfert-interne",IFERROR(INDEX('Paramètres'!$N:$N,MATCH($D3480,'Paramètres'!$M:$M,0))&amp;"",""))),0,IF($L3480="Débit",$K3480,IF($P3480=1,-$K3480,0))))</f>
        <v/>
      </c>
      <c r="R3480" s="6" t="str">
        <f>IF($K3480="","",IF($L3480="Crédit",$K3480,-$K3480))</f>
        <v/>
      </c>
      <c r="S3480" s="6" t="str">
        <f>IF($C3480="","",IFERROR(INDEX('Paramètres'!$H:$H,MATCH($C3480,'Paramètres'!$D:$D,0))&amp;"",""))</f>
        <v/>
      </c>
      <c r="T3480" s="6" t="str">
        <f>IF($K3480="","",IF($S3480="",0,IF(ISNUMBER(SEARCH("apport-exterieur",IFERROR(INDEX('Paramètres'!$N:$N,MATCH($D3480,'Paramètres'!$M:$M,0))&amp;"",""))),0,IF(OR(IFERROR(INDEX('Paramètres'!$I:$I,MATCH($C3480,'Paramètres'!$D:$D,0))&amp;"","")="Les deux",IFERROR(INDEX('Paramètres'!$I:$I,MATCH($C3480,'Paramètres'!$D:$D,0))&amp;"","")=IF($P3480=1,"Débit",$L3480)),-IF($P3480=1,-$K3480,$K3480),0))))</f>
        <v/>
      </c>
      <c r="U3480" s="6" t="str">
        <f>IF($K3480="","",IF(ISNUMBER(SEARCH("sortie-epargne",IFERROR(INDEX('Paramètres'!$N:$N,MATCH($D3480,'Paramètres'!$M:$M,0))&amp;"",""))),$K3480,0))</f>
        <v/>
      </c>
      <c r="V3480" s="6" t="str">
        <f>IF(AND($A3480&lt;&gt;"",$O3480=1,$L3480="Débit",N($Q3480)&gt;0,$A3480&gt;=Visualisation!$B$1,$A3480&lt;Visualisation!$D$1),MAX($V$1:V3479)+1,"")</f>
        <v/>
      </c>
    </row>
    <row r="3481" spans="1:22" x14ac:dyDescent="0.25">
      <c r="A3481" s="9"/>
      <c r="E3481" s="10"/>
      <c r="K3481" s="11" t="str">
        <f>IF($E3481="","",ROUND($E3481*IF(ISNA(MATCH($C3481,'Paramètres'!$D:$D,0)),1,IF(INDEX('Paramètres'!$J:$J,MATCH($C3481,'Paramètres'!$D:$D,0))="",1,INDEX('Paramètres'!$J:$J,MATCH($C3481,'Paramètres'!$D:$D,0)))),2))</f>
        <v/>
      </c>
      <c r="L3481" s="6" t="str">
        <f>IF($D3481="","",IF($F3481&lt;&gt;"",$F3481,IF(ISNA(MATCH($D3481,'Paramètres'!$M:$M,0)),"⚠ Type inconnu",IFERROR(INDEX('Paramètres'!$P:$P,MATCH($D3481,'Paramètres'!$M:$M,0))&amp;"",""))))</f>
        <v/>
      </c>
      <c r="M3481" s="6" t="str">
        <f>IF($D3481="","",IF(ISNA(MATCH($D3481,'Paramètres'!$M:$M,0)),"⚠ Type inconnu",IF($L3481="Crédit","",IFERROR(INDEX('Paramètres'!$O:$O,MATCH($D3481,'Paramètres'!$M:$M,0))&amp;"",""))))</f>
        <v/>
      </c>
      <c r="N3481" s="6" t="str">
        <f>IF($D3481="","",IFERROR(INDEX('Paramètres'!$Q:$Q,MATCH($D3481,'Paramètres'!$M:$M,0))&amp;"",""))</f>
        <v/>
      </c>
      <c r="O3481" s="6" t="str">
        <f>IF($A3481="","",IF(OR($J3481&lt;&gt;"x",$A3481&lt;=FinReleve),1,0))</f>
        <v/>
      </c>
      <c r="P3481" s="6" t="str">
        <f>IF($D3481="","",IF(AND($L3481="Crédit",OR(IFERROR(INDEX('Paramètres'!$O:$O,MATCH($D3481,'Paramètres'!$M:$M,0))&amp;"","")&lt;&gt;"",ISNUMBER(SEARCH("remboursement",IFERROR(INDEX('Paramètres'!$N:$N,MATCH($D3481,'Paramètres'!$M:$M,0))&amp;"",""))))),1,0))</f>
        <v/>
      </c>
      <c r="Q3481" s="6" t="str">
        <f>IF($K3481="","",IF(ISNUMBER(SEARCH("transfert-interne",IFERROR(INDEX('Paramètres'!$N:$N,MATCH($D3481,'Paramètres'!$M:$M,0))&amp;"",""))),0,IF($L3481="Débit",$K3481,IF($P3481=1,-$K3481,0))))</f>
        <v/>
      </c>
      <c r="R3481" s="6" t="str">
        <f>IF($K3481="","",IF($L3481="Crédit",$K3481,-$K3481))</f>
        <v/>
      </c>
      <c r="S3481" s="6" t="str">
        <f>IF($C3481="","",IFERROR(INDEX('Paramètres'!$H:$H,MATCH($C3481,'Paramètres'!$D:$D,0))&amp;"",""))</f>
        <v/>
      </c>
      <c r="T3481" s="6" t="str">
        <f>IF($K3481="","",IF($S3481="",0,IF(ISNUMBER(SEARCH("apport-exterieur",IFERROR(INDEX('Paramètres'!$N:$N,MATCH($D3481,'Paramètres'!$M:$M,0))&amp;"",""))),0,IF(OR(IFERROR(INDEX('Paramètres'!$I:$I,MATCH($C3481,'Paramètres'!$D:$D,0))&amp;"","")="Les deux",IFERROR(INDEX('Paramètres'!$I:$I,MATCH($C3481,'Paramètres'!$D:$D,0))&amp;"","")=IF($P3481=1,"Débit",$L3481)),-IF($P3481=1,-$K3481,$K3481),0))))</f>
        <v/>
      </c>
      <c r="U3481" s="6" t="str">
        <f>IF($K3481="","",IF(ISNUMBER(SEARCH("sortie-epargne",IFERROR(INDEX('Paramètres'!$N:$N,MATCH($D3481,'Paramètres'!$M:$M,0))&amp;"",""))),$K3481,0))</f>
        <v/>
      </c>
      <c r="V3481" s="6" t="str">
        <f>IF(AND($A3481&lt;&gt;"",$O3481=1,$L3481="Débit",N($Q3481)&gt;0,$A3481&gt;=Visualisation!$B$1,$A3481&lt;Visualisation!$D$1),MAX($V$1:V3480)+1,"")</f>
        <v/>
      </c>
    </row>
    <row r="3482" spans="1:22" x14ac:dyDescent="0.25">
      <c r="A3482" s="9"/>
      <c r="E3482" s="10"/>
      <c r="K3482" s="11" t="str">
        <f>IF($E3482="","",ROUND($E3482*IF(ISNA(MATCH($C3482,'Paramètres'!$D:$D,0)),1,IF(INDEX('Paramètres'!$J:$J,MATCH($C3482,'Paramètres'!$D:$D,0))="",1,INDEX('Paramètres'!$J:$J,MATCH($C3482,'Paramètres'!$D:$D,0)))),2))</f>
        <v/>
      </c>
      <c r="L3482" s="6" t="str">
        <f>IF($D3482="","",IF($F3482&lt;&gt;"",$F3482,IF(ISNA(MATCH($D3482,'Paramètres'!$M:$M,0)),"⚠ Type inconnu",IFERROR(INDEX('Paramètres'!$P:$P,MATCH($D3482,'Paramètres'!$M:$M,0))&amp;"",""))))</f>
        <v/>
      </c>
      <c r="M3482" s="6" t="str">
        <f>IF($D3482="","",IF(ISNA(MATCH($D3482,'Paramètres'!$M:$M,0)),"⚠ Type inconnu",IF($L3482="Crédit","",IFERROR(INDEX('Paramètres'!$O:$O,MATCH($D3482,'Paramètres'!$M:$M,0))&amp;"",""))))</f>
        <v/>
      </c>
      <c r="N3482" s="6" t="str">
        <f>IF($D3482="","",IFERROR(INDEX('Paramètres'!$Q:$Q,MATCH($D3482,'Paramètres'!$M:$M,0))&amp;"",""))</f>
        <v/>
      </c>
      <c r="O3482" s="6" t="str">
        <f>IF($A3482="","",IF(OR($J3482&lt;&gt;"x",$A3482&lt;=FinReleve),1,0))</f>
        <v/>
      </c>
      <c r="P3482" s="6" t="str">
        <f>IF($D3482="","",IF(AND($L3482="Crédit",OR(IFERROR(INDEX('Paramètres'!$O:$O,MATCH($D3482,'Paramètres'!$M:$M,0))&amp;"","")&lt;&gt;"",ISNUMBER(SEARCH("remboursement",IFERROR(INDEX('Paramètres'!$N:$N,MATCH($D3482,'Paramètres'!$M:$M,0))&amp;"",""))))),1,0))</f>
        <v/>
      </c>
      <c r="Q3482" s="6" t="str">
        <f>IF($K3482="","",IF(ISNUMBER(SEARCH("transfert-interne",IFERROR(INDEX('Paramètres'!$N:$N,MATCH($D3482,'Paramètres'!$M:$M,0))&amp;"",""))),0,IF($L3482="Débit",$K3482,IF($P3482=1,-$K3482,0))))</f>
        <v/>
      </c>
      <c r="R3482" s="6" t="str">
        <f>IF($K3482="","",IF($L3482="Crédit",$K3482,-$K3482))</f>
        <v/>
      </c>
      <c r="S3482" s="6" t="str">
        <f>IF($C3482="","",IFERROR(INDEX('Paramètres'!$H:$H,MATCH($C3482,'Paramètres'!$D:$D,0))&amp;"",""))</f>
        <v/>
      </c>
      <c r="T3482" s="6" t="str">
        <f>IF($K3482="","",IF($S3482="",0,IF(ISNUMBER(SEARCH("apport-exterieur",IFERROR(INDEX('Paramètres'!$N:$N,MATCH($D3482,'Paramètres'!$M:$M,0))&amp;"",""))),0,IF(OR(IFERROR(INDEX('Paramètres'!$I:$I,MATCH($C3482,'Paramètres'!$D:$D,0))&amp;"","")="Les deux",IFERROR(INDEX('Paramètres'!$I:$I,MATCH($C3482,'Paramètres'!$D:$D,0))&amp;"","")=IF($P3482=1,"Débit",$L3482)),-IF($P3482=1,-$K3482,$K3482),0))))</f>
        <v/>
      </c>
      <c r="U3482" s="6" t="str">
        <f>IF($K3482="","",IF(ISNUMBER(SEARCH("sortie-epargne",IFERROR(INDEX('Paramètres'!$N:$N,MATCH($D3482,'Paramètres'!$M:$M,0))&amp;"",""))),$K3482,0))</f>
        <v/>
      </c>
      <c r="V3482" s="6" t="str">
        <f>IF(AND($A3482&lt;&gt;"",$O3482=1,$L3482="Débit",N($Q3482)&gt;0,$A3482&gt;=Visualisation!$B$1,$A3482&lt;Visualisation!$D$1),MAX($V$1:V3481)+1,"")</f>
        <v/>
      </c>
    </row>
    <row r="3483" spans="1:22" x14ac:dyDescent="0.25">
      <c r="A3483" s="9"/>
      <c r="E3483" s="10"/>
      <c r="K3483" s="11" t="str">
        <f>IF($E3483="","",ROUND($E3483*IF(ISNA(MATCH($C3483,'Paramètres'!$D:$D,0)),1,IF(INDEX('Paramètres'!$J:$J,MATCH($C3483,'Paramètres'!$D:$D,0))="",1,INDEX('Paramètres'!$J:$J,MATCH($C3483,'Paramètres'!$D:$D,0)))),2))</f>
        <v/>
      </c>
      <c r="L3483" s="6" t="str">
        <f>IF($D3483="","",IF($F3483&lt;&gt;"",$F3483,IF(ISNA(MATCH($D3483,'Paramètres'!$M:$M,0)),"⚠ Type inconnu",IFERROR(INDEX('Paramètres'!$P:$P,MATCH($D3483,'Paramètres'!$M:$M,0))&amp;"",""))))</f>
        <v/>
      </c>
      <c r="M3483" s="6" t="str">
        <f>IF($D3483="","",IF(ISNA(MATCH($D3483,'Paramètres'!$M:$M,0)),"⚠ Type inconnu",IF($L3483="Crédit","",IFERROR(INDEX('Paramètres'!$O:$O,MATCH($D3483,'Paramètres'!$M:$M,0))&amp;"",""))))</f>
        <v/>
      </c>
      <c r="N3483" s="6" t="str">
        <f>IF($D3483="","",IFERROR(INDEX('Paramètres'!$Q:$Q,MATCH($D3483,'Paramètres'!$M:$M,0))&amp;"",""))</f>
        <v/>
      </c>
      <c r="O3483" s="6" t="str">
        <f>IF($A3483="","",IF(OR($J3483&lt;&gt;"x",$A3483&lt;=FinReleve),1,0))</f>
        <v/>
      </c>
      <c r="P3483" s="6" t="str">
        <f>IF($D3483="","",IF(AND($L3483="Crédit",OR(IFERROR(INDEX('Paramètres'!$O:$O,MATCH($D3483,'Paramètres'!$M:$M,0))&amp;"","")&lt;&gt;"",ISNUMBER(SEARCH("remboursement",IFERROR(INDEX('Paramètres'!$N:$N,MATCH($D3483,'Paramètres'!$M:$M,0))&amp;"",""))))),1,0))</f>
        <v/>
      </c>
      <c r="Q3483" s="6" t="str">
        <f>IF($K3483="","",IF(ISNUMBER(SEARCH("transfert-interne",IFERROR(INDEX('Paramètres'!$N:$N,MATCH($D3483,'Paramètres'!$M:$M,0))&amp;"",""))),0,IF($L3483="Débit",$K3483,IF($P3483=1,-$K3483,0))))</f>
        <v/>
      </c>
      <c r="R3483" s="6" t="str">
        <f>IF($K3483="","",IF($L3483="Crédit",$K3483,-$K3483))</f>
        <v/>
      </c>
      <c r="S3483" s="6" t="str">
        <f>IF($C3483="","",IFERROR(INDEX('Paramètres'!$H:$H,MATCH($C3483,'Paramètres'!$D:$D,0))&amp;"",""))</f>
        <v/>
      </c>
      <c r="T3483" s="6" t="str">
        <f>IF($K3483="","",IF($S3483="",0,IF(ISNUMBER(SEARCH("apport-exterieur",IFERROR(INDEX('Paramètres'!$N:$N,MATCH($D3483,'Paramètres'!$M:$M,0))&amp;"",""))),0,IF(OR(IFERROR(INDEX('Paramètres'!$I:$I,MATCH($C3483,'Paramètres'!$D:$D,0))&amp;"","")="Les deux",IFERROR(INDEX('Paramètres'!$I:$I,MATCH($C3483,'Paramètres'!$D:$D,0))&amp;"","")=IF($P3483=1,"Débit",$L3483)),-IF($P3483=1,-$K3483,$K3483),0))))</f>
        <v/>
      </c>
      <c r="U3483" s="6" t="str">
        <f>IF($K3483="","",IF(ISNUMBER(SEARCH("sortie-epargne",IFERROR(INDEX('Paramètres'!$N:$N,MATCH($D3483,'Paramètres'!$M:$M,0))&amp;"",""))),$K3483,0))</f>
        <v/>
      </c>
      <c r="V3483" s="6" t="str">
        <f>IF(AND($A3483&lt;&gt;"",$O3483=1,$L3483="Débit",N($Q3483)&gt;0,$A3483&gt;=Visualisation!$B$1,$A3483&lt;Visualisation!$D$1),MAX($V$1:V3482)+1,"")</f>
        <v/>
      </c>
    </row>
    <row r="3484" spans="1:22" x14ac:dyDescent="0.25">
      <c r="A3484" s="9"/>
      <c r="E3484" s="10"/>
      <c r="K3484" s="11" t="str">
        <f>IF($E3484="","",ROUND($E3484*IF(ISNA(MATCH($C3484,'Paramètres'!$D:$D,0)),1,IF(INDEX('Paramètres'!$J:$J,MATCH($C3484,'Paramètres'!$D:$D,0))="",1,INDEX('Paramètres'!$J:$J,MATCH($C3484,'Paramètres'!$D:$D,0)))),2))</f>
        <v/>
      </c>
      <c r="L3484" s="6" t="str">
        <f>IF($D3484="","",IF($F3484&lt;&gt;"",$F3484,IF(ISNA(MATCH($D3484,'Paramètres'!$M:$M,0)),"⚠ Type inconnu",IFERROR(INDEX('Paramètres'!$P:$P,MATCH($D3484,'Paramètres'!$M:$M,0))&amp;"",""))))</f>
        <v/>
      </c>
      <c r="M3484" s="6" t="str">
        <f>IF($D3484="","",IF(ISNA(MATCH($D3484,'Paramètres'!$M:$M,0)),"⚠ Type inconnu",IF($L3484="Crédit","",IFERROR(INDEX('Paramètres'!$O:$O,MATCH($D3484,'Paramètres'!$M:$M,0))&amp;"",""))))</f>
        <v/>
      </c>
      <c r="N3484" s="6" t="str">
        <f>IF($D3484="","",IFERROR(INDEX('Paramètres'!$Q:$Q,MATCH($D3484,'Paramètres'!$M:$M,0))&amp;"",""))</f>
        <v/>
      </c>
      <c r="O3484" s="6" t="str">
        <f>IF($A3484="","",IF(OR($J3484&lt;&gt;"x",$A3484&lt;=FinReleve),1,0))</f>
        <v/>
      </c>
      <c r="P3484" s="6" t="str">
        <f>IF($D3484="","",IF(AND($L3484="Crédit",OR(IFERROR(INDEX('Paramètres'!$O:$O,MATCH($D3484,'Paramètres'!$M:$M,0))&amp;"","")&lt;&gt;"",ISNUMBER(SEARCH("remboursement",IFERROR(INDEX('Paramètres'!$N:$N,MATCH($D3484,'Paramètres'!$M:$M,0))&amp;"",""))))),1,0))</f>
        <v/>
      </c>
      <c r="Q3484" s="6" t="str">
        <f>IF($K3484="","",IF(ISNUMBER(SEARCH("transfert-interne",IFERROR(INDEX('Paramètres'!$N:$N,MATCH($D3484,'Paramètres'!$M:$M,0))&amp;"",""))),0,IF($L3484="Débit",$K3484,IF($P3484=1,-$K3484,0))))</f>
        <v/>
      </c>
      <c r="R3484" s="6" t="str">
        <f>IF($K3484="","",IF($L3484="Crédit",$K3484,-$K3484))</f>
        <v/>
      </c>
      <c r="S3484" s="6" t="str">
        <f>IF($C3484="","",IFERROR(INDEX('Paramètres'!$H:$H,MATCH($C3484,'Paramètres'!$D:$D,0))&amp;"",""))</f>
        <v/>
      </c>
      <c r="T3484" s="6" t="str">
        <f>IF($K3484="","",IF($S3484="",0,IF(ISNUMBER(SEARCH("apport-exterieur",IFERROR(INDEX('Paramètres'!$N:$N,MATCH($D3484,'Paramètres'!$M:$M,0))&amp;"",""))),0,IF(OR(IFERROR(INDEX('Paramètres'!$I:$I,MATCH($C3484,'Paramètres'!$D:$D,0))&amp;"","")="Les deux",IFERROR(INDEX('Paramètres'!$I:$I,MATCH($C3484,'Paramètres'!$D:$D,0))&amp;"","")=IF($P3484=1,"Débit",$L3484)),-IF($P3484=1,-$K3484,$K3484),0))))</f>
        <v/>
      </c>
      <c r="U3484" s="6" t="str">
        <f>IF($K3484="","",IF(ISNUMBER(SEARCH("sortie-epargne",IFERROR(INDEX('Paramètres'!$N:$N,MATCH($D3484,'Paramètres'!$M:$M,0))&amp;"",""))),$K3484,0))</f>
        <v/>
      </c>
      <c r="V3484" s="6" t="str">
        <f>IF(AND($A3484&lt;&gt;"",$O3484=1,$L3484="Débit",N($Q3484)&gt;0,$A3484&gt;=Visualisation!$B$1,$A3484&lt;Visualisation!$D$1),MAX($V$1:V3483)+1,"")</f>
        <v/>
      </c>
    </row>
    <row r="3485" spans="1:22" x14ac:dyDescent="0.25">
      <c r="A3485" s="9"/>
      <c r="E3485" s="10"/>
      <c r="K3485" s="11" t="str">
        <f>IF($E3485="","",ROUND($E3485*IF(ISNA(MATCH($C3485,'Paramètres'!$D:$D,0)),1,IF(INDEX('Paramètres'!$J:$J,MATCH($C3485,'Paramètres'!$D:$D,0))="",1,INDEX('Paramètres'!$J:$J,MATCH($C3485,'Paramètres'!$D:$D,0)))),2))</f>
        <v/>
      </c>
      <c r="L3485" s="6" t="str">
        <f>IF($D3485="","",IF($F3485&lt;&gt;"",$F3485,IF(ISNA(MATCH($D3485,'Paramètres'!$M:$M,0)),"⚠ Type inconnu",IFERROR(INDEX('Paramètres'!$P:$P,MATCH($D3485,'Paramètres'!$M:$M,0))&amp;"",""))))</f>
        <v/>
      </c>
      <c r="M3485" s="6" t="str">
        <f>IF($D3485="","",IF(ISNA(MATCH($D3485,'Paramètres'!$M:$M,0)),"⚠ Type inconnu",IF($L3485="Crédit","",IFERROR(INDEX('Paramètres'!$O:$O,MATCH($D3485,'Paramètres'!$M:$M,0))&amp;"",""))))</f>
        <v/>
      </c>
      <c r="N3485" s="6" t="str">
        <f>IF($D3485="","",IFERROR(INDEX('Paramètres'!$Q:$Q,MATCH($D3485,'Paramètres'!$M:$M,0))&amp;"",""))</f>
        <v/>
      </c>
      <c r="O3485" s="6" t="str">
        <f>IF($A3485="","",IF(OR($J3485&lt;&gt;"x",$A3485&lt;=FinReleve),1,0))</f>
        <v/>
      </c>
      <c r="P3485" s="6" t="str">
        <f>IF($D3485="","",IF(AND($L3485="Crédit",OR(IFERROR(INDEX('Paramètres'!$O:$O,MATCH($D3485,'Paramètres'!$M:$M,0))&amp;"","")&lt;&gt;"",ISNUMBER(SEARCH("remboursement",IFERROR(INDEX('Paramètres'!$N:$N,MATCH($D3485,'Paramètres'!$M:$M,0))&amp;"",""))))),1,0))</f>
        <v/>
      </c>
      <c r="Q3485" s="6" t="str">
        <f>IF($K3485="","",IF(ISNUMBER(SEARCH("transfert-interne",IFERROR(INDEX('Paramètres'!$N:$N,MATCH($D3485,'Paramètres'!$M:$M,0))&amp;"",""))),0,IF($L3485="Débit",$K3485,IF($P3485=1,-$K3485,0))))</f>
        <v/>
      </c>
      <c r="R3485" s="6" t="str">
        <f>IF($K3485="","",IF($L3485="Crédit",$K3485,-$K3485))</f>
        <v/>
      </c>
      <c r="S3485" s="6" t="str">
        <f>IF($C3485="","",IFERROR(INDEX('Paramètres'!$H:$H,MATCH($C3485,'Paramètres'!$D:$D,0))&amp;"",""))</f>
        <v/>
      </c>
      <c r="T3485" s="6" t="str">
        <f>IF($K3485="","",IF($S3485="",0,IF(ISNUMBER(SEARCH("apport-exterieur",IFERROR(INDEX('Paramètres'!$N:$N,MATCH($D3485,'Paramètres'!$M:$M,0))&amp;"",""))),0,IF(OR(IFERROR(INDEX('Paramètres'!$I:$I,MATCH($C3485,'Paramètres'!$D:$D,0))&amp;"","")="Les deux",IFERROR(INDEX('Paramètres'!$I:$I,MATCH($C3485,'Paramètres'!$D:$D,0))&amp;"","")=IF($P3485=1,"Débit",$L3485)),-IF($P3485=1,-$K3485,$K3485),0))))</f>
        <v/>
      </c>
      <c r="U3485" s="6" t="str">
        <f>IF($K3485="","",IF(ISNUMBER(SEARCH("sortie-epargne",IFERROR(INDEX('Paramètres'!$N:$N,MATCH($D3485,'Paramètres'!$M:$M,0))&amp;"",""))),$K3485,0))</f>
        <v/>
      </c>
      <c r="V3485" s="6" t="str">
        <f>IF(AND($A3485&lt;&gt;"",$O3485=1,$L3485="Débit",N($Q3485)&gt;0,$A3485&gt;=Visualisation!$B$1,$A3485&lt;Visualisation!$D$1),MAX($V$1:V3484)+1,"")</f>
        <v/>
      </c>
    </row>
    <row r="3486" spans="1:22" x14ac:dyDescent="0.25">
      <c r="A3486" s="9"/>
      <c r="E3486" s="10"/>
      <c r="K3486" s="11" t="str">
        <f>IF($E3486="","",ROUND($E3486*IF(ISNA(MATCH($C3486,'Paramètres'!$D:$D,0)),1,IF(INDEX('Paramètres'!$J:$J,MATCH($C3486,'Paramètres'!$D:$D,0))="",1,INDEX('Paramètres'!$J:$J,MATCH($C3486,'Paramètres'!$D:$D,0)))),2))</f>
        <v/>
      </c>
      <c r="L3486" s="6" t="str">
        <f>IF($D3486="","",IF($F3486&lt;&gt;"",$F3486,IF(ISNA(MATCH($D3486,'Paramètres'!$M:$M,0)),"⚠ Type inconnu",IFERROR(INDEX('Paramètres'!$P:$P,MATCH($D3486,'Paramètres'!$M:$M,0))&amp;"",""))))</f>
        <v/>
      </c>
      <c r="M3486" s="6" t="str">
        <f>IF($D3486="","",IF(ISNA(MATCH($D3486,'Paramètres'!$M:$M,0)),"⚠ Type inconnu",IF($L3486="Crédit","",IFERROR(INDEX('Paramètres'!$O:$O,MATCH($D3486,'Paramètres'!$M:$M,0))&amp;"",""))))</f>
        <v/>
      </c>
      <c r="N3486" s="6" t="str">
        <f>IF($D3486="","",IFERROR(INDEX('Paramètres'!$Q:$Q,MATCH($D3486,'Paramètres'!$M:$M,0))&amp;"",""))</f>
        <v/>
      </c>
      <c r="O3486" s="6" t="str">
        <f>IF($A3486="","",IF(OR($J3486&lt;&gt;"x",$A3486&lt;=FinReleve),1,0))</f>
        <v/>
      </c>
      <c r="P3486" s="6" t="str">
        <f>IF($D3486="","",IF(AND($L3486="Crédit",OR(IFERROR(INDEX('Paramètres'!$O:$O,MATCH($D3486,'Paramètres'!$M:$M,0))&amp;"","")&lt;&gt;"",ISNUMBER(SEARCH("remboursement",IFERROR(INDEX('Paramètres'!$N:$N,MATCH($D3486,'Paramètres'!$M:$M,0))&amp;"",""))))),1,0))</f>
        <v/>
      </c>
      <c r="Q3486" s="6" t="str">
        <f>IF($K3486="","",IF(ISNUMBER(SEARCH("transfert-interne",IFERROR(INDEX('Paramètres'!$N:$N,MATCH($D3486,'Paramètres'!$M:$M,0))&amp;"",""))),0,IF($L3486="Débit",$K3486,IF($P3486=1,-$K3486,0))))</f>
        <v/>
      </c>
      <c r="R3486" s="6" t="str">
        <f>IF($K3486="","",IF($L3486="Crédit",$K3486,-$K3486))</f>
        <v/>
      </c>
      <c r="S3486" s="6" t="str">
        <f>IF($C3486="","",IFERROR(INDEX('Paramètres'!$H:$H,MATCH($C3486,'Paramètres'!$D:$D,0))&amp;"",""))</f>
        <v/>
      </c>
      <c r="T3486" s="6" t="str">
        <f>IF($K3486="","",IF($S3486="",0,IF(ISNUMBER(SEARCH("apport-exterieur",IFERROR(INDEX('Paramètres'!$N:$N,MATCH($D3486,'Paramètres'!$M:$M,0))&amp;"",""))),0,IF(OR(IFERROR(INDEX('Paramètres'!$I:$I,MATCH($C3486,'Paramètres'!$D:$D,0))&amp;"","")="Les deux",IFERROR(INDEX('Paramètres'!$I:$I,MATCH($C3486,'Paramètres'!$D:$D,0))&amp;"","")=IF($P3486=1,"Débit",$L3486)),-IF($P3486=1,-$K3486,$K3486),0))))</f>
        <v/>
      </c>
      <c r="U3486" s="6" t="str">
        <f>IF($K3486="","",IF(ISNUMBER(SEARCH("sortie-epargne",IFERROR(INDEX('Paramètres'!$N:$N,MATCH($D3486,'Paramètres'!$M:$M,0))&amp;"",""))),$K3486,0))</f>
        <v/>
      </c>
      <c r="V3486" s="6" t="str">
        <f>IF(AND($A3486&lt;&gt;"",$O3486=1,$L3486="Débit",N($Q3486)&gt;0,$A3486&gt;=Visualisation!$B$1,$A3486&lt;Visualisation!$D$1),MAX($V$1:V3485)+1,"")</f>
        <v/>
      </c>
    </row>
    <row r="3487" spans="1:22" x14ac:dyDescent="0.25">
      <c r="A3487" s="9"/>
      <c r="E3487" s="10"/>
      <c r="K3487" s="11" t="str">
        <f>IF($E3487="","",ROUND($E3487*IF(ISNA(MATCH($C3487,'Paramètres'!$D:$D,0)),1,IF(INDEX('Paramètres'!$J:$J,MATCH($C3487,'Paramètres'!$D:$D,0))="",1,INDEX('Paramètres'!$J:$J,MATCH($C3487,'Paramètres'!$D:$D,0)))),2))</f>
        <v/>
      </c>
      <c r="L3487" s="6" t="str">
        <f>IF($D3487="","",IF($F3487&lt;&gt;"",$F3487,IF(ISNA(MATCH($D3487,'Paramètres'!$M:$M,0)),"⚠ Type inconnu",IFERROR(INDEX('Paramètres'!$P:$P,MATCH($D3487,'Paramètres'!$M:$M,0))&amp;"",""))))</f>
        <v/>
      </c>
      <c r="M3487" s="6" t="str">
        <f>IF($D3487="","",IF(ISNA(MATCH($D3487,'Paramètres'!$M:$M,0)),"⚠ Type inconnu",IF($L3487="Crédit","",IFERROR(INDEX('Paramètres'!$O:$O,MATCH($D3487,'Paramètres'!$M:$M,0))&amp;"",""))))</f>
        <v/>
      </c>
      <c r="N3487" s="6" t="str">
        <f>IF($D3487="","",IFERROR(INDEX('Paramètres'!$Q:$Q,MATCH($D3487,'Paramètres'!$M:$M,0))&amp;"",""))</f>
        <v/>
      </c>
      <c r="O3487" s="6" t="str">
        <f>IF($A3487="","",IF(OR($J3487&lt;&gt;"x",$A3487&lt;=FinReleve),1,0))</f>
        <v/>
      </c>
      <c r="P3487" s="6" t="str">
        <f>IF($D3487="","",IF(AND($L3487="Crédit",OR(IFERROR(INDEX('Paramètres'!$O:$O,MATCH($D3487,'Paramètres'!$M:$M,0))&amp;"","")&lt;&gt;"",ISNUMBER(SEARCH("remboursement",IFERROR(INDEX('Paramètres'!$N:$N,MATCH($D3487,'Paramètres'!$M:$M,0))&amp;"",""))))),1,0))</f>
        <v/>
      </c>
      <c r="Q3487" s="6" t="str">
        <f>IF($K3487="","",IF(ISNUMBER(SEARCH("transfert-interne",IFERROR(INDEX('Paramètres'!$N:$N,MATCH($D3487,'Paramètres'!$M:$M,0))&amp;"",""))),0,IF($L3487="Débit",$K3487,IF($P3487=1,-$K3487,0))))</f>
        <v/>
      </c>
      <c r="R3487" s="6" t="str">
        <f>IF($K3487="","",IF($L3487="Crédit",$K3487,-$K3487))</f>
        <v/>
      </c>
      <c r="S3487" s="6" t="str">
        <f>IF($C3487="","",IFERROR(INDEX('Paramètres'!$H:$H,MATCH($C3487,'Paramètres'!$D:$D,0))&amp;"",""))</f>
        <v/>
      </c>
      <c r="T3487" s="6" t="str">
        <f>IF($K3487="","",IF($S3487="",0,IF(ISNUMBER(SEARCH("apport-exterieur",IFERROR(INDEX('Paramètres'!$N:$N,MATCH($D3487,'Paramètres'!$M:$M,0))&amp;"",""))),0,IF(OR(IFERROR(INDEX('Paramètres'!$I:$I,MATCH($C3487,'Paramètres'!$D:$D,0))&amp;"","")="Les deux",IFERROR(INDEX('Paramètres'!$I:$I,MATCH($C3487,'Paramètres'!$D:$D,0))&amp;"","")=IF($P3487=1,"Débit",$L3487)),-IF($P3487=1,-$K3487,$K3487),0))))</f>
        <v/>
      </c>
      <c r="U3487" s="6" t="str">
        <f>IF($K3487="","",IF(ISNUMBER(SEARCH("sortie-epargne",IFERROR(INDEX('Paramètres'!$N:$N,MATCH($D3487,'Paramètres'!$M:$M,0))&amp;"",""))),$K3487,0))</f>
        <v/>
      </c>
      <c r="V3487" s="6" t="str">
        <f>IF(AND($A3487&lt;&gt;"",$O3487=1,$L3487="Débit",N($Q3487)&gt;0,$A3487&gt;=Visualisation!$B$1,$A3487&lt;Visualisation!$D$1),MAX($V$1:V3486)+1,"")</f>
        <v/>
      </c>
    </row>
    <row r="3488" spans="1:22" x14ac:dyDescent="0.25">
      <c r="A3488" s="9"/>
      <c r="E3488" s="10"/>
      <c r="K3488" s="11" t="str">
        <f>IF($E3488="","",ROUND($E3488*IF(ISNA(MATCH($C3488,'Paramètres'!$D:$D,0)),1,IF(INDEX('Paramètres'!$J:$J,MATCH($C3488,'Paramètres'!$D:$D,0))="",1,INDEX('Paramètres'!$J:$J,MATCH($C3488,'Paramètres'!$D:$D,0)))),2))</f>
        <v/>
      </c>
      <c r="L3488" s="6" t="str">
        <f>IF($D3488="","",IF($F3488&lt;&gt;"",$F3488,IF(ISNA(MATCH($D3488,'Paramètres'!$M:$M,0)),"⚠ Type inconnu",IFERROR(INDEX('Paramètres'!$P:$P,MATCH($D3488,'Paramètres'!$M:$M,0))&amp;"",""))))</f>
        <v/>
      </c>
      <c r="M3488" s="6" t="str">
        <f>IF($D3488="","",IF(ISNA(MATCH($D3488,'Paramètres'!$M:$M,0)),"⚠ Type inconnu",IF($L3488="Crédit","",IFERROR(INDEX('Paramètres'!$O:$O,MATCH($D3488,'Paramètres'!$M:$M,0))&amp;"",""))))</f>
        <v/>
      </c>
      <c r="N3488" s="6" t="str">
        <f>IF($D3488="","",IFERROR(INDEX('Paramètres'!$Q:$Q,MATCH($D3488,'Paramètres'!$M:$M,0))&amp;"",""))</f>
        <v/>
      </c>
      <c r="O3488" s="6" t="str">
        <f>IF($A3488="","",IF(OR($J3488&lt;&gt;"x",$A3488&lt;=FinReleve),1,0))</f>
        <v/>
      </c>
      <c r="P3488" s="6" t="str">
        <f>IF($D3488="","",IF(AND($L3488="Crédit",OR(IFERROR(INDEX('Paramètres'!$O:$O,MATCH($D3488,'Paramètres'!$M:$M,0))&amp;"","")&lt;&gt;"",ISNUMBER(SEARCH("remboursement",IFERROR(INDEX('Paramètres'!$N:$N,MATCH($D3488,'Paramètres'!$M:$M,0))&amp;"",""))))),1,0))</f>
        <v/>
      </c>
      <c r="Q3488" s="6" t="str">
        <f>IF($K3488="","",IF(ISNUMBER(SEARCH("transfert-interne",IFERROR(INDEX('Paramètres'!$N:$N,MATCH($D3488,'Paramètres'!$M:$M,0))&amp;"",""))),0,IF($L3488="Débit",$K3488,IF($P3488=1,-$K3488,0))))</f>
        <v/>
      </c>
      <c r="R3488" s="6" t="str">
        <f>IF($K3488="","",IF($L3488="Crédit",$K3488,-$K3488))</f>
        <v/>
      </c>
      <c r="S3488" s="6" t="str">
        <f>IF($C3488="","",IFERROR(INDEX('Paramètres'!$H:$H,MATCH($C3488,'Paramètres'!$D:$D,0))&amp;"",""))</f>
        <v/>
      </c>
      <c r="T3488" s="6" t="str">
        <f>IF($K3488="","",IF($S3488="",0,IF(ISNUMBER(SEARCH("apport-exterieur",IFERROR(INDEX('Paramètres'!$N:$N,MATCH($D3488,'Paramètres'!$M:$M,0))&amp;"",""))),0,IF(OR(IFERROR(INDEX('Paramètres'!$I:$I,MATCH($C3488,'Paramètres'!$D:$D,0))&amp;"","")="Les deux",IFERROR(INDEX('Paramètres'!$I:$I,MATCH($C3488,'Paramètres'!$D:$D,0))&amp;"","")=IF($P3488=1,"Débit",$L3488)),-IF($P3488=1,-$K3488,$K3488),0))))</f>
        <v/>
      </c>
      <c r="U3488" s="6" t="str">
        <f>IF($K3488="","",IF(ISNUMBER(SEARCH("sortie-epargne",IFERROR(INDEX('Paramètres'!$N:$N,MATCH($D3488,'Paramètres'!$M:$M,0))&amp;"",""))),$K3488,0))</f>
        <v/>
      </c>
      <c r="V3488" s="6" t="str">
        <f>IF(AND($A3488&lt;&gt;"",$O3488=1,$L3488="Débit",N($Q3488)&gt;0,$A3488&gt;=Visualisation!$B$1,$A3488&lt;Visualisation!$D$1),MAX($V$1:V3487)+1,"")</f>
        <v/>
      </c>
    </row>
    <row r="3489" spans="1:22" x14ac:dyDescent="0.25">
      <c r="A3489" s="9"/>
      <c r="E3489" s="10"/>
      <c r="K3489" s="11" t="str">
        <f>IF($E3489="","",ROUND($E3489*IF(ISNA(MATCH($C3489,'Paramètres'!$D:$D,0)),1,IF(INDEX('Paramètres'!$J:$J,MATCH($C3489,'Paramètres'!$D:$D,0))="",1,INDEX('Paramètres'!$J:$J,MATCH($C3489,'Paramètres'!$D:$D,0)))),2))</f>
        <v/>
      </c>
      <c r="L3489" s="6" t="str">
        <f>IF($D3489="","",IF($F3489&lt;&gt;"",$F3489,IF(ISNA(MATCH($D3489,'Paramètres'!$M:$M,0)),"⚠ Type inconnu",IFERROR(INDEX('Paramètres'!$P:$P,MATCH($D3489,'Paramètres'!$M:$M,0))&amp;"",""))))</f>
        <v/>
      </c>
      <c r="M3489" s="6" t="str">
        <f>IF($D3489="","",IF(ISNA(MATCH($D3489,'Paramètres'!$M:$M,0)),"⚠ Type inconnu",IF($L3489="Crédit","",IFERROR(INDEX('Paramètres'!$O:$O,MATCH($D3489,'Paramètres'!$M:$M,0))&amp;"",""))))</f>
        <v/>
      </c>
      <c r="N3489" s="6" t="str">
        <f>IF($D3489="","",IFERROR(INDEX('Paramètres'!$Q:$Q,MATCH($D3489,'Paramètres'!$M:$M,0))&amp;"",""))</f>
        <v/>
      </c>
      <c r="O3489" s="6" t="str">
        <f>IF($A3489="","",IF(OR($J3489&lt;&gt;"x",$A3489&lt;=FinReleve),1,0))</f>
        <v/>
      </c>
      <c r="P3489" s="6" t="str">
        <f>IF($D3489="","",IF(AND($L3489="Crédit",OR(IFERROR(INDEX('Paramètres'!$O:$O,MATCH($D3489,'Paramètres'!$M:$M,0))&amp;"","")&lt;&gt;"",ISNUMBER(SEARCH("remboursement",IFERROR(INDEX('Paramètres'!$N:$N,MATCH($D3489,'Paramètres'!$M:$M,0))&amp;"",""))))),1,0))</f>
        <v/>
      </c>
      <c r="Q3489" s="6" t="str">
        <f>IF($K3489="","",IF(ISNUMBER(SEARCH("transfert-interne",IFERROR(INDEX('Paramètres'!$N:$N,MATCH($D3489,'Paramètres'!$M:$M,0))&amp;"",""))),0,IF($L3489="Débit",$K3489,IF($P3489=1,-$K3489,0))))</f>
        <v/>
      </c>
      <c r="R3489" s="6" t="str">
        <f>IF($K3489="","",IF($L3489="Crédit",$K3489,-$K3489))</f>
        <v/>
      </c>
      <c r="S3489" s="6" t="str">
        <f>IF($C3489="","",IFERROR(INDEX('Paramètres'!$H:$H,MATCH($C3489,'Paramètres'!$D:$D,0))&amp;"",""))</f>
        <v/>
      </c>
      <c r="T3489" s="6" t="str">
        <f>IF($K3489="","",IF($S3489="",0,IF(ISNUMBER(SEARCH("apport-exterieur",IFERROR(INDEX('Paramètres'!$N:$N,MATCH($D3489,'Paramètres'!$M:$M,0))&amp;"",""))),0,IF(OR(IFERROR(INDEX('Paramètres'!$I:$I,MATCH($C3489,'Paramètres'!$D:$D,0))&amp;"","")="Les deux",IFERROR(INDEX('Paramètres'!$I:$I,MATCH($C3489,'Paramètres'!$D:$D,0))&amp;"","")=IF($P3489=1,"Débit",$L3489)),-IF($P3489=1,-$K3489,$K3489),0))))</f>
        <v/>
      </c>
      <c r="U3489" s="6" t="str">
        <f>IF($K3489="","",IF(ISNUMBER(SEARCH("sortie-epargne",IFERROR(INDEX('Paramètres'!$N:$N,MATCH($D3489,'Paramètres'!$M:$M,0))&amp;"",""))),$K3489,0))</f>
        <v/>
      </c>
      <c r="V3489" s="6" t="str">
        <f>IF(AND($A3489&lt;&gt;"",$O3489=1,$L3489="Débit",N($Q3489)&gt;0,$A3489&gt;=Visualisation!$B$1,$A3489&lt;Visualisation!$D$1),MAX($V$1:V3488)+1,"")</f>
        <v/>
      </c>
    </row>
    <row r="3490" spans="1:22" x14ac:dyDescent="0.25">
      <c r="A3490" s="9"/>
      <c r="E3490" s="10"/>
      <c r="K3490" s="11" t="str">
        <f>IF($E3490="","",ROUND($E3490*IF(ISNA(MATCH($C3490,'Paramètres'!$D:$D,0)),1,IF(INDEX('Paramètres'!$J:$J,MATCH($C3490,'Paramètres'!$D:$D,0))="",1,INDEX('Paramètres'!$J:$J,MATCH($C3490,'Paramètres'!$D:$D,0)))),2))</f>
        <v/>
      </c>
      <c r="L3490" s="6" t="str">
        <f>IF($D3490="","",IF($F3490&lt;&gt;"",$F3490,IF(ISNA(MATCH($D3490,'Paramètres'!$M:$M,0)),"⚠ Type inconnu",IFERROR(INDEX('Paramètres'!$P:$P,MATCH($D3490,'Paramètres'!$M:$M,0))&amp;"",""))))</f>
        <v/>
      </c>
      <c r="M3490" s="6" t="str">
        <f>IF($D3490="","",IF(ISNA(MATCH($D3490,'Paramètres'!$M:$M,0)),"⚠ Type inconnu",IF($L3490="Crédit","",IFERROR(INDEX('Paramètres'!$O:$O,MATCH($D3490,'Paramètres'!$M:$M,0))&amp;"",""))))</f>
        <v/>
      </c>
      <c r="N3490" s="6" t="str">
        <f>IF($D3490="","",IFERROR(INDEX('Paramètres'!$Q:$Q,MATCH($D3490,'Paramètres'!$M:$M,0))&amp;"",""))</f>
        <v/>
      </c>
      <c r="O3490" s="6" t="str">
        <f>IF($A3490="","",IF(OR($J3490&lt;&gt;"x",$A3490&lt;=FinReleve),1,0))</f>
        <v/>
      </c>
      <c r="P3490" s="6" t="str">
        <f>IF($D3490="","",IF(AND($L3490="Crédit",OR(IFERROR(INDEX('Paramètres'!$O:$O,MATCH($D3490,'Paramètres'!$M:$M,0))&amp;"","")&lt;&gt;"",ISNUMBER(SEARCH("remboursement",IFERROR(INDEX('Paramètres'!$N:$N,MATCH($D3490,'Paramètres'!$M:$M,0))&amp;"",""))))),1,0))</f>
        <v/>
      </c>
      <c r="Q3490" s="6" t="str">
        <f>IF($K3490="","",IF(ISNUMBER(SEARCH("transfert-interne",IFERROR(INDEX('Paramètres'!$N:$N,MATCH($D3490,'Paramètres'!$M:$M,0))&amp;"",""))),0,IF($L3490="Débit",$K3490,IF($P3490=1,-$K3490,0))))</f>
        <v/>
      </c>
      <c r="R3490" s="6" t="str">
        <f>IF($K3490="","",IF($L3490="Crédit",$K3490,-$K3490))</f>
        <v/>
      </c>
      <c r="S3490" s="6" t="str">
        <f>IF($C3490="","",IFERROR(INDEX('Paramètres'!$H:$H,MATCH($C3490,'Paramètres'!$D:$D,0))&amp;"",""))</f>
        <v/>
      </c>
      <c r="T3490" s="6" t="str">
        <f>IF($K3490="","",IF($S3490="",0,IF(ISNUMBER(SEARCH("apport-exterieur",IFERROR(INDEX('Paramètres'!$N:$N,MATCH($D3490,'Paramètres'!$M:$M,0))&amp;"",""))),0,IF(OR(IFERROR(INDEX('Paramètres'!$I:$I,MATCH($C3490,'Paramètres'!$D:$D,0))&amp;"","")="Les deux",IFERROR(INDEX('Paramètres'!$I:$I,MATCH($C3490,'Paramètres'!$D:$D,0))&amp;"","")=IF($P3490=1,"Débit",$L3490)),-IF($P3490=1,-$K3490,$K3490),0))))</f>
        <v/>
      </c>
      <c r="U3490" s="6" t="str">
        <f>IF($K3490="","",IF(ISNUMBER(SEARCH("sortie-epargne",IFERROR(INDEX('Paramètres'!$N:$N,MATCH($D3490,'Paramètres'!$M:$M,0))&amp;"",""))),$K3490,0))</f>
        <v/>
      </c>
      <c r="V3490" s="6" t="str">
        <f>IF(AND($A3490&lt;&gt;"",$O3490=1,$L3490="Débit",N($Q3490)&gt;0,$A3490&gt;=Visualisation!$B$1,$A3490&lt;Visualisation!$D$1),MAX($V$1:V3489)+1,"")</f>
        <v/>
      </c>
    </row>
    <row r="3491" spans="1:22" x14ac:dyDescent="0.25">
      <c r="A3491" s="9"/>
      <c r="E3491" s="10"/>
      <c r="K3491" s="11" t="str">
        <f>IF($E3491="","",ROUND($E3491*IF(ISNA(MATCH($C3491,'Paramètres'!$D:$D,0)),1,IF(INDEX('Paramètres'!$J:$J,MATCH($C3491,'Paramètres'!$D:$D,0))="",1,INDEX('Paramètres'!$J:$J,MATCH($C3491,'Paramètres'!$D:$D,0)))),2))</f>
        <v/>
      </c>
      <c r="L3491" s="6" t="str">
        <f>IF($D3491="","",IF($F3491&lt;&gt;"",$F3491,IF(ISNA(MATCH($D3491,'Paramètres'!$M:$M,0)),"⚠ Type inconnu",IFERROR(INDEX('Paramètres'!$P:$P,MATCH($D3491,'Paramètres'!$M:$M,0))&amp;"",""))))</f>
        <v/>
      </c>
      <c r="M3491" s="6" t="str">
        <f>IF($D3491="","",IF(ISNA(MATCH($D3491,'Paramètres'!$M:$M,0)),"⚠ Type inconnu",IF($L3491="Crédit","",IFERROR(INDEX('Paramètres'!$O:$O,MATCH($D3491,'Paramètres'!$M:$M,0))&amp;"",""))))</f>
        <v/>
      </c>
      <c r="N3491" s="6" t="str">
        <f>IF($D3491="","",IFERROR(INDEX('Paramètres'!$Q:$Q,MATCH($D3491,'Paramètres'!$M:$M,0))&amp;"",""))</f>
        <v/>
      </c>
      <c r="O3491" s="6" t="str">
        <f>IF($A3491="","",IF(OR($J3491&lt;&gt;"x",$A3491&lt;=FinReleve),1,0))</f>
        <v/>
      </c>
      <c r="P3491" s="6" t="str">
        <f>IF($D3491="","",IF(AND($L3491="Crédit",OR(IFERROR(INDEX('Paramètres'!$O:$O,MATCH($D3491,'Paramètres'!$M:$M,0))&amp;"","")&lt;&gt;"",ISNUMBER(SEARCH("remboursement",IFERROR(INDEX('Paramètres'!$N:$N,MATCH($D3491,'Paramètres'!$M:$M,0))&amp;"",""))))),1,0))</f>
        <v/>
      </c>
      <c r="Q3491" s="6" t="str">
        <f>IF($K3491="","",IF(ISNUMBER(SEARCH("transfert-interne",IFERROR(INDEX('Paramètres'!$N:$N,MATCH($D3491,'Paramètres'!$M:$M,0))&amp;"",""))),0,IF($L3491="Débit",$K3491,IF($P3491=1,-$K3491,0))))</f>
        <v/>
      </c>
      <c r="R3491" s="6" t="str">
        <f>IF($K3491="","",IF($L3491="Crédit",$K3491,-$K3491))</f>
        <v/>
      </c>
      <c r="S3491" s="6" t="str">
        <f>IF($C3491="","",IFERROR(INDEX('Paramètres'!$H:$H,MATCH($C3491,'Paramètres'!$D:$D,0))&amp;"",""))</f>
        <v/>
      </c>
      <c r="T3491" s="6" t="str">
        <f>IF($K3491="","",IF($S3491="",0,IF(ISNUMBER(SEARCH("apport-exterieur",IFERROR(INDEX('Paramètres'!$N:$N,MATCH($D3491,'Paramètres'!$M:$M,0))&amp;"",""))),0,IF(OR(IFERROR(INDEX('Paramètres'!$I:$I,MATCH($C3491,'Paramètres'!$D:$D,0))&amp;"","")="Les deux",IFERROR(INDEX('Paramètres'!$I:$I,MATCH($C3491,'Paramètres'!$D:$D,0))&amp;"","")=IF($P3491=1,"Débit",$L3491)),-IF($P3491=1,-$K3491,$K3491),0))))</f>
        <v/>
      </c>
      <c r="U3491" s="6" t="str">
        <f>IF($K3491="","",IF(ISNUMBER(SEARCH("sortie-epargne",IFERROR(INDEX('Paramètres'!$N:$N,MATCH($D3491,'Paramètres'!$M:$M,0))&amp;"",""))),$K3491,0))</f>
        <v/>
      </c>
      <c r="V3491" s="6" t="str">
        <f>IF(AND($A3491&lt;&gt;"",$O3491=1,$L3491="Débit",N($Q3491)&gt;0,$A3491&gt;=Visualisation!$B$1,$A3491&lt;Visualisation!$D$1),MAX($V$1:V3490)+1,"")</f>
        <v/>
      </c>
    </row>
    <row r="3492" spans="1:22" x14ac:dyDescent="0.25">
      <c r="A3492" s="9"/>
      <c r="E3492" s="10"/>
      <c r="K3492" s="11" t="str">
        <f>IF($E3492="","",ROUND($E3492*IF(ISNA(MATCH($C3492,'Paramètres'!$D:$D,0)),1,IF(INDEX('Paramètres'!$J:$J,MATCH($C3492,'Paramètres'!$D:$D,0))="",1,INDEX('Paramètres'!$J:$J,MATCH($C3492,'Paramètres'!$D:$D,0)))),2))</f>
        <v/>
      </c>
      <c r="L3492" s="6" t="str">
        <f>IF($D3492="","",IF($F3492&lt;&gt;"",$F3492,IF(ISNA(MATCH($D3492,'Paramètres'!$M:$M,0)),"⚠ Type inconnu",IFERROR(INDEX('Paramètres'!$P:$P,MATCH($D3492,'Paramètres'!$M:$M,0))&amp;"",""))))</f>
        <v/>
      </c>
      <c r="M3492" s="6" t="str">
        <f>IF($D3492="","",IF(ISNA(MATCH($D3492,'Paramètres'!$M:$M,0)),"⚠ Type inconnu",IF($L3492="Crédit","",IFERROR(INDEX('Paramètres'!$O:$O,MATCH($D3492,'Paramètres'!$M:$M,0))&amp;"",""))))</f>
        <v/>
      </c>
      <c r="N3492" s="6" t="str">
        <f>IF($D3492="","",IFERROR(INDEX('Paramètres'!$Q:$Q,MATCH($D3492,'Paramètres'!$M:$M,0))&amp;"",""))</f>
        <v/>
      </c>
      <c r="O3492" s="6" t="str">
        <f>IF($A3492="","",IF(OR($J3492&lt;&gt;"x",$A3492&lt;=FinReleve),1,0))</f>
        <v/>
      </c>
      <c r="P3492" s="6" t="str">
        <f>IF($D3492="","",IF(AND($L3492="Crédit",OR(IFERROR(INDEX('Paramètres'!$O:$O,MATCH($D3492,'Paramètres'!$M:$M,0))&amp;"","")&lt;&gt;"",ISNUMBER(SEARCH("remboursement",IFERROR(INDEX('Paramètres'!$N:$N,MATCH($D3492,'Paramètres'!$M:$M,0))&amp;"",""))))),1,0))</f>
        <v/>
      </c>
      <c r="Q3492" s="6" t="str">
        <f>IF($K3492="","",IF(ISNUMBER(SEARCH("transfert-interne",IFERROR(INDEX('Paramètres'!$N:$N,MATCH($D3492,'Paramètres'!$M:$M,0))&amp;"",""))),0,IF($L3492="Débit",$K3492,IF($P3492=1,-$K3492,0))))</f>
        <v/>
      </c>
      <c r="R3492" s="6" t="str">
        <f>IF($K3492="","",IF($L3492="Crédit",$K3492,-$K3492))</f>
        <v/>
      </c>
      <c r="S3492" s="6" t="str">
        <f>IF($C3492="","",IFERROR(INDEX('Paramètres'!$H:$H,MATCH($C3492,'Paramètres'!$D:$D,0))&amp;"",""))</f>
        <v/>
      </c>
      <c r="T3492" s="6" t="str">
        <f>IF($K3492="","",IF($S3492="",0,IF(ISNUMBER(SEARCH("apport-exterieur",IFERROR(INDEX('Paramètres'!$N:$N,MATCH($D3492,'Paramètres'!$M:$M,0))&amp;"",""))),0,IF(OR(IFERROR(INDEX('Paramètres'!$I:$I,MATCH($C3492,'Paramètres'!$D:$D,0))&amp;"","")="Les deux",IFERROR(INDEX('Paramètres'!$I:$I,MATCH($C3492,'Paramètres'!$D:$D,0))&amp;"","")=IF($P3492=1,"Débit",$L3492)),-IF($P3492=1,-$K3492,$K3492),0))))</f>
        <v/>
      </c>
      <c r="U3492" s="6" t="str">
        <f>IF($K3492="","",IF(ISNUMBER(SEARCH("sortie-epargne",IFERROR(INDEX('Paramètres'!$N:$N,MATCH($D3492,'Paramètres'!$M:$M,0))&amp;"",""))),$K3492,0))</f>
        <v/>
      </c>
      <c r="V3492" s="6" t="str">
        <f>IF(AND($A3492&lt;&gt;"",$O3492=1,$L3492="Débit",N($Q3492)&gt;0,$A3492&gt;=Visualisation!$B$1,$A3492&lt;Visualisation!$D$1),MAX($V$1:V3491)+1,"")</f>
        <v/>
      </c>
    </row>
    <row r="3493" spans="1:22" x14ac:dyDescent="0.25">
      <c r="A3493" s="9"/>
      <c r="E3493" s="10"/>
      <c r="K3493" s="11" t="str">
        <f>IF($E3493="","",ROUND($E3493*IF(ISNA(MATCH($C3493,'Paramètres'!$D:$D,0)),1,IF(INDEX('Paramètres'!$J:$J,MATCH($C3493,'Paramètres'!$D:$D,0))="",1,INDEX('Paramètres'!$J:$J,MATCH($C3493,'Paramètres'!$D:$D,0)))),2))</f>
        <v/>
      </c>
      <c r="L3493" s="6" t="str">
        <f>IF($D3493="","",IF($F3493&lt;&gt;"",$F3493,IF(ISNA(MATCH($D3493,'Paramètres'!$M:$M,0)),"⚠ Type inconnu",IFERROR(INDEX('Paramètres'!$P:$P,MATCH($D3493,'Paramètres'!$M:$M,0))&amp;"",""))))</f>
        <v/>
      </c>
      <c r="M3493" s="6" t="str">
        <f>IF($D3493="","",IF(ISNA(MATCH($D3493,'Paramètres'!$M:$M,0)),"⚠ Type inconnu",IF($L3493="Crédit","",IFERROR(INDEX('Paramètres'!$O:$O,MATCH($D3493,'Paramètres'!$M:$M,0))&amp;"",""))))</f>
        <v/>
      </c>
      <c r="N3493" s="6" t="str">
        <f>IF($D3493="","",IFERROR(INDEX('Paramètres'!$Q:$Q,MATCH($D3493,'Paramètres'!$M:$M,0))&amp;"",""))</f>
        <v/>
      </c>
      <c r="O3493" s="6" t="str">
        <f>IF($A3493="","",IF(OR($J3493&lt;&gt;"x",$A3493&lt;=FinReleve),1,0))</f>
        <v/>
      </c>
      <c r="P3493" s="6" t="str">
        <f>IF($D3493="","",IF(AND($L3493="Crédit",OR(IFERROR(INDEX('Paramètres'!$O:$O,MATCH($D3493,'Paramètres'!$M:$M,0))&amp;"","")&lt;&gt;"",ISNUMBER(SEARCH("remboursement",IFERROR(INDEX('Paramètres'!$N:$N,MATCH($D3493,'Paramètres'!$M:$M,0))&amp;"",""))))),1,0))</f>
        <v/>
      </c>
      <c r="Q3493" s="6" t="str">
        <f>IF($K3493="","",IF(ISNUMBER(SEARCH("transfert-interne",IFERROR(INDEX('Paramètres'!$N:$N,MATCH($D3493,'Paramètres'!$M:$M,0))&amp;"",""))),0,IF($L3493="Débit",$K3493,IF($P3493=1,-$K3493,0))))</f>
        <v/>
      </c>
      <c r="R3493" s="6" t="str">
        <f>IF($K3493="","",IF($L3493="Crédit",$K3493,-$K3493))</f>
        <v/>
      </c>
      <c r="S3493" s="6" t="str">
        <f>IF($C3493="","",IFERROR(INDEX('Paramètres'!$H:$H,MATCH($C3493,'Paramètres'!$D:$D,0))&amp;"",""))</f>
        <v/>
      </c>
      <c r="T3493" s="6" t="str">
        <f>IF($K3493="","",IF($S3493="",0,IF(ISNUMBER(SEARCH("apport-exterieur",IFERROR(INDEX('Paramètres'!$N:$N,MATCH($D3493,'Paramètres'!$M:$M,0))&amp;"",""))),0,IF(OR(IFERROR(INDEX('Paramètres'!$I:$I,MATCH($C3493,'Paramètres'!$D:$D,0))&amp;"","")="Les deux",IFERROR(INDEX('Paramètres'!$I:$I,MATCH($C3493,'Paramètres'!$D:$D,0))&amp;"","")=IF($P3493=1,"Débit",$L3493)),-IF($P3493=1,-$K3493,$K3493),0))))</f>
        <v/>
      </c>
      <c r="U3493" s="6" t="str">
        <f>IF($K3493="","",IF(ISNUMBER(SEARCH("sortie-epargne",IFERROR(INDEX('Paramètres'!$N:$N,MATCH($D3493,'Paramètres'!$M:$M,0))&amp;"",""))),$K3493,0))</f>
        <v/>
      </c>
      <c r="V3493" s="6" t="str">
        <f>IF(AND($A3493&lt;&gt;"",$O3493=1,$L3493="Débit",N($Q3493)&gt;0,$A3493&gt;=Visualisation!$B$1,$A3493&lt;Visualisation!$D$1),MAX($V$1:V3492)+1,"")</f>
        <v/>
      </c>
    </row>
    <row r="3494" spans="1:22" x14ac:dyDescent="0.25">
      <c r="A3494" s="9"/>
      <c r="E3494" s="10"/>
      <c r="K3494" s="11" t="str">
        <f>IF($E3494="","",ROUND($E3494*IF(ISNA(MATCH($C3494,'Paramètres'!$D:$D,0)),1,IF(INDEX('Paramètres'!$J:$J,MATCH($C3494,'Paramètres'!$D:$D,0))="",1,INDEX('Paramètres'!$J:$J,MATCH($C3494,'Paramètres'!$D:$D,0)))),2))</f>
        <v/>
      </c>
      <c r="L3494" s="6" t="str">
        <f>IF($D3494="","",IF($F3494&lt;&gt;"",$F3494,IF(ISNA(MATCH($D3494,'Paramètres'!$M:$M,0)),"⚠ Type inconnu",IFERROR(INDEX('Paramètres'!$P:$P,MATCH($D3494,'Paramètres'!$M:$M,0))&amp;"",""))))</f>
        <v/>
      </c>
      <c r="M3494" s="6" t="str">
        <f>IF($D3494="","",IF(ISNA(MATCH($D3494,'Paramètres'!$M:$M,0)),"⚠ Type inconnu",IF($L3494="Crédit","",IFERROR(INDEX('Paramètres'!$O:$O,MATCH($D3494,'Paramètres'!$M:$M,0))&amp;"",""))))</f>
        <v/>
      </c>
      <c r="N3494" s="6" t="str">
        <f>IF($D3494="","",IFERROR(INDEX('Paramètres'!$Q:$Q,MATCH($D3494,'Paramètres'!$M:$M,0))&amp;"",""))</f>
        <v/>
      </c>
      <c r="O3494" s="6" t="str">
        <f>IF($A3494="","",IF(OR($J3494&lt;&gt;"x",$A3494&lt;=FinReleve),1,0))</f>
        <v/>
      </c>
      <c r="P3494" s="6" t="str">
        <f>IF($D3494="","",IF(AND($L3494="Crédit",OR(IFERROR(INDEX('Paramètres'!$O:$O,MATCH($D3494,'Paramètres'!$M:$M,0))&amp;"","")&lt;&gt;"",ISNUMBER(SEARCH("remboursement",IFERROR(INDEX('Paramètres'!$N:$N,MATCH($D3494,'Paramètres'!$M:$M,0))&amp;"",""))))),1,0))</f>
        <v/>
      </c>
      <c r="Q3494" s="6" t="str">
        <f>IF($K3494="","",IF(ISNUMBER(SEARCH("transfert-interne",IFERROR(INDEX('Paramètres'!$N:$N,MATCH($D3494,'Paramètres'!$M:$M,0))&amp;"",""))),0,IF($L3494="Débit",$K3494,IF($P3494=1,-$K3494,0))))</f>
        <v/>
      </c>
      <c r="R3494" s="6" t="str">
        <f>IF($K3494="","",IF($L3494="Crédit",$K3494,-$K3494))</f>
        <v/>
      </c>
      <c r="S3494" s="6" t="str">
        <f>IF($C3494="","",IFERROR(INDEX('Paramètres'!$H:$H,MATCH($C3494,'Paramètres'!$D:$D,0))&amp;"",""))</f>
        <v/>
      </c>
      <c r="T3494" s="6" t="str">
        <f>IF($K3494="","",IF($S3494="",0,IF(ISNUMBER(SEARCH("apport-exterieur",IFERROR(INDEX('Paramètres'!$N:$N,MATCH($D3494,'Paramètres'!$M:$M,0))&amp;"",""))),0,IF(OR(IFERROR(INDEX('Paramètres'!$I:$I,MATCH($C3494,'Paramètres'!$D:$D,0))&amp;"","")="Les deux",IFERROR(INDEX('Paramètres'!$I:$I,MATCH($C3494,'Paramètres'!$D:$D,0))&amp;"","")=IF($P3494=1,"Débit",$L3494)),-IF($P3494=1,-$K3494,$K3494),0))))</f>
        <v/>
      </c>
      <c r="U3494" s="6" t="str">
        <f>IF($K3494="","",IF(ISNUMBER(SEARCH("sortie-epargne",IFERROR(INDEX('Paramètres'!$N:$N,MATCH($D3494,'Paramètres'!$M:$M,0))&amp;"",""))),$K3494,0))</f>
        <v/>
      </c>
      <c r="V3494" s="6" t="str">
        <f>IF(AND($A3494&lt;&gt;"",$O3494=1,$L3494="Débit",N($Q3494)&gt;0,$A3494&gt;=Visualisation!$B$1,$A3494&lt;Visualisation!$D$1),MAX($V$1:V3493)+1,"")</f>
        <v/>
      </c>
    </row>
    <row r="3495" spans="1:22" x14ac:dyDescent="0.25">
      <c r="A3495" s="9"/>
      <c r="E3495" s="10"/>
      <c r="K3495" s="11" t="str">
        <f>IF($E3495="","",ROUND($E3495*IF(ISNA(MATCH($C3495,'Paramètres'!$D:$D,0)),1,IF(INDEX('Paramètres'!$J:$J,MATCH($C3495,'Paramètres'!$D:$D,0))="",1,INDEX('Paramètres'!$J:$J,MATCH($C3495,'Paramètres'!$D:$D,0)))),2))</f>
        <v/>
      </c>
      <c r="L3495" s="6" t="str">
        <f>IF($D3495="","",IF($F3495&lt;&gt;"",$F3495,IF(ISNA(MATCH($D3495,'Paramètres'!$M:$M,0)),"⚠ Type inconnu",IFERROR(INDEX('Paramètres'!$P:$P,MATCH($D3495,'Paramètres'!$M:$M,0))&amp;"",""))))</f>
        <v/>
      </c>
      <c r="M3495" s="6" t="str">
        <f>IF($D3495="","",IF(ISNA(MATCH($D3495,'Paramètres'!$M:$M,0)),"⚠ Type inconnu",IF($L3495="Crédit","",IFERROR(INDEX('Paramètres'!$O:$O,MATCH($D3495,'Paramètres'!$M:$M,0))&amp;"",""))))</f>
        <v/>
      </c>
      <c r="N3495" s="6" t="str">
        <f>IF($D3495="","",IFERROR(INDEX('Paramètres'!$Q:$Q,MATCH($D3495,'Paramètres'!$M:$M,0))&amp;"",""))</f>
        <v/>
      </c>
      <c r="O3495" s="6" t="str">
        <f>IF($A3495="","",IF(OR($J3495&lt;&gt;"x",$A3495&lt;=FinReleve),1,0))</f>
        <v/>
      </c>
      <c r="P3495" s="6" t="str">
        <f>IF($D3495="","",IF(AND($L3495="Crédit",OR(IFERROR(INDEX('Paramètres'!$O:$O,MATCH($D3495,'Paramètres'!$M:$M,0))&amp;"","")&lt;&gt;"",ISNUMBER(SEARCH("remboursement",IFERROR(INDEX('Paramètres'!$N:$N,MATCH($D3495,'Paramètres'!$M:$M,0))&amp;"",""))))),1,0))</f>
        <v/>
      </c>
      <c r="Q3495" s="6" t="str">
        <f>IF($K3495="","",IF(ISNUMBER(SEARCH("transfert-interne",IFERROR(INDEX('Paramètres'!$N:$N,MATCH($D3495,'Paramètres'!$M:$M,0))&amp;"",""))),0,IF($L3495="Débit",$K3495,IF($P3495=1,-$K3495,0))))</f>
        <v/>
      </c>
      <c r="R3495" s="6" t="str">
        <f>IF($K3495="","",IF($L3495="Crédit",$K3495,-$K3495))</f>
        <v/>
      </c>
      <c r="S3495" s="6" t="str">
        <f>IF($C3495="","",IFERROR(INDEX('Paramètres'!$H:$H,MATCH($C3495,'Paramètres'!$D:$D,0))&amp;"",""))</f>
        <v/>
      </c>
      <c r="T3495" s="6" t="str">
        <f>IF($K3495="","",IF($S3495="",0,IF(ISNUMBER(SEARCH("apport-exterieur",IFERROR(INDEX('Paramètres'!$N:$N,MATCH($D3495,'Paramètres'!$M:$M,0))&amp;"",""))),0,IF(OR(IFERROR(INDEX('Paramètres'!$I:$I,MATCH($C3495,'Paramètres'!$D:$D,0))&amp;"","")="Les deux",IFERROR(INDEX('Paramètres'!$I:$I,MATCH($C3495,'Paramètres'!$D:$D,0))&amp;"","")=IF($P3495=1,"Débit",$L3495)),-IF($P3495=1,-$K3495,$K3495),0))))</f>
        <v/>
      </c>
      <c r="U3495" s="6" t="str">
        <f>IF($K3495="","",IF(ISNUMBER(SEARCH("sortie-epargne",IFERROR(INDEX('Paramètres'!$N:$N,MATCH($D3495,'Paramètres'!$M:$M,0))&amp;"",""))),$K3495,0))</f>
        <v/>
      </c>
      <c r="V3495" s="6" t="str">
        <f>IF(AND($A3495&lt;&gt;"",$O3495=1,$L3495="Débit",N($Q3495)&gt;0,$A3495&gt;=Visualisation!$B$1,$A3495&lt;Visualisation!$D$1),MAX($V$1:V3494)+1,"")</f>
        <v/>
      </c>
    </row>
    <row r="3496" spans="1:22" x14ac:dyDescent="0.25">
      <c r="A3496" s="9"/>
      <c r="E3496" s="10"/>
      <c r="K3496" s="11" t="str">
        <f>IF($E3496="","",ROUND($E3496*IF(ISNA(MATCH($C3496,'Paramètres'!$D:$D,0)),1,IF(INDEX('Paramètres'!$J:$J,MATCH($C3496,'Paramètres'!$D:$D,0))="",1,INDEX('Paramètres'!$J:$J,MATCH($C3496,'Paramètres'!$D:$D,0)))),2))</f>
        <v/>
      </c>
      <c r="L3496" s="6" t="str">
        <f>IF($D3496="","",IF($F3496&lt;&gt;"",$F3496,IF(ISNA(MATCH($D3496,'Paramètres'!$M:$M,0)),"⚠ Type inconnu",IFERROR(INDEX('Paramètres'!$P:$P,MATCH($D3496,'Paramètres'!$M:$M,0))&amp;"",""))))</f>
        <v/>
      </c>
      <c r="M3496" s="6" t="str">
        <f>IF($D3496="","",IF(ISNA(MATCH($D3496,'Paramètres'!$M:$M,0)),"⚠ Type inconnu",IF($L3496="Crédit","",IFERROR(INDEX('Paramètres'!$O:$O,MATCH($D3496,'Paramètres'!$M:$M,0))&amp;"",""))))</f>
        <v/>
      </c>
      <c r="N3496" s="6" t="str">
        <f>IF($D3496="","",IFERROR(INDEX('Paramètres'!$Q:$Q,MATCH($D3496,'Paramètres'!$M:$M,0))&amp;"",""))</f>
        <v/>
      </c>
      <c r="O3496" s="6" t="str">
        <f>IF($A3496="","",IF(OR($J3496&lt;&gt;"x",$A3496&lt;=FinReleve),1,0))</f>
        <v/>
      </c>
      <c r="P3496" s="6" t="str">
        <f>IF($D3496="","",IF(AND($L3496="Crédit",OR(IFERROR(INDEX('Paramètres'!$O:$O,MATCH($D3496,'Paramètres'!$M:$M,0))&amp;"","")&lt;&gt;"",ISNUMBER(SEARCH("remboursement",IFERROR(INDEX('Paramètres'!$N:$N,MATCH($D3496,'Paramètres'!$M:$M,0))&amp;"",""))))),1,0))</f>
        <v/>
      </c>
      <c r="Q3496" s="6" t="str">
        <f>IF($K3496="","",IF(ISNUMBER(SEARCH("transfert-interne",IFERROR(INDEX('Paramètres'!$N:$N,MATCH($D3496,'Paramètres'!$M:$M,0))&amp;"",""))),0,IF($L3496="Débit",$K3496,IF($P3496=1,-$K3496,0))))</f>
        <v/>
      </c>
      <c r="R3496" s="6" t="str">
        <f>IF($K3496="","",IF($L3496="Crédit",$K3496,-$K3496))</f>
        <v/>
      </c>
      <c r="S3496" s="6" t="str">
        <f>IF($C3496="","",IFERROR(INDEX('Paramètres'!$H:$H,MATCH($C3496,'Paramètres'!$D:$D,0))&amp;"",""))</f>
        <v/>
      </c>
      <c r="T3496" s="6" t="str">
        <f>IF($K3496="","",IF($S3496="",0,IF(ISNUMBER(SEARCH("apport-exterieur",IFERROR(INDEX('Paramètres'!$N:$N,MATCH($D3496,'Paramètres'!$M:$M,0))&amp;"",""))),0,IF(OR(IFERROR(INDEX('Paramètres'!$I:$I,MATCH($C3496,'Paramètres'!$D:$D,0))&amp;"","")="Les deux",IFERROR(INDEX('Paramètres'!$I:$I,MATCH($C3496,'Paramètres'!$D:$D,0))&amp;"","")=IF($P3496=1,"Débit",$L3496)),-IF($P3496=1,-$K3496,$K3496),0))))</f>
        <v/>
      </c>
      <c r="U3496" s="6" t="str">
        <f>IF($K3496="","",IF(ISNUMBER(SEARCH("sortie-epargne",IFERROR(INDEX('Paramètres'!$N:$N,MATCH($D3496,'Paramètres'!$M:$M,0))&amp;"",""))),$K3496,0))</f>
        <v/>
      </c>
      <c r="V3496" s="6" t="str">
        <f>IF(AND($A3496&lt;&gt;"",$O3496=1,$L3496="Débit",N($Q3496)&gt;0,$A3496&gt;=Visualisation!$B$1,$A3496&lt;Visualisation!$D$1),MAX($V$1:V3495)+1,"")</f>
        <v/>
      </c>
    </row>
    <row r="3497" spans="1:22" x14ac:dyDescent="0.25">
      <c r="A3497" s="9"/>
      <c r="E3497" s="10"/>
      <c r="K3497" s="11" t="str">
        <f>IF($E3497="","",ROUND($E3497*IF(ISNA(MATCH($C3497,'Paramètres'!$D:$D,0)),1,IF(INDEX('Paramètres'!$J:$J,MATCH($C3497,'Paramètres'!$D:$D,0))="",1,INDEX('Paramètres'!$J:$J,MATCH($C3497,'Paramètres'!$D:$D,0)))),2))</f>
        <v/>
      </c>
      <c r="L3497" s="6" t="str">
        <f>IF($D3497="","",IF($F3497&lt;&gt;"",$F3497,IF(ISNA(MATCH($D3497,'Paramètres'!$M:$M,0)),"⚠ Type inconnu",IFERROR(INDEX('Paramètres'!$P:$P,MATCH($D3497,'Paramètres'!$M:$M,0))&amp;"",""))))</f>
        <v/>
      </c>
      <c r="M3497" s="6" t="str">
        <f>IF($D3497="","",IF(ISNA(MATCH($D3497,'Paramètres'!$M:$M,0)),"⚠ Type inconnu",IF($L3497="Crédit","",IFERROR(INDEX('Paramètres'!$O:$O,MATCH($D3497,'Paramètres'!$M:$M,0))&amp;"",""))))</f>
        <v/>
      </c>
      <c r="N3497" s="6" t="str">
        <f>IF($D3497="","",IFERROR(INDEX('Paramètres'!$Q:$Q,MATCH($D3497,'Paramètres'!$M:$M,0))&amp;"",""))</f>
        <v/>
      </c>
      <c r="O3497" s="6" t="str">
        <f>IF($A3497="","",IF(OR($J3497&lt;&gt;"x",$A3497&lt;=FinReleve),1,0))</f>
        <v/>
      </c>
      <c r="P3497" s="6" t="str">
        <f>IF($D3497="","",IF(AND($L3497="Crédit",OR(IFERROR(INDEX('Paramètres'!$O:$O,MATCH($D3497,'Paramètres'!$M:$M,0))&amp;"","")&lt;&gt;"",ISNUMBER(SEARCH("remboursement",IFERROR(INDEX('Paramètres'!$N:$N,MATCH($D3497,'Paramètres'!$M:$M,0))&amp;"",""))))),1,0))</f>
        <v/>
      </c>
      <c r="Q3497" s="6" t="str">
        <f>IF($K3497="","",IF(ISNUMBER(SEARCH("transfert-interne",IFERROR(INDEX('Paramètres'!$N:$N,MATCH($D3497,'Paramètres'!$M:$M,0))&amp;"",""))),0,IF($L3497="Débit",$K3497,IF($P3497=1,-$K3497,0))))</f>
        <v/>
      </c>
      <c r="R3497" s="6" t="str">
        <f>IF($K3497="","",IF($L3497="Crédit",$K3497,-$K3497))</f>
        <v/>
      </c>
      <c r="S3497" s="6" t="str">
        <f>IF($C3497="","",IFERROR(INDEX('Paramètres'!$H:$H,MATCH($C3497,'Paramètres'!$D:$D,0))&amp;"",""))</f>
        <v/>
      </c>
      <c r="T3497" s="6" t="str">
        <f>IF($K3497="","",IF($S3497="",0,IF(ISNUMBER(SEARCH("apport-exterieur",IFERROR(INDEX('Paramètres'!$N:$N,MATCH($D3497,'Paramètres'!$M:$M,0))&amp;"",""))),0,IF(OR(IFERROR(INDEX('Paramètres'!$I:$I,MATCH($C3497,'Paramètres'!$D:$D,0))&amp;"","")="Les deux",IFERROR(INDEX('Paramètres'!$I:$I,MATCH($C3497,'Paramètres'!$D:$D,0))&amp;"","")=IF($P3497=1,"Débit",$L3497)),-IF($P3497=1,-$K3497,$K3497),0))))</f>
        <v/>
      </c>
      <c r="U3497" s="6" t="str">
        <f>IF($K3497="","",IF(ISNUMBER(SEARCH("sortie-epargne",IFERROR(INDEX('Paramètres'!$N:$N,MATCH($D3497,'Paramètres'!$M:$M,0))&amp;"",""))),$K3497,0))</f>
        <v/>
      </c>
      <c r="V3497" s="6" t="str">
        <f>IF(AND($A3497&lt;&gt;"",$O3497=1,$L3497="Débit",N($Q3497)&gt;0,$A3497&gt;=Visualisation!$B$1,$A3497&lt;Visualisation!$D$1),MAX($V$1:V3496)+1,"")</f>
        <v/>
      </c>
    </row>
    <row r="3498" spans="1:22" x14ac:dyDescent="0.25">
      <c r="A3498" s="9"/>
      <c r="E3498" s="10"/>
      <c r="K3498" s="11" t="str">
        <f>IF($E3498="","",ROUND($E3498*IF(ISNA(MATCH($C3498,'Paramètres'!$D:$D,0)),1,IF(INDEX('Paramètres'!$J:$J,MATCH($C3498,'Paramètres'!$D:$D,0))="",1,INDEX('Paramètres'!$J:$J,MATCH($C3498,'Paramètres'!$D:$D,0)))),2))</f>
        <v/>
      </c>
      <c r="L3498" s="6" t="str">
        <f>IF($D3498="","",IF($F3498&lt;&gt;"",$F3498,IF(ISNA(MATCH($D3498,'Paramètres'!$M:$M,0)),"⚠ Type inconnu",IFERROR(INDEX('Paramètres'!$P:$P,MATCH($D3498,'Paramètres'!$M:$M,0))&amp;"",""))))</f>
        <v/>
      </c>
      <c r="M3498" s="6" t="str">
        <f>IF($D3498="","",IF(ISNA(MATCH($D3498,'Paramètres'!$M:$M,0)),"⚠ Type inconnu",IF($L3498="Crédit","",IFERROR(INDEX('Paramètres'!$O:$O,MATCH($D3498,'Paramètres'!$M:$M,0))&amp;"",""))))</f>
        <v/>
      </c>
      <c r="N3498" s="6" t="str">
        <f>IF($D3498="","",IFERROR(INDEX('Paramètres'!$Q:$Q,MATCH($D3498,'Paramètres'!$M:$M,0))&amp;"",""))</f>
        <v/>
      </c>
      <c r="O3498" s="6" t="str">
        <f>IF($A3498="","",IF(OR($J3498&lt;&gt;"x",$A3498&lt;=FinReleve),1,0))</f>
        <v/>
      </c>
      <c r="P3498" s="6" t="str">
        <f>IF($D3498="","",IF(AND($L3498="Crédit",OR(IFERROR(INDEX('Paramètres'!$O:$O,MATCH($D3498,'Paramètres'!$M:$M,0))&amp;"","")&lt;&gt;"",ISNUMBER(SEARCH("remboursement",IFERROR(INDEX('Paramètres'!$N:$N,MATCH($D3498,'Paramètres'!$M:$M,0))&amp;"",""))))),1,0))</f>
        <v/>
      </c>
      <c r="Q3498" s="6" t="str">
        <f>IF($K3498="","",IF(ISNUMBER(SEARCH("transfert-interne",IFERROR(INDEX('Paramètres'!$N:$N,MATCH($D3498,'Paramètres'!$M:$M,0))&amp;"",""))),0,IF($L3498="Débit",$K3498,IF($P3498=1,-$K3498,0))))</f>
        <v/>
      </c>
      <c r="R3498" s="6" t="str">
        <f>IF($K3498="","",IF($L3498="Crédit",$K3498,-$K3498))</f>
        <v/>
      </c>
      <c r="S3498" s="6" t="str">
        <f>IF($C3498="","",IFERROR(INDEX('Paramètres'!$H:$H,MATCH($C3498,'Paramètres'!$D:$D,0))&amp;"",""))</f>
        <v/>
      </c>
      <c r="T3498" s="6" t="str">
        <f>IF($K3498="","",IF($S3498="",0,IF(ISNUMBER(SEARCH("apport-exterieur",IFERROR(INDEX('Paramètres'!$N:$N,MATCH($D3498,'Paramètres'!$M:$M,0))&amp;"",""))),0,IF(OR(IFERROR(INDEX('Paramètres'!$I:$I,MATCH($C3498,'Paramètres'!$D:$D,0))&amp;"","")="Les deux",IFERROR(INDEX('Paramètres'!$I:$I,MATCH($C3498,'Paramètres'!$D:$D,0))&amp;"","")=IF($P3498=1,"Débit",$L3498)),-IF($P3498=1,-$K3498,$K3498),0))))</f>
        <v/>
      </c>
      <c r="U3498" s="6" t="str">
        <f>IF($K3498="","",IF(ISNUMBER(SEARCH("sortie-epargne",IFERROR(INDEX('Paramètres'!$N:$N,MATCH($D3498,'Paramètres'!$M:$M,0))&amp;"",""))),$K3498,0))</f>
        <v/>
      </c>
      <c r="V3498" s="6" t="str">
        <f>IF(AND($A3498&lt;&gt;"",$O3498=1,$L3498="Débit",N($Q3498)&gt;0,$A3498&gt;=Visualisation!$B$1,$A3498&lt;Visualisation!$D$1),MAX($V$1:V3497)+1,"")</f>
        <v/>
      </c>
    </row>
    <row r="3499" spans="1:22" x14ac:dyDescent="0.25">
      <c r="A3499" s="9"/>
      <c r="E3499" s="10"/>
      <c r="K3499" s="11" t="str">
        <f>IF($E3499="","",ROUND($E3499*IF(ISNA(MATCH($C3499,'Paramètres'!$D:$D,0)),1,IF(INDEX('Paramètres'!$J:$J,MATCH($C3499,'Paramètres'!$D:$D,0))="",1,INDEX('Paramètres'!$J:$J,MATCH($C3499,'Paramètres'!$D:$D,0)))),2))</f>
        <v/>
      </c>
      <c r="L3499" s="6" t="str">
        <f>IF($D3499="","",IF($F3499&lt;&gt;"",$F3499,IF(ISNA(MATCH($D3499,'Paramètres'!$M:$M,0)),"⚠ Type inconnu",IFERROR(INDEX('Paramètres'!$P:$P,MATCH($D3499,'Paramètres'!$M:$M,0))&amp;"",""))))</f>
        <v/>
      </c>
      <c r="M3499" s="6" t="str">
        <f>IF($D3499="","",IF(ISNA(MATCH($D3499,'Paramètres'!$M:$M,0)),"⚠ Type inconnu",IF($L3499="Crédit","",IFERROR(INDEX('Paramètres'!$O:$O,MATCH($D3499,'Paramètres'!$M:$M,0))&amp;"",""))))</f>
        <v/>
      </c>
      <c r="N3499" s="6" t="str">
        <f>IF($D3499="","",IFERROR(INDEX('Paramètres'!$Q:$Q,MATCH($D3499,'Paramètres'!$M:$M,0))&amp;"",""))</f>
        <v/>
      </c>
      <c r="O3499" s="6" t="str">
        <f>IF($A3499="","",IF(OR($J3499&lt;&gt;"x",$A3499&lt;=FinReleve),1,0))</f>
        <v/>
      </c>
      <c r="P3499" s="6" t="str">
        <f>IF($D3499="","",IF(AND($L3499="Crédit",OR(IFERROR(INDEX('Paramètres'!$O:$O,MATCH($D3499,'Paramètres'!$M:$M,0))&amp;"","")&lt;&gt;"",ISNUMBER(SEARCH("remboursement",IFERROR(INDEX('Paramètres'!$N:$N,MATCH($D3499,'Paramètres'!$M:$M,0))&amp;"",""))))),1,0))</f>
        <v/>
      </c>
      <c r="Q3499" s="6" t="str">
        <f>IF($K3499="","",IF(ISNUMBER(SEARCH("transfert-interne",IFERROR(INDEX('Paramètres'!$N:$N,MATCH($D3499,'Paramètres'!$M:$M,0))&amp;"",""))),0,IF($L3499="Débit",$K3499,IF($P3499=1,-$K3499,0))))</f>
        <v/>
      </c>
      <c r="R3499" s="6" t="str">
        <f>IF($K3499="","",IF($L3499="Crédit",$K3499,-$K3499))</f>
        <v/>
      </c>
      <c r="S3499" s="6" t="str">
        <f>IF($C3499="","",IFERROR(INDEX('Paramètres'!$H:$H,MATCH($C3499,'Paramètres'!$D:$D,0))&amp;"",""))</f>
        <v/>
      </c>
      <c r="T3499" s="6" t="str">
        <f>IF($K3499="","",IF($S3499="",0,IF(ISNUMBER(SEARCH("apport-exterieur",IFERROR(INDEX('Paramètres'!$N:$N,MATCH($D3499,'Paramètres'!$M:$M,0))&amp;"",""))),0,IF(OR(IFERROR(INDEX('Paramètres'!$I:$I,MATCH($C3499,'Paramètres'!$D:$D,0))&amp;"","")="Les deux",IFERROR(INDEX('Paramètres'!$I:$I,MATCH($C3499,'Paramètres'!$D:$D,0))&amp;"","")=IF($P3499=1,"Débit",$L3499)),-IF($P3499=1,-$K3499,$K3499),0))))</f>
        <v/>
      </c>
      <c r="U3499" s="6" t="str">
        <f>IF($K3499="","",IF(ISNUMBER(SEARCH("sortie-epargne",IFERROR(INDEX('Paramètres'!$N:$N,MATCH($D3499,'Paramètres'!$M:$M,0))&amp;"",""))),$K3499,0))</f>
        <v/>
      </c>
      <c r="V3499" s="6" t="str">
        <f>IF(AND($A3499&lt;&gt;"",$O3499=1,$L3499="Débit",N($Q3499)&gt;0,$A3499&gt;=Visualisation!$B$1,$A3499&lt;Visualisation!$D$1),MAX($V$1:V3498)+1,"")</f>
        <v/>
      </c>
    </row>
    <row r="3500" spans="1:22" x14ac:dyDescent="0.25">
      <c r="A3500" s="9"/>
      <c r="E3500" s="10"/>
      <c r="K3500" s="11" t="str">
        <f>IF($E3500="","",ROUND($E3500*IF(ISNA(MATCH($C3500,'Paramètres'!$D:$D,0)),1,IF(INDEX('Paramètres'!$J:$J,MATCH($C3500,'Paramètres'!$D:$D,0))="",1,INDEX('Paramètres'!$J:$J,MATCH($C3500,'Paramètres'!$D:$D,0)))),2))</f>
        <v/>
      </c>
      <c r="L3500" s="6" t="str">
        <f>IF($D3500="","",IF($F3500&lt;&gt;"",$F3500,IF(ISNA(MATCH($D3500,'Paramètres'!$M:$M,0)),"⚠ Type inconnu",IFERROR(INDEX('Paramètres'!$P:$P,MATCH($D3500,'Paramètres'!$M:$M,0))&amp;"",""))))</f>
        <v/>
      </c>
      <c r="M3500" s="6" t="str">
        <f>IF($D3500="","",IF(ISNA(MATCH($D3500,'Paramètres'!$M:$M,0)),"⚠ Type inconnu",IF($L3500="Crédit","",IFERROR(INDEX('Paramètres'!$O:$O,MATCH($D3500,'Paramètres'!$M:$M,0))&amp;"",""))))</f>
        <v/>
      </c>
      <c r="N3500" s="6" t="str">
        <f>IF($D3500="","",IFERROR(INDEX('Paramètres'!$Q:$Q,MATCH($D3500,'Paramètres'!$M:$M,0))&amp;"",""))</f>
        <v/>
      </c>
      <c r="O3500" s="6" t="str">
        <f>IF($A3500="","",IF(OR($J3500&lt;&gt;"x",$A3500&lt;=FinReleve),1,0))</f>
        <v/>
      </c>
      <c r="P3500" s="6" t="str">
        <f>IF($D3500="","",IF(AND($L3500="Crédit",OR(IFERROR(INDEX('Paramètres'!$O:$O,MATCH($D3500,'Paramètres'!$M:$M,0))&amp;"","")&lt;&gt;"",ISNUMBER(SEARCH("remboursement",IFERROR(INDEX('Paramètres'!$N:$N,MATCH($D3500,'Paramètres'!$M:$M,0))&amp;"",""))))),1,0))</f>
        <v/>
      </c>
      <c r="Q3500" s="6" t="str">
        <f>IF($K3500="","",IF(ISNUMBER(SEARCH("transfert-interne",IFERROR(INDEX('Paramètres'!$N:$N,MATCH($D3500,'Paramètres'!$M:$M,0))&amp;"",""))),0,IF($L3500="Débit",$K3500,IF($P3500=1,-$K3500,0))))</f>
        <v/>
      </c>
      <c r="R3500" s="6" t="str">
        <f>IF($K3500="","",IF($L3500="Crédit",$K3500,-$K3500))</f>
        <v/>
      </c>
      <c r="S3500" s="6" t="str">
        <f>IF($C3500="","",IFERROR(INDEX('Paramètres'!$H:$H,MATCH($C3500,'Paramètres'!$D:$D,0))&amp;"",""))</f>
        <v/>
      </c>
      <c r="T3500" s="6" t="str">
        <f>IF($K3500="","",IF($S3500="",0,IF(ISNUMBER(SEARCH("apport-exterieur",IFERROR(INDEX('Paramètres'!$N:$N,MATCH($D3500,'Paramètres'!$M:$M,0))&amp;"",""))),0,IF(OR(IFERROR(INDEX('Paramètres'!$I:$I,MATCH($C3500,'Paramètres'!$D:$D,0))&amp;"","")="Les deux",IFERROR(INDEX('Paramètres'!$I:$I,MATCH($C3500,'Paramètres'!$D:$D,0))&amp;"","")=IF($P3500=1,"Débit",$L3500)),-IF($P3500=1,-$K3500,$K3500),0))))</f>
        <v/>
      </c>
      <c r="U3500" s="6" t="str">
        <f>IF($K3500="","",IF(ISNUMBER(SEARCH("sortie-epargne",IFERROR(INDEX('Paramètres'!$N:$N,MATCH($D3500,'Paramètres'!$M:$M,0))&amp;"",""))),$K3500,0))</f>
        <v/>
      </c>
      <c r="V3500" s="6" t="str">
        <f>IF(AND($A3500&lt;&gt;"",$O3500=1,$L3500="Débit",N($Q3500)&gt;0,$A3500&gt;=Visualisation!$B$1,$A3500&lt;Visualisation!$D$1),MAX($V$1:V3499)+1,"")</f>
        <v/>
      </c>
    </row>
    <row r="3501" spans="1:22" x14ac:dyDescent="0.25">
      <c r="A3501" s="9"/>
      <c r="E3501" s="10"/>
      <c r="K3501" s="11" t="str">
        <f>IF($E3501="","",ROUND($E3501*IF(ISNA(MATCH($C3501,'Paramètres'!$D:$D,0)),1,IF(INDEX('Paramètres'!$J:$J,MATCH($C3501,'Paramètres'!$D:$D,0))="",1,INDEX('Paramètres'!$J:$J,MATCH($C3501,'Paramètres'!$D:$D,0)))),2))</f>
        <v/>
      </c>
      <c r="L3501" s="6" t="str">
        <f>IF($D3501="","",IF($F3501&lt;&gt;"",$F3501,IF(ISNA(MATCH($D3501,'Paramètres'!$M:$M,0)),"⚠ Type inconnu",IFERROR(INDEX('Paramètres'!$P:$P,MATCH($D3501,'Paramètres'!$M:$M,0))&amp;"",""))))</f>
        <v/>
      </c>
      <c r="M3501" s="6" t="str">
        <f>IF($D3501="","",IF(ISNA(MATCH($D3501,'Paramètres'!$M:$M,0)),"⚠ Type inconnu",IF($L3501="Crédit","",IFERROR(INDEX('Paramètres'!$O:$O,MATCH($D3501,'Paramètres'!$M:$M,0))&amp;"",""))))</f>
        <v/>
      </c>
      <c r="N3501" s="6" t="str">
        <f>IF($D3501="","",IFERROR(INDEX('Paramètres'!$Q:$Q,MATCH($D3501,'Paramètres'!$M:$M,0))&amp;"",""))</f>
        <v/>
      </c>
      <c r="O3501" s="6" t="str">
        <f>IF($A3501="","",IF(OR($J3501&lt;&gt;"x",$A3501&lt;=FinReleve),1,0))</f>
        <v/>
      </c>
      <c r="P3501" s="6" t="str">
        <f>IF($D3501="","",IF(AND($L3501="Crédit",OR(IFERROR(INDEX('Paramètres'!$O:$O,MATCH($D3501,'Paramètres'!$M:$M,0))&amp;"","")&lt;&gt;"",ISNUMBER(SEARCH("remboursement",IFERROR(INDEX('Paramètres'!$N:$N,MATCH($D3501,'Paramètres'!$M:$M,0))&amp;"",""))))),1,0))</f>
        <v/>
      </c>
      <c r="Q3501" s="6" t="str">
        <f>IF($K3501="","",IF(ISNUMBER(SEARCH("transfert-interne",IFERROR(INDEX('Paramètres'!$N:$N,MATCH($D3501,'Paramètres'!$M:$M,0))&amp;"",""))),0,IF($L3501="Débit",$K3501,IF($P3501=1,-$K3501,0))))</f>
        <v/>
      </c>
      <c r="R3501" s="6" t="str">
        <f>IF($K3501="","",IF($L3501="Crédit",$K3501,-$K3501))</f>
        <v/>
      </c>
      <c r="S3501" s="6" t="str">
        <f>IF($C3501="","",IFERROR(INDEX('Paramètres'!$H:$H,MATCH($C3501,'Paramètres'!$D:$D,0))&amp;"",""))</f>
        <v/>
      </c>
      <c r="T3501" s="6" t="str">
        <f>IF($K3501="","",IF($S3501="",0,IF(ISNUMBER(SEARCH("apport-exterieur",IFERROR(INDEX('Paramètres'!$N:$N,MATCH($D3501,'Paramètres'!$M:$M,0))&amp;"",""))),0,IF(OR(IFERROR(INDEX('Paramètres'!$I:$I,MATCH($C3501,'Paramètres'!$D:$D,0))&amp;"","")="Les deux",IFERROR(INDEX('Paramètres'!$I:$I,MATCH($C3501,'Paramètres'!$D:$D,0))&amp;"","")=IF($P3501=1,"Débit",$L3501)),-IF($P3501=1,-$K3501,$K3501),0))))</f>
        <v/>
      </c>
      <c r="U3501" s="6" t="str">
        <f>IF($K3501="","",IF(ISNUMBER(SEARCH("sortie-epargne",IFERROR(INDEX('Paramètres'!$N:$N,MATCH($D3501,'Paramètres'!$M:$M,0))&amp;"",""))),$K3501,0))</f>
        <v/>
      </c>
      <c r="V3501" s="6" t="str">
        <f>IF(AND($A3501&lt;&gt;"",$O3501=1,$L3501="Débit",N($Q3501)&gt;0,$A3501&gt;=Visualisation!$B$1,$A3501&lt;Visualisation!$D$1),MAX($V$1:V3500)+1,"")</f>
        <v/>
      </c>
    </row>
    <row r="3502" spans="1:22" x14ac:dyDescent="0.25">
      <c r="A3502" s="9"/>
      <c r="E3502" s="10"/>
      <c r="K3502" s="11" t="str">
        <f>IF($E3502="","",ROUND($E3502*IF(ISNA(MATCH($C3502,'Paramètres'!$D:$D,0)),1,IF(INDEX('Paramètres'!$J:$J,MATCH($C3502,'Paramètres'!$D:$D,0))="",1,INDEX('Paramètres'!$J:$J,MATCH($C3502,'Paramètres'!$D:$D,0)))),2))</f>
        <v/>
      </c>
      <c r="L3502" s="6" t="str">
        <f>IF($D3502="","",IF($F3502&lt;&gt;"",$F3502,IF(ISNA(MATCH($D3502,'Paramètres'!$M:$M,0)),"⚠ Type inconnu",IFERROR(INDEX('Paramètres'!$P:$P,MATCH($D3502,'Paramètres'!$M:$M,0))&amp;"",""))))</f>
        <v/>
      </c>
      <c r="M3502" s="6" t="str">
        <f>IF($D3502="","",IF(ISNA(MATCH($D3502,'Paramètres'!$M:$M,0)),"⚠ Type inconnu",IF($L3502="Crédit","",IFERROR(INDEX('Paramètres'!$O:$O,MATCH($D3502,'Paramètres'!$M:$M,0))&amp;"",""))))</f>
        <v/>
      </c>
      <c r="N3502" s="6" t="str">
        <f>IF($D3502="","",IFERROR(INDEX('Paramètres'!$Q:$Q,MATCH($D3502,'Paramètres'!$M:$M,0))&amp;"",""))</f>
        <v/>
      </c>
      <c r="O3502" s="6" t="str">
        <f>IF($A3502="","",IF(OR($J3502&lt;&gt;"x",$A3502&lt;=FinReleve),1,0))</f>
        <v/>
      </c>
      <c r="P3502" s="6" t="str">
        <f>IF($D3502="","",IF(AND($L3502="Crédit",OR(IFERROR(INDEX('Paramètres'!$O:$O,MATCH($D3502,'Paramètres'!$M:$M,0))&amp;"","")&lt;&gt;"",ISNUMBER(SEARCH("remboursement",IFERROR(INDEX('Paramètres'!$N:$N,MATCH($D3502,'Paramètres'!$M:$M,0))&amp;"",""))))),1,0))</f>
        <v/>
      </c>
      <c r="Q3502" s="6" t="str">
        <f>IF($K3502="","",IF(ISNUMBER(SEARCH("transfert-interne",IFERROR(INDEX('Paramètres'!$N:$N,MATCH($D3502,'Paramètres'!$M:$M,0))&amp;"",""))),0,IF($L3502="Débit",$K3502,IF($P3502=1,-$K3502,0))))</f>
        <v/>
      </c>
      <c r="R3502" s="6" t="str">
        <f>IF($K3502="","",IF($L3502="Crédit",$K3502,-$K3502))</f>
        <v/>
      </c>
      <c r="S3502" s="6" t="str">
        <f>IF($C3502="","",IFERROR(INDEX('Paramètres'!$H:$H,MATCH($C3502,'Paramètres'!$D:$D,0))&amp;"",""))</f>
        <v/>
      </c>
      <c r="T3502" s="6" t="str">
        <f>IF($K3502="","",IF($S3502="",0,IF(ISNUMBER(SEARCH("apport-exterieur",IFERROR(INDEX('Paramètres'!$N:$N,MATCH($D3502,'Paramètres'!$M:$M,0))&amp;"",""))),0,IF(OR(IFERROR(INDEX('Paramètres'!$I:$I,MATCH($C3502,'Paramètres'!$D:$D,0))&amp;"","")="Les deux",IFERROR(INDEX('Paramètres'!$I:$I,MATCH($C3502,'Paramètres'!$D:$D,0))&amp;"","")=IF($P3502=1,"Débit",$L3502)),-IF($P3502=1,-$K3502,$K3502),0))))</f>
        <v/>
      </c>
      <c r="U3502" s="6" t="str">
        <f>IF($K3502="","",IF(ISNUMBER(SEARCH("sortie-epargne",IFERROR(INDEX('Paramètres'!$N:$N,MATCH($D3502,'Paramètres'!$M:$M,0))&amp;"",""))),$K3502,0))</f>
        <v/>
      </c>
      <c r="V3502" s="6" t="str">
        <f>IF(AND($A3502&lt;&gt;"",$O3502=1,$L3502="Débit",N($Q3502)&gt;0,$A3502&gt;=Visualisation!$B$1,$A3502&lt;Visualisation!$D$1),MAX($V$1:V3501)+1,"")</f>
        <v/>
      </c>
    </row>
    <row r="3503" spans="1:22" x14ac:dyDescent="0.25">
      <c r="A3503" s="9"/>
      <c r="E3503" s="10"/>
      <c r="K3503" s="11" t="str">
        <f>IF($E3503="","",ROUND($E3503*IF(ISNA(MATCH($C3503,'Paramètres'!$D:$D,0)),1,IF(INDEX('Paramètres'!$J:$J,MATCH($C3503,'Paramètres'!$D:$D,0))="",1,INDEX('Paramètres'!$J:$J,MATCH($C3503,'Paramètres'!$D:$D,0)))),2))</f>
        <v/>
      </c>
      <c r="L3503" s="6" t="str">
        <f>IF($D3503="","",IF($F3503&lt;&gt;"",$F3503,IF(ISNA(MATCH($D3503,'Paramètres'!$M:$M,0)),"⚠ Type inconnu",IFERROR(INDEX('Paramètres'!$P:$P,MATCH($D3503,'Paramètres'!$M:$M,0))&amp;"",""))))</f>
        <v/>
      </c>
      <c r="M3503" s="6" t="str">
        <f>IF($D3503="","",IF(ISNA(MATCH($D3503,'Paramètres'!$M:$M,0)),"⚠ Type inconnu",IF($L3503="Crédit","",IFERROR(INDEX('Paramètres'!$O:$O,MATCH($D3503,'Paramètres'!$M:$M,0))&amp;"",""))))</f>
        <v/>
      </c>
      <c r="N3503" s="6" t="str">
        <f>IF($D3503="","",IFERROR(INDEX('Paramètres'!$Q:$Q,MATCH($D3503,'Paramètres'!$M:$M,0))&amp;"",""))</f>
        <v/>
      </c>
      <c r="O3503" s="6" t="str">
        <f>IF($A3503="","",IF(OR($J3503&lt;&gt;"x",$A3503&lt;=FinReleve),1,0))</f>
        <v/>
      </c>
      <c r="P3503" s="6" t="str">
        <f>IF($D3503="","",IF(AND($L3503="Crédit",OR(IFERROR(INDEX('Paramètres'!$O:$O,MATCH($D3503,'Paramètres'!$M:$M,0))&amp;"","")&lt;&gt;"",ISNUMBER(SEARCH("remboursement",IFERROR(INDEX('Paramètres'!$N:$N,MATCH($D3503,'Paramètres'!$M:$M,0))&amp;"",""))))),1,0))</f>
        <v/>
      </c>
      <c r="Q3503" s="6" t="str">
        <f>IF($K3503="","",IF(ISNUMBER(SEARCH("transfert-interne",IFERROR(INDEX('Paramètres'!$N:$N,MATCH($D3503,'Paramètres'!$M:$M,0))&amp;"",""))),0,IF($L3503="Débit",$K3503,IF($P3503=1,-$K3503,0))))</f>
        <v/>
      </c>
      <c r="R3503" s="6" t="str">
        <f>IF($K3503="","",IF($L3503="Crédit",$K3503,-$K3503))</f>
        <v/>
      </c>
      <c r="S3503" s="6" t="str">
        <f>IF($C3503="","",IFERROR(INDEX('Paramètres'!$H:$H,MATCH($C3503,'Paramètres'!$D:$D,0))&amp;"",""))</f>
        <v/>
      </c>
      <c r="T3503" s="6" t="str">
        <f>IF($K3503="","",IF($S3503="",0,IF(ISNUMBER(SEARCH("apport-exterieur",IFERROR(INDEX('Paramètres'!$N:$N,MATCH($D3503,'Paramètres'!$M:$M,0))&amp;"",""))),0,IF(OR(IFERROR(INDEX('Paramètres'!$I:$I,MATCH($C3503,'Paramètres'!$D:$D,0))&amp;"","")="Les deux",IFERROR(INDEX('Paramètres'!$I:$I,MATCH($C3503,'Paramètres'!$D:$D,0))&amp;"","")=IF($P3503=1,"Débit",$L3503)),-IF($P3503=1,-$K3503,$K3503),0))))</f>
        <v/>
      </c>
      <c r="U3503" s="6" t="str">
        <f>IF($K3503="","",IF(ISNUMBER(SEARCH("sortie-epargne",IFERROR(INDEX('Paramètres'!$N:$N,MATCH($D3503,'Paramètres'!$M:$M,0))&amp;"",""))),$K3503,0))</f>
        <v/>
      </c>
      <c r="V3503" s="6" t="str">
        <f>IF(AND($A3503&lt;&gt;"",$O3503=1,$L3503="Débit",N($Q3503)&gt;0,$A3503&gt;=Visualisation!$B$1,$A3503&lt;Visualisation!$D$1),MAX($V$1:V3502)+1,"")</f>
        <v/>
      </c>
    </row>
    <row r="3504" spans="1:22" x14ac:dyDescent="0.25">
      <c r="A3504" s="9"/>
      <c r="E3504" s="10"/>
      <c r="K3504" s="11" t="str">
        <f>IF($E3504="","",ROUND($E3504*IF(ISNA(MATCH($C3504,'Paramètres'!$D:$D,0)),1,IF(INDEX('Paramètres'!$J:$J,MATCH($C3504,'Paramètres'!$D:$D,0))="",1,INDEX('Paramètres'!$J:$J,MATCH($C3504,'Paramètres'!$D:$D,0)))),2))</f>
        <v/>
      </c>
      <c r="L3504" s="6" t="str">
        <f>IF($D3504="","",IF($F3504&lt;&gt;"",$F3504,IF(ISNA(MATCH($D3504,'Paramètres'!$M:$M,0)),"⚠ Type inconnu",IFERROR(INDEX('Paramètres'!$P:$P,MATCH($D3504,'Paramètres'!$M:$M,0))&amp;"",""))))</f>
        <v/>
      </c>
      <c r="M3504" s="6" t="str">
        <f>IF($D3504="","",IF(ISNA(MATCH($D3504,'Paramètres'!$M:$M,0)),"⚠ Type inconnu",IF($L3504="Crédit","",IFERROR(INDEX('Paramètres'!$O:$O,MATCH($D3504,'Paramètres'!$M:$M,0))&amp;"",""))))</f>
        <v/>
      </c>
      <c r="N3504" s="6" t="str">
        <f>IF($D3504="","",IFERROR(INDEX('Paramètres'!$Q:$Q,MATCH($D3504,'Paramètres'!$M:$M,0))&amp;"",""))</f>
        <v/>
      </c>
      <c r="O3504" s="6" t="str">
        <f>IF($A3504="","",IF(OR($J3504&lt;&gt;"x",$A3504&lt;=FinReleve),1,0))</f>
        <v/>
      </c>
      <c r="P3504" s="6" t="str">
        <f>IF($D3504="","",IF(AND($L3504="Crédit",OR(IFERROR(INDEX('Paramètres'!$O:$O,MATCH($D3504,'Paramètres'!$M:$M,0))&amp;"","")&lt;&gt;"",ISNUMBER(SEARCH("remboursement",IFERROR(INDEX('Paramètres'!$N:$N,MATCH($D3504,'Paramètres'!$M:$M,0))&amp;"",""))))),1,0))</f>
        <v/>
      </c>
      <c r="Q3504" s="6" t="str">
        <f>IF($K3504="","",IF(ISNUMBER(SEARCH("transfert-interne",IFERROR(INDEX('Paramètres'!$N:$N,MATCH($D3504,'Paramètres'!$M:$M,0))&amp;"",""))),0,IF($L3504="Débit",$K3504,IF($P3504=1,-$K3504,0))))</f>
        <v/>
      </c>
      <c r="R3504" s="6" t="str">
        <f>IF($K3504="","",IF($L3504="Crédit",$K3504,-$K3504))</f>
        <v/>
      </c>
      <c r="S3504" s="6" t="str">
        <f>IF($C3504="","",IFERROR(INDEX('Paramètres'!$H:$H,MATCH($C3504,'Paramètres'!$D:$D,0))&amp;"",""))</f>
        <v/>
      </c>
      <c r="T3504" s="6" t="str">
        <f>IF($K3504="","",IF($S3504="",0,IF(ISNUMBER(SEARCH("apport-exterieur",IFERROR(INDEX('Paramètres'!$N:$N,MATCH($D3504,'Paramètres'!$M:$M,0))&amp;"",""))),0,IF(OR(IFERROR(INDEX('Paramètres'!$I:$I,MATCH($C3504,'Paramètres'!$D:$D,0))&amp;"","")="Les deux",IFERROR(INDEX('Paramètres'!$I:$I,MATCH($C3504,'Paramètres'!$D:$D,0))&amp;"","")=IF($P3504=1,"Débit",$L3504)),-IF($P3504=1,-$K3504,$K3504),0))))</f>
        <v/>
      </c>
      <c r="U3504" s="6" t="str">
        <f>IF($K3504="","",IF(ISNUMBER(SEARCH("sortie-epargne",IFERROR(INDEX('Paramètres'!$N:$N,MATCH($D3504,'Paramètres'!$M:$M,0))&amp;"",""))),$K3504,0))</f>
        <v/>
      </c>
      <c r="V3504" s="6" t="str">
        <f>IF(AND($A3504&lt;&gt;"",$O3504=1,$L3504="Débit",N($Q3504)&gt;0,$A3504&gt;=Visualisation!$B$1,$A3504&lt;Visualisation!$D$1),MAX($V$1:V3503)+1,"")</f>
        <v/>
      </c>
    </row>
    <row r="3505" spans="1:22" x14ac:dyDescent="0.25">
      <c r="A3505" s="9"/>
      <c r="E3505" s="10"/>
      <c r="K3505" s="11" t="str">
        <f>IF($E3505="","",ROUND($E3505*IF(ISNA(MATCH($C3505,'Paramètres'!$D:$D,0)),1,IF(INDEX('Paramètres'!$J:$J,MATCH($C3505,'Paramètres'!$D:$D,0))="",1,INDEX('Paramètres'!$J:$J,MATCH($C3505,'Paramètres'!$D:$D,0)))),2))</f>
        <v/>
      </c>
      <c r="L3505" s="6" t="str">
        <f>IF($D3505="","",IF($F3505&lt;&gt;"",$F3505,IF(ISNA(MATCH($D3505,'Paramètres'!$M:$M,0)),"⚠ Type inconnu",IFERROR(INDEX('Paramètres'!$P:$P,MATCH($D3505,'Paramètres'!$M:$M,0))&amp;"",""))))</f>
        <v/>
      </c>
      <c r="M3505" s="6" t="str">
        <f>IF($D3505="","",IF(ISNA(MATCH($D3505,'Paramètres'!$M:$M,0)),"⚠ Type inconnu",IF($L3505="Crédit","",IFERROR(INDEX('Paramètres'!$O:$O,MATCH($D3505,'Paramètres'!$M:$M,0))&amp;"",""))))</f>
        <v/>
      </c>
      <c r="N3505" s="6" t="str">
        <f>IF($D3505="","",IFERROR(INDEX('Paramètres'!$Q:$Q,MATCH($D3505,'Paramètres'!$M:$M,0))&amp;"",""))</f>
        <v/>
      </c>
      <c r="O3505" s="6" t="str">
        <f>IF($A3505="","",IF(OR($J3505&lt;&gt;"x",$A3505&lt;=FinReleve),1,0))</f>
        <v/>
      </c>
      <c r="P3505" s="6" t="str">
        <f>IF($D3505="","",IF(AND($L3505="Crédit",OR(IFERROR(INDEX('Paramètres'!$O:$O,MATCH($D3505,'Paramètres'!$M:$M,0))&amp;"","")&lt;&gt;"",ISNUMBER(SEARCH("remboursement",IFERROR(INDEX('Paramètres'!$N:$N,MATCH($D3505,'Paramètres'!$M:$M,0))&amp;"",""))))),1,0))</f>
        <v/>
      </c>
      <c r="Q3505" s="6" t="str">
        <f>IF($K3505="","",IF(ISNUMBER(SEARCH("transfert-interne",IFERROR(INDEX('Paramètres'!$N:$N,MATCH($D3505,'Paramètres'!$M:$M,0))&amp;"",""))),0,IF($L3505="Débit",$K3505,IF($P3505=1,-$K3505,0))))</f>
        <v/>
      </c>
      <c r="R3505" s="6" t="str">
        <f>IF($K3505="","",IF($L3505="Crédit",$K3505,-$K3505))</f>
        <v/>
      </c>
      <c r="S3505" s="6" t="str">
        <f>IF($C3505="","",IFERROR(INDEX('Paramètres'!$H:$H,MATCH($C3505,'Paramètres'!$D:$D,0))&amp;"",""))</f>
        <v/>
      </c>
      <c r="T3505" s="6" t="str">
        <f>IF($K3505="","",IF($S3505="",0,IF(ISNUMBER(SEARCH("apport-exterieur",IFERROR(INDEX('Paramètres'!$N:$N,MATCH($D3505,'Paramètres'!$M:$M,0))&amp;"",""))),0,IF(OR(IFERROR(INDEX('Paramètres'!$I:$I,MATCH($C3505,'Paramètres'!$D:$D,0))&amp;"","")="Les deux",IFERROR(INDEX('Paramètres'!$I:$I,MATCH($C3505,'Paramètres'!$D:$D,0))&amp;"","")=IF($P3505=1,"Débit",$L3505)),-IF($P3505=1,-$K3505,$K3505),0))))</f>
        <v/>
      </c>
      <c r="U3505" s="6" t="str">
        <f>IF($K3505="","",IF(ISNUMBER(SEARCH("sortie-epargne",IFERROR(INDEX('Paramètres'!$N:$N,MATCH($D3505,'Paramètres'!$M:$M,0))&amp;"",""))),$K3505,0))</f>
        <v/>
      </c>
      <c r="V3505" s="6" t="str">
        <f>IF(AND($A3505&lt;&gt;"",$O3505=1,$L3505="Débit",N($Q3505)&gt;0,$A3505&gt;=Visualisation!$B$1,$A3505&lt;Visualisation!$D$1),MAX($V$1:V3504)+1,"")</f>
        <v/>
      </c>
    </row>
    <row r="3506" spans="1:22" x14ac:dyDescent="0.25">
      <c r="A3506" s="9"/>
      <c r="E3506" s="10"/>
      <c r="K3506" s="11" t="str">
        <f>IF($E3506="","",ROUND($E3506*IF(ISNA(MATCH($C3506,'Paramètres'!$D:$D,0)),1,IF(INDEX('Paramètres'!$J:$J,MATCH($C3506,'Paramètres'!$D:$D,0))="",1,INDEX('Paramètres'!$J:$J,MATCH($C3506,'Paramètres'!$D:$D,0)))),2))</f>
        <v/>
      </c>
      <c r="L3506" s="6" t="str">
        <f>IF($D3506="","",IF($F3506&lt;&gt;"",$F3506,IF(ISNA(MATCH($D3506,'Paramètres'!$M:$M,0)),"⚠ Type inconnu",IFERROR(INDEX('Paramètres'!$P:$P,MATCH($D3506,'Paramètres'!$M:$M,0))&amp;"",""))))</f>
        <v/>
      </c>
      <c r="M3506" s="6" t="str">
        <f>IF($D3506="","",IF(ISNA(MATCH($D3506,'Paramètres'!$M:$M,0)),"⚠ Type inconnu",IF($L3506="Crédit","",IFERROR(INDEX('Paramètres'!$O:$O,MATCH($D3506,'Paramètres'!$M:$M,0))&amp;"",""))))</f>
        <v/>
      </c>
      <c r="N3506" s="6" t="str">
        <f>IF($D3506="","",IFERROR(INDEX('Paramètres'!$Q:$Q,MATCH($D3506,'Paramètres'!$M:$M,0))&amp;"",""))</f>
        <v/>
      </c>
      <c r="O3506" s="6" t="str">
        <f>IF($A3506="","",IF(OR($J3506&lt;&gt;"x",$A3506&lt;=FinReleve),1,0))</f>
        <v/>
      </c>
      <c r="P3506" s="6" t="str">
        <f>IF($D3506="","",IF(AND($L3506="Crédit",OR(IFERROR(INDEX('Paramètres'!$O:$O,MATCH($D3506,'Paramètres'!$M:$M,0))&amp;"","")&lt;&gt;"",ISNUMBER(SEARCH("remboursement",IFERROR(INDEX('Paramètres'!$N:$N,MATCH($D3506,'Paramètres'!$M:$M,0))&amp;"",""))))),1,0))</f>
        <v/>
      </c>
      <c r="Q3506" s="6" t="str">
        <f>IF($K3506="","",IF(ISNUMBER(SEARCH("transfert-interne",IFERROR(INDEX('Paramètres'!$N:$N,MATCH($D3506,'Paramètres'!$M:$M,0))&amp;"",""))),0,IF($L3506="Débit",$K3506,IF($P3506=1,-$K3506,0))))</f>
        <v/>
      </c>
      <c r="R3506" s="6" t="str">
        <f>IF($K3506="","",IF($L3506="Crédit",$K3506,-$K3506))</f>
        <v/>
      </c>
      <c r="S3506" s="6" t="str">
        <f>IF($C3506="","",IFERROR(INDEX('Paramètres'!$H:$H,MATCH($C3506,'Paramètres'!$D:$D,0))&amp;"",""))</f>
        <v/>
      </c>
      <c r="T3506" s="6" t="str">
        <f>IF($K3506="","",IF($S3506="",0,IF(ISNUMBER(SEARCH("apport-exterieur",IFERROR(INDEX('Paramètres'!$N:$N,MATCH($D3506,'Paramètres'!$M:$M,0))&amp;"",""))),0,IF(OR(IFERROR(INDEX('Paramètres'!$I:$I,MATCH($C3506,'Paramètres'!$D:$D,0))&amp;"","")="Les deux",IFERROR(INDEX('Paramètres'!$I:$I,MATCH($C3506,'Paramètres'!$D:$D,0))&amp;"","")=IF($P3506=1,"Débit",$L3506)),-IF($P3506=1,-$K3506,$K3506),0))))</f>
        <v/>
      </c>
      <c r="U3506" s="6" t="str">
        <f>IF($K3506="","",IF(ISNUMBER(SEARCH("sortie-epargne",IFERROR(INDEX('Paramètres'!$N:$N,MATCH($D3506,'Paramètres'!$M:$M,0))&amp;"",""))),$K3506,0))</f>
        <v/>
      </c>
      <c r="V3506" s="6" t="str">
        <f>IF(AND($A3506&lt;&gt;"",$O3506=1,$L3506="Débit",N($Q3506)&gt;0,$A3506&gt;=Visualisation!$B$1,$A3506&lt;Visualisation!$D$1),MAX($V$1:V3505)+1,"")</f>
        <v/>
      </c>
    </row>
    <row r="3507" spans="1:22" x14ac:dyDescent="0.25">
      <c r="A3507" s="9"/>
      <c r="E3507" s="10"/>
      <c r="K3507" s="11" t="str">
        <f>IF($E3507="","",ROUND($E3507*IF(ISNA(MATCH($C3507,'Paramètres'!$D:$D,0)),1,IF(INDEX('Paramètres'!$J:$J,MATCH($C3507,'Paramètres'!$D:$D,0))="",1,INDEX('Paramètres'!$J:$J,MATCH($C3507,'Paramètres'!$D:$D,0)))),2))</f>
        <v/>
      </c>
      <c r="L3507" s="6" t="str">
        <f>IF($D3507="","",IF($F3507&lt;&gt;"",$F3507,IF(ISNA(MATCH($D3507,'Paramètres'!$M:$M,0)),"⚠ Type inconnu",IFERROR(INDEX('Paramètres'!$P:$P,MATCH($D3507,'Paramètres'!$M:$M,0))&amp;"",""))))</f>
        <v/>
      </c>
      <c r="M3507" s="6" t="str">
        <f>IF($D3507="","",IF(ISNA(MATCH($D3507,'Paramètres'!$M:$M,0)),"⚠ Type inconnu",IF($L3507="Crédit","",IFERROR(INDEX('Paramètres'!$O:$O,MATCH($D3507,'Paramètres'!$M:$M,0))&amp;"",""))))</f>
        <v/>
      </c>
      <c r="N3507" s="6" t="str">
        <f>IF($D3507="","",IFERROR(INDEX('Paramètres'!$Q:$Q,MATCH($D3507,'Paramètres'!$M:$M,0))&amp;"",""))</f>
        <v/>
      </c>
      <c r="O3507" s="6" t="str">
        <f>IF($A3507="","",IF(OR($J3507&lt;&gt;"x",$A3507&lt;=FinReleve),1,0))</f>
        <v/>
      </c>
      <c r="P3507" s="6" t="str">
        <f>IF($D3507="","",IF(AND($L3507="Crédit",OR(IFERROR(INDEX('Paramètres'!$O:$O,MATCH($D3507,'Paramètres'!$M:$M,0))&amp;"","")&lt;&gt;"",ISNUMBER(SEARCH("remboursement",IFERROR(INDEX('Paramètres'!$N:$N,MATCH($D3507,'Paramètres'!$M:$M,0))&amp;"",""))))),1,0))</f>
        <v/>
      </c>
      <c r="Q3507" s="6" t="str">
        <f>IF($K3507="","",IF(ISNUMBER(SEARCH("transfert-interne",IFERROR(INDEX('Paramètres'!$N:$N,MATCH($D3507,'Paramètres'!$M:$M,0))&amp;"",""))),0,IF($L3507="Débit",$K3507,IF($P3507=1,-$K3507,0))))</f>
        <v/>
      </c>
      <c r="R3507" s="6" t="str">
        <f>IF($K3507="","",IF($L3507="Crédit",$K3507,-$K3507))</f>
        <v/>
      </c>
      <c r="S3507" s="6" t="str">
        <f>IF($C3507="","",IFERROR(INDEX('Paramètres'!$H:$H,MATCH($C3507,'Paramètres'!$D:$D,0))&amp;"",""))</f>
        <v/>
      </c>
      <c r="T3507" s="6" t="str">
        <f>IF($K3507="","",IF($S3507="",0,IF(ISNUMBER(SEARCH("apport-exterieur",IFERROR(INDEX('Paramètres'!$N:$N,MATCH($D3507,'Paramètres'!$M:$M,0))&amp;"",""))),0,IF(OR(IFERROR(INDEX('Paramètres'!$I:$I,MATCH($C3507,'Paramètres'!$D:$D,0))&amp;"","")="Les deux",IFERROR(INDEX('Paramètres'!$I:$I,MATCH($C3507,'Paramètres'!$D:$D,0))&amp;"","")=IF($P3507=1,"Débit",$L3507)),-IF($P3507=1,-$K3507,$K3507),0))))</f>
        <v/>
      </c>
      <c r="U3507" s="6" t="str">
        <f>IF($K3507="","",IF(ISNUMBER(SEARCH("sortie-epargne",IFERROR(INDEX('Paramètres'!$N:$N,MATCH($D3507,'Paramètres'!$M:$M,0))&amp;"",""))),$K3507,0))</f>
        <v/>
      </c>
      <c r="V3507" s="6" t="str">
        <f>IF(AND($A3507&lt;&gt;"",$O3507=1,$L3507="Débit",N($Q3507)&gt;0,$A3507&gt;=Visualisation!$B$1,$A3507&lt;Visualisation!$D$1),MAX($V$1:V3506)+1,"")</f>
        <v/>
      </c>
    </row>
    <row r="3508" spans="1:22" x14ac:dyDescent="0.25">
      <c r="A3508" s="9"/>
      <c r="E3508" s="10"/>
      <c r="K3508" s="11" t="str">
        <f>IF($E3508="","",ROUND($E3508*IF(ISNA(MATCH($C3508,'Paramètres'!$D:$D,0)),1,IF(INDEX('Paramètres'!$J:$J,MATCH($C3508,'Paramètres'!$D:$D,0))="",1,INDEX('Paramètres'!$J:$J,MATCH($C3508,'Paramètres'!$D:$D,0)))),2))</f>
        <v/>
      </c>
      <c r="L3508" s="6" t="str">
        <f>IF($D3508="","",IF($F3508&lt;&gt;"",$F3508,IF(ISNA(MATCH($D3508,'Paramètres'!$M:$M,0)),"⚠ Type inconnu",IFERROR(INDEX('Paramètres'!$P:$P,MATCH($D3508,'Paramètres'!$M:$M,0))&amp;"",""))))</f>
        <v/>
      </c>
      <c r="M3508" s="6" t="str">
        <f>IF($D3508="","",IF(ISNA(MATCH($D3508,'Paramètres'!$M:$M,0)),"⚠ Type inconnu",IF($L3508="Crédit","",IFERROR(INDEX('Paramètres'!$O:$O,MATCH($D3508,'Paramètres'!$M:$M,0))&amp;"",""))))</f>
        <v/>
      </c>
      <c r="N3508" s="6" t="str">
        <f>IF($D3508="","",IFERROR(INDEX('Paramètres'!$Q:$Q,MATCH($D3508,'Paramètres'!$M:$M,0))&amp;"",""))</f>
        <v/>
      </c>
      <c r="O3508" s="6" t="str">
        <f>IF($A3508="","",IF(OR($J3508&lt;&gt;"x",$A3508&lt;=FinReleve),1,0))</f>
        <v/>
      </c>
      <c r="P3508" s="6" t="str">
        <f>IF($D3508="","",IF(AND($L3508="Crédit",OR(IFERROR(INDEX('Paramètres'!$O:$O,MATCH($D3508,'Paramètres'!$M:$M,0))&amp;"","")&lt;&gt;"",ISNUMBER(SEARCH("remboursement",IFERROR(INDEX('Paramètres'!$N:$N,MATCH($D3508,'Paramètres'!$M:$M,0))&amp;"",""))))),1,0))</f>
        <v/>
      </c>
      <c r="Q3508" s="6" t="str">
        <f>IF($K3508="","",IF(ISNUMBER(SEARCH("transfert-interne",IFERROR(INDEX('Paramètres'!$N:$N,MATCH($D3508,'Paramètres'!$M:$M,0))&amp;"",""))),0,IF($L3508="Débit",$K3508,IF($P3508=1,-$K3508,0))))</f>
        <v/>
      </c>
      <c r="R3508" s="6" t="str">
        <f>IF($K3508="","",IF($L3508="Crédit",$K3508,-$K3508))</f>
        <v/>
      </c>
      <c r="S3508" s="6" t="str">
        <f>IF($C3508="","",IFERROR(INDEX('Paramètres'!$H:$H,MATCH($C3508,'Paramètres'!$D:$D,0))&amp;"",""))</f>
        <v/>
      </c>
      <c r="T3508" s="6" t="str">
        <f>IF($K3508="","",IF($S3508="",0,IF(ISNUMBER(SEARCH("apport-exterieur",IFERROR(INDEX('Paramètres'!$N:$N,MATCH($D3508,'Paramètres'!$M:$M,0))&amp;"",""))),0,IF(OR(IFERROR(INDEX('Paramètres'!$I:$I,MATCH($C3508,'Paramètres'!$D:$D,0))&amp;"","")="Les deux",IFERROR(INDEX('Paramètres'!$I:$I,MATCH($C3508,'Paramètres'!$D:$D,0))&amp;"","")=IF($P3508=1,"Débit",$L3508)),-IF($P3508=1,-$K3508,$K3508),0))))</f>
        <v/>
      </c>
      <c r="U3508" s="6" t="str">
        <f>IF($K3508="","",IF(ISNUMBER(SEARCH("sortie-epargne",IFERROR(INDEX('Paramètres'!$N:$N,MATCH($D3508,'Paramètres'!$M:$M,0))&amp;"",""))),$K3508,0))</f>
        <v/>
      </c>
      <c r="V3508" s="6" t="str">
        <f>IF(AND($A3508&lt;&gt;"",$O3508=1,$L3508="Débit",N($Q3508)&gt;0,$A3508&gt;=Visualisation!$B$1,$A3508&lt;Visualisation!$D$1),MAX($V$1:V3507)+1,"")</f>
        <v/>
      </c>
    </row>
    <row r="3509" spans="1:22" x14ac:dyDescent="0.25">
      <c r="A3509" s="9"/>
      <c r="E3509" s="10"/>
      <c r="K3509" s="11" t="str">
        <f>IF($E3509="","",ROUND($E3509*IF(ISNA(MATCH($C3509,'Paramètres'!$D:$D,0)),1,IF(INDEX('Paramètres'!$J:$J,MATCH($C3509,'Paramètres'!$D:$D,0))="",1,INDEX('Paramètres'!$J:$J,MATCH($C3509,'Paramètres'!$D:$D,0)))),2))</f>
        <v/>
      </c>
      <c r="L3509" s="6" t="str">
        <f>IF($D3509="","",IF($F3509&lt;&gt;"",$F3509,IF(ISNA(MATCH($D3509,'Paramètres'!$M:$M,0)),"⚠ Type inconnu",IFERROR(INDEX('Paramètres'!$P:$P,MATCH($D3509,'Paramètres'!$M:$M,0))&amp;"",""))))</f>
        <v/>
      </c>
      <c r="M3509" s="6" t="str">
        <f>IF($D3509="","",IF(ISNA(MATCH($D3509,'Paramètres'!$M:$M,0)),"⚠ Type inconnu",IF($L3509="Crédit","",IFERROR(INDEX('Paramètres'!$O:$O,MATCH($D3509,'Paramètres'!$M:$M,0))&amp;"",""))))</f>
        <v/>
      </c>
      <c r="N3509" s="6" t="str">
        <f>IF($D3509="","",IFERROR(INDEX('Paramètres'!$Q:$Q,MATCH($D3509,'Paramètres'!$M:$M,0))&amp;"",""))</f>
        <v/>
      </c>
      <c r="O3509" s="6" t="str">
        <f>IF($A3509="","",IF(OR($J3509&lt;&gt;"x",$A3509&lt;=FinReleve),1,0))</f>
        <v/>
      </c>
      <c r="P3509" s="6" t="str">
        <f>IF($D3509="","",IF(AND($L3509="Crédit",OR(IFERROR(INDEX('Paramètres'!$O:$O,MATCH($D3509,'Paramètres'!$M:$M,0))&amp;"","")&lt;&gt;"",ISNUMBER(SEARCH("remboursement",IFERROR(INDEX('Paramètres'!$N:$N,MATCH($D3509,'Paramètres'!$M:$M,0))&amp;"",""))))),1,0))</f>
        <v/>
      </c>
      <c r="Q3509" s="6" t="str">
        <f>IF($K3509="","",IF(ISNUMBER(SEARCH("transfert-interne",IFERROR(INDEX('Paramètres'!$N:$N,MATCH($D3509,'Paramètres'!$M:$M,0))&amp;"",""))),0,IF($L3509="Débit",$K3509,IF($P3509=1,-$K3509,0))))</f>
        <v/>
      </c>
      <c r="R3509" s="6" t="str">
        <f>IF($K3509="","",IF($L3509="Crédit",$K3509,-$K3509))</f>
        <v/>
      </c>
      <c r="S3509" s="6" t="str">
        <f>IF($C3509="","",IFERROR(INDEX('Paramètres'!$H:$H,MATCH($C3509,'Paramètres'!$D:$D,0))&amp;"",""))</f>
        <v/>
      </c>
      <c r="T3509" s="6" t="str">
        <f>IF($K3509="","",IF($S3509="",0,IF(ISNUMBER(SEARCH("apport-exterieur",IFERROR(INDEX('Paramètres'!$N:$N,MATCH($D3509,'Paramètres'!$M:$M,0))&amp;"",""))),0,IF(OR(IFERROR(INDEX('Paramètres'!$I:$I,MATCH($C3509,'Paramètres'!$D:$D,0))&amp;"","")="Les deux",IFERROR(INDEX('Paramètres'!$I:$I,MATCH($C3509,'Paramètres'!$D:$D,0))&amp;"","")=IF($P3509=1,"Débit",$L3509)),-IF($P3509=1,-$K3509,$K3509),0))))</f>
        <v/>
      </c>
      <c r="U3509" s="6" t="str">
        <f>IF($K3509="","",IF(ISNUMBER(SEARCH("sortie-epargne",IFERROR(INDEX('Paramètres'!$N:$N,MATCH($D3509,'Paramètres'!$M:$M,0))&amp;"",""))),$K3509,0))</f>
        <v/>
      </c>
      <c r="V3509" s="6" t="str">
        <f>IF(AND($A3509&lt;&gt;"",$O3509=1,$L3509="Débit",N($Q3509)&gt;0,$A3509&gt;=Visualisation!$B$1,$A3509&lt;Visualisation!$D$1),MAX($V$1:V3508)+1,"")</f>
        <v/>
      </c>
    </row>
    <row r="3510" spans="1:22" x14ac:dyDescent="0.25">
      <c r="A3510" s="9"/>
      <c r="E3510" s="10"/>
      <c r="K3510" s="11" t="str">
        <f>IF($E3510="","",ROUND($E3510*IF(ISNA(MATCH($C3510,'Paramètres'!$D:$D,0)),1,IF(INDEX('Paramètres'!$J:$J,MATCH($C3510,'Paramètres'!$D:$D,0))="",1,INDEX('Paramètres'!$J:$J,MATCH($C3510,'Paramètres'!$D:$D,0)))),2))</f>
        <v/>
      </c>
      <c r="L3510" s="6" t="str">
        <f>IF($D3510="","",IF($F3510&lt;&gt;"",$F3510,IF(ISNA(MATCH($D3510,'Paramètres'!$M:$M,0)),"⚠ Type inconnu",IFERROR(INDEX('Paramètres'!$P:$P,MATCH($D3510,'Paramètres'!$M:$M,0))&amp;"",""))))</f>
        <v/>
      </c>
      <c r="M3510" s="6" t="str">
        <f>IF($D3510="","",IF(ISNA(MATCH($D3510,'Paramètres'!$M:$M,0)),"⚠ Type inconnu",IF($L3510="Crédit","",IFERROR(INDEX('Paramètres'!$O:$O,MATCH($D3510,'Paramètres'!$M:$M,0))&amp;"",""))))</f>
        <v/>
      </c>
      <c r="N3510" s="6" t="str">
        <f>IF($D3510="","",IFERROR(INDEX('Paramètres'!$Q:$Q,MATCH($D3510,'Paramètres'!$M:$M,0))&amp;"",""))</f>
        <v/>
      </c>
      <c r="O3510" s="6" t="str">
        <f>IF($A3510="","",IF(OR($J3510&lt;&gt;"x",$A3510&lt;=FinReleve),1,0))</f>
        <v/>
      </c>
      <c r="P3510" s="6" t="str">
        <f>IF($D3510="","",IF(AND($L3510="Crédit",OR(IFERROR(INDEX('Paramètres'!$O:$O,MATCH($D3510,'Paramètres'!$M:$M,0))&amp;"","")&lt;&gt;"",ISNUMBER(SEARCH("remboursement",IFERROR(INDEX('Paramètres'!$N:$N,MATCH($D3510,'Paramètres'!$M:$M,0))&amp;"",""))))),1,0))</f>
        <v/>
      </c>
      <c r="Q3510" s="6" t="str">
        <f>IF($K3510="","",IF(ISNUMBER(SEARCH("transfert-interne",IFERROR(INDEX('Paramètres'!$N:$N,MATCH($D3510,'Paramètres'!$M:$M,0))&amp;"",""))),0,IF($L3510="Débit",$K3510,IF($P3510=1,-$K3510,0))))</f>
        <v/>
      </c>
      <c r="R3510" s="6" t="str">
        <f>IF($K3510="","",IF($L3510="Crédit",$K3510,-$K3510))</f>
        <v/>
      </c>
      <c r="S3510" s="6" t="str">
        <f>IF($C3510="","",IFERROR(INDEX('Paramètres'!$H:$H,MATCH($C3510,'Paramètres'!$D:$D,0))&amp;"",""))</f>
        <v/>
      </c>
      <c r="T3510" s="6" t="str">
        <f>IF($K3510="","",IF($S3510="",0,IF(ISNUMBER(SEARCH("apport-exterieur",IFERROR(INDEX('Paramètres'!$N:$N,MATCH($D3510,'Paramètres'!$M:$M,0))&amp;"",""))),0,IF(OR(IFERROR(INDEX('Paramètres'!$I:$I,MATCH($C3510,'Paramètres'!$D:$D,0))&amp;"","")="Les deux",IFERROR(INDEX('Paramètres'!$I:$I,MATCH($C3510,'Paramètres'!$D:$D,0))&amp;"","")=IF($P3510=1,"Débit",$L3510)),-IF($P3510=1,-$K3510,$K3510),0))))</f>
        <v/>
      </c>
      <c r="U3510" s="6" t="str">
        <f>IF($K3510="","",IF(ISNUMBER(SEARCH("sortie-epargne",IFERROR(INDEX('Paramètres'!$N:$N,MATCH($D3510,'Paramètres'!$M:$M,0))&amp;"",""))),$K3510,0))</f>
        <v/>
      </c>
      <c r="V3510" s="6" t="str">
        <f>IF(AND($A3510&lt;&gt;"",$O3510=1,$L3510="Débit",N($Q3510)&gt;0,$A3510&gt;=Visualisation!$B$1,$A3510&lt;Visualisation!$D$1),MAX($V$1:V3509)+1,"")</f>
        <v/>
      </c>
    </row>
    <row r="3511" spans="1:22" x14ac:dyDescent="0.25">
      <c r="A3511" s="9"/>
      <c r="E3511" s="10"/>
      <c r="K3511" s="11" t="str">
        <f>IF($E3511="","",ROUND($E3511*IF(ISNA(MATCH($C3511,'Paramètres'!$D:$D,0)),1,IF(INDEX('Paramètres'!$J:$J,MATCH($C3511,'Paramètres'!$D:$D,0))="",1,INDEX('Paramètres'!$J:$J,MATCH($C3511,'Paramètres'!$D:$D,0)))),2))</f>
        <v/>
      </c>
      <c r="L3511" s="6" t="str">
        <f>IF($D3511="","",IF($F3511&lt;&gt;"",$F3511,IF(ISNA(MATCH($D3511,'Paramètres'!$M:$M,0)),"⚠ Type inconnu",IFERROR(INDEX('Paramètres'!$P:$P,MATCH($D3511,'Paramètres'!$M:$M,0))&amp;"",""))))</f>
        <v/>
      </c>
      <c r="M3511" s="6" t="str">
        <f>IF($D3511="","",IF(ISNA(MATCH($D3511,'Paramètres'!$M:$M,0)),"⚠ Type inconnu",IF($L3511="Crédit","",IFERROR(INDEX('Paramètres'!$O:$O,MATCH($D3511,'Paramètres'!$M:$M,0))&amp;"",""))))</f>
        <v/>
      </c>
      <c r="N3511" s="6" t="str">
        <f>IF($D3511="","",IFERROR(INDEX('Paramètres'!$Q:$Q,MATCH($D3511,'Paramètres'!$M:$M,0))&amp;"",""))</f>
        <v/>
      </c>
      <c r="O3511" s="6" t="str">
        <f>IF($A3511="","",IF(OR($J3511&lt;&gt;"x",$A3511&lt;=FinReleve),1,0))</f>
        <v/>
      </c>
      <c r="P3511" s="6" t="str">
        <f>IF($D3511="","",IF(AND($L3511="Crédit",OR(IFERROR(INDEX('Paramètres'!$O:$O,MATCH($D3511,'Paramètres'!$M:$M,0))&amp;"","")&lt;&gt;"",ISNUMBER(SEARCH("remboursement",IFERROR(INDEX('Paramètres'!$N:$N,MATCH($D3511,'Paramètres'!$M:$M,0))&amp;"",""))))),1,0))</f>
        <v/>
      </c>
      <c r="Q3511" s="6" t="str">
        <f>IF($K3511="","",IF(ISNUMBER(SEARCH("transfert-interne",IFERROR(INDEX('Paramètres'!$N:$N,MATCH($D3511,'Paramètres'!$M:$M,0))&amp;"",""))),0,IF($L3511="Débit",$K3511,IF($P3511=1,-$K3511,0))))</f>
        <v/>
      </c>
      <c r="R3511" s="6" t="str">
        <f>IF($K3511="","",IF($L3511="Crédit",$K3511,-$K3511))</f>
        <v/>
      </c>
      <c r="S3511" s="6" t="str">
        <f>IF($C3511="","",IFERROR(INDEX('Paramètres'!$H:$H,MATCH($C3511,'Paramètres'!$D:$D,0))&amp;"",""))</f>
        <v/>
      </c>
      <c r="T3511" s="6" t="str">
        <f>IF($K3511="","",IF($S3511="",0,IF(ISNUMBER(SEARCH("apport-exterieur",IFERROR(INDEX('Paramètres'!$N:$N,MATCH($D3511,'Paramètres'!$M:$M,0))&amp;"",""))),0,IF(OR(IFERROR(INDEX('Paramètres'!$I:$I,MATCH($C3511,'Paramètres'!$D:$D,0))&amp;"","")="Les deux",IFERROR(INDEX('Paramètres'!$I:$I,MATCH($C3511,'Paramètres'!$D:$D,0))&amp;"","")=IF($P3511=1,"Débit",$L3511)),-IF($P3511=1,-$K3511,$K3511),0))))</f>
        <v/>
      </c>
      <c r="U3511" s="6" t="str">
        <f>IF($K3511="","",IF(ISNUMBER(SEARCH("sortie-epargne",IFERROR(INDEX('Paramètres'!$N:$N,MATCH($D3511,'Paramètres'!$M:$M,0))&amp;"",""))),$K3511,0))</f>
        <v/>
      </c>
      <c r="V3511" s="6" t="str">
        <f>IF(AND($A3511&lt;&gt;"",$O3511=1,$L3511="Débit",N($Q3511)&gt;0,$A3511&gt;=Visualisation!$B$1,$A3511&lt;Visualisation!$D$1),MAX($V$1:V3510)+1,"")</f>
        <v/>
      </c>
    </row>
    <row r="3512" spans="1:22" x14ac:dyDescent="0.25">
      <c r="A3512" s="9"/>
      <c r="E3512" s="10"/>
      <c r="K3512" s="11" t="str">
        <f>IF($E3512="","",ROUND($E3512*IF(ISNA(MATCH($C3512,'Paramètres'!$D:$D,0)),1,IF(INDEX('Paramètres'!$J:$J,MATCH($C3512,'Paramètres'!$D:$D,0))="",1,INDEX('Paramètres'!$J:$J,MATCH($C3512,'Paramètres'!$D:$D,0)))),2))</f>
        <v/>
      </c>
      <c r="L3512" s="6" t="str">
        <f>IF($D3512="","",IF($F3512&lt;&gt;"",$F3512,IF(ISNA(MATCH($D3512,'Paramètres'!$M:$M,0)),"⚠ Type inconnu",IFERROR(INDEX('Paramètres'!$P:$P,MATCH($D3512,'Paramètres'!$M:$M,0))&amp;"",""))))</f>
        <v/>
      </c>
      <c r="M3512" s="6" t="str">
        <f>IF($D3512="","",IF(ISNA(MATCH($D3512,'Paramètres'!$M:$M,0)),"⚠ Type inconnu",IF($L3512="Crédit","",IFERROR(INDEX('Paramètres'!$O:$O,MATCH($D3512,'Paramètres'!$M:$M,0))&amp;"",""))))</f>
        <v/>
      </c>
      <c r="N3512" s="6" t="str">
        <f>IF($D3512="","",IFERROR(INDEX('Paramètres'!$Q:$Q,MATCH($D3512,'Paramètres'!$M:$M,0))&amp;"",""))</f>
        <v/>
      </c>
      <c r="O3512" s="6" t="str">
        <f>IF($A3512="","",IF(OR($J3512&lt;&gt;"x",$A3512&lt;=FinReleve),1,0))</f>
        <v/>
      </c>
      <c r="P3512" s="6" t="str">
        <f>IF($D3512="","",IF(AND($L3512="Crédit",OR(IFERROR(INDEX('Paramètres'!$O:$O,MATCH($D3512,'Paramètres'!$M:$M,0))&amp;"","")&lt;&gt;"",ISNUMBER(SEARCH("remboursement",IFERROR(INDEX('Paramètres'!$N:$N,MATCH($D3512,'Paramètres'!$M:$M,0))&amp;"",""))))),1,0))</f>
        <v/>
      </c>
      <c r="Q3512" s="6" t="str">
        <f>IF($K3512="","",IF(ISNUMBER(SEARCH("transfert-interne",IFERROR(INDEX('Paramètres'!$N:$N,MATCH($D3512,'Paramètres'!$M:$M,0))&amp;"",""))),0,IF($L3512="Débit",$K3512,IF($P3512=1,-$K3512,0))))</f>
        <v/>
      </c>
      <c r="R3512" s="6" t="str">
        <f>IF($K3512="","",IF($L3512="Crédit",$K3512,-$K3512))</f>
        <v/>
      </c>
      <c r="S3512" s="6" t="str">
        <f>IF($C3512="","",IFERROR(INDEX('Paramètres'!$H:$H,MATCH($C3512,'Paramètres'!$D:$D,0))&amp;"",""))</f>
        <v/>
      </c>
      <c r="T3512" s="6" t="str">
        <f>IF($K3512="","",IF($S3512="",0,IF(ISNUMBER(SEARCH("apport-exterieur",IFERROR(INDEX('Paramètres'!$N:$N,MATCH($D3512,'Paramètres'!$M:$M,0))&amp;"",""))),0,IF(OR(IFERROR(INDEX('Paramètres'!$I:$I,MATCH($C3512,'Paramètres'!$D:$D,0))&amp;"","")="Les deux",IFERROR(INDEX('Paramètres'!$I:$I,MATCH($C3512,'Paramètres'!$D:$D,0))&amp;"","")=IF($P3512=1,"Débit",$L3512)),-IF($P3512=1,-$K3512,$K3512),0))))</f>
        <v/>
      </c>
      <c r="U3512" s="6" t="str">
        <f>IF($K3512="","",IF(ISNUMBER(SEARCH("sortie-epargne",IFERROR(INDEX('Paramètres'!$N:$N,MATCH($D3512,'Paramètres'!$M:$M,0))&amp;"",""))),$K3512,0))</f>
        <v/>
      </c>
      <c r="V3512" s="6" t="str">
        <f>IF(AND($A3512&lt;&gt;"",$O3512=1,$L3512="Débit",N($Q3512)&gt;0,$A3512&gt;=Visualisation!$B$1,$A3512&lt;Visualisation!$D$1),MAX($V$1:V3511)+1,"")</f>
        <v/>
      </c>
    </row>
    <row r="3513" spans="1:22" x14ac:dyDescent="0.25">
      <c r="A3513" s="9"/>
      <c r="E3513" s="10"/>
      <c r="K3513" s="11" t="str">
        <f>IF($E3513="","",ROUND($E3513*IF(ISNA(MATCH($C3513,'Paramètres'!$D:$D,0)),1,IF(INDEX('Paramètres'!$J:$J,MATCH($C3513,'Paramètres'!$D:$D,0))="",1,INDEX('Paramètres'!$J:$J,MATCH($C3513,'Paramètres'!$D:$D,0)))),2))</f>
        <v/>
      </c>
      <c r="L3513" s="6" t="str">
        <f>IF($D3513="","",IF($F3513&lt;&gt;"",$F3513,IF(ISNA(MATCH($D3513,'Paramètres'!$M:$M,0)),"⚠ Type inconnu",IFERROR(INDEX('Paramètres'!$P:$P,MATCH($D3513,'Paramètres'!$M:$M,0))&amp;"",""))))</f>
        <v/>
      </c>
      <c r="M3513" s="6" t="str">
        <f>IF($D3513="","",IF(ISNA(MATCH($D3513,'Paramètres'!$M:$M,0)),"⚠ Type inconnu",IF($L3513="Crédit","",IFERROR(INDEX('Paramètres'!$O:$O,MATCH($D3513,'Paramètres'!$M:$M,0))&amp;"",""))))</f>
        <v/>
      </c>
      <c r="N3513" s="6" t="str">
        <f>IF($D3513="","",IFERROR(INDEX('Paramètres'!$Q:$Q,MATCH($D3513,'Paramètres'!$M:$M,0))&amp;"",""))</f>
        <v/>
      </c>
      <c r="O3513" s="6" t="str">
        <f>IF($A3513="","",IF(OR($J3513&lt;&gt;"x",$A3513&lt;=FinReleve),1,0))</f>
        <v/>
      </c>
      <c r="P3513" s="6" t="str">
        <f>IF($D3513="","",IF(AND($L3513="Crédit",OR(IFERROR(INDEX('Paramètres'!$O:$O,MATCH($D3513,'Paramètres'!$M:$M,0))&amp;"","")&lt;&gt;"",ISNUMBER(SEARCH("remboursement",IFERROR(INDEX('Paramètres'!$N:$N,MATCH($D3513,'Paramètres'!$M:$M,0))&amp;"",""))))),1,0))</f>
        <v/>
      </c>
      <c r="Q3513" s="6" t="str">
        <f>IF($K3513="","",IF(ISNUMBER(SEARCH("transfert-interne",IFERROR(INDEX('Paramètres'!$N:$N,MATCH($D3513,'Paramètres'!$M:$M,0))&amp;"",""))),0,IF($L3513="Débit",$K3513,IF($P3513=1,-$K3513,0))))</f>
        <v/>
      </c>
      <c r="R3513" s="6" t="str">
        <f>IF($K3513="","",IF($L3513="Crédit",$K3513,-$K3513))</f>
        <v/>
      </c>
      <c r="S3513" s="6" t="str">
        <f>IF($C3513="","",IFERROR(INDEX('Paramètres'!$H:$H,MATCH($C3513,'Paramètres'!$D:$D,0))&amp;"",""))</f>
        <v/>
      </c>
      <c r="T3513" s="6" t="str">
        <f>IF($K3513="","",IF($S3513="",0,IF(ISNUMBER(SEARCH("apport-exterieur",IFERROR(INDEX('Paramètres'!$N:$N,MATCH($D3513,'Paramètres'!$M:$M,0))&amp;"",""))),0,IF(OR(IFERROR(INDEX('Paramètres'!$I:$I,MATCH($C3513,'Paramètres'!$D:$D,0))&amp;"","")="Les deux",IFERROR(INDEX('Paramètres'!$I:$I,MATCH($C3513,'Paramètres'!$D:$D,0))&amp;"","")=IF($P3513=1,"Débit",$L3513)),-IF($P3513=1,-$K3513,$K3513),0))))</f>
        <v/>
      </c>
      <c r="U3513" s="6" t="str">
        <f>IF($K3513="","",IF(ISNUMBER(SEARCH("sortie-epargne",IFERROR(INDEX('Paramètres'!$N:$N,MATCH($D3513,'Paramètres'!$M:$M,0))&amp;"",""))),$K3513,0))</f>
        <v/>
      </c>
      <c r="V3513" s="6" t="str">
        <f>IF(AND($A3513&lt;&gt;"",$O3513=1,$L3513="Débit",N($Q3513)&gt;0,$A3513&gt;=Visualisation!$B$1,$A3513&lt;Visualisation!$D$1),MAX($V$1:V3512)+1,"")</f>
        <v/>
      </c>
    </row>
    <row r="3514" spans="1:22" x14ac:dyDescent="0.25">
      <c r="A3514" s="9"/>
      <c r="E3514" s="10"/>
      <c r="K3514" s="11" t="str">
        <f>IF($E3514="","",ROUND($E3514*IF(ISNA(MATCH($C3514,'Paramètres'!$D:$D,0)),1,IF(INDEX('Paramètres'!$J:$J,MATCH($C3514,'Paramètres'!$D:$D,0))="",1,INDEX('Paramètres'!$J:$J,MATCH($C3514,'Paramètres'!$D:$D,0)))),2))</f>
        <v/>
      </c>
      <c r="L3514" s="6" t="str">
        <f>IF($D3514="","",IF($F3514&lt;&gt;"",$F3514,IF(ISNA(MATCH($D3514,'Paramètres'!$M:$M,0)),"⚠ Type inconnu",IFERROR(INDEX('Paramètres'!$P:$P,MATCH($D3514,'Paramètres'!$M:$M,0))&amp;"",""))))</f>
        <v/>
      </c>
      <c r="M3514" s="6" t="str">
        <f>IF($D3514="","",IF(ISNA(MATCH($D3514,'Paramètres'!$M:$M,0)),"⚠ Type inconnu",IF($L3514="Crédit","",IFERROR(INDEX('Paramètres'!$O:$O,MATCH($D3514,'Paramètres'!$M:$M,0))&amp;"",""))))</f>
        <v/>
      </c>
      <c r="N3514" s="6" t="str">
        <f>IF($D3514="","",IFERROR(INDEX('Paramètres'!$Q:$Q,MATCH($D3514,'Paramètres'!$M:$M,0))&amp;"",""))</f>
        <v/>
      </c>
      <c r="O3514" s="6" t="str">
        <f>IF($A3514="","",IF(OR($J3514&lt;&gt;"x",$A3514&lt;=FinReleve),1,0))</f>
        <v/>
      </c>
      <c r="P3514" s="6" t="str">
        <f>IF($D3514="","",IF(AND($L3514="Crédit",OR(IFERROR(INDEX('Paramètres'!$O:$O,MATCH($D3514,'Paramètres'!$M:$M,0))&amp;"","")&lt;&gt;"",ISNUMBER(SEARCH("remboursement",IFERROR(INDEX('Paramètres'!$N:$N,MATCH($D3514,'Paramètres'!$M:$M,0))&amp;"",""))))),1,0))</f>
        <v/>
      </c>
      <c r="Q3514" s="6" t="str">
        <f>IF($K3514="","",IF(ISNUMBER(SEARCH("transfert-interne",IFERROR(INDEX('Paramètres'!$N:$N,MATCH($D3514,'Paramètres'!$M:$M,0))&amp;"",""))),0,IF($L3514="Débit",$K3514,IF($P3514=1,-$K3514,0))))</f>
        <v/>
      </c>
      <c r="R3514" s="6" t="str">
        <f>IF($K3514="","",IF($L3514="Crédit",$K3514,-$K3514))</f>
        <v/>
      </c>
      <c r="S3514" s="6" t="str">
        <f>IF($C3514="","",IFERROR(INDEX('Paramètres'!$H:$H,MATCH($C3514,'Paramètres'!$D:$D,0))&amp;"",""))</f>
        <v/>
      </c>
      <c r="T3514" s="6" t="str">
        <f>IF($K3514="","",IF($S3514="",0,IF(ISNUMBER(SEARCH("apport-exterieur",IFERROR(INDEX('Paramètres'!$N:$N,MATCH($D3514,'Paramètres'!$M:$M,0))&amp;"",""))),0,IF(OR(IFERROR(INDEX('Paramètres'!$I:$I,MATCH($C3514,'Paramètres'!$D:$D,0))&amp;"","")="Les deux",IFERROR(INDEX('Paramètres'!$I:$I,MATCH($C3514,'Paramètres'!$D:$D,0))&amp;"","")=IF($P3514=1,"Débit",$L3514)),-IF($P3514=1,-$K3514,$K3514),0))))</f>
        <v/>
      </c>
      <c r="U3514" s="6" t="str">
        <f>IF($K3514="","",IF(ISNUMBER(SEARCH("sortie-epargne",IFERROR(INDEX('Paramètres'!$N:$N,MATCH($D3514,'Paramètres'!$M:$M,0))&amp;"",""))),$K3514,0))</f>
        <v/>
      </c>
      <c r="V3514" s="6" t="str">
        <f>IF(AND($A3514&lt;&gt;"",$O3514=1,$L3514="Débit",N($Q3514)&gt;0,$A3514&gt;=Visualisation!$B$1,$A3514&lt;Visualisation!$D$1),MAX($V$1:V3513)+1,"")</f>
        <v/>
      </c>
    </row>
    <row r="3515" spans="1:22" x14ac:dyDescent="0.25">
      <c r="A3515" s="9"/>
      <c r="E3515" s="10"/>
      <c r="K3515" s="11" t="str">
        <f>IF($E3515="","",ROUND($E3515*IF(ISNA(MATCH($C3515,'Paramètres'!$D:$D,0)),1,IF(INDEX('Paramètres'!$J:$J,MATCH($C3515,'Paramètres'!$D:$D,0))="",1,INDEX('Paramètres'!$J:$J,MATCH($C3515,'Paramètres'!$D:$D,0)))),2))</f>
        <v/>
      </c>
      <c r="L3515" s="6" t="str">
        <f>IF($D3515="","",IF($F3515&lt;&gt;"",$F3515,IF(ISNA(MATCH($D3515,'Paramètres'!$M:$M,0)),"⚠ Type inconnu",IFERROR(INDEX('Paramètres'!$P:$P,MATCH($D3515,'Paramètres'!$M:$M,0))&amp;"",""))))</f>
        <v/>
      </c>
      <c r="M3515" s="6" t="str">
        <f>IF($D3515="","",IF(ISNA(MATCH($D3515,'Paramètres'!$M:$M,0)),"⚠ Type inconnu",IF($L3515="Crédit","",IFERROR(INDEX('Paramètres'!$O:$O,MATCH($D3515,'Paramètres'!$M:$M,0))&amp;"",""))))</f>
        <v/>
      </c>
      <c r="N3515" s="6" t="str">
        <f>IF($D3515="","",IFERROR(INDEX('Paramètres'!$Q:$Q,MATCH($D3515,'Paramètres'!$M:$M,0))&amp;"",""))</f>
        <v/>
      </c>
      <c r="O3515" s="6" t="str">
        <f>IF($A3515="","",IF(OR($J3515&lt;&gt;"x",$A3515&lt;=FinReleve),1,0))</f>
        <v/>
      </c>
      <c r="P3515" s="6" t="str">
        <f>IF($D3515="","",IF(AND($L3515="Crédit",OR(IFERROR(INDEX('Paramètres'!$O:$O,MATCH($D3515,'Paramètres'!$M:$M,0))&amp;"","")&lt;&gt;"",ISNUMBER(SEARCH("remboursement",IFERROR(INDEX('Paramètres'!$N:$N,MATCH($D3515,'Paramètres'!$M:$M,0))&amp;"",""))))),1,0))</f>
        <v/>
      </c>
      <c r="Q3515" s="6" t="str">
        <f>IF($K3515="","",IF(ISNUMBER(SEARCH("transfert-interne",IFERROR(INDEX('Paramètres'!$N:$N,MATCH($D3515,'Paramètres'!$M:$M,0))&amp;"",""))),0,IF($L3515="Débit",$K3515,IF($P3515=1,-$K3515,0))))</f>
        <v/>
      </c>
      <c r="R3515" s="6" t="str">
        <f>IF($K3515="","",IF($L3515="Crédit",$K3515,-$K3515))</f>
        <v/>
      </c>
      <c r="S3515" s="6" t="str">
        <f>IF($C3515="","",IFERROR(INDEX('Paramètres'!$H:$H,MATCH($C3515,'Paramètres'!$D:$D,0))&amp;"",""))</f>
        <v/>
      </c>
      <c r="T3515" s="6" t="str">
        <f>IF($K3515="","",IF($S3515="",0,IF(ISNUMBER(SEARCH("apport-exterieur",IFERROR(INDEX('Paramètres'!$N:$N,MATCH($D3515,'Paramètres'!$M:$M,0))&amp;"",""))),0,IF(OR(IFERROR(INDEX('Paramètres'!$I:$I,MATCH($C3515,'Paramètres'!$D:$D,0))&amp;"","")="Les deux",IFERROR(INDEX('Paramètres'!$I:$I,MATCH($C3515,'Paramètres'!$D:$D,0))&amp;"","")=IF($P3515=1,"Débit",$L3515)),-IF($P3515=1,-$K3515,$K3515),0))))</f>
        <v/>
      </c>
      <c r="U3515" s="6" t="str">
        <f>IF($K3515="","",IF(ISNUMBER(SEARCH("sortie-epargne",IFERROR(INDEX('Paramètres'!$N:$N,MATCH($D3515,'Paramètres'!$M:$M,0))&amp;"",""))),$K3515,0))</f>
        <v/>
      </c>
      <c r="V3515" s="6" t="str">
        <f>IF(AND($A3515&lt;&gt;"",$O3515=1,$L3515="Débit",N($Q3515)&gt;0,$A3515&gt;=Visualisation!$B$1,$A3515&lt;Visualisation!$D$1),MAX($V$1:V3514)+1,"")</f>
        <v/>
      </c>
    </row>
    <row r="3516" spans="1:22" x14ac:dyDescent="0.25">
      <c r="A3516" s="9"/>
      <c r="E3516" s="10"/>
      <c r="K3516" s="11" t="str">
        <f>IF($E3516="","",ROUND($E3516*IF(ISNA(MATCH($C3516,'Paramètres'!$D:$D,0)),1,IF(INDEX('Paramètres'!$J:$J,MATCH($C3516,'Paramètres'!$D:$D,0))="",1,INDEX('Paramètres'!$J:$J,MATCH($C3516,'Paramètres'!$D:$D,0)))),2))</f>
        <v/>
      </c>
      <c r="L3516" s="6" t="str">
        <f>IF($D3516="","",IF($F3516&lt;&gt;"",$F3516,IF(ISNA(MATCH($D3516,'Paramètres'!$M:$M,0)),"⚠ Type inconnu",IFERROR(INDEX('Paramètres'!$P:$P,MATCH($D3516,'Paramètres'!$M:$M,0))&amp;"",""))))</f>
        <v/>
      </c>
      <c r="M3516" s="6" t="str">
        <f>IF($D3516="","",IF(ISNA(MATCH($D3516,'Paramètres'!$M:$M,0)),"⚠ Type inconnu",IF($L3516="Crédit","",IFERROR(INDEX('Paramètres'!$O:$O,MATCH($D3516,'Paramètres'!$M:$M,0))&amp;"",""))))</f>
        <v/>
      </c>
      <c r="N3516" s="6" t="str">
        <f>IF($D3516="","",IFERROR(INDEX('Paramètres'!$Q:$Q,MATCH($D3516,'Paramètres'!$M:$M,0))&amp;"",""))</f>
        <v/>
      </c>
      <c r="O3516" s="6" t="str">
        <f>IF($A3516="","",IF(OR($J3516&lt;&gt;"x",$A3516&lt;=FinReleve),1,0))</f>
        <v/>
      </c>
      <c r="P3516" s="6" t="str">
        <f>IF($D3516="","",IF(AND($L3516="Crédit",OR(IFERROR(INDEX('Paramètres'!$O:$O,MATCH($D3516,'Paramètres'!$M:$M,0))&amp;"","")&lt;&gt;"",ISNUMBER(SEARCH("remboursement",IFERROR(INDEX('Paramètres'!$N:$N,MATCH($D3516,'Paramètres'!$M:$M,0))&amp;"",""))))),1,0))</f>
        <v/>
      </c>
      <c r="Q3516" s="6" t="str">
        <f>IF($K3516="","",IF(ISNUMBER(SEARCH("transfert-interne",IFERROR(INDEX('Paramètres'!$N:$N,MATCH($D3516,'Paramètres'!$M:$M,0))&amp;"",""))),0,IF($L3516="Débit",$K3516,IF($P3516=1,-$K3516,0))))</f>
        <v/>
      </c>
      <c r="R3516" s="6" t="str">
        <f>IF($K3516="","",IF($L3516="Crédit",$K3516,-$K3516))</f>
        <v/>
      </c>
      <c r="S3516" s="6" t="str">
        <f>IF($C3516="","",IFERROR(INDEX('Paramètres'!$H:$H,MATCH($C3516,'Paramètres'!$D:$D,0))&amp;"",""))</f>
        <v/>
      </c>
      <c r="T3516" s="6" t="str">
        <f>IF($K3516="","",IF($S3516="",0,IF(ISNUMBER(SEARCH("apport-exterieur",IFERROR(INDEX('Paramètres'!$N:$N,MATCH($D3516,'Paramètres'!$M:$M,0))&amp;"",""))),0,IF(OR(IFERROR(INDEX('Paramètres'!$I:$I,MATCH($C3516,'Paramètres'!$D:$D,0))&amp;"","")="Les deux",IFERROR(INDEX('Paramètres'!$I:$I,MATCH($C3516,'Paramètres'!$D:$D,0))&amp;"","")=IF($P3516=1,"Débit",$L3516)),-IF($P3516=1,-$K3516,$K3516),0))))</f>
        <v/>
      </c>
      <c r="U3516" s="6" t="str">
        <f>IF($K3516="","",IF(ISNUMBER(SEARCH("sortie-epargne",IFERROR(INDEX('Paramètres'!$N:$N,MATCH($D3516,'Paramètres'!$M:$M,0))&amp;"",""))),$K3516,0))</f>
        <v/>
      </c>
      <c r="V3516" s="6" t="str">
        <f>IF(AND($A3516&lt;&gt;"",$O3516=1,$L3516="Débit",N($Q3516)&gt;0,$A3516&gt;=Visualisation!$B$1,$A3516&lt;Visualisation!$D$1),MAX($V$1:V3515)+1,"")</f>
        <v/>
      </c>
    </row>
    <row r="3517" spans="1:22" x14ac:dyDescent="0.25">
      <c r="A3517" s="9"/>
      <c r="E3517" s="10"/>
      <c r="K3517" s="11" t="str">
        <f>IF($E3517="","",ROUND($E3517*IF(ISNA(MATCH($C3517,'Paramètres'!$D:$D,0)),1,IF(INDEX('Paramètres'!$J:$J,MATCH($C3517,'Paramètres'!$D:$D,0))="",1,INDEX('Paramètres'!$J:$J,MATCH($C3517,'Paramètres'!$D:$D,0)))),2))</f>
        <v/>
      </c>
      <c r="L3517" s="6" t="str">
        <f>IF($D3517="","",IF($F3517&lt;&gt;"",$F3517,IF(ISNA(MATCH($D3517,'Paramètres'!$M:$M,0)),"⚠ Type inconnu",IFERROR(INDEX('Paramètres'!$P:$P,MATCH($D3517,'Paramètres'!$M:$M,0))&amp;"",""))))</f>
        <v/>
      </c>
      <c r="M3517" s="6" t="str">
        <f>IF($D3517="","",IF(ISNA(MATCH($D3517,'Paramètres'!$M:$M,0)),"⚠ Type inconnu",IF($L3517="Crédit","",IFERROR(INDEX('Paramètres'!$O:$O,MATCH($D3517,'Paramètres'!$M:$M,0))&amp;"",""))))</f>
        <v/>
      </c>
      <c r="N3517" s="6" t="str">
        <f>IF($D3517="","",IFERROR(INDEX('Paramètres'!$Q:$Q,MATCH($D3517,'Paramètres'!$M:$M,0))&amp;"",""))</f>
        <v/>
      </c>
      <c r="O3517" s="6" t="str">
        <f>IF($A3517="","",IF(OR($J3517&lt;&gt;"x",$A3517&lt;=FinReleve),1,0))</f>
        <v/>
      </c>
      <c r="P3517" s="6" t="str">
        <f>IF($D3517="","",IF(AND($L3517="Crédit",OR(IFERROR(INDEX('Paramètres'!$O:$O,MATCH($D3517,'Paramètres'!$M:$M,0))&amp;"","")&lt;&gt;"",ISNUMBER(SEARCH("remboursement",IFERROR(INDEX('Paramètres'!$N:$N,MATCH($D3517,'Paramètres'!$M:$M,0))&amp;"",""))))),1,0))</f>
        <v/>
      </c>
      <c r="Q3517" s="6" t="str">
        <f>IF($K3517="","",IF(ISNUMBER(SEARCH("transfert-interne",IFERROR(INDEX('Paramètres'!$N:$N,MATCH($D3517,'Paramètres'!$M:$M,0))&amp;"",""))),0,IF($L3517="Débit",$K3517,IF($P3517=1,-$K3517,0))))</f>
        <v/>
      </c>
      <c r="R3517" s="6" t="str">
        <f>IF($K3517="","",IF($L3517="Crédit",$K3517,-$K3517))</f>
        <v/>
      </c>
      <c r="S3517" s="6" t="str">
        <f>IF($C3517="","",IFERROR(INDEX('Paramètres'!$H:$H,MATCH($C3517,'Paramètres'!$D:$D,0))&amp;"",""))</f>
        <v/>
      </c>
      <c r="T3517" s="6" t="str">
        <f>IF($K3517="","",IF($S3517="",0,IF(ISNUMBER(SEARCH("apport-exterieur",IFERROR(INDEX('Paramètres'!$N:$N,MATCH($D3517,'Paramètres'!$M:$M,0))&amp;"",""))),0,IF(OR(IFERROR(INDEX('Paramètres'!$I:$I,MATCH($C3517,'Paramètres'!$D:$D,0))&amp;"","")="Les deux",IFERROR(INDEX('Paramètres'!$I:$I,MATCH($C3517,'Paramètres'!$D:$D,0))&amp;"","")=IF($P3517=1,"Débit",$L3517)),-IF($P3517=1,-$K3517,$K3517),0))))</f>
        <v/>
      </c>
      <c r="U3517" s="6" t="str">
        <f>IF($K3517="","",IF(ISNUMBER(SEARCH("sortie-epargne",IFERROR(INDEX('Paramètres'!$N:$N,MATCH($D3517,'Paramètres'!$M:$M,0))&amp;"",""))),$K3517,0))</f>
        <v/>
      </c>
      <c r="V3517" s="6" t="str">
        <f>IF(AND($A3517&lt;&gt;"",$O3517=1,$L3517="Débit",N($Q3517)&gt;0,$A3517&gt;=Visualisation!$B$1,$A3517&lt;Visualisation!$D$1),MAX($V$1:V3516)+1,"")</f>
        <v/>
      </c>
    </row>
    <row r="3518" spans="1:22" x14ac:dyDescent="0.25">
      <c r="A3518" s="9"/>
      <c r="E3518" s="10"/>
      <c r="K3518" s="11" t="str">
        <f>IF($E3518="","",ROUND($E3518*IF(ISNA(MATCH($C3518,'Paramètres'!$D:$D,0)),1,IF(INDEX('Paramètres'!$J:$J,MATCH($C3518,'Paramètres'!$D:$D,0))="",1,INDEX('Paramètres'!$J:$J,MATCH($C3518,'Paramètres'!$D:$D,0)))),2))</f>
        <v/>
      </c>
      <c r="L3518" s="6" t="str">
        <f>IF($D3518="","",IF($F3518&lt;&gt;"",$F3518,IF(ISNA(MATCH($D3518,'Paramètres'!$M:$M,0)),"⚠ Type inconnu",IFERROR(INDEX('Paramètres'!$P:$P,MATCH($D3518,'Paramètres'!$M:$M,0))&amp;"",""))))</f>
        <v/>
      </c>
      <c r="M3518" s="6" t="str">
        <f>IF($D3518="","",IF(ISNA(MATCH($D3518,'Paramètres'!$M:$M,0)),"⚠ Type inconnu",IF($L3518="Crédit","",IFERROR(INDEX('Paramètres'!$O:$O,MATCH($D3518,'Paramètres'!$M:$M,0))&amp;"",""))))</f>
        <v/>
      </c>
      <c r="N3518" s="6" t="str">
        <f>IF($D3518="","",IFERROR(INDEX('Paramètres'!$Q:$Q,MATCH($D3518,'Paramètres'!$M:$M,0))&amp;"",""))</f>
        <v/>
      </c>
      <c r="O3518" s="6" t="str">
        <f>IF($A3518="","",IF(OR($J3518&lt;&gt;"x",$A3518&lt;=FinReleve),1,0))</f>
        <v/>
      </c>
      <c r="P3518" s="6" t="str">
        <f>IF($D3518="","",IF(AND($L3518="Crédit",OR(IFERROR(INDEX('Paramètres'!$O:$O,MATCH($D3518,'Paramètres'!$M:$M,0))&amp;"","")&lt;&gt;"",ISNUMBER(SEARCH("remboursement",IFERROR(INDEX('Paramètres'!$N:$N,MATCH($D3518,'Paramètres'!$M:$M,0))&amp;"",""))))),1,0))</f>
        <v/>
      </c>
      <c r="Q3518" s="6" t="str">
        <f>IF($K3518="","",IF(ISNUMBER(SEARCH("transfert-interne",IFERROR(INDEX('Paramètres'!$N:$N,MATCH($D3518,'Paramètres'!$M:$M,0))&amp;"",""))),0,IF($L3518="Débit",$K3518,IF($P3518=1,-$K3518,0))))</f>
        <v/>
      </c>
      <c r="R3518" s="6" t="str">
        <f>IF($K3518="","",IF($L3518="Crédit",$K3518,-$K3518))</f>
        <v/>
      </c>
      <c r="S3518" s="6" t="str">
        <f>IF($C3518="","",IFERROR(INDEX('Paramètres'!$H:$H,MATCH($C3518,'Paramètres'!$D:$D,0))&amp;"",""))</f>
        <v/>
      </c>
      <c r="T3518" s="6" t="str">
        <f>IF($K3518="","",IF($S3518="",0,IF(ISNUMBER(SEARCH("apport-exterieur",IFERROR(INDEX('Paramètres'!$N:$N,MATCH($D3518,'Paramètres'!$M:$M,0))&amp;"",""))),0,IF(OR(IFERROR(INDEX('Paramètres'!$I:$I,MATCH($C3518,'Paramètres'!$D:$D,0))&amp;"","")="Les deux",IFERROR(INDEX('Paramètres'!$I:$I,MATCH($C3518,'Paramètres'!$D:$D,0))&amp;"","")=IF($P3518=1,"Débit",$L3518)),-IF($P3518=1,-$K3518,$K3518),0))))</f>
        <v/>
      </c>
      <c r="U3518" s="6" t="str">
        <f>IF($K3518="","",IF(ISNUMBER(SEARCH("sortie-epargne",IFERROR(INDEX('Paramètres'!$N:$N,MATCH($D3518,'Paramètres'!$M:$M,0))&amp;"",""))),$K3518,0))</f>
        <v/>
      </c>
      <c r="V3518" s="6" t="str">
        <f>IF(AND($A3518&lt;&gt;"",$O3518=1,$L3518="Débit",N($Q3518)&gt;0,$A3518&gt;=Visualisation!$B$1,$A3518&lt;Visualisation!$D$1),MAX($V$1:V3517)+1,"")</f>
        <v/>
      </c>
    </row>
    <row r="3519" spans="1:22" x14ac:dyDescent="0.25">
      <c r="A3519" s="9"/>
      <c r="E3519" s="10"/>
      <c r="K3519" s="11" t="str">
        <f>IF($E3519="","",ROUND($E3519*IF(ISNA(MATCH($C3519,'Paramètres'!$D:$D,0)),1,IF(INDEX('Paramètres'!$J:$J,MATCH($C3519,'Paramètres'!$D:$D,0))="",1,INDEX('Paramètres'!$J:$J,MATCH($C3519,'Paramètres'!$D:$D,0)))),2))</f>
        <v/>
      </c>
      <c r="L3519" s="6" t="str">
        <f>IF($D3519="","",IF($F3519&lt;&gt;"",$F3519,IF(ISNA(MATCH($D3519,'Paramètres'!$M:$M,0)),"⚠ Type inconnu",IFERROR(INDEX('Paramètres'!$P:$P,MATCH($D3519,'Paramètres'!$M:$M,0))&amp;"",""))))</f>
        <v/>
      </c>
      <c r="M3519" s="6" t="str">
        <f>IF($D3519="","",IF(ISNA(MATCH($D3519,'Paramètres'!$M:$M,0)),"⚠ Type inconnu",IF($L3519="Crédit","",IFERROR(INDEX('Paramètres'!$O:$O,MATCH($D3519,'Paramètres'!$M:$M,0))&amp;"",""))))</f>
        <v/>
      </c>
      <c r="N3519" s="6" t="str">
        <f>IF($D3519="","",IFERROR(INDEX('Paramètres'!$Q:$Q,MATCH($D3519,'Paramètres'!$M:$M,0))&amp;"",""))</f>
        <v/>
      </c>
      <c r="O3519" s="6" t="str">
        <f>IF($A3519="","",IF(OR($J3519&lt;&gt;"x",$A3519&lt;=FinReleve),1,0))</f>
        <v/>
      </c>
      <c r="P3519" s="6" t="str">
        <f>IF($D3519="","",IF(AND($L3519="Crédit",OR(IFERROR(INDEX('Paramètres'!$O:$O,MATCH($D3519,'Paramètres'!$M:$M,0))&amp;"","")&lt;&gt;"",ISNUMBER(SEARCH("remboursement",IFERROR(INDEX('Paramètres'!$N:$N,MATCH($D3519,'Paramètres'!$M:$M,0))&amp;"",""))))),1,0))</f>
        <v/>
      </c>
      <c r="Q3519" s="6" t="str">
        <f>IF($K3519="","",IF(ISNUMBER(SEARCH("transfert-interne",IFERROR(INDEX('Paramètres'!$N:$N,MATCH($D3519,'Paramètres'!$M:$M,0))&amp;"",""))),0,IF($L3519="Débit",$K3519,IF($P3519=1,-$K3519,0))))</f>
        <v/>
      </c>
      <c r="R3519" s="6" t="str">
        <f>IF($K3519="","",IF($L3519="Crédit",$K3519,-$K3519))</f>
        <v/>
      </c>
      <c r="S3519" s="6" t="str">
        <f>IF($C3519="","",IFERROR(INDEX('Paramètres'!$H:$H,MATCH($C3519,'Paramètres'!$D:$D,0))&amp;"",""))</f>
        <v/>
      </c>
      <c r="T3519" s="6" t="str">
        <f>IF($K3519="","",IF($S3519="",0,IF(ISNUMBER(SEARCH("apport-exterieur",IFERROR(INDEX('Paramètres'!$N:$N,MATCH($D3519,'Paramètres'!$M:$M,0))&amp;"",""))),0,IF(OR(IFERROR(INDEX('Paramètres'!$I:$I,MATCH($C3519,'Paramètres'!$D:$D,0))&amp;"","")="Les deux",IFERROR(INDEX('Paramètres'!$I:$I,MATCH($C3519,'Paramètres'!$D:$D,0))&amp;"","")=IF($P3519=1,"Débit",$L3519)),-IF($P3519=1,-$K3519,$K3519),0))))</f>
        <v/>
      </c>
      <c r="U3519" s="6" t="str">
        <f>IF($K3519="","",IF(ISNUMBER(SEARCH("sortie-epargne",IFERROR(INDEX('Paramètres'!$N:$N,MATCH($D3519,'Paramètres'!$M:$M,0))&amp;"",""))),$K3519,0))</f>
        <v/>
      </c>
      <c r="V3519" s="6" t="str">
        <f>IF(AND($A3519&lt;&gt;"",$O3519=1,$L3519="Débit",N($Q3519)&gt;0,$A3519&gt;=Visualisation!$B$1,$A3519&lt;Visualisation!$D$1),MAX($V$1:V3518)+1,"")</f>
        <v/>
      </c>
    </row>
    <row r="3520" spans="1:22" x14ac:dyDescent="0.25">
      <c r="A3520" s="9"/>
      <c r="E3520" s="10"/>
      <c r="K3520" s="11" t="str">
        <f>IF($E3520="","",ROUND($E3520*IF(ISNA(MATCH($C3520,'Paramètres'!$D:$D,0)),1,IF(INDEX('Paramètres'!$J:$J,MATCH($C3520,'Paramètres'!$D:$D,0))="",1,INDEX('Paramètres'!$J:$J,MATCH($C3520,'Paramètres'!$D:$D,0)))),2))</f>
        <v/>
      </c>
      <c r="L3520" s="6" t="str">
        <f>IF($D3520="","",IF($F3520&lt;&gt;"",$F3520,IF(ISNA(MATCH($D3520,'Paramètres'!$M:$M,0)),"⚠ Type inconnu",IFERROR(INDEX('Paramètres'!$P:$P,MATCH($D3520,'Paramètres'!$M:$M,0))&amp;"",""))))</f>
        <v/>
      </c>
      <c r="M3520" s="6" t="str">
        <f>IF($D3520="","",IF(ISNA(MATCH($D3520,'Paramètres'!$M:$M,0)),"⚠ Type inconnu",IF($L3520="Crédit","",IFERROR(INDEX('Paramètres'!$O:$O,MATCH($D3520,'Paramètres'!$M:$M,0))&amp;"",""))))</f>
        <v/>
      </c>
      <c r="N3520" s="6" t="str">
        <f>IF($D3520="","",IFERROR(INDEX('Paramètres'!$Q:$Q,MATCH($D3520,'Paramètres'!$M:$M,0))&amp;"",""))</f>
        <v/>
      </c>
      <c r="O3520" s="6" t="str">
        <f>IF($A3520="","",IF(OR($J3520&lt;&gt;"x",$A3520&lt;=FinReleve),1,0))</f>
        <v/>
      </c>
      <c r="P3520" s="6" t="str">
        <f>IF($D3520="","",IF(AND($L3520="Crédit",OR(IFERROR(INDEX('Paramètres'!$O:$O,MATCH($D3520,'Paramètres'!$M:$M,0))&amp;"","")&lt;&gt;"",ISNUMBER(SEARCH("remboursement",IFERROR(INDEX('Paramètres'!$N:$N,MATCH($D3520,'Paramètres'!$M:$M,0))&amp;"",""))))),1,0))</f>
        <v/>
      </c>
      <c r="Q3520" s="6" t="str">
        <f>IF($K3520="","",IF(ISNUMBER(SEARCH("transfert-interne",IFERROR(INDEX('Paramètres'!$N:$N,MATCH($D3520,'Paramètres'!$M:$M,0))&amp;"",""))),0,IF($L3520="Débit",$K3520,IF($P3520=1,-$K3520,0))))</f>
        <v/>
      </c>
      <c r="R3520" s="6" t="str">
        <f>IF($K3520="","",IF($L3520="Crédit",$K3520,-$K3520))</f>
        <v/>
      </c>
      <c r="S3520" s="6" t="str">
        <f>IF($C3520="","",IFERROR(INDEX('Paramètres'!$H:$H,MATCH($C3520,'Paramètres'!$D:$D,0))&amp;"",""))</f>
        <v/>
      </c>
      <c r="T3520" s="6" t="str">
        <f>IF($K3520="","",IF($S3520="",0,IF(ISNUMBER(SEARCH("apport-exterieur",IFERROR(INDEX('Paramètres'!$N:$N,MATCH($D3520,'Paramètres'!$M:$M,0))&amp;"",""))),0,IF(OR(IFERROR(INDEX('Paramètres'!$I:$I,MATCH($C3520,'Paramètres'!$D:$D,0))&amp;"","")="Les deux",IFERROR(INDEX('Paramètres'!$I:$I,MATCH($C3520,'Paramètres'!$D:$D,0))&amp;"","")=IF($P3520=1,"Débit",$L3520)),-IF($P3520=1,-$K3520,$K3520),0))))</f>
        <v/>
      </c>
      <c r="U3520" s="6" t="str">
        <f>IF($K3520="","",IF(ISNUMBER(SEARCH("sortie-epargne",IFERROR(INDEX('Paramètres'!$N:$N,MATCH($D3520,'Paramètres'!$M:$M,0))&amp;"",""))),$K3520,0))</f>
        <v/>
      </c>
      <c r="V3520" s="6" t="str">
        <f>IF(AND($A3520&lt;&gt;"",$O3520=1,$L3520="Débit",N($Q3520)&gt;0,$A3520&gt;=Visualisation!$B$1,$A3520&lt;Visualisation!$D$1),MAX($V$1:V3519)+1,"")</f>
        <v/>
      </c>
    </row>
    <row r="3521" spans="1:22" x14ac:dyDescent="0.25">
      <c r="A3521" s="9"/>
      <c r="E3521" s="10"/>
      <c r="K3521" s="11" t="str">
        <f>IF($E3521="","",ROUND($E3521*IF(ISNA(MATCH($C3521,'Paramètres'!$D:$D,0)),1,IF(INDEX('Paramètres'!$J:$J,MATCH($C3521,'Paramètres'!$D:$D,0))="",1,INDEX('Paramètres'!$J:$J,MATCH($C3521,'Paramètres'!$D:$D,0)))),2))</f>
        <v/>
      </c>
      <c r="L3521" s="6" t="str">
        <f>IF($D3521="","",IF($F3521&lt;&gt;"",$F3521,IF(ISNA(MATCH($D3521,'Paramètres'!$M:$M,0)),"⚠ Type inconnu",IFERROR(INDEX('Paramètres'!$P:$P,MATCH($D3521,'Paramètres'!$M:$M,0))&amp;"",""))))</f>
        <v/>
      </c>
      <c r="M3521" s="6" t="str">
        <f>IF($D3521="","",IF(ISNA(MATCH($D3521,'Paramètres'!$M:$M,0)),"⚠ Type inconnu",IF($L3521="Crédit","",IFERROR(INDEX('Paramètres'!$O:$O,MATCH($D3521,'Paramètres'!$M:$M,0))&amp;"",""))))</f>
        <v/>
      </c>
      <c r="N3521" s="6" t="str">
        <f>IF($D3521="","",IFERROR(INDEX('Paramètres'!$Q:$Q,MATCH($D3521,'Paramètres'!$M:$M,0))&amp;"",""))</f>
        <v/>
      </c>
      <c r="O3521" s="6" t="str">
        <f>IF($A3521="","",IF(OR($J3521&lt;&gt;"x",$A3521&lt;=FinReleve),1,0))</f>
        <v/>
      </c>
      <c r="P3521" s="6" t="str">
        <f>IF($D3521="","",IF(AND($L3521="Crédit",OR(IFERROR(INDEX('Paramètres'!$O:$O,MATCH($D3521,'Paramètres'!$M:$M,0))&amp;"","")&lt;&gt;"",ISNUMBER(SEARCH("remboursement",IFERROR(INDEX('Paramètres'!$N:$N,MATCH($D3521,'Paramètres'!$M:$M,0))&amp;"",""))))),1,0))</f>
        <v/>
      </c>
      <c r="Q3521" s="6" t="str">
        <f>IF($K3521="","",IF(ISNUMBER(SEARCH("transfert-interne",IFERROR(INDEX('Paramètres'!$N:$N,MATCH($D3521,'Paramètres'!$M:$M,0))&amp;"",""))),0,IF($L3521="Débit",$K3521,IF($P3521=1,-$K3521,0))))</f>
        <v/>
      </c>
      <c r="R3521" s="6" t="str">
        <f>IF($K3521="","",IF($L3521="Crédit",$K3521,-$K3521))</f>
        <v/>
      </c>
      <c r="S3521" s="6" t="str">
        <f>IF($C3521="","",IFERROR(INDEX('Paramètres'!$H:$H,MATCH($C3521,'Paramètres'!$D:$D,0))&amp;"",""))</f>
        <v/>
      </c>
      <c r="T3521" s="6" t="str">
        <f>IF($K3521="","",IF($S3521="",0,IF(ISNUMBER(SEARCH("apport-exterieur",IFERROR(INDEX('Paramètres'!$N:$N,MATCH($D3521,'Paramètres'!$M:$M,0))&amp;"",""))),0,IF(OR(IFERROR(INDEX('Paramètres'!$I:$I,MATCH($C3521,'Paramètres'!$D:$D,0))&amp;"","")="Les deux",IFERROR(INDEX('Paramètres'!$I:$I,MATCH($C3521,'Paramètres'!$D:$D,0))&amp;"","")=IF($P3521=1,"Débit",$L3521)),-IF($P3521=1,-$K3521,$K3521),0))))</f>
        <v/>
      </c>
      <c r="U3521" s="6" t="str">
        <f>IF($K3521="","",IF(ISNUMBER(SEARCH("sortie-epargne",IFERROR(INDEX('Paramètres'!$N:$N,MATCH($D3521,'Paramètres'!$M:$M,0))&amp;"",""))),$K3521,0))</f>
        <v/>
      </c>
      <c r="V3521" s="6" t="str">
        <f>IF(AND($A3521&lt;&gt;"",$O3521=1,$L3521="Débit",N($Q3521)&gt;0,$A3521&gt;=Visualisation!$B$1,$A3521&lt;Visualisation!$D$1),MAX($V$1:V3520)+1,"")</f>
        <v/>
      </c>
    </row>
    <row r="3522" spans="1:22" x14ac:dyDescent="0.25">
      <c r="A3522" s="9"/>
      <c r="E3522" s="10"/>
      <c r="K3522" s="11" t="str">
        <f>IF($E3522="","",ROUND($E3522*IF(ISNA(MATCH($C3522,'Paramètres'!$D:$D,0)),1,IF(INDEX('Paramètres'!$J:$J,MATCH($C3522,'Paramètres'!$D:$D,0))="",1,INDEX('Paramètres'!$J:$J,MATCH($C3522,'Paramètres'!$D:$D,0)))),2))</f>
        <v/>
      </c>
      <c r="L3522" s="6" t="str">
        <f>IF($D3522="","",IF($F3522&lt;&gt;"",$F3522,IF(ISNA(MATCH($D3522,'Paramètres'!$M:$M,0)),"⚠ Type inconnu",IFERROR(INDEX('Paramètres'!$P:$P,MATCH($D3522,'Paramètres'!$M:$M,0))&amp;"",""))))</f>
        <v/>
      </c>
      <c r="M3522" s="6" t="str">
        <f>IF($D3522="","",IF(ISNA(MATCH($D3522,'Paramètres'!$M:$M,0)),"⚠ Type inconnu",IF($L3522="Crédit","",IFERROR(INDEX('Paramètres'!$O:$O,MATCH($D3522,'Paramètres'!$M:$M,0))&amp;"",""))))</f>
        <v/>
      </c>
      <c r="N3522" s="6" t="str">
        <f>IF($D3522="","",IFERROR(INDEX('Paramètres'!$Q:$Q,MATCH($D3522,'Paramètres'!$M:$M,0))&amp;"",""))</f>
        <v/>
      </c>
      <c r="O3522" s="6" t="str">
        <f>IF($A3522="","",IF(OR($J3522&lt;&gt;"x",$A3522&lt;=FinReleve),1,0))</f>
        <v/>
      </c>
      <c r="P3522" s="6" t="str">
        <f>IF($D3522="","",IF(AND($L3522="Crédit",OR(IFERROR(INDEX('Paramètres'!$O:$O,MATCH($D3522,'Paramètres'!$M:$M,0))&amp;"","")&lt;&gt;"",ISNUMBER(SEARCH("remboursement",IFERROR(INDEX('Paramètres'!$N:$N,MATCH($D3522,'Paramètres'!$M:$M,0))&amp;"",""))))),1,0))</f>
        <v/>
      </c>
      <c r="Q3522" s="6" t="str">
        <f>IF($K3522="","",IF(ISNUMBER(SEARCH("transfert-interne",IFERROR(INDEX('Paramètres'!$N:$N,MATCH($D3522,'Paramètres'!$M:$M,0))&amp;"",""))),0,IF($L3522="Débit",$K3522,IF($P3522=1,-$K3522,0))))</f>
        <v/>
      </c>
      <c r="R3522" s="6" t="str">
        <f>IF($K3522="","",IF($L3522="Crédit",$K3522,-$K3522))</f>
        <v/>
      </c>
      <c r="S3522" s="6" t="str">
        <f>IF($C3522="","",IFERROR(INDEX('Paramètres'!$H:$H,MATCH($C3522,'Paramètres'!$D:$D,0))&amp;"",""))</f>
        <v/>
      </c>
      <c r="T3522" s="6" t="str">
        <f>IF($K3522="","",IF($S3522="",0,IF(ISNUMBER(SEARCH("apport-exterieur",IFERROR(INDEX('Paramètres'!$N:$N,MATCH($D3522,'Paramètres'!$M:$M,0))&amp;"",""))),0,IF(OR(IFERROR(INDEX('Paramètres'!$I:$I,MATCH($C3522,'Paramètres'!$D:$D,0))&amp;"","")="Les deux",IFERROR(INDEX('Paramètres'!$I:$I,MATCH($C3522,'Paramètres'!$D:$D,0))&amp;"","")=IF($P3522=1,"Débit",$L3522)),-IF($P3522=1,-$K3522,$K3522),0))))</f>
        <v/>
      </c>
      <c r="U3522" s="6" t="str">
        <f>IF($K3522="","",IF(ISNUMBER(SEARCH("sortie-epargne",IFERROR(INDEX('Paramètres'!$N:$N,MATCH($D3522,'Paramètres'!$M:$M,0))&amp;"",""))),$K3522,0))</f>
        <v/>
      </c>
      <c r="V3522" s="6" t="str">
        <f>IF(AND($A3522&lt;&gt;"",$O3522=1,$L3522="Débit",N($Q3522)&gt;0,$A3522&gt;=Visualisation!$B$1,$A3522&lt;Visualisation!$D$1),MAX($V$1:V3521)+1,"")</f>
        <v/>
      </c>
    </row>
    <row r="3523" spans="1:22" x14ac:dyDescent="0.25">
      <c r="A3523" s="9"/>
      <c r="E3523" s="10"/>
      <c r="K3523" s="11" t="str">
        <f>IF($E3523="","",ROUND($E3523*IF(ISNA(MATCH($C3523,'Paramètres'!$D:$D,0)),1,IF(INDEX('Paramètres'!$J:$J,MATCH($C3523,'Paramètres'!$D:$D,0))="",1,INDEX('Paramètres'!$J:$J,MATCH($C3523,'Paramètres'!$D:$D,0)))),2))</f>
        <v/>
      </c>
      <c r="L3523" s="6" t="str">
        <f>IF($D3523="","",IF($F3523&lt;&gt;"",$F3523,IF(ISNA(MATCH($D3523,'Paramètres'!$M:$M,0)),"⚠ Type inconnu",IFERROR(INDEX('Paramètres'!$P:$P,MATCH($D3523,'Paramètres'!$M:$M,0))&amp;"",""))))</f>
        <v/>
      </c>
      <c r="M3523" s="6" t="str">
        <f>IF($D3523="","",IF(ISNA(MATCH($D3523,'Paramètres'!$M:$M,0)),"⚠ Type inconnu",IF($L3523="Crédit","",IFERROR(INDEX('Paramètres'!$O:$O,MATCH($D3523,'Paramètres'!$M:$M,0))&amp;"",""))))</f>
        <v/>
      </c>
      <c r="N3523" s="6" t="str">
        <f>IF($D3523="","",IFERROR(INDEX('Paramètres'!$Q:$Q,MATCH($D3523,'Paramètres'!$M:$M,0))&amp;"",""))</f>
        <v/>
      </c>
      <c r="O3523" s="6" t="str">
        <f>IF($A3523="","",IF(OR($J3523&lt;&gt;"x",$A3523&lt;=FinReleve),1,0))</f>
        <v/>
      </c>
      <c r="P3523" s="6" t="str">
        <f>IF($D3523="","",IF(AND($L3523="Crédit",OR(IFERROR(INDEX('Paramètres'!$O:$O,MATCH($D3523,'Paramètres'!$M:$M,0))&amp;"","")&lt;&gt;"",ISNUMBER(SEARCH("remboursement",IFERROR(INDEX('Paramètres'!$N:$N,MATCH($D3523,'Paramètres'!$M:$M,0))&amp;"",""))))),1,0))</f>
        <v/>
      </c>
      <c r="Q3523" s="6" t="str">
        <f>IF($K3523="","",IF(ISNUMBER(SEARCH("transfert-interne",IFERROR(INDEX('Paramètres'!$N:$N,MATCH($D3523,'Paramètres'!$M:$M,0))&amp;"",""))),0,IF($L3523="Débit",$K3523,IF($P3523=1,-$K3523,0))))</f>
        <v/>
      </c>
      <c r="R3523" s="6" t="str">
        <f>IF($K3523="","",IF($L3523="Crédit",$K3523,-$K3523))</f>
        <v/>
      </c>
      <c r="S3523" s="6" t="str">
        <f>IF($C3523="","",IFERROR(INDEX('Paramètres'!$H:$H,MATCH($C3523,'Paramètres'!$D:$D,0))&amp;"",""))</f>
        <v/>
      </c>
      <c r="T3523" s="6" t="str">
        <f>IF($K3523="","",IF($S3523="",0,IF(ISNUMBER(SEARCH("apport-exterieur",IFERROR(INDEX('Paramètres'!$N:$N,MATCH($D3523,'Paramètres'!$M:$M,0))&amp;"",""))),0,IF(OR(IFERROR(INDEX('Paramètres'!$I:$I,MATCH($C3523,'Paramètres'!$D:$D,0))&amp;"","")="Les deux",IFERROR(INDEX('Paramètres'!$I:$I,MATCH($C3523,'Paramètres'!$D:$D,0))&amp;"","")=IF($P3523=1,"Débit",$L3523)),-IF($P3523=1,-$K3523,$K3523),0))))</f>
        <v/>
      </c>
      <c r="U3523" s="6" t="str">
        <f>IF($K3523="","",IF(ISNUMBER(SEARCH("sortie-epargne",IFERROR(INDEX('Paramètres'!$N:$N,MATCH($D3523,'Paramètres'!$M:$M,0))&amp;"",""))),$K3523,0))</f>
        <v/>
      </c>
      <c r="V3523" s="6" t="str">
        <f>IF(AND($A3523&lt;&gt;"",$O3523=1,$L3523="Débit",N($Q3523)&gt;0,$A3523&gt;=Visualisation!$B$1,$A3523&lt;Visualisation!$D$1),MAX($V$1:V3522)+1,"")</f>
        <v/>
      </c>
    </row>
    <row r="3524" spans="1:22" x14ac:dyDescent="0.25">
      <c r="A3524" s="9"/>
      <c r="E3524" s="10"/>
      <c r="K3524" s="11" t="str">
        <f>IF($E3524="","",ROUND($E3524*IF(ISNA(MATCH($C3524,'Paramètres'!$D:$D,0)),1,IF(INDEX('Paramètres'!$J:$J,MATCH($C3524,'Paramètres'!$D:$D,0))="",1,INDEX('Paramètres'!$J:$J,MATCH($C3524,'Paramètres'!$D:$D,0)))),2))</f>
        <v/>
      </c>
      <c r="L3524" s="6" t="str">
        <f>IF($D3524="","",IF($F3524&lt;&gt;"",$F3524,IF(ISNA(MATCH($D3524,'Paramètres'!$M:$M,0)),"⚠ Type inconnu",IFERROR(INDEX('Paramètres'!$P:$P,MATCH($D3524,'Paramètres'!$M:$M,0))&amp;"",""))))</f>
        <v/>
      </c>
      <c r="M3524" s="6" t="str">
        <f>IF($D3524="","",IF(ISNA(MATCH($D3524,'Paramètres'!$M:$M,0)),"⚠ Type inconnu",IF($L3524="Crédit","",IFERROR(INDEX('Paramètres'!$O:$O,MATCH($D3524,'Paramètres'!$M:$M,0))&amp;"",""))))</f>
        <v/>
      </c>
      <c r="N3524" s="6" t="str">
        <f>IF($D3524="","",IFERROR(INDEX('Paramètres'!$Q:$Q,MATCH($D3524,'Paramètres'!$M:$M,0))&amp;"",""))</f>
        <v/>
      </c>
      <c r="O3524" s="6" t="str">
        <f>IF($A3524="","",IF(OR($J3524&lt;&gt;"x",$A3524&lt;=FinReleve),1,0))</f>
        <v/>
      </c>
      <c r="P3524" s="6" t="str">
        <f>IF($D3524="","",IF(AND($L3524="Crédit",OR(IFERROR(INDEX('Paramètres'!$O:$O,MATCH($D3524,'Paramètres'!$M:$M,0))&amp;"","")&lt;&gt;"",ISNUMBER(SEARCH("remboursement",IFERROR(INDEX('Paramètres'!$N:$N,MATCH($D3524,'Paramètres'!$M:$M,0))&amp;"",""))))),1,0))</f>
        <v/>
      </c>
      <c r="Q3524" s="6" t="str">
        <f>IF($K3524="","",IF(ISNUMBER(SEARCH("transfert-interne",IFERROR(INDEX('Paramètres'!$N:$N,MATCH($D3524,'Paramètres'!$M:$M,0))&amp;"",""))),0,IF($L3524="Débit",$K3524,IF($P3524=1,-$K3524,0))))</f>
        <v/>
      </c>
      <c r="R3524" s="6" t="str">
        <f>IF($K3524="","",IF($L3524="Crédit",$K3524,-$K3524))</f>
        <v/>
      </c>
      <c r="S3524" s="6" t="str">
        <f>IF($C3524="","",IFERROR(INDEX('Paramètres'!$H:$H,MATCH($C3524,'Paramètres'!$D:$D,0))&amp;"",""))</f>
        <v/>
      </c>
      <c r="T3524" s="6" t="str">
        <f>IF($K3524="","",IF($S3524="",0,IF(ISNUMBER(SEARCH("apport-exterieur",IFERROR(INDEX('Paramètres'!$N:$N,MATCH($D3524,'Paramètres'!$M:$M,0))&amp;"",""))),0,IF(OR(IFERROR(INDEX('Paramètres'!$I:$I,MATCH($C3524,'Paramètres'!$D:$D,0))&amp;"","")="Les deux",IFERROR(INDEX('Paramètres'!$I:$I,MATCH($C3524,'Paramètres'!$D:$D,0))&amp;"","")=IF($P3524=1,"Débit",$L3524)),-IF($P3524=1,-$K3524,$K3524),0))))</f>
        <v/>
      </c>
      <c r="U3524" s="6" t="str">
        <f>IF($K3524="","",IF(ISNUMBER(SEARCH("sortie-epargne",IFERROR(INDEX('Paramètres'!$N:$N,MATCH($D3524,'Paramètres'!$M:$M,0))&amp;"",""))),$K3524,0))</f>
        <v/>
      </c>
      <c r="V3524" s="6" t="str">
        <f>IF(AND($A3524&lt;&gt;"",$O3524=1,$L3524="Débit",N($Q3524)&gt;0,$A3524&gt;=Visualisation!$B$1,$A3524&lt;Visualisation!$D$1),MAX($V$1:V3523)+1,"")</f>
        <v/>
      </c>
    </row>
    <row r="3525" spans="1:22" x14ac:dyDescent="0.25">
      <c r="A3525" s="9"/>
      <c r="E3525" s="10"/>
      <c r="K3525" s="11" t="str">
        <f>IF($E3525="","",ROUND($E3525*IF(ISNA(MATCH($C3525,'Paramètres'!$D:$D,0)),1,IF(INDEX('Paramètres'!$J:$J,MATCH($C3525,'Paramètres'!$D:$D,0))="",1,INDEX('Paramètres'!$J:$J,MATCH($C3525,'Paramètres'!$D:$D,0)))),2))</f>
        <v/>
      </c>
      <c r="L3525" s="6" t="str">
        <f>IF($D3525="","",IF($F3525&lt;&gt;"",$F3525,IF(ISNA(MATCH($D3525,'Paramètres'!$M:$M,0)),"⚠ Type inconnu",IFERROR(INDEX('Paramètres'!$P:$P,MATCH($D3525,'Paramètres'!$M:$M,0))&amp;"",""))))</f>
        <v/>
      </c>
      <c r="M3525" s="6" t="str">
        <f>IF($D3525="","",IF(ISNA(MATCH($D3525,'Paramètres'!$M:$M,0)),"⚠ Type inconnu",IF($L3525="Crédit","",IFERROR(INDEX('Paramètres'!$O:$O,MATCH($D3525,'Paramètres'!$M:$M,0))&amp;"",""))))</f>
        <v/>
      </c>
      <c r="N3525" s="6" t="str">
        <f>IF($D3525="","",IFERROR(INDEX('Paramètres'!$Q:$Q,MATCH($D3525,'Paramètres'!$M:$M,0))&amp;"",""))</f>
        <v/>
      </c>
      <c r="O3525" s="6" t="str">
        <f>IF($A3525="","",IF(OR($J3525&lt;&gt;"x",$A3525&lt;=FinReleve),1,0))</f>
        <v/>
      </c>
      <c r="P3525" s="6" t="str">
        <f>IF($D3525="","",IF(AND($L3525="Crédit",OR(IFERROR(INDEX('Paramètres'!$O:$O,MATCH($D3525,'Paramètres'!$M:$M,0))&amp;"","")&lt;&gt;"",ISNUMBER(SEARCH("remboursement",IFERROR(INDEX('Paramètres'!$N:$N,MATCH($D3525,'Paramètres'!$M:$M,0))&amp;"",""))))),1,0))</f>
        <v/>
      </c>
      <c r="Q3525" s="6" t="str">
        <f>IF($K3525="","",IF(ISNUMBER(SEARCH("transfert-interne",IFERROR(INDEX('Paramètres'!$N:$N,MATCH($D3525,'Paramètres'!$M:$M,0))&amp;"",""))),0,IF($L3525="Débit",$K3525,IF($P3525=1,-$K3525,0))))</f>
        <v/>
      </c>
      <c r="R3525" s="6" t="str">
        <f>IF($K3525="","",IF($L3525="Crédit",$K3525,-$K3525))</f>
        <v/>
      </c>
      <c r="S3525" s="6" t="str">
        <f>IF($C3525="","",IFERROR(INDEX('Paramètres'!$H:$H,MATCH($C3525,'Paramètres'!$D:$D,0))&amp;"",""))</f>
        <v/>
      </c>
      <c r="T3525" s="6" t="str">
        <f>IF($K3525="","",IF($S3525="",0,IF(ISNUMBER(SEARCH("apport-exterieur",IFERROR(INDEX('Paramètres'!$N:$N,MATCH($D3525,'Paramètres'!$M:$M,0))&amp;"",""))),0,IF(OR(IFERROR(INDEX('Paramètres'!$I:$I,MATCH($C3525,'Paramètres'!$D:$D,0))&amp;"","")="Les deux",IFERROR(INDEX('Paramètres'!$I:$I,MATCH($C3525,'Paramètres'!$D:$D,0))&amp;"","")=IF($P3525=1,"Débit",$L3525)),-IF($P3525=1,-$K3525,$K3525),0))))</f>
        <v/>
      </c>
      <c r="U3525" s="6" t="str">
        <f>IF($K3525="","",IF(ISNUMBER(SEARCH("sortie-epargne",IFERROR(INDEX('Paramètres'!$N:$N,MATCH($D3525,'Paramètres'!$M:$M,0))&amp;"",""))),$K3525,0))</f>
        <v/>
      </c>
      <c r="V3525" s="6" t="str">
        <f>IF(AND($A3525&lt;&gt;"",$O3525=1,$L3525="Débit",N($Q3525)&gt;0,$A3525&gt;=Visualisation!$B$1,$A3525&lt;Visualisation!$D$1),MAX($V$1:V3524)+1,"")</f>
        <v/>
      </c>
    </row>
    <row r="3526" spans="1:22" x14ac:dyDescent="0.25">
      <c r="A3526" s="9"/>
      <c r="E3526" s="10"/>
      <c r="K3526" s="11" t="str">
        <f>IF($E3526="","",ROUND($E3526*IF(ISNA(MATCH($C3526,'Paramètres'!$D:$D,0)),1,IF(INDEX('Paramètres'!$J:$J,MATCH($C3526,'Paramètres'!$D:$D,0))="",1,INDEX('Paramètres'!$J:$J,MATCH($C3526,'Paramètres'!$D:$D,0)))),2))</f>
        <v/>
      </c>
      <c r="L3526" s="6" t="str">
        <f>IF($D3526="","",IF($F3526&lt;&gt;"",$F3526,IF(ISNA(MATCH($D3526,'Paramètres'!$M:$M,0)),"⚠ Type inconnu",IFERROR(INDEX('Paramètres'!$P:$P,MATCH($D3526,'Paramètres'!$M:$M,0))&amp;"",""))))</f>
        <v/>
      </c>
      <c r="M3526" s="6" t="str">
        <f>IF($D3526="","",IF(ISNA(MATCH($D3526,'Paramètres'!$M:$M,0)),"⚠ Type inconnu",IF($L3526="Crédit","",IFERROR(INDEX('Paramètres'!$O:$O,MATCH($D3526,'Paramètres'!$M:$M,0))&amp;"",""))))</f>
        <v/>
      </c>
      <c r="N3526" s="6" t="str">
        <f>IF($D3526="","",IFERROR(INDEX('Paramètres'!$Q:$Q,MATCH($D3526,'Paramètres'!$M:$M,0))&amp;"",""))</f>
        <v/>
      </c>
      <c r="O3526" s="6" t="str">
        <f>IF($A3526="","",IF(OR($J3526&lt;&gt;"x",$A3526&lt;=FinReleve),1,0))</f>
        <v/>
      </c>
      <c r="P3526" s="6" t="str">
        <f>IF($D3526="","",IF(AND($L3526="Crédit",OR(IFERROR(INDEX('Paramètres'!$O:$O,MATCH($D3526,'Paramètres'!$M:$M,0))&amp;"","")&lt;&gt;"",ISNUMBER(SEARCH("remboursement",IFERROR(INDEX('Paramètres'!$N:$N,MATCH($D3526,'Paramètres'!$M:$M,0))&amp;"",""))))),1,0))</f>
        <v/>
      </c>
      <c r="Q3526" s="6" t="str">
        <f>IF($K3526="","",IF(ISNUMBER(SEARCH("transfert-interne",IFERROR(INDEX('Paramètres'!$N:$N,MATCH($D3526,'Paramètres'!$M:$M,0))&amp;"",""))),0,IF($L3526="Débit",$K3526,IF($P3526=1,-$K3526,0))))</f>
        <v/>
      </c>
      <c r="R3526" s="6" t="str">
        <f>IF($K3526="","",IF($L3526="Crédit",$K3526,-$K3526))</f>
        <v/>
      </c>
      <c r="S3526" s="6" t="str">
        <f>IF($C3526="","",IFERROR(INDEX('Paramètres'!$H:$H,MATCH($C3526,'Paramètres'!$D:$D,0))&amp;"",""))</f>
        <v/>
      </c>
      <c r="T3526" s="6" t="str">
        <f>IF($K3526="","",IF($S3526="",0,IF(ISNUMBER(SEARCH("apport-exterieur",IFERROR(INDEX('Paramètres'!$N:$N,MATCH($D3526,'Paramètres'!$M:$M,0))&amp;"",""))),0,IF(OR(IFERROR(INDEX('Paramètres'!$I:$I,MATCH($C3526,'Paramètres'!$D:$D,0))&amp;"","")="Les deux",IFERROR(INDEX('Paramètres'!$I:$I,MATCH($C3526,'Paramètres'!$D:$D,0))&amp;"","")=IF($P3526=1,"Débit",$L3526)),-IF($P3526=1,-$K3526,$K3526),0))))</f>
        <v/>
      </c>
      <c r="U3526" s="6" t="str">
        <f>IF($K3526="","",IF(ISNUMBER(SEARCH("sortie-epargne",IFERROR(INDEX('Paramètres'!$N:$N,MATCH($D3526,'Paramètres'!$M:$M,0))&amp;"",""))),$K3526,0))</f>
        <v/>
      </c>
      <c r="V3526" s="6" t="str">
        <f>IF(AND($A3526&lt;&gt;"",$O3526=1,$L3526="Débit",N($Q3526)&gt;0,$A3526&gt;=Visualisation!$B$1,$A3526&lt;Visualisation!$D$1),MAX($V$1:V3525)+1,"")</f>
        <v/>
      </c>
    </row>
    <row r="3527" spans="1:22" x14ac:dyDescent="0.25">
      <c r="A3527" s="9"/>
      <c r="E3527" s="10"/>
      <c r="K3527" s="11" t="str">
        <f>IF($E3527="","",ROUND($E3527*IF(ISNA(MATCH($C3527,'Paramètres'!$D:$D,0)),1,IF(INDEX('Paramètres'!$J:$J,MATCH($C3527,'Paramètres'!$D:$D,0))="",1,INDEX('Paramètres'!$J:$J,MATCH($C3527,'Paramètres'!$D:$D,0)))),2))</f>
        <v/>
      </c>
      <c r="L3527" s="6" t="str">
        <f>IF($D3527="","",IF($F3527&lt;&gt;"",$F3527,IF(ISNA(MATCH($D3527,'Paramètres'!$M:$M,0)),"⚠ Type inconnu",IFERROR(INDEX('Paramètres'!$P:$P,MATCH($D3527,'Paramètres'!$M:$M,0))&amp;"",""))))</f>
        <v/>
      </c>
      <c r="M3527" s="6" t="str">
        <f>IF($D3527="","",IF(ISNA(MATCH($D3527,'Paramètres'!$M:$M,0)),"⚠ Type inconnu",IF($L3527="Crédit","",IFERROR(INDEX('Paramètres'!$O:$O,MATCH($D3527,'Paramètres'!$M:$M,0))&amp;"",""))))</f>
        <v/>
      </c>
      <c r="N3527" s="6" t="str">
        <f>IF($D3527="","",IFERROR(INDEX('Paramètres'!$Q:$Q,MATCH($D3527,'Paramètres'!$M:$M,0))&amp;"",""))</f>
        <v/>
      </c>
      <c r="O3527" s="6" t="str">
        <f>IF($A3527="","",IF(OR($J3527&lt;&gt;"x",$A3527&lt;=FinReleve),1,0))</f>
        <v/>
      </c>
      <c r="P3527" s="6" t="str">
        <f>IF($D3527="","",IF(AND($L3527="Crédit",OR(IFERROR(INDEX('Paramètres'!$O:$O,MATCH($D3527,'Paramètres'!$M:$M,0))&amp;"","")&lt;&gt;"",ISNUMBER(SEARCH("remboursement",IFERROR(INDEX('Paramètres'!$N:$N,MATCH($D3527,'Paramètres'!$M:$M,0))&amp;"",""))))),1,0))</f>
        <v/>
      </c>
      <c r="Q3527" s="6" t="str">
        <f>IF($K3527="","",IF(ISNUMBER(SEARCH("transfert-interne",IFERROR(INDEX('Paramètres'!$N:$N,MATCH($D3527,'Paramètres'!$M:$M,0))&amp;"",""))),0,IF($L3527="Débit",$K3527,IF($P3527=1,-$K3527,0))))</f>
        <v/>
      </c>
      <c r="R3527" s="6" t="str">
        <f>IF($K3527="","",IF($L3527="Crédit",$K3527,-$K3527))</f>
        <v/>
      </c>
      <c r="S3527" s="6" t="str">
        <f>IF($C3527="","",IFERROR(INDEX('Paramètres'!$H:$H,MATCH($C3527,'Paramètres'!$D:$D,0))&amp;"",""))</f>
        <v/>
      </c>
      <c r="T3527" s="6" t="str">
        <f>IF($K3527="","",IF($S3527="",0,IF(ISNUMBER(SEARCH("apport-exterieur",IFERROR(INDEX('Paramètres'!$N:$N,MATCH($D3527,'Paramètres'!$M:$M,0))&amp;"",""))),0,IF(OR(IFERROR(INDEX('Paramètres'!$I:$I,MATCH($C3527,'Paramètres'!$D:$D,0))&amp;"","")="Les deux",IFERROR(INDEX('Paramètres'!$I:$I,MATCH($C3527,'Paramètres'!$D:$D,0))&amp;"","")=IF($P3527=1,"Débit",$L3527)),-IF($P3527=1,-$K3527,$K3527),0))))</f>
        <v/>
      </c>
      <c r="U3527" s="6" t="str">
        <f>IF($K3527="","",IF(ISNUMBER(SEARCH("sortie-epargne",IFERROR(INDEX('Paramètres'!$N:$N,MATCH($D3527,'Paramètres'!$M:$M,0))&amp;"",""))),$K3527,0))</f>
        <v/>
      </c>
      <c r="V3527" s="6" t="str">
        <f>IF(AND($A3527&lt;&gt;"",$O3527=1,$L3527="Débit",N($Q3527)&gt;0,$A3527&gt;=Visualisation!$B$1,$A3527&lt;Visualisation!$D$1),MAX($V$1:V3526)+1,"")</f>
        <v/>
      </c>
    </row>
    <row r="3528" spans="1:22" x14ac:dyDescent="0.25">
      <c r="A3528" s="9"/>
      <c r="E3528" s="10"/>
      <c r="K3528" s="11" t="str">
        <f>IF($E3528="","",ROUND($E3528*IF(ISNA(MATCH($C3528,'Paramètres'!$D:$D,0)),1,IF(INDEX('Paramètres'!$J:$J,MATCH($C3528,'Paramètres'!$D:$D,0))="",1,INDEX('Paramètres'!$J:$J,MATCH($C3528,'Paramètres'!$D:$D,0)))),2))</f>
        <v/>
      </c>
      <c r="L3528" s="6" t="str">
        <f>IF($D3528="","",IF($F3528&lt;&gt;"",$F3528,IF(ISNA(MATCH($D3528,'Paramètres'!$M:$M,0)),"⚠ Type inconnu",IFERROR(INDEX('Paramètres'!$P:$P,MATCH($D3528,'Paramètres'!$M:$M,0))&amp;"",""))))</f>
        <v/>
      </c>
      <c r="M3528" s="6" t="str">
        <f>IF($D3528="","",IF(ISNA(MATCH($D3528,'Paramètres'!$M:$M,0)),"⚠ Type inconnu",IF($L3528="Crédit","",IFERROR(INDEX('Paramètres'!$O:$O,MATCH($D3528,'Paramètres'!$M:$M,0))&amp;"",""))))</f>
        <v/>
      </c>
      <c r="N3528" s="6" t="str">
        <f>IF($D3528="","",IFERROR(INDEX('Paramètres'!$Q:$Q,MATCH($D3528,'Paramètres'!$M:$M,0))&amp;"",""))</f>
        <v/>
      </c>
      <c r="O3528" s="6" t="str">
        <f>IF($A3528="","",IF(OR($J3528&lt;&gt;"x",$A3528&lt;=FinReleve),1,0))</f>
        <v/>
      </c>
      <c r="P3528" s="6" t="str">
        <f>IF($D3528="","",IF(AND($L3528="Crédit",OR(IFERROR(INDEX('Paramètres'!$O:$O,MATCH($D3528,'Paramètres'!$M:$M,0))&amp;"","")&lt;&gt;"",ISNUMBER(SEARCH("remboursement",IFERROR(INDEX('Paramètres'!$N:$N,MATCH($D3528,'Paramètres'!$M:$M,0))&amp;"",""))))),1,0))</f>
        <v/>
      </c>
      <c r="Q3528" s="6" t="str">
        <f>IF($K3528="","",IF(ISNUMBER(SEARCH("transfert-interne",IFERROR(INDEX('Paramètres'!$N:$N,MATCH($D3528,'Paramètres'!$M:$M,0))&amp;"",""))),0,IF($L3528="Débit",$K3528,IF($P3528=1,-$K3528,0))))</f>
        <v/>
      </c>
      <c r="R3528" s="6" t="str">
        <f>IF($K3528="","",IF($L3528="Crédit",$K3528,-$K3528))</f>
        <v/>
      </c>
      <c r="S3528" s="6" t="str">
        <f>IF($C3528="","",IFERROR(INDEX('Paramètres'!$H:$H,MATCH($C3528,'Paramètres'!$D:$D,0))&amp;"",""))</f>
        <v/>
      </c>
      <c r="T3528" s="6" t="str">
        <f>IF($K3528="","",IF($S3528="",0,IF(ISNUMBER(SEARCH("apport-exterieur",IFERROR(INDEX('Paramètres'!$N:$N,MATCH($D3528,'Paramètres'!$M:$M,0))&amp;"",""))),0,IF(OR(IFERROR(INDEX('Paramètres'!$I:$I,MATCH($C3528,'Paramètres'!$D:$D,0))&amp;"","")="Les deux",IFERROR(INDEX('Paramètres'!$I:$I,MATCH($C3528,'Paramètres'!$D:$D,0))&amp;"","")=IF($P3528=1,"Débit",$L3528)),-IF($P3528=1,-$K3528,$K3528),0))))</f>
        <v/>
      </c>
      <c r="U3528" s="6" t="str">
        <f>IF($K3528="","",IF(ISNUMBER(SEARCH("sortie-epargne",IFERROR(INDEX('Paramètres'!$N:$N,MATCH($D3528,'Paramètres'!$M:$M,0))&amp;"",""))),$K3528,0))</f>
        <v/>
      </c>
      <c r="V3528" s="6" t="str">
        <f>IF(AND($A3528&lt;&gt;"",$O3528=1,$L3528="Débit",N($Q3528)&gt;0,$A3528&gt;=Visualisation!$B$1,$A3528&lt;Visualisation!$D$1),MAX($V$1:V3527)+1,"")</f>
        <v/>
      </c>
    </row>
    <row r="3529" spans="1:22" x14ac:dyDescent="0.25">
      <c r="A3529" s="9"/>
      <c r="E3529" s="10"/>
      <c r="K3529" s="11" t="str">
        <f>IF($E3529="","",ROUND($E3529*IF(ISNA(MATCH($C3529,'Paramètres'!$D:$D,0)),1,IF(INDEX('Paramètres'!$J:$J,MATCH($C3529,'Paramètres'!$D:$D,0))="",1,INDEX('Paramètres'!$J:$J,MATCH($C3529,'Paramètres'!$D:$D,0)))),2))</f>
        <v/>
      </c>
      <c r="L3529" s="6" t="str">
        <f>IF($D3529="","",IF($F3529&lt;&gt;"",$F3529,IF(ISNA(MATCH($D3529,'Paramètres'!$M:$M,0)),"⚠ Type inconnu",IFERROR(INDEX('Paramètres'!$P:$P,MATCH($D3529,'Paramètres'!$M:$M,0))&amp;"",""))))</f>
        <v/>
      </c>
      <c r="M3529" s="6" t="str">
        <f>IF($D3529="","",IF(ISNA(MATCH($D3529,'Paramètres'!$M:$M,0)),"⚠ Type inconnu",IF($L3529="Crédit","",IFERROR(INDEX('Paramètres'!$O:$O,MATCH($D3529,'Paramètres'!$M:$M,0))&amp;"",""))))</f>
        <v/>
      </c>
      <c r="N3529" s="6" t="str">
        <f>IF($D3529="","",IFERROR(INDEX('Paramètres'!$Q:$Q,MATCH($D3529,'Paramètres'!$M:$M,0))&amp;"",""))</f>
        <v/>
      </c>
      <c r="O3529" s="6" t="str">
        <f>IF($A3529="","",IF(OR($J3529&lt;&gt;"x",$A3529&lt;=FinReleve),1,0))</f>
        <v/>
      </c>
      <c r="P3529" s="6" t="str">
        <f>IF($D3529="","",IF(AND($L3529="Crédit",OR(IFERROR(INDEX('Paramètres'!$O:$O,MATCH($D3529,'Paramètres'!$M:$M,0))&amp;"","")&lt;&gt;"",ISNUMBER(SEARCH("remboursement",IFERROR(INDEX('Paramètres'!$N:$N,MATCH($D3529,'Paramètres'!$M:$M,0))&amp;"",""))))),1,0))</f>
        <v/>
      </c>
      <c r="Q3529" s="6" t="str">
        <f>IF($K3529="","",IF(ISNUMBER(SEARCH("transfert-interne",IFERROR(INDEX('Paramètres'!$N:$N,MATCH($D3529,'Paramètres'!$M:$M,0))&amp;"",""))),0,IF($L3529="Débit",$K3529,IF($P3529=1,-$K3529,0))))</f>
        <v/>
      </c>
      <c r="R3529" s="6" t="str">
        <f>IF($K3529="","",IF($L3529="Crédit",$K3529,-$K3529))</f>
        <v/>
      </c>
      <c r="S3529" s="6" t="str">
        <f>IF($C3529="","",IFERROR(INDEX('Paramètres'!$H:$H,MATCH($C3529,'Paramètres'!$D:$D,0))&amp;"",""))</f>
        <v/>
      </c>
      <c r="T3529" s="6" t="str">
        <f>IF($K3529="","",IF($S3529="",0,IF(ISNUMBER(SEARCH("apport-exterieur",IFERROR(INDEX('Paramètres'!$N:$N,MATCH($D3529,'Paramètres'!$M:$M,0))&amp;"",""))),0,IF(OR(IFERROR(INDEX('Paramètres'!$I:$I,MATCH($C3529,'Paramètres'!$D:$D,0))&amp;"","")="Les deux",IFERROR(INDEX('Paramètres'!$I:$I,MATCH($C3529,'Paramètres'!$D:$D,0))&amp;"","")=IF($P3529=1,"Débit",$L3529)),-IF($P3529=1,-$K3529,$K3529),0))))</f>
        <v/>
      </c>
      <c r="U3529" s="6" t="str">
        <f>IF($K3529="","",IF(ISNUMBER(SEARCH("sortie-epargne",IFERROR(INDEX('Paramètres'!$N:$N,MATCH($D3529,'Paramètres'!$M:$M,0))&amp;"",""))),$K3529,0))</f>
        <v/>
      </c>
      <c r="V3529" s="6" t="str">
        <f>IF(AND($A3529&lt;&gt;"",$O3529=1,$L3529="Débit",N($Q3529)&gt;0,$A3529&gt;=Visualisation!$B$1,$A3529&lt;Visualisation!$D$1),MAX($V$1:V3528)+1,"")</f>
        <v/>
      </c>
    </row>
    <row r="3530" spans="1:22" x14ac:dyDescent="0.25">
      <c r="A3530" s="9"/>
      <c r="E3530" s="10"/>
      <c r="K3530" s="11" t="str">
        <f>IF($E3530="","",ROUND($E3530*IF(ISNA(MATCH($C3530,'Paramètres'!$D:$D,0)),1,IF(INDEX('Paramètres'!$J:$J,MATCH($C3530,'Paramètres'!$D:$D,0))="",1,INDEX('Paramètres'!$J:$J,MATCH($C3530,'Paramètres'!$D:$D,0)))),2))</f>
        <v/>
      </c>
      <c r="L3530" s="6" t="str">
        <f>IF($D3530="","",IF($F3530&lt;&gt;"",$F3530,IF(ISNA(MATCH($D3530,'Paramètres'!$M:$M,0)),"⚠ Type inconnu",IFERROR(INDEX('Paramètres'!$P:$P,MATCH($D3530,'Paramètres'!$M:$M,0))&amp;"",""))))</f>
        <v/>
      </c>
      <c r="M3530" s="6" t="str">
        <f>IF($D3530="","",IF(ISNA(MATCH($D3530,'Paramètres'!$M:$M,0)),"⚠ Type inconnu",IF($L3530="Crédit","",IFERROR(INDEX('Paramètres'!$O:$O,MATCH($D3530,'Paramètres'!$M:$M,0))&amp;"",""))))</f>
        <v/>
      </c>
      <c r="N3530" s="6" t="str">
        <f>IF($D3530="","",IFERROR(INDEX('Paramètres'!$Q:$Q,MATCH($D3530,'Paramètres'!$M:$M,0))&amp;"",""))</f>
        <v/>
      </c>
      <c r="O3530" s="6" t="str">
        <f>IF($A3530="","",IF(OR($J3530&lt;&gt;"x",$A3530&lt;=FinReleve),1,0))</f>
        <v/>
      </c>
      <c r="P3530" s="6" t="str">
        <f>IF($D3530="","",IF(AND($L3530="Crédit",OR(IFERROR(INDEX('Paramètres'!$O:$O,MATCH($D3530,'Paramètres'!$M:$M,0))&amp;"","")&lt;&gt;"",ISNUMBER(SEARCH("remboursement",IFERROR(INDEX('Paramètres'!$N:$N,MATCH($D3530,'Paramètres'!$M:$M,0))&amp;"",""))))),1,0))</f>
        <v/>
      </c>
      <c r="Q3530" s="6" t="str">
        <f>IF($K3530="","",IF(ISNUMBER(SEARCH("transfert-interne",IFERROR(INDEX('Paramètres'!$N:$N,MATCH($D3530,'Paramètres'!$M:$M,0))&amp;"",""))),0,IF($L3530="Débit",$K3530,IF($P3530=1,-$K3530,0))))</f>
        <v/>
      </c>
      <c r="R3530" s="6" t="str">
        <f>IF($K3530="","",IF($L3530="Crédit",$K3530,-$K3530))</f>
        <v/>
      </c>
      <c r="S3530" s="6" t="str">
        <f>IF($C3530="","",IFERROR(INDEX('Paramètres'!$H:$H,MATCH($C3530,'Paramètres'!$D:$D,0))&amp;"",""))</f>
        <v/>
      </c>
      <c r="T3530" s="6" t="str">
        <f>IF($K3530="","",IF($S3530="",0,IF(ISNUMBER(SEARCH("apport-exterieur",IFERROR(INDEX('Paramètres'!$N:$N,MATCH($D3530,'Paramètres'!$M:$M,0))&amp;"",""))),0,IF(OR(IFERROR(INDEX('Paramètres'!$I:$I,MATCH($C3530,'Paramètres'!$D:$D,0))&amp;"","")="Les deux",IFERROR(INDEX('Paramètres'!$I:$I,MATCH($C3530,'Paramètres'!$D:$D,0))&amp;"","")=IF($P3530=1,"Débit",$L3530)),-IF($P3530=1,-$K3530,$K3530),0))))</f>
        <v/>
      </c>
      <c r="U3530" s="6" t="str">
        <f>IF($K3530="","",IF(ISNUMBER(SEARCH("sortie-epargne",IFERROR(INDEX('Paramètres'!$N:$N,MATCH($D3530,'Paramètres'!$M:$M,0))&amp;"",""))),$K3530,0))</f>
        <v/>
      </c>
      <c r="V3530" s="6" t="str">
        <f>IF(AND($A3530&lt;&gt;"",$O3530=1,$L3530="Débit",N($Q3530)&gt;0,$A3530&gt;=Visualisation!$B$1,$A3530&lt;Visualisation!$D$1),MAX($V$1:V3529)+1,"")</f>
        <v/>
      </c>
    </row>
    <row r="3531" spans="1:22" x14ac:dyDescent="0.25">
      <c r="A3531" s="9"/>
      <c r="E3531" s="10"/>
      <c r="K3531" s="11" t="str">
        <f>IF($E3531="","",ROUND($E3531*IF(ISNA(MATCH($C3531,'Paramètres'!$D:$D,0)),1,IF(INDEX('Paramètres'!$J:$J,MATCH($C3531,'Paramètres'!$D:$D,0))="",1,INDEX('Paramètres'!$J:$J,MATCH($C3531,'Paramètres'!$D:$D,0)))),2))</f>
        <v/>
      </c>
      <c r="L3531" s="6" t="str">
        <f>IF($D3531="","",IF($F3531&lt;&gt;"",$F3531,IF(ISNA(MATCH($D3531,'Paramètres'!$M:$M,0)),"⚠ Type inconnu",IFERROR(INDEX('Paramètres'!$P:$P,MATCH($D3531,'Paramètres'!$M:$M,0))&amp;"",""))))</f>
        <v/>
      </c>
      <c r="M3531" s="6" t="str">
        <f>IF($D3531="","",IF(ISNA(MATCH($D3531,'Paramètres'!$M:$M,0)),"⚠ Type inconnu",IF($L3531="Crédit","",IFERROR(INDEX('Paramètres'!$O:$O,MATCH($D3531,'Paramètres'!$M:$M,0))&amp;"",""))))</f>
        <v/>
      </c>
      <c r="N3531" s="6" t="str">
        <f>IF($D3531="","",IFERROR(INDEX('Paramètres'!$Q:$Q,MATCH($D3531,'Paramètres'!$M:$M,0))&amp;"",""))</f>
        <v/>
      </c>
      <c r="O3531" s="6" t="str">
        <f>IF($A3531="","",IF(OR($J3531&lt;&gt;"x",$A3531&lt;=FinReleve),1,0))</f>
        <v/>
      </c>
      <c r="P3531" s="6" t="str">
        <f>IF($D3531="","",IF(AND($L3531="Crédit",OR(IFERROR(INDEX('Paramètres'!$O:$O,MATCH($D3531,'Paramètres'!$M:$M,0))&amp;"","")&lt;&gt;"",ISNUMBER(SEARCH("remboursement",IFERROR(INDEX('Paramètres'!$N:$N,MATCH($D3531,'Paramètres'!$M:$M,0))&amp;"",""))))),1,0))</f>
        <v/>
      </c>
      <c r="Q3531" s="6" t="str">
        <f>IF($K3531="","",IF(ISNUMBER(SEARCH("transfert-interne",IFERROR(INDEX('Paramètres'!$N:$N,MATCH($D3531,'Paramètres'!$M:$M,0))&amp;"",""))),0,IF($L3531="Débit",$K3531,IF($P3531=1,-$K3531,0))))</f>
        <v/>
      </c>
      <c r="R3531" s="6" t="str">
        <f>IF($K3531="","",IF($L3531="Crédit",$K3531,-$K3531))</f>
        <v/>
      </c>
      <c r="S3531" s="6" t="str">
        <f>IF($C3531="","",IFERROR(INDEX('Paramètres'!$H:$H,MATCH($C3531,'Paramètres'!$D:$D,0))&amp;"",""))</f>
        <v/>
      </c>
      <c r="T3531" s="6" t="str">
        <f>IF($K3531="","",IF($S3531="",0,IF(ISNUMBER(SEARCH("apport-exterieur",IFERROR(INDEX('Paramètres'!$N:$N,MATCH($D3531,'Paramètres'!$M:$M,0))&amp;"",""))),0,IF(OR(IFERROR(INDEX('Paramètres'!$I:$I,MATCH($C3531,'Paramètres'!$D:$D,0))&amp;"","")="Les deux",IFERROR(INDEX('Paramètres'!$I:$I,MATCH($C3531,'Paramètres'!$D:$D,0))&amp;"","")=IF($P3531=1,"Débit",$L3531)),-IF($P3531=1,-$K3531,$K3531),0))))</f>
        <v/>
      </c>
      <c r="U3531" s="6" t="str">
        <f>IF($K3531="","",IF(ISNUMBER(SEARCH("sortie-epargne",IFERROR(INDEX('Paramètres'!$N:$N,MATCH($D3531,'Paramètres'!$M:$M,0))&amp;"",""))),$K3531,0))</f>
        <v/>
      </c>
      <c r="V3531" s="6" t="str">
        <f>IF(AND($A3531&lt;&gt;"",$O3531=1,$L3531="Débit",N($Q3531)&gt;0,$A3531&gt;=Visualisation!$B$1,$A3531&lt;Visualisation!$D$1),MAX($V$1:V3530)+1,"")</f>
        <v/>
      </c>
    </row>
    <row r="3532" spans="1:22" x14ac:dyDescent="0.25">
      <c r="A3532" s="9"/>
      <c r="E3532" s="10"/>
      <c r="K3532" s="11" t="str">
        <f>IF($E3532="","",ROUND($E3532*IF(ISNA(MATCH($C3532,'Paramètres'!$D:$D,0)),1,IF(INDEX('Paramètres'!$J:$J,MATCH($C3532,'Paramètres'!$D:$D,0))="",1,INDEX('Paramètres'!$J:$J,MATCH($C3532,'Paramètres'!$D:$D,0)))),2))</f>
        <v/>
      </c>
      <c r="L3532" s="6" t="str">
        <f>IF($D3532="","",IF($F3532&lt;&gt;"",$F3532,IF(ISNA(MATCH($D3532,'Paramètres'!$M:$M,0)),"⚠ Type inconnu",IFERROR(INDEX('Paramètres'!$P:$P,MATCH($D3532,'Paramètres'!$M:$M,0))&amp;"",""))))</f>
        <v/>
      </c>
      <c r="M3532" s="6" t="str">
        <f>IF($D3532="","",IF(ISNA(MATCH($D3532,'Paramètres'!$M:$M,0)),"⚠ Type inconnu",IF($L3532="Crédit","",IFERROR(INDEX('Paramètres'!$O:$O,MATCH($D3532,'Paramètres'!$M:$M,0))&amp;"",""))))</f>
        <v/>
      </c>
      <c r="N3532" s="6" t="str">
        <f>IF($D3532="","",IFERROR(INDEX('Paramètres'!$Q:$Q,MATCH($D3532,'Paramètres'!$M:$M,0))&amp;"",""))</f>
        <v/>
      </c>
      <c r="O3532" s="6" t="str">
        <f>IF($A3532="","",IF(OR($J3532&lt;&gt;"x",$A3532&lt;=FinReleve),1,0))</f>
        <v/>
      </c>
      <c r="P3532" s="6" t="str">
        <f>IF($D3532="","",IF(AND($L3532="Crédit",OR(IFERROR(INDEX('Paramètres'!$O:$O,MATCH($D3532,'Paramètres'!$M:$M,0))&amp;"","")&lt;&gt;"",ISNUMBER(SEARCH("remboursement",IFERROR(INDEX('Paramètres'!$N:$N,MATCH($D3532,'Paramètres'!$M:$M,0))&amp;"",""))))),1,0))</f>
        <v/>
      </c>
      <c r="Q3532" s="6" t="str">
        <f>IF($K3532="","",IF(ISNUMBER(SEARCH("transfert-interne",IFERROR(INDEX('Paramètres'!$N:$N,MATCH($D3532,'Paramètres'!$M:$M,0))&amp;"",""))),0,IF($L3532="Débit",$K3532,IF($P3532=1,-$K3532,0))))</f>
        <v/>
      </c>
      <c r="R3532" s="6" t="str">
        <f>IF($K3532="","",IF($L3532="Crédit",$K3532,-$K3532))</f>
        <v/>
      </c>
      <c r="S3532" s="6" t="str">
        <f>IF($C3532="","",IFERROR(INDEX('Paramètres'!$H:$H,MATCH($C3532,'Paramètres'!$D:$D,0))&amp;"",""))</f>
        <v/>
      </c>
      <c r="T3532" s="6" t="str">
        <f>IF($K3532="","",IF($S3532="",0,IF(ISNUMBER(SEARCH("apport-exterieur",IFERROR(INDEX('Paramètres'!$N:$N,MATCH($D3532,'Paramètres'!$M:$M,0))&amp;"",""))),0,IF(OR(IFERROR(INDEX('Paramètres'!$I:$I,MATCH($C3532,'Paramètres'!$D:$D,0))&amp;"","")="Les deux",IFERROR(INDEX('Paramètres'!$I:$I,MATCH($C3532,'Paramètres'!$D:$D,0))&amp;"","")=IF($P3532=1,"Débit",$L3532)),-IF($P3532=1,-$K3532,$K3532),0))))</f>
        <v/>
      </c>
      <c r="U3532" s="6" t="str">
        <f>IF($K3532="","",IF(ISNUMBER(SEARCH("sortie-epargne",IFERROR(INDEX('Paramètres'!$N:$N,MATCH($D3532,'Paramètres'!$M:$M,0))&amp;"",""))),$K3532,0))</f>
        <v/>
      </c>
      <c r="V3532" s="6" t="str">
        <f>IF(AND($A3532&lt;&gt;"",$O3532=1,$L3532="Débit",N($Q3532)&gt;0,$A3532&gt;=Visualisation!$B$1,$A3532&lt;Visualisation!$D$1),MAX($V$1:V3531)+1,"")</f>
        <v/>
      </c>
    </row>
    <row r="3533" spans="1:22" x14ac:dyDescent="0.25">
      <c r="A3533" s="9"/>
      <c r="E3533" s="10"/>
      <c r="K3533" s="11" t="str">
        <f>IF($E3533="","",ROUND($E3533*IF(ISNA(MATCH($C3533,'Paramètres'!$D:$D,0)),1,IF(INDEX('Paramètres'!$J:$J,MATCH($C3533,'Paramètres'!$D:$D,0))="",1,INDEX('Paramètres'!$J:$J,MATCH($C3533,'Paramètres'!$D:$D,0)))),2))</f>
        <v/>
      </c>
      <c r="L3533" s="6" t="str">
        <f>IF($D3533="","",IF($F3533&lt;&gt;"",$F3533,IF(ISNA(MATCH($D3533,'Paramètres'!$M:$M,0)),"⚠ Type inconnu",IFERROR(INDEX('Paramètres'!$P:$P,MATCH($D3533,'Paramètres'!$M:$M,0))&amp;"",""))))</f>
        <v/>
      </c>
      <c r="M3533" s="6" t="str">
        <f>IF($D3533="","",IF(ISNA(MATCH($D3533,'Paramètres'!$M:$M,0)),"⚠ Type inconnu",IF($L3533="Crédit","",IFERROR(INDEX('Paramètres'!$O:$O,MATCH($D3533,'Paramètres'!$M:$M,0))&amp;"",""))))</f>
        <v/>
      </c>
      <c r="N3533" s="6" t="str">
        <f>IF($D3533="","",IFERROR(INDEX('Paramètres'!$Q:$Q,MATCH($D3533,'Paramètres'!$M:$M,0))&amp;"",""))</f>
        <v/>
      </c>
      <c r="O3533" s="6" t="str">
        <f>IF($A3533="","",IF(OR($J3533&lt;&gt;"x",$A3533&lt;=FinReleve),1,0))</f>
        <v/>
      </c>
      <c r="P3533" s="6" t="str">
        <f>IF($D3533="","",IF(AND($L3533="Crédit",OR(IFERROR(INDEX('Paramètres'!$O:$O,MATCH($D3533,'Paramètres'!$M:$M,0))&amp;"","")&lt;&gt;"",ISNUMBER(SEARCH("remboursement",IFERROR(INDEX('Paramètres'!$N:$N,MATCH($D3533,'Paramètres'!$M:$M,0))&amp;"",""))))),1,0))</f>
        <v/>
      </c>
      <c r="Q3533" s="6" t="str">
        <f>IF($K3533="","",IF(ISNUMBER(SEARCH("transfert-interne",IFERROR(INDEX('Paramètres'!$N:$N,MATCH($D3533,'Paramètres'!$M:$M,0))&amp;"",""))),0,IF($L3533="Débit",$K3533,IF($P3533=1,-$K3533,0))))</f>
        <v/>
      </c>
      <c r="R3533" s="6" t="str">
        <f>IF($K3533="","",IF($L3533="Crédit",$K3533,-$K3533))</f>
        <v/>
      </c>
      <c r="S3533" s="6" t="str">
        <f>IF($C3533="","",IFERROR(INDEX('Paramètres'!$H:$H,MATCH($C3533,'Paramètres'!$D:$D,0))&amp;"",""))</f>
        <v/>
      </c>
      <c r="T3533" s="6" t="str">
        <f>IF($K3533="","",IF($S3533="",0,IF(ISNUMBER(SEARCH("apport-exterieur",IFERROR(INDEX('Paramètres'!$N:$N,MATCH($D3533,'Paramètres'!$M:$M,0))&amp;"",""))),0,IF(OR(IFERROR(INDEX('Paramètres'!$I:$I,MATCH($C3533,'Paramètres'!$D:$D,0))&amp;"","")="Les deux",IFERROR(INDEX('Paramètres'!$I:$I,MATCH($C3533,'Paramètres'!$D:$D,0))&amp;"","")=IF($P3533=1,"Débit",$L3533)),-IF($P3533=1,-$K3533,$K3533),0))))</f>
        <v/>
      </c>
      <c r="U3533" s="6" t="str">
        <f>IF($K3533="","",IF(ISNUMBER(SEARCH("sortie-epargne",IFERROR(INDEX('Paramètres'!$N:$N,MATCH($D3533,'Paramètres'!$M:$M,0))&amp;"",""))),$K3533,0))</f>
        <v/>
      </c>
      <c r="V3533" s="6" t="str">
        <f>IF(AND($A3533&lt;&gt;"",$O3533=1,$L3533="Débit",N($Q3533)&gt;0,$A3533&gt;=Visualisation!$B$1,$A3533&lt;Visualisation!$D$1),MAX($V$1:V3532)+1,"")</f>
        <v/>
      </c>
    </row>
    <row r="3534" spans="1:22" x14ac:dyDescent="0.25">
      <c r="A3534" s="9"/>
      <c r="E3534" s="10"/>
      <c r="K3534" s="11" t="str">
        <f>IF($E3534="","",ROUND($E3534*IF(ISNA(MATCH($C3534,'Paramètres'!$D:$D,0)),1,IF(INDEX('Paramètres'!$J:$J,MATCH($C3534,'Paramètres'!$D:$D,0))="",1,INDEX('Paramètres'!$J:$J,MATCH($C3534,'Paramètres'!$D:$D,0)))),2))</f>
        <v/>
      </c>
      <c r="L3534" s="6" t="str">
        <f>IF($D3534="","",IF($F3534&lt;&gt;"",$F3534,IF(ISNA(MATCH($D3534,'Paramètres'!$M:$M,0)),"⚠ Type inconnu",IFERROR(INDEX('Paramètres'!$P:$P,MATCH($D3534,'Paramètres'!$M:$M,0))&amp;"",""))))</f>
        <v/>
      </c>
      <c r="M3534" s="6" t="str">
        <f>IF($D3534="","",IF(ISNA(MATCH($D3534,'Paramètres'!$M:$M,0)),"⚠ Type inconnu",IF($L3534="Crédit","",IFERROR(INDEX('Paramètres'!$O:$O,MATCH($D3534,'Paramètres'!$M:$M,0))&amp;"",""))))</f>
        <v/>
      </c>
      <c r="N3534" s="6" t="str">
        <f>IF($D3534="","",IFERROR(INDEX('Paramètres'!$Q:$Q,MATCH($D3534,'Paramètres'!$M:$M,0))&amp;"",""))</f>
        <v/>
      </c>
      <c r="O3534" s="6" t="str">
        <f>IF($A3534="","",IF(OR($J3534&lt;&gt;"x",$A3534&lt;=FinReleve),1,0))</f>
        <v/>
      </c>
      <c r="P3534" s="6" t="str">
        <f>IF($D3534="","",IF(AND($L3534="Crédit",OR(IFERROR(INDEX('Paramètres'!$O:$O,MATCH($D3534,'Paramètres'!$M:$M,0))&amp;"","")&lt;&gt;"",ISNUMBER(SEARCH("remboursement",IFERROR(INDEX('Paramètres'!$N:$N,MATCH($D3534,'Paramètres'!$M:$M,0))&amp;"",""))))),1,0))</f>
        <v/>
      </c>
      <c r="Q3534" s="6" t="str">
        <f>IF($K3534="","",IF(ISNUMBER(SEARCH("transfert-interne",IFERROR(INDEX('Paramètres'!$N:$N,MATCH($D3534,'Paramètres'!$M:$M,0))&amp;"",""))),0,IF($L3534="Débit",$K3534,IF($P3534=1,-$K3534,0))))</f>
        <v/>
      </c>
      <c r="R3534" s="6" t="str">
        <f>IF($K3534="","",IF($L3534="Crédit",$K3534,-$K3534))</f>
        <v/>
      </c>
      <c r="S3534" s="6" t="str">
        <f>IF($C3534="","",IFERROR(INDEX('Paramètres'!$H:$H,MATCH($C3534,'Paramètres'!$D:$D,0))&amp;"",""))</f>
        <v/>
      </c>
      <c r="T3534" s="6" t="str">
        <f>IF($K3534="","",IF($S3534="",0,IF(ISNUMBER(SEARCH("apport-exterieur",IFERROR(INDEX('Paramètres'!$N:$N,MATCH($D3534,'Paramètres'!$M:$M,0))&amp;"",""))),0,IF(OR(IFERROR(INDEX('Paramètres'!$I:$I,MATCH($C3534,'Paramètres'!$D:$D,0))&amp;"","")="Les deux",IFERROR(INDEX('Paramètres'!$I:$I,MATCH($C3534,'Paramètres'!$D:$D,0))&amp;"","")=IF($P3534=1,"Débit",$L3534)),-IF($P3534=1,-$K3534,$K3534),0))))</f>
        <v/>
      </c>
      <c r="U3534" s="6" t="str">
        <f>IF($K3534="","",IF(ISNUMBER(SEARCH("sortie-epargne",IFERROR(INDEX('Paramètres'!$N:$N,MATCH($D3534,'Paramètres'!$M:$M,0))&amp;"",""))),$K3534,0))</f>
        <v/>
      </c>
      <c r="V3534" s="6" t="str">
        <f>IF(AND($A3534&lt;&gt;"",$O3534=1,$L3534="Débit",N($Q3534)&gt;0,$A3534&gt;=Visualisation!$B$1,$A3534&lt;Visualisation!$D$1),MAX($V$1:V3533)+1,"")</f>
        <v/>
      </c>
    </row>
    <row r="3535" spans="1:22" x14ac:dyDescent="0.25">
      <c r="A3535" s="9"/>
      <c r="E3535" s="10"/>
      <c r="K3535" s="11" t="str">
        <f>IF($E3535="","",ROUND($E3535*IF(ISNA(MATCH($C3535,'Paramètres'!$D:$D,0)),1,IF(INDEX('Paramètres'!$J:$J,MATCH($C3535,'Paramètres'!$D:$D,0))="",1,INDEX('Paramètres'!$J:$J,MATCH($C3535,'Paramètres'!$D:$D,0)))),2))</f>
        <v/>
      </c>
      <c r="L3535" s="6" t="str">
        <f>IF($D3535="","",IF($F3535&lt;&gt;"",$F3535,IF(ISNA(MATCH($D3535,'Paramètres'!$M:$M,0)),"⚠ Type inconnu",IFERROR(INDEX('Paramètres'!$P:$P,MATCH($D3535,'Paramètres'!$M:$M,0))&amp;"",""))))</f>
        <v/>
      </c>
      <c r="M3535" s="6" t="str">
        <f>IF($D3535="","",IF(ISNA(MATCH($D3535,'Paramètres'!$M:$M,0)),"⚠ Type inconnu",IF($L3535="Crédit","",IFERROR(INDEX('Paramètres'!$O:$O,MATCH($D3535,'Paramètres'!$M:$M,0))&amp;"",""))))</f>
        <v/>
      </c>
      <c r="N3535" s="6" t="str">
        <f>IF($D3535="","",IFERROR(INDEX('Paramètres'!$Q:$Q,MATCH($D3535,'Paramètres'!$M:$M,0))&amp;"",""))</f>
        <v/>
      </c>
      <c r="O3535" s="6" t="str">
        <f>IF($A3535="","",IF(OR($J3535&lt;&gt;"x",$A3535&lt;=FinReleve),1,0))</f>
        <v/>
      </c>
      <c r="P3535" s="6" t="str">
        <f>IF($D3535="","",IF(AND($L3535="Crédit",OR(IFERROR(INDEX('Paramètres'!$O:$O,MATCH($D3535,'Paramètres'!$M:$M,0))&amp;"","")&lt;&gt;"",ISNUMBER(SEARCH("remboursement",IFERROR(INDEX('Paramètres'!$N:$N,MATCH($D3535,'Paramètres'!$M:$M,0))&amp;"",""))))),1,0))</f>
        <v/>
      </c>
      <c r="Q3535" s="6" t="str">
        <f>IF($K3535="","",IF(ISNUMBER(SEARCH("transfert-interne",IFERROR(INDEX('Paramètres'!$N:$N,MATCH($D3535,'Paramètres'!$M:$M,0))&amp;"",""))),0,IF($L3535="Débit",$K3535,IF($P3535=1,-$K3535,0))))</f>
        <v/>
      </c>
      <c r="R3535" s="6" t="str">
        <f>IF($K3535="","",IF($L3535="Crédit",$K3535,-$K3535))</f>
        <v/>
      </c>
      <c r="S3535" s="6" t="str">
        <f>IF($C3535="","",IFERROR(INDEX('Paramètres'!$H:$H,MATCH($C3535,'Paramètres'!$D:$D,0))&amp;"",""))</f>
        <v/>
      </c>
      <c r="T3535" s="6" t="str">
        <f>IF($K3535="","",IF($S3535="",0,IF(ISNUMBER(SEARCH("apport-exterieur",IFERROR(INDEX('Paramètres'!$N:$N,MATCH($D3535,'Paramètres'!$M:$M,0))&amp;"",""))),0,IF(OR(IFERROR(INDEX('Paramètres'!$I:$I,MATCH($C3535,'Paramètres'!$D:$D,0))&amp;"","")="Les deux",IFERROR(INDEX('Paramètres'!$I:$I,MATCH($C3535,'Paramètres'!$D:$D,0))&amp;"","")=IF($P3535=1,"Débit",$L3535)),-IF($P3535=1,-$K3535,$K3535),0))))</f>
        <v/>
      </c>
      <c r="U3535" s="6" t="str">
        <f>IF($K3535="","",IF(ISNUMBER(SEARCH("sortie-epargne",IFERROR(INDEX('Paramètres'!$N:$N,MATCH($D3535,'Paramètres'!$M:$M,0))&amp;"",""))),$K3535,0))</f>
        <v/>
      </c>
      <c r="V3535" s="6" t="str">
        <f>IF(AND($A3535&lt;&gt;"",$O3535=1,$L3535="Débit",N($Q3535)&gt;0,$A3535&gt;=Visualisation!$B$1,$A3535&lt;Visualisation!$D$1),MAX($V$1:V3534)+1,"")</f>
        <v/>
      </c>
    </row>
    <row r="3536" spans="1:22" x14ac:dyDescent="0.25">
      <c r="A3536" s="9"/>
      <c r="E3536" s="10"/>
      <c r="K3536" s="11" t="str">
        <f>IF($E3536="","",ROUND($E3536*IF(ISNA(MATCH($C3536,'Paramètres'!$D:$D,0)),1,IF(INDEX('Paramètres'!$J:$J,MATCH($C3536,'Paramètres'!$D:$D,0))="",1,INDEX('Paramètres'!$J:$J,MATCH($C3536,'Paramètres'!$D:$D,0)))),2))</f>
        <v/>
      </c>
      <c r="L3536" s="6" t="str">
        <f>IF($D3536="","",IF($F3536&lt;&gt;"",$F3536,IF(ISNA(MATCH($D3536,'Paramètres'!$M:$M,0)),"⚠ Type inconnu",IFERROR(INDEX('Paramètres'!$P:$P,MATCH($D3536,'Paramètres'!$M:$M,0))&amp;"",""))))</f>
        <v/>
      </c>
      <c r="M3536" s="6" t="str">
        <f>IF($D3536="","",IF(ISNA(MATCH($D3536,'Paramètres'!$M:$M,0)),"⚠ Type inconnu",IF($L3536="Crédit","",IFERROR(INDEX('Paramètres'!$O:$O,MATCH($D3536,'Paramètres'!$M:$M,0))&amp;"",""))))</f>
        <v/>
      </c>
      <c r="N3536" s="6" t="str">
        <f>IF($D3536="","",IFERROR(INDEX('Paramètres'!$Q:$Q,MATCH($D3536,'Paramètres'!$M:$M,0))&amp;"",""))</f>
        <v/>
      </c>
      <c r="O3536" s="6" t="str">
        <f>IF($A3536="","",IF(OR($J3536&lt;&gt;"x",$A3536&lt;=FinReleve),1,0))</f>
        <v/>
      </c>
      <c r="P3536" s="6" t="str">
        <f>IF($D3536="","",IF(AND($L3536="Crédit",OR(IFERROR(INDEX('Paramètres'!$O:$O,MATCH($D3536,'Paramètres'!$M:$M,0))&amp;"","")&lt;&gt;"",ISNUMBER(SEARCH("remboursement",IFERROR(INDEX('Paramètres'!$N:$N,MATCH($D3536,'Paramètres'!$M:$M,0))&amp;"",""))))),1,0))</f>
        <v/>
      </c>
      <c r="Q3536" s="6" t="str">
        <f>IF($K3536="","",IF(ISNUMBER(SEARCH("transfert-interne",IFERROR(INDEX('Paramètres'!$N:$N,MATCH($D3536,'Paramètres'!$M:$M,0))&amp;"",""))),0,IF($L3536="Débit",$K3536,IF($P3536=1,-$K3536,0))))</f>
        <v/>
      </c>
      <c r="R3536" s="6" t="str">
        <f>IF($K3536="","",IF($L3536="Crédit",$K3536,-$K3536))</f>
        <v/>
      </c>
      <c r="S3536" s="6" t="str">
        <f>IF($C3536="","",IFERROR(INDEX('Paramètres'!$H:$H,MATCH($C3536,'Paramètres'!$D:$D,0))&amp;"",""))</f>
        <v/>
      </c>
      <c r="T3536" s="6" t="str">
        <f>IF($K3536="","",IF($S3536="",0,IF(ISNUMBER(SEARCH("apport-exterieur",IFERROR(INDEX('Paramètres'!$N:$N,MATCH($D3536,'Paramètres'!$M:$M,0))&amp;"",""))),0,IF(OR(IFERROR(INDEX('Paramètres'!$I:$I,MATCH($C3536,'Paramètres'!$D:$D,0))&amp;"","")="Les deux",IFERROR(INDEX('Paramètres'!$I:$I,MATCH($C3536,'Paramètres'!$D:$D,0))&amp;"","")=IF($P3536=1,"Débit",$L3536)),-IF($P3536=1,-$K3536,$K3536),0))))</f>
        <v/>
      </c>
      <c r="U3536" s="6" t="str">
        <f>IF($K3536="","",IF(ISNUMBER(SEARCH("sortie-epargne",IFERROR(INDEX('Paramètres'!$N:$N,MATCH($D3536,'Paramètres'!$M:$M,0))&amp;"",""))),$K3536,0))</f>
        <v/>
      </c>
      <c r="V3536" s="6" t="str">
        <f>IF(AND($A3536&lt;&gt;"",$O3536=1,$L3536="Débit",N($Q3536)&gt;0,$A3536&gt;=Visualisation!$B$1,$A3536&lt;Visualisation!$D$1),MAX($V$1:V3535)+1,"")</f>
        <v/>
      </c>
    </row>
    <row r="3537" spans="1:22" x14ac:dyDescent="0.25">
      <c r="A3537" s="9"/>
      <c r="E3537" s="10"/>
      <c r="K3537" s="11" t="str">
        <f>IF($E3537="","",ROUND($E3537*IF(ISNA(MATCH($C3537,'Paramètres'!$D:$D,0)),1,IF(INDEX('Paramètres'!$J:$J,MATCH($C3537,'Paramètres'!$D:$D,0))="",1,INDEX('Paramètres'!$J:$J,MATCH($C3537,'Paramètres'!$D:$D,0)))),2))</f>
        <v/>
      </c>
      <c r="L3537" s="6" t="str">
        <f>IF($D3537="","",IF($F3537&lt;&gt;"",$F3537,IF(ISNA(MATCH($D3537,'Paramètres'!$M:$M,0)),"⚠ Type inconnu",IFERROR(INDEX('Paramètres'!$P:$P,MATCH($D3537,'Paramètres'!$M:$M,0))&amp;"",""))))</f>
        <v/>
      </c>
      <c r="M3537" s="6" t="str">
        <f>IF($D3537="","",IF(ISNA(MATCH($D3537,'Paramètres'!$M:$M,0)),"⚠ Type inconnu",IF($L3537="Crédit","",IFERROR(INDEX('Paramètres'!$O:$O,MATCH($D3537,'Paramètres'!$M:$M,0))&amp;"",""))))</f>
        <v/>
      </c>
      <c r="N3537" s="6" t="str">
        <f>IF($D3537="","",IFERROR(INDEX('Paramètres'!$Q:$Q,MATCH($D3537,'Paramètres'!$M:$M,0))&amp;"",""))</f>
        <v/>
      </c>
      <c r="O3537" s="6" t="str">
        <f>IF($A3537="","",IF(OR($J3537&lt;&gt;"x",$A3537&lt;=FinReleve),1,0))</f>
        <v/>
      </c>
      <c r="P3537" s="6" t="str">
        <f>IF($D3537="","",IF(AND($L3537="Crédit",OR(IFERROR(INDEX('Paramètres'!$O:$O,MATCH($D3537,'Paramètres'!$M:$M,0))&amp;"","")&lt;&gt;"",ISNUMBER(SEARCH("remboursement",IFERROR(INDEX('Paramètres'!$N:$N,MATCH($D3537,'Paramètres'!$M:$M,0))&amp;"",""))))),1,0))</f>
        <v/>
      </c>
      <c r="Q3537" s="6" t="str">
        <f>IF($K3537="","",IF(ISNUMBER(SEARCH("transfert-interne",IFERROR(INDEX('Paramètres'!$N:$N,MATCH($D3537,'Paramètres'!$M:$M,0))&amp;"",""))),0,IF($L3537="Débit",$K3537,IF($P3537=1,-$K3537,0))))</f>
        <v/>
      </c>
      <c r="R3537" s="6" t="str">
        <f>IF($K3537="","",IF($L3537="Crédit",$K3537,-$K3537))</f>
        <v/>
      </c>
      <c r="S3537" s="6" t="str">
        <f>IF($C3537="","",IFERROR(INDEX('Paramètres'!$H:$H,MATCH($C3537,'Paramètres'!$D:$D,0))&amp;"",""))</f>
        <v/>
      </c>
      <c r="T3537" s="6" t="str">
        <f>IF($K3537="","",IF($S3537="",0,IF(ISNUMBER(SEARCH("apport-exterieur",IFERROR(INDEX('Paramètres'!$N:$N,MATCH($D3537,'Paramètres'!$M:$M,0))&amp;"",""))),0,IF(OR(IFERROR(INDEX('Paramètres'!$I:$I,MATCH($C3537,'Paramètres'!$D:$D,0))&amp;"","")="Les deux",IFERROR(INDEX('Paramètres'!$I:$I,MATCH($C3537,'Paramètres'!$D:$D,0))&amp;"","")=IF($P3537=1,"Débit",$L3537)),-IF($P3537=1,-$K3537,$K3537),0))))</f>
        <v/>
      </c>
      <c r="U3537" s="6" t="str">
        <f>IF($K3537="","",IF(ISNUMBER(SEARCH("sortie-epargne",IFERROR(INDEX('Paramètres'!$N:$N,MATCH($D3537,'Paramètres'!$M:$M,0))&amp;"",""))),$K3537,0))</f>
        <v/>
      </c>
      <c r="V3537" s="6" t="str">
        <f>IF(AND($A3537&lt;&gt;"",$O3537=1,$L3537="Débit",N($Q3537)&gt;0,$A3537&gt;=Visualisation!$B$1,$A3537&lt;Visualisation!$D$1),MAX($V$1:V3536)+1,"")</f>
        <v/>
      </c>
    </row>
    <row r="3538" spans="1:22" x14ac:dyDescent="0.25">
      <c r="A3538" s="9"/>
      <c r="E3538" s="10"/>
      <c r="K3538" s="11" t="str">
        <f>IF($E3538="","",ROUND($E3538*IF(ISNA(MATCH($C3538,'Paramètres'!$D:$D,0)),1,IF(INDEX('Paramètres'!$J:$J,MATCH($C3538,'Paramètres'!$D:$D,0))="",1,INDEX('Paramètres'!$J:$J,MATCH($C3538,'Paramètres'!$D:$D,0)))),2))</f>
        <v/>
      </c>
      <c r="L3538" s="6" t="str">
        <f>IF($D3538="","",IF($F3538&lt;&gt;"",$F3538,IF(ISNA(MATCH($D3538,'Paramètres'!$M:$M,0)),"⚠ Type inconnu",IFERROR(INDEX('Paramètres'!$P:$P,MATCH($D3538,'Paramètres'!$M:$M,0))&amp;"",""))))</f>
        <v/>
      </c>
      <c r="M3538" s="6" t="str">
        <f>IF($D3538="","",IF(ISNA(MATCH($D3538,'Paramètres'!$M:$M,0)),"⚠ Type inconnu",IF($L3538="Crédit","",IFERROR(INDEX('Paramètres'!$O:$O,MATCH($D3538,'Paramètres'!$M:$M,0))&amp;"",""))))</f>
        <v/>
      </c>
      <c r="N3538" s="6" t="str">
        <f>IF($D3538="","",IFERROR(INDEX('Paramètres'!$Q:$Q,MATCH($D3538,'Paramètres'!$M:$M,0))&amp;"",""))</f>
        <v/>
      </c>
      <c r="O3538" s="6" t="str">
        <f>IF($A3538="","",IF(OR($J3538&lt;&gt;"x",$A3538&lt;=FinReleve),1,0))</f>
        <v/>
      </c>
      <c r="P3538" s="6" t="str">
        <f>IF($D3538="","",IF(AND($L3538="Crédit",OR(IFERROR(INDEX('Paramètres'!$O:$O,MATCH($D3538,'Paramètres'!$M:$M,0))&amp;"","")&lt;&gt;"",ISNUMBER(SEARCH("remboursement",IFERROR(INDEX('Paramètres'!$N:$N,MATCH($D3538,'Paramètres'!$M:$M,0))&amp;"",""))))),1,0))</f>
        <v/>
      </c>
      <c r="Q3538" s="6" t="str">
        <f>IF($K3538="","",IF(ISNUMBER(SEARCH("transfert-interne",IFERROR(INDEX('Paramètres'!$N:$N,MATCH($D3538,'Paramètres'!$M:$M,0))&amp;"",""))),0,IF($L3538="Débit",$K3538,IF($P3538=1,-$K3538,0))))</f>
        <v/>
      </c>
      <c r="R3538" s="6" t="str">
        <f>IF($K3538="","",IF($L3538="Crédit",$K3538,-$K3538))</f>
        <v/>
      </c>
      <c r="S3538" s="6" t="str">
        <f>IF($C3538="","",IFERROR(INDEX('Paramètres'!$H:$H,MATCH($C3538,'Paramètres'!$D:$D,0))&amp;"",""))</f>
        <v/>
      </c>
      <c r="T3538" s="6" t="str">
        <f>IF($K3538="","",IF($S3538="",0,IF(ISNUMBER(SEARCH("apport-exterieur",IFERROR(INDEX('Paramètres'!$N:$N,MATCH($D3538,'Paramètres'!$M:$M,0))&amp;"",""))),0,IF(OR(IFERROR(INDEX('Paramètres'!$I:$I,MATCH($C3538,'Paramètres'!$D:$D,0))&amp;"","")="Les deux",IFERROR(INDEX('Paramètres'!$I:$I,MATCH($C3538,'Paramètres'!$D:$D,0))&amp;"","")=IF($P3538=1,"Débit",$L3538)),-IF($P3538=1,-$K3538,$K3538),0))))</f>
        <v/>
      </c>
      <c r="U3538" s="6" t="str">
        <f>IF($K3538="","",IF(ISNUMBER(SEARCH("sortie-epargne",IFERROR(INDEX('Paramètres'!$N:$N,MATCH($D3538,'Paramètres'!$M:$M,0))&amp;"",""))),$K3538,0))</f>
        <v/>
      </c>
      <c r="V3538" s="6" t="str">
        <f>IF(AND($A3538&lt;&gt;"",$O3538=1,$L3538="Débit",N($Q3538)&gt;0,$A3538&gt;=Visualisation!$B$1,$A3538&lt;Visualisation!$D$1),MAX($V$1:V3537)+1,"")</f>
        <v/>
      </c>
    </row>
    <row r="3539" spans="1:22" x14ac:dyDescent="0.25">
      <c r="A3539" s="9"/>
      <c r="E3539" s="10"/>
      <c r="K3539" s="11" t="str">
        <f>IF($E3539="","",ROUND($E3539*IF(ISNA(MATCH($C3539,'Paramètres'!$D:$D,0)),1,IF(INDEX('Paramètres'!$J:$J,MATCH($C3539,'Paramètres'!$D:$D,0))="",1,INDEX('Paramètres'!$J:$J,MATCH($C3539,'Paramètres'!$D:$D,0)))),2))</f>
        <v/>
      </c>
      <c r="L3539" s="6" t="str">
        <f>IF($D3539="","",IF($F3539&lt;&gt;"",$F3539,IF(ISNA(MATCH($D3539,'Paramètres'!$M:$M,0)),"⚠ Type inconnu",IFERROR(INDEX('Paramètres'!$P:$P,MATCH($D3539,'Paramètres'!$M:$M,0))&amp;"",""))))</f>
        <v/>
      </c>
      <c r="M3539" s="6" t="str">
        <f>IF($D3539="","",IF(ISNA(MATCH($D3539,'Paramètres'!$M:$M,0)),"⚠ Type inconnu",IF($L3539="Crédit","",IFERROR(INDEX('Paramètres'!$O:$O,MATCH($D3539,'Paramètres'!$M:$M,0))&amp;"",""))))</f>
        <v/>
      </c>
      <c r="N3539" s="6" t="str">
        <f>IF($D3539="","",IFERROR(INDEX('Paramètres'!$Q:$Q,MATCH($D3539,'Paramètres'!$M:$M,0))&amp;"",""))</f>
        <v/>
      </c>
      <c r="O3539" s="6" t="str">
        <f>IF($A3539="","",IF(OR($J3539&lt;&gt;"x",$A3539&lt;=FinReleve),1,0))</f>
        <v/>
      </c>
      <c r="P3539" s="6" t="str">
        <f>IF($D3539="","",IF(AND($L3539="Crédit",OR(IFERROR(INDEX('Paramètres'!$O:$O,MATCH($D3539,'Paramètres'!$M:$M,0))&amp;"","")&lt;&gt;"",ISNUMBER(SEARCH("remboursement",IFERROR(INDEX('Paramètres'!$N:$N,MATCH($D3539,'Paramètres'!$M:$M,0))&amp;"",""))))),1,0))</f>
        <v/>
      </c>
      <c r="Q3539" s="6" t="str">
        <f>IF($K3539="","",IF(ISNUMBER(SEARCH("transfert-interne",IFERROR(INDEX('Paramètres'!$N:$N,MATCH($D3539,'Paramètres'!$M:$M,0))&amp;"",""))),0,IF($L3539="Débit",$K3539,IF($P3539=1,-$K3539,0))))</f>
        <v/>
      </c>
      <c r="R3539" s="6" t="str">
        <f>IF($K3539="","",IF($L3539="Crédit",$K3539,-$K3539))</f>
        <v/>
      </c>
      <c r="S3539" s="6" t="str">
        <f>IF($C3539="","",IFERROR(INDEX('Paramètres'!$H:$H,MATCH($C3539,'Paramètres'!$D:$D,0))&amp;"",""))</f>
        <v/>
      </c>
      <c r="T3539" s="6" t="str">
        <f>IF($K3539="","",IF($S3539="",0,IF(ISNUMBER(SEARCH("apport-exterieur",IFERROR(INDEX('Paramètres'!$N:$N,MATCH($D3539,'Paramètres'!$M:$M,0))&amp;"",""))),0,IF(OR(IFERROR(INDEX('Paramètres'!$I:$I,MATCH($C3539,'Paramètres'!$D:$D,0))&amp;"","")="Les deux",IFERROR(INDEX('Paramètres'!$I:$I,MATCH($C3539,'Paramètres'!$D:$D,0))&amp;"","")=IF($P3539=1,"Débit",$L3539)),-IF($P3539=1,-$K3539,$K3539),0))))</f>
        <v/>
      </c>
      <c r="U3539" s="6" t="str">
        <f>IF($K3539="","",IF(ISNUMBER(SEARCH("sortie-epargne",IFERROR(INDEX('Paramètres'!$N:$N,MATCH($D3539,'Paramètres'!$M:$M,0))&amp;"",""))),$K3539,0))</f>
        <v/>
      </c>
      <c r="V3539" s="6" t="str">
        <f>IF(AND($A3539&lt;&gt;"",$O3539=1,$L3539="Débit",N($Q3539)&gt;0,$A3539&gt;=Visualisation!$B$1,$A3539&lt;Visualisation!$D$1),MAX($V$1:V3538)+1,"")</f>
        <v/>
      </c>
    </row>
    <row r="3540" spans="1:22" x14ac:dyDescent="0.25">
      <c r="A3540" s="9"/>
      <c r="E3540" s="10"/>
      <c r="K3540" s="11" t="str">
        <f>IF($E3540="","",ROUND($E3540*IF(ISNA(MATCH($C3540,'Paramètres'!$D:$D,0)),1,IF(INDEX('Paramètres'!$J:$J,MATCH($C3540,'Paramètres'!$D:$D,0))="",1,INDEX('Paramètres'!$J:$J,MATCH($C3540,'Paramètres'!$D:$D,0)))),2))</f>
        <v/>
      </c>
      <c r="L3540" s="6" t="str">
        <f>IF($D3540="","",IF($F3540&lt;&gt;"",$F3540,IF(ISNA(MATCH($D3540,'Paramètres'!$M:$M,0)),"⚠ Type inconnu",IFERROR(INDEX('Paramètres'!$P:$P,MATCH($D3540,'Paramètres'!$M:$M,0))&amp;"",""))))</f>
        <v/>
      </c>
      <c r="M3540" s="6" t="str">
        <f>IF($D3540="","",IF(ISNA(MATCH($D3540,'Paramètres'!$M:$M,0)),"⚠ Type inconnu",IF($L3540="Crédit","",IFERROR(INDEX('Paramètres'!$O:$O,MATCH($D3540,'Paramètres'!$M:$M,0))&amp;"",""))))</f>
        <v/>
      </c>
      <c r="N3540" s="6" t="str">
        <f>IF($D3540="","",IFERROR(INDEX('Paramètres'!$Q:$Q,MATCH($D3540,'Paramètres'!$M:$M,0))&amp;"",""))</f>
        <v/>
      </c>
      <c r="O3540" s="6" t="str">
        <f>IF($A3540="","",IF(OR($J3540&lt;&gt;"x",$A3540&lt;=FinReleve),1,0))</f>
        <v/>
      </c>
      <c r="P3540" s="6" t="str">
        <f>IF($D3540="","",IF(AND($L3540="Crédit",OR(IFERROR(INDEX('Paramètres'!$O:$O,MATCH($D3540,'Paramètres'!$M:$M,0))&amp;"","")&lt;&gt;"",ISNUMBER(SEARCH("remboursement",IFERROR(INDEX('Paramètres'!$N:$N,MATCH($D3540,'Paramètres'!$M:$M,0))&amp;"",""))))),1,0))</f>
        <v/>
      </c>
      <c r="Q3540" s="6" t="str">
        <f>IF($K3540="","",IF(ISNUMBER(SEARCH("transfert-interne",IFERROR(INDEX('Paramètres'!$N:$N,MATCH($D3540,'Paramètres'!$M:$M,0))&amp;"",""))),0,IF($L3540="Débit",$K3540,IF($P3540=1,-$K3540,0))))</f>
        <v/>
      </c>
      <c r="R3540" s="6" t="str">
        <f>IF($K3540="","",IF($L3540="Crédit",$K3540,-$K3540))</f>
        <v/>
      </c>
      <c r="S3540" s="6" t="str">
        <f>IF($C3540="","",IFERROR(INDEX('Paramètres'!$H:$H,MATCH($C3540,'Paramètres'!$D:$D,0))&amp;"",""))</f>
        <v/>
      </c>
      <c r="T3540" s="6" t="str">
        <f>IF($K3540="","",IF($S3540="",0,IF(ISNUMBER(SEARCH("apport-exterieur",IFERROR(INDEX('Paramètres'!$N:$N,MATCH($D3540,'Paramètres'!$M:$M,0))&amp;"",""))),0,IF(OR(IFERROR(INDEX('Paramètres'!$I:$I,MATCH($C3540,'Paramètres'!$D:$D,0))&amp;"","")="Les deux",IFERROR(INDEX('Paramètres'!$I:$I,MATCH($C3540,'Paramètres'!$D:$D,0))&amp;"","")=IF($P3540=1,"Débit",$L3540)),-IF($P3540=1,-$K3540,$K3540),0))))</f>
        <v/>
      </c>
      <c r="U3540" s="6" t="str">
        <f>IF($K3540="","",IF(ISNUMBER(SEARCH("sortie-epargne",IFERROR(INDEX('Paramètres'!$N:$N,MATCH($D3540,'Paramètres'!$M:$M,0))&amp;"",""))),$K3540,0))</f>
        <v/>
      </c>
      <c r="V3540" s="6" t="str">
        <f>IF(AND($A3540&lt;&gt;"",$O3540=1,$L3540="Débit",N($Q3540)&gt;0,$A3540&gt;=Visualisation!$B$1,$A3540&lt;Visualisation!$D$1),MAX($V$1:V3539)+1,"")</f>
        <v/>
      </c>
    </row>
    <row r="3541" spans="1:22" x14ac:dyDescent="0.25">
      <c r="A3541" s="9"/>
      <c r="E3541" s="10"/>
      <c r="K3541" s="11" t="str">
        <f>IF($E3541="","",ROUND($E3541*IF(ISNA(MATCH($C3541,'Paramètres'!$D:$D,0)),1,IF(INDEX('Paramètres'!$J:$J,MATCH($C3541,'Paramètres'!$D:$D,0))="",1,INDEX('Paramètres'!$J:$J,MATCH($C3541,'Paramètres'!$D:$D,0)))),2))</f>
        <v/>
      </c>
      <c r="L3541" s="6" t="str">
        <f>IF($D3541="","",IF($F3541&lt;&gt;"",$F3541,IF(ISNA(MATCH($D3541,'Paramètres'!$M:$M,0)),"⚠ Type inconnu",IFERROR(INDEX('Paramètres'!$P:$P,MATCH($D3541,'Paramètres'!$M:$M,0))&amp;"",""))))</f>
        <v/>
      </c>
      <c r="M3541" s="6" t="str">
        <f>IF($D3541="","",IF(ISNA(MATCH($D3541,'Paramètres'!$M:$M,0)),"⚠ Type inconnu",IF($L3541="Crédit","",IFERROR(INDEX('Paramètres'!$O:$O,MATCH($D3541,'Paramètres'!$M:$M,0))&amp;"",""))))</f>
        <v/>
      </c>
      <c r="N3541" s="6" t="str">
        <f>IF($D3541="","",IFERROR(INDEX('Paramètres'!$Q:$Q,MATCH($D3541,'Paramètres'!$M:$M,0))&amp;"",""))</f>
        <v/>
      </c>
      <c r="O3541" s="6" t="str">
        <f>IF($A3541="","",IF(OR($J3541&lt;&gt;"x",$A3541&lt;=FinReleve),1,0))</f>
        <v/>
      </c>
      <c r="P3541" s="6" t="str">
        <f>IF($D3541="","",IF(AND($L3541="Crédit",OR(IFERROR(INDEX('Paramètres'!$O:$O,MATCH($D3541,'Paramètres'!$M:$M,0))&amp;"","")&lt;&gt;"",ISNUMBER(SEARCH("remboursement",IFERROR(INDEX('Paramètres'!$N:$N,MATCH($D3541,'Paramètres'!$M:$M,0))&amp;"",""))))),1,0))</f>
        <v/>
      </c>
      <c r="Q3541" s="6" t="str">
        <f>IF($K3541="","",IF(ISNUMBER(SEARCH("transfert-interne",IFERROR(INDEX('Paramètres'!$N:$N,MATCH($D3541,'Paramètres'!$M:$M,0))&amp;"",""))),0,IF($L3541="Débit",$K3541,IF($P3541=1,-$K3541,0))))</f>
        <v/>
      </c>
      <c r="R3541" s="6" t="str">
        <f>IF($K3541="","",IF($L3541="Crédit",$K3541,-$K3541))</f>
        <v/>
      </c>
      <c r="S3541" s="6" t="str">
        <f>IF($C3541="","",IFERROR(INDEX('Paramètres'!$H:$H,MATCH($C3541,'Paramètres'!$D:$D,0))&amp;"",""))</f>
        <v/>
      </c>
      <c r="T3541" s="6" t="str">
        <f>IF($K3541="","",IF($S3541="",0,IF(ISNUMBER(SEARCH("apport-exterieur",IFERROR(INDEX('Paramètres'!$N:$N,MATCH($D3541,'Paramètres'!$M:$M,0))&amp;"",""))),0,IF(OR(IFERROR(INDEX('Paramètres'!$I:$I,MATCH($C3541,'Paramètres'!$D:$D,0))&amp;"","")="Les deux",IFERROR(INDEX('Paramètres'!$I:$I,MATCH($C3541,'Paramètres'!$D:$D,0))&amp;"","")=IF($P3541=1,"Débit",$L3541)),-IF($P3541=1,-$K3541,$K3541),0))))</f>
        <v/>
      </c>
      <c r="U3541" s="6" t="str">
        <f>IF($K3541="","",IF(ISNUMBER(SEARCH("sortie-epargne",IFERROR(INDEX('Paramètres'!$N:$N,MATCH($D3541,'Paramètres'!$M:$M,0))&amp;"",""))),$K3541,0))</f>
        <v/>
      </c>
      <c r="V3541" s="6" t="str">
        <f>IF(AND($A3541&lt;&gt;"",$O3541=1,$L3541="Débit",N($Q3541)&gt;0,$A3541&gt;=Visualisation!$B$1,$A3541&lt;Visualisation!$D$1),MAX($V$1:V3540)+1,"")</f>
        <v/>
      </c>
    </row>
    <row r="3542" spans="1:22" x14ac:dyDescent="0.25">
      <c r="A3542" s="9"/>
      <c r="E3542" s="10"/>
      <c r="K3542" s="11" t="str">
        <f>IF($E3542="","",ROUND($E3542*IF(ISNA(MATCH($C3542,'Paramètres'!$D:$D,0)),1,IF(INDEX('Paramètres'!$J:$J,MATCH($C3542,'Paramètres'!$D:$D,0))="",1,INDEX('Paramètres'!$J:$J,MATCH($C3542,'Paramètres'!$D:$D,0)))),2))</f>
        <v/>
      </c>
      <c r="L3542" s="6" t="str">
        <f>IF($D3542="","",IF($F3542&lt;&gt;"",$F3542,IF(ISNA(MATCH($D3542,'Paramètres'!$M:$M,0)),"⚠ Type inconnu",IFERROR(INDEX('Paramètres'!$P:$P,MATCH($D3542,'Paramètres'!$M:$M,0))&amp;"",""))))</f>
        <v/>
      </c>
      <c r="M3542" s="6" t="str">
        <f>IF($D3542="","",IF(ISNA(MATCH($D3542,'Paramètres'!$M:$M,0)),"⚠ Type inconnu",IF($L3542="Crédit","",IFERROR(INDEX('Paramètres'!$O:$O,MATCH($D3542,'Paramètres'!$M:$M,0))&amp;"",""))))</f>
        <v/>
      </c>
      <c r="N3542" s="6" t="str">
        <f>IF($D3542="","",IFERROR(INDEX('Paramètres'!$Q:$Q,MATCH($D3542,'Paramètres'!$M:$M,0))&amp;"",""))</f>
        <v/>
      </c>
      <c r="O3542" s="6" t="str">
        <f>IF($A3542="","",IF(OR($J3542&lt;&gt;"x",$A3542&lt;=FinReleve),1,0))</f>
        <v/>
      </c>
      <c r="P3542" s="6" t="str">
        <f>IF($D3542="","",IF(AND($L3542="Crédit",OR(IFERROR(INDEX('Paramètres'!$O:$O,MATCH($D3542,'Paramètres'!$M:$M,0))&amp;"","")&lt;&gt;"",ISNUMBER(SEARCH("remboursement",IFERROR(INDEX('Paramètres'!$N:$N,MATCH($D3542,'Paramètres'!$M:$M,0))&amp;"",""))))),1,0))</f>
        <v/>
      </c>
      <c r="Q3542" s="6" t="str">
        <f>IF($K3542="","",IF(ISNUMBER(SEARCH("transfert-interne",IFERROR(INDEX('Paramètres'!$N:$N,MATCH($D3542,'Paramètres'!$M:$M,0))&amp;"",""))),0,IF($L3542="Débit",$K3542,IF($P3542=1,-$K3542,0))))</f>
        <v/>
      </c>
      <c r="R3542" s="6" t="str">
        <f>IF($K3542="","",IF($L3542="Crédit",$K3542,-$K3542))</f>
        <v/>
      </c>
      <c r="S3542" s="6" t="str">
        <f>IF($C3542="","",IFERROR(INDEX('Paramètres'!$H:$H,MATCH($C3542,'Paramètres'!$D:$D,0))&amp;"",""))</f>
        <v/>
      </c>
      <c r="T3542" s="6" t="str">
        <f>IF($K3542="","",IF($S3542="",0,IF(ISNUMBER(SEARCH("apport-exterieur",IFERROR(INDEX('Paramètres'!$N:$N,MATCH($D3542,'Paramètres'!$M:$M,0))&amp;"",""))),0,IF(OR(IFERROR(INDEX('Paramètres'!$I:$I,MATCH($C3542,'Paramètres'!$D:$D,0))&amp;"","")="Les deux",IFERROR(INDEX('Paramètres'!$I:$I,MATCH($C3542,'Paramètres'!$D:$D,0))&amp;"","")=IF($P3542=1,"Débit",$L3542)),-IF($P3542=1,-$K3542,$K3542),0))))</f>
        <v/>
      </c>
      <c r="U3542" s="6" t="str">
        <f>IF($K3542="","",IF(ISNUMBER(SEARCH("sortie-epargne",IFERROR(INDEX('Paramètres'!$N:$N,MATCH($D3542,'Paramètres'!$M:$M,0))&amp;"",""))),$K3542,0))</f>
        <v/>
      </c>
      <c r="V3542" s="6" t="str">
        <f>IF(AND($A3542&lt;&gt;"",$O3542=1,$L3542="Débit",N($Q3542)&gt;0,$A3542&gt;=Visualisation!$B$1,$A3542&lt;Visualisation!$D$1),MAX($V$1:V3541)+1,"")</f>
        <v/>
      </c>
    </row>
    <row r="3543" spans="1:22" x14ac:dyDescent="0.25">
      <c r="A3543" s="9"/>
      <c r="E3543" s="10"/>
      <c r="K3543" s="11" t="str">
        <f>IF($E3543="","",ROUND($E3543*IF(ISNA(MATCH($C3543,'Paramètres'!$D:$D,0)),1,IF(INDEX('Paramètres'!$J:$J,MATCH($C3543,'Paramètres'!$D:$D,0))="",1,INDEX('Paramètres'!$J:$J,MATCH($C3543,'Paramètres'!$D:$D,0)))),2))</f>
        <v/>
      </c>
      <c r="L3543" s="6" t="str">
        <f>IF($D3543="","",IF($F3543&lt;&gt;"",$F3543,IF(ISNA(MATCH($D3543,'Paramètres'!$M:$M,0)),"⚠ Type inconnu",IFERROR(INDEX('Paramètres'!$P:$P,MATCH($D3543,'Paramètres'!$M:$M,0))&amp;"",""))))</f>
        <v/>
      </c>
      <c r="M3543" s="6" t="str">
        <f>IF($D3543="","",IF(ISNA(MATCH($D3543,'Paramètres'!$M:$M,0)),"⚠ Type inconnu",IF($L3543="Crédit","",IFERROR(INDEX('Paramètres'!$O:$O,MATCH($D3543,'Paramètres'!$M:$M,0))&amp;"",""))))</f>
        <v/>
      </c>
      <c r="N3543" s="6" t="str">
        <f>IF($D3543="","",IFERROR(INDEX('Paramètres'!$Q:$Q,MATCH($D3543,'Paramètres'!$M:$M,0))&amp;"",""))</f>
        <v/>
      </c>
      <c r="O3543" s="6" t="str">
        <f>IF($A3543="","",IF(OR($J3543&lt;&gt;"x",$A3543&lt;=FinReleve),1,0))</f>
        <v/>
      </c>
      <c r="P3543" s="6" t="str">
        <f>IF($D3543="","",IF(AND($L3543="Crédit",OR(IFERROR(INDEX('Paramètres'!$O:$O,MATCH($D3543,'Paramètres'!$M:$M,0))&amp;"","")&lt;&gt;"",ISNUMBER(SEARCH("remboursement",IFERROR(INDEX('Paramètres'!$N:$N,MATCH($D3543,'Paramètres'!$M:$M,0))&amp;"",""))))),1,0))</f>
        <v/>
      </c>
      <c r="Q3543" s="6" t="str">
        <f>IF($K3543="","",IF(ISNUMBER(SEARCH("transfert-interne",IFERROR(INDEX('Paramètres'!$N:$N,MATCH($D3543,'Paramètres'!$M:$M,0))&amp;"",""))),0,IF($L3543="Débit",$K3543,IF($P3543=1,-$K3543,0))))</f>
        <v/>
      </c>
      <c r="R3543" s="6" t="str">
        <f>IF($K3543="","",IF($L3543="Crédit",$K3543,-$K3543))</f>
        <v/>
      </c>
      <c r="S3543" s="6" t="str">
        <f>IF($C3543="","",IFERROR(INDEX('Paramètres'!$H:$H,MATCH($C3543,'Paramètres'!$D:$D,0))&amp;"",""))</f>
        <v/>
      </c>
      <c r="T3543" s="6" t="str">
        <f>IF($K3543="","",IF($S3543="",0,IF(ISNUMBER(SEARCH("apport-exterieur",IFERROR(INDEX('Paramètres'!$N:$N,MATCH($D3543,'Paramètres'!$M:$M,0))&amp;"",""))),0,IF(OR(IFERROR(INDEX('Paramètres'!$I:$I,MATCH($C3543,'Paramètres'!$D:$D,0))&amp;"","")="Les deux",IFERROR(INDEX('Paramètres'!$I:$I,MATCH($C3543,'Paramètres'!$D:$D,0))&amp;"","")=IF($P3543=1,"Débit",$L3543)),-IF($P3543=1,-$K3543,$K3543),0))))</f>
        <v/>
      </c>
      <c r="U3543" s="6" t="str">
        <f>IF($K3543="","",IF(ISNUMBER(SEARCH("sortie-epargne",IFERROR(INDEX('Paramètres'!$N:$N,MATCH($D3543,'Paramètres'!$M:$M,0))&amp;"",""))),$K3543,0))</f>
        <v/>
      </c>
      <c r="V3543" s="6" t="str">
        <f>IF(AND($A3543&lt;&gt;"",$O3543=1,$L3543="Débit",N($Q3543)&gt;0,$A3543&gt;=Visualisation!$B$1,$A3543&lt;Visualisation!$D$1),MAX($V$1:V3542)+1,"")</f>
        <v/>
      </c>
    </row>
    <row r="3544" spans="1:22" x14ac:dyDescent="0.25">
      <c r="A3544" s="9"/>
      <c r="E3544" s="10"/>
      <c r="K3544" s="11" t="str">
        <f>IF($E3544="","",ROUND($E3544*IF(ISNA(MATCH($C3544,'Paramètres'!$D:$D,0)),1,IF(INDEX('Paramètres'!$J:$J,MATCH($C3544,'Paramètres'!$D:$D,0))="",1,INDEX('Paramètres'!$J:$J,MATCH($C3544,'Paramètres'!$D:$D,0)))),2))</f>
        <v/>
      </c>
      <c r="L3544" s="6" t="str">
        <f>IF($D3544="","",IF($F3544&lt;&gt;"",$F3544,IF(ISNA(MATCH($D3544,'Paramètres'!$M:$M,0)),"⚠ Type inconnu",IFERROR(INDEX('Paramètres'!$P:$P,MATCH($D3544,'Paramètres'!$M:$M,0))&amp;"",""))))</f>
        <v/>
      </c>
      <c r="M3544" s="6" t="str">
        <f>IF($D3544="","",IF(ISNA(MATCH($D3544,'Paramètres'!$M:$M,0)),"⚠ Type inconnu",IF($L3544="Crédit","",IFERROR(INDEX('Paramètres'!$O:$O,MATCH($D3544,'Paramètres'!$M:$M,0))&amp;"",""))))</f>
        <v/>
      </c>
      <c r="N3544" s="6" t="str">
        <f>IF($D3544="","",IFERROR(INDEX('Paramètres'!$Q:$Q,MATCH($D3544,'Paramètres'!$M:$M,0))&amp;"",""))</f>
        <v/>
      </c>
      <c r="O3544" s="6" t="str">
        <f>IF($A3544="","",IF(OR($J3544&lt;&gt;"x",$A3544&lt;=FinReleve),1,0))</f>
        <v/>
      </c>
      <c r="P3544" s="6" t="str">
        <f>IF($D3544="","",IF(AND($L3544="Crédit",OR(IFERROR(INDEX('Paramètres'!$O:$O,MATCH($D3544,'Paramètres'!$M:$M,0))&amp;"","")&lt;&gt;"",ISNUMBER(SEARCH("remboursement",IFERROR(INDEX('Paramètres'!$N:$N,MATCH($D3544,'Paramètres'!$M:$M,0))&amp;"",""))))),1,0))</f>
        <v/>
      </c>
      <c r="Q3544" s="6" t="str">
        <f>IF($K3544="","",IF(ISNUMBER(SEARCH("transfert-interne",IFERROR(INDEX('Paramètres'!$N:$N,MATCH($D3544,'Paramètres'!$M:$M,0))&amp;"",""))),0,IF($L3544="Débit",$K3544,IF($P3544=1,-$K3544,0))))</f>
        <v/>
      </c>
      <c r="R3544" s="6" t="str">
        <f>IF($K3544="","",IF($L3544="Crédit",$K3544,-$K3544))</f>
        <v/>
      </c>
      <c r="S3544" s="6" t="str">
        <f>IF($C3544="","",IFERROR(INDEX('Paramètres'!$H:$H,MATCH($C3544,'Paramètres'!$D:$D,0))&amp;"",""))</f>
        <v/>
      </c>
      <c r="T3544" s="6" t="str">
        <f>IF($K3544="","",IF($S3544="",0,IF(ISNUMBER(SEARCH("apport-exterieur",IFERROR(INDEX('Paramètres'!$N:$N,MATCH($D3544,'Paramètres'!$M:$M,0))&amp;"",""))),0,IF(OR(IFERROR(INDEX('Paramètres'!$I:$I,MATCH($C3544,'Paramètres'!$D:$D,0))&amp;"","")="Les deux",IFERROR(INDEX('Paramètres'!$I:$I,MATCH($C3544,'Paramètres'!$D:$D,0))&amp;"","")=IF($P3544=1,"Débit",$L3544)),-IF($P3544=1,-$K3544,$K3544),0))))</f>
        <v/>
      </c>
      <c r="U3544" s="6" t="str">
        <f>IF($K3544="","",IF(ISNUMBER(SEARCH("sortie-epargne",IFERROR(INDEX('Paramètres'!$N:$N,MATCH($D3544,'Paramètres'!$M:$M,0))&amp;"",""))),$K3544,0))</f>
        <v/>
      </c>
      <c r="V3544" s="6" t="str">
        <f>IF(AND($A3544&lt;&gt;"",$O3544=1,$L3544="Débit",N($Q3544)&gt;0,$A3544&gt;=Visualisation!$B$1,$A3544&lt;Visualisation!$D$1),MAX($V$1:V3543)+1,"")</f>
        <v/>
      </c>
    </row>
    <row r="3545" spans="1:22" x14ac:dyDescent="0.25">
      <c r="A3545" s="9"/>
      <c r="E3545" s="10"/>
      <c r="K3545" s="11" t="str">
        <f>IF($E3545="","",ROUND($E3545*IF(ISNA(MATCH($C3545,'Paramètres'!$D:$D,0)),1,IF(INDEX('Paramètres'!$J:$J,MATCH($C3545,'Paramètres'!$D:$D,0))="",1,INDEX('Paramètres'!$J:$J,MATCH($C3545,'Paramètres'!$D:$D,0)))),2))</f>
        <v/>
      </c>
      <c r="L3545" s="6" t="str">
        <f>IF($D3545="","",IF($F3545&lt;&gt;"",$F3545,IF(ISNA(MATCH($D3545,'Paramètres'!$M:$M,0)),"⚠ Type inconnu",IFERROR(INDEX('Paramètres'!$P:$P,MATCH($D3545,'Paramètres'!$M:$M,0))&amp;"",""))))</f>
        <v/>
      </c>
      <c r="M3545" s="6" t="str">
        <f>IF($D3545="","",IF(ISNA(MATCH($D3545,'Paramètres'!$M:$M,0)),"⚠ Type inconnu",IF($L3545="Crédit","",IFERROR(INDEX('Paramètres'!$O:$O,MATCH($D3545,'Paramètres'!$M:$M,0))&amp;"",""))))</f>
        <v/>
      </c>
      <c r="N3545" s="6" t="str">
        <f>IF($D3545="","",IFERROR(INDEX('Paramètres'!$Q:$Q,MATCH($D3545,'Paramètres'!$M:$M,0))&amp;"",""))</f>
        <v/>
      </c>
      <c r="O3545" s="6" t="str">
        <f>IF($A3545="","",IF(OR($J3545&lt;&gt;"x",$A3545&lt;=FinReleve),1,0))</f>
        <v/>
      </c>
      <c r="P3545" s="6" t="str">
        <f>IF($D3545="","",IF(AND($L3545="Crédit",OR(IFERROR(INDEX('Paramètres'!$O:$O,MATCH($D3545,'Paramètres'!$M:$M,0))&amp;"","")&lt;&gt;"",ISNUMBER(SEARCH("remboursement",IFERROR(INDEX('Paramètres'!$N:$N,MATCH($D3545,'Paramètres'!$M:$M,0))&amp;"",""))))),1,0))</f>
        <v/>
      </c>
      <c r="Q3545" s="6" t="str">
        <f>IF($K3545="","",IF(ISNUMBER(SEARCH("transfert-interne",IFERROR(INDEX('Paramètres'!$N:$N,MATCH($D3545,'Paramètres'!$M:$M,0))&amp;"",""))),0,IF($L3545="Débit",$K3545,IF($P3545=1,-$K3545,0))))</f>
        <v/>
      </c>
      <c r="R3545" s="6" t="str">
        <f>IF($K3545="","",IF($L3545="Crédit",$K3545,-$K3545))</f>
        <v/>
      </c>
      <c r="S3545" s="6" t="str">
        <f>IF($C3545="","",IFERROR(INDEX('Paramètres'!$H:$H,MATCH($C3545,'Paramètres'!$D:$D,0))&amp;"",""))</f>
        <v/>
      </c>
      <c r="T3545" s="6" t="str">
        <f>IF($K3545="","",IF($S3545="",0,IF(ISNUMBER(SEARCH("apport-exterieur",IFERROR(INDEX('Paramètres'!$N:$N,MATCH($D3545,'Paramètres'!$M:$M,0))&amp;"",""))),0,IF(OR(IFERROR(INDEX('Paramètres'!$I:$I,MATCH($C3545,'Paramètres'!$D:$D,0))&amp;"","")="Les deux",IFERROR(INDEX('Paramètres'!$I:$I,MATCH($C3545,'Paramètres'!$D:$D,0))&amp;"","")=IF($P3545=1,"Débit",$L3545)),-IF($P3545=1,-$K3545,$K3545),0))))</f>
        <v/>
      </c>
      <c r="U3545" s="6" t="str">
        <f>IF($K3545="","",IF(ISNUMBER(SEARCH("sortie-epargne",IFERROR(INDEX('Paramètres'!$N:$N,MATCH($D3545,'Paramètres'!$M:$M,0))&amp;"",""))),$K3545,0))</f>
        <v/>
      </c>
      <c r="V3545" s="6" t="str">
        <f>IF(AND($A3545&lt;&gt;"",$O3545=1,$L3545="Débit",N($Q3545)&gt;0,$A3545&gt;=Visualisation!$B$1,$A3545&lt;Visualisation!$D$1),MAX($V$1:V3544)+1,"")</f>
        <v/>
      </c>
    </row>
    <row r="3546" spans="1:22" x14ac:dyDescent="0.25">
      <c r="A3546" s="9"/>
      <c r="E3546" s="10"/>
      <c r="K3546" s="11" t="str">
        <f>IF($E3546="","",ROUND($E3546*IF(ISNA(MATCH($C3546,'Paramètres'!$D:$D,0)),1,IF(INDEX('Paramètres'!$J:$J,MATCH($C3546,'Paramètres'!$D:$D,0))="",1,INDEX('Paramètres'!$J:$J,MATCH($C3546,'Paramètres'!$D:$D,0)))),2))</f>
        <v/>
      </c>
      <c r="L3546" s="6" t="str">
        <f>IF($D3546="","",IF($F3546&lt;&gt;"",$F3546,IF(ISNA(MATCH($D3546,'Paramètres'!$M:$M,0)),"⚠ Type inconnu",IFERROR(INDEX('Paramètres'!$P:$P,MATCH($D3546,'Paramètres'!$M:$M,0))&amp;"",""))))</f>
        <v/>
      </c>
      <c r="M3546" s="6" t="str">
        <f>IF($D3546="","",IF(ISNA(MATCH($D3546,'Paramètres'!$M:$M,0)),"⚠ Type inconnu",IF($L3546="Crédit","",IFERROR(INDEX('Paramètres'!$O:$O,MATCH($D3546,'Paramètres'!$M:$M,0))&amp;"",""))))</f>
        <v/>
      </c>
      <c r="N3546" s="6" t="str">
        <f>IF($D3546="","",IFERROR(INDEX('Paramètres'!$Q:$Q,MATCH($D3546,'Paramètres'!$M:$M,0))&amp;"",""))</f>
        <v/>
      </c>
      <c r="O3546" s="6" t="str">
        <f>IF($A3546="","",IF(OR($J3546&lt;&gt;"x",$A3546&lt;=FinReleve),1,0))</f>
        <v/>
      </c>
      <c r="P3546" s="6" t="str">
        <f>IF($D3546="","",IF(AND($L3546="Crédit",OR(IFERROR(INDEX('Paramètres'!$O:$O,MATCH($D3546,'Paramètres'!$M:$M,0))&amp;"","")&lt;&gt;"",ISNUMBER(SEARCH("remboursement",IFERROR(INDEX('Paramètres'!$N:$N,MATCH($D3546,'Paramètres'!$M:$M,0))&amp;"",""))))),1,0))</f>
        <v/>
      </c>
      <c r="Q3546" s="6" t="str">
        <f>IF($K3546="","",IF(ISNUMBER(SEARCH("transfert-interne",IFERROR(INDEX('Paramètres'!$N:$N,MATCH($D3546,'Paramètres'!$M:$M,0))&amp;"",""))),0,IF($L3546="Débit",$K3546,IF($P3546=1,-$K3546,0))))</f>
        <v/>
      </c>
      <c r="R3546" s="6" t="str">
        <f>IF($K3546="","",IF($L3546="Crédit",$K3546,-$K3546))</f>
        <v/>
      </c>
      <c r="S3546" s="6" t="str">
        <f>IF($C3546="","",IFERROR(INDEX('Paramètres'!$H:$H,MATCH($C3546,'Paramètres'!$D:$D,0))&amp;"",""))</f>
        <v/>
      </c>
      <c r="T3546" s="6" t="str">
        <f>IF($K3546="","",IF($S3546="",0,IF(ISNUMBER(SEARCH("apport-exterieur",IFERROR(INDEX('Paramètres'!$N:$N,MATCH($D3546,'Paramètres'!$M:$M,0))&amp;"",""))),0,IF(OR(IFERROR(INDEX('Paramètres'!$I:$I,MATCH($C3546,'Paramètres'!$D:$D,0))&amp;"","")="Les deux",IFERROR(INDEX('Paramètres'!$I:$I,MATCH($C3546,'Paramètres'!$D:$D,0))&amp;"","")=IF($P3546=1,"Débit",$L3546)),-IF($P3546=1,-$K3546,$K3546),0))))</f>
        <v/>
      </c>
      <c r="U3546" s="6" t="str">
        <f>IF($K3546="","",IF(ISNUMBER(SEARCH("sortie-epargne",IFERROR(INDEX('Paramètres'!$N:$N,MATCH($D3546,'Paramètres'!$M:$M,0))&amp;"",""))),$K3546,0))</f>
        <v/>
      </c>
      <c r="V3546" s="6" t="str">
        <f>IF(AND($A3546&lt;&gt;"",$O3546=1,$L3546="Débit",N($Q3546)&gt;0,$A3546&gt;=Visualisation!$B$1,$A3546&lt;Visualisation!$D$1),MAX($V$1:V3545)+1,"")</f>
        <v/>
      </c>
    </row>
    <row r="3547" spans="1:22" x14ac:dyDescent="0.25">
      <c r="A3547" s="9"/>
      <c r="E3547" s="10"/>
      <c r="K3547" s="11" t="str">
        <f>IF($E3547="","",ROUND($E3547*IF(ISNA(MATCH($C3547,'Paramètres'!$D:$D,0)),1,IF(INDEX('Paramètres'!$J:$J,MATCH($C3547,'Paramètres'!$D:$D,0))="",1,INDEX('Paramètres'!$J:$J,MATCH($C3547,'Paramètres'!$D:$D,0)))),2))</f>
        <v/>
      </c>
      <c r="L3547" s="6" t="str">
        <f>IF($D3547="","",IF($F3547&lt;&gt;"",$F3547,IF(ISNA(MATCH($D3547,'Paramètres'!$M:$M,0)),"⚠ Type inconnu",IFERROR(INDEX('Paramètres'!$P:$P,MATCH($D3547,'Paramètres'!$M:$M,0))&amp;"",""))))</f>
        <v/>
      </c>
      <c r="M3547" s="6" t="str">
        <f>IF($D3547="","",IF(ISNA(MATCH($D3547,'Paramètres'!$M:$M,0)),"⚠ Type inconnu",IF($L3547="Crédit","",IFERROR(INDEX('Paramètres'!$O:$O,MATCH($D3547,'Paramètres'!$M:$M,0))&amp;"",""))))</f>
        <v/>
      </c>
      <c r="N3547" s="6" t="str">
        <f>IF($D3547="","",IFERROR(INDEX('Paramètres'!$Q:$Q,MATCH($D3547,'Paramètres'!$M:$M,0))&amp;"",""))</f>
        <v/>
      </c>
      <c r="O3547" s="6" t="str">
        <f>IF($A3547="","",IF(OR($J3547&lt;&gt;"x",$A3547&lt;=FinReleve),1,0))</f>
        <v/>
      </c>
      <c r="P3547" s="6" t="str">
        <f>IF($D3547="","",IF(AND($L3547="Crédit",OR(IFERROR(INDEX('Paramètres'!$O:$O,MATCH($D3547,'Paramètres'!$M:$M,0))&amp;"","")&lt;&gt;"",ISNUMBER(SEARCH("remboursement",IFERROR(INDEX('Paramètres'!$N:$N,MATCH($D3547,'Paramètres'!$M:$M,0))&amp;"",""))))),1,0))</f>
        <v/>
      </c>
      <c r="Q3547" s="6" t="str">
        <f>IF($K3547="","",IF(ISNUMBER(SEARCH("transfert-interne",IFERROR(INDEX('Paramètres'!$N:$N,MATCH($D3547,'Paramètres'!$M:$M,0))&amp;"",""))),0,IF($L3547="Débit",$K3547,IF($P3547=1,-$K3547,0))))</f>
        <v/>
      </c>
      <c r="R3547" s="6" t="str">
        <f>IF($K3547="","",IF($L3547="Crédit",$K3547,-$K3547))</f>
        <v/>
      </c>
      <c r="S3547" s="6" t="str">
        <f>IF($C3547="","",IFERROR(INDEX('Paramètres'!$H:$H,MATCH($C3547,'Paramètres'!$D:$D,0))&amp;"",""))</f>
        <v/>
      </c>
      <c r="T3547" s="6" t="str">
        <f>IF($K3547="","",IF($S3547="",0,IF(ISNUMBER(SEARCH("apport-exterieur",IFERROR(INDEX('Paramètres'!$N:$N,MATCH($D3547,'Paramètres'!$M:$M,0))&amp;"",""))),0,IF(OR(IFERROR(INDEX('Paramètres'!$I:$I,MATCH($C3547,'Paramètres'!$D:$D,0))&amp;"","")="Les deux",IFERROR(INDEX('Paramètres'!$I:$I,MATCH($C3547,'Paramètres'!$D:$D,0))&amp;"","")=IF($P3547=1,"Débit",$L3547)),-IF($P3547=1,-$K3547,$K3547),0))))</f>
        <v/>
      </c>
      <c r="U3547" s="6" t="str">
        <f>IF($K3547="","",IF(ISNUMBER(SEARCH("sortie-epargne",IFERROR(INDEX('Paramètres'!$N:$N,MATCH($D3547,'Paramètres'!$M:$M,0))&amp;"",""))),$K3547,0))</f>
        <v/>
      </c>
      <c r="V3547" s="6" t="str">
        <f>IF(AND($A3547&lt;&gt;"",$O3547=1,$L3547="Débit",N($Q3547)&gt;0,$A3547&gt;=Visualisation!$B$1,$A3547&lt;Visualisation!$D$1),MAX($V$1:V3546)+1,"")</f>
        <v/>
      </c>
    </row>
    <row r="3548" spans="1:22" x14ac:dyDescent="0.25">
      <c r="A3548" s="9"/>
      <c r="E3548" s="10"/>
      <c r="K3548" s="11" t="str">
        <f>IF($E3548="","",ROUND($E3548*IF(ISNA(MATCH($C3548,'Paramètres'!$D:$D,0)),1,IF(INDEX('Paramètres'!$J:$J,MATCH($C3548,'Paramètres'!$D:$D,0))="",1,INDEX('Paramètres'!$J:$J,MATCH($C3548,'Paramètres'!$D:$D,0)))),2))</f>
        <v/>
      </c>
      <c r="L3548" s="6" t="str">
        <f>IF($D3548="","",IF($F3548&lt;&gt;"",$F3548,IF(ISNA(MATCH($D3548,'Paramètres'!$M:$M,0)),"⚠ Type inconnu",IFERROR(INDEX('Paramètres'!$P:$P,MATCH($D3548,'Paramètres'!$M:$M,0))&amp;"",""))))</f>
        <v/>
      </c>
      <c r="M3548" s="6" t="str">
        <f>IF($D3548="","",IF(ISNA(MATCH($D3548,'Paramètres'!$M:$M,0)),"⚠ Type inconnu",IF($L3548="Crédit","",IFERROR(INDEX('Paramètres'!$O:$O,MATCH($D3548,'Paramètres'!$M:$M,0))&amp;"",""))))</f>
        <v/>
      </c>
      <c r="N3548" s="6" t="str">
        <f>IF($D3548="","",IFERROR(INDEX('Paramètres'!$Q:$Q,MATCH($D3548,'Paramètres'!$M:$M,0))&amp;"",""))</f>
        <v/>
      </c>
      <c r="O3548" s="6" t="str">
        <f>IF($A3548="","",IF(OR($J3548&lt;&gt;"x",$A3548&lt;=FinReleve),1,0))</f>
        <v/>
      </c>
      <c r="P3548" s="6" t="str">
        <f>IF($D3548="","",IF(AND($L3548="Crédit",OR(IFERROR(INDEX('Paramètres'!$O:$O,MATCH($D3548,'Paramètres'!$M:$M,0))&amp;"","")&lt;&gt;"",ISNUMBER(SEARCH("remboursement",IFERROR(INDEX('Paramètres'!$N:$N,MATCH($D3548,'Paramètres'!$M:$M,0))&amp;"",""))))),1,0))</f>
        <v/>
      </c>
      <c r="Q3548" s="6" t="str">
        <f>IF($K3548="","",IF(ISNUMBER(SEARCH("transfert-interne",IFERROR(INDEX('Paramètres'!$N:$N,MATCH($D3548,'Paramètres'!$M:$M,0))&amp;"",""))),0,IF($L3548="Débit",$K3548,IF($P3548=1,-$K3548,0))))</f>
        <v/>
      </c>
      <c r="R3548" s="6" t="str">
        <f>IF($K3548="","",IF($L3548="Crédit",$K3548,-$K3548))</f>
        <v/>
      </c>
      <c r="S3548" s="6" t="str">
        <f>IF($C3548="","",IFERROR(INDEX('Paramètres'!$H:$H,MATCH($C3548,'Paramètres'!$D:$D,0))&amp;"",""))</f>
        <v/>
      </c>
      <c r="T3548" s="6" t="str">
        <f>IF($K3548="","",IF($S3548="",0,IF(ISNUMBER(SEARCH("apport-exterieur",IFERROR(INDEX('Paramètres'!$N:$N,MATCH($D3548,'Paramètres'!$M:$M,0))&amp;"",""))),0,IF(OR(IFERROR(INDEX('Paramètres'!$I:$I,MATCH($C3548,'Paramètres'!$D:$D,0))&amp;"","")="Les deux",IFERROR(INDEX('Paramètres'!$I:$I,MATCH($C3548,'Paramètres'!$D:$D,0))&amp;"","")=IF($P3548=1,"Débit",$L3548)),-IF($P3548=1,-$K3548,$K3548),0))))</f>
        <v/>
      </c>
      <c r="U3548" s="6" t="str">
        <f>IF($K3548="","",IF(ISNUMBER(SEARCH("sortie-epargne",IFERROR(INDEX('Paramètres'!$N:$N,MATCH($D3548,'Paramètres'!$M:$M,0))&amp;"",""))),$K3548,0))</f>
        <v/>
      </c>
      <c r="V3548" s="6" t="str">
        <f>IF(AND($A3548&lt;&gt;"",$O3548=1,$L3548="Débit",N($Q3548)&gt;0,$A3548&gt;=Visualisation!$B$1,$A3548&lt;Visualisation!$D$1),MAX($V$1:V3547)+1,"")</f>
        <v/>
      </c>
    </row>
    <row r="3549" spans="1:22" x14ac:dyDescent="0.25">
      <c r="A3549" s="9"/>
      <c r="E3549" s="10"/>
      <c r="K3549" s="11" t="str">
        <f>IF($E3549="","",ROUND($E3549*IF(ISNA(MATCH($C3549,'Paramètres'!$D:$D,0)),1,IF(INDEX('Paramètres'!$J:$J,MATCH($C3549,'Paramètres'!$D:$D,0))="",1,INDEX('Paramètres'!$J:$J,MATCH($C3549,'Paramètres'!$D:$D,0)))),2))</f>
        <v/>
      </c>
      <c r="L3549" s="6" t="str">
        <f>IF($D3549="","",IF($F3549&lt;&gt;"",$F3549,IF(ISNA(MATCH($D3549,'Paramètres'!$M:$M,0)),"⚠ Type inconnu",IFERROR(INDEX('Paramètres'!$P:$P,MATCH($D3549,'Paramètres'!$M:$M,0))&amp;"",""))))</f>
        <v/>
      </c>
      <c r="M3549" s="6" t="str">
        <f>IF($D3549="","",IF(ISNA(MATCH($D3549,'Paramètres'!$M:$M,0)),"⚠ Type inconnu",IF($L3549="Crédit","",IFERROR(INDEX('Paramètres'!$O:$O,MATCH($D3549,'Paramètres'!$M:$M,0))&amp;"",""))))</f>
        <v/>
      </c>
      <c r="N3549" s="6" t="str">
        <f>IF($D3549="","",IFERROR(INDEX('Paramètres'!$Q:$Q,MATCH($D3549,'Paramètres'!$M:$M,0))&amp;"",""))</f>
        <v/>
      </c>
      <c r="O3549" s="6" t="str">
        <f>IF($A3549="","",IF(OR($J3549&lt;&gt;"x",$A3549&lt;=FinReleve),1,0))</f>
        <v/>
      </c>
      <c r="P3549" s="6" t="str">
        <f>IF($D3549="","",IF(AND($L3549="Crédit",OR(IFERROR(INDEX('Paramètres'!$O:$O,MATCH($D3549,'Paramètres'!$M:$M,0))&amp;"","")&lt;&gt;"",ISNUMBER(SEARCH("remboursement",IFERROR(INDEX('Paramètres'!$N:$N,MATCH($D3549,'Paramètres'!$M:$M,0))&amp;"",""))))),1,0))</f>
        <v/>
      </c>
      <c r="Q3549" s="6" t="str">
        <f>IF($K3549="","",IF(ISNUMBER(SEARCH("transfert-interne",IFERROR(INDEX('Paramètres'!$N:$N,MATCH($D3549,'Paramètres'!$M:$M,0))&amp;"",""))),0,IF($L3549="Débit",$K3549,IF($P3549=1,-$K3549,0))))</f>
        <v/>
      </c>
      <c r="R3549" s="6" t="str">
        <f>IF($K3549="","",IF($L3549="Crédit",$K3549,-$K3549))</f>
        <v/>
      </c>
      <c r="S3549" s="6" t="str">
        <f>IF($C3549="","",IFERROR(INDEX('Paramètres'!$H:$H,MATCH($C3549,'Paramètres'!$D:$D,0))&amp;"",""))</f>
        <v/>
      </c>
      <c r="T3549" s="6" t="str">
        <f>IF($K3549="","",IF($S3549="",0,IF(ISNUMBER(SEARCH("apport-exterieur",IFERROR(INDEX('Paramètres'!$N:$N,MATCH($D3549,'Paramètres'!$M:$M,0))&amp;"",""))),0,IF(OR(IFERROR(INDEX('Paramètres'!$I:$I,MATCH($C3549,'Paramètres'!$D:$D,0))&amp;"","")="Les deux",IFERROR(INDEX('Paramètres'!$I:$I,MATCH($C3549,'Paramètres'!$D:$D,0))&amp;"","")=IF($P3549=1,"Débit",$L3549)),-IF($P3549=1,-$K3549,$K3549),0))))</f>
        <v/>
      </c>
      <c r="U3549" s="6" t="str">
        <f>IF($K3549="","",IF(ISNUMBER(SEARCH("sortie-epargne",IFERROR(INDEX('Paramètres'!$N:$N,MATCH($D3549,'Paramètres'!$M:$M,0))&amp;"",""))),$K3549,0))</f>
        <v/>
      </c>
      <c r="V3549" s="6" t="str">
        <f>IF(AND($A3549&lt;&gt;"",$O3549=1,$L3549="Débit",N($Q3549)&gt;0,$A3549&gt;=Visualisation!$B$1,$A3549&lt;Visualisation!$D$1),MAX($V$1:V3548)+1,"")</f>
        <v/>
      </c>
    </row>
    <row r="3550" spans="1:22" x14ac:dyDescent="0.25">
      <c r="A3550" s="9"/>
      <c r="E3550" s="10"/>
      <c r="K3550" s="11" t="str">
        <f>IF($E3550="","",ROUND($E3550*IF(ISNA(MATCH($C3550,'Paramètres'!$D:$D,0)),1,IF(INDEX('Paramètres'!$J:$J,MATCH($C3550,'Paramètres'!$D:$D,0))="",1,INDEX('Paramètres'!$J:$J,MATCH($C3550,'Paramètres'!$D:$D,0)))),2))</f>
        <v/>
      </c>
      <c r="L3550" s="6" t="str">
        <f>IF($D3550="","",IF($F3550&lt;&gt;"",$F3550,IF(ISNA(MATCH($D3550,'Paramètres'!$M:$M,0)),"⚠ Type inconnu",IFERROR(INDEX('Paramètres'!$P:$P,MATCH($D3550,'Paramètres'!$M:$M,0))&amp;"",""))))</f>
        <v/>
      </c>
      <c r="M3550" s="6" t="str">
        <f>IF($D3550="","",IF(ISNA(MATCH($D3550,'Paramètres'!$M:$M,0)),"⚠ Type inconnu",IF($L3550="Crédit","",IFERROR(INDEX('Paramètres'!$O:$O,MATCH($D3550,'Paramètres'!$M:$M,0))&amp;"",""))))</f>
        <v/>
      </c>
      <c r="N3550" s="6" t="str">
        <f>IF($D3550="","",IFERROR(INDEX('Paramètres'!$Q:$Q,MATCH($D3550,'Paramètres'!$M:$M,0))&amp;"",""))</f>
        <v/>
      </c>
      <c r="O3550" s="6" t="str">
        <f>IF($A3550="","",IF(OR($J3550&lt;&gt;"x",$A3550&lt;=FinReleve),1,0))</f>
        <v/>
      </c>
      <c r="P3550" s="6" t="str">
        <f>IF($D3550="","",IF(AND($L3550="Crédit",OR(IFERROR(INDEX('Paramètres'!$O:$O,MATCH($D3550,'Paramètres'!$M:$M,0))&amp;"","")&lt;&gt;"",ISNUMBER(SEARCH("remboursement",IFERROR(INDEX('Paramètres'!$N:$N,MATCH($D3550,'Paramètres'!$M:$M,0))&amp;"",""))))),1,0))</f>
        <v/>
      </c>
      <c r="Q3550" s="6" t="str">
        <f>IF($K3550="","",IF(ISNUMBER(SEARCH("transfert-interne",IFERROR(INDEX('Paramètres'!$N:$N,MATCH($D3550,'Paramètres'!$M:$M,0))&amp;"",""))),0,IF($L3550="Débit",$K3550,IF($P3550=1,-$K3550,0))))</f>
        <v/>
      </c>
      <c r="R3550" s="6" t="str">
        <f>IF($K3550="","",IF($L3550="Crédit",$K3550,-$K3550))</f>
        <v/>
      </c>
      <c r="S3550" s="6" t="str">
        <f>IF($C3550="","",IFERROR(INDEX('Paramètres'!$H:$H,MATCH($C3550,'Paramètres'!$D:$D,0))&amp;"",""))</f>
        <v/>
      </c>
      <c r="T3550" s="6" t="str">
        <f>IF($K3550="","",IF($S3550="",0,IF(ISNUMBER(SEARCH("apport-exterieur",IFERROR(INDEX('Paramètres'!$N:$N,MATCH($D3550,'Paramètres'!$M:$M,0))&amp;"",""))),0,IF(OR(IFERROR(INDEX('Paramètres'!$I:$I,MATCH($C3550,'Paramètres'!$D:$D,0))&amp;"","")="Les deux",IFERROR(INDEX('Paramètres'!$I:$I,MATCH($C3550,'Paramètres'!$D:$D,0))&amp;"","")=IF($P3550=1,"Débit",$L3550)),-IF($P3550=1,-$K3550,$K3550),0))))</f>
        <v/>
      </c>
      <c r="U3550" s="6" t="str">
        <f>IF($K3550="","",IF(ISNUMBER(SEARCH("sortie-epargne",IFERROR(INDEX('Paramètres'!$N:$N,MATCH($D3550,'Paramètres'!$M:$M,0))&amp;"",""))),$K3550,0))</f>
        <v/>
      </c>
      <c r="V3550" s="6" t="str">
        <f>IF(AND($A3550&lt;&gt;"",$O3550=1,$L3550="Débit",N($Q3550)&gt;0,$A3550&gt;=Visualisation!$B$1,$A3550&lt;Visualisation!$D$1),MAX($V$1:V3549)+1,"")</f>
        <v/>
      </c>
    </row>
    <row r="3551" spans="1:22" x14ac:dyDescent="0.25">
      <c r="A3551" s="9"/>
      <c r="E3551" s="10"/>
      <c r="K3551" s="11" t="str">
        <f>IF($E3551="","",ROUND($E3551*IF(ISNA(MATCH($C3551,'Paramètres'!$D:$D,0)),1,IF(INDEX('Paramètres'!$J:$J,MATCH($C3551,'Paramètres'!$D:$D,0))="",1,INDEX('Paramètres'!$J:$J,MATCH($C3551,'Paramètres'!$D:$D,0)))),2))</f>
        <v/>
      </c>
      <c r="L3551" s="6" t="str">
        <f>IF($D3551="","",IF($F3551&lt;&gt;"",$F3551,IF(ISNA(MATCH($D3551,'Paramètres'!$M:$M,0)),"⚠ Type inconnu",IFERROR(INDEX('Paramètres'!$P:$P,MATCH($D3551,'Paramètres'!$M:$M,0))&amp;"",""))))</f>
        <v/>
      </c>
      <c r="M3551" s="6" t="str">
        <f>IF($D3551="","",IF(ISNA(MATCH($D3551,'Paramètres'!$M:$M,0)),"⚠ Type inconnu",IF($L3551="Crédit","",IFERROR(INDEX('Paramètres'!$O:$O,MATCH($D3551,'Paramètres'!$M:$M,0))&amp;"",""))))</f>
        <v/>
      </c>
      <c r="N3551" s="6" t="str">
        <f>IF($D3551="","",IFERROR(INDEX('Paramètres'!$Q:$Q,MATCH($D3551,'Paramètres'!$M:$M,0))&amp;"",""))</f>
        <v/>
      </c>
      <c r="O3551" s="6" t="str">
        <f>IF($A3551="","",IF(OR($J3551&lt;&gt;"x",$A3551&lt;=FinReleve),1,0))</f>
        <v/>
      </c>
      <c r="P3551" s="6" t="str">
        <f>IF($D3551="","",IF(AND($L3551="Crédit",OR(IFERROR(INDEX('Paramètres'!$O:$O,MATCH($D3551,'Paramètres'!$M:$M,0))&amp;"","")&lt;&gt;"",ISNUMBER(SEARCH("remboursement",IFERROR(INDEX('Paramètres'!$N:$N,MATCH($D3551,'Paramètres'!$M:$M,0))&amp;"",""))))),1,0))</f>
        <v/>
      </c>
      <c r="Q3551" s="6" t="str">
        <f>IF($K3551="","",IF(ISNUMBER(SEARCH("transfert-interne",IFERROR(INDEX('Paramètres'!$N:$N,MATCH($D3551,'Paramètres'!$M:$M,0))&amp;"",""))),0,IF($L3551="Débit",$K3551,IF($P3551=1,-$K3551,0))))</f>
        <v/>
      </c>
      <c r="R3551" s="6" t="str">
        <f>IF($K3551="","",IF($L3551="Crédit",$K3551,-$K3551))</f>
        <v/>
      </c>
      <c r="S3551" s="6" t="str">
        <f>IF($C3551="","",IFERROR(INDEX('Paramètres'!$H:$H,MATCH($C3551,'Paramètres'!$D:$D,0))&amp;"",""))</f>
        <v/>
      </c>
      <c r="T3551" s="6" t="str">
        <f>IF($K3551="","",IF($S3551="",0,IF(ISNUMBER(SEARCH("apport-exterieur",IFERROR(INDEX('Paramètres'!$N:$N,MATCH($D3551,'Paramètres'!$M:$M,0))&amp;"",""))),0,IF(OR(IFERROR(INDEX('Paramètres'!$I:$I,MATCH($C3551,'Paramètres'!$D:$D,0))&amp;"","")="Les deux",IFERROR(INDEX('Paramètres'!$I:$I,MATCH($C3551,'Paramètres'!$D:$D,0))&amp;"","")=IF($P3551=1,"Débit",$L3551)),-IF($P3551=1,-$K3551,$K3551),0))))</f>
        <v/>
      </c>
      <c r="U3551" s="6" t="str">
        <f>IF($K3551="","",IF(ISNUMBER(SEARCH("sortie-epargne",IFERROR(INDEX('Paramètres'!$N:$N,MATCH($D3551,'Paramètres'!$M:$M,0))&amp;"",""))),$K3551,0))</f>
        <v/>
      </c>
      <c r="V3551" s="6" t="str">
        <f>IF(AND($A3551&lt;&gt;"",$O3551=1,$L3551="Débit",N($Q3551)&gt;0,$A3551&gt;=Visualisation!$B$1,$A3551&lt;Visualisation!$D$1),MAX($V$1:V3550)+1,"")</f>
        <v/>
      </c>
    </row>
    <row r="3552" spans="1:22" x14ac:dyDescent="0.25">
      <c r="A3552" s="9"/>
      <c r="E3552" s="10"/>
      <c r="K3552" s="11" t="str">
        <f>IF($E3552="","",ROUND($E3552*IF(ISNA(MATCH($C3552,'Paramètres'!$D:$D,0)),1,IF(INDEX('Paramètres'!$J:$J,MATCH($C3552,'Paramètres'!$D:$D,0))="",1,INDEX('Paramètres'!$J:$J,MATCH($C3552,'Paramètres'!$D:$D,0)))),2))</f>
        <v/>
      </c>
      <c r="L3552" s="6" t="str">
        <f>IF($D3552="","",IF($F3552&lt;&gt;"",$F3552,IF(ISNA(MATCH($D3552,'Paramètres'!$M:$M,0)),"⚠ Type inconnu",IFERROR(INDEX('Paramètres'!$P:$P,MATCH($D3552,'Paramètres'!$M:$M,0))&amp;"",""))))</f>
        <v/>
      </c>
      <c r="M3552" s="6" t="str">
        <f>IF($D3552="","",IF(ISNA(MATCH($D3552,'Paramètres'!$M:$M,0)),"⚠ Type inconnu",IF($L3552="Crédit","",IFERROR(INDEX('Paramètres'!$O:$O,MATCH($D3552,'Paramètres'!$M:$M,0))&amp;"",""))))</f>
        <v/>
      </c>
      <c r="N3552" s="6" t="str">
        <f>IF($D3552="","",IFERROR(INDEX('Paramètres'!$Q:$Q,MATCH($D3552,'Paramètres'!$M:$M,0))&amp;"",""))</f>
        <v/>
      </c>
      <c r="O3552" s="6" t="str">
        <f>IF($A3552="","",IF(OR($J3552&lt;&gt;"x",$A3552&lt;=FinReleve),1,0))</f>
        <v/>
      </c>
      <c r="P3552" s="6" t="str">
        <f>IF($D3552="","",IF(AND($L3552="Crédit",OR(IFERROR(INDEX('Paramètres'!$O:$O,MATCH($D3552,'Paramètres'!$M:$M,0))&amp;"","")&lt;&gt;"",ISNUMBER(SEARCH("remboursement",IFERROR(INDEX('Paramètres'!$N:$N,MATCH($D3552,'Paramètres'!$M:$M,0))&amp;"",""))))),1,0))</f>
        <v/>
      </c>
      <c r="Q3552" s="6" t="str">
        <f>IF($K3552="","",IF(ISNUMBER(SEARCH("transfert-interne",IFERROR(INDEX('Paramètres'!$N:$N,MATCH($D3552,'Paramètres'!$M:$M,0))&amp;"",""))),0,IF($L3552="Débit",$K3552,IF($P3552=1,-$K3552,0))))</f>
        <v/>
      </c>
      <c r="R3552" s="6" t="str">
        <f>IF($K3552="","",IF($L3552="Crédit",$K3552,-$K3552))</f>
        <v/>
      </c>
      <c r="S3552" s="6" t="str">
        <f>IF($C3552="","",IFERROR(INDEX('Paramètres'!$H:$H,MATCH($C3552,'Paramètres'!$D:$D,0))&amp;"",""))</f>
        <v/>
      </c>
      <c r="T3552" s="6" t="str">
        <f>IF($K3552="","",IF($S3552="",0,IF(ISNUMBER(SEARCH("apport-exterieur",IFERROR(INDEX('Paramètres'!$N:$N,MATCH($D3552,'Paramètres'!$M:$M,0))&amp;"",""))),0,IF(OR(IFERROR(INDEX('Paramètres'!$I:$I,MATCH($C3552,'Paramètres'!$D:$D,0))&amp;"","")="Les deux",IFERROR(INDEX('Paramètres'!$I:$I,MATCH($C3552,'Paramètres'!$D:$D,0))&amp;"","")=IF($P3552=1,"Débit",$L3552)),-IF($P3552=1,-$K3552,$K3552),0))))</f>
        <v/>
      </c>
      <c r="U3552" s="6" t="str">
        <f>IF($K3552="","",IF(ISNUMBER(SEARCH("sortie-epargne",IFERROR(INDEX('Paramètres'!$N:$N,MATCH($D3552,'Paramètres'!$M:$M,0))&amp;"",""))),$K3552,0))</f>
        <v/>
      </c>
      <c r="V3552" s="6" t="str">
        <f>IF(AND($A3552&lt;&gt;"",$O3552=1,$L3552="Débit",N($Q3552)&gt;0,$A3552&gt;=Visualisation!$B$1,$A3552&lt;Visualisation!$D$1),MAX($V$1:V3551)+1,"")</f>
        <v/>
      </c>
    </row>
    <row r="3553" spans="1:22" x14ac:dyDescent="0.25">
      <c r="A3553" s="9"/>
      <c r="E3553" s="10"/>
      <c r="K3553" s="11" t="str">
        <f>IF($E3553="","",ROUND($E3553*IF(ISNA(MATCH($C3553,'Paramètres'!$D:$D,0)),1,IF(INDEX('Paramètres'!$J:$J,MATCH($C3553,'Paramètres'!$D:$D,0))="",1,INDEX('Paramètres'!$J:$J,MATCH($C3553,'Paramètres'!$D:$D,0)))),2))</f>
        <v/>
      </c>
      <c r="L3553" s="6" t="str">
        <f>IF($D3553="","",IF($F3553&lt;&gt;"",$F3553,IF(ISNA(MATCH($D3553,'Paramètres'!$M:$M,0)),"⚠ Type inconnu",IFERROR(INDEX('Paramètres'!$P:$P,MATCH($D3553,'Paramètres'!$M:$M,0))&amp;"",""))))</f>
        <v/>
      </c>
      <c r="M3553" s="6" t="str">
        <f>IF($D3553="","",IF(ISNA(MATCH($D3553,'Paramètres'!$M:$M,0)),"⚠ Type inconnu",IF($L3553="Crédit","",IFERROR(INDEX('Paramètres'!$O:$O,MATCH($D3553,'Paramètres'!$M:$M,0))&amp;"",""))))</f>
        <v/>
      </c>
      <c r="N3553" s="6" t="str">
        <f>IF($D3553="","",IFERROR(INDEX('Paramètres'!$Q:$Q,MATCH($D3553,'Paramètres'!$M:$M,0))&amp;"",""))</f>
        <v/>
      </c>
      <c r="O3553" s="6" t="str">
        <f>IF($A3553="","",IF(OR($J3553&lt;&gt;"x",$A3553&lt;=FinReleve),1,0))</f>
        <v/>
      </c>
      <c r="P3553" s="6" t="str">
        <f>IF($D3553="","",IF(AND($L3553="Crédit",OR(IFERROR(INDEX('Paramètres'!$O:$O,MATCH($D3553,'Paramètres'!$M:$M,0))&amp;"","")&lt;&gt;"",ISNUMBER(SEARCH("remboursement",IFERROR(INDEX('Paramètres'!$N:$N,MATCH($D3553,'Paramètres'!$M:$M,0))&amp;"",""))))),1,0))</f>
        <v/>
      </c>
      <c r="Q3553" s="6" t="str">
        <f>IF($K3553="","",IF(ISNUMBER(SEARCH("transfert-interne",IFERROR(INDEX('Paramètres'!$N:$N,MATCH($D3553,'Paramètres'!$M:$M,0))&amp;"",""))),0,IF($L3553="Débit",$K3553,IF($P3553=1,-$K3553,0))))</f>
        <v/>
      </c>
      <c r="R3553" s="6" t="str">
        <f>IF($K3553="","",IF($L3553="Crédit",$K3553,-$K3553))</f>
        <v/>
      </c>
      <c r="S3553" s="6" t="str">
        <f>IF($C3553="","",IFERROR(INDEX('Paramètres'!$H:$H,MATCH($C3553,'Paramètres'!$D:$D,0))&amp;"",""))</f>
        <v/>
      </c>
      <c r="T3553" s="6" t="str">
        <f>IF($K3553="","",IF($S3553="",0,IF(ISNUMBER(SEARCH("apport-exterieur",IFERROR(INDEX('Paramètres'!$N:$N,MATCH($D3553,'Paramètres'!$M:$M,0))&amp;"",""))),0,IF(OR(IFERROR(INDEX('Paramètres'!$I:$I,MATCH($C3553,'Paramètres'!$D:$D,0))&amp;"","")="Les deux",IFERROR(INDEX('Paramètres'!$I:$I,MATCH($C3553,'Paramètres'!$D:$D,0))&amp;"","")=IF($P3553=1,"Débit",$L3553)),-IF($P3553=1,-$K3553,$K3553),0))))</f>
        <v/>
      </c>
      <c r="U3553" s="6" t="str">
        <f>IF($K3553="","",IF(ISNUMBER(SEARCH("sortie-epargne",IFERROR(INDEX('Paramètres'!$N:$N,MATCH($D3553,'Paramètres'!$M:$M,0))&amp;"",""))),$K3553,0))</f>
        <v/>
      </c>
      <c r="V3553" s="6" t="str">
        <f>IF(AND($A3553&lt;&gt;"",$O3553=1,$L3553="Débit",N($Q3553)&gt;0,$A3553&gt;=Visualisation!$B$1,$A3553&lt;Visualisation!$D$1),MAX($V$1:V3552)+1,"")</f>
        <v/>
      </c>
    </row>
    <row r="3554" spans="1:22" x14ac:dyDescent="0.25">
      <c r="A3554" s="9"/>
      <c r="E3554" s="10"/>
      <c r="K3554" s="11" t="str">
        <f>IF($E3554="","",ROUND($E3554*IF(ISNA(MATCH($C3554,'Paramètres'!$D:$D,0)),1,IF(INDEX('Paramètres'!$J:$J,MATCH($C3554,'Paramètres'!$D:$D,0))="",1,INDEX('Paramètres'!$J:$J,MATCH($C3554,'Paramètres'!$D:$D,0)))),2))</f>
        <v/>
      </c>
      <c r="L3554" s="6" t="str">
        <f>IF($D3554="","",IF($F3554&lt;&gt;"",$F3554,IF(ISNA(MATCH($D3554,'Paramètres'!$M:$M,0)),"⚠ Type inconnu",IFERROR(INDEX('Paramètres'!$P:$P,MATCH($D3554,'Paramètres'!$M:$M,0))&amp;"",""))))</f>
        <v/>
      </c>
      <c r="M3554" s="6" t="str">
        <f>IF($D3554="","",IF(ISNA(MATCH($D3554,'Paramètres'!$M:$M,0)),"⚠ Type inconnu",IF($L3554="Crédit","",IFERROR(INDEX('Paramètres'!$O:$O,MATCH($D3554,'Paramètres'!$M:$M,0))&amp;"",""))))</f>
        <v/>
      </c>
      <c r="N3554" s="6" t="str">
        <f>IF($D3554="","",IFERROR(INDEX('Paramètres'!$Q:$Q,MATCH($D3554,'Paramètres'!$M:$M,0))&amp;"",""))</f>
        <v/>
      </c>
      <c r="O3554" s="6" t="str">
        <f>IF($A3554="","",IF(OR($J3554&lt;&gt;"x",$A3554&lt;=FinReleve),1,0))</f>
        <v/>
      </c>
      <c r="P3554" s="6" t="str">
        <f>IF($D3554="","",IF(AND($L3554="Crédit",OR(IFERROR(INDEX('Paramètres'!$O:$O,MATCH($D3554,'Paramètres'!$M:$M,0))&amp;"","")&lt;&gt;"",ISNUMBER(SEARCH("remboursement",IFERROR(INDEX('Paramètres'!$N:$N,MATCH($D3554,'Paramètres'!$M:$M,0))&amp;"",""))))),1,0))</f>
        <v/>
      </c>
      <c r="Q3554" s="6" t="str">
        <f>IF($K3554="","",IF(ISNUMBER(SEARCH("transfert-interne",IFERROR(INDEX('Paramètres'!$N:$N,MATCH($D3554,'Paramètres'!$M:$M,0))&amp;"",""))),0,IF($L3554="Débit",$K3554,IF($P3554=1,-$K3554,0))))</f>
        <v/>
      </c>
      <c r="R3554" s="6" t="str">
        <f>IF($K3554="","",IF($L3554="Crédit",$K3554,-$K3554))</f>
        <v/>
      </c>
      <c r="S3554" s="6" t="str">
        <f>IF($C3554="","",IFERROR(INDEX('Paramètres'!$H:$H,MATCH($C3554,'Paramètres'!$D:$D,0))&amp;"",""))</f>
        <v/>
      </c>
      <c r="T3554" s="6" t="str">
        <f>IF($K3554="","",IF($S3554="",0,IF(ISNUMBER(SEARCH("apport-exterieur",IFERROR(INDEX('Paramètres'!$N:$N,MATCH($D3554,'Paramètres'!$M:$M,0))&amp;"",""))),0,IF(OR(IFERROR(INDEX('Paramètres'!$I:$I,MATCH($C3554,'Paramètres'!$D:$D,0))&amp;"","")="Les deux",IFERROR(INDEX('Paramètres'!$I:$I,MATCH($C3554,'Paramètres'!$D:$D,0))&amp;"","")=IF($P3554=1,"Débit",$L3554)),-IF($P3554=1,-$K3554,$K3554),0))))</f>
        <v/>
      </c>
      <c r="U3554" s="6" t="str">
        <f>IF($K3554="","",IF(ISNUMBER(SEARCH("sortie-epargne",IFERROR(INDEX('Paramètres'!$N:$N,MATCH($D3554,'Paramètres'!$M:$M,0))&amp;"",""))),$K3554,0))</f>
        <v/>
      </c>
      <c r="V3554" s="6" t="str">
        <f>IF(AND($A3554&lt;&gt;"",$O3554=1,$L3554="Débit",N($Q3554)&gt;0,$A3554&gt;=Visualisation!$B$1,$A3554&lt;Visualisation!$D$1),MAX($V$1:V3553)+1,"")</f>
        <v/>
      </c>
    </row>
    <row r="3555" spans="1:22" x14ac:dyDescent="0.25">
      <c r="A3555" s="9"/>
      <c r="E3555" s="10"/>
      <c r="K3555" s="11" t="str">
        <f>IF($E3555="","",ROUND($E3555*IF(ISNA(MATCH($C3555,'Paramètres'!$D:$D,0)),1,IF(INDEX('Paramètres'!$J:$J,MATCH($C3555,'Paramètres'!$D:$D,0))="",1,INDEX('Paramètres'!$J:$J,MATCH($C3555,'Paramètres'!$D:$D,0)))),2))</f>
        <v/>
      </c>
      <c r="L3555" s="6" t="str">
        <f>IF($D3555="","",IF($F3555&lt;&gt;"",$F3555,IF(ISNA(MATCH($D3555,'Paramètres'!$M:$M,0)),"⚠ Type inconnu",IFERROR(INDEX('Paramètres'!$P:$P,MATCH($D3555,'Paramètres'!$M:$M,0))&amp;"",""))))</f>
        <v/>
      </c>
      <c r="M3555" s="6" t="str">
        <f>IF($D3555="","",IF(ISNA(MATCH($D3555,'Paramètres'!$M:$M,0)),"⚠ Type inconnu",IF($L3555="Crédit","",IFERROR(INDEX('Paramètres'!$O:$O,MATCH($D3555,'Paramètres'!$M:$M,0))&amp;"",""))))</f>
        <v/>
      </c>
      <c r="N3555" s="6" t="str">
        <f>IF($D3555="","",IFERROR(INDEX('Paramètres'!$Q:$Q,MATCH($D3555,'Paramètres'!$M:$M,0))&amp;"",""))</f>
        <v/>
      </c>
      <c r="O3555" s="6" t="str">
        <f>IF($A3555="","",IF(OR($J3555&lt;&gt;"x",$A3555&lt;=FinReleve),1,0))</f>
        <v/>
      </c>
      <c r="P3555" s="6" t="str">
        <f>IF($D3555="","",IF(AND($L3555="Crédit",OR(IFERROR(INDEX('Paramètres'!$O:$O,MATCH($D3555,'Paramètres'!$M:$M,0))&amp;"","")&lt;&gt;"",ISNUMBER(SEARCH("remboursement",IFERROR(INDEX('Paramètres'!$N:$N,MATCH($D3555,'Paramètres'!$M:$M,0))&amp;"",""))))),1,0))</f>
        <v/>
      </c>
      <c r="Q3555" s="6" t="str">
        <f>IF($K3555="","",IF(ISNUMBER(SEARCH("transfert-interne",IFERROR(INDEX('Paramètres'!$N:$N,MATCH($D3555,'Paramètres'!$M:$M,0))&amp;"",""))),0,IF($L3555="Débit",$K3555,IF($P3555=1,-$K3555,0))))</f>
        <v/>
      </c>
      <c r="R3555" s="6" t="str">
        <f>IF($K3555="","",IF($L3555="Crédit",$K3555,-$K3555))</f>
        <v/>
      </c>
      <c r="S3555" s="6" t="str">
        <f>IF($C3555="","",IFERROR(INDEX('Paramètres'!$H:$H,MATCH($C3555,'Paramètres'!$D:$D,0))&amp;"",""))</f>
        <v/>
      </c>
      <c r="T3555" s="6" t="str">
        <f>IF($K3555="","",IF($S3555="",0,IF(ISNUMBER(SEARCH("apport-exterieur",IFERROR(INDEX('Paramètres'!$N:$N,MATCH($D3555,'Paramètres'!$M:$M,0))&amp;"",""))),0,IF(OR(IFERROR(INDEX('Paramètres'!$I:$I,MATCH($C3555,'Paramètres'!$D:$D,0))&amp;"","")="Les deux",IFERROR(INDEX('Paramètres'!$I:$I,MATCH($C3555,'Paramètres'!$D:$D,0))&amp;"","")=IF($P3555=1,"Débit",$L3555)),-IF($P3555=1,-$K3555,$K3555),0))))</f>
        <v/>
      </c>
      <c r="U3555" s="6" t="str">
        <f>IF($K3555="","",IF(ISNUMBER(SEARCH("sortie-epargne",IFERROR(INDEX('Paramètres'!$N:$N,MATCH($D3555,'Paramètres'!$M:$M,0))&amp;"",""))),$K3555,0))</f>
        <v/>
      </c>
      <c r="V3555" s="6" t="str">
        <f>IF(AND($A3555&lt;&gt;"",$O3555=1,$L3555="Débit",N($Q3555)&gt;0,$A3555&gt;=Visualisation!$B$1,$A3555&lt;Visualisation!$D$1),MAX($V$1:V3554)+1,"")</f>
        <v/>
      </c>
    </row>
    <row r="3556" spans="1:22" x14ac:dyDescent="0.25">
      <c r="A3556" s="9"/>
      <c r="E3556" s="10"/>
      <c r="K3556" s="11" t="str">
        <f>IF($E3556="","",ROUND($E3556*IF(ISNA(MATCH($C3556,'Paramètres'!$D:$D,0)),1,IF(INDEX('Paramètres'!$J:$J,MATCH($C3556,'Paramètres'!$D:$D,0))="",1,INDEX('Paramètres'!$J:$J,MATCH($C3556,'Paramètres'!$D:$D,0)))),2))</f>
        <v/>
      </c>
      <c r="L3556" s="6" t="str">
        <f>IF($D3556="","",IF($F3556&lt;&gt;"",$F3556,IF(ISNA(MATCH($D3556,'Paramètres'!$M:$M,0)),"⚠ Type inconnu",IFERROR(INDEX('Paramètres'!$P:$P,MATCH($D3556,'Paramètres'!$M:$M,0))&amp;"",""))))</f>
        <v/>
      </c>
      <c r="M3556" s="6" t="str">
        <f>IF($D3556="","",IF(ISNA(MATCH($D3556,'Paramètres'!$M:$M,0)),"⚠ Type inconnu",IF($L3556="Crédit","",IFERROR(INDEX('Paramètres'!$O:$O,MATCH($D3556,'Paramètres'!$M:$M,0))&amp;"",""))))</f>
        <v/>
      </c>
      <c r="N3556" s="6" t="str">
        <f>IF($D3556="","",IFERROR(INDEX('Paramètres'!$Q:$Q,MATCH($D3556,'Paramètres'!$M:$M,0))&amp;"",""))</f>
        <v/>
      </c>
      <c r="O3556" s="6" t="str">
        <f>IF($A3556="","",IF(OR($J3556&lt;&gt;"x",$A3556&lt;=FinReleve),1,0))</f>
        <v/>
      </c>
      <c r="P3556" s="6" t="str">
        <f>IF($D3556="","",IF(AND($L3556="Crédit",OR(IFERROR(INDEX('Paramètres'!$O:$O,MATCH($D3556,'Paramètres'!$M:$M,0))&amp;"","")&lt;&gt;"",ISNUMBER(SEARCH("remboursement",IFERROR(INDEX('Paramètres'!$N:$N,MATCH($D3556,'Paramètres'!$M:$M,0))&amp;"",""))))),1,0))</f>
        <v/>
      </c>
      <c r="Q3556" s="6" t="str">
        <f>IF($K3556="","",IF(ISNUMBER(SEARCH("transfert-interne",IFERROR(INDEX('Paramètres'!$N:$N,MATCH($D3556,'Paramètres'!$M:$M,0))&amp;"",""))),0,IF($L3556="Débit",$K3556,IF($P3556=1,-$K3556,0))))</f>
        <v/>
      </c>
      <c r="R3556" s="6" t="str">
        <f>IF($K3556="","",IF($L3556="Crédit",$K3556,-$K3556))</f>
        <v/>
      </c>
      <c r="S3556" s="6" t="str">
        <f>IF($C3556="","",IFERROR(INDEX('Paramètres'!$H:$H,MATCH($C3556,'Paramètres'!$D:$D,0))&amp;"",""))</f>
        <v/>
      </c>
      <c r="T3556" s="6" t="str">
        <f>IF($K3556="","",IF($S3556="",0,IF(ISNUMBER(SEARCH("apport-exterieur",IFERROR(INDEX('Paramètres'!$N:$N,MATCH($D3556,'Paramètres'!$M:$M,0))&amp;"",""))),0,IF(OR(IFERROR(INDEX('Paramètres'!$I:$I,MATCH($C3556,'Paramètres'!$D:$D,0))&amp;"","")="Les deux",IFERROR(INDEX('Paramètres'!$I:$I,MATCH($C3556,'Paramètres'!$D:$D,0))&amp;"","")=IF($P3556=1,"Débit",$L3556)),-IF($P3556=1,-$K3556,$K3556),0))))</f>
        <v/>
      </c>
      <c r="U3556" s="6" t="str">
        <f>IF($K3556="","",IF(ISNUMBER(SEARCH("sortie-epargne",IFERROR(INDEX('Paramètres'!$N:$N,MATCH($D3556,'Paramètres'!$M:$M,0))&amp;"",""))),$K3556,0))</f>
        <v/>
      </c>
      <c r="V3556" s="6" t="str">
        <f>IF(AND($A3556&lt;&gt;"",$O3556=1,$L3556="Débit",N($Q3556)&gt;0,$A3556&gt;=Visualisation!$B$1,$A3556&lt;Visualisation!$D$1),MAX($V$1:V3555)+1,"")</f>
        <v/>
      </c>
    </row>
    <row r="3557" spans="1:22" x14ac:dyDescent="0.25">
      <c r="A3557" s="9"/>
      <c r="E3557" s="10"/>
      <c r="K3557" s="11" t="str">
        <f>IF($E3557="","",ROUND($E3557*IF(ISNA(MATCH($C3557,'Paramètres'!$D:$D,0)),1,IF(INDEX('Paramètres'!$J:$J,MATCH($C3557,'Paramètres'!$D:$D,0))="",1,INDEX('Paramètres'!$J:$J,MATCH($C3557,'Paramètres'!$D:$D,0)))),2))</f>
        <v/>
      </c>
      <c r="L3557" s="6" t="str">
        <f>IF($D3557="","",IF($F3557&lt;&gt;"",$F3557,IF(ISNA(MATCH($D3557,'Paramètres'!$M:$M,0)),"⚠ Type inconnu",IFERROR(INDEX('Paramètres'!$P:$P,MATCH($D3557,'Paramètres'!$M:$M,0))&amp;"",""))))</f>
        <v/>
      </c>
      <c r="M3557" s="6" t="str">
        <f>IF($D3557="","",IF(ISNA(MATCH($D3557,'Paramètres'!$M:$M,0)),"⚠ Type inconnu",IF($L3557="Crédit","",IFERROR(INDEX('Paramètres'!$O:$O,MATCH($D3557,'Paramètres'!$M:$M,0))&amp;"",""))))</f>
        <v/>
      </c>
      <c r="N3557" s="6" t="str">
        <f>IF($D3557="","",IFERROR(INDEX('Paramètres'!$Q:$Q,MATCH($D3557,'Paramètres'!$M:$M,0))&amp;"",""))</f>
        <v/>
      </c>
      <c r="O3557" s="6" t="str">
        <f>IF($A3557="","",IF(OR($J3557&lt;&gt;"x",$A3557&lt;=FinReleve),1,0))</f>
        <v/>
      </c>
      <c r="P3557" s="6" t="str">
        <f>IF($D3557="","",IF(AND($L3557="Crédit",OR(IFERROR(INDEX('Paramètres'!$O:$O,MATCH($D3557,'Paramètres'!$M:$M,0))&amp;"","")&lt;&gt;"",ISNUMBER(SEARCH("remboursement",IFERROR(INDEX('Paramètres'!$N:$N,MATCH($D3557,'Paramètres'!$M:$M,0))&amp;"",""))))),1,0))</f>
        <v/>
      </c>
      <c r="Q3557" s="6" t="str">
        <f>IF($K3557="","",IF(ISNUMBER(SEARCH("transfert-interne",IFERROR(INDEX('Paramètres'!$N:$N,MATCH($D3557,'Paramètres'!$M:$M,0))&amp;"",""))),0,IF($L3557="Débit",$K3557,IF($P3557=1,-$K3557,0))))</f>
        <v/>
      </c>
      <c r="R3557" s="6" t="str">
        <f>IF($K3557="","",IF($L3557="Crédit",$K3557,-$K3557))</f>
        <v/>
      </c>
      <c r="S3557" s="6" t="str">
        <f>IF($C3557="","",IFERROR(INDEX('Paramètres'!$H:$H,MATCH($C3557,'Paramètres'!$D:$D,0))&amp;"",""))</f>
        <v/>
      </c>
      <c r="T3557" s="6" t="str">
        <f>IF($K3557="","",IF($S3557="",0,IF(ISNUMBER(SEARCH("apport-exterieur",IFERROR(INDEX('Paramètres'!$N:$N,MATCH($D3557,'Paramètres'!$M:$M,0))&amp;"",""))),0,IF(OR(IFERROR(INDEX('Paramètres'!$I:$I,MATCH($C3557,'Paramètres'!$D:$D,0))&amp;"","")="Les deux",IFERROR(INDEX('Paramètres'!$I:$I,MATCH($C3557,'Paramètres'!$D:$D,0))&amp;"","")=IF($P3557=1,"Débit",$L3557)),-IF($P3557=1,-$K3557,$K3557),0))))</f>
        <v/>
      </c>
      <c r="U3557" s="6" t="str">
        <f>IF($K3557="","",IF(ISNUMBER(SEARCH("sortie-epargne",IFERROR(INDEX('Paramètres'!$N:$N,MATCH($D3557,'Paramètres'!$M:$M,0))&amp;"",""))),$K3557,0))</f>
        <v/>
      </c>
      <c r="V3557" s="6" t="str">
        <f>IF(AND($A3557&lt;&gt;"",$O3557=1,$L3557="Débit",N($Q3557)&gt;0,$A3557&gt;=Visualisation!$B$1,$A3557&lt;Visualisation!$D$1),MAX($V$1:V3556)+1,"")</f>
        <v/>
      </c>
    </row>
    <row r="3558" spans="1:22" x14ac:dyDescent="0.25">
      <c r="A3558" s="9"/>
      <c r="E3558" s="10"/>
      <c r="K3558" s="11" t="str">
        <f>IF($E3558="","",ROUND($E3558*IF(ISNA(MATCH($C3558,'Paramètres'!$D:$D,0)),1,IF(INDEX('Paramètres'!$J:$J,MATCH($C3558,'Paramètres'!$D:$D,0))="",1,INDEX('Paramètres'!$J:$J,MATCH($C3558,'Paramètres'!$D:$D,0)))),2))</f>
        <v/>
      </c>
      <c r="L3558" s="6" t="str">
        <f>IF($D3558="","",IF($F3558&lt;&gt;"",$F3558,IF(ISNA(MATCH($D3558,'Paramètres'!$M:$M,0)),"⚠ Type inconnu",IFERROR(INDEX('Paramètres'!$P:$P,MATCH($D3558,'Paramètres'!$M:$M,0))&amp;"",""))))</f>
        <v/>
      </c>
      <c r="M3558" s="6" t="str">
        <f>IF($D3558="","",IF(ISNA(MATCH($D3558,'Paramètres'!$M:$M,0)),"⚠ Type inconnu",IF($L3558="Crédit","",IFERROR(INDEX('Paramètres'!$O:$O,MATCH($D3558,'Paramètres'!$M:$M,0))&amp;"",""))))</f>
        <v/>
      </c>
      <c r="N3558" s="6" t="str">
        <f>IF($D3558="","",IFERROR(INDEX('Paramètres'!$Q:$Q,MATCH($D3558,'Paramètres'!$M:$M,0))&amp;"",""))</f>
        <v/>
      </c>
      <c r="O3558" s="6" t="str">
        <f>IF($A3558="","",IF(OR($J3558&lt;&gt;"x",$A3558&lt;=FinReleve),1,0))</f>
        <v/>
      </c>
      <c r="P3558" s="6" t="str">
        <f>IF($D3558="","",IF(AND($L3558="Crédit",OR(IFERROR(INDEX('Paramètres'!$O:$O,MATCH($D3558,'Paramètres'!$M:$M,0))&amp;"","")&lt;&gt;"",ISNUMBER(SEARCH("remboursement",IFERROR(INDEX('Paramètres'!$N:$N,MATCH($D3558,'Paramètres'!$M:$M,0))&amp;"",""))))),1,0))</f>
        <v/>
      </c>
      <c r="Q3558" s="6" t="str">
        <f>IF($K3558="","",IF(ISNUMBER(SEARCH("transfert-interne",IFERROR(INDEX('Paramètres'!$N:$N,MATCH($D3558,'Paramètres'!$M:$M,0))&amp;"",""))),0,IF($L3558="Débit",$K3558,IF($P3558=1,-$K3558,0))))</f>
        <v/>
      </c>
      <c r="R3558" s="6" t="str">
        <f>IF($K3558="","",IF($L3558="Crédit",$K3558,-$K3558))</f>
        <v/>
      </c>
      <c r="S3558" s="6" t="str">
        <f>IF($C3558="","",IFERROR(INDEX('Paramètres'!$H:$H,MATCH($C3558,'Paramètres'!$D:$D,0))&amp;"",""))</f>
        <v/>
      </c>
      <c r="T3558" s="6" t="str">
        <f>IF($K3558="","",IF($S3558="",0,IF(ISNUMBER(SEARCH("apport-exterieur",IFERROR(INDEX('Paramètres'!$N:$N,MATCH($D3558,'Paramètres'!$M:$M,0))&amp;"",""))),0,IF(OR(IFERROR(INDEX('Paramètres'!$I:$I,MATCH($C3558,'Paramètres'!$D:$D,0))&amp;"","")="Les deux",IFERROR(INDEX('Paramètres'!$I:$I,MATCH($C3558,'Paramètres'!$D:$D,0))&amp;"","")=IF($P3558=1,"Débit",$L3558)),-IF($P3558=1,-$K3558,$K3558),0))))</f>
        <v/>
      </c>
      <c r="U3558" s="6" t="str">
        <f>IF($K3558="","",IF(ISNUMBER(SEARCH("sortie-epargne",IFERROR(INDEX('Paramètres'!$N:$N,MATCH($D3558,'Paramètres'!$M:$M,0))&amp;"",""))),$K3558,0))</f>
        <v/>
      </c>
      <c r="V3558" s="6" t="str">
        <f>IF(AND($A3558&lt;&gt;"",$O3558=1,$L3558="Débit",N($Q3558)&gt;0,$A3558&gt;=Visualisation!$B$1,$A3558&lt;Visualisation!$D$1),MAX($V$1:V3557)+1,"")</f>
        <v/>
      </c>
    </row>
    <row r="3559" spans="1:22" x14ac:dyDescent="0.25">
      <c r="A3559" s="9"/>
      <c r="E3559" s="10"/>
      <c r="K3559" s="11" t="str">
        <f>IF($E3559="","",ROUND($E3559*IF(ISNA(MATCH($C3559,'Paramètres'!$D:$D,0)),1,IF(INDEX('Paramètres'!$J:$J,MATCH($C3559,'Paramètres'!$D:$D,0))="",1,INDEX('Paramètres'!$J:$J,MATCH($C3559,'Paramètres'!$D:$D,0)))),2))</f>
        <v/>
      </c>
      <c r="L3559" s="6" t="str">
        <f>IF($D3559="","",IF($F3559&lt;&gt;"",$F3559,IF(ISNA(MATCH($D3559,'Paramètres'!$M:$M,0)),"⚠ Type inconnu",IFERROR(INDEX('Paramètres'!$P:$P,MATCH($D3559,'Paramètres'!$M:$M,0))&amp;"",""))))</f>
        <v/>
      </c>
      <c r="M3559" s="6" t="str">
        <f>IF($D3559="","",IF(ISNA(MATCH($D3559,'Paramètres'!$M:$M,0)),"⚠ Type inconnu",IF($L3559="Crédit","",IFERROR(INDEX('Paramètres'!$O:$O,MATCH($D3559,'Paramètres'!$M:$M,0))&amp;"",""))))</f>
        <v/>
      </c>
      <c r="N3559" s="6" t="str">
        <f>IF($D3559="","",IFERROR(INDEX('Paramètres'!$Q:$Q,MATCH($D3559,'Paramètres'!$M:$M,0))&amp;"",""))</f>
        <v/>
      </c>
      <c r="O3559" s="6" t="str">
        <f>IF($A3559="","",IF(OR($J3559&lt;&gt;"x",$A3559&lt;=FinReleve),1,0))</f>
        <v/>
      </c>
      <c r="P3559" s="6" t="str">
        <f>IF($D3559="","",IF(AND($L3559="Crédit",OR(IFERROR(INDEX('Paramètres'!$O:$O,MATCH($D3559,'Paramètres'!$M:$M,0))&amp;"","")&lt;&gt;"",ISNUMBER(SEARCH("remboursement",IFERROR(INDEX('Paramètres'!$N:$N,MATCH($D3559,'Paramètres'!$M:$M,0))&amp;"",""))))),1,0))</f>
        <v/>
      </c>
      <c r="Q3559" s="6" t="str">
        <f>IF($K3559="","",IF(ISNUMBER(SEARCH("transfert-interne",IFERROR(INDEX('Paramètres'!$N:$N,MATCH($D3559,'Paramètres'!$M:$M,0))&amp;"",""))),0,IF($L3559="Débit",$K3559,IF($P3559=1,-$K3559,0))))</f>
        <v/>
      </c>
      <c r="R3559" s="6" t="str">
        <f>IF($K3559="","",IF($L3559="Crédit",$K3559,-$K3559))</f>
        <v/>
      </c>
      <c r="S3559" s="6" t="str">
        <f>IF($C3559="","",IFERROR(INDEX('Paramètres'!$H:$H,MATCH($C3559,'Paramètres'!$D:$D,0))&amp;"",""))</f>
        <v/>
      </c>
      <c r="T3559" s="6" t="str">
        <f>IF($K3559="","",IF($S3559="",0,IF(ISNUMBER(SEARCH("apport-exterieur",IFERROR(INDEX('Paramètres'!$N:$N,MATCH($D3559,'Paramètres'!$M:$M,0))&amp;"",""))),0,IF(OR(IFERROR(INDEX('Paramètres'!$I:$I,MATCH($C3559,'Paramètres'!$D:$D,0))&amp;"","")="Les deux",IFERROR(INDEX('Paramètres'!$I:$I,MATCH($C3559,'Paramètres'!$D:$D,0))&amp;"","")=IF($P3559=1,"Débit",$L3559)),-IF($P3559=1,-$K3559,$K3559),0))))</f>
        <v/>
      </c>
      <c r="U3559" s="6" t="str">
        <f>IF($K3559="","",IF(ISNUMBER(SEARCH("sortie-epargne",IFERROR(INDEX('Paramètres'!$N:$N,MATCH($D3559,'Paramètres'!$M:$M,0))&amp;"",""))),$K3559,0))</f>
        <v/>
      </c>
      <c r="V3559" s="6" t="str">
        <f>IF(AND($A3559&lt;&gt;"",$O3559=1,$L3559="Débit",N($Q3559)&gt;0,$A3559&gt;=Visualisation!$B$1,$A3559&lt;Visualisation!$D$1),MAX($V$1:V3558)+1,"")</f>
        <v/>
      </c>
    </row>
    <row r="3560" spans="1:22" x14ac:dyDescent="0.25">
      <c r="A3560" s="9"/>
      <c r="E3560" s="10"/>
      <c r="K3560" s="11" t="str">
        <f>IF($E3560="","",ROUND($E3560*IF(ISNA(MATCH($C3560,'Paramètres'!$D:$D,0)),1,IF(INDEX('Paramètres'!$J:$J,MATCH($C3560,'Paramètres'!$D:$D,0))="",1,INDEX('Paramètres'!$J:$J,MATCH($C3560,'Paramètres'!$D:$D,0)))),2))</f>
        <v/>
      </c>
      <c r="L3560" s="6" t="str">
        <f>IF($D3560="","",IF($F3560&lt;&gt;"",$F3560,IF(ISNA(MATCH($D3560,'Paramètres'!$M:$M,0)),"⚠ Type inconnu",IFERROR(INDEX('Paramètres'!$P:$P,MATCH($D3560,'Paramètres'!$M:$M,0))&amp;"",""))))</f>
        <v/>
      </c>
      <c r="M3560" s="6" t="str">
        <f>IF($D3560="","",IF(ISNA(MATCH($D3560,'Paramètres'!$M:$M,0)),"⚠ Type inconnu",IF($L3560="Crédit","",IFERROR(INDEX('Paramètres'!$O:$O,MATCH($D3560,'Paramètres'!$M:$M,0))&amp;"",""))))</f>
        <v/>
      </c>
      <c r="N3560" s="6" t="str">
        <f>IF($D3560="","",IFERROR(INDEX('Paramètres'!$Q:$Q,MATCH($D3560,'Paramètres'!$M:$M,0))&amp;"",""))</f>
        <v/>
      </c>
      <c r="O3560" s="6" t="str">
        <f>IF($A3560="","",IF(OR($J3560&lt;&gt;"x",$A3560&lt;=FinReleve),1,0))</f>
        <v/>
      </c>
      <c r="P3560" s="6" t="str">
        <f>IF($D3560="","",IF(AND($L3560="Crédit",OR(IFERROR(INDEX('Paramètres'!$O:$O,MATCH($D3560,'Paramètres'!$M:$M,0))&amp;"","")&lt;&gt;"",ISNUMBER(SEARCH("remboursement",IFERROR(INDEX('Paramètres'!$N:$N,MATCH($D3560,'Paramètres'!$M:$M,0))&amp;"",""))))),1,0))</f>
        <v/>
      </c>
      <c r="Q3560" s="6" t="str">
        <f>IF($K3560="","",IF(ISNUMBER(SEARCH("transfert-interne",IFERROR(INDEX('Paramètres'!$N:$N,MATCH($D3560,'Paramètres'!$M:$M,0))&amp;"",""))),0,IF($L3560="Débit",$K3560,IF($P3560=1,-$K3560,0))))</f>
        <v/>
      </c>
      <c r="R3560" s="6" t="str">
        <f>IF($K3560="","",IF($L3560="Crédit",$K3560,-$K3560))</f>
        <v/>
      </c>
      <c r="S3560" s="6" t="str">
        <f>IF($C3560="","",IFERROR(INDEX('Paramètres'!$H:$H,MATCH($C3560,'Paramètres'!$D:$D,0))&amp;"",""))</f>
        <v/>
      </c>
      <c r="T3560" s="6" t="str">
        <f>IF($K3560="","",IF($S3560="",0,IF(ISNUMBER(SEARCH("apport-exterieur",IFERROR(INDEX('Paramètres'!$N:$N,MATCH($D3560,'Paramètres'!$M:$M,0))&amp;"",""))),0,IF(OR(IFERROR(INDEX('Paramètres'!$I:$I,MATCH($C3560,'Paramètres'!$D:$D,0))&amp;"","")="Les deux",IFERROR(INDEX('Paramètres'!$I:$I,MATCH($C3560,'Paramètres'!$D:$D,0))&amp;"","")=IF($P3560=1,"Débit",$L3560)),-IF($P3560=1,-$K3560,$K3560),0))))</f>
        <v/>
      </c>
      <c r="U3560" s="6" t="str">
        <f>IF($K3560="","",IF(ISNUMBER(SEARCH("sortie-epargne",IFERROR(INDEX('Paramètres'!$N:$N,MATCH($D3560,'Paramètres'!$M:$M,0))&amp;"",""))),$K3560,0))</f>
        <v/>
      </c>
      <c r="V3560" s="6" t="str">
        <f>IF(AND($A3560&lt;&gt;"",$O3560=1,$L3560="Débit",N($Q3560)&gt;0,$A3560&gt;=Visualisation!$B$1,$A3560&lt;Visualisation!$D$1),MAX($V$1:V3559)+1,"")</f>
        <v/>
      </c>
    </row>
    <row r="3561" spans="1:22" x14ac:dyDescent="0.25">
      <c r="A3561" s="9"/>
      <c r="E3561" s="10"/>
      <c r="K3561" s="11" t="str">
        <f>IF($E3561="","",ROUND($E3561*IF(ISNA(MATCH($C3561,'Paramètres'!$D:$D,0)),1,IF(INDEX('Paramètres'!$J:$J,MATCH($C3561,'Paramètres'!$D:$D,0))="",1,INDEX('Paramètres'!$J:$J,MATCH($C3561,'Paramètres'!$D:$D,0)))),2))</f>
        <v/>
      </c>
      <c r="L3561" s="6" t="str">
        <f>IF($D3561="","",IF($F3561&lt;&gt;"",$F3561,IF(ISNA(MATCH($D3561,'Paramètres'!$M:$M,0)),"⚠ Type inconnu",IFERROR(INDEX('Paramètres'!$P:$P,MATCH($D3561,'Paramètres'!$M:$M,0))&amp;"",""))))</f>
        <v/>
      </c>
      <c r="M3561" s="6" t="str">
        <f>IF($D3561="","",IF(ISNA(MATCH($D3561,'Paramètres'!$M:$M,0)),"⚠ Type inconnu",IF($L3561="Crédit","",IFERROR(INDEX('Paramètres'!$O:$O,MATCH($D3561,'Paramètres'!$M:$M,0))&amp;"",""))))</f>
        <v/>
      </c>
      <c r="N3561" s="6" t="str">
        <f>IF($D3561="","",IFERROR(INDEX('Paramètres'!$Q:$Q,MATCH($D3561,'Paramètres'!$M:$M,0))&amp;"",""))</f>
        <v/>
      </c>
      <c r="O3561" s="6" t="str">
        <f>IF($A3561="","",IF(OR($J3561&lt;&gt;"x",$A3561&lt;=FinReleve),1,0))</f>
        <v/>
      </c>
      <c r="P3561" s="6" t="str">
        <f>IF($D3561="","",IF(AND($L3561="Crédit",OR(IFERROR(INDEX('Paramètres'!$O:$O,MATCH($D3561,'Paramètres'!$M:$M,0))&amp;"","")&lt;&gt;"",ISNUMBER(SEARCH("remboursement",IFERROR(INDEX('Paramètres'!$N:$N,MATCH($D3561,'Paramètres'!$M:$M,0))&amp;"",""))))),1,0))</f>
        <v/>
      </c>
      <c r="Q3561" s="6" t="str">
        <f>IF($K3561="","",IF(ISNUMBER(SEARCH("transfert-interne",IFERROR(INDEX('Paramètres'!$N:$N,MATCH($D3561,'Paramètres'!$M:$M,0))&amp;"",""))),0,IF($L3561="Débit",$K3561,IF($P3561=1,-$K3561,0))))</f>
        <v/>
      </c>
      <c r="R3561" s="6" t="str">
        <f>IF($K3561="","",IF($L3561="Crédit",$K3561,-$K3561))</f>
        <v/>
      </c>
      <c r="S3561" s="6" t="str">
        <f>IF($C3561="","",IFERROR(INDEX('Paramètres'!$H:$H,MATCH($C3561,'Paramètres'!$D:$D,0))&amp;"",""))</f>
        <v/>
      </c>
      <c r="T3561" s="6" t="str">
        <f>IF($K3561="","",IF($S3561="",0,IF(ISNUMBER(SEARCH("apport-exterieur",IFERROR(INDEX('Paramètres'!$N:$N,MATCH($D3561,'Paramètres'!$M:$M,0))&amp;"",""))),0,IF(OR(IFERROR(INDEX('Paramètres'!$I:$I,MATCH($C3561,'Paramètres'!$D:$D,0))&amp;"","")="Les deux",IFERROR(INDEX('Paramètres'!$I:$I,MATCH($C3561,'Paramètres'!$D:$D,0))&amp;"","")=IF($P3561=1,"Débit",$L3561)),-IF($P3561=1,-$K3561,$K3561),0))))</f>
        <v/>
      </c>
      <c r="U3561" s="6" t="str">
        <f>IF($K3561="","",IF(ISNUMBER(SEARCH("sortie-epargne",IFERROR(INDEX('Paramètres'!$N:$N,MATCH($D3561,'Paramètres'!$M:$M,0))&amp;"",""))),$K3561,0))</f>
        <v/>
      </c>
      <c r="V3561" s="6" t="str">
        <f>IF(AND($A3561&lt;&gt;"",$O3561=1,$L3561="Débit",N($Q3561)&gt;0,$A3561&gt;=Visualisation!$B$1,$A3561&lt;Visualisation!$D$1),MAX($V$1:V3560)+1,"")</f>
        <v/>
      </c>
    </row>
    <row r="3562" spans="1:22" x14ac:dyDescent="0.25">
      <c r="A3562" s="9"/>
      <c r="E3562" s="10"/>
      <c r="K3562" s="11" t="str">
        <f>IF($E3562="","",ROUND($E3562*IF(ISNA(MATCH($C3562,'Paramètres'!$D:$D,0)),1,IF(INDEX('Paramètres'!$J:$J,MATCH($C3562,'Paramètres'!$D:$D,0))="",1,INDEX('Paramètres'!$J:$J,MATCH($C3562,'Paramètres'!$D:$D,0)))),2))</f>
        <v/>
      </c>
      <c r="L3562" s="6" t="str">
        <f>IF($D3562="","",IF($F3562&lt;&gt;"",$F3562,IF(ISNA(MATCH($D3562,'Paramètres'!$M:$M,0)),"⚠ Type inconnu",IFERROR(INDEX('Paramètres'!$P:$P,MATCH($D3562,'Paramètres'!$M:$M,0))&amp;"",""))))</f>
        <v/>
      </c>
      <c r="M3562" s="6" t="str">
        <f>IF($D3562="","",IF(ISNA(MATCH($D3562,'Paramètres'!$M:$M,0)),"⚠ Type inconnu",IF($L3562="Crédit","",IFERROR(INDEX('Paramètres'!$O:$O,MATCH($D3562,'Paramètres'!$M:$M,0))&amp;"",""))))</f>
        <v/>
      </c>
      <c r="N3562" s="6" t="str">
        <f>IF($D3562="","",IFERROR(INDEX('Paramètres'!$Q:$Q,MATCH($D3562,'Paramètres'!$M:$M,0))&amp;"",""))</f>
        <v/>
      </c>
      <c r="O3562" s="6" t="str">
        <f>IF($A3562="","",IF(OR($J3562&lt;&gt;"x",$A3562&lt;=FinReleve),1,0))</f>
        <v/>
      </c>
      <c r="P3562" s="6" t="str">
        <f>IF($D3562="","",IF(AND($L3562="Crédit",OR(IFERROR(INDEX('Paramètres'!$O:$O,MATCH($D3562,'Paramètres'!$M:$M,0))&amp;"","")&lt;&gt;"",ISNUMBER(SEARCH("remboursement",IFERROR(INDEX('Paramètres'!$N:$N,MATCH($D3562,'Paramètres'!$M:$M,0))&amp;"",""))))),1,0))</f>
        <v/>
      </c>
      <c r="Q3562" s="6" t="str">
        <f>IF($K3562="","",IF(ISNUMBER(SEARCH("transfert-interne",IFERROR(INDEX('Paramètres'!$N:$N,MATCH($D3562,'Paramètres'!$M:$M,0))&amp;"",""))),0,IF($L3562="Débit",$K3562,IF($P3562=1,-$K3562,0))))</f>
        <v/>
      </c>
      <c r="R3562" s="6" t="str">
        <f>IF($K3562="","",IF($L3562="Crédit",$K3562,-$K3562))</f>
        <v/>
      </c>
      <c r="S3562" s="6" t="str">
        <f>IF($C3562="","",IFERROR(INDEX('Paramètres'!$H:$H,MATCH($C3562,'Paramètres'!$D:$D,0))&amp;"",""))</f>
        <v/>
      </c>
      <c r="T3562" s="6" t="str">
        <f>IF($K3562="","",IF($S3562="",0,IF(ISNUMBER(SEARCH("apport-exterieur",IFERROR(INDEX('Paramètres'!$N:$N,MATCH($D3562,'Paramètres'!$M:$M,0))&amp;"",""))),0,IF(OR(IFERROR(INDEX('Paramètres'!$I:$I,MATCH($C3562,'Paramètres'!$D:$D,0))&amp;"","")="Les deux",IFERROR(INDEX('Paramètres'!$I:$I,MATCH($C3562,'Paramètres'!$D:$D,0))&amp;"","")=IF($P3562=1,"Débit",$L3562)),-IF($P3562=1,-$K3562,$K3562),0))))</f>
        <v/>
      </c>
      <c r="U3562" s="6" t="str">
        <f>IF($K3562="","",IF(ISNUMBER(SEARCH("sortie-epargne",IFERROR(INDEX('Paramètres'!$N:$N,MATCH($D3562,'Paramètres'!$M:$M,0))&amp;"",""))),$K3562,0))</f>
        <v/>
      </c>
      <c r="V3562" s="6" t="str">
        <f>IF(AND($A3562&lt;&gt;"",$O3562=1,$L3562="Débit",N($Q3562)&gt;0,$A3562&gt;=Visualisation!$B$1,$A3562&lt;Visualisation!$D$1),MAX($V$1:V3561)+1,"")</f>
        <v/>
      </c>
    </row>
    <row r="3563" spans="1:22" x14ac:dyDescent="0.25">
      <c r="A3563" s="9"/>
      <c r="E3563" s="10"/>
      <c r="K3563" s="11" t="str">
        <f>IF($E3563="","",ROUND($E3563*IF(ISNA(MATCH($C3563,'Paramètres'!$D:$D,0)),1,IF(INDEX('Paramètres'!$J:$J,MATCH($C3563,'Paramètres'!$D:$D,0))="",1,INDEX('Paramètres'!$J:$J,MATCH($C3563,'Paramètres'!$D:$D,0)))),2))</f>
        <v/>
      </c>
      <c r="L3563" s="6" t="str">
        <f>IF($D3563="","",IF($F3563&lt;&gt;"",$F3563,IF(ISNA(MATCH($D3563,'Paramètres'!$M:$M,0)),"⚠ Type inconnu",IFERROR(INDEX('Paramètres'!$P:$P,MATCH($D3563,'Paramètres'!$M:$M,0))&amp;"",""))))</f>
        <v/>
      </c>
      <c r="M3563" s="6" t="str">
        <f>IF($D3563="","",IF(ISNA(MATCH($D3563,'Paramètres'!$M:$M,0)),"⚠ Type inconnu",IF($L3563="Crédit","",IFERROR(INDEX('Paramètres'!$O:$O,MATCH($D3563,'Paramètres'!$M:$M,0))&amp;"",""))))</f>
        <v/>
      </c>
      <c r="N3563" s="6" t="str">
        <f>IF($D3563="","",IFERROR(INDEX('Paramètres'!$Q:$Q,MATCH($D3563,'Paramètres'!$M:$M,0))&amp;"",""))</f>
        <v/>
      </c>
      <c r="O3563" s="6" t="str">
        <f>IF($A3563="","",IF(OR($J3563&lt;&gt;"x",$A3563&lt;=FinReleve),1,0))</f>
        <v/>
      </c>
      <c r="P3563" s="6" t="str">
        <f>IF($D3563="","",IF(AND($L3563="Crédit",OR(IFERROR(INDEX('Paramètres'!$O:$O,MATCH($D3563,'Paramètres'!$M:$M,0))&amp;"","")&lt;&gt;"",ISNUMBER(SEARCH("remboursement",IFERROR(INDEX('Paramètres'!$N:$N,MATCH($D3563,'Paramètres'!$M:$M,0))&amp;"",""))))),1,0))</f>
        <v/>
      </c>
      <c r="Q3563" s="6" t="str">
        <f>IF($K3563="","",IF(ISNUMBER(SEARCH("transfert-interne",IFERROR(INDEX('Paramètres'!$N:$N,MATCH($D3563,'Paramètres'!$M:$M,0))&amp;"",""))),0,IF($L3563="Débit",$K3563,IF($P3563=1,-$K3563,0))))</f>
        <v/>
      </c>
      <c r="R3563" s="6" t="str">
        <f>IF($K3563="","",IF($L3563="Crédit",$K3563,-$K3563))</f>
        <v/>
      </c>
      <c r="S3563" s="6" t="str">
        <f>IF($C3563="","",IFERROR(INDEX('Paramètres'!$H:$H,MATCH($C3563,'Paramètres'!$D:$D,0))&amp;"",""))</f>
        <v/>
      </c>
      <c r="T3563" s="6" t="str">
        <f>IF($K3563="","",IF($S3563="",0,IF(ISNUMBER(SEARCH("apport-exterieur",IFERROR(INDEX('Paramètres'!$N:$N,MATCH($D3563,'Paramètres'!$M:$M,0))&amp;"",""))),0,IF(OR(IFERROR(INDEX('Paramètres'!$I:$I,MATCH($C3563,'Paramètres'!$D:$D,0))&amp;"","")="Les deux",IFERROR(INDEX('Paramètres'!$I:$I,MATCH($C3563,'Paramètres'!$D:$D,0))&amp;"","")=IF($P3563=1,"Débit",$L3563)),-IF($P3563=1,-$K3563,$K3563),0))))</f>
        <v/>
      </c>
      <c r="U3563" s="6" t="str">
        <f>IF($K3563="","",IF(ISNUMBER(SEARCH("sortie-epargne",IFERROR(INDEX('Paramètres'!$N:$N,MATCH($D3563,'Paramètres'!$M:$M,0))&amp;"",""))),$K3563,0))</f>
        <v/>
      </c>
      <c r="V3563" s="6" t="str">
        <f>IF(AND($A3563&lt;&gt;"",$O3563=1,$L3563="Débit",N($Q3563)&gt;0,$A3563&gt;=Visualisation!$B$1,$A3563&lt;Visualisation!$D$1),MAX($V$1:V3562)+1,"")</f>
        <v/>
      </c>
    </row>
    <row r="3564" spans="1:22" x14ac:dyDescent="0.25">
      <c r="A3564" s="9"/>
      <c r="E3564" s="10"/>
      <c r="K3564" s="11" t="str">
        <f>IF($E3564="","",ROUND($E3564*IF(ISNA(MATCH($C3564,'Paramètres'!$D:$D,0)),1,IF(INDEX('Paramètres'!$J:$J,MATCH($C3564,'Paramètres'!$D:$D,0))="",1,INDEX('Paramètres'!$J:$J,MATCH($C3564,'Paramètres'!$D:$D,0)))),2))</f>
        <v/>
      </c>
      <c r="L3564" s="6" t="str">
        <f>IF($D3564="","",IF($F3564&lt;&gt;"",$F3564,IF(ISNA(MATCH($D3564,'Paramètres'!$M:$M,0)),"⚠ Type inconnu",IFERROR(INDEX('Paramètres'!$P:$P,MATCH($D3564,'Paramètres'!$M:$M,0))&amp;"",""))))</f>
        <v/>
      </c>
      <c r="M3564" s="6" t="str">
        <f>IF($D3564="","",IF(ISNA(MATCH($D3564,'Paramètres'!$M:$M,0)),"⚠ Type inconnu",IF($L3564="Crédit","",IFERROR(INDEX('Paramètres'!$O:$O,MATCH($D3564,'Paramètres'!$M:$M,0))&amp;"",""))))</f>
        <v/>
      </c>
      <c r="N3564" s="6" t="str">
        <f>IF($D3564="","",IFERROR(INDEX('Paramètres'!$Q:$Q,MATCH($D3564,'Paramètres'!$M:$M,0))&amp;"",""))</f>
        <v/>
      </c>
      <c r="O3564" s="6" t="str">
        <f>IF($A3564="","",IF(OR($J3564&lt;&gt;"x",$A3564&lt;=FinReleve),1,0))</f>
        <v/>
      </c>
      <c r="P3564" s="6" t="str">
        <f>IF($D3564="","",IF(AND($L3564="Crédit",OR(IFERROR(INDEX('Paramètres'!$O:$O,MATCH($D3564,'Paramètres'!$M:$M,0))&amp;"","")&lt;&gt;"",ISNUMBER(SEARCH("remboursement",IFERROR(INDEX('Paramètres'!$N:$N,MATCH($D3564,'Paramètres'!$M:$M,0))&amp;"",""))))),1,0))</f>
        <v/>
      </c>
      <c r="Q3564" s="6" t="str">
        <f>IF($K3564="","",IF(ISNUMBER(SEARCH("transfert-interne",IFERROR(INDEX('Paramètres'!$N:$N,MATCH($D3564,'Paramètres'!$M:$M,0))&amp;"",""))),0,IF($L3564="Débit",$K3564,IF($P3564=1,-$K3564,0))))</f>
        <v/>
      </c>
      <c r="R3564" s="6" t="str">
        <f>IF($K3564="","",IF($L3564="Crédit",$K3564,-$K3564))</f>
        <v/>
      </c>
      <c r="S3564" s="6" t="str">
        <f>IF($C3564="","",IFERROR(INDEX('Paramètres'!$H:$H,MATCH($C3564,'Paramètres'!$D:$D,0))&amp;"",""))</f>
        <v/>
      </c>
      <c r="T3564" s="6" t="str">
        <f>IF($K3564="","",IF($S3564="",0,IF(ISNUMBER(SEARCH("apport-exterieur",IFERROR(INDEX('Paramètres'!$N:$N,MATCH($D3564,'Paramètres'!$M:$M,0))&amp;"",""))),0,IF(OR(IFERROR(INDEX('Paramètres'!$I:$I,MATCH($C3564,'Paramètres'!$D:$D,0))&amp;"","")="Les deux",IFERROR(INDEX('Paramètres'!$I:$I,MATCH($C3564,'Paramètres'!$D:$D,0))&amp;"","")=IF($P3564=1,"Débit",$L3564)),-IF($P3564=1,-$K3564,$K3564),0))))</f>
        <v/>
      </c>
      <c r="U3564" s="6" t="str">
        <f>IF($K3564="","",IF(ISNUMBER(SEARCH("sortie-epargne",IFERROR(INDEX('Paramètres'!$N:$N,MATCH($D3564,'Paramètres'!$M:$M,0))&amp;"",""))),$K3564,0))</f>
        <v/>
      </c>
      <c r="V3564" s="6" t="str">
        <f>IF(AND($A3564&lt;&gt;"",$O3564=1,$L3564="Débit",N($Q3564)&gt;0,$A3564&gt;=Visualisation!$B$1,$A3564&lt;Visualisation!$D$1),MAX($V$1:V3563)+1,"")</f>
        <v/>
      </c>
    </row>
    <row r="3565" spans="1:22" x14ac:dyDescent="0.25">
      <c r="A3565" s="9"/>
      <c r="E3565" s="10"/>
      <c r="K3565" s="11" t="str">
        <f>IF($E3565="","",ROUND($E3565*IF(ISNA(MATCH($C3565,'Paramètres'!$D:$D,0)),1,IF(INDEX('Paramètres'!$J:$J,MATCH($C3565,'Paramètres'!$D:$D,0))="",1,INDEX('Paramètres'!$J:$J,MATCH($C3565,'Paramètres'!$D:$D,0)))),2))</f>
        <v/>
      </c>
      <c r="L3565" s="6" t="str">
        <f>IF($D3565="","",IF($F3565&lt;&gt;"",$F3565,IF(ISNA(MATCH($D3565,'Paramètres'!$M:$M,0)),"⚠ Type inconnu",IFERROR(INDEX('Paramètres'!$P:$P,MATCH($D3565,'Paramètres'!$M:$M,0))&amp;"",""))))</f>
        <v/>
      </c>
      <c r="M3565" s="6" t="str">
        <f>IF($D3565="","",IF(ISNA(MATCH($D3565,'Paramètres'!$M:$M,0)),"⚠ Type inconnu",IF($L3565="Crédit","",IFERROR(INDEX('Paramètres'!$O:$O,MATCH($D3565,'Paramètres'!$M:$M,0))&amp;"",""))))</f>
        <v/>
      </c>
      <c r="N3565" s="6" t="str">
        <f>IF($D3565="","",IFERROR(INDEX('Paramètres'!$Q:$Q,MATCH($D3565,'Paramètres'!$M:$M,0))&amp;"",""))</f>
        <v/>
      </c>
      <c r="O3565" s="6" t="str">
        <f>IF($A3565="","",IF(OR($J3565&lt;&gt;"x",$A3565&lt;=FinReleve),1,0))</f>
        <v/>
      </c>
      <c r="P3565" s="6" t="str">
        <f>IF($D3565="","",IF(AND($L3565="Crédit",OR(IFERROR(INDEX('Paramètres'!$O:$O,MATCH($D3565,'Paramètres'!$M:$M,0))&amp;"","")&lt;&gt;"",ISNUMBER(SEARCH("remboursement",IFERROR(INDEX('Paramètres'!$N:$N,MATCH($D3565,'Paramètres'!$M:$M,0))&amp;"",""))))),1,0))</f>
        <v/>
      </c>
      <c r="Q3565" s="6" t="str">
        <f>IF($K3565="","",IF(ISNUMBER(SEARCH("transfert-interne",IFERROR(INDEX('Paramètres'!$N:$N,MATCH($D3565,'Paramètres'!$M:$M,0))&amp;"",""))),0,IF($L3565="Débit",$K3565,IF($P3565=1,-$K3565,0))))</f>
        <v/>
      </c>
      <c r="R3565" s="6" t="str">
        <f>IF($K3565="","",IF($L3565="Crédit",$K3565,-$K3565))</f>
        <v/>
      </c>
      <c r="S3565" s="6" t="str">
        <f>IF($C3565="","",IFERROR(INDEX('Paramètres'!$H:$H,MATCH($C3565,'Paramètres'!$D:$D,0))&amp;"",""))</f>
        <v/>
      </c>
      <c r="T3565" s="6" t="str">
        <f>IF($K3565="","",IF($S3565="",0,IF(ISNUMBER(SEARCH("apport-exterieur",IFERROR(INDEX('Paramètres'!$N:$N,MATCH($D3565,'Paramètres'!$M:$M,0))&amp;"",""))),0,IF(OR(IFERROR(INDEX('Paramètres'!$I:$I,MATCH($C3565,'Paramètres'!$D:$D,0))&amp;"","")="Les deux",IFERROR(INDEX('Paramètres'!$I:$I,MATCH($C3565,'Paramètres'!$D:$D,0))&amp;"","")=IF($P3565=1,"Débit",$L3565)),-IF($P3565=1,-$K3565,$K3565),0))))</f>
        <v/>
      </c>
      <c r="U3565" s="6" t="str">
        <f>IF($K3565="","",IF(ISNUMBER(SEARCH("sortie-epargne",IFERROR(INDEX('Paramètres'!$N:$N,MATCH($D3565,'Paramètres'!$M:$M,0))&amp;"",""))),$K3565,0))</f>
        <v/>
      </c>
      <c r="V3565" s="6" t="str">
        <f>IF(AND($A3565&lt;&gt;"",$O3565=1,$L3565="Débit",N($Q3565)&gt;0,$A3565&gt;=Visualisation!$B$1,$A3565&lt;Visualisation!$D$1),MAX($V$1:V3564)+1,"")</f>
        <v/>
      </c>
    </row>
    <row r="3566" spans="1:22" x14ac:dyDescent="0.25">
      <c r="A3566" s="9"/>
      <c r="E3566" s="10"/>
      <c r="K3566" s="11" t="str">
        <f>IF($E3566="","",ROUND($E3566*IF(ISNA(MATCH($C3566,'Paramètres'!$D:$D,0)),1,IF(INDEX('Paramètres'!$J:$J,MATCH($C3566,'Paramètres'!$D:$D,0))="",1,INDEX('Paramètres'!$J:$J,MATCH($C3566,'Paramètres'!$D:$D,0)))),2))</f>
        <v/>
      </c>
      <c r="L3566" s="6" t="str">
        <f>IF($D3566="","",IF($F3566&lt;&gt;"",$F3566,IF(ISNA(MATCH($D3566,'Paramètres'!$M:$M,0)),"⚠ Type inconnu",IFERROR(INDEX('Paramètres'!$P:$P,MATCH($D3566,'Paramètres'!$M:$M,0))&amp;"",""))))</f>
        <v/>
      </c>
      <c r="M3566" s="6" t="str">
        <f>IF($D3566="","",IF(ISNA(MATCH($D3566,'Paramètres'!$M:$M,0)),"⚠ Type inconnu",IF($L3566="Crédit","",IFERROR(INDEX('Paramètres'!$O:$O,MATCH($D3566,'Paramètres'!$M:$M,0))&amp;"",""))))</f>
        <v/>
      </c>
      <c r="N3566" s="6" t="str">
        <f>IF($D3566="","",IFERROR(INDEX('Paramètres'!$Q:$Q,MATCH($D3566,'Paramètres'!$M:$M,0))&amp;"",""))</f>
        <v/>
      </c>
      <c r="O3566" s="6" t="str">
        <f>IF($A3566="","",IF(OR($J3566&lt;&gt;"x",$A3566&lt;=FinReleve),1,0))</f>
        <v/>
      </c>
      <c r="P3566" s="6" t="str">
        <f>IF($D3566="","",IF(AND($L3566="Crédit",OR(IFERROR(INDEX('Paramètres'!$O:$O,MATCH($D3566,'Paramètres'!$M:$M,0))&amp;"","")&lt;&gt;"",ISNUMBER(SEARCH("remboursement",IFERROR(INDEX('Paramètres'!$N:$N,MATCH($D3566,'Paramètres'!$M:$M,0))&amp;"",""))))),1,0))</f>
        <v/>
      </c>
      <c r="Q3566" s="6" t="str">
        <f>IF($K3566="","",IF(ISNUMBER(SEARCH("transfert-interne",IFERROR(INDEX('Paramètres'!$N:$N,MATCH($D3566,'Paramètres'!$M:$M,0))&amp;"",""))),0,IF($L3566="Débit",$K3566,IF($P3566=1,-$K3566,0))))</f>
        <v/>
      </c>
      <c r="R3566" s="6" t="str">
        <f>IF($K3566="","",IF($L3566="Crédit",$K3566,-$K3566))</f>
        <v/>
      </c>
      <c r="S3566" s="6" t="str">
        <f>IF($C3566="","",IFERROR(INDEX('Paramètres'!$H:$H,MATCH($C3566,'Paramètres'!$D:$D,0))&amp;"",""))</f>
        <v/>
      </c>
      <c r="T3566" s="6" t="str">
        <f>IF($K3566="","",IF($S3566="",0,IF(ISNUMBER(SEARCH("apport-exterieur",IFERROR(INDEX('Paramètres'!$N:$N,MATCH($D3566,'Paramètres'!$M:$M,0))&amp;"",""))),0,IF(OR(IFERROR(INDEX('Paramètres'!$I:$I,MATCH($C3566,'Paramètres'!$D:$D,0))&amp;"","")="Les deux",IFERROR(INDEX('Paramètres'!$I:$I,MATCH($C3566,'Paramètres'!$D:$D,0))&amp;"","")=IF($P3566=1,"Débit",$L3566)),-IF($P3566=1,-$K3566,$K3566),0))))</f>
        <v/>
      </c>
      <c r="U3566" s="6" t="str">
        <f>IF($K3566="","",IF(ISNUMBER(SEARCH("sortie-epargne",IFERROR(INDEX('Paramètres'!$N:$N,MATCH($D3566,'Paramètres'!$M:$M,0))&amp;"",""))),$K3566,0))</f>
        <v/>
      </c>
      <c r="V3566" s="6" t="str">
        <f>IF(AND($A3566&lt;&gt;"",$O3566=1,$L3566="Débit",N($Q3566)&gt;0,$A3566&gt;=Visualisation!$B$1,$A3566&lt;Visualisation!$D$1),MAX($V$1:V3565)+1,"")</f>
        <v/>
      </c>
    </row>
    <row r="3567" spans="1:22" x14ac:dyDescent="0.25">
      <c r="A3567" s="9"/>
      <c r="E3567" s="10"/>
      <c r="K3567" s="11" t="str">
        <f>IF($E3567="","",ROUND($E3567*IF(ISNA(MATCH($C3567,'Paramètres'!$D:$D,0)),1,IF(INDEX('Paramètres'!$J:$J,MATCH($C3567,'Paramètres'!$D:$D,0))="",1,INDEX('Paramètres'!$J:$J,MATCH($C3567,'Paramètres'!$D:$D,0)))),2))</f>
        <v/>
      </c>
      <c r="L3567" s="6" t="str">
        <f>IF($D3567="","",IF($F3567&lt;&gt;"",$F3567,IF(ISNA(MATCH($D3567,'Paramètres'!$M:$M,0)),"⚠ Type inconnu",IFERROR(INDEX('Paramètres'!$P:$P,MATCH($D3567,'Paramètres'!$M:$M,0))&amp;"",""))))</f>
        <v/>
      </c>
      <c r="M3567" s="6" t="str">
        <f>IF($D3567="","",IF(ISNA(MATCH($D3567,'Paramètres'!$M:$M,0)),"⚠ Type inconnu",IF($L3567="Crédit","",IFERROR(INDEX('Paramètres'!$O:$O,MATCH($D3567,'Paramètres'!$M:$M,0))&amp;"",""))))</f>
        <v/>
      </c>
      <c r="N3567" s="6" t="str">
        <f>IF($D3567="","",IFERROR(INDEX('Paramètres'!$Q:$Q,MATCH($D3567,'Paramètres'!$M:$M,0))&amp;"",""))</f>
        <v/>
      </c>
      <c r="O3567" s="6" t="str">
        <f>IF($A3567="","",IF(OR($J3567&lt;&gt;"x",$A3567&lt;=FinReleve),1,0))</f>
        <v/>
      </c>
      <c r="P3567" s="6" t="str">
        <f>IF($D3567="","",IF(AND($L3567="Crédit",OR(IFERROR(INDEX('Paramètres'!$O:$O,MATCH($D3567,'Paramètres'!$M:$M,0))&amp;"","")&lt;&gt;"",ISNUMBER(SEARCH("remboursement",IFERROR(INDEX('Paramètres'!$N:$N,MATCH($D3567,'Paramètres'!$M:$M,0))&amp;"",""))))),1,0))</f>
        <v/>
      </c>
      <c r="Q3567" s="6" t="str">
        <f>IF($K3567="","",IF(ISNUMBER(SEARCH("transfert-interne",IFERROR(INDEX('Paramètres'!$N:$N,MATCH($D3567,'Paramètres'!$M:$M,0))&amp;"",""))),0,IF($L3567="Débit",$K3567,IF($P3567=1,-$K3567,0))))</f>
        <v/>
      </c>
      <c r="R3567" s="6" t="str">
        <f>IF($K3567="","",IF($L3567="Crédit",$K3567,-$K3567))</f>
        <v/>
      </c>
      <c r="S3567" s="6" t="str">
        <f>IF($C3567="","",IFERROR(INDEX('Paramètres'!$H:$H,MATCH($C3567,'Paramètres'!$D:$D,0))&amp;"",""))</f>
        <v/>
      </c>
      <c r="T3567" s="6" t="str">
        <f>IF($K3567="","",IF($S3567="",0,IF(ISNUMBER(SEARCH("apport-exterieur",IFERROR(INDEX('Paramètres'!$N:$N,MATCH($D3567,'Paramètres'!$M:$M,0))&amp;"",""))),0,IF(OR(IFERROR(INDEX('Paramètres'!$I:$I,MATCH($C3567,'Paramètres'!$D:$D,0))&amp;"","")="Les deux",IFERROR(INDEX('Paramètres'!$I:$I,MATCH($C3567,'Paramètres'!$D:$D,0))&amp;"","")=IF($P3567=1,"Débit",$L3567)),-IF($P3567=1,-$K3567,$K3567),0))))</f>
        <v/>
      </c>
      <c r="U3567" s="6" t="str">
        <f>IF($K3567="","",IF(ISNUMBER(SEARCH("sortie-epargne",IFERROR(INDEX('Paramètres'!$N:$N,MATCH($D3567,'Paramètres'!$M:$M,0))&amp;"",""))),$K3567,0))</f>
        <v/>
      </c>
      <c r="V3567" s="6" t="str">
        <f>IF(AND($A3567&lt;&gt;"",$O3567=1,$L3567="Débit",N($Q3567)&gt;0,$A3567&gt;=Visualisation!$B$1,$A3567&lt;Visualisation!$D$1),MAX($V$1:V3566)+1,"")</f>
        <v/>
      </c>
    </row>
    <row r="3568" spans="1:22" x14ac:dyDescent="0.25">
      <c r="A3568" s="9"/>
      <c r="E3568" s="10"/>
      <c r="K3568" s="11" t="str">
        <f>IF($E3568="","",ROUND($E3568*IF(ISNA(MATCH($C3568,'Paramètres'!$D:$D,0)),1,IF(INDEX('Paramètres'!$J:$J,MATCH($C3568,'Paramètres'!$D:$D,0))="",1,INDEX('Paramètres'!$J:$J,MATCH($C3568,'Paramètres'!$D:$D,0)))),2))</f>
        <v/>
      </c>
      <c r="L3568" s="6" t="str">
        <f>IF($D3568="","",IF($F3568&lt;&gt;"",$F3568,IF(ISNA(MATCH($D3568,'Paramètres'!$M:$M,0)),"⚠ Type inconnu",IFERROR(INDEX('Paramètres'!$P:$P,MATCH($D3568,'Paramètres'!$M:$M,0))&amp;"",""))))</f>
        <v/>
      </c>
      <c r="M3568" s="6" t="str">
        <f>IF($D3568="","",IF(ISNA(MATCH($D3568,'Paramètres'!$M:$M,0)),"⚠ Type inconnu",IF($L3568="Crédit","",IFERROR(INDEX('Paramètres'!$O:$O,MATCH($D3568,'Paramètres'!$M:$M,0))&amp;"",""))))</f>
        <v/>
      </c>
      <c r="N3568" s="6" t="str">
        <f>IF($D3568="","",IFERROR(INDEX('Paramètres'!$Q:$Q,MATCH($D3568,'Paramètres'!$M:$M,0))&amp;"",""))</f>
        <v/>
      </c>
      <c r="O3568" s="6" t="str">
        <f>IF($A3568="","",IF(OR($J3568&lt;&gt;"x",$A3568&lt;=FinReleve),1,0))</f>
        <v/>
      </c>
      <c r="P3568" s="6" t="str">
        <f>IF($D3568="","",IF(AND($L3568="Crédit",OR(IFERROR(INDEX('Paramètres'!$O:$O,MATCH($D3568,'Paramètres'!$M:$M,0))&amp;"","")&lt;&gt;"",ISNUMBER(SEARCH("remboursement",IFERROR(INDEX('Paramètres'!$N:$N,MATCH($D3568,'Paramètres'!$M:$M,0))&amp;"",""))))),1,0))</f>
        <v/>
      </c>
      <c r="Q3568" s="6" t="str">
        <f>IF($K3568="","",IF(ISNUMBER(SEARCH("transfert-interne",IFERROR(INDEX('Paramètres'!$N:$N,MATCH($D3568,'Paramètres'!$M:$M,0))&amp;"",""))),0,IF($L3568="Débit",$K3568,IF($P3568=1,-$K3568,0))))</f>
        <v/>
      </c>
      <c r="R3568" s="6" t="str">
        <f>IF($K3568="","",IF($L3568="Crédit",$K3568,-$K3568))</f>
        <v/>
      </c>
      <c r="S3568" s="6" t="str">
        <f>IF($C3568="","",IFERROR(INDEX('Paramètres'!$H:$H,MATCH($C3568,'Paramètres'!$D:$D,0))&amp;"",""))</f>
        <v/>
      </c>
      <c r="T3568" s="6" t="str">
        <f>IF($K3568="","",IF($S3568="",0,IF(ISNUMBER(SEARCH("apport-exterieur",IFERROR(INDEX('Paramètres'!$N:$N,MATCH($D3568,'Paramètres'!$M:$M,0))&amp;"",""))),0,IF(OR(IFERROR(INDEX('Paramètres'!$I:$I,MATCH($C3568,'Paramètres'!$D:$D,0))&amp;"","")="Les deux",IFERROR(INDEX('Paramètres'!$I:$I,MATCH($C3568,'Paramètres'!$D:$D,0))&amp;"","")=IF($P3568=1,"Débit",$L3568)),-IF($P3568=1,-$K3568,$K3568),0))))</f>
        <v/>
      </c>
      <c r="U3568" s="6" t="str">
        <f>IF($K3568="","",IF(ISNUMBER(SEARCH("sortie-epargne",IFERROR(INDEX('Paramètres'!$N:$N,MATCH($D3568,'Paramètres'!$M:$M,0))&amp;"",""))),$K3568,0))</f>
        <v/>
      </c>
      <c r="V3568" s="6" t="str">
        <f>IF(AND($A3568&lt;&gt;"",$O3568=1,$L3568="Débit",N($Q3568)&gt;0,$A3568&gt;=Visualisation!$B$1,$A3568&lt;Visualisation!$D$1),MAX($V$1:V3567)+1,"")</f>
        <v/>
      </c>
    </row>
    <row r="3569" spans="1:22" x14ac:dyDescent="0.25">
      <c r="A3569" s="9"/>
      <c r="E3569" s="10"/>
      <c r="K3569" s="11" t="str">
        <f>IF($E3569="","",ROUND($E3569*IF(ISNA(MATCH($C3569,'Paramètres'!$D:$D,0)),1,IF(INDEX('Paramètres'!$J:$J,MATCH($C3569,'Paramètres'!$D:$D,0))="",1,INDEX('Paramètres'!$J:$J,MATCH($C3569,'Paramètres'!$D:$D,0)))),2))</f>
        <v/>
      </c>
      <c r="L3569" s="6" t="str">
        <f>IF($D3569="","",IF($F3569&lt;&gt;"",$F3569,IF(ISNA(MATCH($D3569,'Paramètres'!$M:$M,0)),"⚠ Type inconnu",IFERROR(INDEX('Paramètres'!$P:$P,MATCH($D3569,'Paramètres'!$M:$M,0))&amp;"",""))))</f>
        <v/>
      </c>
      <c r="M3569" s="6" t="str">
        <f>IF($D3569="","",IF(ISNA(MATCH($D3569,'Paramètres'!$M:$M,0)),"⚠ Type inconnu",IF($L3569="Crédit","",IFERROR(INDEX('Paramètres'!$O:$O,MATCH($D3569,'Paramètres'!$M:$M,0))&amp;"",""))))</f>
        <v/>
      </c>
      <c r="N3569" s="6" t="str">
        <f>IF($D3569="","",IFERROR(INDEX('Paramètres'!$Q:$Q,MATCH($D3569,'Paramètres'!$M:$M,0))&amp;"",""))</f>
        <v/>
      </c>
      <c r="O3569" s="6" t="str">
        <f>IF($A3569="","",IF(OR($J3569&lt;&gt;"x",$A3569&lt;=FinReleve),1,0))</f>
        <v/>
      </c>
      <c r="P3569" s="6" t="str">
        <f>IF($D3569="","",IF(AND($L3569="Crédit",OR(IFERROR(INDEX('Paramètres'!$O:$O,MATCH($D3569,'Paramètres'!$M:$M,0))&amp;"","")&lt;&gt;"",ISNUMBER(SEARCH("remboursement",IFERROR(INDEX('Paramètres'!$N:$N,MATCH($D3569,'Paramètres'!$M:$M,0))&amp;"",""))))),1,0))</f>
        <v/>
      </c>
      <c r="Q3569" s="6" t="str">
        <f>IF($K3569="","",IF(ISNUMBER(SEARCH("transfert-interne",IFERROR(INDEX('Paramètres'!$N:$N,MATCH($D3569,'Paramètres'!$M:$M,0))&amp;"",""))),0,IF($L3569="Débit",$K3569,IF($P3569=1,-$K3569,0))))</f>
        <v/>
      </c>
      <c r="R3569" s="6" t="str">
        <f>IF($K3569="","",IF($L3569="Crédit",$K3569,-$K3569))</f>
        <v/>
      </c>
      <c r="S3569" s="6" t="str">
        <f>IF($C3569="","",IFERROR(INDEX('Paramètres'!$H:$H,MATCH($C3569,'Paramètres'!$D:$D,0))&amp;"",""))</f>
        <v/>
      </c>
      <c r="T3569" s="6" t="str">
        <f>IF($K3569="","",IF($S3569="",0,IF(ISNUMBER(SEARCH("apport-exterieur",IFERROR(INDEX('Paramètres'!$N:$N,MATCH($D3569,'Paramètres'!$M:$M,0))&amp;"",""))),0,IF(OR(IFERROR(INDEX('Paramètres'!$I:$I,MATCH($C3569,'Paramètres'!$D:$D,0))&amp;"","")="Les deux",IFERROR(INDEX('Paramètres'!$I:$I,MATCH($C3569,'Paramètres'!$D:$D,0))&amp;"","")=IF($P3569=1,"Débit",$L3569)),-IF($P3569=1,-$K3569,$K3569),0))))</f>
        <v/>
      </c>
      <c r="U3569" s="6" t="str">
        <f>IF($K3569="","",IF(ISNUMBER(SEARCH("sortie-epargne",IFERROR(INDEX('Paramètres'!$N:$N,MATCH($D3569,'Paramètres'!$M:$M,0))&amp;"",""))),$K3569,0))</f>
        <v/>
      </c>
      <c r="V3569" s="6" t="str">
        <f>IF(AND($A3569&lt;&gt;"",$O3569=1,$L3569="Débit",N($Q3569)&gt;0,$A3569&gt;=Visualisation!$B$1,$A3569&lt;Visualisation!$D$1),MAX($V$1:V3568)+1,"")</f>
        <v/>
      </c>
    </row>
    <row r="3570" spans="1:22" x14ac:dyDescent="0.25">
      <c r="A3570" s="9"/>
      <c r="E3570" s="10"/>
      <c r="K3570" s="11" t="str">
        <f>IF($E3570="","",ROUND($E3570*IF(ISNA(MATCH($C3570,'Paramètres'!$D:$D,0)),1,IF(INDEX('Paramètres'!$J:$J,MATCH($C3570,'Paramètres'!$D:$D,0))="",1,INDEX('Paramètres'!$J:$J,MATCH($C3570,'Paramètres'!$D:$D,0)))),2))</f>
        <v/>
      </c>
      <c r="L3570" s="6" t="str">
        <f>IF($D3570="","",IF($F3570&lt;&gt;"",$F3570,IF(ISNA(MATCH($D3570,'Paramètres'!$M:$M,0)),"⚠ Type inconnu",IFERROR(INDEX('Paramètres'!$P:$P,MATCH($D3570,'Paramètres'!$M:$M,0))&amp;"",""))))</f>
        <v/>
      </c>
      <c r="M3570" s="6" t="str">
        <f>IF($D3570="","",IF(ISNA(MATCH($D3570,'Paramètres'!$M:$M,0)),"⚠ Type inconnu",IF($L3570="Crédit","",IFERROR(INDEX('Paramètres'!$O:$O,MATCH($D3570,'Paramètres'!$M:$M,0))&amp;"",""))))</f>
        <v/>
      </c>
      <c r="N3570" s="6" t="str">
        <f>IF($D3570="","",IFERROR(INDEX('Paramètres'!$Q:$Q,MATCH($D3570,'Paramètres'!$M:$M,0))&amp;"",""))</f>
        <v/>
      </c>
      <c r="O3570" s="6" t="str">
        <f>IF($A3570="","",IF(OR($J3570&lt;&gt;"x",$A3570&lt;=FinReleve),1,0))</f>
        <v/>
      </c>
      <c r="P3570" s="6" t="str">
        <f>IF($D3570="","",IF(AND($L3570="Crédit",OR(IFERROR(INDEX('Paramètres'!$O:$O,MATCH($D3570,'Paramètres'!$M:$M,0))&amp;"","")&lt;&gt;"",ISNUMBER(SEARCH("remboursement",IFERROR(INDEX('Paramètres'!$N:$N,MATCH($D3570,'Paramètres'!$M:$M,0))&amp;"",""))))),1,0))</f>
        <v/>
      </c>
      <c r="Q3570" s="6" t="str">
        <f>IF($K3570="","",IF(ISNUMBER(SEARCH("transfert-interne",IFERROR(INDEX('Paramètres'!$N:$N,MATCH($D3570,'Paramètres'!$M:$M,0))&amp;"",""))),0,IF($L3570="Débit",$K3570,IF($P3570=1,-$K3570,0))))</f>
        <v/>
      </c>
      <c r="R3570" s="6" t="str">
        <f>IF($K3570="","",IF($L3570="Crédit",$K3570,-$K3570))</f>
        <v/>
      </c>
      <c r="S3570" s="6" t="str">
        <f>IF($C3570="","",IFERROR(INDEX('Paramètres'!$H:$H,MATCH($C3570,'Paramètres'!$D:$D,0))&amp;"",""))</f>
        <v/>
      </c>
      <c r="T3570" s="6" t="str">
        <f>IF($K3570="","",IF($S3570="",0,IF(ISNUMBER(SEARCH("apport-exterieur",IFERROR(INDEX('Paramètres'!$N:$N,MATCH($D3570,'Paramètres'!$M:$M,0))&amp;"",""))),0,IF(OR(IFERROR(INDEX('Paramètres'!$I:$I,MATCH($C3570,'Paramètres'!$D:$D,0))&amp;"","")="Les deux",IFERROR(INDEX('Paramètres'!$I:$I,MATCH($C3570,'Paramètres'!$D:$D,0))&amp;"","")=IF($P3570=1,"Débit",$L3570)),-IF($P3570=1,-$K3570,$K3570),0))))</f>
        <v/>
      </c>
      <c r="U3570" s="6" t="str">
        <f>IF($K3570="","",IF(ISNUMBER(SEARCH("sortie-epargne",IFERROR(INDEX('Paramètres'!$N:$N,MATCH($D3570,'Paramètres'!$M:$M,0))&amp;"",""))),$K3570,0))</f>
        <v/>
      </c>
      <c r="V3570" s="6" t="str">
        <f>IF(AND($A3570&lt;&gt;"",$O3570=1,$L3570="Débit",N($Q3570)&gt;0,$A3570&gt;=Visualisation!$B$1,$A3570&lt;Visualisation!$D$1),MAX($V$1:V3569)+1,"")</f>
        <v/>
      </c>
    </row>
    <row r="3571" spans="1:22" x14ac:dyDescent="0.25">
      <c r="A3571" s="9"/>
      <c r="E3571" s="10"/>
      <c r="K3571" s="11" t="str">
        <f>IF($E3571="","",ROUND($E3571*IF(ISNA(MATCH($C3571,'Paramètres'!$D:$D,0)),1,IF(INDEX('Paramètres'!$J:$J,MATCH($C3571,'Paramètres'!$D:$D,0))="",1,INDEX('Paramètres'!$J:$J,MATCH($C3571,'Paramètres'!$D:$D,0)))),2))</f>
        <v/>
      </c>
      <c r="L3571" s="6" t="str">
        <f>IF($D3571="","",IF($F3571&lt;&gt;"",$F3571,IF(ISNA(MATCH($D3571,'Paramètres'!$M:$M,0)),"⚠ Type inconnu",IFERROR(INDEX('Paramètres'!$P:$P,MATCH($D3571,'Paramètres'!$M:$M,0))&amp;"",""))))</f>
        <v/>
      </c>
      <c r="M3571" s="6" t="str">
        <f>IF($D3571="","",IF(ISNA(MATCH($D3571,'Paramètres'!$M:$M,0)),"⚠ Type inconnu",IF($L3571="Crédit","",IFERROR(INDEX('Paramètres'!$O:$O,MATCH($D3571,'Paramètres'!$M:$M,0))&amp;"",""))))</f>
        <v/>
      </c>
      <c r="N3571" s="6" t="str">
        <f>IF($D3571="","",IFERROR(INDEX('Paramètres'!$Q:$Q,MATCH($D3571,'Paramètres'!$M:$M,0))&amp;"",""))</f>
        <v/>
      </c>
      <c r="O3571" s="6" t="str">
        <f>IF($A3571="","",IF(OR($J3571&lt;&gt;"x",$A3571&lt;=FinReleve),1,0))</f>
        <v/>
      </c>
      <c r="P3571" s="6" t="str">
        <f>IF($D3571="","",IF(AND($L3571="Crédit",OR(IFERROR(INDEX('Paramètres'!$O:$O,MATCH($D3571,'Paramètres'!$M:$M,0))&amp;"","")&lt;&gt;"",ISNUMBER(SEARCH("remboursement",IFERROR(INDEX('Paramètres'!$N:$N,MATCH($D3571,'Paramètres'!$M:$M,0))&amp;"",""))))),1,0))</f>
        <v/>
      </c>
      <c r="Q3571" s="6" t="str">
        <f>IF($K3571="","",IF(ISNUMBER(SEARCH("transfert-interne",IFERROR(INDEX('Paramètres'!$N:$N,MATCH($D3571,'Paramètres'!$M:$M,0))&amp;"",""))),0,IF($L3571="Débit",$K3571,IF($P3571=1,-$K3571,0))))</f>
        <v/>
      </c>
      <c r="R3571" s="6" t="str">
        <f>IF($K3571="","",IF($L3571="Crédit",$K3571,-$K3571))</f>
        <v/>
      </c>
      <c r="S3571" s="6" t="str">
        <f>IF($C3571="","",IFERROR(INDEX('Paramètres'!$H:$H,MATCH($C3571,'Paramètres'!$D:$D,0))&amp;"",""))</f>
        <v/>
      </c>
      <c r="T3571" s="6" t="str">
        <f>IF($K3571="","",IF($S3571="",0,IF(ISNUMBER(SEARCH("apport-exterieur",IFERROR(INDEX('Paramètres'!$N:$N,MATCH($D3571,'Paramètres'!$M:$M,0))&amp;"",""))),0,IF(OR(IFERROR(INDEX('Paramètres'!$I:$I,MATCH($C3571,'Paramètres'!$D:$D,0))&amp;"","")="Les deux",IFERROR(INDEX('Paramètres'!$I:$I,MATCH($C3571,'Paramètres'!$D:$D,0))&amp;"","")=IF($P3571=1,"Débit",$L3571)),-IF($P3571=1,-$K3571,$K3571),0))))</f>
        <v/>
      </c>
      <c r="U3571" s="6" t="str">
        <f>IF($K3571="","",IF(ISNUMBER(SEARCH("sortie-epargne",IFERROR(INDEX('Paramètres'!$N:$N,MATCH($D3571,'Paramètres'!$M:$M,0))&amp;"",""))),$K3571,0))</f>
        <v/>
      </c>
      <c r="V3571" s="6" t="str">
        <f>IF(AND($A3571&lt;&gt;"",$O3571=1,$L3571="Débit",N($Q3571)&gt;0,$A3571&gt;=Visualisation!$B$1,$A3571&lt;Visualisation!$D$1),MAX($V$1:V3570)+1,"")</f>
        <v/>
      </c>
    </row>
    <row r="3572" spans="1:22" x14ac:dyDescent="0.25">
      <c r="A3572" s="9"/>
      <c r="E3572" s="10"/>
      <c r="K3572" s="11" t="str">
        <f>IF($E3572="","",ROUND($E3572*IF(ISNA(MATCH($C3572,'Paramètres'!$D:$D,0)),1,IF(INDEX('Paramètres'!$J:$J,MATCH($C3572,'Paramètres'!$D:$D,0))="",1,INDEX('Paramètres'!$J:$J,MATCH($C3572,'Paramètres'!$D:$D,0)))),2))</f>
        <v/>
      </c>
      <c r="L3572" s="6" t="str">
        <f>IF($D3572="","",IF($F3572&lt;&gt;"",$F3572,IF(ISNA(MATCH($D3572,'Paramètres'!$M:$M,0)),"⚠ Type inconnu",IFERROR(INDEX('Paramètres'!$P:$P,MATCH($D3572,'Paramètres'!$M:$M,0))&amp;"",""))))</f>
        <v/>
      </c>
      <c r="M3572" s="6" t="str">
        <f>IF($D3572="","",IF(ISNA(MATCH($D3572,'Paramètres'!$M:$M,0)),"⚠ Type inconnu",IF($L3572="Crédit","",IFERROR(INDEX('Paramètres'!$O:$O,MATCH($D3572,'Paramètres'!$M:$M,0))&amp;"",""))))</f>
        <v/>
      </c>
      <c r="N3572" s="6" t="str">
        <f>IF($D3572="","",IFERROR(INDEX('Paramètres'!$Q:$Q,MATCH($D3572,'Paramètres'!$M:$M,0))&amp;"",""))</f>
        <v/>
      </c>
      <c r="O3572" s="6" t="str">
        <f>IF($A3572="","",IF(OR($J3572&lt;&gt;"x",$A3572&lt;=FinReleve),1,0))</f>
        <v/>
      </c>
      <c r="P3572" s="6" t="str">
        <f>IF($D3572="","",IF(AND($L3572="Crédit",OR(IFERROR(INDEX('Paramètres'!$O:$O,MATCH($D3572,'Paramètres'!$M:$M,0))&amp;"","")&lt;&gt;"",ISNUMBER(SEARCH("remboursement",IFERROR(INDEX('Paramètres'!$N:$N,MATCH($D3572,'Paramètres'!$M:$M,0))&amp;"",""))))),1,0))</f>
        <v/>
      </c>
      <c r="Q3572" s="6" t="str">
        <f>IF($K3572="","",IF(ISNUMBER(SEARCH("transfert-interne",IFERROR(INDEX('Paramètres'!$N:$N,MATCH($D3572,'Paramètres'!$M:$M,0))&amp;"",""))),0,IF($L3572="Débit",$K3572,IF($P3572=1,-$K3572,0))))</f>
        <v/>
      </c>
      <c r="R3572" s="6" t="str">
        <f>IF($K3572="","",IF($L3572="Crédit",$K3572,-$K3572))</f>
        <v/>
      </c>
      <c r="S3572" s="6" t="str">
        <f>IF($C3572="","",IFERROR(INDEX('Paramètres'!$H:$H,MATCH($C3572,'Paramètres'!$D:$D,0))&amp;"",""))</f>
        <v/>
      </c>
      <c r="T3572" s="6" t="str">
        <f>IF($K3572="","",IF($S3572="",0,IF(ISNUMBER(SEARCH("apport-exterieur",IFERROR(INDEX('Paramètres'!$N:$N,MATCH($D3572,'Paramètres'!$M:$M,0))&amp;"",""))),0,IF(OR(IFERROR(INDEX('Paramètres'!$I:$I,MATCH($C3572,'Paramètres'!$D:$D,0))&amp;"","")="Les deux",IFERROR(INDEX('Paramètres'!$I:$I,MATCH($C3572,'Paramètres'!$D:$D,0))&amp;"","")=IF($P3572=1,"Débit",$L3572)),-IF($P3572=1,-$K3572,$K3572),0))))</f>
        <v/>
      </c>
      <c r="U3572" s="6" t="str">
        <f>IF($K3572="","",IF(ISNUMBER(SEARCH("sortie-epargne",IFERROR(INDEX('Paramètres'!$N:$N,MATCH($D3572,'Paramètres'!$M:$M,0))&amp;"",""))),$K3572,0))</f>
        <v/>
      </c>
      <c r="V3572" s="6" t="str">
        <f>IF(AND($A3572&lt;&gt;"",$O3572=1,$L3572="Débit",N($Q3572)&gt;0,$A3572&gt;=Visualisation!$B$1,$A3572&lt;Visualisation!$D$1),MAX($V$1:V3571)+1,"")</f>
        <v/>
      </c>
    </row>
    <row r="3573" spans="1:22" x14ac:dyDescent="0.25">
      <c r="A3573" s="9"/>
      <c r="E3573" s="10"/>
      <c r="K3573" s="11" t="str">
        <f>IF($E3573="","",ROUND($E3573*IF(ISNA(MATCH($C3573,'Paramètres'!$D:$D,0)),1,IF(INDEX('Paramètres'!$J:$J,MATCH($C3573,'Paramètres'!$D:$D,0))="",1,INDEX('Paramètres'!$J:$J,MATCH($C3573,'Paramètres'!$D:$D,0)))),2))</f>
        <v/>
      </c>
      <c r="L3573" s="6" t="str">
        <f>IF($D3573="","",IF($F3573&lt;&gt;"",$F3573,IF(ISNA(MATCH($D3573,'Paramètres'!$M:$M,0)),"⚠ Type inconnu",IFERROR(INDEX('Paramètres'!$P:$P,MATCH($D3573,'Paramètres'!$M:$M,0))&amp;"",""))))</f>
        <v/>
      </c>
      <c r="M3573" s="6" t="str">
        <f>IF($D3573="","",IF(ISNA(MATCH($D3573,'Paramètres'!$M:$M,0)),"⚠ Type inconnu",IF($L3573="Crédit","",IFERROR(INDEX('Paramètres'!$O:$O,MATCH($D3573,'Paramètres'!$M:$M,0))&amp;"",""))))</f>
        <v/>
      </c>
      <c r="N3573" s="6" t="str">
        <f>IF($D3573="","",IFERROR(INDEX('Paramètres'!$Q:$Q,MATCH($D3573,'Paramètres'!$M:$M,0))&amp;"",""))</f>
        <v/>
      </c>
      <c r="O3573" s="6" t="str">
        <f>IF($A3573="","",IF(OR($J3573&lt;&gt;"x",$A3573&lt;=FinReleve),1,0))</f>
        <v/>
      </c>
      <c r="P3573" s="6" t="str">
        <f>IF($D3573="","",IF(AND($L3573="Crédit",OR(IFERROR(INDEX('Paramètres'!$O:$O,MATCH($D3573,'Paramètres'!$M:$M,0))&amp;"","")&lt;&gt;"",ISNUMBER(SEARCH("remboursement",IFERROR(INDEX('Paramètres'!$N:$N,MATCH($D3573,'Paramètres'!$M:$M,0))&amp;"",""))))),1,0))</f>
        <v/>
      </c>
      <c r="Q3573" s="6" t="str">
        <f>IF($K3573="","",IF(ISNUMBER(SEARCH("transfert-interne",IFERROR(INDEX('Paramètres'!$N:$N,MATCH($D3573,'Paramètres'!$M:$M,0))&amp;"",""))),0,IF($L3573="Débit",$K3573,IF($P3573=1,-$K3573,0))))</f>
        <v/>
      </c>
      <c r="R3573" s="6" t="str">
        <f>IF($K3573="","",IF($L3573="Crédit",$K3573,-$K3573))</f>
        <v/>
      </c>
      <c r="S3573" s="6" t="str">
        <f>IF($C3573="","",IFERROR(INDEX('Paramètres'!$H:$H,MATCH($C3573,'Paramètres'!$D:$D,0))&amp;"",""))</f>
        <v/>
      </c>
      <c r="T3573" s="6" t="str">
        <f>IF($K3573="","",IF($S3573="",0,IF(ISNUMBER(SEARCH("apport-exterieur",IFERROR(INDEX('Paramètres'!$N:$N,MATCH($D3573,'Paramètres'!$M:$M,0))&amp;"",""))),0,IF(OR(IFERROR(INDEX('Paramètres'!$I:$I,MATCH($C3573,'Paramètres'!$D:$D,0))&amp;"","")="Les deux",IFERROR(INDEX('Paramètres'!$I:$I,MATCH($C3573,'Paramètres'!$D:$D,0))&amp;"","")=IF($P3573=1,"Débit",$L3573)),-IF($P3573=1,-$K3573,$K3573),0))))</f>
        <v/>
      </c>
      <c r="U3573" s="6" t="str">
        <f>IF($K3573="","",IF(ISNUMBER(SEARCH("sortie-epargne",IFERROR(INDEX('Paramètres'!$N:$N,MATCH($D3573,'Paramètres'!$M:$M,0))&amp;"",""))),$K3573,0))</f>
        <v/>
      </c>
      <c r="V3573" s="6" t="str">
        <f>IF(AND($A3573&lt;&gt;"",$O3573=1,$L3573="Débit",N($Q3573)&gt;0,$A3573&gt;=Visualisation!$B$1,$A3573&lt;Visualisation!$D$1),MAX($V$1:V3572)+1,"")</f>
        <v/>
      </c>
    </row>
    <row r="3574" spans="1:22" x14ac:dyDescent="0.25">
      <c r="A3574" s="9"/>
      <c r="E3574" s="10"/>
      <c r="K3574" s="11" t="str">
        <f>IF($E3574="","",ROUND($E3574*IF(ISNA(MATCH($C3574,'Paramètres'!$D:$D,0)),1,IF(INDEX('Paramètres'!$J:$J,MATCH($C3574,'Paramètres'!$D:$D,0))="",1,INDEX('Paramètres'!$J:$J,MATCH($C3574,'Paramètres'!$D:$D,0)))),2))</f>
        <v/>
      </c>
      <c r="L3574" s="6" t="str">
        <f>IF($D3574="","",IF($F3574&lt;&gt;"",$F3574,IF(ISNA(MATCH($D3574,'Paramètres'!$M:$M,0)),"⚠ Type inconnu",IFERROR(INDEX('Paramètres'!$P:$P,MATCH($D3574,'Paramètres'!$M:$M,0))&amp;"",""))))</f>
        <v/>
      </c>
      <c r="M3574" s="6" t="str">
        <f>IF($D3574="","",IF(ISNA(MATCH($D3574,'Paramètres'!$M:$M,0)),"⚠ Type inconnu",IF($L3574="Crédit","",IFERROR(INDEX('Paramètres'!$O:$O,MATCH($D3574,'Paramètres'!$M:$M,0))&amp;"",""))))</f>
        <v/>
      </c>
      <c r="N3574" s="6" t="str">
        <f>IF($D3574="","",IFERROR(INDEX('Paramètres'!$Q:$Q,MATCH($D3574,'Paramètres'!$M:$M,0))&amp;"",""))</f>
        <v/>
      </c>
      <c r="O3574" s="6" t="str">
        <f>IF($A3574="","",IF(OR($J3574&lt;&gt;"x",$A3574&lt;=FinReleve),1,0))</f>
        <v/>
      </c>
      <c r="P3574" s="6" t="str">
        <f>IF($D3574="","",IF(AND($L3574="Crédit",OR(IFERROR(INDEX('Paramètres'!$O:$O,MATCH($D3574,'Paramètres'!$M:$M,0))&amp;"","")&lt;&gt;"",ISNUMBER(SEARCH("remboursement",IFERROR(INDEX('Paramètres'!$N:$N,MATCH($D3574,'Paramètres'!$M:$M,0))&amp;"",""))))),1,0))</f>
        <v/>
      </c>
      <c r="Q3574" s="6" t="str">
        <f>IF($K3574="","",IF(ISNUMBER(SEARCH("transfert-interne",IFERROR(INDEX('Paramètres'!$N:$N,MATCH($D3574,'Paramètres'!$M:$M,0))&amp;"",""))),0,IF($L3574="Débit",$K3574,IF($P3574=1,-$K3574,0))))</f>
        <v/>
      </c>
      <c r="R3574" s="6" t="str">
        <f>IF($K3574="","",IF($L3574="Crédit",$K3574,-$K3574))</f>
        <v/>
      </c>
      <c r="S3574" s="6" t="str">
        <f>IF($C3574="","",IFERROR(INDEX('Paramètres'!$H:$H,MATCH($C3574,'Paramètres'!$D:$D,0))&amp;"",""))</f>
        <v/>
      </c>
      <c r="T3574" s="6" t="str">
        <f>IF($K3574="","",IF($S3574="",0,IF(ISNUMBER(SEARCH("apport-exterieur",IFERROR(INDEX('Paramètres'!$N:$N,MATCH($D3574,'Paramètres'!$M:$M,0))&amp;"",""))),0,IF(OR(IFERROR(INDEX('Paramètres'!$I:$I,MATCH($C3574,'Paramètres'!$D:$D,0))&amp;"","")="Les deux",IFERROR(INDEX('Paramètres'!$I:$I,MATCH($C3574,'Paramètres'!$D:$D,0))&amp;"","")=IF($P3574=1,"Débit",$L3574)),-IF($P3574=1,-$K3574,$K3574),0))))</f>
        <v/>
      </c>
      <c r="U3574" s="6" t="str">
        <f>IF($K3574="","",IF(ISNUMBER(SEARCH("sortie-epargne",IFERROR(INDEX('Paramètres'!$N:$N,MATCH($D3574,'Paramètres'!$M:$M,0))&amp;"",""))),$K3574,0))</f>
        <v/>
      </c>
      <c r="V3574" s="6" t="str">
        <f>IF(AND($A3574&lt;&gt;"",$O3574=1,$L3574="Débit",N($Q3574)&gt;0,$A3574&gt;=Visualisation!$B$1,$A3574&lt;Visualisation!$D$1),MAX($V$1:V3573)+1,"")</f>
        <v/>
      </c>
    </row>
    <row r="3575" spans="1:22" x14ac:dyDescent="0.25">
      <c r="A3575" s="9"/>
      <c r="E3575" s="10"/>
      <c r="K3575" s="11" t="str">
        <f>IF($E3575="","",ROUND($E3575*IF(ISNA(MATCH($C3575,'Paramètres'!$D:$D,0)),1,IF(INDEX('Paramètres'!$J:$J,MATCH($C3575,'Paramètres'!$D:$D,0))="",1,INDEX('Paramètres'!$J:$J,MATCH($C3575,'Paramètres'!$D:$D,0)))),2))</f>
        <v/>
      </c>
      <c r="L3575" s="6" t="str">
        <f>IF($D3575="","",IF($F3575&lt;&gt;"",$F3575,IF(ISNA(MATCH($D3575,'Paramètres'!$M:$M,0)),"⚠ Type inconnu",IFERROR(INDEX('Paramètres'!$P:$P,MATCH($D3575,'Paramètres'!$M:$M,0))&amp;"",""))))</f>
        <v/>
      </c>
      <c r="M3575" s="6" t="str">
        <f>IF($D3575="","",IF(ISNA(MATCH($D3575,'Paramètres'!$M:$M,0)),"⚠ Type inconnu",IF($L3575="Crédit","",IFERROR(INDEX('Paramètres'!$O:$O,MATCH($D3575,'Paramètres'!$M:$M,0))&amp;"",""))))</f>
        <v/>
      </c>
      <c r="N3575" s="6" t="str">
        <f>IF($D3575="","",IFERROR(INDEX('Paramètres'!$Q:$Q,MATCH($D3575,'Paramètres'!$M:$M,0))&amp;"",""))</f>
        <v/>
      </c>
      <c r="O3575" s="6" t="str">
        <f>IF($A3575="","",IF(OR($J3575&lt;&gt;"x",$A3575&lt;=FinReleve),1,0))</f>
        <v/>
      </c>
      <c r="P3575" s="6" t="str">
        <f>IF($D3575="","",IF(AND($L3575="Crédit",OR(IFERROR(INDEX('Paramètres'!$O:$O,MATCH($D3575,'Paramètres'!$M:$M,0))&amp;"","")&lt;&gt;"",ISNUMBER(SEARCH("remboursement",IFERROR(INDEX('Paramètres'!$N:$N,MATCH($D3575,'Paramètres'!$M:$M,0))&amp;"",""))))),1,0))</f>
        <v/>
      </c>
      <c r="Q3575" s="6" t="str">
        <f>IF($K3575="","",IF(ISNUMBER(SEARCH("transfert-interne",IFERROR(INDEX('Paramètres'!$N:$N,MATCH($D3575,'Paramètres'!$M:$M,0))&amp;"",""))),0,IF($L3575="Débit",$K3575,IF($P3575=1,-$K3575,0))))</f>
        <v/>
      </c>
      <c r="R3575" s="6" t="str">
        <f>IF($K3575="","",IF($L3575="Crédit",$K3575,-$K3575))</f>
        <v/>
      </c>
      <c r="S3575" s="6" t="str">
        <f>IF($C3575="","",IFERROR(INDEX('Paramètres'!$H:$H,MATCH($C3575,'Paramètres'!$D:$D,0))&amp;"",""))</f>
        <v/>
      </c>
      <c r="T3575" s="6" t="str">
        <f>IF($K3575="","",IF($S3575="",0,IF(ISNUMBER(SEARCH("apport-exterieur",IFERROR(INDEX('Paramètres'!$N:$N,MATCH($D3575,'Paramètres'!$M:$M,0))&amp;"",""))),0,IF(OR(IFERROR(INDEX('Paramètres'!$I:$I,MATCH($C3575,'Paramètres'!$D:$D,0))&amp;"","")="Les deux",IFERROR(INDEX('Paramètres'!$I:$I,MATCH($C3575,'Paramètres'!$D:$D,0))&amp;"","")=IF($P3575=1,"Débit",$L3575)),-IF($P3575=1,-$K3575,$K3575),0))))</f>
        <v/>
      </c>
      <c r="U3575" s="6" t="str">
        <f>IF($K3575="","",IF(ISNUMBER(SEARCH("sortie-epargne",IFERROR(INDEX('Paramètres'!$N:$N,MATCH($D3575,'Paramètres'!$M:$M,0))&amp;"",""))),$K3575,0))</f>
        <v/>
      </c>
      <c r="V3575" s="6" t="str">
        <f>IF(AND($A3575&lt;&gt;"",$O3575=1,$L3575="Débit",N($Q3575)&gt;0,$A3575&gt;=Visualisation!$B$1,$A3575&lt;Visualisation!$D$1),MAX($V$1:V3574)+1,"")</f>
        <v/>
      </c>
    </row>
    <row r="3576" spans="1:22" x14ac:dyDescent="0.25">
      <c r="A3576" s="9"/>
      <c r="E3576" s="10"/>
      <c r="K3576" s="11" t="str">
        <f>IF($E3576="","",ROUND($E3576*IF(ISNA(MATCH($C3576,'Paramètres'!$D:$D,0)),1,IF(INDEX('Paramètres'!$J:$J,MATCH($C3576,'Paramètres'!$D:$D,0))="",1,INDEX('Paramètres'!$J:$J,MATCH($C3576,'Paramètres'!$D:$D,0)))),2))</f>
        <v/>
      </c>
      <c r="L3576" s="6" t="str">
        <f>IF($D3576="","",IF($F3576&lt;&gt;"",$F3576,IF(ISNA(MATCH($D3576,'Paramètres'!$M:$M,0)),"⚠ Type inconnu",IFERROR(INDEX('Paramètres'!$P:$P,MATCH($D3576,'Paramètres'!$M:$M,0))&amp;"",""))))</f>
        <v/>
      </c>
      <c r="M3576" s="6" t="str">
        <f>IF($D3576="","",IF(ISNA(MATCH($D3576,'Paramètres'!$M:$M,0)),"⚠ Type inconnu",IF($L3576="Crédit","",IFERROR(INDEX('Paramètres'!$O:$O,MATCH($D3576,'Paramètres'!$M:$M,0))&amp;"",""))))</f>
        <v/>
      </c>
      <c r="N3576" s="6" t="str">
        <f>IF($D3576="","",IFERROR(INDEX('Paramètres'!$Q:$Q,MATCH($D3576,'Paramètres'!$M:$M,0))&amp;"",""))</f>
        <v/>
      </c>
      <c r="O3576" s="6" t="str">
        <f>IF($A3576="","",IF(OR($J3576&lt;&gt;"x",$A3576&lt;=FinReleve),1,0))</f>
        <v/>
      </c>
      <c r="P3576" s="6" t="str">
        <f>IF($D3576="","",IF(AND($L3576="Crédit",OR(IFERROR(INDEX('Paramètres'!$O:$O,MATCH($D3576,'Paramètres'!$M:$M,0))&amp;"","")&lt;&gt;"",ISNUMBER(SEARCH("remboursement",IFERROR(INDEX('Paramètres'!$N:$N,MATCH($D3576,'Paramètres'!$M:$M,0))&amp;"",""))))),1,0))</f>
        <v/>
      </c>
      <c r="Q3576" s="6" t="str">
        <f>IF($K3576="","",IF(ISNUMBER(SEARCH("transfert-interne",IFERROR(INDEX('Paramètres'!$N:$N,MATCH($D3576,'Paramètres'!$M:$M,0))&amp;"",""))),0,IF($L3576="Débit",$K3576,IF($P3576=1,-$K3576,0))))</f>
        <v/>
      </c>
      <c r="R3576" s="6" t="str">
        <f>IF($K3576="","",IF($L3576="Crédit",$K3576,-$K3576))</f>
        <v/>
      </c>
      <c r="S3576" s="6" t="str">
        <f>IF($C3576="","",IFERROR(INDEX('Paramètres'!$H:$H,MATCH($C3576,'Paramètres'!$D:$D,0))&amp;"",""))</f>
        <v/>
      </c>
      <c r="T3576" s="6" t="str">
        <f>IF($K3576="","",IF($S3576="",0,IF(ISNUMBER(SEARCH("apport-exterieur",IFERROR(INDEX('Paramètres'!$N:$N,MATCH($D3576,'Paramètres'!$M:$M,0))&amp;"",""))),0,IF(OR(IFERROR(INDEX('Paramètres'!$I:$I,MATCH($C3576,'Paramètres'!$D:$D,0))&amp;"","")="Les deux",IFERROR(INDEX('Paramètres'!$I:$I,MATCH($C3576,'Paramètres'!$D:$D,0))&amp;"","")=IF($P3576=1,"Débit",$L3576)),-IF($P3576=1,-$K3576,$K3576),0))))</f>
        <v/>
      </c>
      <c r="U3576" s="6" t="str">
        <f>IF($K3576="","",IF(ISNUMBER(SEARCH("sortie-epargne",IFERROR(INDEX('Paramètres'!$N:$N,MATCH($D3576,'Paramètres'!$M:$M,0))&amp;"",""))),$K3576,0))</f>
        <v/>
      </c>
      <c r="V3576" s="6" t="str">
        <f>IF(AND($A3576&lt;&gt;"",$O3576=1,$L3576="Débit",N($Q3576)&gt;0,$A3576&gt;=Visualisation!$B$1,$A3576&lt;Visualisation!$D$1),MAX($V$1:V3575)+1,"")</f>
        <v/>
      </c>
    </row>
    <row r="3577" spans="1:22" x14ac:dyDescent="0.25">
      <c r="A3577" s="9"/>
      <c r="E3577" s="10"/>
      <c r="K3577" s="11" t="str">
        <f>IF($E3577="","",ROUND($E3577*IF(ISNA(MATCH($C3577,'Paramètres'!$D:$D,0)),1,IF(INDEX('Paramètres'!$J:$J,MATCH($C3577,'Paramètres'!$D:$D,0))="",1,INDEX('Paramètres'!$J:$J,MATCH($C3577,'Paramètres'!$D:$D,0)))),2))</f>
        <v/>
      </c>
      <c r="L3577" s="6" t="str">
        <f>IF($D3577="","",IF($F3577&lt;&gt;"",$F3577,IF(ISNA(MATCH($D3577,'Paramètres'!$M:$M,0)),"⚠ Type inconnu",IFERROR(INDEX('Paramètres'!$P:$P,MATCH($D3577,'Paramètres'!$M:$M,0))&amp;"",""))))</f>
        <v/>
      </c>
      <c r="M3577" s="6" t="str">
        <f>IF($D3577="","",IF(ISNA(MATCH($D3577,'Paramètres'!$M:$M,0)),"⚠ Type inconnu",IF($L3577="Crédit","",IFERROR(INDEX('Paramètres'!$O:$O,MATCH($D3577,'Paramètres'!$M:$M,0))&amp;"",""))))</f>
        <v/>
      </c>
      <c r="N3577" s="6" t="str">
        <f>IF($D3577="","",IFERROR(INDEX('Paramètres'!$Q:$Q,MATCH($D3577,'Paramètres'!$M:$M,0))&amp;"",""))</f>
        <v/>
      </c>
      <c r="O3577" s="6" t="str">
        <f>IF($A3577="","",IF(OR($J3577&lt;&gt;"x",$A3577&lt;=FinReleve),1,0))</f>
        <v/>
      </c>
      <c r="P3577" s="6" t="str">
        <f>IF($D3577="","",IF(AND($L3577="Crédit",OR(IFERROR(INDEX('Paramètres'!$O:$O,MATCH($D3577,'Paramètres'!$M:$M,0))&amp;"","")&lt;&gt;"",ISNUMBER(SEARCH("remboursement",IFERROR(INDEX('Paramètres'!$N:$N,MATCH($D3577,'Paramètres'!$M:$M,0))&amp;"",""))))),1,0))</f>
        <v/>
      </c>
      <c r="Q3577" s="6" t="str">
        <f>IF($K3577="","",IF(ISNUMBER(SEARCH("transfert-interne",IFERROR(INDEX('Paramètres'!$N:$N,MATCH($D3577,'Paramètres'!$M:$M,0))&amp;"",""))),0,IF($L3577="Débit",$K3577,IF($P3577=1,-$K3577,0))))</f>
        <v/>
      </c>
      <c r="R3577" s="6" t="str">
        <f>IF($K3577="","",IF($L3577="Crédit",$K3577,-$K3577))</f>
        <v/>
      </c>
      <c r="S3577" s="6" t="str">
        <f>IF($C3577="","",IFERROR(INDEX('Paramètres'!$H:$H,MATCH($C3577,'Paramètres'!$D:$D,0))&amp;"",""))</f>
        <v/>
      </c>
      <c r="T3577" s="6" t="str">
        <f>IF($K3577="","",IF($S3577="",0,IF(ISNUMBER(SEARCH("apport-exterieur",IFERROR(INDEX('Paramètres'!$N:$N,MATCH($D3577,'Paramètres'!$M:$M,0))&amp;"",""))),0,IF(OR(IFERROR(INDEX('Paramètres'!$I:$I,MATCH($C3577,'Paramètres'!$D:$D,0))&amp;"","")="Les deux",IFERROR(INDEX('Paramètres'!$I:$I,MATCH($C3577,'Paramètres'!$D:$D,0))&amp;"","")=IF($P3577=1,"Débit",$L3577)),-IF($P3577=1,-$K3577,$K3577),0))))</f>
        <v/>
      </c>
      <c r="U3577" s="6" t="str">
        <f>IF($K3577="","",IF(ISNUMBER(SEARCH("sortie-epargne",IFERROR(INDEX('Paramètres'!$N:$N,MATCH($D3577,'Paramètres'!$M:$M,0))&amp;"",""))),$K3577,0))</f>
        <v/>
      </c>
      <c r="V3577" s="6" t="str">
        <f>IF(AND($A3577&lt;&gt;"",$O3577=1,$L3577="Débit",N($Q3577)&gt;0,$A3577&gt;=Visualisation!$B$1,$A3577&lt;Visualisation!$D$1),MAX($V$1:V3576)+1,"")</f>
        <v/>
      </c>
    </row>
    <row r="3578" spans="1:22" x14ac:dyDescent="0.25">
      <c r="A3578" s="9"/>
      <c r="E3578" s="10"/>
      <c r="K3578" s="11" t="str">
        <f>IF($E3578="","",ROUND($E3578*IF(ISNA(MATCH($C3578,'Paramètres'!$D:$D,0)),1,IF(INDEX('Paramètres'!$J:$J,MATCH($C3578,'Paramètres'!$D:$D,0))="",1,INDEX('Paramètres'!$J:$J,MATCH($C3578,'Paramètres'!$D:$D,0)))),2))</f>
        <v/>
      </c>
      <c r="L3578" s="6" t="str">
        <f>IF($D3578="","",IF($F3578&lt;&gt;"",$F3578,IF(ISNA(MATCH($D3578,'Paramètres'!$M:$M,0)),"⚠ Type inconnu",IFERROR(INDEX('Paramètres'!$P:$P,MATCH($D3578,'Paramètres'!$M:$M,0))&amp;"",""))))</f>
        <v/>
      </c>
      <c r="M3578" s="6" t="str">
        <f>IF($D3578="","",IF(ISNA(MATCH($D3578,'Paramètres'!$M:$M,0)),"⚠ Type inconnu",IF($L3578="Crédit","",IFERROR(INDEX('Paramètres'!$O:$O,MATCH($D3578,'Paramètres'!$M:$M,0))&amp;"",""))))</f>
        <v/>
      </c>
      <c r="N3578" s="6" t="str">
        <f>IF($D3578="","",IFERROR(INDEX('Paramètres'!$Q:$Q,MATCH($D3578,'Paramètres'!$M:$M,0))&amp;"",""))</f>
        <v/>
      </c>
      <c r="O3578" s="6" t="str">
        <f>IF($A3578="","",IF(OR($J3578&lt;&gt;"x",$A3578&lt;=FinReleve),1,0))</f>
        <v/>
      </c>
      <c r="P3578" s="6" t="str">
        <f>IF($D3578="","",IF(AND($L3578="Crédit",OR(IFERROR(INDEX('Paramètres'!$O:$O,MATCH($D3578,'Paramètres'!$M:$M,0))&amp;"","")&lt;&gt;"",ISNUMBER(SEARCH("remboursement",IFERROR(INDEX('Paramètres'!$N:$N,MATCH($D3578,'Paramètres'!$M:$M,0))&amp;"",""))))),1,0))</f>
        <v/>
      </c>
      <c r="Q3578" s="6" t="str">
        <f>IF($K3578="","",IF(ISNUMBER(SEARCH("transfert-interne",IFERROR(INDEX('Paramètres'!$N:$N,MATCH($D3578,'Paramètres'!$M:$M,0))&amp;"",""))),0,IF($L3578="Débit",$K3578,IF($P3578=1,-$K3578,0))))</f>
        <v/>
      </c>
      <c r="R3578" s="6" t="str">
        <f>IF($K3578="","",IF($L3578="Crédit",$K3578,-$K3578))</f>
        <v/>
      </c>
      <c r="S3578" s="6" t="str">
        <f>IF($C3578="","",IFERROR(INDEX('Paramètres'!$H:$H,MATCH($C3578,'Paramètres'!$D:$D,0))&amp;"",""))</f>
        <v/>
      </c>
      <c r="T3578" s="6" t="str">
        <f>IF($K3578="","",IF($S3578="",0,IF(ISNUMBER(SEARCH("apport-exterieur",IFERROR(INDEX('Paramètres'!$N:$N,MATCH($D3578,'Paramètres'!$M:$M,0))&amp;"",""))),0,IF(OR(IFERROR(INDEX('Paramètres'!$I:$I,MATCH($C3578,'Paramètres'!$D:$D,0))&amp;"","")="Les deux",IFERROR(INDEX('Paramètres'!$I:$I,MATCH($C3578,'Paramètres'!$D:$D,0))&amp;"","")=IF($P3578=1,"Débit",$L3578)),-IF($P3578=1,-$K3578,$K3578),0))))</f>
        <v/>
      </c>
      <c r="U3578" s="6" t="str">
        <f>IF($K3578="","",IF(ISNUMBER(SEARCH("sortie-epargne",IFERROR(INDEX('Paramètres'!$N:$N,MATCH($D3578,'Paramètres'!$M:$M,0))&amp;"",""))),$K3578,0))</f>
        <v/>
      </c>
      <c r="V3578" s="6" t="str">
        <f>IF(AND($A3578&lt;&gt;"",$O3578=1,$L3578="Débit",N($Q3578)&gt;0,$A3578&gt;=Visualisation!$B$1,$A3578&lt;Visualisation!$D$1),MAX($V$1:V3577)+1,"")</f>
        <v/>
      </c>
    </row>
    <row r="3579" spans="1:22" x14ac:dyDescent="0.25">
      <c r="A3579" s="9"/>
      <c r="E3579" s="10"/>
      <c r="K3579" s="11" t="str">
        <f>IF($E3579="","",ROUND($E3579*IF(ISNA(MATCH($C3579,'Paramètres'!$D:$D,0)),1,IF(INDEX('Paramètres'!$J:$J,MATCH($C3579,'Paramètres'!$D:$D,0))="",1,INDEX('Paramètres'!$J:$J,MATCH($C3579,'Paramètres'!$D:$D,0)))),2))</f>
        <v/>
      </c>
      <c r="L3579" s="6" t="str">
        <f>IF($D3579="","",IF($F3579&lt;&gt;"",$F3579,IF(ISNA(MATCH($D3579,'Paramètres'!$M:$M,0)),"⚠ Type inconnu",IFERROR(INDEX('Paramètres'!$P:$P,MATCH($D3579,'Paramètres'!$M:$M,0))&amp;"",""))))</f>
        <v/>
      </c>
      <c r="M3579" s="6" t="str">
        <f>IF($D3579="","",IF(ISNA(MATCH($D3579,'Paramètres'!$M:$M,0)),"⚠ Type inconnu",IF($L3579="Crédit","",IFERROR(INDEX('Paramètres'!$O:$O,MATCH($D3579,'Paramètres'!$M:$M,0))&amp;"",""))))</f>
        <v/>
      </c>
      <c r="N3579" s="6" t="str">
        <f>IF($D3579="","",IFERROR(INDEX('Paramètres'!$Q:$Q,MATCH($D3579,'Paramètres'!$M:$M,0))&amp;"",""))</f>
        <v/>
      </c>
      <c r="O3579" s="6" t="str">
        <f>IF($A3579="","",IF(OR($J3579&lt;&gt;"x",$A3579&lt;=FinReleve),1,0))</f>
        <v/>
      </c>
      <c r="P3579" s="6" t="str">
        <f>IF($D3579="","",IF(AND($L3579="Crédit",OR(IFERROR(INDEX('Paramètres'!$O:$O,MATCH($D3579,'Paramètres'!$M:$M,0))&amp;"","")&lt;&gt;"",ISNUMBER(SEARCH("remboursement",IFERROR(INDEX('Paramètres'!$N:$N,MATCH($D3579,'Paramètres'!$M:$M,0))&amp;"",""))))),1,0))</f>
        <v/>
      </c>
      <c r="Q3579" s="6" t="str">
        <f>IF($K3579="","",IF(ISNUMBER(SEARCH("transfert-interne",IFERROR(INDEX('Paramètres'!$N:$N,MATCH($D3579,'Paramètres'!$M:$M,0))&amp;"",""))),0,IF($L3579="Débit",$K3579,IF($P3579=1,-$K3579,0))))</f>
        <v/>
      </c>
      <c r="R3579" s="6" t="str">
        <f>IF($K3579="","",IF($L3579="Crédit",$K3579,-$K3579))</f>
        <v/>
      </c>
      <c r="S3579" s="6" t="str">
        <f>IF($C3579="","",IFERROR(INDEX('Paramètres'!$H:$H,MATCH($C3579,'Paramètres'!$D:$D,0))&amp;"",""))</f>
        <v/>
      </c>
      <c r="T3579" s="6" t="str">
        <f>IF($K3579="","",IF($S3579="",0,IF(ISNUMBER(SEARCH("apport-exterieur",IFERROR(INDEX('Paramètres'!$N:$N,MATCH($D3579,'Paramètres'!$M:$M,0))&amp;"",""))),0,IF(OR(IFERROR(INDEX('Paramètres'!$I:$I,MATCH($C3579,'Paramètres'!$D:$D,0))&amp;"","")="Les deux",IFERROR(INDEX('Paramètres'!$I:$I,MATCH($C3579,'Paramètres'!$D:$D,0))&amp;"","")=IF($P3579=1,"Débit",$L3579)),-IF($P3579=1,-$K3579,$K3579),0))))</f>
        <v/>
      </c>
      <c r="U3579" s="6" t="str">
        <f>IF($K3579="","",IF(ISNUMBER(SEARCH("sortie-epargne",IFERROR(INDEX('Paramètres'!$N:$N,MATCH($D3579,'Paramètres'!$M:$M,0))&amp;"",""))),$K3579,0))</f>
        <v/>
      </c>
      <c r="V3579" s="6" t="str">
        <f>IF(AND($A3579&lt;&gt;"",$O3579=1,$L3579="Débit",N($Q3579)&gt;0,$A3579&gt;=Visualisation!$B$1,$A3579&lt;Visualisation!$D$1),MAX($V$1:V3578)+1,"")</f>
        <v/>
      </c>
    </row>
    <row r="3580" spans="1:22" x14ac:dyDescent="0.25">
      <c r="A3580" s="9"/>
      <c r="E3580" s="10"/>
      <c r="K3580" s="11" t="str">
        <f>IF($E3580="","",ROUND($E3580*IF(ISNA(MATCH($C3580,'Paramètres'!$D:$D,0)),1,IF(INDEX('Paramètres'!$J:$J,MATCH($C3580,'Paramètres'!$D:$D,0))="",1,INDEX('Paramètres'!$J:$J,MATCH($C3580,'Paramètres'!$D:$D,0)))),2))</f>
        <v/>
      </c>
      <c r="L3580" s="6" t="str">
        <f>IF($D3580="","",IF($F3580&lt;&gt;"",$F3580,IF(ISNA(MATCH($D3580,'Paramètres'!$M:$M,0)),"⚠ Type inconnu",IFERROR(INDEX('Paramètres'!$P:$P,MATCH($D3580,'Paramètres'!$M:$M,0))&amp;"",""))))</f>
        <v/>
      </c>
      <c r="M3580" s="6" t="str">
        <f>IF($D3580="","",IF(ISNA(MATCH($D3580,'Paramètres'!$M:$M,0)),"⚠ Type inconnu",IF($L3580="Crédit","",IFERROR(INDEX('Paramètres'!$O:$O,MATCH($D3580,'Paramètres'!$M:$M,0))&amp;"",""))))</f>
        <v/>
      </c>
      <c r="N3580" s="6" t="str">
        <f>IF($D3580="","",IFERROR(INDEX('Paramètres'!$Q:$Q,MATCH($D3580,'Paramètres'!$M:$M,0))&amp;"",""))</f>
        <v/>
      </c>
      <c r="O3580" s="6" t="str">
        <f>IF($A3580="","",IF(OR($J3580&lt;&gt;"x",$A3580&lt;=FinReleve),1,0))</f>
        <v/>
      </c>
      <c r="P3580" s="6" t="str">
        <f>IF($D3580="","",IF(AND($L3580="Crédit",OR(IFERROR(INDEX('Paramètres'!$O:$O,MATCH($D3580,'Paramètres'!$M:$M,0))&amp;"","")&lt;&gt;"",ISNUMBER(SEARCH("remboursement",IFERROR(INDEX('Paramètres'!$N:$N,MATCH($D3580,'Paramètres'!$M:$M,0))&amp;"",""))))),1,0))</f>
        <v/>
      </c>
      <c r="Q3580" s="6" t="str">
        <f>IF($K3580="","",IF(ISNUMBER(SEARCH("transfert-interne",IFERROR(INDEX('Paramètres'!$N:$N,MATCH($D3580,'Paramètres'!$M:$M,0))&amp;"",""))),0,IF($L3580="Débit",$K3580,IF($P3580=1,-$K3580,0))))</f>
        <v/>
      </c>
      <c r="R3580" s="6" t="str">
        <f>IF($K3580="","",IF($L3580="Crédit",$K3580,-$K3580))</f>
        <v/>
      </c>
      <c r="S3580" s="6" t="str">
        <f>IF($C3580="","",IFERROR(INDEX('Paramètres'!$H:$H,MATCH($C3580,'Paramètres'!$D:$D,0))&amp;"",""))</f>
        <v/>
      </c>
      <c r="T3580" s="6" t="str">
        <f>IF($K3580="","",IF($S3580="",0,IF(ISNUMBER(SEARCH("apport-exterieur",IFERROR(INDEX('Paramètres'!$N:$N,MATCH($D3580,'Paramètres'!$M:$M,0))&amp;"",""))),0,IF(OR(IFERROR(INDEX('Paramètres'!$I:$I,MATCH($C3580,'Paramètres'!$D:$D,0))&amp;"","")="Les deux",IFERROR(INDEX('Paramètres'!$I:$I,MATCH($C3580,'Paramètres'!$D:$D,0))&amp;"","")=IF($P3580=1,"Débit",$L3580)),-IF($P3580=1,-$K3580,$K3580),0))))</f>
        <v/>
      </c>
      <c r="U3580" s="6" t="str">
        <f>IF($K3580="","",IF(ISNUMBER(SEARCH("sortie-epargne",IFERROR(INDEX('Paramètres'!$N:$N,MATCH($D3580,'Paramètres'!$M:$M,0))&amp;"",""))),$K3580,0))</f>
        <v/>
      </c>
      <c r="V3580" s="6" t="str">
        <f>IF(AND($A3580&lt;&gt;"",$O3580=1,$L3580="Débit",N($Q3580)&gt;0,$A3580&gt;=Visualisation!$B$1,$A3580&lt;Visualisation!$D$1),MAX($V$1:V3579)+1,"")</f>
        <v/>
      </c>
    </row>
    <row r="3581" spans="1:22" x14ac:dyDescent="0.25">
      <c r="A3581" s="9"/>
      <c r="E3581" s="10"/>
      <c r="K3581" s="11" t="str">
        <f>IF($E3581="","",ROUND($E3581*IF(ISNA(MATCH($C3581,'Paramètres'!$D:$D,0)),1,IF(INDEX('Paramètres'!$J:$J,MATCH($C3581,'Paramètres'!$D:$D,0))="",1,INDEX('Paramètres'!$J:$J,MATCH($C3581,'Paramètres'!$D:$D,0)))),2))</f>
        <v/>
      </c>
      <c r="L3581" s="6" t="str">
        <f>IF($D3581="","",IF($F3581&lt;&gt;"",$F3581,IF(ISNA(MATCH($D3581,'Paramètres'!$M:$M,0)),"⚠ Type inconnu",IFERROR(INDEX('Paramètres'!$P:$P,MATCH($D3581,'Paramètres'!$M:$M,0))&amp;"",""))))</f>
        <v/>
      </c>
      <c r="M3581" s="6" t="str">
        <f>IF($D3581="","",IF(ISNA(MATCH($D3581,'Paramètres'!$M:$M,0)),"⚠ Type inconnu",IF($L3581="Crédit","",IFERROR(INDEX('Paramètres'!$O:$O,MATCH($D3581,'Paramètres'!$M:$M,0))&amp;"",""))))</f>
        <v/>
      </c>
      <c r="N3581" s="6" t="str">
        <f>IF($D3581="","",IFERROR(INDEX('Paramètres'!$Q:$Q,MATCH($D3581,'Paramètres'!$M:$M,0))&amp;"",""))</f>
        <v/>
      </c>
      <c r="O3581" s="6" t="str">
        <f>IF($A3581="","",IF(OR($J3581&lt;&gt;"x",$A3581&lt;=FinReleve),1,0))</f>
        <v/>
      </c>
      <c r="P3581" s="6" t="str">
        <f>IF($D3581="","",IF(AND($L3581="Crédit",OR(IFERROR(INDEX('Paramètres'!$O:$O,MATCH($D3581,'Paramètres'!$M:$M,0))&amp;"","")&lt;&gt;"",ISNUMBER(SEARCH("remboursement",IFERROR(INDEX('Paramètres'!$N:$N,MATCH($D3581,'Paramètres'!$M:$M,0))&amp;"",""))))),1,0))</f>
        <v/>
      </c>
      <c r="Q3581" s="6" t="str">
        <f>IF($K3581="","",IF(ISNUMBER(SEARCH("transfert-interne",IFERROR(INDEX('Paramètres'!$N:$N,MATCH($D3581,'Paramètres'!$M:$M,0))&amp;"",""))),0,IF($L3581="Débit",$K3581,IF($P3581=1,-$K3581,0))))</f>
        <v/>
      </c>
      <c r="R3581" s="6" t="str">
        <f>IF($K3581="","",IF($L3581="Crédit",$K3581,-$K3581))</f>
        <v/>
      </c>
      <c r="S3581" s="6" t="str">
        <f>IF($C3581="","",IFERROR(INDEX('Paramètres'!$H:$H,MATCH($C3581,'Paramètres'!$D:$D,0))&amp;"",""))</f>
        <v/>
      </c>
      <c r="T3581" s="6" t="str">
        <f>IF($K3581="","",IF($S3581="",0,IF(ISNUMBER(SEARCH("apport-exterieur",IFERROR(INDEX('Paramètres'!$N:$N,MATCH($D3581,'Paramètres'!$M:$M,0))&amp;"",""))),0,IF(OR(IFERROR(INDEX('Paramètres'!$I:$I,MATCH($C3581,'Paramètres'!$D:$D,0))&amp;"","")="Les deux",IFERROR(INDEX('Paramètres'!$I:$I,MATCH($C3581,'Paramètres'!$D:$D,0))&amp;"","")=IF($P3581=1,"Débit",$L3581)),-IF($P3581=1,-$K3581,$K3581),0))))</f>
        <v/>
      </c>
      <c r="U3581" s="6" t="str">
        <f>IF($K3581="","",IF(ISNUMBER(SEARCH("sortie-epargne",IFERROR(INDEX('Paramètres'!$N:$N,MATCH($D3581,'Paramètres'!$M:$M,0))&amp;"",""))),$K3581,0))</f>
        <v/>
      </c>
      <c r="V3581" s="6" t="str">
        <f>IF(AND($A3581&lt;&gt;"",$O3581=1,$L3581="Débit",N($Q3581)&gt;0,$A3581&gt;=Visualisation!$B$1,$A3581&lt;Visualisation!$D$1),MAX($V$1:V3580)+1,"")</f>
        <v/>
      </c>
    </row>
    <row r="3582" spans="1:22" x14ac:dyDescent="0.25">
      <c r="A3582" s="9"/>
      <c r="E3582" s="10"/>
      <c r="K3582" s="11" t="str">
        <f>IF($E3582="","",ROUND($E3582*IF(ISNA(MATCH($C3582,'Paramètres'!$D:$D,0)),1,IF(INDEX('Paramètres'!$J:$J,MATCH($C3582,'Paramètres'!$D:$D,0))="",1,INDEX('Paramètres'!$J:$J,MATCH($C3582,'Paramètres'!$D:$D,0)))),2))</f>
        <v/>
      </c>
      <c r="L3582" s="6" t="str">
        <f>IF($D3582="","",IF($F3582&lt;&gt;"",$F3582,IF(ISNA(MATCH($D3582,'Paramètres'!$M:$M,0)),"⚠ Type inconnu",IFERROR(INDEX('Paramètres'!$P:$P,MATCH($D3582,'Paramètres'!$M:$M,0))&amp;"",""))))</f>
        <v/>
      </c>
      <c r="M3582" s="6" t="str">
        <f>IF($D3582="","",IF(ISNA(MATCH($D3582,'Paramètres'!$M:$M,0)),"⚠ Type inconnu",IF($L3582="Crédit","",IFERROR(INDEX('Paramètres'!$O:$O,MATCH($D3582,'Paramètres'!$M:$M,0))&amp;"",""))))</f>
        <v/>
      </c>
      <c r="N3582" s="6" t="str">
        <f>IF($D3582="","",IFERROR(INDEX('Paramètres'!$Q:$Q,MATCH($D3582,'Paramètres'!$M:$M,0))&amp;"",""))</f>
        <v/>
      </c>
      <c r="O3582" s="6" t="str">
        <f>IF($A3582="","",IF(OR($J3582&lt;&gt;"x",$A3582&lt;=FinReleve),1,0))</f>
        <v/>
      </c>
      <c r="P3582" s="6" t="str">
        <f>IF($D3582="","",IF(AND($L3582="Crédit",OR(IFERROR(INDEX('Paramètres'!$O:$O,MATCH($D3582,'Paramètres'!$M:$M,0))&amp;"","")&lt;&gt;"",ISNUMBER(SEARCH("remboursement",IFERROR(INDEX('Paramètres'!$N:$N,MATCH($D3582,'Paramètres'!$M:$M,0))&amp;"",""))))),1,0))</f>
        <v/>
      </c>
      <c r="Q3582" s="6" t="str">
        <f>IF($K3582="","",IF(ISNUMBER(SEARCH("transfert-interne",IFERROR(INDEX('Paramètres'!$N:$N,MATCH($D3582,'Paramètres'!$M:$M,0))&amp;"",""))),0,IF($L3582="Débit",$K3582,IF($P3582=1,-$K3582,0))))</f>
        <v/>
      </c>
      <c r="R3582" s="6" t="str">
        <f>IF($K3582="","",IF($L3582="Crédit",$K3582,-$K3582))</f>
        <v/>
      </c>
      <c r="S3582" s="6" t="str">
        <f>IF($C3582="","",IFERROR(INDEX('Paramètres'!$H:$H,MATCH($C3582,'Paramètres'!$D:$D,0))&amp;"",""))</f>
        <v/>
      </c>
      <c r="T3582" s="6" t="str">
        <f>IF($K3582="","",IF($S3582="",0,IF(ISNUMBER(SEARCH("apport-exterieur",IFERROR(INDEX('Paramètres'!$N:$N,MATCH($D3582,'Paramètres'!$M:$M,0))&amp;"",""))),0,IF(OR(IFERROR(INDEX('Paramètres'!$I:$I,MATCH($C3582,'Paramètres'!$D:$D,0))&amp;"","")="Les deux",IFERROR(INDEX('Paramètres'!$I:$I,MATCH($C3582,'Paramètres'!$D:$D,0))&amp;"","")=IF($P3582=1,"Débit",$L3582)),-IF($P3582=1,-$K3582,$K3582),0))))</f>
        <v/>
      </c>
      <c r="U3582" s="6" t="str">
        <f>IF($K3582="","",IF(ISNUMBER(SEARCH("sortie-epargne",IFERROR(INDEX('Paramètres'!$N:$N,MATCH($D3582,'Paramètres'!$M:$M,0))&amp;"",""))),$K3582,0))</f>
        <v/>
      </c>
      <c r="V3582" s="6" t="str">
        <f>IF(AND($A3582&lt;&gt;"",$O3582=1,$L3582="Débit",N($Q3582)&gt;0,$A3582&gt;=Visualisation!$B$1,$A3582&lt;Visualisation!$D$1),MAX($V$1:V3581)+1,"")</f>
        <v/>
      </c>
    </row>
    <row r="3583" spans="1:22" x14ac:dyDescent="0.25">
      <c r="A3583" s="9"/>
      <c r="E3583" s="10"/>
      <c r="K3583" s="11" t="str">
        <f>IF($E3583="","",ROUND($E3583*IF(ISNA(MATCH($C3583,'Paramètres'!$D:$D,0)),1,IF(INDEX('Paramètres'!$J:$J,MATCH($C3583,'Paramètres'!$D:$D,0))="",1,INDEX('Paramètres'!$J:$J,MATCH($C3583,'Paramètres'!$D:$D,0)))),2))</f>
        <v/>
      </c>
      <c r="L3583" s="6" t="str">
        <f>IF($D3583="","",IF($F3583&lt;&gt;"",$F3583,IF(ISNA(MATCH($D3583,'Paramètres'!$M:$M,0)),"⚠ Type inconnu",IFERROR(INDEX('Paramètres'!$P:$P,MATCH($D3583,'Paramètres'!$M:$M,0))&amp;"",""))))</f>
        <v/>
      </c>
      <c r="M3583" s="6" t="str">
        <f>IF($D3583="","",IF(ISNA(MATCH($D3583,'Paramètres'!$M:$M,0)),"⚠ Type inconnu",IF($L3583="Crédit","",IFERROR(INDEX('Paramètres'!$O:$O,MATCH($D3583,'Paramètres'!$M:$M,0))&amp;"",""))))</f>
        <v/>
      </c>
      <c r="N3583" s="6" t="str">
        <f>IF($D3583="","",IFERROR(INDEX('Paramètres'!$Q:$Q,MATCH($D3583,'Paramètres'!$M:$M,0))&amp;"",""))</f>
        <v/>
      </c>
      <c r="O3583" s="6" t="str">
        <f>IF($A3583="","",IF(OR($J3583&lt;&gt;"x",$A3583&lt;=FinReleve),1,0))</f>
        <v/>
      </c>
      <c r="P3583" s="6" t="str">
        <f>IF($D3583="","",IF(AND($L3583="Crédit",OR(IFERROR(INDEX('Paramètres'!$O:$O,MATCH($D3583,'Paramètres'!$M:$M,0))&amp;"","")&lt;&gt;"",ISNUMBER(SEARCH("remboursement",IFERROR(INDEX('Paramètres'!$N:$N,MATCH($D3583,'Paramètres'!$M:$M,0))&amp;"",""))))),1,0))</f>
        <v/>
      </c>
      <c r="Q3583" s="6" t="str">
        <f>IF($K3583="","",IF(ISNUMBER(SEARCH("transfert-interne",IFERROR(INDEX('Paramètres'!$N:$N,MATCH($D3583,'Paramètres'!$M:$M,0))&amp;"",""))),0,IF($L3583="Débit",$K3583,IF($P3583=1,-$K3583,0))))</f>
        <v/>
      </c>
      <c r="R3583" s="6" t="str">
        <f>IF($K3583="","",IF($L3583="Crédit",$K3583,-$K3583))</f>
        <v/>
      </c>
      <c r="S3583" s="6" t="str">
        <f>IF($C3583="","",IFERROR(INDEX('Paramètres'!$H:$H,MATCH($C3583,'Paramètres'!$D:$D,0))&amp;"",""))</f>
        <v/>
      </c>
      <c r="T3583" s="6" t="str">
        <f>IF($K3583="","",IF($S3583="",0,IF(ISNUMBER(SEARCH("apport-exterieur",IFERROR(INDEX('Paramètres'!$N:$N,MATCH($D3583,'Paramètres'!$M:$M,0))&amp;"",""))),0,IF(OR(IFERROR(INDEX('Paramètres'!$I:$I,MATCH($C3583,'Paramètres'!$D:$D,0))&amp;"","")="Les deux",IFERROR(INDEX('Paramètres'!$I:$I,MATCH($C3583,'Paramètres'!$D:$D,0))&amp;"","")=IF($P3583=1,"Débit",$L3583)),-IF($P3583=1,-$K3583,$K3583),0))))</f>
        <v/>
      </c>
      <c r="U3583" s="6" t="str">
        <f>IF($K3583="","",IF(ISNUMBER(SEARCH("sortie-epargne",IFERROR(INDEX('Paramètres'!$N:$N,MATCH($D3583,'Paramètres'!$M:$M,0))&amp;"",""))),$K3583,0))</f>
        <v/>
      </c>
      <c r="V3583" s="6" t="str">
        <f>IF(AND($A3583&lt;&gt;"",$O3583=1,$L3583="Débit",N($Q3583)&gt;0,$A3583&gt;=Visualisation!$B$1,$A3583&lt;Visualisation!$D$1),MAX($V$1:V3582)+1,"")</f>
        <v/>
      </c>
    </row>
    <row r="3584" spans="1:22" x14ac:dyDescent="0.25">
      <c r="A3584" s="9"/>
      <c r="E3584" s="10"/>
      <c r="K3584" s="11" t="str">
        <f>IF($E3584="","",ROUND($E3584*IF(ISNA(MATCH($C3584,'Paramètres'!$D:$D,0)),1,IF(INDEX('Paramètres'!$J:$J,MATCH($C3584,'Paramètres'!$D:$D,0))="",1,INDEX('Paramètres'!$J:$J,MATCH($C3584,'Paramètres'!$D:$D,0)))),2))</f>
        <v/>
      </c>
      <c r="L3584" s="6" t="str">
        <f>IF($D3584="","",IF($F3584&lt;&gt;"",$F3584,IF(ISNA(MATCH($D3584,'Paramètres'!$M:$M,0)),"⚠ Type inconnu",IFERROR(INDEX('Paramètres'!$P:$P,MATCH($D3584,'Paramètres'!$M:$M,0))&amp;"",""))))</f>
        <v/>
      </c>
      <c r="M3584" s="6" t="str">
        <f>IF($D3584="","",IF(ISNA(MATCH($D3584,'Paramètres'!$M:$M,0)),"⚠ Type inconnu",IF($L3584="Crédit","",IFERROR(INDEX('Paramètres'!$O:$O,MATCH($D3584,'Paramètres'!$M:$M,0))&amp;"",""))))</f>
        <v/>
      </c>
      <c r="N3584" s="6" t="str">
        <f>IF($D3584="","",IFERROR(INDEX('Paramètres'!$Q:$Q,MATCH($D3584,'Paramètres'!$M:$M,0))&amp;"",""))</f>
        <v/>
      </c>
      <c r="O3584" s="6" t="str">
        <f>IF($A3584="","",IF(OR($J3584&lt;&gt;"x",$A3584&lt;=FinReleve),1,0))</f>
        <v/>
      </c>
      <c r="P3584" s="6" t="str">
        <f>IF($D3584="","",IF(AND($L3584="Crédit",OR(IFERROR(INDEX('Paramètres'!$O:$O,MATCH($D3584,'Paramètres'!$M:$M,0))&amp;"","")&lt;&gt;"",ISNUMBER(SEARCH("remboursement",IFERROR(INDEX('Paramètres'!$N:$N,MATCH($D3584,'Paramètres'!$M:$M,0))&amp;"",""))))),1,0))</f>
        <v/>
      </c>
      <c r="Q3584" s="6" t="str">
        <f>IF($K3584="","",IF(ISNUMBER(SEARCH("transfert-interne",IFERROR(INDEX('Paramètres'!$N:$N,MATCH($D3584,'Paramètres'!$M:$M,0))&amp;"",""))),0,IF($L3584="Débit",$K3584,IF($P3584=1,-$K3584,0))))</f>
        <v/>
      </c>
      <c r="R3584" s="6" t="str">
        <f>IF($K3584="","",IF($L3584="Crédit",$K3584,-$K3584))</f>
        <v/>
      </c>
      <c r="S3584" s="6" t="str">
        <f>IF($C3584="","",IFERROR(INDEX('Paramètres'!$H:$H,MATCH($C3584,'Paramètres'!$D:$D,0))&amp;"",""))</f>
        <v/>
      </c>
      <c r="T3584" s="6" t="str">
        <f>IF($K3584="","",IF($S3584="",0,IF(ISNUMBER(SEARCH("apport-exterieur",IFERROR(INDEX('Paramètres'!$N:$N,MATCH($D3584,'Paramètres'!$M:$M,0))&amp;"",""))),0,IF(OR(IFERROR(INDEX('Paramètres'!$I:$I,MATCH($C3584,'Paramètres'!$D:$D,0))&amp;"","")="Les deux",IFERROR(INDEX('Paramètres'!$I:$I,MATCH($C3584,'Paramètres'!$D:$D,0))&amp;"","")=IF($P3584=1,"Débit",$L3584)),-IF($P3584=1,-$K3584,$K3584),0))))</f>
        <v/>
      </c>
      <c r="U3584" s="6" t="str">
        <f>IF($K3584="","",IF(ISNUMBER(SEARCH("sortie-epargne",IFERROR(INDEX('Paramètres'!$N:$N,MATCH($D3584,'Paramètres'!$M:$M,0))&amp;"",""))),$K3584,0))</f>
        <v/>
      </c>
      <c r="V3584" s="6" t="str">
        <f>IF(AND($A3584&lt;&gt;"",$O3584=1,$L3584="Débit",N($Q3584)&gt;0,$A3584&gt;=Visualisation!$B$1,$A3584&lt;Visualisation!$D$1),MAX($V$1:V3583)+1,"")</f>
        <v/>
      </c>
    </row>
    <row r="3585" spans="1:22" x14ac:dyDescent="0.25">
      <c r="A3585" s="9"/>
      <c r="E3585" s="10"/>
      <c r="K3585" s="11" t="str">
        <f>IF($E3585="","",ROUND($E3585*IF(ISNA(MATCH($C3585,'Paramètres'!$D:$D,0)),1,IF(INDEX('Paramètres'!$J:$J,MATCH($C3585,'Paramètres'!$D:$D,0))="",1,INDEX('Paramètres'!$J:$J,MATCH($C3585,'Paramètres'!$D:$D,0)))),2))</f>
        <v/>
      </c>
      <c r="L3585" s="6" t="str">
        <f>IF($D3585="","",IF($F3585&lt;&gt;"",$F3585,IF(ISNA(MATCH($D3585,'Paramètres'!$M:$M,0)),"⚠ Type inconnu",IFERROR(INDEX('Paramètres'!$P:$P,MATCH($D3585,'Paramètres'!$M:$M,0))&amp;"",""))))</f>
        <v/>
      </c>
      <c r="M3585" s="6" t="str">
        <f>IF($D3585="","",IF(ISNA(MATCH($D3585,'Paramètres'!$M:$M,0)),"⚠ Type inconnu",IF($L3585="Crédit","",IFERROR(INDEX('Paramètres'!$O:$O,MATCH($D3585,'Paramètres'!$M:$M,0))&amp;"",""))))</f>
        <v/>
      </c>
      <c r="N3585" s="6" t="str">
        <f>IF($D3585="","",IFERROR(INDEX('Paramètres'!$Q:$Q,MATCH($D3585,'Paramètres'!$M:$M,0))&amp;"",""))</f>
        <v/>
      </c>
      <c r="O3585" s="6" t="str">
        <f>IF($A3585="","",IF(OR($J3585&lt;&gt;"x",$A3585&lt;=FinReleve),1,0))</f>
        <v/>
      </c>
      <c r="P3585" s="6" t="str">
        <f>IF($D3585="","",IF(AND($L3585="Crédit",OR(IFERROR(INDEX('Paramètres'!$O:$O,MATCH($D3585,'Paramètres'!$M:$M,0))&amp;"","")&lt;&gt;"",ISNUMBER(SEARCH("remboursement",IFERROR(INDEX('Paramètres'!$N:$N,MATCH($D3585,'Paramètres'!$M:$M,0))&amp;"",""))))),1,0))</f>
        <v/>
      </c>
      <c r="Q3585" s="6" t="str">
        <f>IF($K3585="","",IF(ISNUMBER(SEARCH("transfert-interne",IFERROR(INDEX('Paramètres'!$N:$N,MATCH($D3585,'Paramètres'!$M:$M,0))&amp;"",""))),0,IF($L3585="Débit",$K3585,IF($P3585=1,-$K3585,0))))</f>
        <v/>
      </c>
      <c r="R3585" s="6" t="str">
        <f>IF($K3585="","",IF($L3585="Crédit",$K3585,-$K3585))</f>
        <v/>
      </c>
      <c r="S3585" s="6" t="str">
        <f>IF($C3585="","",IFERROR(INDEX('Paramètres'!$H:$H,MATCH($C3585,'Paramètres'!$D:$D,0))&amp;"",""))</f>
        <v/>
      </c>
      <c r="T3585" s="6" t="str">
        <f>IF($K3585="","",IF($S3585="",0,IF(ISNUMBER(SEARCH("apport-exterieur",IFERROR(INDEX('Paramètres'!$N:$N,MATCH($D3585,'Paramètres'!$M:$M,0))&amp;"",""))),0,IF(OR(IFERROR(INDEX('Paramètres'!$I:$I,MATCH($C3585,'Paramètres'!$D:$D,0))&amp;"","")="Les deux",IFERROR(INDEX('Paramètres'!$I:$I,MATCH($C3585,'Paramètres'!$D:$D,0))&amp;"","")=IF($P3585=1,"Débit",$L3585)),-IF($P3585=1,-$K3585,$K3585),0))))</f>
        <v/>
      </c>
      <c r="U3585" s="6" t="str">
        <f>IF($K3585="","",IF(ISNUMBER(SEARCH("sortie-epargne",IFERROR(INDEX('Paramètres'!$N:$N,MATCH($D3585,'Paramètres'!$M:$M,0))&amp;"",""))),$K3585,0))</f>
        <v/>
      </c>
      <c r="V3585" s="6" t="str">
        <f>IF(AND($A3585&lt;&gt;"",$O3585=1,$L3585="Débit",N($Q3585)&gt;0,$A3585&gt;=Visualisation!$B$1,$A3585&lt;Visualisation!$D$1),MAX($V$1:V3584)+1,"")</f>
        <v/>
      </c>
    </row>
    <row r="3586" spans="1:22" x14ac:dyDescent="0.25">
      <c r="A3586" s="9"/>
      <c r="E3586" s="10"/>
      <c r="K3586" s="11" t="str">
        <f>IF($E3586="","",ROUND($E3586*IF(ISNA(MATCH($C3586,'Paramètres'!$D:$D,0)),1,IF(INDEX('Paramètres'!$J:$J,MATCH($C3586,'Paramètres'!$D:$D,0))="",1,INDEX('Paramètres'!$J:$J,MATCH($C3586,'Paramètres'!$D:$D,0)))),2))</f>
        <v/>
      </c>
      <c r="L3586" s="6" t="str">
        <f>IF($D3586="","",IF($F3586&lt;&gt;"",$F3586,IF(ISNA(MATCH($D3586,'Paramètres'!$M:$M,0)),"⚠ Type inconnu",IFERROR(INDEX('Paramètres'!$P:$P,MATCH($D3586,'Paramètres'!$M:$M,0))&amp;"",""))))</f>
        <v/>
      </c>
      <c r="M3586" s="6" t="str">
        <f>IF($D3586="","",IF(ISNA(MATCH($D3586,'Paramètres'!$M:$M,0)),"⚠ Type inconnu",IF($L3586="Crédit","",IFERROR(INDEX('Paramètres'!$O:$O,MATCH($D3586,'Paramètres'!$M:$M,0))&amp;"",""))))</f>
        <v/>
      </c>
      <c r="N3586" s="6" t="str">
        <f>IF($D3586="","",IFERROR(INDEX('Paramètres'!$Q:$Q,MATCH($D3586,'Paramètres'!$M:$M,0))&amp;"",""))</f>
        <v/>
      </c>
      <c r="O3586" s="6" t="str">
        <f>IF($A3586="","",IF(OR($J3586&lt;&gt;"x",$A3586&lt;=FinReleve),1,0))</f>
        <v/>
      </c>
      <c r="P3586" s="6" t="str">
        <f>IF($D3586="","",IF(AND($L3586="Crédit",OR(IFERROR(INDEX('Paramètres'!$O:$O,MATCH($D3586,'Paramètres'!$M:$M,0))&amp;"","")&lt;&gt;"",ISNUMBER(SEARCH("remboursement",IFERROR(INDEX('Paramètres'!$N:$N,MATCH($D3586,'Paramètres'!$M:$M,0))&amp;"",""))))),1,0))</f>
        <v/>
      </c>
      <c r="Q3586" s="6" t="str">
        <f>IF($K3586="","",IF(ISNUMBER(SEARCH("transfert-interne",IFERROR(INDEX('Paramètres'!$N:$N,MATCH($D3586,'Paramètres'!$M:$M,0))&amp;"",""))),0,IF($L3586="Débit",$K3586,IF($P3586=1,-$K3586,0))))</f>
        <v/>
      </c>
      <c r="R3586" s="6" t="str">
        <f>IF($K3586="","",IF($L3586="Crédit",$K3586,-$K3586))</f>
        <v/>
      </c>
      <c r="S3586" s="6" t="str">
        <f>IF($C3586="","",IFERROR(INDEX('Paramètres'!$H:$H,MATCH($C3586,'Paramètres'!$D:$D,0))&amp;"",""))</f>
        <v/>
      </c>
      <c r="T3586" s="6" t="str">
        <f>IF($K3586="","",IF($S3586="",0,IF(ISNUMBER(SEARCH("apport-exterieur",IFERROR(INDEX('Paramètres'!$N:$N,MATCH($D3586,'Paramètres'!$M:$M,0))&amp;"",""))),0,IF(OR(IFERROR(INDEX('Paramètres'!$I:$I,MATCH($C3586,'Paramètres'!$D:$D,0))&amp;"","")="Les deux",IFERROR(INDEX('Paramètres'!$I:$I,MATCH($C3586,'Paramètres'!$D:$D,0))&amp;"","")=IF($P3586=1,"Débit",$L3586)),-IF($P3586=1,-$K3586,$K3586),0))))</f>
        <v/>
      </c>
      <c r="U3586" s="6" t="str">
        <f>IF($K3586="","",IF(ISNUMBER(SEARCH("sortie-epargne",IFERROR(INDEX('Paramètres'!$N:$N,MATCH($D3586,'Paramètres'!$M:$M,0))&amp;"",""))),$K3586,0))</f>
        <v/>
      </c>
      <c r="V3586" s="6" t="str">
        <f>IF(AND($A3586&lt;&gt;"",$O3586=1,$L3586="Débit",N($Q3586)&gt;0,$A3586&gt;=Visualisation!$B$1,$A3586&lt;Visualisation!$D$1),MAX($V$1:V3585)+1,"")</f>
        <v/>
      </c>
    </row>
    <row r="3587" spans="1:22" x14ac:dyDescent="0.25">
      <c r="A3587" s="9"/>
      <c r="E3587" s="10"/>
      <c r="K3587" s="11" t="str">
        <f>IF($E3587="","",ROUND($E3587*IF(ISNA(MATCH($C3587,'Paramètres'!$D:$D,0)),1,IF(INDEX('Paramètres'!$J:$J,MATCH($C3587,'Paramètres'!$D:$D,0))="",1,INDEX('Paramètres'!$J:$J,MATCH($C3587,'Paramètres'!$D:$D,0)))),2))</f>
        <v/>
      </c>
      <c r="L3587" s="6" t="str">
        <f>IF($D3587="","",IF($F3587&lt;&gt;"",$F3587,IF(ISNA(MATCH($D3587,'Paramètres'!$M:$M,0)),"⚠ Type inconnu",IFERROR(INDEX('Paramètres'!$P:$P,MATCH($D3587,'Paramètres'!$M:$M,0))&amp;"",""))))</f>
        <v/>
      </c>
      <c r="M3587" s="6" t="str">
        <f>IF($D3587="","",IF(ISNA(MATCH($D3587,'Paramètres'!$M:$M,0)),"⚠ Type inconnu",IF($L3587="Crédit","",IFERROR(INDEX('Paramètres'!$O:$O,MATCH($D3587,'Paramètres'!$M:$M,0))&amp;"",""))))</f>
        <v/>
      </c>
      <c r="N3587" s="6" t="str">
        <f>IF($D3587="","",IFERROR(INDEX('Paramètres'!$Q:$Q,MATCH($D3587,'Paramètres'!$M:$M,0))&amp;"",""))</f>
        <v/>
      </c>
      <c r="O3587" s="6" t="str">
        <f>IF($A3587="","",IF(OR($J3587&lt;&gt;"x",$A3587&lt;=FinReleve),1,0))</f>
        <v/>
      </c>
      <c r="P3587" s="6" t="str">
        <f>IF($D3587="","",IF(AND($L3587="Crédit",OR(IFERROR(INDEX('Paramètres'!$O:$O,MATCH($D3587,'Paramètres'!$M:$M,0))&amp;"","")&lt;&gt;"",ISNUMBER(SEARCH("remboursement",IFERROR(INDEX('Paramètres'!$N:$N,MATCH($D3587,'Paramètres'!$M:$M,0))&amp;"",""))))),1,0))</f>
        <v/>
      </c>
      <c r="Q3587" s="6" t="str">
        <f>IF($K3587="","",IF(ISNUMBER(SEARCH("transfert-interne",IFERROR(INDEX('Paramètres'!$N:$N,MATCH($D3587,'Paramètres'!$M:$M,0))&amp;"",""))),0,IF($L3587="Débit",$K3587,IF($P3587=1,-$K3587,0))))</f>
        <v/>
      </c>
      <c r="R3587" s="6" t="str">
        <f>IF($K3587="","",IF($L3587="Crédit",$K3587,-$K3587))</f>
        <v/>
      </c>
      <c r="S3587" s="6" t="str">
        <f>IF($C3587="","",IFERROR(INDEX('Paramètres'!$H:$H,MATCH($C3587,'Paramètres'!$D:$D,0))&amp;"",""))</f>
        <v/>
      </c>
      <c r="T3587" s="6" t="str">
        <f>IF($K3587="","",IF($S3587="",0,IF(ISNUMBER(SEARCH("apport-exterieur",IFERROR(INDEX('Paramètres'!$N:$N,MATCH($D3587,'Paramètres'!$M:$M,0))&amp;"",""))),0,IF(OR(IFERROR(INDEX('Paramètres'!$I:$I,MATCH($C3587,'Paramètres'!$D:$D,0))&amp;"","")="Les deux",IFERROR(INDEX('Paramètres'!$I:$I,MATCH($C3587,'Paramètres'!$D:$D,0))&amp;"","")=IF($P3587=1,"Débit",$L3587)),-IF($P3587=1,-$K3587,$K3587),0))))</f>
        <v/>
      </c>
      <c r="U3587" s="6" t="str">
        <f>IF($K3587="","",IF(ISNUMBER(SEARCH("sortie-epargne",IFERROR(INDEX('Paramètres'!$N:$N,MATCH($D3587,'Paramètres'!$M:$M,0))&amp;"",""))),$K3587,0))</f>
        <v/>
      </c>
      <c r="V3587" s="6" t="str">
        <f>IF(AND($A3587&lt;&gt;"",$O3587=1,$L3587="Débit",N($Q3587)&gt;0,$A3587&gt;=Visualisation!$B$1,$A3587&lt;Visualisation!$D$1),MAX($V$1:V3586)+1,"")</f>
        <v/>
      </c>
    </row>
    <row r="3588" spans="1:22" x14ac:dyDescent="0.25">
      <c r="A3588" s="9"/>
      <c r="E3588" s="10"/>
      <c r="K3588" s="11" t="str">
        <f>IF($E3588="","",ROUND($E3588*IF(ISNA(MATCH($C3588,'Paramètres'!$D:$D,0)),1,IF(INDEX('Paramètres'!$J:$J,MATCH($C3588,'Paramètres'!$D:$D,0))="",1,INDEX('Paramètres'!$J:$J,MATCH($C3588,'Paramètres'!$D:$D,0)))),2))</f>
        <v/>
      </c>
      <c r="L3588" s="6" t="str">
        <f>IF($D3588="","",IF($F3588&lt;&gt;"",$F3588,IF(ISNA(MATCH($D3588,'Paramètres'!$M:$M,0)),"⚠ Type inconnu",IFERROR(INDEX('Paramètres'!$P:$P,MATCH($D3588,'Paramètres'!$M:$M,0))&amp;"",""))))</f>
        <v/>
      </c>
      <c r="M3588" s="6" t="str">
        <f>IF($D3588="","",IF(ISNA(MATCH($D3588,'Paramètres'!$M:$M,0)),"⚠ Type inconnu",IF($L3588="Crédit","",IFERROR(INDEX('Paramètres'!$O:$O,MATCH($D3588,'Paramètres'!$M:$M,0))&amp;"",""))))</f>
        <v/>
      </c>
      <c r="N3588" s="6" t="str">
        <f>IF($D3588="","",IFERROR(INDEX('Paramètres'!$Q:$Q,MATCH($D3588,'Paramètres'!$M:$M,0))&amp;"",""))</f>
        <v/>
      </c>
      <c r="O3588" s="6" t="str">
        <f>IF($A3588="","",IF(OR($J3588&lt;&gt;"x",$A3588&lt;=FinReleve),1,0))</f>
        <v/>
      </c>
      <c r="P3588" s="6" t="str">
        <f>IF($D3588="","",IF(AND($L3588="Crédit",OR(IFERROR(INDEX('Paramètres'!$O:$O,MATCH($D3588,'Paramètres'!$M:$M,0))&amp;"","")&lt;&gt;"",ISNUMBER(SEARCH("remboursement",IFERROR(INDEX('Paramètres'!$N:$N,MATCH($D3588,'Paramètres'!$M:$M,0))&amp;"",""))))),1,0))</f>
        <v/>
      </c>
      <c r="Q3588" s="6" t="str">
        <f>IF($K3588="","",IF(ISNUMBER(SEARCH("transfert-interne",IFERROR(INDEX('Paramètres'!$N:$N,MATCH($D3588,'Paramètres'!$M:$M,0))&amp;"",""))),0,IF($L3588="Débit",$K3588,IF($P3588=1,-$K3588,0))))</f>
        <v/>
      </c>
      <c r="R3588" s="6" t="str">
        <f>IF($K3588="","",IF($L3588="Crédit",$K3588,-$K3588))</f>
        <v/>
      </c>
      <c r="S3588" s="6" t="str">
        <f>IF($C3588="","",IFERROR(INDEX('Paramètres'!$H:$H,MATCH($C3588,'Paramètres'!$D:$D,0))&amp;"",""))</f>
        <v/>
      </c>
      <c r="T3588" s="6" t="str">
        <f>IF($K3588="","",IF($S3588="",0,IF(ISNUMBER(SEARCH("apport-exterieur",IFERROR(INDEX('Paramètres'!$N:$N,MATCH($D3588,'Paramètres'!$M:$M,0))&amp;"",""))),0,IF(OR(IFERROR(INDEX('Paramètres'!$I:$I,MATCH($C3588,'Paramètres'!$D:$D,0))&amp;"","")="Les deux",IFERROR(INDEX('Paramètres'!$I:$I,MATCH($C3588,'Paramètres'!$D:$D,0))&amp;"","")=IF($P3588=1,"Débit",$L3588)),-IF($P3588=1,-$K3588,$K3588),0))))</f>
        <v/>
      </c>
      <c r="U3588" s="6" t="str">
        <f>IF($K3588="","",IF(ISNUMBER(SEARCH("sortie-epargne",IFERROR(INDEX('Paramètres'!$N:$N,MATCH($D3588,'Paramètres'!$M:$M,0))&amp;"",""))),$K3588,0))</f>
        <v/>
      </c>
      <c r="V3588" s="6" t="str">
        <f>IF(AND($A3588&lt;&gt;"",$O3588=1,$L3588="Débit",N($Q3588)&gt;0,$A3588&gt;=Visualisation!$B$1,$A3588&lt;Visualisation!$D$1),MAX($V$1:V3587)+1,"")</f>
        <v/>
      </c>
    </row>
    <row r="3589" spans="1:22" x14ac:dyDescent="0.25">
      <c r="A3589" s="9"/>
      <c r="E3589" s="10"/>
      <c r="K3589" s="11" t="str">
        <f>IF($E3589="","",ROUND($E3589*IF(ISNA(MATCH($C3589,'Paramètres'!$D:$D,0)),1,IF(INDEX('Paramètres'!$J:$J,MATCH($C3589,'Paramètres'!$D:$D,0))="",1,INDEX('Paramètres'!$J:$J,MATCH($C3589,'Paramètres'!$D:$D,0)))),2))</f>
        <v/>
      </c>
      <c r="L3589" s="6" t="str">
        <f>IF($D3589="","",IF($F3589&lt;&gt;"",$F3589,IF(ISNA(MATCH($D3589,'Paramètres'!$M:$M,0)),"⚠ Type inconnu",IFERROR(INDEX('Paramètres'!$P:$P,MATCH($D3589,'Paramètres'!$M:$M,0))&amp;"",""))))</f>
        <v/>
      </c>
      <c r="M3589" s="6" t="str">
        <f>IF($D3589="","",IF(ISNA(MATCH($D3589,'Paramètres'!$M:$M,0)),"⚠ Type inconnu",IF($L3589="Crédit","",IFERROR(INDEX('Paramètres'!$O:$O,MATCH($D3589,'Paramètres'!$M:$M,0))&amp;"",""))))</f>
        <v/>
      </c>
      <c r="N3589" s="6" t="str">
        <f>IF($D3589="","",IFERROR(INDEX('Paramètres'!$Q:$Q,MATCH($D3589,'Paramètres'!$M:$M,0))&amp;"",""))</f>
        <v/>
      </c>
      <c r="O3589" s="6" t="str">
        <f>IF($A3589="","",IF(OR($J3589&lt;&gt;"x",$A3589&lt;=FinReleve),1,0))</f>
        <v/>
      </c>
      <c r="P3589" s="6" t="str">
        <f>IF($D3589="","",IF(AND($L3589="Crédit",OR(IFERROR(INDEX('Paramètres'!$O:$O,MATCH($D3589,'Paramètres'!$M:$M,0))&amp;"","")&lt;&gt;"",ISNUMBER(SEARCH("remboursement",IFERROR(INDEX('Paramètres'!$N:$N,MATCH($D3589,'Paramètres'!$M:$M,0))&amp;"",""))))),1,0))</f>
        <v/>
      </c>
      <c r="Q3589" s="6" t="str">
        <f>IF($K3589="","",IF(ISNUMBER(SEARCH("transfert-interne",IFERROR(INDEX('Paramètres'!$N:$N,MATCH($D3589,'Paramètres'!$M:$M,0))&amp;"",""))),0,IF($L3589="Débit",$K3589,IF($P3589=1,-$K3589,0))))</f>
        <v/>
      </c>
      <c r="R3589" s="6" t="str">
        <f>IF($K3589="","",IF($L3589="Crédit",$K3589,-$K3589))</f>
        <v/>
      </c>
      <c r="S3589" s="6" t="str">
        <f>IF($C3589="","",IFERROR(INDEX('Paramètres'!$H:$H,MATCH($C3589,'Paramètres'!$D:$D,0))&amp;"",""))</f>
        <v/>
      </c>
      <c r="T3589" s="6" t="str">
        <f>IF($K3589="","",IF($S3589="",0,IF(ISNUMBER(SEARCH("apport-exterieur",IFERROR(INDEX('Paramètres'!$N:$N,MATCH($D3589,'Paramètres'!$M:$M,0))&amp;"",""))),0,IF(OR(IFERROR(INDEX('Paramètres'!$I:$I,MATCH($C3589,'Paramètres'!$D:$D,0))&amp;"","")="Les deux",IFERROR(INDEX('Paramètres'!$I:$I,MATCH($C3589,'Paramètres'!$D:$D,0))&amp;"","")=IF($P3589=1,"Débit",$L3589)),-IF($P3589=1,-$K3589,$K3589),0))))</f>
        <v/>
      </c>
      <c r="U3589" s="6" t="str">
        <f>IF($K3589="","",IF(ISNUMBER(SEARCH("sortie-epargne",IFERROR(INDEX('Paramètres'!$N:$N,MATCH($D3589,'Paramètres'!$M:$M,0))&amp;"",""))),$K3589,0))</f>
        <v/>
      </c>
      <c r="V3589" s="6" t="str">
        <f>IF(AND($A3589&lt;&gt;"",$O3589=1,$L3589="Débit",N($Q3589)&gt;0,$A3589&gt;=Visualisation!$B$1,$A3589&lt;Visualisation!$D$1),MAX($V$1:V3588)+1,"")</f>
        <v/>
      </c>
    </row>
    <row r="3590" spans="1:22" x14ac:dyDescent="0.25">
      <c r="A3590" s="9"/>
      <c r="E3590" s="10"/>
      <c r="K3590" s="11" t="str">
        <f>IF($E3590="","",ROUND($E3590*IF(ISNA(MATCH($C3590,'Paramètres'!$D:$D,0)),1,IF(INDEX('Paramètres'!$J:$J,MATCH($C3590,'Paramètres'!$D:$D,0))="",1,INDEX('Paramètres'!$J:$J,MATCH($C3590,'Paramètres'!$D:$D,0)))),2))</f>
        <v/>
      </c>
      <c r="L3590" s="6" t="str">
        <f>IF($D3590="","",IF($F3590&lt;&gt;"",$F3590,IF(ISNA(MATCH($D3590,'Paramètres'!$M:$M,0)),"⚠ Type inconnu",IFERROR(INDEX('Paramètres'!$P:$P,MATCH($D3590,'Paramètres'!$M:$M,0))&amp;"",""))))</f>
        <v/>
      </c>
      <c r="M3590" s="6" t="str">
        <f>IF($D3590="","",IF(ISNA(MATCH($D3590,'Paramètres'!$M:$M,0)),"⚠ Type inconnu",IF($L3590="Crédit","",IFERROR(INDEX('Paramètres'!$O:$O,MATCH($D3590,'Paramètres'!$M:$M,0))&amp;"",""))))</f>
        <v/>
      </c>
      <c r="N3590" s="6" t="str">
        <f>IF($D3590="","",IFERROR(INDEX('Paramètres'!$Q:$Q,MATCH($D3590,'Paramètres'!$M:$M,0))&amp;"",""))</f>
        <v/>
      </c>
      <c r="O3590" s="6" t="str">
        <f>IF($A3590="","",IF(OR($J3590&lt;&gt;"x",$A3590&lt;=FinReleve),1,0))</f>
        <v/>
      </c>
      <c r="P3590" s="6" t="str">
        <f>IF($D3590="","",IF(AND($L3590="Crédit",OR(IFERROR(INDEX('Paramètres'!$O:$O,MATCH($D3590,'Paramètres'!$M:$M,0))&amp;"","")&lt;&gt;"",ISNUMBER(SEARCH("remboursement",IFERROR(INDEX('Paramètres'!$N:$N,MATCH($D3590,'Paramètres'!$M:$M,0))&amp;"",""))))),1,0))</f>
        <v/>
      </c>
      <c r="Q3590" s="6" t="str">
        <f>IF($K3590="","",IF(ISNUMBER(SEARCH("transfert-interne",IFERROR(INDEX('Paramètres'!$N:$N,MATCH($D3590,'Paramètres'!$M:$M,0))&amp;"",""))),0,IF($L3590="Débit",$K3590,IF($P3590=1,-$K3590,0))))</f>
        <v/>
      </c>
      <c r="R3590" s="6" t="str">
        <f>IF($K3590="","",IF($L3590="Crédit",$K3590,-$K3590))</f>
        <v/>
      </c>
      <c r="S3590" s="6" t="str">
        <f>IF($C3590="","",IFERROR(INDEX('Paramètres'!$H:$H,MATCH($C3590,'Paramètres'!$D:$D,0))&amp;"",""))</f>
        <v/>
      </c>
      <c r="T3590" s="6" t="str">
        <f>IF($K3590="","",IF($S3590="",0,IF(ISNUMBER(SEARCH("apport-exterieur",IFERROR(INDEX('Paramètres'!$N:$N,MATCH($D3590,'Paramètres'!$M:$M,0))&amp;"",""))),0,IF(OR(IFERROR(INDEX('Paramètres'!$I:$I,MATCH($C3590,'Paramètres'!$D:$D,0))&amp;"","")="Les deux",IFERROR(INDEX('Paramètres'!$I:$I,MATCH($C3590,'Paramètres'!$D:$D,0))&amp;"","")=IF($P3590=1,"Débit",$L3590)),-IF($P3590=1,-$K3590,$K3590),0))))</f>
        <v/>
      </c>
      <c r="U3590" s="6" t="str">
        <f>IF($K3590="","",IF(ISNUMBER(SEARCH("sortie-epargne",IFERROR(INDEX('Paramètres'!$N:$N,MATCH($D3590,'Paramètres'!$M:$M,0))&amp;"",""))),$K3590,0))</f>
        <v/>
      </c>
      <c r="V3590" s="6" t="str">
        <f>IF(AND($A3590&lt;&gt;"",$O3590=1,$L3590="Débit",N($Q3590)&gt;0,$A3590&gt;=Visualisation!$B$1,$A3590&lt;Visualisation!$D$1),MAX($V$1:V3589)+1,"")</f>
        <v/>
      </c>
    </row>
    <row r="3591" spans="1:22" x14ac:dyDescent="0.25">
      <c r="A3591" s="9"/>
      <c r="E3591" s="10"/>
      <c r="K3591" s="11" t="str">
        <f>IF($E3591="","",ROUND($E3591*IF(ISNA(MATCH($C3591,'Paramètres'!$D:$D,0)),1,IF(INDEX('Paramètres'!$J:$J,MATCH($C3591,'Paramètres'!$D:$D,0))="",1,INDEX('Paramètres'!$J:$J,MATCH($C3591,'Paramètres'!$D:$D,0)))),2))</f>
        <v/>
      </c>
      <c r="L3591" s="6" t="str">
        <f>IF($D3591="","",IF($F3591&lt;&gt;"",$F3591,IF(ISNA(MATCH($D3591,'Paramètres'!$M:$M,0)),"⚠ Type inconnu",IFERROR(INDEX('Paramètres'!$P:$P,MATCH($D3591,'Paramètres'!$M:$M,0))&amp;"",""))))</f>
        <v/>
      </c>
      <c r="M3591" s="6" t="str">
        <f>IF($D3591="","",IF(ISNA(MATCH($D3591,'Paramètres'!$M:$M,0)),"⚠ Type inconnu",IF($L3591="Crédit","",IFERROR(INDEX('Paramètres'!$O:$O,MATCH($D3591,'Paramètres'!$M:$M,0))&amp;"",""))))</f>
        <v/>
      </c>
      <c r="N3591" s="6" t="str">
        <f>IF($D3591="","",IFERROR(INDEX('Paramètres'!$Q:$Q,MATCH($D3591,'Paramètres'!$M:$M,0))&amp;"",""))</f>
        <v/>
      </c>
      <c r="O3591" s="6" t="str">
        <f>IF($A3591="","",IF(OR($J3591&lt;&gt;"x",$A3591&lt;=FinReleve),1,0))</f>
        <v/>
      </c>
      <c r="P3591" s="6" t="str">
        <f>IF($D3591="","",IF(AND($L3591="Crédit",OR(IFERROR(INDEX('Paramètres'!$O:$O,MATCH($D3591,'Paramètres'!$M:$M,0))&amp;"","")&lt;&gt;"",ISNUMBER(SEARCH("remboursement",IFERROR(INDEX('Paramètres'!$N:$N,MATCH($D3591,'Paramètres'!$M:$M,0))&amp;"",""))))),1,0))</f>
        <v/>
      </c>
      <c r="Q3591" s="6" t="str">
        <f>IF($K3591="","",IF(ISNUMBER(SEARCH("transfert-interne",IFERROR(INDEX('Paramètres'!$N:$N,MATCH($D3591,'Paramètres'!$M:$M,0))&amp;"",""))),0,IF($L3591="Débit",$K3591,IF($P3591=1,-$K3591,0))))</f>
        <v/>
      </c>
      <c r="R3591" s="6" t="str">
        <f>IF($K3591="","",IF($L3591="Crédit",$K3591,-$K3591))</f>
        <v/>
      </c>
      <c r="S3591" s="6" t="str">
        <f>IF($C3591="","",IFERROR(INDEX('Paramètres'!$H:$H,MATCH($C3591,'Paramètres'!$D:$D,0))&amp;"",""))</f>
        <v/>
      </c>
      <c r="T3591" s="6" t="str">
        <f>IF($K3591="","",IF($S3591="",0,IF(ISNUMBER(SEARCH("apport-exterieur",IFERROR(INDEX('Paramètres'!$N:$N,MATCH($D3591,'Paramètres'!$M:$M,0))&amp;"",""))),0,IF(OR(IFERROR(INDEX('Paramètres'!$I:$I,MATCH($C3591,'Paramètres'!$D:$D,0))&amp;"","")="Les deux",IFERROR(INDEX('Paramètres'!$I:$I,MATCH($C3591,'Paramètres'!$D:$D,0))&amp;"","")=IF($P3591=1,"Débit",$L3591)),-IF($P3591=1,-$K3591,$K3591),0))))</f>
        <v/>
      </c>
      <c r="U3591" s="6" t="str">
        <f>IF($K3591="","",IF(ISNUMBER(SEARCH("sortie-epargne",IFERROR(INDEX('Paramètres'!$N:$N,MATCH($D3591,'Paramètres'!$M:$M,0))&amp;"",""))),$K3591,0))</f>
        <v/>
      </c>
      <c r="V3591" s="6" t="str">
        <f>IF(AND($A3591&lt;&gt;"",$O3591=1,$L3591="Débit",N($Q3591)&gt;0,$A3591&gt;=Visualisation!$B$1,$A3591&lt;Visualisation!$D$1),MAX($V$1:V3590)+1,"")</f>
        <v/>
      </c>
    </row>
    <row r="3592" spans="1:22" x14ac:dyDescent="0.25">
      <c r="A3592" s="9"/>
      <c r="E3592" s="10"/>
      <c r="K3592" s="11" t="str">
        <f>IF($E3592="","",ROUND($E3592*IF(ISNA(MATCH($C3592,'Paramètres'!$D:$D,0)),1,IF(INDEX('Paramètres'!$J:$J,MATCH($C3592,'Paramètres'!$D:$D,0))="",1,INDEX('Paramètres'!$J:$J,MATCH($C3592,'Paramètres'!$D:$D,0)))),2))</f>
        <v/>
      </c>
      <c r="L3592" s="6" t="str">
        <f>IF($D3592="","",IF($F3592&lt;&gt;"",$F3592,IF(ISNA(MATCH($D3592,'Paramètres'!$M:$M,0)),"⚠ Type inconnu",IFERROR(INDEX('Paramètres'!$P:$P,MATCH($D3592,'Paramètres'!$M:$M,0))&amp;"",""))))</f>
        <v/>
      </c>
      <c r="M3592" s="6" t="str">
        <f>IF($D3592="","",IF(ISNA(MATCH($D3592,'Paramètres'!$M:$M,0)),"⚠ Type inconnu",IF($L3592="Crédit","",IFERROR(INDEX('Paramètres'!$O:$O,MATCH($D3592,'Paramètres'!$M:$M,0))&amp;"",""))))</f>
        <v/>
      </c>
      <c r="N3592" s="6" t="str">
        <f>IF($D3592="","",IFERROR(INDEX('Paramètres'!$Q:$Q,MATCH($D3592,'Paramètres'!$M:$M,0))&amp;"",""))</f>
        <v/>
      </c>
      <c r="O3592" s="6" t="str">
        <f>IF($A3592="","",IF(OR($J3592&lt;&gt;"x",$A3592&lt;=FinReleve),1,0))</f>
        <v/>
      </c>
      <c r="P3592" s="6" t="str">
        <f>IF($D3592="","",IF(AND($L3592="Crédit",OR(IFERROR(INDEX('Paramètres'!$O:$O,MATCH($D3592,'Paramètres'!$M:$M,0))&amp;"","")&lt;&gt;"",ISNUMBER(SEARCH("remboursement",IFERROR(INDEX('Paramètres'!$N:$N,MATCH($D3592,'Paramètres'!$M:$M,0))&amp;"",""))))),1,0))</f>
        <v/>
      </c>
      <c r="Q3592" s="6" t="str">
        <f>IF($K3592="","",IF(ISNUMBER(SEARCH("transfert-interne",IFERROR(INDEX('Paramètres'!$N:$N,MATCH($D3592,'Paramètres'!$M:$M,0))&amp;"",""))),0,IF($L3592="Débit",$K3592,IF($P3592=1,-$K3592,0))))</f>
        <v/>
      </c>
      <c r="R3592" s="6" t="str">
        <f>IF($K3592="","",IF($L3592="Crédit",$K3592,-$K3592))</f>
        <v/>
      </c>
      <c r="S3592" s="6" t="str">
        <f>IF($C3592="","",IFERROR(INDEX('Paramètres'!$H:$H,MATCH($C3592,'Paramètres'!$D:$D,0))&amp;"",""))</f>
        <v/>
      </c>
      <c r="T3592" s="6" t="str">
        <f>IF($K3592="","",IF($S3592="",0,IF(ISNUMBER(SEARCH("apport-exterieur",IFERROR(INDEX('Paramètres'!$N:$N,MATCH($D3592,'Paramètres'!$M:$M,0))&amp;"",""))),0,IF(OR(IFERROR(INDEX('Paramètres'!$I:$I,MATCH($C3592,'Paramètres'!$D:$D,0))&amp;"","")="Les deux",IFERROR(INDEX('Paramètres'!$I:$I,MATCH($C3592,'Paramètres'!$D:$D,0))&amp;"","")=IF($P3592=1,"Débit",$L3592)),-IF($P3592=1,-$K3592,$K3592),0))))</f>
        <v/>
      </c>
      <c r="U3592" s="6" t="str">
        <f>IF($K3592="","",IF(ISNUMBER(SEARCH("sortie-epargne",IFERROR(INDEX('Paramètres'!$N:$N,MATCH($D3592,'Paramètres'!$M:$M,0))&amp;"",""))),$K3592,0))</f>
        <v/>
      </c>
      <c r="V3592" s="6" t="str">
        <f>IF(AND($A3592&lt;&gt;"",$O3592=1,$L3592="Débit",N($Q3592)&gt;0,$A3592&gt;=Visualisation!$B$1,$A3592&lt;Visualisation!$D$1),MAX($V$1:V3591)+1,"")</f>
        <v/>
      </c>
    </row>
    <row r="3593" spans="1:22" x14ac:dyDescent="0.25">
      <c r="A3593" s="9"/>
      <c r="E3593" s="10"/>
      <c r="K3593" s="11" t="str">
        <f>IF($E3593="","",ROUND($E3593*IF(ISNA(MATCH($C3593,'Paramètres'!$D:$D,0)),1,IF(INDEX('Paramètres'!$J:$J,MATCH($C3593,'Paramètres'!$D:$D,0))="",1,INDEX('Paramètres'!$J:$J,MATCH($C3593,'Paramètres'!$D:$D,0)))),2))</f>
        <v/>
      </c>
      <c r="L3593" s="6" t="str">
        <f>IF($D3593="","",IF($F3593&lt;&gt;"",$F3593,IF(ISNA(MATCH($D3593,'Paramètres'!$M:$M,0)),"⚠ Type inconnu",IFERROR(INDEX('Paramètres'!$P:$P,MATCH($D3593,'Paramètres'!$M:$M,0))&amp;"",""))))</f>
        <v/>
      </c>
      <c r="M3593" s="6" t="str">
        <f>IF($D3593="","",IF(ISNA(MATCH($D3593,'Paramètres'!$M:$M,0)),"⚠ Type inconnu",IF($L3593="Crédit","",IFERROR(INDEX('Paramètres'!$O:$O,MATCH($D3593,'Paramètres'!$M:$M,0))&amp;"",""))))</f>
        <v/>
      </c>
      <c r="N3593" s="6" t="str">
        <f>IF($D3593="","",IFERROR(INDEX('Paramètres'!$Q:$Q,MATCH($D3593,'Paramètres'!$M:$M,0))&amp;"",""))</f>
        <v/>
      </c>
      <c r="O3593" s="6" t="str">
        <f>IF($A3593="","",IF(OR($J3593&lt;&gt;"x",$A3593&lt;=FinReleve),1,0))</f>
        <v/>
      </c>
      <c r="P3593" s="6" t="str">
        <f>IF($D3593="","",IF(AND($L3593="Crédit",OR(IFERROR(INDEX('Paramètres'!$O:$O,MATCH($D3593,'Paramètres'!$M:$M,0))&amp;"","")&lt;&gt;"",ISNUMBER(SEARCH("remboursement",IFERROR(INDEX('Paramètres'!$N:$N,MATCH($D3593,'Paramètres'!$M:$M,0))&amp;"",""))))),1,0))</f>
        <v/>
      </c>
      <c r="Q3593" s="6" t="str">
        <f>IF($K3593="","",IF(ISNUMBER(SEARCH("transfert-interne",IFERROR(INDEX('Paramètres'!$N:$N,MATCH($D3593,'Paramètres'!$M:$M,0))&amp;"",""))),0,IF($L3593="Débit",$K3593,IF($P3593=1,-$K3593,0))))</f>
        <v/>
      </c>
      <c r="R3593" s="6" t="str">
        <f>IF($K3593="","",IF($L3593="Crédit",$K3593,-$K3593))</f>
        <v/>
      </c>
      <c r="S3593" s="6" t="str">
        <f>IF($C3593="","",IFERROR(INDEX('Paramètres'!$H:$H,MATCH($C3593,'Paramètres'!$D:$D,0))&amp;"",""))</f>
        <v/>
      </c>
      <c r="T3593" s="6" t="str">
        <f>IF($K3593="","",IF($S3593="",0,IF(ISNUMBER(SEARCH("apport-exterieur",IFERROR(INDEX('Paramètres'!$N:$N,MATCH($D3593,'Paramètres'!$M:$M,0))&amp;"",""))),0,IF(OR(IFERROR(INDEX('Paramètres'!$I:$I,MATCH($C3593,'Paramètres'!$D:$D,0))&amp;"","")="Les deux",IFERROR(INDEX('Paramètres'!$I:$I,MATCH($C3593,'Paramètres'!$D:$D,0))&amp;"","")=IF($P3593=1,"Débit",$L3593)),-IF($P3593=1,-$K3593,$K3593),0))))</f>
        <v/>
      </c>
      <c r="U3593" s="6" t="str">
        <f>IF($K3593="","",IF(ISNUMBER(SEARCH("sortie-epargne",IFERROR(INDEX('Paramètres'!$N:$N,MATCH($D3593,'Paramètres'!$M:$M,0))&amp;"",""))),$K3593,0))</f>
        <v/>
      </c>
      <c r="V3593" s="6" t="str">
        <f>IF(AND($A3593&lt;&gt;"",$O3593=1,$L3593="Débit",N($Q3593)&gt;0,$A3593&gt;=Visualisation!$B$1,$A3593&lt;Visualisation!$D$1),MAX($V$1:V3592)+1,"")</f>
        <v/>
      </c>
    </row>
    <row r="3594" spans="1:22" x14ac:dyDescent="0.25">
      <c r="A3594" s="9"/>
      <c r="E3594" s="10"/>
      <c r="K3594" s="11" t="str">
        <f>IF($E3594="","",ROUND($E3594*IF(ISNA(MATCH($C3594,'Paramètres'!$D:$D,0)),1,IF(INDEX('Paramètres'!$J:$J,MATCH($C3594,'Paramètres'!$D:$D,0))="",1,INDEX('Paramètres'!$J:$J,MATCH($C3594,'Paramètres'!$D:$D,0)))),2))</f>
        <v/>
      </c>
      <c r="L3594" s="6" t="str">
        <f>IF($D3594="","",IF($F3594&lt;&gt;"",$F3594,IF(ISNA(MATCH($D3594,'Paramètres'!$M:$M,0)),"⚠ Type inconnu",IFERROR(INDEX('Paramètres'!$P:$P,MATCH($D3594,'Paramètres'!$M:$M,0))&amp;"",""))))</f>
        <v/>
      </c>
      <c r="M3594" s="6" t="str">
        <f>IF($D3594="","",IF(ISNA(MATCH($D3594,'Paramètres'!$M:$M,0)),"⚠ Type inconnu",IF($L3594="Crédit","",IFERROR(INDEX('Paramètres'!$O:$O,MATCH($D3594,'Paramètres'!$M:$M,0))&amp;"",""))))</f>
        <v/>
      </c>
      <c r="N3594" s="6" t="str">
        <f>IF($D3594="","",IFERROR(INDEX('Paramètres'!$Q:$Q,MATCH($D3594,'Paramètres'!$M:$M,0))&amp;"",""))</f>
        <v/>
      </c>
      <c r="O3594" s="6" t="str">
        <f>IF($A3594="","",IF(OR($J3594&lt;&gt;"x",$A3594&lt;=FinReleve),1,0))</f>
        <v/>
      </c>
      <c r="P3594" s="6" t="str">
        <f>IF($D3594="","",IF(AND($L3594="Crédit",OR(IFERROR(INDEX('Paramètres'!$O:$O,MATCH($D3594,'Paramètres'!$M:$M,0))&amp;"","")&lt;&gt;"",ISNUMBER(SEARCH("remboursement",IFERROR(INDEX('Paramètres'!$N:$N,MATCH($D3594,'Paramètres'!$M:$M,0))&amp;"",""))))),1,0))</f>
        <v/>
      </c>
      <c r="Q3594" s="6" t="str">
        <f>IF($K3594="","",IF(ISNUMBER(SEARCH("transfert-interne",IFERROR(INDEX('Paramètres'!$N:$N,MATCH($D3594,'Paramètres'!$M:$M,0))&amp;"",""))),0,IF($L3594="Débit",$K3594,IF($P3594=1,-$K3594,0))))</f>
        <v/>
      </c>
      <c r="R3594" s="6" t="str">
        <f>IF($K3594="","",IF($L3594="Crédit",$K3594,-$K3594))</f>
        <v/>
      </c>
      <c r="S3594" s="6" t="str">
        <f>IF($C3594="","",IFERROR(INDEX('Paramètres'!$H:$H,MATCH($C3594,'Paramètres'!$D:$D,0))&amp;"",""))</f>
        <v/>
      </c>
      <c r="T3594" s="6" t="str">
        <f>IF($K3594="","",IF($S3594="",0,IF(ISNUMBER(SEARCH("apport-exterieur",IFERROR(INDEX('Paramètres'!$N:$N,MATCH($D3594,'Paramètres'!$M:$M,0))&amp;"",""))),0,IF(OR(IFERROR(INDEX('Paramètres'!$I:$I,MATCH($C3594,'Paramètres'!$D:$D,0))&amp;"","")="Les deux",IFERROR(INDEX('Paramètres'!$I:$I,MATCH($C3594,'Paramètres'!$D:$D,0))&amp;"","")=IF($P3594=1,"Débit",$L3594)),-IF($P3594=1,-$K3594,$K3594),0))))</f>
        <v/>
      </c>
      <c r="U3594" s="6" t="str">
        <f>IF($K3594="","",IF(ISNUMBER(SEARCH("sortie-epargne",IFERROR(INDEX('Paramètres'!$N:$N,MATCH($D3594,'Paramètres'!$M:$M,0))&amp;"",""))),$K3594,0))</f>
        <v/>
      </c>
      <c r="V3594" s="6" t="str">
        <f>IF(AND($A3594&lt;&gt;"",$O3594=1,$L3594="Débit",N($Q3594)&gt;0,$A3594&gt;=Visualisation!$B$1,$A3594&lt;Visualisation!$D$1),MAX($V$1:V3593)+1,"")</f>
        <v/>
      </c>
    </row>
    <row r="3595" spans="1:22" x14ac:dyDescent="0.25">
      <c r="A3595" s="9"/>
      <c r="E3595" s="10"/>
      <c r="K3595" s="11" t="str">
        <f>IF($E3595="","",ROUND($E3595*IF(ISNA(MATCH($C3595,'Paramètres'!$D:$D,0)),1,IF(INDEX('Paramètres'!$J:$J,MATCH($C3595,'Paramètres'!$D:$D,0))="",1,INDEX('Paramètres'!$J:$J,MATCH($C3595,'Paramètres'!$D:$D,0)))),2))</f>
        <v/>
      </c>
      <c r="L3595" s="6" t="str">
        <f>IF($D3595="","",IF($F3595&lt;&gt;"",$F3595,IF(ISNA(MATCH($D3595,'Paramètres'!$M:$M,0)),"⚠ Type inconnu",IFERROR(INDEX('Paramètres'!$P:$P,MATCH($D3595,'Paramètres'!$M:$M,0))&amp;"",""))))</f>
        <v/>
      </c>
      <c r="M3595" s="6" t="str">
        <f>IF($D3595="","",IF(ISNA(MATCH($D3595,'Paramètres'!$M:$M,0)),"⚠ Type inconnu",IF($L3595="Crédit","",IFERROR(INDEX('Paramètres'!$O:$O,MATCH($D3595,'Paramètres'!$M:$M,0))&amp;"",""))))</f>
        <v/>
      </c>
      <c r="N3595" s="6" t="str">
        <f>IF($D3595="","",IFERROR(INDEX('Paramètres'!$Q:$Q,MATCH($D3595,'Paramètres'!$M:$M,0))&amp;"",""))</f>
        <v/>
      </c>
      <c r="O3595" s="6" t="str">
        <f>IF($A3595="","",IF(OR($J3595&lt;&gt;"x",$A3595&lt;=FinReleve),1,0))</f>
        <v/>
      </c>
      <c r="P3595" s="6" t="str">
        <f>IF($D3595="","",IF(AND($L3595="Crédit",OR(IFERROR(INDEX('Paramètres'!$O:$O,MATCH($D3595,'Paramètres'!$M:$M,0))&amp;"","")&lt;&gt;"",ISNUMBER(SEARCH("remboursement",IFERROR(INDEX('Paramètres'!$N:$N,MATCH($D3595,'Paramètres'!$M:$M,0))&amp;"",""))))),1,0))</f>
        <v/>
      </c>
      <c r="Q3595" s="6" t="str">
        <f>IF($K3595="","",IF(ISNUMBER(SEARCH("transfert-interne",IFERROR(INDEX('Paramètres'!$N:$N,MATCH($D3595,'Paramètres'!$M:$M,0))&amp;"",""))),0,IF($L3595="Débit",$K3595,IF($P3595=1,-$K3595,0))))</f>
        <v/>
      </c>
      <c r="R3595" s="6" t="str">
        <f>IF($K3595="","",IF($L3595="Crédit",$K3595,-$K3595))</f>
        <v/>
      </c>
      <c r="S3595" s="6" t="str">
        <f>IF($C3595="","",IFERROR(INDEX('Paramètres'!$H:$H,MATCH($C3595,'Paramètres'!$D:$D,0))&amp;"",""))</f>
        <v/>
      </c>
      <c r="T3595" s="6" t="str">
        <f>IF($K3595="","",IF($S3595="",0,IF(ISNUMBER(SEARCH("apport-exterieur",IFERROR(INDEX('Paramètres'!$N:$N,MATCH($D3595,'Paramètres'!$M:$M,0))&amp;"",""))),0,IF(OR(IFERROR(INDEX('Paramètres'!$I:$I,MATCH($C3595,'Paramètres'!$D:$D,0))&amp;"","")="Les deux",IFERROR(INDEX('Paramètres'!$I:$I,MATCH($C3595,'Paramètres'!$D:$D,0))&amp;"","")=IF($P3595=1,"Débit",$L3595)),-IF($P3595=1,-$K3595,$K3595),0))))</f>
        <v/>
      </c>
      <c r="U3595" s="6" t="str">
        <f>IF($K3595="","",IF(ISNUMBER(SEARCH("sortie-epargne",IFERROR(INDEX('Paramètres'!$N:$N,MATCH($D3595,'Paramètres'!$M:$M,0))&amp;"",""))),$K3595,0))</f>
        <v/>
      </c>
      <c r="V3595" s="6" t="str">
        <f>IF(AND($A3595&lt;&gt;"",$O3595=1,$L3595="Débit",N($Q3595)&gt;0,$A3595&gt;=Visualisation!$B$1,$A3595&lt;Visualisation!$D$1),MAX($V$1:V3594)+1,"")</f>
        <v/>
      </c>
    </row>
    <row r="3596" spans="1:22" x14ac:dyDescent="0.25">
      <c r="A3596" s="9"/>
      <c r="E3596" s="10"/>
      <c r="K3596" s="11" t="str">
        <f>IF($E3596="","",ROUND($E3596*IF(ISNA(MATCH($C3596,'Paramètres'!$D:$D,0)),1,IF(INDEX('Paramètres'!$J:$J,MATCH($C3596,'Paramètres'!$D:$D,0))="",1,INDEX('Paramètres'!$J:$J,MATCH($C3596,'Paramètres'!$D:$D,0)))),2))</f>
        <v/>
      </c>
      <c r="L3596" s="6" t="str">
        <f>IF($D3596="","",IF($F3596&lt;&gt;"",$F3596,IF(ISNA(MATCH($D3596,'Paramètres'!$M:$M,0)),"⚠ Type inconnu",IFERROR(INDEX('Paramètres'!$P:$P,MATCH($D3596,'Paramètres'!$M:$M,0))&amp;"",""))))</f>
        <v/>
      </c>
      <c r="M3596" s="6" t="str">
        <f>IF($D3596="","",IF(ISNA(MATCH($D3596,'Paramètres'!$M:$M,0)),"⚠ Type inconnu",IF($L3596="Crédit","",IFERROR(INDEX('Paramètres'!$O:$O,MATCH($D3596,'Paramètres'!$M:$M,0))&amp;"",""))))</f>
        <v/>
      </c>
      <c r="N3596" s="6" t="str">
        <f>IF($D3596="","",IFERROR(INDEX('Paramètres'!$Q:$Q,MATCH($D3596,'Paramètres'!$M:$M,0))&amp;"",""))</f>
        <v/>
      </c>
      <c r="O3596" s="6" t="str">
        <f>IF($A3596="","",IF(OR($J3596&lt;&gt;"x",$A3596&lt;=FinReleve),1,0))</f>
        <v/>
      </c>
      <c r="P3596" s="6" t="str">
        <f>IF($D3596="","",IF(AND($L3596="Crédit",OR(IFERROR(INDEX('Paramètres'!$O:$O,MATCH($D3596,'Paramètres'!$M:$M,0))&amp;"","")&lt;&gt;"",ISNUMBER(SEARCH("remboursement",IFERROR(INDEX('Paramètres'!$N:$N,MATCH($D3596,'Paramètres'!$M:$M,0))&amp;"",""))))),1,0))</f>
        <v/>
      </c>
      <c r="Q3596" s="6" t="str">
        <f>IF($K3596="","",IF(ISNUMBER(SEARCH("transfert-interne",IFERROR(INDEX('Paramètres'!$N:$N,MATCH($D3596,'Paramètres'!$M:$M,0))&amp;"",""))),0,IF($L3596="Débit",$K3596,IF($P3596=1,-$K3596,0))))</f>
        <v/>
      </c>
      <c r="R3596" s="6" t="str">
        <f>IF($K3596="","",IF($L3596="Crédit",$K3596,-$K3596))</f>
        <v/>
      </c>
      <c r="S3596" s="6" t="str">
        <f>IF($C3596="","",IFERROR(INDEX('Paramètres'!$H:$H,MATCH($C3596,'Paramètres'!$D:$D,0))&amp;"",""))</f>
        <v/>
      </c>
      <c r="T3596" s="6" t="str">
        <f>IF($K3596="","",IF($S3596="",0,IF(ISNUMBER(SEARCH("apport-exterieur",IFERROR(INDEX('Paramètres'!$N:$N,MATCH($D3596,'Paramètres'!$M:$M,0))&amp;"",""))),0,IF(OR(IFERROR(INDEX('Paramètres'!$I:$I,MATCH($C3596,'Paramètres'!$D:$D,0))&amp;"","")="Les deux",IFERROR(INDEX('Paramètres'!$I:$I,MATCH($C3596,'Paramètres'!$D:$D,0))&amp;"","")=IF($P3596=1,"Débit",$L3596)),-IF($P3596=1,-$K3596,$K3596),0))))</f>
        <v/>
      </c>
      <c r="U3596" s="6" t="str">
        <f>IF($K3596="","",IF(ISNUMBER(SEARCH("sortie-epargne",IFERROR(INDEX('Paramètres'!$N:$N,MATCH($D3596,'Paramètres'!$M:$M,0))&amp;"",""))),$K3596,0))</f>
        <v/>
      </c>
      <c r="V3596" s="6" t="str">
        <f>IF(AND($A3596&lt;&gt;"",$O3596=1,$L3596="Débit",N($Q3596)&gt;0,$A3596&gt;=Visualisation!$B$1,$A3596&lt;Visualisation!$D$1),MAX($V$1:V3595)+1,"")</f>
        <v/>
      </c>
    </row>
    <row r="3597" spans="1:22" x14ac:dyDescent="0.25">
      <c r="A3597" s="9"/>
      <c r="E3597" s="10"/>
      <c r="K3597" s="11" t="str">
        <f>IF($E3597="","",ROUND($E3597*IF(ISNA(MATCH($C3597,'Paramètres'!$D:$D,0)),1,IF(INDEX('Paramètres'!$J:$J,MATCH($C3597,'Paramètres'!$D:$D,0))="",1,INDEX('Paramètres'!$J:$J,MATCH($C3597,'Paramètres'!$D:$D,0)))),2))</f>
        <v/>
      </c>
      <c r="L3597" s="6" t="str">
        <f>IF($D3597="","",IF($F3597&lt;&gt;"",$F3597,IF(ISNA(MATCH($D3597,'Paramètres'!$M:$M,0)),"⚠ Type inconnu",IFERROR(INDEX('Paramètres'!$P:$P,MATCH($D3597,'Paramètres'!$M:$M,0))&amp;"",""))))</f>
        <v/>
      </c>
      <c r="M3597" s="6" t="str">
        <f>IF($D3597="","",IF(ISNA(MATCH($D3597,'Paramètres'!$M:$M,0)),"⚠ Type inconnu",IF($L3597="Crédit","",IFERROR(INDEX('Paramètres'!$O:$O,MATCH($D3597,'Paramètres'!$M:$M,0))&amp;"",""))))</f>
        <v/>
      </c>
      <c r="N3597" s="6" t="str">
        <f>IF($D3597="","",IFERROR(INDEX('Paramètres'!$Q:$Q,MATCH($D3597,'Paramètres'!$M:$M,0))&amp;"",""))</f>
        <v/>
      </c>
      <c r="O3597" s="6" t="str">
        <f>IF($A3597="","",IF(OR($J3597&lt;&gt;"x",$A3597&lt;=FinReleve),1,0))</f>
        <v/>
      </c>
      <c r="P3597" s="6" t="str">
        <f>IF($D3597="","",IF(AND($L3597="Crédit",OR(IFERROR(INDEX('Paramètres'!$O:$O,MATCH($D3597,'Paramètres'!$M:$M,0))&amp;"","")&lt;&gt;"",ISNUMBER(SEARCH("remboursement",IFERROR(INDEX('Paramètres'!$N:$N,MATCH($D3597,'Paramètres'!$M:$M,0))&amp;"",""))))),1,0))</f>
        <v/>
      </c>
      <c r="Q3597" s="6" t="str">
        <f>IF($K3597="","",IF(ISNUMBER(SEARCH("transfert-interne",IFERROR(INDEX('Paramètres'!$N:$N,MATCH($D3597,'Paramètres'!$M:$M,0))&amp;"",""))),0,IF($L3597="Débit",$K3597,IF($P3597=1,-$K3597,0))))</f>
        <v/>
      </c>
      <c r="R3597" s="6" t="str">
        <f>IF($K3597="","",IF($L3597="Crédit",$K3597,-$K3597))</f>
        <v/>
      </c>
      <c r="S3597" s="6" t="str">
        <f>IF($C3597="","",IFERROR(INDEX('Paramètres'!$H:$H,MATCH($C3597,'Paramètres'!$D:$D,0))&amp;"",""))</f>
        <v/>
      </c>
      <c r="T3597" s="6" t="str">
        <f>IF($K3597="","",IF($S3597="",0,IF(ISNUMBER(SEARCH("apport-exterieur",IFERROR(INDEX('Paramètres'!$N:$N,MATCH($D3597,'Paramètres'!$M:$M,0))&amp;"",""))),0,IF(OR(IFERROR(INDEX('Paramètres'!$I:$I,MATCH($C3597,'Paramètres'!$D:$D,0))&amp;"","")="Les deux",IFERROR(INDEX('Paramètres'!$I:$I,MATCH($C3597,'Paramètres'!$D:$D,0))&amp;"","")=IF($P3597=1,"Débit",$L3597)),-IF($P3597=1,-$K3597,$K3597),0))))</f>
        <v/>
      </c>
      <c r="U3597" s="6" t="str">
        <f>IF($K3597="","",IF(ISNUMBER(SEARCH("sortie-epargne",IFERROR(INDEX('Paramètres'!$N:$N,MATCH($D3597,'Paramètres'!$M:$M,0))&amp;"",""))),$K3597,0))</f>
        <v/>
      </c>
      <c r="V3597" s="6" t="str">
        <f>IF(AND($A3597&lt;&gt;"",$O3597=1,$L3597="Débit",N($Q3597)&gt;0,$A3597&gt;=Visualisation!$B$1,$A3597&lt;Visualisation!$D$1),MAX($V$1:V3596)+1,"")</f>
        <v/>
      </c>
    </row>
    <row r="3598" spans="1:22" x14ac:dyDescent="0.25">
      <c r="A3598" s="9"/>
      <c r="E3598" s="10"/>
      <c r="K3598" s="11" t="str">
        <f>IF($E3598="","",ROUND($E3598*IF(ISNA(MATCH($C3598,'Paramètres'!$D:$D,0)),1,IF(INDEX('Paramètres'!$J:$J,MATCH($C3598,'Paramètres'!$D:$D,0))="",1,INDEX('Paramètres'!$J:$J,MATCH($C3598,'Paramètres'!$D:$D,0)))),2))</f>
        <v/>
      </c>
      <c r="L3598" s="6" t="str">
        <f>IF($D3598="","",IF($F3598&lt;&gt;"",$F3598,IF(ISNA(MATCH($D3598,'Paramètres'!$M:$M,0)),"⚠ Type inconnu",IFERROR(INDEX('Paramètres'!$P:$P,MATCH($D3598,'Paramètres'!$M:$M,0))&amp;"",""))))</f>
        <v/>
      </c>
      <c r="M3598" s="6" t="str">
        <f>IF($D3598="","",IF(ISNA(MATCH($D3598,'Paramètres'!$M:$M,0)),"⚠ Type inconnu",IF($L3598="Crédit","",IFERROR(INDEX('Paramètres'!$O:$O,MATCH($D3598,'Paramètres'!$M:$M,0))&amp;"",""))))</f>
        <v/>
      </c>
      <c r="N3598" s="6" t="str">
        <f>IF($D3598="","",IFERROR(INDEX('Paramètres'!$Q:$Q,MATCH($D3598,'Paramètres'!$M:$M,0))&amp;"",""))</f>
        <v/>
      </c>
      <c r="O3598" s="6" t="str">
        <f>IF($A3598="","",IF(OR($J3598&lt;&gt;"x",$A3598&lt;=FinReleve),1,0))</f>
        <v/>
      </c>
      <c r="P3598" s="6" t="str">
        <f>IF($D3598="","",IF(AND($L3598="Crédit",OR(IFERROR(INDEX('Paramètres'!$O:$O,MATCH($D3598,'Paramètres'!$M:$M,0))&amp;"","")&lt;&gt;"",ISNUMBER(SEARCH("remboursement",IFERROR(INDEX('Paramètres'!$N:$N,MATCH($D3598,'Paramètres'!$M:$M,0))&amp;"",""))))),1,0))</f>
        <v/>
      </c>
      <c r="Q3598" s="6" t="str">
        <f>IF($K3598="","",IF(ISNUMBER(SEARCH("transfert-interne",IFERROR(INDEX('Paramètres'!$N:$N,MATCH($D3598,'Paramètres'!$M:$M,0))&amp;"",""))),0,IF($L3598="Débit",$K3598,IF($P3598=1,-$K3598,0))))</f>
        <v/>
      </c>
      <c r="R3598" s="6" t="str">
        <f>IF($K3598="","",IF($L3598="Crédit",$K3598,-$K3598))</f>
        <v/>
      </c>
      <c r="S3598" s="6" t="str">
        <f>IF($C3598="","",IFERROR(INDEX('Paramètres'!$H:$H,MATCH($C3598,'Paramètres'!$D:$D,0))&amp;"",""))</f>
        <v/>
      </c>
      <c r="T3598" s="6" t="str">
        <f>IF($K3598="","",IF($S3598="",0,IF(ISNUMBER(SEARCH("apport-exterieur",IFERROR(INDEX('Paramètres'!$N:$N,MATCH($D3598,'Paramètres'!$M:$M,0))&amp;"",""))),0,IF(OR(IFERROR(INDEX('Paramètres'!$I:$I,MATCH($C3598,'Paramètres'!$D:$D,0))&amp;"","")="Les deux",IFERROR(INDEX('Paramètres'!$I:$I,MATCH($C3598,'Paramètres'!$D:$D,0))&amp;"","")=IF($P3598=1,"Débit",$L3598)),-IF($P3598=1,-$K3598,$K3598),0))))</f>
        <v/>
      </c>
      <c r="U3598" s="6" t="str">
        <f>IF($K3598="","",IF(ISNUMBER(SEARCH("sortie-epargne",IFERROR(INDEX('Paramètres'!$N:$N,MATCH($D3598,'Paramètres'!$M:$M,0))&amp;"",""))),$K3598,0))</f>
        <v/>
      </c>
      <c r="V3598" s="6" t="str">
        <f>IF(AND($A3598&lt;&gt;"",$O3598=1,$L3598="Débit",N($Q3598)&gt;0,$A3598&gt;=Visualisation!$B$1,$A3598&lt;Visualisation!$D$1),MAX($V$1:V3597)+1,"")</f>
        <v/>
      </c>
    </row>
    <row r="3599" spans="1:22" x14ac:dyDescent="0.25">
      <c r="A3599" s="9"/>
      <c r="E3599" s="10"/>
      <c r="K3599" s="11" t="str">
        <f>IF($E3599="","",ROUND($E3599*IF(ISNA(MATCH($C3599,'Paramètres'!$D:$D,0)),1,IF(INDEX('Paramètres'!$J:$J,MATCH($C3599,'Paramètres'!$D:$D,0))="",1,INDEX('Paramètres'!$J:$J,MATCH($C3599,'Paramètres'!$D:$D,0)))),2))</f>
        <v/>
      </c>
      <c r="L3599" s="6" t="str">
        <f>IF($D3599="","",IF($F3599&lt;&gt;"",$F3599,IF(ISNA(MATCH($D3599,'Paramètres'!$M:$M,0)),"⚠ Type inconnu",IFERROR(INDEX('Paramètres'!$P:$P,MATCH($D3599,'Paramètres'!$M:$M,0))&amp;"",""))))</f>
        <v/>
      </c>
      <c r="M3599" s="6" t="str">
        <f>IF($D3599="","",IF(ISNA(MATCH($D3599,'Paramètres'!$M:$M,0)),"⚠ Type inconnu",IF($L3599="Crédit","",IFERROR(INDEX('Paramètres'!$O:$O,MATCH($D3599,'Paramètres'!$M:$M,0))&amp;"",""))))</f>
        <v/>
      </c>
      <c r="N3599" s="6" t="str">
        <f>IF($D3599="","",IFERROR(INDEX('Paramètres'!$Q:$Q,MATCH($D3599,'Paramètres'!$M:$M,0))&amp;"",""))</f>
        <v/>
      </c>
      <c r="O3599" s="6" t="str">
        <f>IF($A3599="","",IF(OR($J3599&lt;&gt;"x",$A3599&lt;=FinReleve),1,0))</f>
        <v/>
      </c>
      <c r="P3599" s="6" t="str">
        <f>IF($D3599="","",IF(AND($L3599="Crédit",OR(IFERROR(INDEX('Paramètres'!$O:$O,MATCH($D3599,'Paramètres'!$M:$M,0))&amp;"","")&lt;&gt;"",ISNUMBER(SEARCH("remboursement",IFERROR(INDEX('Paramètres'!$N:$N,MATCH($D3599,'Paramètres'!$M:$M,0))&amp;"",""))))),1,0))</f>
        <v/>
      </c>
      <c r="Q3599" s="6" t="str">
        <f>IF($K3599="","",IF(ISNUMBER(SEARCH("transfert-interne",IFERROR(INDEX('Paramètres'!$N:$N,MATCH($D3599,'Paramètres'!$M:$M,0))&amp;"",""))),0,IF($L3599="Débit",$K3599,IF($P3599=1,-$K3599,0))))</f>
        <v/>
      </c>
      <c r="R3599" s="6" t="str">
        <f>IF($K3599="","",IF($L3599="Crédit",$K3599,-$K3599))</f>
        <v/>
      </c>
      <c r="S3599" s="6" t="str">
        <f>IF($C3599="","",IFERROR(INDEX('Paramètres'!$H:$H,MATCH($C3599,'Paramètres'!$D:$D,0))&amp;"",""))</f>
        <v/>
      </c>
      <c r="T3599" s="6" t="str">
        <f>IF($K3599="","",IF($S3599="",0,IF(ISNUMBER(SEARCH("apport-exterieur",IFERROR(INDEX('Paramètres'!$N:$N,MATCH($D3599,'Paramètres'!$M:$M,0))&amp;"",""))),0,IF(OR(IFERROR(INDEX('Paramètres'!$I:$I,MATCH($C3599,'Paramètres'!$D:$D,0))&amp;"","")="Les deux",IFERROR(INDEX('Paramètres'!$I:$I,MATCH($C3599,'Paramètres'!$D:$D,0))&amp;"","")=IF($P3599=1,"Débit",$L3599)),-IF($P3599=1,-$K3599,$K3599),0))))</f>
        <v/>
      </c>
      <c r="U3599" s="6" t="str">
        <f>IF($K3599="","",IF(ISNUMBER(SEARCH("sortie-epargne",IFERROR(INDEX('Paramètres'!$N:$N,MATCH($D3599,'Paramètres'!$M:$M,0))&amp;"",""))),$K3599,0))</f>
        <v/>
      </c>
      <c r="V3599" s="6" t="str">
        <f>IF(AND($A3599&lt;&gt;"",$O3599=1,$L3599="Débit",N($Q3599)&gt;0,$A3599&gt;=Visualisation!$B$1,$A3599&lt;Visualisation!$D$1),MAX($V$1:V3598)+1,"")</f>
        <v/>
      </c>
    </row>
    <row r="3600" spans="1:22" x14ac:dyDescent="0.25">
      <c r="A3600" s="9"/>
      <c r="E3600" s="10"/>
      <c r="K3600" s="11" t="str">
        <f>IF($E3600="","",ROUND($E3600*IF(ISNA(MATCH($C3600,'Paramètres'!$D:$D,0)),1,IF(INDEX('Paramètres'!$J:$J,MATCH($C3600,'Paramètres'!$D:$D,0))="",1,INDEX('Paramètres'!$J:$J,MATCH($C3600,'Paramètres'!$D:$D,0)))),2))</f>
        <v/>
      </c>
      <c r="L3600" s="6" t="str">
        <f>IF($D3600="","",IF($F3600&lt;&gt;"",$F3600,IF(ISNA(MATCH($D3600,'Paramètres'!$M:$M,0)),"⚠ Type inconnu",IFERROR(INDEX('Paramètres'!$P:$P,MATCH($D3600,'Paramètres'!$M:$M,0))&amp;"",""))))</f>
        <v/>
      </c>
      <c r="M3600" s="6" t="str">
        <f>IF($D3600="","",IF(ISNA(MATCH($D3600,'Paramètres'!$M:$M,0)),"⚠ Type inconnu",IF($L3600="Crédit","",IFERROR(INDEX('Paramètres'!$O:$O,MATCH($D3600,'Paramètres'!$M:$M,0))&amp;"",""))))</f>
        <v/>
      </c>
      <c r="N3600" s="6" t="str">
        <f>IF($D3600="","",IFERROR(INDEX('Paramètres'!$Q:$Q,MATCH($D3600,'Paramètres'!$M:$M,0))&amp;"",""))</f>
        <v/>
      </c>
      <c r="O3600" s="6" t="str">
        <f>IF($A3600="","",IF(OR($J3600&lt;&gt;"x",$A3600&lt;=FinReleve),1,0))</f>
        <v/>
      </c>
      <c r="P3600" s="6" t="str">
        <f>IF($D3600="","",IF(AND($L3600="Crédit",OR(IFERROR(INDEX('Paramètres'!$O:$O,MATCH($D3600,'Paramètres'!$M:$M,0))&amp;"","")&lt;&gt;"",ISNUMBER(SEARCH("remboursement",IFERROR(INDEX('Paramètres'!$N:$N,MATCH($D3600,'Paramètres'!$M:$M,0))&amp;"",""))))),1,0))</f>
        <v/>
      </c>
      <c r="Q3600" s="6" t="str">
        <f>IF($K3600="","",IF(ISNUMBER(SEARCH("transfert-interne",IFERROR(INDEX('Paramètres'!$N:$N,MATCH($D3600,'Paramètres'!$M:$M,0))&amp;"",""))),0,IF($L3600="Débit",$K3600,IF($P3600=1,-$K3600,0))))</f>
        <v/>
      </c>
      <c r="R3600" s="6" t="str">
        <f>IF($K3600="","",IF($L3600="Crédit",$K3600,-$K3600))</f>
        <v/>
      </c>
      <c r="S3600" s="6" t="str">
        <f>IF($C3600="","",IFERROR(INDEX('Paramètres'!$H:$H,MATCH($C3600,'Paramètres'!$D:$D,0))&amp;"",""))</f>
        <v/>
      </c>
      <c r="T3600" s="6" t="str">
        <f>IF($K3600="","",IF($S3600="",0,IF(ISNUMBER(SEARCH("apport-exterieur",IFERROR(INDEX('Paramètres'!$N:$N,MATCH($D3600,'Paramètres'!$M:$M,0))&amp;"",""))),0,IF(OR(IFERROR(INDEX('Paramètres'!$I:$I,MATCH($C3600,'Paramètres'!$D:$D,0))&amp;"","")="Les deux",IFERROR(INDEX('Paramètres'!$I:$I,MATCH($C3600,'Paramètres'!$D:$D,0))&amp;"","")=IF($P3600=1,"Débit",$L3600)),-IF($P3600=1,-$K3600,$K3600),0))))</f>
        <v/>
      </c>
      <c r="U3600" s="6" t="str">
        <f>IF($K3600="","",IF(ISNUMBER(SEARCH("sortie-epargne",IFERROR(INDEX('Paramètres'!$N:$N,MATCH($D3600,'Paramètres'!$M:$M,0))&amp;"",""))),$K3600,0))</f>
        <v/>
      </c>
      <c r="V3600" s="6" t="str">
        <f>IF(AND($A3600&lt;&gt;"",$O3600=1,$L3600="Débit",N($Q3600)&gt;0,$A3600&gt;=Visualisation!$B$1,$A3600&lt;Visualisation!$D$1),MAX($V$1:V3599)+1,"")</f>
        <v/>
      </c>
    </row>
    <row r="3601" spans="1:22" x14ac:dyDescent="0.25">
      <c r="A3601" s="9"/>
      <c r="E3601" s="10"/>
      <c r="K3601" s="11" t="str">
        <f>IF($E3601="","",ROUND($E3601*IF(ISNA(MATCH($C3601,'Paramètres'!$D:$D,0)),1,IF(INDEX('Paramètres'!$J:$J,MATCH($C3601,'Paramètres'!$D:$D,0))="",1,INDEX('Paramètres'!$J:$J,MATCH($C3601,'Paramètres'!$D:$D,0)))),2))</f>
        <v/>
      </c>
      <c r="L3601" s="6" t="str">
        <f>IF($D3601="","",IF($F3601&lt;&gt;"",$F3601,IF(ISNA(MATCH($D3601,'Paramètres'!$M:$M,0)),"⚠ Type inconnu",IFERROR(INDEX('Paramètres'!$P:$P,MATCH($D3601,'Paramètres'!$M:$M,0))&amp;"",""))))</f>
        <v/>
      </c>
      <c r="M3601" s="6" t="str">
        <f>IF($D3601="","",IF(ISNA(MATCH($D3601,'Paramètres'!$M:$M,0)),"⚠ Type inconnu",IF($L3601="Crédit","",IFERROR(INDEX('Paramètres'!$O:$O,MATCH($D3601,'Paramètres'!$M:$M,0))&amp;"",""))))</f>
        <v/>
      </c>
      <c r="N3601" s="6" t="str">
        <f>IF($D3601="","",IFERROR(INDEX('Paramètres'!$Q:$Q,MATCH($D3601,'Paramètres'!$M:$M,0))&amp;"",""))</f>
        <v/>
      </c>
      <c r="O3601" s="6" t="str">
        <f>IF($A3601="","",IF(OR($J3601&lt;&gt;"x",$A3601&lt;=FinReleve),1,0))</f>
        <v/>
      </c>
      <c r="P3601" s="6" t="str">
        <f>IF($D3601="","",IF(AND($L3601="Crédit",OR(IFERROR(INDEX('Paramètres'!$O:$O,MATCH($D3601,'Paramètres'!$M:$M,0))&amp;"","")&lt;&gt;"",ISNUMBER(SEARCH("remboursement",IFERROR(INDEX('Paramètres'!$N:$N,MATCH($D3601,'Paramètres'!$M:$M,0))&amp;"",""))))),1,0))</f>
        <v/>
      </c>
      <c r="Q3601" s="6" t="str">
        <f>IF($K3601="","",IF(ISNUMBER(SEARCH("transfert-interne",IFERROR(INDEX('Paramètres'!$N:$N,MATCH($D3601,'Paramètres'!$M:$M,0))&amp;"",""))),0,IF($L3601="Débit",$K3601,IF($P3601=1,-$K3601,0))))</f>
        <v/>
      </c>
      <c r="R3601" s="6" t="str">
        <f>IF($K3601="","",IF($L3601="Crédit",$K3601,-$K3601))</f>
        <v/>
      </c>
      <c r="S3601" s="6" t="str">
        <f>IF($C3601="","",IFERROR(INDEX('Paramètres'!$H:$H,MATCH($C3601,'Paramètres'!$D:$D,0))&amp;"",""))</f>
        <v/>
      </c>
      <c r="T3601" s="6" t="str">
        <f>IF($K3601="","",IF($S3601="",0,IF(ISNUMBER(SEARCH("apport-exterieur",IFERROR(INDEX('Paramètres'!$N:$N,MATCH($D3601,'Paramètres'!$M:$M,0))&amp;"",""))),0,IF(OR(IFERROR(INDEX('Paramètres'!$I:$I,MATCH($C3601,'Paramètres'!$D:$D,0))&amp;"","")="Les deux",IFERROR(INDEX('Paramètres'!$I:$I,MATCH($C3601,'Paramètres'!$D:$D,0))&amp;"","")=IF($P3601=1,"Débit",$L3601)),-IF($P3601=1,-$K3601,$K3601),0))))</f>
        <v/>
      </c>
      <c r="U3601" s="6" t="str">
        <f>IF($K3601="","",IF(ISNUMBER(SEARCH("sortie-epargne",IFERROR(INDEX('Paramètres'!$N:$N,MATCH($D3601,'Paramètres'!$M:$M,0))&amp;"",""))),$K3601,0))</f>
        <v/>
      </c>
      <c r="V3601" s="6" t="str">
        <f>IF(AND($A3601&lt;&gt;"",$O3601=1,$L3601="Débit",N($Q3601)&gt;0,$A3601&gt;=Visualisation!$B$1,$A3601&lt;Visualisation!$D$1),MAX($V$1:V3600)+1,"")</f>
        <v/>
      </c>
    </row>
    <row r="3602" spans="1:22" x14ac:dyDescent="0.25">
      <c r="A3602" s="9"/>
      <c r="E3602" s="10"/>
      <c r="K3602" s="11" t="str">
        <f>IF($E3602="","",ROUND($E3602*IF(ISNA(MATCH($C3602,'Paramètres'!$D:$D,0)),1,IF(INDEX('Paramètres'!$J:$J,MATCH($C3602,'Paramètres'!$D:$D,0))="",1,INDEX('Paramètres'!$J:$J,MATCH($C3602,'Paramètres'!$D:$D,0)))),2))</f>
        <v/>
      </c>
      <c r="L3602" s="6" t="str">
        <f>IF($D3602="","",IF($F3602&lt;&gt;"",$F3602,IF(ISNA(MATCH($D3602,'Paramètres'!$M:$M,0)),"⚠ Type inconnu",IFERROR(INDEX('Paramètres'!$P:$P,MATCH($D3602,'Paramètres'!$M:$M,0))&amp;"",""))))</f>
        <v/>
      </c>
      <c r="M3602" s="6" t="str">
        <f>IF($D3602="","",IF(ISNA(MATCH($D3602,'Paramètres'!$M:$M,0)),"⚠ Type inconnu",IF($L3602="Crédit","",IFERROR(INDEX('Paramètres'!$O:$O,MATCH($D3602,'Paramètres'!$M:$M,0))&amp;"",""))))</f>
        <v/>
      </c>
      <c r="N3602" s="6" t="str">
        <f>IF($D3602="","",IFERROR(INDEX('Paramètres'!$Q:$Q,MATCH($D3602,'Paramètres'!$M:$M,0))&amp;"",""))</f>
        <v/>
      </c>
      <c r="O3602" s="6" t="str">
        <f>IF($A3602="","",IF(OR($J3602&lt;&gt;"x",$A3602&lt;=FinReleve),1,0))</f>
        <v/>
      </c>
      <c r="P3602" s="6" t="str">
        <f>IF($D3602="","",IF(AND($L3602="Crédit",OR(IFERROR(INDEX('Paramètres'!$O:$O,MATCH($D3602,'Paramètres'!$M:$M,0))&amp;"","")&lt;&gt;"",ISNUMBER(SEARCH("remboursement",IFERROR(INDEX('Paramètres'!$N:$N,MATCH($D3602,'Paramètres'!$M:$M,0))&amp;"",""))))),1,0))</f>
        <v/>
      </c>
      <c r="Q3602" s="6" t="str">
        <f>IF($K3602="","",IF(ISNUMBER(SEARCH("transfert-interne",IFERROR(INDEX('Paramètres'!$N:$N,MATCH($D3602,'Paramètres'!$M:$M,0))&amp;"",""))),0,IF($L3602="Débit",$K3602,IF($P3602=1,-$K3602,0))))</f>
        <v/>
      </c>
      <c r="R3602" s="6" t="str">
        <f>IF($K3602="","",IF($L3602="Crédit",$K3602,-$K3602))</f>
        <v/>
      </c>
      <c r="S3602" s="6" t="str">
        <f>IF($C3602="","",IFERROR(INDEX('Paramètres'!$H:$H,MATCH($C3602,'Paramètres'!$D:$D,0))&amp;"",""))</f>
        <v/>
      </c>
      <c r="T3602" s="6" t="str">
        <f>IF($K3602="","",IF($S3602="",0,IF(ISNUMBER(SEARCH("apport-exterieur",IFERROR(INDEX('Paramètres'!$N:$N,MATCH($D3602,'Paramètres'!$M:$M,0))&amp;"",""))),0,IF(OR(IFERROR(INDEX('Paramètres'!$I:$I,MATCH($C3602,'Paramètres'!$D:$D,0))&amp;"","")="Les deux",IFERROR(INDEX('Paramètres'!$I:$I,MATCH($C3602,'Paramètres'!$D:$D,0))&amp;"","")=IF($P3602=1,"Débit",$L3602)),-IF($P3602=1,-$K3602,$K3602),0))))</f>
        <v/>
      </c>
      <c r="U3602" s="6" t="str">
        <f>IF($K3602="","",IF(ISNUMBER(SEARCH("sortie-epargne",IFERROR(INDEX('Paramètres'!$N:$N,MATCH($D3602,'Paramètres'!$M:$M,0))&amp;"",""))),$K3602,0))</f>
        <v/>
      </c>
      <c r="V3602" s="6" t="str">
        <f>IF(AND($A3602&lt;&gt;"",$O3602=1,$L3602="Débit",N($Q3602)&gt;0,$A3602&gt;=Visualisation!$B$1,$A3602&lt;Visualisation!$D$1),MAX($V$1:V3601)+1,"")</f>
        <v/>
      </c>
    </row>
    <row r="3603" spans="1:22" x14ac:dyDescent="0.25">
      <c r="A3603" s="9"/>
      <c r="E3603" s="10"/>
      <c r="K3603" s="11" t="str">
        <f>IF($E3603="","",ROUND($E3603*IF(ISNA(MATCH($C3603,'Paramètres'!$D:$D,0)),1,IF(INDEX('Paramètres'!$J:$J,MATCH($C3603,'Paramètres'!$D:$D,0))="",1,INDEX('Paramètres'!$J:$J,MATCH($C3603,'Paramètres'!$D:$D,0)))),2))</f>
        <v/>
      </c>
      <c r="L3603" s="6" t="str">
        <f>IF($D3603="","",IF($F3603&lt;&gt;"",$F3603,IF(ISNA(MATCH($D3603,'Paramètres'!$M:$M,0)),"⚠ Type inconnu",IFERROR(INDEX('Paramètres'!$P:$P,MATCH($D3603,'Paramètres'!$M:$M,0))&amp;"",""))))</f>
        <v/>
      </c>
      <c r="M3603" s="6" t="str">
        <f>IF($D3603="","",IF(ISNA(MATCH($D3603,'Paramètres'!$M:$M,0)),"⚠ Type inconnu",IF($L3603="Crédit","",IFERROR(INDEX('Paramètres'!$O:$O,MATCH($D3603,'Paramètres'!$M:$M,0))&amp;"",""))))</f>
        <v/>
      </c>
      <c r="N3603" s="6" t="str">
        <f>IF($D3603="","",IFERROR(INDEX('Paramètres'!$Q:$Q,MATCH($D3603,'Paramètres'!$M:$M,0))&amp;"",""))</f>
        <v/>
      </c>
      <c r="O3603" s="6" t="str">
        <f>IF($A3603="","",IF(OR($J3603&lt;&gt;"x",$A3603&lt;=FinReleve),1,0))</f>
        <v/>
      </c>
      <c r="P3603" s="6" t="str">
        <f>IF($D3603="","",IF(AND($L3603="Crédit",OR(IFERROR(INDEX('Paramètres'!$O:$O,MATCH($D3603,'Paramètres'!$M:$M,0))&amp;"","")&lt;&gt;"",ISNUMBER(SEARCH("remboursement",IFERROR(INDEX('Paramètres'!$N:$N,MATCH($D3603,'Paramètres'!$M:$M,0))&amp;"",""))))),1,0))</f>
        <v/>
      </c>
      <c r="Q3603" s="6" t="str">
        <f>IF($K3603="","",IF(ISNUMBER(SEARCH("transfert-interne",IFERROR(INDEX('Paramètres'!$N:$N,MATCH($D3603,'Paramètres'!$M:$M,0))&amp;"",""))),0,IF($L3603="Débit",$K3603,IF($P3603=1,-$K3603,0))))</f>
        <v/>
      </c>
      <c r="R3603" s="6" t="str">
        <f>IF($K3603="","",IF($L3603="Crédit",$K3603,-$K3603))</f>
        <v/>
      </c>
      <c r="S3603" s="6" t="str">
        <f>IF($C3603="","",IFERROR(INDEX('Paramètres'!$H:$H,MATCH($C3603,'Paramètres'!$D:$D,0))&amp;"",""))</f>
        <v/>
      </c>
      <c r="T3603" s="6" t="str">
        <f>IF($K3603="","",IF($S3603="",0,IF(ISNUMBER(SEARCH("apport-exterieur",IFERROR(INDEX('Paramètres'!$N:$N,MATCH($D3603,'Paramètres'!$M:$M,0))&amp;"",""))),0,IF(OR(IFERROR(INDEX('Paramètres'!$I:$I,MATCH($C3603,'Paramètres'!$D:$D,0))&amp;"","")="Les deux",IFERROR(INDEX('Paramètres'!$I:$I,MATCH($C3603,'Paramètres'!$D:$D,0))&amp;"","")=IF($P3603=1,"Débit",$L3603)),-IF($P3603=1,-$K3603,$K3603),0))))</f>
        <v/>
      </c>
      <c r="U3603" s="6" t="str">
        <f>IF($K3603="","",IF(ISNUMBER(SEARCH("sortie-epargne",IFERROR(INDEX('Paramètres'!$N:$N,MATCH($D3603,'Paramètres'!$M:$M,0))&amp;"",""))),$K3603,0))</f>
        <v/>
      </c>
      <c r="V3603" s="6" t="str">
        <f>IF(AND($A3603&lt;&gt;"",$O3603=1,$L3603="Débit",N($Q3603)&gt;0,$A3603&gt;=Visualisation!$B$1,$A3603&lt;Visualisation!$D$1),MAX($V$1:V3602)+1,"")</f>
        <v/>
      </c>
    </row>
    <row r="3604" spans="1:22" x14ac:dyDescent="0.25">
      <c r="A3604" s="9"/>
      <c r="E3604" s="10"/>
      <c r="K3604" s="11" t="str">
        <f>IF($E3604="","",ROUND($E3604*IF(ISNA(MATCH($C3604,'Paramètres'!$D:$D,0)),1,IF(INDEX('Paramètres'!$J:$J,MATCH($C3604,'Paramètres'!$D:$D,0))="",1,INDEX('Paramètres'!$J:$J,MATCH($C3604,'Paramètres'!$D:$D,0)))),2))</f>
        <v/>
      </c>
      <c r="L3604" s="6" t="str">
        <f>IF($D3604="","",IF($F3604&lt;&gt;"",$F3604,IF(ISNA(MATCH($D3604,'Paramètres'!$M:$M,0)),"⚠ Type inconnu",IFERROR(INDEX('Paramètres'!$P:$P,MATCH($D3604,'Paramètres'!$M:$M,0))&amp;"",""))))</f>
        <v/>
      </c>
      <c r="M3604" s="6" t="str">
        <f>IF($D3604="","",IF(ISNA(MATCH($D3604,'Paramètres'!$M:$M,0)),"⚠ Type inconnu",IF($L3604="Crédit","",IFERROR(INDEX('Paramètres'!$O:$O,MATCH($D3604,'Paramètres'!$M:$M,0))&amp;"",""))))</f>
        <v/>
      </c>
      <c r="N3604" s="6" t="str">
        <f>IF($D3604="","",IFERROR(INDEX('Paramètres'!$Q:$Q,MATCH($D3604,'Paramètres'!$M:$M,0))&amp;"",""))</f>
        <v/>
      </c>
      <c r="O3604" s="6" t="str">
        <f>IF($A3604="","",IF(OR($J3604&lt;&gt;"x",$A3604&lt;=FinReleve),1,0))</f>
        <v/>
      </c>
      <c r="P3604" s="6" t="str">
        <f>IF($D3604="","",IF(AND($L3604="Crédit",OR(IFERROR(INDEX('Paramètres'!$O:$O,MATCH($D3604,'Paramètres'!$M:$M,0))&amp;"","")&lt;&gt;"",ISNUMBER(SEARCH("remboursement",IFERROR(INDEX('Paramètres'!$N:$N,MATCH($D3604,'Paramètres'!$M:$M,0))&amp;"",""))))),1,0))</f>
        <v/>
      </c>
      <c r="Q3604" s="6" t="str">
        <f>IF($K3604="","",IF(ISNUMBER(SEARCH("transfert-interne",IFERROR(INDEX('Paramètres'!$N:$N,MATCH($D3604,'Paramètres'!$M:$M,0))&amp;"",""))),0,IF($L3604="Débit",$K3604,IF($P3604=1,-$K3604,0))))</f>
        <v/>
      </c>
      <c r="R3604" s="6" t="str">
        <f>IF($K3604="","",IF($L3604="Crédit",$K3604,-$K3604))</f>
        <v/>
      </c>
      <c r="S3604" s="6" t="str">
        <f>IF($C3604="","",IFERROR(INDEX('Paramètres'!$H:$H,MATCH($C3604,'Paramètres'!$D:$D,0))&amp;"",""))</f>
        <v/>
      </c>
      <c r="T3604" s="6" t="str">
        <f>IF($K3604="","",IF($S3604="",0,IF(ISNUMBER(SEARCH("apport-exterieur",IFERROR(INDEX('Paramètres'!$N:$N,MATCH($D3604,'Paramètres'!$M:$M,0))&amp;"",""))),0,IF(OR(IFERROR(INDEX('Paramètres'!$I:$I,MATCH($C3604,'Paramètres'!$D:$D,0))&amp;"","")="Les deux",IFERROR(INDEX('Paramètres'!$I:$I,MATCH($C3604,'Paramètres'!$D:$D,0))&amp;"","")=IF($P3604=1,"Débit",$L3604)),-IF($P3604=1,-$K3604,$K3604),0))))</f>
        <v/>
      </c>
      <c r="U3604" s="6" t="str">
        <f>IF($K3604="","",IF(ISNUMBER(SEARCH("sortie-epargne",IFERROR(INDEX('Paramètres'!$N:$N,MATCH($D3604,'Paramètres'!$M:$M,0))&amp;"",""))),$K3604,0))</f>
        <v/>
      </c>
      <c r="V3604" s="6" t="str">
        <f>IF(AND($A3604&lt;&gt;"",$O3604=1,$L3604="Débit",N($Q3604)&gt;0,$A3604&gt;=Visualisation!$B$1,$A3604&lt;Visualisation!$D$1),MAX($V$1:V3603)+1,"")</f>
        <v/>
      </c>
    </row>
    <row r="3605" spans="1:22" x14ac:dyDescent="0.25">
      <c r="A3605" s="9"/>
      <c r="E3605" s="10"/>
      <c r="K3605" s="11" t="str">
        <f>IF($E3605="","",ROUND($E3605*IF(ISNA(MATCH($C3605,'Paramètres'!$D:$D,0)),1,IF(INDEX('Paramètres'!$J:$J,MATCH($C3605,'Paramètres'!$D:$D,0))="",1,INDEX('Paramètres'!$J:$J,MATCH($C3605,'Paramètres'!$D:$D,0)))),2))</f>
        <v/>
      </c>
      <c r="L3605" s="6" t="str">
        <f>IF($D3605="","",IF($F3605&lt;&gt;"",$F3605,IF(ISNA(MATCH($D3605,'Paramètres'!$M:$M,0)),"⚠ Type inconnu",IFERROR(INDEX('Paramètres'!$P:$P,MATCH($D3605,'Paramètres'!$M:$M,0))&amp;"",""))))</f>
        <v/>
      </c>
      <c r="M3605" s="6" t="str">
        <f>IF($D3605="","",IF(ISNA(MATCH($D3605,'Paramètres'!$M:$M,0)),"⚠ Type inconnu",IF($L3605="Crédit","",IFERROR(INDEX('Paramètres'!$O:$O,MATCH($D3605,'Paramètres'!$M:$M,0))&amp;"",""))))</f>
        <v/>
      </c>
      <c r="N3605" s="6" t="str">
        <f>IF($D3605="","",IFERROR(INDEX('Paramètres'!$Q:$Q,MATCH($D3605,'Paramètres'!$M:$M,0))&amp;"",""))</f>
        <v/>
      </c>
      <c r="O3605" s="6" t="str">
        <f>IF($A3605="","",IF(OR($J3605&lt;&gt;"x",$A3605&lt;=FinReleve),1,0))</f>
        <v/>
      </c>
      <c r="P3605" s="6" t="str">
        <f>IF($D3605="","",IF(AND($L3605="Crédit",OR(IFERROR(INDEX('Paramètres'!$O:$O,MATCH($D3605,'Paramètres'!$M:$M,0))&amp;"","")&lt;&gt;"",ISNUMBER(SEARCH("remboursement",IFERROR(INDEX('Paramètres'!$N:$N,MATCH($D3605,'Paramètres'!$M:$M,0))&amp;"",""))))),1,0))</f>
        <v/>
      </c>
      <c r="Q3605" s="6" t="str">
        <f>IF($K3605="","",IF(ISNUMBER(SEARCH("transfert-interne",IFERROR(INDEX('Paramètres'!$N:$N,MATCH($D3605,'Paramètres'!$M:$M,0))&amp;"",""))),0,IF($L3605="Débit",$K3605,IF($P3605=1,-$K3605,0))))</f>
        <v/>
      </c>
      <c r="R3605" s="6" t="str">
        <f>IF($K3605="","",IF($L3605="Crédit",$K3605,-$K3605))</f>
        <v/>
      </c>
      <c r="S3605" s="6" t="str">
        <f>IF($C3605="","",IFERROR(INDEX('Paramètres'!$H:$H,MATCH($C3605,'Paramètres'!$D:$D,0))&amp;"",""))</f>
        <v/>
      </c>
      <c r="T3605" s="6" t="str">
        <f>IF($K3605="","",IF($S3605="",0,IF(ISNUMBER(SEARCH("apport-exterieur",IFERROR(INDEX('Paramètres'!$N:$N,MATCH($D3605,'Paramètres'!$M:$M,0))&amp;"",""))),0,IF(OR(IFERROR(INDEX('Paramètres'!$I:$I,MATCH($C3605,'Paramètres'!$D:$D,0))&amp;"","")="Les deux",IFERROR(INDEX('Paramètres'!$I:$I,MATCH($C3605,'Paramètres'!$D:$D,0))&amp;"","")=IF($P3605=1,"Débit",$L3605)),-IF($P3605=1,-$K3605,$K3605),0))))</f>
        <v/>
      </c>
      <c r="U3605" s="6" t="str">
        <f>IF($K3605="","",IF(ISNUMBER(SEARCH("sortie-epargne",IFERROR(INDEX('Paramètres'!$N:$N,MATCH($D3605,'Paramètres'!$M:$M,0))&amp;"",""))),$K3605,0))</f>
        <v/>
      </c>
      <c r="V3605" s="6" t="str">
        <f>IF(AND($A3605&lt;&gt;"",$O3605=1,$L3605="Débit",N($Q3605)&gt;0,$A3605&gt;=Visualisation!$B$1,$A3605&lt;Visualisation!$D$1),MAX($V$1:V3604)+1,"")</f>
        <v/>
      </c>
    </row>
    <row r="3606" spans="1:22" x14ac:dyDescent="0.25">
      <c r="A3606" s="9"/>
      <c r="E3606" s="10"/>
      <c r="K3606" s="11" t="str">
        <f>IF($E3606="","",ROUND($E3606*IF(ISNA(MATCH($C3606,'Paramètres'!$D:$D,0)),1,IF(INDEX('Paramètres'!$J:$J,MATCH($C3606,'Paramètres'!$D:$D,0))="",1,INDEX('Paramètres'!$J:$J,MATCH($C3606,'Paramètres'!$D:$D,0)))),2))</f>
        <v/>
      </c>
      <c r="L3606" s="6" t="str">
        <f>IF($D3606="","",IF($F3606&lt;&gt;"",$F3606,IF(ISNA(MATCH($D3606,'Paramètres'!$M:$M,0)),"⚠ Type inconnu",IFERROR(INDEX('Paramètres'!$P:$P,MATCH($D3606,'Paramètres'!$M:$M,0))&amp;"",""))))</f>
        <v/>
      </c>
      <c r="M3606" s="6" t="str">
        <f>IF($D3606="","",IF(ISNA(MATCH($D3606,'Paramètres'!$M:$M,0)),"⚠ Type inconnu",IF($L3606="Crédit","",IFERROR(INDEX('Paramètres'!$O:$O,MATCH($D3606,'Paramètres'!$M:$M,0))&amp;"",""))))</f>
        <v/>
      </c>
      <c r="N3606" s="6" t="str">
        <f>IF($D3606="","",IFERROR(INDEX('Paramètres'!$Q:$Q,MATCH($D3606,'Paramètres'!$M:$M,0))&amp;"",""))</f>
        <v/>
      </c>
      <c r="O3606" s="6" t="str">
        <f>IF($A3606="","",IF(OR($J3606&lt;&gt;"x",$A3606&lt;=FinReleve),1,0))</f>
        <v/>
      </c>
      <c r="P3606" s="6" t="str">
        <f>IF($D3606="","",IF(AND($L3606="Crédit",OR(IFERROR(INDEX('Paramètres'!$O:$O,MATCH($D3606,'Paramètres'!$M:$M,0))&amp;"","")&lt;&gt;"",ISNUMBER(SEARCH("remboursement",IFERROR(INDEX('Paramètres'!$N:$N,MATCH($D3606,'Paramètres'!$M:$M,0))&amp;"",""))))),1,0))</f>
        <v/>
      </c>
      <c r="Q3606" s="6" t="str">
        <f>IF($K3606="","",IF(ISNUMBER(SEARCH("transfert-interne",IFERROR(INDEX('Paramètres'!$N:$N,MATCH($D3606,'Paramètres'!$M:$M,0))&amp;"",""))),0,IF($L3606="Débit",$K3606,IF($P3606=1,-$K3606,0))))</f>
        <v/>
      </c>
      <c r="R3606" s="6" t="str">
        <f>IF($K3606="","",IF($L3606="Crédit",$K3606,-$K3606))</f>
        <v/>
      </c>
      <c r="S3606" s="6" t="str">
        <f>IF($C3606="","",IFERROR(INDEX('Paramètres'!$H:$H,MATCH($C3606,'Paramètres'!$D:$D,0))&amp;"",""))</f>
        <v/>
      </c>
      <c r="T3606" s="6" t="str">
        <f>IF($K3606="","",IF($S3606="",0,IF(ISNUMBER(SEARCH("apport-exterieur",IFERROR(INDEX('Paramètres'!$N:$N,MATCH($D3606,'Paramètres'!$M:$M,0))&amp;"",""))),0,IF(OR(IFERROR(INDEX('Paramètres'!$I:$I,MATCH($C3606,'Paramètres'!$D:$D,0))&amp;"","")="Les deux",IFERROR(INDEX('Paramètres'!$I:$I,MATCH($C3606,'Paramètres'!$D:$D,0))&amp;"","")=IF($P3606=1,"Débit",$L3606)),-IF($P3606=1,-$K3606,$K3606),0))))</f>
        <v/>
      </c>
      <c r="U3606" s="6" t="str">
        <f>IF($K3606="","",IF(ISNUMBER(SEARCH("sortie-epargne",IFERROR(INDEX('Paramètres'!$N:$N,MATCH($D3606,'Paramètres'!$M:$M,0))&amp;"",""))),$K3606,0))</f>
        <v/>
      </c>
      <c r="V3606" s="6" t="str">
        <f>IF(AND($A3606&lt;&gt;"",$O3606=1,$L3606="Débit",N($Q3606)&gt;0,$A3606&gt;=Visualisation!$B$1,$A3606&lt;Visualisation!$D$1),MAX($V$1:V3605)+1,"")</f>
        <v/>
      </c>
    </row>
    <row r="3607" spans="1:22" x14ac:dyDescent="0.25">
      <c r="A3607" s="9"/>
      <c r="E3607" s="10"/>
      <c r="K3607" s="11" t="str">
        <f>IF($E3607="","",ROUND($E3607*IF(ISNA(MATCH($C3607,'Paramètres'!$D:$D,0)),1,IF(INDEX('Paramètres'!$J:$J,MATCH($C3607,'Paramètres'!$D:$D,0))="",1,INDEX('Paramètres'!$J:$J,MATCH($C3607,'Paramètres'!$D:$D,0)))),2))</f>
        <v/>
      </c>
      <c r="L3607" s="6" t="str">
        <f>IF($D3607="","",IF($F3607&lt;&gt;"",$F3607,IF(ISNA(MATCH($D3607,'Paramètres'!$M:$M,0)),"⚠ Type inconnu",IFERROR(INDEX('Paramètres'!$P:$P,MATCH($D3607,'Paramètres'!$M:$M,0))&amp;"",""))))</f>
        <v/>
      </c>
      <c r="M3607" s="6" t="str">
        <f>IF($D3607="","",IF(ISNA(MATCH($D3607,'Paramètres'!$M:$M,0)),"⚠ Type inconnu",IF($L3607="Crédit","",IFERROR(INDEX('Paramètres'!$O:$O,MATCH($D3607,'Paramètres'!$M:$M,0))&amp;"",""))))</f>
        <v/>
      </c>
      <c r="N3607" s="6" t="str">
        <f>IF($D3607="","",IFERROR(INDEX('Paramètres'!$Q:$Q,MATCH($D3607,'Paramètres'!$M:$M,0))&amp;"",""))</f>
        <v/>
      </c>
      <c r="O3607" s="6" t="str">
        <f>IF($A3607="","",IF(OR($J3607&lt;&gt;"x",$A3607&lt;=FinReleve),1,0))</f>
        <v/>
      </c>
      <c r="P3607" s="6" t="str">
        <f>IF($D3607="","",IF(AND($L3607="Crédit",OR(IFERROR(INDEX('Paramètres'!$O:$O,MATCH($D3607,'Paramètres'!$M:$M,0))&amp;"","")&lt;&gt;"",ISNUMBER(SEARCH("remboursement",IFERROR(INDEX('Paramètres'!$N:$N,MATCH($D3607,'Paramètres'!$M:$M,0))&amp;"",""))))),1,0))</f>
        <v/>
      </c>
      <c r="Q3607" s="6" t="str">
        <f>IF($K3607="","",IF(ISNUMBER(SEARCH("transfert-interne",IFERROR(INDEX('Paramètres'!$N:$N,MATCH($D3607,'Paramètres'!$M:$M,0))&amp;"",""))),0,IF($L3607="Débit",$K3607,IF($P3607=1,-$K3607,0))))</f>
        <v/>
      </c>
      <c r="R3607" s="6" t="str">
        <f>IF($K3607="","",IF($L3607="Crédit",$K3607,-$K3607))</f>
        <v/>
      </c>
      <c r="S3607" s="6" t="str">
        <f>IF($C3607="","",IFERROR(INDEX('Paramètres'!$H:$H,MATCH($C3607,'Paramètres'!$D:$D,0))&amp;"",""))</f>
        <v/>
      </c>
      <c r="T3607" s="6" t="str">
        <f>IF($K3607="","",IF($S3607="",0,IF(ISNUMBER(SEARCH("apport-exterieur",IFERROR(INDEX('Paramètres'!$N:$N,MATCH($D3607,'Paramètres'!$M:$M,0))&amp;"",""))),0,IF(OR(IFERROR(INDEX('Paramètres'!$I:$I,MATCH($C3607,'Paramètres'!$D:$D,0))&amp;"","")="Les deux",IFERROR(INDEX('Paramètres'!$I:$I,MATCH($C3607,'Paramètres'!$D:$D,0))&amp;"","")=IF($P3607=1,"Débit",$L3607)),-IF($P3607=1,-$K3607,$K3607),0))))</f>
        <v/>
      </c>
      <c r="U3607" s="6" t="str">
        <f>IF($K3607="","",IF(ISNUMBER(SEARCH("sortie-epargne",IFERROR(INDEX('Paramètres'!$N:$N,MATCH($D3607,'Paramètres'!$M:$M,0))&amp;"",""))),$K3607,0))</f>
        <v/>
      </c>
      <c r="V3607" s="6" t="str">
        <f>IF(AND($A3607&lt;&gt;"",$O3607=1,$L3607="Débit",N($Q3607)&gt;0,$A3607&gt;=Visualisation!$B$1,$A3607&lt;Visualisation!$D$1),MAX($V$1:V3606)+1,"")</f>
        <v/>
      </c>
    </row>
    <row r="3608" spans="1:22" x14ac:dyDescent="0.25">
      <c r="A3608" s="9"/>
      <c r="E3608" s="10"/>
      <c r="K3608" s="11" t="str">
        <f>IF($E3608="","",ROUND($E3608*IF(ISNA(MATCH($C3608,'Paramètres'!$D:$D,0)),1,IF(INDEX('Paramètres'!$J:$J,MATCH($C3608,'Paramètres'!$D:$D,0))="",1,INDEX('Paramètres'!$J:$J,MATCH($C3608,'Paramètres'!$D:$D,0)))),2))</f>
        <v/>
      </c>
      <c r="L3608" s="6" t="str">
        <f>IF($D3608="","",IF($F3608&lt;&gt;"",$F3608,IF(ISNA(MATCH($D3608,'Paramètres'!$M:$M,0)),"⚠ Type inconnu",IFERROR(INDEX('Paramètres'!$P:$P,MATCH($D3608,'Paramètres'!$M:$M,0))&amp;"",""))))</f>
        <v/>
      </c>
      <c r="M3608" s="6" t="str">
        <f>IF($D3608="","",IF(ISNA(MATCH($D3608,'Paramètres'!$M:$M,0)),"⚠ Type inconnu",IF($L3608="Crédit","",IFERROR(INDEX('Paramètres'!$O:$O,MATCH($D3608,'Paramètres'!$M:$M,0))&amp;"",""))))</f>
        <v/>
      </c>
      <c r="N3608" s="6" t="str">
        <f>IF($D3608="","",IFERROR(INDEX('Paramètres'!$Q:$Q,MATCH($D3608,'Paramètres'!$M:$M,0))&amp;"",""))</f>
        <v/>
      </c>
      <c r="O3608" s="6" t="str">
        <f>IF($A3608="","",IF(OR($J3608&lt;&gt;"x",$A3608&lt;=FinReleve),1,0))</f>
        <v/>
      </c>
      <c r="P3608" s="6" t="str">
        <f>IF($D3608="","",IF(AND($L3608="Crédit",OR(IFERROR(INDEX('Paramètres'!$O:$O,MATCH($D3608,'Paramètres'!$M:$M,0))&amp;"","")&lt;&gt;"",ISNUMBER(SEARCH("remboursement",IFERROR(INDEX('Paramètres'!$N:$N,MATCH($D3608,'Paramètres'!$M:$M,0))&amp;"",""))))),1,0))</f>
        <v/>
      </c>
      <c r="Q3608" s="6" t="str">
        <f>IF($K3608="","",IF(ISNUMBER(SEARCH("transfert-interne",IFERROR(INDEX('Paramètres'!$N:$N,MATCH($D3608,'Paramètres'!$M:$M,0))&amp;"",""))),0,IF($L3608="Débit",$K3608,IF($P3608=1,-$K3608,0))))</f>
        <v/>
      </c>
      <c r="R3608" s="6" t="str">
        <f>IF($K3608="","",IF($L3608="Crédit",$K3608,-$K3608))</f>
        <v/>
      </c>
      <c r="S3608" s="6" t="str">
        <f>IF($C3608="","",IFERROR(INDEX('Paramètres'!$H:$H,MATCH($C3608,'Paramètres'!$D:$D,0))&amp;"",""))</f>
        <v/>
      </c>
      <c r="T3608" s="6" t="str">
        <f>IF($K3608="","",IF($S3608="",0,IF(ISNUMBER(SEARCH("apport-exterieur",IFERROR(INDEX('Paramètres'!$N:$N,MATCH($D3608,'Paramètres'!$M:$M,0))&amp;"",""))),0,IF(OR(IFERROR(INDEX('Paramètres'!$I:$I,MATCH($C3608,'Paramètres'!$D:$D,0))&amp;"","")="Les deux",IFERROR(INDEX('Paramètres'!$I:$I,MATCH($C3608,'Paramètres'!$D:$D,0))&amp;"","")=IF($P3608=1,"Débit",$L3608)),-IF($P3608=1,-$K3608,$K3608),0))))</f>
        <v/>
      </c>
      <c r="U3608" s="6" t="str">
        <f>IF($K3608="","",IF(ISNUMBER(SEARCH("sortie-epargne",IFERROR(INDEX('Paramètres'!$N:$N,MATCH($D3608,'Paramètres'!$M:$M,0))&amp;"",""))),$K3608,0))</f>
        <v/>
      </c>
      <c r="V3608" s="6" t="str">
        <f>IF(AND($A3608&lt;&gt;"",$O3608=1,$L3608="Débit",N($Q3608)&gt;0,$A3608&gt;=Visualisation!$B$1,$A3608&lt;Visualisation!$D$1),MAX($V$1:V3607)+1,"")</f>
        <v/>
      </c>
    </row>
    <row r="3609" spans="1:22" x14ac:dyDescent="0.25">
      <c r="A3609" s="9"/>
      <c r="E3609" s="10"/>
      <c r="K3609" s="11" t="str">
        <f>IF($E3609="","",ROUND($E3609*IF(ISNA(MATCH($C3609,'Paramètres'!$D:$D,0)),1,IF(INDEX('Paramètres'!$J:$J,MATCH($C3609,'Paramètres'!$D:$D,0))="",1,INDEX('Paramètres'!$J:$J,MATCH($C3609,'Paramètres'!$D:$D,0)))),2))</f>
        <v/>
      </c>
      <c r="L3609" s="6" t="str">
        <f>IF($D3609="","",IF($F3609&lt;&gt;"",$F3609,IF(ISNA(MATCH($D3609,'Paramètres'!$M:$M,0)),"⚠ Type inconnu",IFERROR(INDEX('Paramètres'!$P:$P,MATCH($D3609,'Paramètres'!$M:$M,0))&amp;"",""))))</f>
        <v/>
      </c>
      <c r="M3609" s="6" t="str">
        <f>IF($D3609="","",IF(ISNA(MATCH($D3609,'Paramètres'!$M:$M,0)),"⚠ Type inconnu",IF($L3609="Crédit","",IFERROR(INDEX('Paramètres'!$O:$O,MATCH($D3609,'Paramètres'!$M:$M,0))&amp;"",""))))</f>
        <v/>
      </c>
      <c r="N3609" s="6" t="str">
        <f>IF($D3609="","",IFERROR(INDEX('Paramètres'!$Q:$Q,MATCH($D3609,'Paramètres'!$M:$M,0))&amp;"",""))</f>
        <v/>
      </c>
      <c r="O3609" s="6" t="str">
        <f>IF($A3609="","",IF(OR($J3609&lt;&gt;"x",$A3609&lt;=FinReleve),1,0))</f>
        <v/>
      </c>
      <c r="P3609" s="6" t="str">
        <f>IF($D3609="","",IF(AND($L3609="Crédit",OR(IFERROR(INDEX('Paramètres'!$O:$O,MATCH($D3609,'Paramètres'!$M:$M,0))&amp;"","")&lt;&gt;"",ISNUMBER(SEARCH("remboursement",IFERROR(INDEX('Paramètres'!$N:$N,MATCH($D3609,'Paramètres'!$M:$M,0))&amp;"",""))))),1,0))</f>
        <v/>
      </c>
      <c r="Q3609" s="6" t="str">
        <f>IF($K3609="","",IF(ISNUMBER(SEARCH("transfert-interne",IFERROR(INDEX('Paramètres'!$N:$N,MATCH($D3609,'Paramètres'!$M:$M,0))&amp;"",""))),0,IF($L3609="Débit",$K3609,IF($P3609=1,-$K3609,0))))</f>
        <v/>
      </c>
      <c r="R3609" s="6" t="str">
        <f>IF($K3609="","",IF($L3609="Crédit",$K3609,-$K3609))</f>
        <v/>
      </c>
      <c r="S3609" s="6" t="str">
        <f>IF($C3609="","",IFERROR(INDEX('Paramètres'!$H:$H,MATCH($C3609,'Paramètres'!$D:$D,0))&amp;"",""))</f>
        <v/>
      </c>
      <c r="T3609" s="6" t="str">
        <f>IF($K3609="","",IF($S3609="",0,IF(ISNUMBER(SEARCH("apport-exterieur",IFERROR(INDEX('Paramètres'!$N:$N,MATCH($D3609,'Paramètres'!$M:$M,0))&amp;"",""))),0,IF(OR(IFERROR(INDEX('Paramètres'!$I:$I,MATCH($C3609,'Paramètres'!$D:$D,0))&amp;"","")="Les deux",IFERROR(INDEX('Paramètres'!$I:$I,MATCH($C3609,'Paramètres'!$D:$D,0))&amp;"","")=IF($P3609=1,"Débit",$L3609)),-IF($P3609=1,-$K3609,$K3609),0))))</f>
        <v/>
      </c>
      <c r="U3609" s="6" t="str">
        <f>IF($K3609="","",IF(ISNUMBER(SEARCH("sortie-epargne",IFERROR(INDEX('Paramètres'!$N:$N,MATCH($D3609,'Paramètres'!$M:$M,0))&amp;"",""))),$K3609,0))</f>
        <v/>
      </c>
      <c r="V3609" s="6" t="str">
        <f>IF(AND($A3609&lt;&gt;"",$O3609=1,$L3609="Débit",N($Q3609)&gt;0,$A3609&gt;=Visualisation!$B$1,$A3609&lt;Visualisation!$D$1),MAX($V$1:V3608)+1,"")</f>
        <v/>
      </c>
    </row>
    <row r="3610" spans="1:22" x14ac:dyDescent="0.25">
      <c r="A3610" s="9"/>
      <c r="E3610" s="10"/>
      <c r="K3610" s="11" t="str">
        <f>IF($E3610="","",ROUND($E3610*IF(ISNA(MATCH($C3610,'Paramètres'!$D:$D,0)),1,IF(INDEX('Paramètres'!$J:$J,MATCH($C3610,'Paramètres'!$D:$D,0))="",1,INDEX('Paramètres'!$J:$J,MATCH($C3610,'Paramètres'!$D:$D,0)))),2))</f>
        <v/>
      </c>
      <c r="L3610" s="6" t="str">
        <f>IF($D3610="","",IF($F3610&lt;&gt;"",$F3610,IF(ISNA(MATCH($D3610,'Paramètres'!$M:$M,0)),"⚠ Type inconnu",IFERROR(INDEX('Paramètres'!$P:$P,MATCH($D3610,'Paramètres'!$M:$M,0))&amp;"",""))))</f>
        <v/>
      </c>
      <c r="M3610" s="6" t="str">
        <f>IF($D3610="","",IF(ISNA(MATCH($D3610,'Paramètres'!$M:$M,0)),"⚠ Type inconnu",IF($L3610="Crédit","",IFERROR(INDEX('Paramètres'!$O:$O,MATCH($D3610,'Paramètres'!$M:$M,0))&amp;"",""))))</f>
        <v/>
      </c>
      <c r="N3610" s="6" t="str">
        <f>IF($D3610="","",IFERROR(INDEX('Paramètres'!$Q:$Q,MATCH($D3610,'Paramètres'!$M:$M,0))&amp;"",""))</f>
        <v/>
      </c>
      <c r="O3610" s="6" t="str">
        <f>IF($A3610="","",IF(OR($J3610&lt;&gt;"x",$A3610&lt;=FinReleve),1,0))</f>
        <v/>
      </c>
      <c r="P3610" s="6" t="str">
        <f>IF($D3610="","",IF(AND($L3610="Crédit",OR(IFERROR(INDEX('Paramètres'!$O:$O,MATCH($D3610,'Paramètres'!$M:$M,0))&amp;"","")&lt;&gt;"",ISNUMBER(SEARCH("remboursement",IFERROR(INDEX('Paramètres'!$N:$N,MATCH($D3610,'Paramètres'!$M:$M,0))&amp;"",""))))),1,0))</f>
        <v/>
      </c>
      <c r="Q3610" s="6" t="str">
        <f>IF($K3610="","",IF(ISNUMBER(SEARCH("transfert-interne",IFERROR(INDEX('Paramètres'!$N:$N,MATCH($D3610,'Paramètres'!$M:$M,0))&amp;"",""))),0,IF($L3610="Débit",$K3610,IF($P3610=1,-$K3610,0))))</f>
        <v/>
      </c>
      <c r="R3610" s="6" t="str">
        <f>IF($K3610="","",IF($L3610="Crédit",$K3610,-$K3610))</f>
        <v/>
      </c>
      <c r="S3610" s="6" t="str">
        <f>IF($C3610="","",IFERROR(INDEX('Paramètres'!$H:$H,MATCH($C3610,'Paramètres'!$D:$D,0))&amp;"",""))</f>
        <v/>
      </c>
      <c r="T3610" s="6" t="str">
        <f>IF($K3610="","",IF($S3610="",0,IF(ISNUMBER(SEARCH("apport-exterieur",IFERROR(INDEX('Paramètres'!$N:$N,MATCH($D3610,'Paramètres'!$M:$M,0))&amp;"",""))),0,IF(OR(IFERROR(INDEX('Paramètres'!$I:$I,MATCH($C3610,'Paramètres'!$D:$D,0))&amp;"","")="Les deux",IFERROR(INDEX('Paramètres'!$I:$I,MATCH($C3610,'Paramètres'!$D:$D,0))&amp;"","")=IF($P3610=1,"Débit",$L3610)),-IF($P3610=1,-$K3610,$K3610),0))))</f>
        <v/>
      </c>
      <c r="U3610" s="6" t="str">
        <f>IF($K3610="","",IF(ISNUMBER(SEARCH("sortie-epargne",IFERROR(INDEX('Paramètres'!$N:$N,MATCH($D3610,'Paramètres'!$M:$M,0))&amp;"",""))),$K3610,0))</f>
        <v/>
      </c>
      <c r="V3610" s="6" t="str">
        <f>IF(AND($A3610&lt;&gt;"",$O3610=1,$L3610="Débit",N($Q3610)&gt;0,$A3610&gt;=Visualisation!$B$1,$A3610&lt;Visualisation!$D$1),MAX($V$1:V3609)+1,"")</f>
        <v/>
      </c>
    </row>
    <row r="3611" spans="1:22" x14ac:dyDescent="0.25">
      <c r="A3611" s="9"/>
      <c r="E3611" s="10"/>
      <c r="K3611" s="11" t="str">
        <f>IF($E3611="","",ROUND($E3611*IF(ISNA(MATCH($C3611,'Paramètres'!$D:$D,0)),1,IF(INDEX('Paramètres'!$J:$J,MATCH($C3611,'Paramètres'!$D:$D,0))="",1,INDEX('Paramètres'!$J:$J,MATCH($C3611,'Paramètres'!$D:$D,0)))),2))</f>
        <v/>
      </c>
      <c r="L3611" s="6" t="str">
        <f>IF($D3611="","",IF($F3611&lt;&gt;"",$F3611,IF(ISNA(MATCH($D3611,'Paramètres'!$M:$M,0)),"⚠ Type inconnu",IFERROR(INDEX('Paramètres'!$P:$P,MATCH($D3611,'Paramètres'!$M:$M,0))&amp;"",""))))</f>
        <v/>
      </c>
      <c r="M3611" s="6" t="str">
        <f>IF($D3611="","",IF(ISNA(MATCH($D3611,'Paramètres'!$M:$M,0)),"⚠ Type inconnu",IF($L3611="Crédit","",IFERROR(INDEX('Paramètres'!$O:$O,MATCH($D3611,'Paramètres'!$M:$M,0))&amp;"",""))))</f>
        <v/>
      </c>
      <c r="N3611" s="6" t="str">
        <f>IF($D3611="","",IFERROR(INDEX('Paramètres'!$Q:$Q,MATCH($D3611,'Paramètres'!$M:$M,0))&amp;"",""))</f>
        <v/>
      </c>
      <c r="O3611" s="6" t="str">
        <f>IF($A3611="","",IF(OR($J3611&lt;&gt;"x",$A3611&lt;=FinReleve),1,0))</f>
        <v/>
      </c>
      <c r="P3611" s="6" t="str">
        <f>IF($D3611="","",IF(AND($L3611="Crédit",OR(IFERROR(INDEX('Paramètres'!$O:$O,MATCH($D3611,'Paramètres'!$M:$M,0))&amp;"","")&lt;&gt;"",ISNUMBER(SEARCH("remboursement",IFERROR(INDEX('Paramètres'!$N:$N,MATCH($D3611,'Paramètres'!$M:$M,0))&amp;"",""))))),1,0))</f>
        <v/>
      </c>
      <c r="Q3611" s="6" t="str">
        <f>IF($K3611="","",IF(ISNUMBER(SEARCH("transfert-interne",IFERROR(INDEX('Paramètres'!$N:$N,MATCH($D3611,'Paramètres'!$M:$M,0))&amp;"",""))),0,IF($L3611="Débit",$K3611,IF($P3611=1,-$K3611,0))))</f>
        <v/>
      </c>
      <c r="R3611" s="6" t="str">
        <f>IF($K3611="","",IF($L3611="Crédit",$K3611,-$K3611))</f>
        <v/>
      </c>
      <c r="S3611" s="6" t="str">
        <f>IF($C3611="","",IFERROR(INDEX('Paramètres'!$H:$H,MATCH($C3611,'Paramètres'!$D:$D,0))&amp;"",""))</f>
        <v/>
      </c>
      <c r="T3611" s="6" t="str">
        <f>IF($K3611="","",IF($S3611="",0,IF(ISNUMBER(SEARCH("apport-exterieur",IFERROR(INDEX('Paramètres'!$N:$N,MATCH($D3611,'Paramètres'!$M:$M,0))&amp;"",""))),0,IF(OR(IFERROR(INDEX('Paramètres'!$I:$I,MATCH($C3611,'Paramètres'!$D:$D,0))&amp;"","")="Les deux",IFERROR(INDEX('Paramètres'!$I:$I,MATCH($C3611,'Paramètres'!$D:$D,0))&amp;"","")=IF($P3611=1,"Débit",$L3611)),-IF($P3611=1,-$K3611,$K3611),0))))</f>
        <v/>
      </c>
      <c r="U3611" s="6" t="str">
        <f>IF($K3611="","",IF(ISNUMBER(SEARCH("sortie-epargne",IFERROR(INDEX('Paramètres'!$N:$N,MATCH($D3611,'Paramètres'!$M:$M,0))&amp;"",""))),$K3611,0))</f>
        <v/>
      </c>
      <c r="V3611" s="6" t="str">
        <f>IF(AND($A3611&lt;&gt;"",$O3611=1,$L3611="Débit",N($Q3611)&gt;0,$A3611&gt;=Visualisation!$B$1,$A3611&lt;Visualisation!$D$1),MAX($V$1:V3610)+1,"")</f>
        <v/>
      </c>
    </row>
    <row r="3612" spans="1:22" x14ac:dyDescent="0.25">
      <c r="A3612" s="9"/>
      <c r="E3612" s="10"/>
      <c r="K3612" s="11" t="str">
        <f>IF($E3612="","",ROUND($E3612*IF(ISNA(MATCH($C3612,'Paramètres'!$D:$D,0)),1,IF(INDEX('Paramètres'!$J:$J,MATCH($C3612,'Paramètres'!$D:$D,0))="",1,INDEX('Paramètres'!$J:$J,MATCH($C3612,'Paramètres'!$D:$D,0)))),2))</f>
        <v/>
      </c>
      <c r="L3612" s="6" t="str">
        <f>IF($D3612="","",IF($F3612&lt;&gt;"",$F3612,IF(ISNA(MATCH($D3612,'Paramètres'!$M:$M,0)),"⚠ Type inconnu",IFERROR(INDEX('Paramètres'!$P:$P,MATCH($D3612,'Paramètres'!$M:$M,0))&amp;"",""))))</f>
        <v/>
      </c>
      <c r="M3612" s="6" t="str">
        <f>IF($D3612="","",IF(ISNA(MATCH($D3612,'Paramètres'!$M:$M,0)),"⚠ Type inconnu",IF($L3612="Crédit","",IFERROR(INDEX('Paramètres'!$O:$O,MATCH($D3612,'Paramètres'!$M:$M,0))&amp;"",""))))</f>
        <v/>
      </c>
      <c r="N3612" s="6" t="str">
        <f>IF($D3612="","",IFERROR(INDEX('Paramètres'!$Q:$Q,MATCH($D3612,'Paramètres'!$M:$M,0))&amp;"",""))</f>
        <v/>
      </c>
      <c r="O3612" s="6" t="str">
        <f>IF($A3612="","",IF(OR($J3612&lt;&gt;"x",$A3612&lt;=FinReleve),1,0))</f>
        <v/>
      </c>
      <c r="P3612" s="6" t="str">
        <f>IF($D3612="","",IF(AND($L3612="Crédit",OR(IFERROR(INDEX('Paramètres'!$O:$O,MATCH($D3612,'Paramètres'!$M:$M,0))&amp;"","")&lt;&gt;"",ISNUMBER(SEARCH("remboursement",IFERROR(INDEX('Paramètres'!$N:$N,MATCH($D3612,'Paramètres'!$M:$M,0))&amp;"",""))))),1,0))</f>
        <v/>
      </c>
      <c r="Q3612" s="6" t="str">
        <f>IF($K3612="","",IF(ISNUMBER(SEARCH("transfert-interne",IFERROR(INDEX('Paramètres'!$N:$N,MATCH($D3612,'Paramètres'!$M:$M,0))&amp;"",""))),0,IF($L3612="Débit",$K3612,IF($P3612=1,-$K3612,0))))</f>
        <v/>
      </c>
      <c r="R3612" s="6" t="str">
        <f>IF($K3612="","",IF($L3612="Crédit",$K3612,-$K3612))</f>
        <v/>
      </c>
      <c r="S3612" s="6" t="str">
        <f>IF($C3612="","",IFERROR(INDEX('Paramètres'!$H:$H,MATCH($C3612,'Paramètres'!$D:$D,0))&amp;"",""))</f>
        <v/>
      </c>
      <c r="T3612" s="6" t="str">
        <f>IF($K3612="","",IF($S3612="",0,IF(ISNUMBER(SEARCH("apport-exterieur",IFERROR(INDEX('Paramètres'!$N:$N,MATCH($D3612,'Paramètres'!$M:$M,0))&amp;"",""))),0,IF(OR(IFERROR(INDEX('Paramètres'!$I:$I,MATCH($C3612,'Paramètres'!$D:$D,0))&amp;"","")="Les deux",IFERROR(INDEX('Paramètres'!$I:$I,MATCH($C3612,'Paramètres'!$D:$D,0))&amp;"","")=IF($P3612=1,"Débit",$L3612)),-IF($P3612=1,-$K3612,$K3612),0))))</f>
        <v/>
      </c>
      <c r="U3612" s="6" t="str">
        <f>IF($K3612="","",IF(ISNUMBER(SEARCH("sortie-epargne",IFERROR(INDEX('Paramètres'!$N:$N,MATCH($D3612,'Paramètres'!$M:$M,0))&amp;"",""))),$K3612,0))</f>
        <v/>
      </c>
      <c r="V3612" s="6" t="str">
        <f>IF(AND($A3612&lt;&gt;"",$O3612=1,$L3612="Débit",N($Q3612)&gt;0,$A3612&gt;=Visualisation!$B$1,$A3612&lt;Visualisation!$D$1),MAX($V$1:V3611)+1,"")</f>
        <v/>
      </c>
    </row>
    <row r="3613" spans="1:22" x14ac:dyDescent="0.25">
      <c r="A3613" s="9"/>
      <c r="E3613" s="10"/>
      <c r="K3613" s="11" t="str">
        <f>IF($E3613="","",ROUND($E3613*IF(ISNA(MATCH($C3613,'Paramètres'!$D:$D,0)),1,IF(INDEX('Paramètres'!$J:$J,MATCH($C3613,'Paramètres'!$D:$D,0))="",1,INDEX('Paramètres'!$J:$J,MATCH($C3613,'Paramètres'!$D:$D,0)))),2))</f>
        <v/>
      </c>
      <c r="L3613" s="6" t="str">
        <f>IF($D3613="","",IF($F3613&lt;&gt;"",$F3613,IF(ISNA(MATCH($D3613,'Paramètres'!$M:$M,0)),"⚠ Type inconnu",IFERROR(INDEX('Paramètres'!$P:$P,MATCH($D3613,'Paramètres'!$M:$M,0))&amp;"",""))))</f>
        <v/>
      </c>
      <c r="M3613" s="6" t="str">
        <f>IF($D3613="","",IF(ISNA(MATCH($D3613,'Paramètres'!$M:$M,0)),"⚠ Type inconnu",IF($L3613="Crédit","",IFERROR(INDEX('Paramètres'!$O:$O,MATCH($D3613,'Paramètres'!$M:$M,0))&amp;"",""))))</f>
        <v/>
      </c>
      <c r="N3613" s="6" t="str">
        <f>IF($D3613="","",IFERROR(INDEX('Paramètres'!$Q:$Q,MATCH($D3613,'Paramètres'!$M:$M,0))&amp;"",""))</f>
        <v/>
      </c>
      <c r="O3613" s="6" t="str">
        <f>IF($A3613="","",IF(OR($J3613&lt;&gt;"x",$A3613&lt;=FinReleve),1,0))</f>
        <v/>
      </c>
      <c r="P3613" s="6" t="str">
        <f>IF($D3613="","",IF(AND($L3613="Crédit",OR(IFERROR(INDEX('Paramètres'!$O:$O,MATCH($D3613,'Paramètres'!$M:$M,0))&amp;"","")&lt;&gt;"",ISNUMBER(SEARCH("remboursement",IFERROR(INDEX('Paramètres'!$N:$N,MATCH($D3613,'Paramètres'!$M:$M,0))&amp;"",""))))),1,0))</f>
        <v/>
      </c>
      <c r="Q3613" s="6" t="str">
        <f>IF($K3613="","",IF(ISNUMBER(SEARCH("transfert-interne",IFERROR(INDEX('Paramètres'!$N:$N,MATCH($D3613,'Paramètres'!$M:$M,0))&amp;"",""))),0,IF($L3613="Débit",$K3613,IF($P3613=1,-$K3613,0))))</f>
        <v/>
      </c>
      <c r="R3613" s="6" t="str">
        <f>IF($K3613="","",IF($L3613="Crédit",$K3613,-$K3613))</f>
        <v/>
      </c>
      <c r="S3613" s="6" t="str">
        <f>IF($C3613="","",IFERROR(INDEX('Paramètres'!$H:$H,MATCH($C3613,'Paramètres'!$D:$D,0))&amp;"",""))</f>
        <v/>
      </c>
      <c r="T3613" s="6" t="str">
        <f>IF($K3613="","",IF($S3613="",0,IF(ISNUMBER(SEARCH("apport-exterieur",IFERROR(INDEX('Paramètres'!$N:$N,MATCH($D3613,'Paramètres'!$M:$M,0))&amp;"",""))),0,IF(OR(IFERROR(INDEX('Paramètres'!$I:$I,MATCH($C3613,'Paramètres'!$D:$D,0))&amp;"","")="Les deux",IFERROR(INDEX('Paramètres'!$I:$I,MATCH($C3613,'Paramètres'!$D:$D,0))&amp;"","")=IF($P3613=1,"Débit",$L3613)),-IF($P3613=1,-$K3613,$K3613),0))))</f>
        <v/>
      </c>
      <c r="U3613" s="6" t="str">
        <f>IF($K3613="","",IF(ISNUMBER(SEARCH("sortie-epargne",IFERROR(INDEX('Paramètres'!$N:$N,MATCH($D3613,'Paramètres'!$M:$M,0))&amp;"",""))),$K3613,0))</f>
        <v/>
      </c>
      <c r="V3613" s="6" t="str">
        <f>IF(AND($A3613&lt;&gt;"",$O3613=1,$L3613="Débit",N($Q3613)&gt;0,$A3613&gt;=Visualisation!$B$1,$A3613&lt;Visualisation!$D$1),MAX($V$1:V3612)+1,"")</f>
        <v/>
      </c>
    </row>
    <row r="3614" spans="1:22" x14ac:dyDescent="0.25">
      <c r="A3614" s="9"/>
      <c r="E3614" s="10"/>
      <c r="K3614" s="11" t="str">
        <f>IF($E3614="","",ROUND($E3614*IF(ISNA(MATCH($C3614,'Paramètres'!$D:$D,0)),1,IF(INDEX('Paramètres'!$J:$J,MATCH($C3614,'Paramètres'!$D:$D,0))="",1,INDEX('Paramètres'!$J:$J,MATCH($C3614,'Paramètres'!$D:$D,0)))),2))</f>
        <v/>
      </c>
      <c r="L3614" s="6" t="str">
        <f>IF($D3614="","",IF($F3614&lt;&gt;"",$F3614,IF(ISNA(MATCH($D3614,'Paramètres'!$M:$M,0)),"⚠ Type inconnu",IFERROR(INDEX('Paramètres'!$P:$P,MATCH($D3614,'Paramètres'!$M:$M,0))&amp;"",""))))</f>
        <v/>
      </c>
      <c r="M3614" s="6" t="str">
        <f>IF($D3614="","",IF(ISNA(MATCH($D3614,'Paramètres'!$M:$M,0)),"⚠ Type inconnu",IF($L3614="Crédit","",IFERROR(INDEX('Paramètres'!$O:$O,MATCH($D3614,'Paramètres'!$M:$M,0))&amp;"",""))))</f>
        <v/>
      </c>
      <c r="N3614" s="6" t="str">
        <f>IF($D3614="","",IFERROR(INDEX('Paramètres'!$Q:$Q,MATCH($D3614,'Paramètres'!$M:$M,0))&amp;"",""))</f>
        <v/>
      </c>
      <c r="O3614" s="6" t="str">
        <f>IF($A3614="","",IF(OR($J3614&lt;&gt;"x",$A3614&lt;=FinReleve),1,0))</f>
        <v/>
      </c>
      <c r="P3614" s="6" t="str">
        <f>IF($D3614="","",IF(AND($L3614="Crédit",OR(IFERROR(INDEX('Paramètres'!$O:$O,MATCH($D3614,'Paramètres'!$M:$M,0))&amp;"","")&lt;&gt;"",ISNUMBER(SEARCH("remboursement",IFERROR(INDEX('Paramètres'!$N:$N,MATCH($D3614,'Paramètres'!$M:$M,0))&amp;"",""))))),1,0))</f>
        <v/>
      </c>
      <c r="Q3614" s="6" t="str">
        <f>IF($K3614="","",IF(ISNUMBER(SEARCH("transfert-interne",IFERROR(INDEX('Paramètres'!$N:$N,MATCH($D3614,'Paramètres'!$M:$M,0))&amp;"",""))),0,IF($L3614="Débit",$K3614,IF($P3614=1,-$K3614,0))))</f>
        <v/>
      </c>
      <c r="R3614" s="6" t="str">
        <f>IF($K3614="","",IF($L3614="Crédit",$K3614,-$K3614))</f>
        <v/>
      </c>
      <c r="S3614" s="6" t="str">
        <f>IF($C3614="","",IFERROR(INDEX('Paramètres'!$H:$H,MATCH($C3614,'Paramètres'!$D:$D,0))&amp;"",""))</f>
        <v/>
      </c>
      <c r="T3614" s="6" t="str">
        <f>IF($K3614="","",IF($S3614="",0,IF(ISNUMBER(SEARCH("apport-exterieur",IFERROR(INDEX('Paramètres'!$N:$N,MATCH($D3614,'Paramètres'!$M:$M,0))&amp;"",""))),0,IF(OR(IFERROR(INDEX('Paramètres'!$I:$I,MATCH($C3614,'Paramètres'!$D:$D,0))&amp;"","")="Les deux",IFERROR(INDEX('Paramètres'!$I:$I,MATCH($C3614,'Paramètres'!$D:$D,0))&amp;"","")=IF($P3614=1,"Débit",$L3614)),-IF($P3614=1,-$K3614,$K3614),0))))</f>
        <v/>
      </c>
      <c r="U3614" s="6" t="str">
        <f>IF($K3614="","",IF(ISNUMBER(SEARCH("sortie-epargne",IFERROR(INDEX('Paramètres'!$N:$N,MATCH($D3614,'Paramètres'!$M:$M,0))&amp;"",""))),$K3614,0))</f>
        <v/>
      </c>
      <c r="V3614" s="6" t="str">
        <f>IF(AND($A3614&lt;&gt;"",$O3614=1,$L3614="Débit",N($Q3614)&gt;0,$A3614&gt;=Visualisation!$B$1,$A3614&lt;Visualisation!$D$1),MAX($V$1:V3613)+1,"")</f>
        <v/>
      </c>
    </row>
    <row r="3615" spans="1:22" x14ac:dyDescent="0.25">
      <c r="A3615" s="9"/>
      <c r="E3615" s="10"/>
      <c r="K3615" s="11" t="str">
        <f>IF($E3615="","",ROUND($E3615*IF(ISNA(MATCH($C3615,'Paramètres'!$D:$D,0)),1,IF(INDEX('Paramètres'!$J:$J,MATCH($C3615,'Paramètres'!$D:$D,0))="",1,INDEX('Paramètres'!$J:$J,MATCH($C3615,'Paramètres'!$D:$D,0)))),2))</f>
        <v/>
      </c>
      <c r="L3615" s="6" t="str">
        <f>IF($D3615="","",IF($F3615&lt;&gt;"",$F3615,IF(ISNA(MATCH($D3615,'Paramètres'!$M:$M,0)),"⚠ Type inconnu",IFERROR(INDEX('Paramètres'!$P:$P,MATCH($D3615,'Paramètres'!$M:$M,0))&amp;"",""))))</f>
        <v/>
      </c>
      <c r="M3615" s="6" t="str">
        <f>IF($D3615="","",IF(ISNA(MATCH($D3615,'Paramètres'!$M:$M,0)),"⚠ Type inconnu",IF($L3615="Crédit","",IFERROR(INDEX('Paramètres'!$O:$O,MATCH($D3615,'Paramètres'!$M:$M,0))&amp;"",""))))</f>
        <v/>
      </c>
      <c r="N3615" s="6" t="str">
        <f>IF($D3615="","",IFERROR(INDEX('Paramètres'!$Q:$Q,MATCH($D3615,'Paramètres'!$M:$M,0))&amp;"",""))</f>
        <v/>
      </c>
      <c r="O3615" s="6" t="str">
        <f>IF($A3615="","",IF(OR($J3615&lt;&gt;"x",$A3615&lt;=FinReleve),1,0))</f>
        <v/>
      </c>
      <c r="P3615" s="6" t="str">
        <f>IF($D3615="","",IF(AND($L3615="Crédit",OR(IFERROR(INDEX('Paramètres'!$O:$O,MATCH($D3615,'Paramètres'!$M:$M,0))&amp;"","")&lt;&gt;"",ISNUMBER(SEARCH("remboursement",IFERROR(INDEX('Paramètres'!$N:$N,MATCH($D3615,'Paramètres'!$M:$M,0))&amp;"",""))))),1,0))</f>
        <v/>
      </c>
      <c r="Q3615" s="6" t="str">
        <f>IF($K3615="","",IF(ISNUMBER(SEARCH("transfert-interne",IFERROR(INDEX('Paramètres'!$N:$N,MATCH($D3615,'Paramètres'!$M:$M,0))&amp;"",""))),0,IF($L3615="Débit",$K3615,IF($P3615=1,-$K3615,0))))</f>
        <v/>
      </c>
      <c r="R3615" s="6" t="str">
        <f>IF($K3615="","",IF($L3615="Crédit",$K3615,-$K3615))</f>
        <v/>
      </c>
      <c r="S3615" s="6" t="str">
        <f>IF($C3615="","",IFERROR(INDEX('Paramètres'!$H:$H,MATCH($C3615,'Paramètres'!$D:$D,0))&amp;"",""))</f>
        <v/>
      </c>
      <c r="T3615" s="6" t="str">
        <f>IF($K3615="","",IF($S3615="",0,IF(ISNUMBER(SEARCH("apport-exterieur",IFERROR(INDEX('Paramètres'!$N:$N,MATCH($D3615,'Paramètres'!$M:$M,0))&amp;"",""))),0,IF(OR(IFERROR(INDEX('Paramètres'!$I:$I,MATCH($C3615,'Paramètres'!$D:$D,0))&amp;"","")="Les deux",IFERROR(INDEX('Paramètres'!$I:$I,MATCH($C3615,'Paramètres'!$D:$D,0))&amp;"","")=IF($P3615=1,"Débit",$L3615)),-IF($P3615=1,-$K3615,$K3615),0))))</f>
        <v/>
      </c>
      <c r="U3615" s="6" t="str">
        <f>IF($K3615="","",IF(ISNUMBER(SEARCH("sortie-epargne",IFERROR(INDEX('Paramètres'!$N:$N,MATCH($D3615,'Paramètres'!$M:$M,0))&amp;"",""))),$K3615,0))</f>
        <v/>
      </c>
      <c r="V3615" s="6" t="str">
        <f>IF(AND($A3615&lt;&gt;"",$O3615=1,$L3615="Débit",N($Q3615)&gt;0,$A3615&gt;=Visualisation!$B$1,$A3615&lt;Visualisation!$D$1),MAX($V$1:V3614)+1,"")</f>
        <v/>
      </c>
    </row>
    <row r="3616" spans="1:22" x14ac:dyDescent="0.25">
      <c r="A3616" s="9"/>
      <c r="E3616" s="10"/>
      <c r="K3616" s="11" t="str">
        <f>IF($E3616="","",ROUND($E3616*IF(ISNA(MATCH($C3616,'Paramètres'!$D:$D,0)),1,IF(INDEX('Paramètres'!$J:$J,MATCH($C3616,'Paramètres'!$D:$D,0))="",1,INDEX('Paramètres'!$J:$J,MATCH($C3616,'Paramètres'!$D:$D,0)))),2))</f>
        <v/>
      </c>
      <c r="L3616" s="6" t="str">
        <f>IF($D3616="","",IF($F3616&lt;&gt;"",$F3616,IF(ISNA(MATCH($D3616,'Paramètres'!$M:$M,0)),"⚠ Type inconnu",IFERROR(INDEX('Paramètres'!$P:$P,MATCH($D3616,'Paramètres'!$M:$M,0))&amp;"",""))))</f>
        <v/>
      </c>
      <c r="M3616" s="6" t="str">
        <f>IF($D3616="","",IF(ISNA(MATCH($D3616,'Paramètres'!$M:$M,0)),"⚠ Type inconnu",IF($L3616="Crédit","",IFERROR(INDEX('Paramètres'!$O:$O,MATCH($D3616,'Paramètres'!$M:$M,0))&amp;"",""))))</f>
        <v/>
      </c>
      <c r="N3616" s="6" t="str">
        <f>IF($D3616="","",IFERROR(INDEX('Paramètres'!$Q:$Q,MATCH($D3616,'Paramètres'!$M:$M,0))&amp;"",""))</f>
        <v/>
      </c>
      <c r="O3616" s="6" t="str">
        <f>IF($A3616="","",IF(OR($J3616&lt;&gt;"x",$A3616&lt;=FinReleve),1,0))</f>
        <v/>
      </c>
      <c r="P3616" s="6" t="str">
        <f>IF($D3616="","",IF(AND($L3616="Crédit",OR(IFERROR(INDEX('Paramètres'!$O:$O,MATCH($D3616,'Paramètres'!$M:$M,0))&amp;"","")&lt;&gt;"",ISNUMBER(SEARCH("remboursement",IFERROR(INDEX('Paramètres'!$N:$N,MATCH($D3616,'Paramètres'!$M:$M,0))&amp;"",""))))),1,0))</f>
        <v/>
      </c>
      <c r="Q3616" s="6" t="str">
        <f>IF($K3616="","",IF(ISNUMBER(SEARCH("transfert-interne",IFERROR(INDEX('Paramètres'!$N:$N,MATCH($D3616,'Paramètres'!$M:$M,0))&amp;"",""))),0,IF($L3616="Débit",$K3616,IF($P3616=1,-$K3616,0))))</f>
        <v/>
      </c>
      <c r="R3616" s="6" t="str">
        <f>IF($K3616="","",IF($L3616="Crédit",$K3616,-$K3616))</f>
        <v/>
      </c>
      <c r="S3616" s="6" t="str">
        <f>IF($C3616="","",IFERROR(INDEX('Paramètres'!$H:$H,MATCH($C3616,'Paramètres'!$D:$D,0))&amp;"",""))</f>
        <v/>
      </c>
      <c r="T3616" s="6" t="str">
        <f>IF($K3616="","",IF($S3616="",0,IF(ISNUMBER(SEARCH("apport-exterieur",IFERROR(INDEX('Paramètres'!$N:$N,MATCH($D3616,'Paramètres'!$M:$M,0))&amp;"",""))),0,IF(OR(IFERROR(INDEX('Paramètres'!$I:$I,MATCH($C3616,'Paramètres'!$D:$D,0))&amp;"","")="Les deux",IFERROR(INDEX('Paramètres'!$I:$I,MATCH($C3616,'Paramètres'!$D:$D,0))&amp;"","")=IF($P3616=1,"Débit",$L3616)),-IF($P3616=1,-$K3616,$K3616),0))))</f>
        <v/>
      </c>
      <c r="U3616" s="6" t="str">
        <f>IF($K3616="","",IF(ISNUMBER(SEARCH("sortie-epargne",IFERROR(INDEX('Paramètres'!$N:$N,MATCH($D3616,'Paramètres'!$M:$M,0))&amp;"",""))),$K3616,0))</f>
        <v/>
      </c>
      <c r="V3616" s="6" t="str">
        <f>IF(AND($A3616&lt;&gt;"",$O3616=1,$L3616="Débit",N($Q3616)&gt;0,$A3616&gt;=Visualisation!$B$1,$A3616&lt;Visualisation!$D$1),MAX($V$1:V3615)+1,"")</f>
        <v/>
      </c>
    </row>
    <row r="3617" spans="1:22" x14ac:dyDescent="0.25">
      <c r="A3617" s="9"/>
      <c r="E3617" s="10"/>
      <c r="K3617" s="11" t="str">
        <f>IF($E3617="","",ROUND($E3617*IF(ISNA(MATCH($C3617,'Paramètres'!$D:$D,0)),1,IF(INDEX('Paramètres'!$J:$J,MATCH($C3617,'Paramètres'!$D:$D,0))="",1,INDEX('Paramètres'!$J:$J,MATCH($C3617,'Paramètres'!$D:$D,0)))),2))</f>
        <v/>
      </c>
      <c r="L3617" s="6" t="str">
        <f>IF($D3617="","",IF($F3617&lt;&gt;"",$F3617,IF(ISNA(MATCH($D3617,'Paramètres'!$M:$M,0)),"⚠ Type inconnu",IFERROR(INDEX('Paramètres'!$P:$P,MATCH($D3617,'Paramètres'!$M:$M,0))&amp;"",""))))</f>
        <v/>
      </c>
      <c r="M3617" s="6" t="str">
        <f>IF($D3617="","",IF(ISNA(MATCH($D3617,'Paramètres'!$M:$M,0)),"⚠ Type inconnu",IF($L3617="Crédit","",IFERROR(INDEX('Paramètres'!$O:$O,MATCH($D3617,'Paramètres'!$M:$M,0))&amp;"",""))))</f>
        <v/>
      </c>
      <c r="N3617" s="6" t="str">
        <f>IF($D3617="","",IFERROR(INDEX('Paramètres'!$Q:$Q,MATCH($D3617,'Paramètres'!$M:$M,0))&amp;"",""))</f>
        <v/>
      </c>
      <c r="O3617" s="6" t="str">
        <f>IF($A3617="","",IF(OR($J3617&lt;&gt;"x",$A3617&lt;=FinReleve),1,0))</f>
        <v/>
      </c>
      <c r="P3617" s="6" t="str">
        <f>IF($D3617="","",IF(AND($L3617="Crédit",OR(IFERROR(INDEX('Paramètres'!$O:$O,MATCH($D3617,'Paramètres'!$M:$M,0))&amp;"","")&lt;&gt;"",ISNUMBER(SEARCH("remboursement",IFERROR(INDEX('Paramètres'!$N:$N,MATCH($D3617,'Paramètres'!$M:$M,0))&amp;"",""))))),1,0))</f>
        <v/>
      </c>
      <c r="Q3617" s="6" t="str">
        <f>IF($K3617="","",IF(ISNUMBER(SEARCH("transfert-interne",IFERROR(INDEX('Paramètres'!$N:$N,MATCH($D3617,'Paramètres'!$M:$M,0))&amp;"",""))),0,IF($L3617="Débit",$K3617,IF($P3617=1,-$K3617,0))))</f>
        <v/>
      </c>
      <c r="R3617" s="6" t="str">
        <f>IF($K3617="","",IF($L3617="Crédit",$K3617,-$K3617))</f>
        <v/>
      </c>
      <c r="S3617" s="6" t="str">
        <f>IF($C3617="","",IFERROR(INDEX('Paramètres'!$H:$H,MATCH($C3617,'Paramètres'!$D:$D,0))&amp;"",""))</f>
        <v/>
      </c>
      <c r="T3617" s="6" t="str">
        <f>IF($K3617="","",IF($S3617="",0,IF(ISNUMBER(SEARCH("apport-exterieur",IFERROR(INDEX('Paramètres'!$N:$N,MATCH($D3617,'Paramètres'!$M:$M,0))&amp;"",""))),0,IF(OR(IFERROR(INDEX('Paramètres'!$I:$I,MATCH($C3617,'Paramètres'!$D:$D,0))&amp;"","")="Les deux",IFERROR(INDEX('Paramètres'!$I:$I,MATCH($C3617,'Paramètres'!$D:$D,0))&amp;"","")=IF($P3617=1,"Débit",$L3617)),-IF($P3617=1,-$K3617,$K3617),0))))</f>
        <v/>
      </c>
      <c r="U3617" s="6" t="str">
        <f>IF($K3617="","",IF(ISNUMBER(SEARCH("sortie-epargne",IFERROR(INDEX('Paramètres'!$N:$N,MATCH($D3617,'Paramètres'!$M:$M,0))&amp;"",""))),$K3617,0))</f>
        <v/>
      </c>
      <c r="V3617" s="6" t="str">
        <f>IF(AND($A3617&lt;&gt;"",$O3617=1,$L3617="Débit",N($Q3617)&gt;0,$A3617&gt;=Visualisation!$B$1,$A3617&lt;Visualisation!$D$1),MAX($V$1:V3616)+1,"")</f>
        <v/>
      </c>
    </row>
    <row r="3618" spans="1:22" x14ac:dyDescent="0.25">
      <c r="A3618" s="9"/>
      <c r="E3618" s="10"/>
      <c r="K3618" s="11" t="str">
        <f>IF($E3618="","",ROUND($E3618*IF(ISNA(MATCH($C3618,'Paramètres'!$D:$D,0)),1,IF(INDEX('Paramètres'!$J:$J,MATCH($C3618,'Paramètres'!$D:$D,0))="",1,INDEX('Paramètres'!$J:$J,MATCH($C3618,'Paramètres'!$D:$D,0)))),2))</f>
        <v/>
      </c>
      <c r="L3618" s="6" t="str">
        <f>IF($D3618="","",IF($F3618&lt;&gt;"",$F3618,IF(ISNA(MATCH($D3618,'Paramètres'!$M:$M,0)),"⚠ Type inconnu",IFERROR(INDEX('Paramètres'!$P:$P,MATCH($D3618,'Paramètres'!$M:$M,0))&amp;"",""))))</f>
        <v/>
      </c>
      <c r="M3618" s="6" t="str">
        <f>IF($D3618="","",IF(ISNA(MATCH($D3618,'Paramètres'!$M:$M,0)),"⚠ Type inconnu",IF($L3618="Crédit","",IFERROR(INDEX('Paramètres'!$O:$O,MATCH($D3618,'Paramètres'!$M:$M,0))&amp;"",""))))</f>
        <v/>
      </c>
      <c r="N3618" s="6" t="str">
        <f>IF($D3618="","",IFERROR(INDEX('Paramètres'!$Q:$Q,MATCH($D3618,'Paramètres'!$M:$M,0))&amp;"",""))</f>
        <v/>
      </c>
      <c r="O3618" s="6" t="str">
        <f>IF($A3618="","",IF(OR($J3618&lt;&gt;"x",$A3618&lt;=FinReleve),1,0))</f>
        <v/>
      </c>
      <c r="P3618" s="6" t="str">
        <f>IF($D3618="","",IF(AND($L3618="Crédit",OR(IFERROR(INDEX('Paramètres'!$O:$O,MATCH($D3618,'Paramètres'!$M:$M,0))&amp;"","")&lt;&gt;"",ISNUMBER(SEARCH("remboursement",IFERROR(INDEX('Paramètres'!$N:$N,MATCH($D3618,'Paramètres'!$M:$M,0))&amp;"",""))))),1,0))</f>
        <v/>
      </c>
      <c r="Q3618" s="6" t="str">
        <f>IF($K3618="","",IF(ISNUMBER(SEARCH("transfert-interne",IFERROR(INDEX('Paramètres'!$N:$N,MATCH($D3618,'Paramètres'!$M:$M,0))&amp;"",""))),0,IF($L3618="Débit",$K3618,IF($P3618=1,-$K3618,0))))</f>
        <v/>
      </c>
      <c r="R3618" s="6" t="str">
        <f>IF($K3618="","",IF($L3618="Crédit",$K3618,-$K3618))</f>
        <v/>
      </c>
      <c r="S3618" s="6" t="str">
        <f>IF($C3618="","",IFERROR(INDEX('Paramètres'!$H:$H,MATCH($C3618,'Paramètres'!$D:$D,0))&amp;"",""))</f>
        <v/>
      </c>
      <c r="T3618" s="6" t="str">
        <f>IF($K3618="","",IF($S3618="",0,IF(ISNUMBER(SEARCH("apport-exterieur",IFERROR(INDEX('Paramètres'!$N:$N,MATCH($D3618,'Paramètres'!$M:$M,0))&amp;"",""))),0,IF(OR(IFERROR(INDEX('Paramètres'!$I:$I,MATCH($C3618,'Paramètres'!$D:$D,0))&amp;"","")="Les deux",IFERROR(INDEX('Paramètres'!$I:$I,MATCH($C3618,'Paramètres'!$D:$D,0))&amp;"","")=IF($P3618=1,"Débit",$L3618)),-IF($P3618=1,-$K3618,$K3618),0))))</f>
        <v/>
      </c>
      <c r="U3618" s="6" t="str">
        <f>IF($K3618="","",IF(ISNUMBER(SEARCH("sortie-epargne",IFERROR(INDEX('Paramètres'!$N:$N,MATCH($D3618,'Paramètres'!$M:$M,0))&amp;"",""))),$K3618,0))</f>
        <v/>
      </c>
      <c r="V3618" s="6" t="str">
        <f>IF(AND($A3618&lt;&gt;"",$O3618=1,$L3618="Débit",N($Q3618)&gt;0,$A3618&gt;=Visualisation!$B$1,$A3618&lt;Visualisation!$D$1),MAX($V$1:V3617)+1,"")</f>
        <v/>
      </c>
    </row>
    <row r="3619" spans="1:22" x14ac:dyDescent="0.25">
      <c r="A3619" s="9"/>
      <c r="E3619" s="10"/>
      <c r="K3619" s="11" t="str">
        <f>IF($E3619="","",ROUND($E3619*IF(ISNA(MATCH($C3619,'Paramètres'!$D:$D,0)),1,IF(INDEX('Paramètres'!$J:$J,MATCH($C3619,'Paramètres'!$D:$D,0))="",1,INDEX('Paramètres'!$J:$J,MATCH($C3619,'Paramètres'!$D:$D,0)))),2))</f>
        <v/>
      </c>
      <c r="L3619" s="6" t="str">
        <f>IF($D3619="","",IF($F3619&lt;&gt;"",$F3619,IF(ISNA(MATCH($D3619,'Paramètres'!$M:$M,0)),"⚠ Type inconnu",IFERROR(INDEX('Paramètres'!$P:$P,MATCH($D3619,'Paramètres'!$M:$M,0))&amp;"",""))))</f>
        <v/>
      </c>
      <c r="M3619" s="6" t="str">
        <f>IF($D3619="","",IF(ISNA(MATCH($D3619,'Paramètres'!$M:$M,0)),"⚠ Type inconnu",IF($L3619="Crédit","",IFERROR(INDEX('Paramètres'!$O:$O,MATCH($D3619,'Paramètres'!$M:$M,0))&amp;"",""))))</f>
        <v/>
      </c>
      <c r="N3619" s="6" t="str">
        <f>IF($D3619="","",IFERROR(INDEX('Paramètres'!$Q:$Q,MATCH($D3619,'Paramètres'!$M:$M,0))&amp;"",""))</f>
        <v/>
      </c>
      <c r="O3619" s="6" t="str">
        <f>IF($A3619="","",IF(OR($J3619&lt;&gt;"x",$A3619&lt;=FinReleve),1,0))</f>
        <v/>
      </c>
      <c r="P3619" s="6" t="str">
        <f>IF($D3619="","",IF(AND($L3619="Crédit",OR(IFERROR(INDEX('Paramètres'!$O:$O,MATCH($D3619,'Paramètres'!$M:$M,0))&amp;"","")&lt;&gt;"",ISNUMBER(SEARCH("remboursement",IFERROR(INDEX('Paramètres'!$N:$N,MATCH($D3619,'Paramètres'!$M:$M,0))&amp;"",""))))),1,0))</f>
        <v/>
      </c>
      <c r="Q3619" s="6" t="str">
        <f>IF($K3619="","",IF(ISNUMBER(SEARCH("transfert-interne",IFERROR(INDEX('Paramètres'!$N:$N,MATCH($D3619,'Paramètres'!$M:$M,0))&amp;"",""))),0,IF($L3619="Débit",$K3619,IF($P3619=1,-$K3619,0))))</f>
        <v/>
      </c>
      <c r="R3619" s="6" t="str">
        <f>IF($K3619="","",IF($L3619="Crédit",$K3619,-$K3619))</f>
        <v/>
      </c>
      <c r="S3619" s="6" t="str">
        <f>IF($C3619="","",IFERROR(INDEX('Paramètres'!$H:$H,MATCH($C3619,'Paramètres'!$D:$D,0))&amp;"",""))</f>
        <v/>
      </c>
      <c r="T3619" s="6" t="str">
        <f>IF($K3619="","",IF($S3619="",0,IF(ISNUMBER(SEARCH("apport-exterieur",IFERROR(INDEX('Paramètres'!$N:$N,MATCH($D3619,'Paramètres'!$M:$M,0))&amp;"",""))),0,IF(OR(IFERROR(INDEX('Paramètres'!$I:$I,MATCH($C3619,'Paramètres'!$D:$D,0))&amp;"","")="Les deux",IFERROR(INDEX('Paramètres'!$I:$I,MATCH($C3619,'Paramètres'!$D:$D,0))&amp;"","")=IF($P3619=1,"Débit",$L3619)),-IF($P3619=1,-$K3619,$K3619),0))))</f>
        <v/>
      </c>
      <c r="U3619" s="6" t="str">
        <f>IF($K3619="","",IF(ISNUMBER(SEARCH("sortie-epargne",IFERROR(INDEX('Paramètres'!$N:$N,MATCH($D3619,'Paramètres'!$M:$M,0))&amp;"",""))),$K3619,0))</f>
        <v/>
      </c>
      <c r="V3619" s="6" t="str">
        <f>IF(AND($A3619&lt;&gt;"",$O3619=1,$L3619="Débit",N($Q3619)&gt;0,$A3619&gt;=Visualisation!$B$1,$A3619&lt;Visualisation!$D$1),MAX($V$1:V3618)+1,"")</f>
        <v/>
      </c>
    </row>
    <row r="3620" spans="1:22" x14ac:dyDescent="0.25">
      <c r="A3620" s="9"/>
      <c r="E3620" s="10"/>
      <c r="K3620" s="11" t="str">
        <f>IF($E3620="","",ROUND($E3620*IF(ISNA(MATCH($C3620,'Paramètres'!$D:$D,0)),1,IF(INDEX('Paramètres'!$J:$J,MATCH($C3620,'Paramètres'!$D:$D,0))="",1,INDEX('Paramètres'!$J:$J,MATCH($C3620,'Paramètres'!$D:$D,0)))),2))</f>
        <v/>
      </c>
      <c r="L3620" s="6" t="str">
        <f>IF($D3620="","",IF($F3620&lt;&gt;"",$F3620,IF(ISNA(MATCH($D3620,'Paramètres'!$M:$M,0)),"⚠ Type inconnu",IFERROR(INDEX('Paramètres'!$P:$P,MATCH($D3620,'Paramètres'!$M:$M,0))&amp;"",""))))</f>
        <v/>
      </c>
      <c r="M3620" s="6" t="str">
        <f>IF($D3620="","",IF(ISNA(MATCH($D3620,'Paramètres'!$M:$M,0)),"⚠ Type inconnu",IF($L3620="Crédit","",IFERROR(INDEX('Paramètres'!$O:$O,MATCH($D3620,'Paramètres'!$M:$M,0))&amp;"",""))))</f>
        <v/>
      </c>
      <c r="N3620" s="6" t="str">
        <f>IF($D3620="","",IFERROR(INDEX('Paramètres'!$Q:$Q,MATCH($D3620,'Paramètres'!$M:$M,0))&amp;"",""))</f>
        <v/>
      </c>
      <c r="O3620" s="6" t="str">
        <f>IF($A3620="","",IF(OR($J3620&lt;&gt;"x",$A3620&lt;=FinReleve),1,0))</f>
        <v/>
      </c>
      <c r="P3620" s="6" t="str">
        <f>IF($D3620="","",IF(AND($L3620="Crédit",OR(IFERROR(INDEX('Paramètres'!$O:$O,MATCH($D3620,'Paramètres'!$M:$M,0))&amp;"","")&lt;&gt;"",ISNUMBER(SEARCH("remboursement",IFERROR(INDEX('Paramètres'!$N:$N,MATCH($D3620,'Paramètres'!$M:$M,0))&amp;"",""))))),1,0))</f>
        <v/>
      </c>
      <c r="Q3620" s="6" t="str">
        <f>IF($K3620="","",IF(ISNUMBER(SEARCH("transfert-interne",IFERROR(INDEX('Paramètres'!$N:$N,MATCH($D3620,'Paramètres'!$M:$M,0))&amp;"",""))),0,IF($L3620="Débit",$K3620,IF($P3620=1,-$K3620,0))))</f>
        <v/>
      </c>
      <c r="R3620" s="6" t="str">
        <f>IF($K3620="","",IF($L3620="Crédit",$K3620,-$K3620))</f>
        <v/>
      </c>
      <c r="S3620" s="6" t="str">
        <f>IF($C3620="","",IFERROR(INDEX('Paramètres'!$H:$H,MATCH($C3620,'Paramètres'!$D:$D,0))&amp;"",""))</f>
        <v/>
      </c>
      <c r="T3620" s="6" t="str">
        <f>IF($K3620="","",IF($S3620="",0,IF(ISNUMBER(SEARCH("apport-exterieur",IFERROR(INDEX('Paramètres'!$N:$N,MATCH($D3620,'Paramètres'!$M:$M,0))&amp;"",""))),0,IF(OR(IFERROR(INDEX('Paramètres'!$I:$I,MATCH($C3620,'Paramètres'!$D:$D,0))&amp;"","")="Les deux",IFERROR(INDEX('Paramètres'!$I:$I,MATCH($C3620,'Paramètres'!$D:$D,0))&amp;"","")=IF($P3620=1,"Débit",$L3620)),-IF($P3620=1,-$K3620,$K3620),0))))</f>
        <v/>
      </c>
      <c r="U3620" s="6" t="str">
        <f>IF($K3620="","",IF(ISNUMBER(SEARCH("sortie-epargne",IFERROR(INDEX('Paramètres'!$N:$N,MATCH($D3620,'Paramètres'!$M:$M,0))&amp;"",""))),$K3620,0))</f>
        <v/>
      </c>
      <c r="V3620" s="6" t="str">
        <f>IF(AND($A3620&lt;&gt;"",$O3620=1,$L3620="Débit",N($Q3620)&gt;0,$A3620&gt;=Visualisation!$B$1,$A3620&lt;Visualisation!$D$1),MAX($V$1:V3619)+1,"")</f>
        <v/>
      </c>
    </row>
    <row r="3621" spans="1:22" x14ac:dyDescent="0.25">
      <c r="A3621" s="9"/>
      <c r="E3621" s="10"/>
      <c r="K3621" s="11" t="str">
        <f>IF($E3621="","",ROUND($E3621*IF(ISNA(MATCH($C3621,'Paramètres'!$D:$D,0)),1,IF(INDEX('Paramètres'!$J:$J,MATCH($C3621,'Paramètres'!$D:$D,0))="",1,INDEX('Paramètres'!$J:$J,MATCH($C3621,'Paramètres'!$D:$D,0)))),2))</f>
        <v/>
      </c>
      <c r="L3621" s="6" t="str">
        <f>IF($D3621="","",IF($F3621&lt;&gt;"",$F3621,IF(ISNA(MATCH($D3621,'Paramètres'!$M:$M,0)),"⚠ Type inconnu",IFERROR(INDEX('Paramètres'!$P:$P,MATCH($D3621,'Paramètres'!$M:$M,0))&amp;"",""))))</f>
        <v/>
      </c>
      <c r="M3621" s="6" t="str">
        <f>IF($D3621="","",IF(ISNA(MATCH($D3621,'Paramètres'!$M:$M,0)),"⚠ Type inconnu",IF($L3621="Crédit","",IFERROR(INDEX('Paramètres'!$O:$O,MATCH($D3621,'Paramètres'!$M:$M,0))&amp;"",""))))</f>
        <v/>
      </c>
      <c r="N3621" s="6" t="str">
        <f>IF($D3621="","",IFERROR(INDEX('Paramètres'!$Q:$Q,MATCH($D3621,'Paramètres'!$M:$M,0))&amp;"",""))</f>
        <v/>
      </c>
      <c r="O3621" s="6" t="str">
        <f>IF($A3621="","",IF(OR($J3621&lt;&gt;"x",$A3621&lt;=FinReleve),1,0))</f>
        <v/>
      </c>
      <c r="P3621" s="6" t="str">
        <f>IF($D3621="","",IF(AND($L3621="Crédit",OR(IFERROR(INDEX('Paramètres'!$O:$O,MATCH($D3621,'Paramètres'!$M:$M,0))&amp;"","")&lt;&gt;"",ISNUMBER(SEARCH("remboursement",IFERROR(INDEX('Paramètres'!$N:$N,MATCH($D3621,'Paramètres'!$M:$M,0))&amp;"",""))))),1,0))</f>
        <v/>
      </c>
      <c r="Q3621" s="6" t="str">
        <f>IF($K3621="","",IF(ISNUMBER(SEARCH("transfert-interne",IFERROR(INDEX('Paramètres'!$N:$N,MATCH($D3621,'Paramètres'!$M:$M,0))&amp;"",""))),0,IF($L3621="Débit",$K3621,IF($P3621=1,-$K3621,0))))</f>
        <v/>
      </c>
      <c r="R3621" s="6" t="str">
        <f>IF($K3621="","",IF($L3621="Crédit",$K3621,-$K3621))</f>
        <v/>
      </c>
      <c r="S3621" s="6" t="str">
        <f>IF($C3621="","",IFERROR(INDEX('Paramètres'!$H:$H,MATCH($C3621,'Paramètres'!$D:$D,0))&amp;"",""))</f>
        <v/>
      </c>
      <c r="T3621" s="6" t="str">
        <f>IF($K3621="","",IF($S3621="",0,IF(ISNUMBER(SEARCH("apport-exterieur",IFERROR(INDEX('Paramètres'!$N:$N,MATCH($D3621,'Paramètres'!$M:$M,0))&amp;"",""))),0,IF(OR(IFERROR(INDEX('Paramètres'!$I:$I,MATCH($C3621,'Paramètres'!$D:$D,0))&amp;"","")="Les deux",IFERROR(INDEX('Paramètres'!$I:$I,MATCH($C3621,'Paramètres'!$D:$D,0))&amp;"","")=IF($P3621=1,"Débit",$L3621)),-IF($P3621=1,-$K3621,$K3621),0))))</f>
        <v/>
      </c>
      <c r="U3621" s="6" t="str">
        <f>IF($K3621="","",IF(ISNUMBER(SEARCH("sortie-epargne",IFERROR(INDEX('Paramètres'!$N:$N,MATCH($D3621,'Paramètres'!$M:$M,0))&amp;"",""))),$K3621,0))</f>
        <v/>
      </c>
      <c r="V3621" s="6" t="str">
        <f>IF(AND($A3621&lt;&gt;"",$O3621=1,$L3621="Débit",N($Q3621)&gt;0,$A3621&gt;=Visualisation!$B$1,$A3621&lt;Visualisation!$D$1),MAX($V$1:V3620)+1,"")</f>
        <v/>
      </c>
    </row>
    <row r="3622" spans="1:22" x14ac:dyDescent="0.25">
      <c r="A3622" s="9"/>
      <c r="E3622" s="10"/>
      <c r="K3622" s="11" t="str">
        <f>IF($E3622="","",ROUND($E3622*IF(ISNA(MATCH($C3622,'Paramètres'!$D:$D,0)),1,IF(INDEX('Paramètres'!$J:$J,MATCH($C3622,'Paramètres'!$D:$D,0))="",1,INDEX('Paramètres'!$J:$J,MATCH($C3622,'Paramètres'!$D:$D,0)))),2))</f>
        <v/>
      </c>
      <c r="L3622" s="6" t="str">
        <f>IF($D3622="","",IF($F3622&lt;&gt;"",$F3622,IF(ISNA(MATCH($D3622,'Paramètres'!$M:$M,0)),"⚠ Type inconnu",IFERROR(INDEX('Paramètres'!$P:$P,MATCH($D3622,'Paramètres'!$M:$M,0))&amp;"",""))))</f>
        <v/>
      </c>
      <c r="M3622" s="6" t="str">
        <f>IF($D3622="","",IF(ISNA(MATCH($D3622,'Paramètres'!$M:$M,0)),"⚠ Type inconnu",IF($L3622="Crédit","",IFERROR(INDEX('Paramètres'!$O:$O,MATCH($D3622,'Paramètres'!$M:$M,0))&amp;"",""))))</f>
        <v/>
      </c>
      <c r="N3622" s="6" t="str">
        <f>IF($D3622="","",IFERROR(INDEX('Paramètres'!$Q:$Q,MATCH($D3622,'Paramètres'!$M:$M,0))&amp;"",""))</f>
        <v/>
      </c>
      <c r="O3622" s="6" t="str">
        <f>IF($A3622="","",IF(OR($J3622&lt;&gt;"x",$A3622&lt;=FinReleve),1,0))</f>
        <v/>
      </c>
      <c r="P3622" s="6" t="str">
        <f>IF($D3622="","",IF(AND($L3622="Crédit",OR(IFERROR(INDEX('Paramètres'!$O:$O,MATCH($D3622,'Paramètres'!$M:$M,0))&amp;"","")&lt;&gt;"",ISNUMBER(SEARCH("remboursement",IFERROR(INDEX('Paramètres'!$N:$N,MATCH($D3622,'Paramètres'!$M:$M,0))&amp;"",""))))),1,0))</f>
        <v/>
      </c>
      <c r="Q3622" s="6" t="str">
        <f>IF($K3622="","",IF(ISNUMBER(SEARCH("transfert-interne",IFERROR(INDEX('Paramètres'!$N:$N,MATCH($D3622,'Paramètres'!$M:$M,0))&amp;"",""))),0,IF($L3622="Débit",$K3622,IF($P3622=1,-$K3622,0))))</f>
        <v/>
      </c>
      <c r="R3622" s="6" t="str">
        <f>IF($K3622="","",IF($L3622="Crédit",$K3622,-$K3622))</f>
        <v/>
      </c>
      <c r="S3622" s="6" t="str">
        <f>IF($C3622="","",IFERROR(INDEX('Paramètres'!$H:$H,MATCH($C3622,'Paramètres'!$D:$D,0))&amp;"",""))</f>
        <v/>
      </c>
      <c r="T3622" s="6" t="str">
        <f>IF($K3622="","",IF($S3622="",0,IF(ISNUMBER(SEARCH("apport-exterieur",IFERROR(INDEX('Paramètres'!$N:$N,MATCH($D3622,'Paramètres'!$M:$M,0))&amp;"",""))),0,IF(OR(IFERROR(INDEX('Paramètres'!$I:$I,MATCH($C3622,'Paramètres'!$D:$D,0))&amp;"","")="Les deux",IFERROR(INDEX('Paramètres'!$I:$I,MATCH($C3622,'Paramètres'!$D:$D,0))&amp;"","")=IF($P3622=1,"Débit",$L3622)),-IF($P3622=1,-$K3622,$K3622),0))))</f>
        <v/>
      </c>
      <c r="U3622" s="6" t="str">
        <f>IF($K3622="","",IF(ISNUMBER(SEARCH("sortie-epargne",IFERROR(INDEX('Paramètres'!$N:$N,MATCH($D3622,'Paramètres'!$M:$M,0))&amp;"",""))),$K3622,0))</f>
        <v/>
      </c>
      <c r="V3622" s="6" t="str">
        <f>IF(AND($A3622&lt;&gt;"",$O3622=1,$L3622="Débit",N($Q3622)&gt;0,$A3622&gt;=Visualisation!$B$1,$A3622&lt;Visualisation!$D$1),MAX($V$1:V3621)+1,"")</f>
        <v/>
      </c>
    </row>
    <row r="3623" spans="1:22" x14ac:dyDescent="0.25">
      <c r="A3623" s="9"/>
      <c r="E3623" s="10"/>
      <c r="K3623" s="11" t="str">
        <f>IF($E3623="","",ROUND($E3623*IF(ISNA(MATCH($C3623,'Paramètres'!$D:$D,0)),1,IF(INDEX('Paramètres'!$J:$J,MATCH($C3623,'Paramètres'!$D:$D,0))="",1,INDEX('Paramètres'!$J:$J,MATCH($C3623,'Paramètres'!$D:$D,0)))),2))</f>
        <v/>
      </c>
      <c r="L3623" s="6" t="str">
        <f>IF($D3623="","",IF($F3623&lt;&gt;"",$F3623,IF(ISNA(MATCH($D3623,'Paramètres'!$M:$M,0)),"⚠ Type inconnu",IFERROR(INDEX('Paramètres'!$P:$P,MATCH($D3623,'Paramètres'!$M:$M,0))&amp;"",""))))</f>
        <v/>
      </c>
      <c r="M3623" s="6" t="str">
        <f>IF($D3623="","",IF(ISNA(MATCH($D3623,'Paramètres'!$M:$M,0)),"⚠ Type inconnu",IF($L3623="Crédit","",IFERROR(INDEX('Paramètres'!$O:$O,MATCH($D3623,'Paramètres'!$M:$M,0))&amp;"",""))))</f>
        <v/>
      </c>
      <c r="N3623" s="6" t="str">
        <f>IF($D3623="","",IFERROR(INDEX('Paramètres'!$Q:$Q,MATCH($D3623,'Paramètres'!$M:$M,0))&amp;"",""))</f>
        <v/>
      </c>
      <c r="O3623" s="6" t="str">
        <f>IF($A3623="","",IF(OR($J3623&lt;&gt;"x",$A3623&lt;=FinReleve),1,0))</f>
        <v/>
      </c>
      <c r="P3623" s="6" t="str">
        <f>IF($D3623="","",IF(AND($L3623="Crédit",OR(IFERROR(INDEX('Paramètres'!$O:$O,MATCH($D3623,'Paramètres'!$M:$M,0))&amp;"","")&lt;&gt;"",ISNUMBER(SEARCH("remboursement",IFERROR(INDEX('Paramètres'!$N:$N,MATCH($D3623,'Paramètres'!$M:$M,0))&amp;"",""))))),1,0))</f>
        <v/>
      </c>
      <c r="Q3623" s="6" t="str">
        <f>IF($K3623="","",IF(ISNUMBER(SEARCH("transfert-interne",IFERROR(INDEX('Paramètres'!$N:$N,MATCH($D3623,'Paramètres'!$M:$M,0))&amp;"",""))),0,IF($L3623="Débit",$K3623,IF($P3623=1,-$K3623,0))))</f>
        <v/>
      </c>
      <c r="R3623" s="6" t="str">
        <f>IF($K3623="","",IF($L3623="Crédit",$K3623,-$K3623))</f>
        <v/>
      </c>
      <c r="S3623" s="6" t="str">
        <f>IF($C3623="","",IFERROR(INDEX('Paramètres'!$H:$H,MATCH($C3623,'Paramètres'!$D:$D,0))&amp;"",""))</f>
        <v/>
      </c>
      <c r="T3623" s="6" t="str">
        <f>IF($K3623="","",IF($S3623="",0,IF(ISNUMBER(SEARCH("apport-exterieur",IFERROR(INDEX('Paramètres'!$N:$N,MATCH($D3623,'Paramètres'!$M:$M,0))&amp;"",""))),0,IF(OR(IFERROR(INDEX('Paramètres'!$I:$I,MATCH($C3623,'Paramètres'!$D:$D,0))&amp;"","")="Les deux",IFERROR(INDEX('Paramètres'!$I:$I,MATCH($C3623,'Paramètres'!$D:$D,0))&amp;"","")=IF($P3623=1,"Débit",$L3623)),-IF($P3623=1,-$K3623,$K3623),0))))</f>
        <v/>
      </c>
      <c r="U3623" s="6" t="str">
        <f>IF($K3623="","",IF(ISNUMBER(SEARCH("sortie-epargne",IFERROR(INDEX('Paramètres'!$N:$N,MATCH($D3623,'Paramètres'!$M:$M,0))&amp;"",""))),$K3623,0))</f>
        <v/>
      </c>
      <c r="V3623" s="6" t="str">
        <f>IF(AND($A3623&lt;&gt;"",$O3623=1,$L3623="Débit",N($Q3623)&gt;0,$A3623&gt;=Visualisation!$B$1,$A3623&lt;Visualisation!$D$1),MAX($V$1:V3622)+1,"")</f>
        <v/>
      </c>
    </row>
    <row r="3624" spans="1:22" x14ac:dyDescent="0.25">
      <c r="A3624" s="9"/>
      <c r="E3624" s="10"/>
      <c r="K3624" s="11" t="str">
        <f>IF($E3624="","",ROUND($E3624*IF(ISNA(MATCH($C3624,'Paramètres'!$D:$D,0)),1,IF(INDEX('Paramètres'!$J:$J,MATCH($C3624,'Paramètres'!$D:$D,0))="",1,INDEX('Paramètres'!$J:$J,MATCH($C3624,'Paramètres'!$D:$D,0)))),2))</f>
        <v/>
      </c>
      <c r="L3624" s="6" t="str">
        <f>IF($D3624="","",IF($F3624&lt;&gt;"",$F3624,IF(ISNA(MATCH($D3624,'Paramètres'!$M:$M,0)),"⚠ Type inconnu",IFERROR(INDEX('Paramètres'!$P:$P,MATCH($D3624,'Paramètres'!$M:$M,0))&amp;"",""))))</f>
        <v/>
      </c>
      <c r="M3624" s="6" t="str">
        <f>IF($D3624="","",IF(ISNA(MATCH($D3624,'Paramètres'!$M:$M,0)),"⚠ Type inconnu",IF($L3624="Crédit","",IFERROR(INDEX('Paramètres'!$O:$O,MATCH($D3624,'Paramètres'!$M:$M,0))&amp;"",""))))</f>
        <v/>
      </c>
      <c r="N3624" s="6" t="str">
        <f>IF($D3624="","",IFERROR(INDEX('Paramètres'!$Q:$Q,MATCH($D3624,'Paramètres'!$M:$M,0))&amp;"",""))</f>
        <v/>
      </c>
      <c r="O3624" s="6" t="str">
        <f>IF($A3624="","",IF(OR($J3624&lt;&gt;"x",$A3624&lt;=FinReleve),1,0))</f>
        <v/>
      </c>
      <c r="P3624" s="6" t="str">
        <f>IF($D3624="","",IF(AND($L3624="Crédit",OR(IFERROR(INDEX('Paramètres'!$O:$O,MATCH($D3624,'Paramètres'!$M:$M,0))&amp;"","")&lt;&gt;"",ISNUMBER(SEARCH("remboursement",IFERROR(INDEX('Paramètres'!$N:$N,MATCH($D3624,'Paramètres'!$M:$M,0))&amp;"",""))))),1,0))</f>
        <v/>
      </c>
      <c r="Q3624" s="6" t="str">
        <f>IF($K3624="","",IF(ISNUMBER(SEARCH("transfert-interne",IFERROR(INDEX('Paramètres'!$N:$N,MATCH($D3624,'Paramètres'!$M:$M,0))&amp;"",""))),0,IF($L3624="Débit",$K3624,IF($P3624=1,-$K3624,0))))</f>
        <v/>
      </c>
      <c r="R3624" s="6" t="str">
        <f>IF($K3624="","",IF($L3624="Crédit",$K3624,-$K3624))</f>
        <v/>
      </c>
      <c r="S3624" s="6" t="str">
        <f>IF($C3624="","",IFERROR(INDEX('Paramètres'!$H:$H,MATCH($C3624,'Paramètres'!$D:$D,0))&amp;"",""))</f>
        <v/>
      </c>
      <c r="T3624" s="6" t="str">
        <f>IF($K3624="","",IF($S3624="",0,IF(ISNUMBER(SEARCH("apport-exterieur",IFERROR(INDEX('Paramètres'!$N:$N,MATCH($D3624,'Paramètres'!$M:$M,0))&amp;"",""))),0,IF(OR(IFERROR(INDEX('Paramètres'!$I:$I,MATCH($C3624,'Paramètres'!$D:$D,0))&amp;"","")="Les deux",IFERROR(INDEX('Paramètres'!$I:$I,MATCH($C3624,'Paramètres'!$D:$D,0))&amp;"","")=IF($P3624=1,"Débit",$L3624)),-IF($P3624=1,-$K3624,$K3624),0))))</f>
        <v/>
      </c>
      <c r="U3624" s="6" t="str">
        <f>IF($K3624="","",IF(ISNUMBER(SEARCH("sortie-epargne",IFERROR(INDEX('Paramètres'!$N:$N,MATCH($D3624,'Paramètres'!$M:$M,0))&amp;"",""))),$K3624,0))</f>
        <v/>
      </c>
      <c r="V3624" s="6" t="str">
        <f>IF(AND($A3624&lt;&gt;"",$O3624=1,$L3624="Débit",N($Q3624)&gt;0,$A3624&gt;=Visualisation!$B$1,$A3624&lt;Visualisation!$D$1),MAX($V$1:V3623)+1,"")</f>
        <v/>
      </c>
    </row>
    <row r="3625" spans="1:22" x14ac:dyDescent="0.25">
      <c r="A3625" s="9"/>
      <c r="E3625" s="10"/>
      <c r="K3625" s="11" t="str">
        <f>IF($E3625="","",ROUND($E3625*IF(ISNA(MATCH($C3625,'Paramètres'!$D:$D,0)),1,IF(INDEX('Paramètres'!$J:$J,MATCH($C3625,'Paramètres'!$D:$D,0))="",1,INDEX('Paramètres'!$J:$J,MATCH($C3625,'Paramètres'!$D:$D,0)))),2))</f>
        <v/>
      </c>
      <c r="L3625" s="6" t="str">
        <f>IF($D3625="","",IF($F3625&lt;&gt;"",$F3625,IF(ISNA(MATCH($D3625,'Paramètres'!$M:$M,0)),"⚠ Type inconnu",IFERROR(INDEX('Paramètres'!$P:$P,MATCH($D3625,'Paramètres'!$M:$M,0))&amp;"",""))))</f>
        <v/>
      </c>
      <c r="M3625" s="6" t="str">
        <f>IF($D3625="","",IF(ISNA(MATCH($D3625,'Paramètres'!$M:$M,0)),"⚠ Type inconnu",IF($L3625="Crédit","",IFERROR(INDEX('Paramètres'!$O:$O,MATCH($D3625,'Paramètres'!$M:$M,0))&amp;"",""))))</f>
        <v/>
      </c>
      <c r="N3625" s="6" t="str">
        <f>IF($D3625="","",IFERROR(INDEX('Paramètres'!$Q:$Q,MATCH($D3625,'Paramètres'!$M:$M,0))&amp;"",""))</f>
        <v/>
      </c>
      <c r="O3625" s="6" t="str">
        <f>IF($A3625="","",IF(OR($J3625&lt;&gt;"x",$A3625&lt;=FinReleve),1,0))</f>
        <v/>
      </c>
      <c r="P3625" s="6" t="str">
        <f>IF($D3625="","",IF(AND($L3625="Crédit",OR(IFERROR(INDEX('Paramètres'!$O:$O,MATCH($D3625,'Paramètres'!$M:$M,0))&amp;"","")&lt;&gt;"",ISNUMBER(SEARCH("remboursement",IFERROR(INDEX('Paramètres'!$N:$N,MATCH($D3625,'Paramètres'!$M:$M,0))&amp;"",""))))),1,0))</f>
        <v/>
      </c>
      <c r="Q3625" s="6" t="str">
        <f>IF($K3625="","",IF(ISNUMBER(SEARCH("transfert-interne",IFERROR(INDEX('Paramètres'!$N:$N,MATCH($D3625,'Paramètres'!$M:$M,0))&amp;"",""))),0,IF($L3625="Débit",$K3625,IF($P3625=1,-$K3625,0))))</f>
        <v/>
      </c>
      <c r="R3625" s="6" t="str">
        <f>IF($K3625="","",IF($L3625="Crédit",$K3625,-$K3625))</f>
        <v/>
      </c>
      <c r="S3625" s="6" t="str">
        <f>IF($C3625="","",IFERROR(INDEX('Paramètres'!$H:$H,MATCH($C3625,'Paramètres'!$D:$D,0))&amp;"",""))</f>
        <v/>
      </c>
      <c r="T3625" s="6" t="str">
        <f>IF($K3625="","",IF($S3625="",0,IF(ISNUMBER(SEARCH("apport-exterieur",IFERROR(INDEX('Paramètres'!$N:$N,MATCH($D3625,'Paramètres'!$M:$M,0))&amp;"",""))),0,IF(OR(IFERROR(INDEX('Paramètres'!$I:$I,MATCH($C3625,'Paramètres'!$D:$D,0))&amp;"","")="Les deux",IFERROR(INDEX('Paramètres'!$I:$I,MATCH($C3625,'Paramètres'!$D:$D,0))&amp;"","")=IF($P3625=1,"Débit",$L3625)),-IF($P3625=1,-$K3625,$K3625),0))))</f>
        <v/>
      </c>
      <c r="U3625" s="6" t="str">
        <f>IF($K3625="","",IF(ISNUMBER(SEARCH("sortie-epargne",IFERROR(INDEX('Paramètres'!$N:$N,MATCH($D3625,'Paramètres'!$M:$M,0))&amp;"",""))),$K3625,0))</f>
        <v/>
      </c>
      <c r="V3625" s="6" t="str">
        <f>IF(AND($A3625&lt;&gt;"",$O3625=1,$L3625="Débit",N($Q3625)&gt;0,$A3625&gt;=Visualisation!$B$1,$A3625&lt;Visualisation!$D$1),MAX($V$1:V3624)+1,"")</f>
        <v/>
      </c>
    </row>
    <row r="3626" spans="1:22" x14ac:dyDescent="0.25">
      <c r="A3626" s="9"/>
      <c r="E3626" s="10"/>
      <c r="K3626" s="11" t="str">
        <f>IF($E3626="","",ROUND($E3626*IF(ISNA(MATCH($C3626,'Paramètres'!$D:$D,0)),1,IF(INDEX('Paramètres'!$J:$J,MATCH($C3626,'Paramètres'!$D:$D,0))="",1,INDEX('Paramètres'!$J:$J,MATCH($C3626,'Paramètres'!$D:$D,0)))),2))</f>
        <v/>
      </c>
      <c r="L3626" s="6" t="str">
        <f>IF($D3626="","",IF($F3626&lt;&gt;"",$F3626,IF(ISNA(MATCH($D3626,'Paramètres'!$M:$M,0)),"⚠ Type inconnu",IFERROR(INDEX('Paramètres'!$P:$P,MATCH($D3626,'Paramètres'!$M:$M,0))&amp;"",""))))</f>
        <v/>
      </c>
      <c r="M3626" s="6" t="str">
        <f>IF($D3626="","",IF(ISNA(MATCH($D3626,'Paramètres'!$M:$M,0)),"⚠ Type inconnu",IF($L3626="Crédit","",IFERROR(INDEX('Paramètres'!$O:$O,MATCH($D3626,'Paramètres'!$M:$M,0))&amp;"",""))))</f>
        <v/>
      </c>
      <c r="N3626" s="6" t="str">
        <f>IF($D3626="","",IFERROR(INDEX('Paramètres'!$Q:$Q,MATCH($D3626,'Paramètres'!$M:$M,0))&amp;"",""))</f>
        <v/>
      </c>
      <c r="O3626" s="6" t="str">
        <f>IF($A3626="","",IF(OR($J3626&lt;&gt;"x",$A3626&lt;=FinReleve),1,0))</f>
        <v/>
      </c>
      <c r="P3626" s="6" t="str">
        <f>IF($D3626="","",IF(AND($L3626="Crédit",OR(IFERROR(INDEX('Paramètres'!$O:$O,MATCH($D3626,'Paramètres'!$M:$M,0))&amp;"","")&lt;&gt;"",ISNUMBER(SEARCH("remboursement",IFERROR(INDEX('Paramètres'!$N:$N,MATCH($D3626,'Paramètres'!$M:$M,0))&amp;"",""))))),1,0))</f>
        <v/>
      </c>
      <c r="Q3626" s="6" t="str">
        <f>IF($K3626="","",IF(ISNUMBER(SEARCH("transfert-interne",IFERROR(INDEX('Paramètres'!$N:$N,MATCH($D3626,'Paramètres'!$M:$M,0))&amp;"",""))),0,IF($L3626="Débit",$K3626,IF($P3626=1,-$K3626,0))))</f>
        <v/>
      </c>
      <c r="R3626" s="6" t="str">
        <f>IF($K3626="","",IF($L3626="Crédit",$K3626,-$K3626))</f>
        <v/>
      </c>
      <c r="S3626" s="6" t="str">
        <f>IF($C3626="","",IFERROR(INDEX('Paramètres'!$H:$H,MATCH($C3626,'Paramètres'!$D:$D,0))&amp;"",""))</f>
        <v/>
      </c>
      <c r="T3626" s="6" t="str">
        <f>IF($K3626="","",IF($S3626="",0,IF(ISNUMBER(SEARCH("apport-exterieur",IFERROR(INDEX('Paramètres'!$N:$N,MATCH($D3626,'Paramètres'!$M:$M,0))&amp;"",""))),0,IF(OR(IFERROR(INDEX('Paramètres'!$I:$I,MATCH($C3626,'Paramètres'!$D:$D,0))&amp;"","")="Les deux",IFERROR(INDEX('Paramètres'!$I:$I,MATCH($C3626,'Paramètres'!$D:$D,0))&amp;"","")=IF($P3626=1,"Débit",$L3626)),-IF($P3626=1,-$K3626,$K3626),0))))</f>
        <v/>
      </c>
      <c r="U3626" s="6" t="str">
        <f>IF($K3626="","",IF(ISNUMBER(SEARCH("sortie-epargne",IFERROR(INDEX('Paramètres'!$N:$N,MATCH($D3626,'Paramètres'!$M:$M,0))&amp;"",""))),$K3626,0))</f>
        <v/>
      </c>
      <c r="V3626" s="6" t="str">
        <f>IF(AND($A3626&lt;&gt;"",$O3626=1,$L3626="Débit",N($Q3626)&gt;0,$A3626&gt;=Visualisation!$B$1,$A3626&lt;Visualisation!$D$1),MAX($V$1:V3625)+1,"")</f>
        <v/>
      </c>
    </row>
    <row r="3627" spans="1:22" x14ac:dyDescent="0.25">
      <c r="A3627" s="9"/>
      <c r="E3627" s="10"/>
      <c r="K3627" s="11" t="str">
        <f>IF($E3627="","",ROUND($E3627*IF(ISNA(MATCH($C3627,'Paramètres'!$D:$D,0)),1,IF(INDEX('Paramètres'!$J:$J,MATCH($C3627,'Paramètres'!$D:$D,0))="",1,INDEX('Paramètres'!$J:$J,MATCH($C3627,'Paramètres'!$D:$D,0)))),2))</f>
        <v/>
      </c>
      <c r="L3627" s="6" t="str">
        <f>IF($D3627="","",IF($F3627&lt;&gt;"",$F3627,IF(ISNA(MATCH($D3627,'Paramètres'!$M:$M,0)),"⚠ Type inconnu",IFERROR(INDEX('Paramètres'!$P:$P,MATCH($D3627,'Paramètres'!$M:$M,0))&amp;"",""))))</f>
        <v/>
      </c>
      <c r="M3627" s="6" t="str">
        <f>IF($D3627="","",IF(ISNA(MATCH($D3627,'Paramètres'!$M:$M,0)),"⚠ Type inconnu",IF($L3627="Crédit","",IFERROR(INDEX('Paramètres'!$O:$O,MATCH($D3627,'Paramètres'!$M:$M,0))&amp;"",""))))</f>
        <v/>
      </c>
      <c r="N3627" s="6" t="str">
        <f>IF($D3627="","",IFERROR(INDEX('Paramètres'!$Q:$Q,MATCH($D3627,'Paramètres'!$M:$M,0))&amp;"",""))</f>
        <v/>
      </c>
      <c r="O3627" s="6" t="str">
        <f>IF($A3627="","",IF(OR($J3627&lt;&gt;"x",$A3627&lt;=FinReleve),1,0))</f>
        <v/>
      </c>
      <c r="P3627" s="6" t="str">
        <f>IF($D3627="","",IF(AND($L3627="Crédit",OR(IFERROR(INDEX('Paramètres'!$O:$O,MATCH($D3627,'Paramètres'!$M:$M,0))&amp;"","")&lt;&gt;"",ISNUMBER(SEARCH("remboursement",IFERROR(INDEX('Paramètres'!$N:$N,MATCH($D3627,'Paramètres'!$M:$M,0))&amp;"",""))))),1,0))</f>
        <v/>
      </c>
      <c r="Q3627" s="6" t="str">
        <f>IF($K3627="","",IF(ISNUMBER(SEARCH("transfert-interne",IFERROR(INDEX('Paramètres'!$N:$N,MATCH($D3627,'Paramètres'!$M:$M,0))&amp;"",""))),0,IF($L3627="Débit",$K3627,IF($P3627=1,-$K3627,0))))</f>
        <v/>
      </c>
      <c r="R3627" s="6" t="str">
        <f>IF($K3627="","",IF($L3627="Crédit",$K3627,-$K3627))</f>
        <v/>
      </c>
      <c r="S3627" s="6" t="str">
        <f>IF($C3627="","",IFERROR(INDEX('Paramètres'!$H:$H,MATCH($C3627,'Paramètres'!$D:$D,0))&amp;"",""))</f>
        <v/>
      </c>
      <c r="T3627" s="6" t="str">
        <f>IF($K3627="","",IF($S3627="",0,IF(ISNUMBER(SEARCH("apport-exterieur",IFERROR(INDEX('Paramètres'!$N:$N,MATCH($D3627,'Paramètres'!$M:$M,0))&amp;"",""))),0,IF(OR(IFERROR(INDEX('Paramètres'!$I:$I,MATCH($C3627,'Paramètres'!$D:$D,0))&amp;"","")="Les deux",IFERROR(INDEX('Paramètres'!$I:$I,MATCH($C3627,'Paramètres'!$D:$D,0))&amp;"","")=IF($P3627=1,"Débit",$L3627)),-IF($P3627=1,-$K3627,$K3627),0))))</f>
        <v/>
      </c>
      <c r="U3627" s="6" t="str">
        <f>IF($K3627="","",IF(ISNUMBER(SEARCH("sortie-epargne",IFERROR(INDEX('Paramètres'!$N:$N,MATCH($D3627,'Paramètres'!$M:$M,0))&amp;"",""))),$K3627,0))</f>
        <v/>
      </c>
      <c r="V3627" s="6" t="str">
        <f>IF(AND($A3627&lt;&gt;"",$O3627=1,$L3627="Débit",N($Q3627)&gt;0,$A3627&gt;=Visualisation!$B$1,$A3627&lt;Visualisation!$D$1),MAX($V$1:V3626)+1,"")</f>
        <v/>
      </c>
    </row>
    <row r="3628" spans="1:22" x14ac:dyDescent="0.25">
      <c r="A3628" s="9"/>
      <c r="E3628" s="10"/>
      <c r="K3628" s="11" t="str">
        <f>IF($E3628="","",ROUND($E3628*IF(ISNA(MATCH($C3628,'Paramètres'!$D:$D,0)),1,IF(INDEX('Paramètres'!$J:$J,MATCH($C3628,'Paramètres'!$D:$D,0))="",1,INDEX('Paramètres'!$J:$J,MATCH($C3628,'Paramètres'!$D:$D,0)))),2))</f>
        <v/>
      </c>
      <c r="L3628" s="6" t="str">
        <f>IF($D3628="","",IF($F3628&lt;&gt;"",$F3628,IF(ISNA(MATCH($D3628,'Paramètres'!$M:$M,0)),"⚠ Type inconnu",IFERROR(INDEX('Paramètres'!$P:$P,MATCH($D3628,'Paramètres'!$M:$M,0))&amp;"",""))))</f>
        <v/>
      </c>
      <c r="M3628" s="6" t="str">
        <f>IF($D3628="","",IF(ISNA(MATCH($D3628,'Paramètres'!$M:$M,0)),"⚠ Type inconnu",IF($L3628="Crédit","",IFERROR(INDEX('Paramètres'!$O:$O,MATCH($D3628,'Paramètres'!$M:$M,0))&amp;"",""))))</f>
        <v/>
      </c>
      <c r="N3628" s="6" t="str">
        <f>IF($D3628="","",IFERROR(INDEX('Paramètres'!$Q:$Q,MATCH($D3628,'Paramètres'!$M:$M,0))&amp;"",""))</f>
        <v/>
      </c>
      <c r="O3628" s="6" t="str">
        <f>IF($A3628="","",IF(OR($J3628&lt;&gt;"x",$A3628&lt;=FinReleve),1,0))</f>
        <v/>
      </c>
      <c r="P3628" s="6" t="str">
        <f>IF($D3628="","",IF(AND($L3628="Crédit",OR(IFERROR(INDEX('Paramètres'!$O:$O,MATCH($D3628,'Paramètres'!$M:$M,0))&amp;"","")&lt;&gt;"",ISNUMBER(SEARCH("remboursement",IFERROR(INDEX('Paramètres'!$N:$N,MATCH($D3628,'Paramètres'!$M:$M,0))&amp;"",""))))),1,0))</f>
        <v/>
      </c>
      <c r="Q3628" s="6" t="str">
        <f>IF($K3628="","",IF(ISNUMBER(SEARCH("transfert-interne",IFERROR(INDEX('Paramètres'!$N:$N,MATCH($D3628,'Paramètres'!$M:$M,0))&amp;"",""))),0,IF($L3628="Débit",$K3628,IF($P3628=1,-$K3628,0))))</f>
        <v/>
      </c>
      <c r="R3628" s="6" t="str">
        <f>IF($K3628="","",IF($L3628="Crédit",$K3628,-$K3628))</f>
        <v/>
      </c>
      <c r="S3628" s="6" t="str">
        <f>IF($C3628="","",IFERROR(INDEX('Paramètres'!$H:$H,MATCH($C3628,'Paramètres'!$D:$D,0))&amp;"",""))</f>
        <v/>
      </c>
      <c r="T3628" s="6" t="str">
        <f>IF($K3628="","",IF($S3628="",0,IF(ISNUMBER(SEARCH("apport-exterieur",IFERROR(INDEX('Paramètres'!$N:$N,MATCH($D3628,'Paramètres'!$M:$M,0))&amp;"",""))),0,IF(OR(IFERROR(INDEX('Paramètres'!$I:$I,MATCH($C3628,'Paramètres'!$D:$D,0))&amp;"","")="Les deux",IFERROR(INDEX('Paramètres'!$I:$I,MATCH($C3628,'Paramètres'!$D:$D,0))&amp;"","")=IF($P3628=1,"Débit",$L3628)),-IF($P3628=1,-$K3628,$K3628),0))))</f>
        <v/>
      </c>
      <c r="U3628" s="6" t="str">
        <f>IF($K3628="","",IF(ISNUMBER(SEARCH("sortie-epargne",IFERROR(INDEX('Paramètres'!$N:$N,MATCH($D3628,'Paramètres'!$M:$M,0))&amp;"",""))),$K3628,0))</f>
        <v/>
      </c>
      <c r="V3628" s="6" t="str">
        <f>IF(AND($A3628&lt;&gt;"",$O3628=1,$L3628="Débit",N($Q3628)&gt;0,$A3628&gt;=Visualisation!$B$1,$A3628&lt;Visualisation!$D$1),MAX($V$1:V3627)+1,"")</f>
        <v/>
      </c>
    </row>
    <row r="3629" spans="1:22" x14ac:dyDescent="0.25">
      <c r="A3629" s="9"/>
      <c r="E3629" s="10"/>
      <c r="K3629" s="11" t="str">
        <f>IF($E3629="","",ROUND($E3629*IF(ISNA(MATCH($C3629,'Paramètres'!$D:$D,0)),1,IF(INDEX('Paramètres'!$J:$J,MATCH($C3629,'Paramètres'!$D:$D,0))="",1,INDEX('Paramètres'!$J:$J,MATCH($C3629,'Paramètres'!$D:$D,0)))),2))</f>
        <v/>
      </c>
      <c r="L3629" s="6" t="str">
        <f>IF($D3629="","",IF($F3629&lt;&gt;"",$F3629,IF(ISNA(MATCH($D3629,'Paramètres'!$M:$M,0)),"⚠ Type inconnu",IFERROR(INDEX('Paramètres'!$P:$P,MATCH($D3629,'Paramètres'!$M:$M,0))&amp;"",""))))</f>
        <v/>
      </c>
      <c r="M3629" s="6" t="str">
        <f>IF($D3629="","",IF(ISNA(MATCH($D3629,'Paramètres'!$M:$M,0)),"⚠ Type inconnu",IF($L3629="Crédit","",IFERROR(INDEX('Paramètres'!$O:$O,MATCH($D3629,'Paramètres'!$M:$M,0))&amp;"",""))))</f>
        <v/>
      </c>
      <c r="N3629" s="6" t="str">
        <f>IF($D3629="","",IFERROR(INDEX('Paramètres'!$Q:$Q,MATCH($D3629,'Paramètres'!$M:$M,0))&amp;"",""))</f>
        <v/>
      </c>
      <c r="O3629" s="6" t="str">
        <f>IF($A3629="","",IF(OR($J3629&lt;&gt;"x",$A3629&lt;=FinReleve),1,0))</f>
        <v/>
      </c>
      <c r="P3629" s="6" t="str">
        <f>IF($D3629="","",IF(AND($L3629="Crédit",OR(IFERROR(INDEX('Paramètres'!$O:$O,MATCH($D3629,'Paramètres'!$M:$M,0))&amp;"","")&lt;&gt;"",ISNUMBER(SEARCH("remboursement",IFERROR(INDEX('Paramètres'!$N:$N,MATCH($D3629,'Paramètres'!$M:$M,0))&amp;"",""))))),1,0))</f>
        <v/>
      </c>
      <c r="Q3629" s="6" t="str">
        <f>IF($K3629="","",IF(ISNUMBER(SEARCH("transfert-interne",IFERROR(INDEX('Paramètres'!$N:$N,MATCH($D3629,'Paramètres'!$M:$M,0))&amp;"",""))),0,IF($L3629="Débit",$K3629,IF($P3629=1,-$K3629,0))))</f>
        <v/>
      </c>
      <c r="R3629" s="6" t="str">
        <f>IF($K3629="","",IF($L3629="Crédit",$K3629,-$K3629))</f>
        <v/>
      </c>
      <c r="S3629" s="6" t="str">
        <f>IF($C3629="","",IFERROR(INDEX('Paramètres'!$H:$H,MATCH($C3629,'Paramètres'!$D:$D,0))&amp;"",""))</f>
        <v/>
      </c>
      <c r="T3629" s="6" t="str">
        <f>IF($K3629="","",IF($S3629="",0,IF(ISNUMBER(SEARCH("apport-exterieur",IFERROR(INDEX('Paramètres'!$N:$N,MATCH($D3629,'Paramètres'!$M:$M,0))&amp;"",""))),0,IF(OR(IFERROR(INDEX('Paramètres'!$I:$I,MATCH($C3629,'Paramètres'!$D:$D,0))&amp;"","")="Les deux",IFERROR(INDEX('Paramètres'!$I:$I,MATCH($C3629,'Paramètres'!$D:$D,0))&amp;"","")=IF($P3629=1,"Débit",$L3629)),-IF($P3629=1,-$K3629,$K3629),0))))</f>
        <v/>
      </c>
      <c r="U3629" s="6" t="str">
        <f>IF($K3629="","",IF(ISNUMBER(SEARCH("sortie-epargne",IFERROR(INDEX('Paramètres'!$N:$N,MATCH($D3629,'Paramètres'!$M:$M,0))&amp;"",""))),$K3629,0))</f>
        <v/>
      </c>
      <c r="V3629" s="6" t="str">
        <f>IF(AND($A3629&lt;&gt;"",$O3629=1,$L3629="Débit",N($Q3629)&gt;0,$A3629&gt;=Visualisation!$B$1,$A3629&lt;Visualisation!$D$1),MAX($V$1:V3628)+1,"")</f>
        <v/>
      </c>
    </row>
    <row r="3630" spans="1:22" x14ac:dyDescent="0.25">
      <c r="A3630" s="9"/>
      <c r="E3630" s="10"/>
      <c r="K3630" s="11" t="str">
        <f>IF($E3630="","",ROUND($E3630*IF(ISNA(MATCH($C3630,'Paramètres'!$D:$D,0)),1,IF(INDEX('Paramètres'!$J:$J,MATCH($C3630,'Paramètres'!$D:$D,0))="",1,INDEX('Paramètres'!$J:$J,MATCH($C3630,'Paramètres'!$D:$D,0)))),2))</f>
        <v/>
      </c>
      <c r="L3630" s="6" t="str">
        <f>IF($D3630="","",IF($F3630&lt;&gt;"",$F3630,IF(ISNA(MATCH($D3630,'Paramètres'!$M:$M,0)),"⚠ Type inconnu",IFERROR(INDEX('Paramètres'!$P:$P,MATCH($D3630,'Paramètres'!$M:$M,0))&amp;"",""))))</f>
        <v/>
      </c>
      <c r="M3630" s="6" t="str">
        <f>IF($D3630="","",IF(ISNA(MATCH($D3630,'Paramètres'!$M:$M,0)),"⚠ Type inconnu",IF($L3630="Crédit","",IFERROR(INDEX('Paramètres'!$O:$O,MATCH($D3630,'Paramètres'!$M:$M,0))&amp;"",""))))</f>
        <v/>
      </c>
      <c r="N3630" s="6" t="str">
        <f>IF($D3630="","",IFERROR(INDEX('Paramètres'!$Q:$Q,MATCH($D3630,'Paramètres'!$M:$M,0))&amp;"",""))</f>
        <v/>
      </c>
      <c r="O3630" s="6" t="str">
        <f>IF($A3630="","",IF(OR($J3630&lt;&gt;"x",$A3630&lt;=FinReleve),1,0))</f>
        <v/>
      </c>
      <c r="P3630" s="6" t="str">
        <f>IF($D3630="","",IF(AND($L3630="Crédit",OR(IFERROR(INDEX('Paramètres'!$O:$O,MATCH($D3630,'Paramètres'!$M:$M,0))&amp;"","")&lt;&gt;"",ISNUMBER(SEARCH("remboursement",IFERROR(INDEX('Paramètres'!$N:$N,MATCH($D3630,'Paramètres'!$M:$M,0))&amp;"",""))))),1,0))</f>
        <v/>
      </c>
      <c r="Q3630" s="6" t="str">
        <f>IF($K3630="","",IF(ISNUMBER(SEARCH("transfert-interne",IFERROR(INDEX('Paramètres'!$N:$N,MATCH($D3630,'Paramètres'!$M:$M,0))&amp;"",""))),0,IF($L3630="Débit",$K3630,IF($P3630=1,-$K3630,0))))</f>
        <v/>
      </c>
      <c r="R3630" s="6" t="str">
        <f>IF($K3630="","",IF($L3630="Crédit",$K3630,-$K3630))</f>
        <v/>
      </c>
      <c r="S3630" s="6" t="str">
        <f>IF($C3630="","",IFERROR(INDEX('Paramètres'!$H:$H,MATCH($C3630,'Paramètres'!$D:$D,0))&amp;"",""))</f>
        <v/>
      </c>
      <c r="T3630" s="6" t="str">
        <f>IF($K3630="","",IF($S3630="",0,IF(ISNUMBER(SEARCH("apport-exterieur",IFERROR(INDEX('Paramètres'!$N:$N,MATCH($D3630,'Paramètres'!$M:$M,0))&amp;"",""))),0,IF(OR(IFERROR(INDEX('Paramètres'!$I:$I,MATCH($C3630,'Paramètres'!$D:$D,0))&amp;"","")="Les deux",IFERROR(INDEX('Paramètres'!$I:$I,MATCH($C3630,'Paramètres'!$D:$D,0))&amp;"","")=IF($P3630=1,"Débit",$L3630)),-IF($P3630=1,-$K3630,$K3630),0))))</f>
        <v/>
      </c>
      <c r="U3630" s="6" t="str">
        <f>IF($K3630="","",IF(ISNUMBER(SEARCH("sortie-epargne",IFERROR(INDEX('Paramètres'!$N:$N,MATCH($D3630,'Paramètres'!$M:$M,0))&amp;"",""))),$K3630,0))</f>
        <v/>
      </c>
      <c r="V3630" s="6" t="str">
        <f>IF(AND($A3630&lt;&gt;"",$O3630=1,$L3630="Débit",N($Q3630)&gt;0,$A3630&gt;=Visualisation!$B$1,$A3630&lt;Visualisation!$D$1),MAX($V$1:V3629)+1,"")</f>
        <v/>
      </c>
    </row>
    <row r="3631" spans="1:22" x14ac:dyDescent="0.25">
      <c r="A3631" s="9"/>
      <c r="E3631" s="10"/>
      <c r="K3631" s="11" t="str">
        <f>IF($E3631="","",ROUND($E3631*IF(ISNA(MATCH($C3631,'Paramètres'!$D:$D,0)),1,IF(INDEX('Paramètres'!$J:$J,MATCH($C3631,'Paramètres'!$D:$D,0))="",1,INDEX('Paramètres'!$J:$J,MATCH($C3631,'Paramètres'!$D:$D,0)))),2))</f>
        <v/>
      </c>
      <c r="L3631" s="6" t="str">
        <f>IF($D3631="","",IF($F3631&lt;&gt;"",$F3631,IF(ISNA(MATCH($D3631,'Paramètres'!$M:$M,0)),"⚠ Type inconnu",IFERROR(INDEX('Paramètres'!$P:$P,MATCH($D3631,'Paramètres'!$M:$M,0))&amp;"",""))))</f>
        <v/>
      </c>
      <c r="M3631" s="6" t="str">
        <f>IF($D3631="","",IF(ISNA(MATCH($D3631,'Paramètres'!$M:$M,0)),"⚠ Type inconnu",IF($L3631="Crédit","",IFERROR(INDEX('Paramètres'!$O:$O,MATCH($D3631,'Paramètres'!$M:$M,0))&amp;"",""))))</f>
        <v/>
      </c>
      <c r="N3631" s="6" t="str">
        <f>IF($D3631="","",IFERROR(INDEX('Paramètres'!$Q:$Q,MATCH($D3631,'Paramètres'!$M:$M,0))&amp;"",""))</f>
        <v/>
      </c>
      <c r="O3631" s="6" t="str">
        <f>IF($A3631="","",IF(OR($J3631&lt;&gt;"x",$A3631&lt;=FinReleve),1,0))</f>
        <v/>
      </c>
      <c r="P3631" s="6" t="str">
        <f>IF($D3631="","",IF(AND($L3631="Crédit",OR(IFERROR(INDEX('Paramètres'!$O:$O,MATCH($D3631,'Paramètres'!$M:$M,0))&amp;"","")&lt;&gt;"",ISNUMBER(SEARCH("remboursement",IFERROR(INDEX('Paramètres'!$N:$N,MATCH($D3631,'Paramètres'!$M:$M,0))&amp;"",""))))),1,0))</f>
        <v/>
      </c>
      <c r="Q3631" s="6" t="str">
        <f>IF($K3631="","",IF(ISNUMBER(SEARCH("transfert-interne",IFERROR(INDEX('Paramètres'!$N:$N,MATCH($D3631,'Paramètres'!$M:$M,0))&amp;"",""))),0,IF($L3631="Débit",$K3631,IF($P3631=1,-$K3631,0))))</f>
        <v/>
      </c>
      <c r="R3631" s="6" t="str">
        <f>IF($K3631="","",IF($L3631="Crédit",$K3631,-$K3631))</f>
        <v/>
      </c>
      <c r="S3631" s="6" t="str">
        <f>IF($C3631="","",IFERROR(INDEX('Paramètres'!$H:$H,MATCH($C3631,'Paramètres'!$D:$D,0))&amp;"",""))</f>
        <v/>
      </c>
      <c r="T3631" s="6" t="str">
        <f>IF($K3631="","",IF($S3631="",0,IF(ISNUMBER(SEARCH("apport-exterieur",IFERROR(INDEX('Paramètres'!$N:$N,MATCH($D3631,'Paramètres'!$M:$M,0))&amp;"",""))),0,IF(OR(IFERROR(INDEX('Paramètres'!$I:$I,MATCH($C3631,'Paramètres'!$D:$D,0))&amp;"","")="Les deux",IFERROR(INDEX('Paramètres'!$I:$I,MATCH($C3631,'Paramètres'!$D:$D,0))&amp;"","")=IF($P3631=1,"Débit",$L3631)),-IF($P3631=1,-$K3631,$K3631),0))))</f>
        <v/>
      </c>
      <c r="U3631" s="6" t="str">
        <f>IF($K3631="","",IF(ISNUMBER(SEARCH("sortie-epargne",IFERROR(INDEX('Paramètres'!$N:$N,MATCH($D3631,'Paramètres'!$M:$M,0))&amp;"",""))),$K3631,0))</f>
        <v/>
      </c>
      <c r="V3631" s="6" t="str">
        <f>IF(AND($A3631&lt;&gt;"",$O3631=1,$L3631="Débit",N($Q3631)&gt;0,$A3631&gt;=Visualisation!$B$1,$A3631&lt;Visualisation!$D$1),MAX($V$1:V3630)+1,"")</f>
        <v/>
      </c>
    </row>
    <row r="3632" spans="1:22" x14ac:dyDescent="0.25">
      <c r="A3632" s="9"/>
      <c r="E3632" s="10"/>
      <c r="K3632" s="11" t="str">
        <f>IF($E3632="","",ROUND($E3632*IF(ISNA(MATCH($C3632,'Paramètres'!$D:$D,0)),1,IF(INDEX('Paramètres'!$J:$J,MATCH($C3632,'Paramètres'!$D:$D,0))="",1,INDEX('Paramètres'!$J:$J,MATCH($C3632,'Paramètres'!$D:$D,0)))),2))</f>
        <v/>
      </c>
      <c r="L3632" s="6" t="str">
        <f>IF($D3632="","",IF($F3632&lt;&gt;"",$F3632,IF(ISNA(MATCH($D3632,'Paramètres'!$M:$M,0)),"⚠ Type inconnu",IFERROR(INDEX('Paramètres'!$P:$P,MATCH($D3632,'Paramètres'!$M:$M,0))&amp;"",""))))</f>
        <v/>
      </c>
      <c r="M3632" s="6" t="str">
        <f>IF($D3632="","",IF(ISNA(MATCH($D3632,'Paramètres'!$M:$M,0)),"⚠ Type inconnu",IF($L3632="Crédit","",IFERROR(INDEX('Paramètres'!$O:$O,MATCH($D3632,'Paramètres'!$M:$M,0))&amp;"",""))))</f>
        <v/>
      </c>
      <c r="N3632" s="6" t="str">
        <f>IF($D3632="","",IFERROR(INDEX('Paramètres'!$Q:$Q,MATCH($D3632,'Paramètres'!$M:$M,0))&amp;"",""))</f>
        <v/>
      </c>
      <c r="O3632" s="6" t="str">
        <f>IF($A3632="","",IF(OR($J3632&lt;&gt;"x",$A3632&lt;=FinReleve),1,0))</f>
        <v/>
      </c>
      <c r="P3632" s="6" t="str">
        <f>IF($D3632="","",IF(AND($L3632="Crédit",OR(IFERROR(INDEX('Paramètres'!$O:$O,MATCH($D3632,'Paramètres'!$M:$M,0))&amp;"","")&lt;&gt;"",ISNUMBER(SEARCH("remboursement",IFERROR(INDEX('Paramètres'!$N:$N,MATCH($D3632,'Paramètres'!$M:$M,0))&amp;"",""))))),1,0))</f>
        <v/>
      </c>
      <c r="Q3632" s="6" t="str">
        <f>IF($K3632="","",IF(ISNUMBER(SEARCH("transfert-interne",IFERROR(INDEX('Paramètres'!$N:$N,MATCH($D3632,'Paramètres'!$M:$M,0))&amp;"",""))),0,IF($L3632="Débit",$K3632,IF($P3632=1,-$K3632,0))))</f>
        <v/>
      </c>
      <c r="R3632" s="6" t="str">
        <f>IF($K3632="","",IF($L3632="Crédit",$K3632,-$K3632))</f>
        <v/>
      </c>
      <c r="S3632" s="6" t="str">
        <f>IF($C3632="","",IFERROR(INDEX('Paramètres'!$H:$H,MATCH($C3632,'Paramètres'!$D:$D,0))&amp;"",""))</f>
        <v/>
      </c>
      <c r="T3632" s="6" t="str">
        <f>IF($K3632="","",IF($S3632="",0,IF(ISNUMBER(SEARCH("apport-exterieur",IFERROR(INDEX('Paramètres'!$N:$N,MATCH($D3632,'Paramètres'!$M:$M,0))&amp;"",""))),0,IF(OR(IFERROR(INDEX('Paramètres'!$I:$I,MATCH($C3632,'Paramètres'!$D:$D,0))&amp;"","")="Les deux",IFERROR(INDEX('Paramètres'!$I:$I,MATCH($C3632,'Paramètres'!$D:$D,0))&amp;"","")=IF($P3632=1,"Débit",$L3632)),-IF($P3632=1,-$K3632,$K3632),0))))</f>
        <v/>
      </c>
      <c r="U3632" s="6" t="str">
        <f>IF($K3632="","",IF(ISNUMBER(SEARCH("sortie-epargne",IFERROR(INDEX('Paramètres'!$N:$N,MATCH($D3632,'Paramètres'!$M:$M,0))&amp;"",""))),$K3632,0))</f>
        <v/>
      </c>
      <c r="V3632" s="6" t="str">
        <f>IF(AND($A3632&lt;&gt;"",$O3632=1,$L3632="Débit",N($Q3632)&gt;0,$A3632&gt;=Visualisation!$B$1,$A3632&lt;Visualisation!$D$1),MAX($V$1:V3631)+1,"")</f>
        <v/>
      </c>
    </row>
    <row r="3633" spans="1:22" x14ac:dyDescent="0.25">
      <c r="A3633" s="9"/>
      <c r="E3633" s="10"/>
      <c r="K3633" s="11" t="str">
        <f>IF($E3633="","",ROUND($E3633*IF(ISNA(MATCH($C3633,'Paramètres'!$D:$D,0)),1,IF(INDEX('Paramètres'!$J:$J,MATCH($C3633,'Paramètres'!$D:$D,0))="",1,INDEX('Paramètres'!$J:$J,MATCH($C3633,'Paramètres'!$D:$D,0)))),2))</f>
        <v/>
      </c>
      <c r="L3633" s="6" t="str">
        <f>IF($D3633="","",IF($F3633&lt;&gt;"",$F3633,IF(ISNA(MATCH($D3633,'Paramètres'!$M:$M,0)),"⚠ Type inconnu",IFERROR(INDEX('Paramètres'!$P:$P,MATCH($D3633,'Paramètres'!$M:$M,0))&amp;"",""))))</f>
        <v/>
      </c>
      <c r="M3633" s="6" t="str">
        <f>IF($D3633="","",IF(ISNA(MATCH($D3633,'Paramètres'!$M:$M,0)),"⚠ Type inconnu",IF($L3633="Crédit","",IFERROR(INDEX('Paramètres'!$O:$O,MATCH($D3633,'Paramètres'!$M:$M,0))&amp;"",""))))</f>
        <v/>
      </c>
      <c r="N3633" s="6" t="str">
        <f>IF($D3633="","",IFERROR(INDEX('Paramètres'!$Q:$Q,MATCH($D3633,'Paramètres'!$M:$M,0))&amp;"",""))</f>
        <v/>
      </c>
      <c r="O3633" s="6" t="str">
        <f>IF($A3633="","",IF(OR($J3633&lt;&gt;"x",$A3633&lt;=FinReleve),1,0))</f>
        <v/>
      </c>
      <c r="P3633" s="6" t="str">
        <f>IF($D3633="","",IF(AND($L3633="Crédit",OR(IFERROR(INDEX('Paramètres'!$O:$O,MATCH($D3633,'Paramètres'!$M:$M,0))&amp;"","")&lt;&gt;"",ISNUMBER(SEARCH("remboursement",IFERROR(INDEX('Paramètres'!$N:$N,MATCH($D3633,'Paramètres'!$M:$M,0))&amp;"",""))))),1,0))</f>
        <v/>
      </c>
      <c r="Q3633" s="6" t="str">
        <f>IF($K3633="","",IF(ISNUMBER(SEARCH("transfert-interne",IFERROR(INDEX('Paramètres'!$N:$N,MATCH($D3633,'Paramètres'!$M:$M,0))&amp;"",""))),0,IF($L3633="Débit",$K3633,IF($P3633=1,-$K3633,0))))</f>
        <v/>
      </c>
      <c r="R3633" s="6" t="str">
        <f>IF($K3633="","",IF($L3633="Crédit",$K3633,-$K3633))</f>
        <v/>
      </c>
      <c r="S3633" s="6" t="str">
        <f>IF($C3633="","",IFERROR(INDEX('Paramètres'!$H:$H,MATCH($C3633,'Paramètres'!$D:$D,0))&amp;"",""))</f>
        <v/>
      </c>
      <c r="T3633" s="6" t="str">
        <f>IF($K3633="","",IF($S3633="",0,IF(ISNUMBER(SEARCH("apport-exterieur",IFERROR(INDEX('Paramètres'!$N:$N,MATCH($D3633,'Paramètres'!$M:$M,0))&amp;"",""))),0,IF(OR(IFERROR(INDEX('Paramètres'!$I:$I,MATCH($C3633,'Paramètres'!$D:$D,0))&amp;"","")="Les deux",IFERROR(INDEX('Paramètres'!$I:$I,MATCH($C3633,'Paramètres'!$D:$D,0))&amp;"","")=IF($P3633=1,"Débit",$L3633)),-IF($P3633=1,-$K3633,$K3633),0))))</f>
        <v/>
      </c>
      <c r="U3633" s="6" t="str">
        <f>IF($K3633="","",IF(ISNUMBER(SEARCH("sortie-epargne",IFERROR(INDEX('Paramètres'!$N:$N,MATCH($D3633,'Paramètres'!$M:$M,0))&amp;"",""))),$K3633,0))</f>
        <v/>
      </c>
      <c r="V3633" s="6" t="str">
        <f>IF(AND($A3633&lt;&gt;"",$O3633=1,$L3633="Débit",N($Q3633)&gt;0,$A3633&gt;=Visualisation!$B$1,$A3633&lt;Visualisation!$D$1),MAX($V$1:V3632)+1,"")</f>
        <v/>
      </c>
    </row>
    <row r="3634" spans="1:22" x14ac:dyDescent="0.25">
      <c r="A3634" s="9"/>
      <c r="E3634" s="10"/>
      <c r="K3634" s="11" t="str">
        <f>IF($E3634="","",ROUND($E3634*IF(ISNA(MATCH($C3634,'Paramètres'!$D:$D,0)),1,IF(INDEX('Paramètres'!$J:$J,MATCH($C3634,'Paramètres'!$D:$D,0))="",1,INDEX('Paramètres'!$J:$J,MATCH($C3634,'Paramètres'!$D:$D,0)))),2))</f>
        <v/>
      </c>
      <c r="L3634" s="6" t="str">
        <f>IF($D3634="","",IF($F3634&lt;&gt;"",$F3634,IF(ISNA(MATCH($D3634,'Paramètres'!$M:$M,0)),"⚠ Type inconnu",IFERROR(INDEX('Paramètres'!$P:$P,MATCH($D3634,'Paramètres'!$M:$M,0))&amp;"",""))))</f>
        <v/>
      </c>
      <c r="M3634" s="6" t="str">
        <f>IF($D3634="","",IF(ISNA(MATCH($D3634,'Paramètres'!$M:$M,0)),"⚠ Type inconnu",IF($L3634="Crédit","",IFERROR(INDEX('Paramètres'!$O:$O,MATCH($D3634,'Paramètres'!$M:$M,0))&amp;"",""))))</f>
        <v/>
      </c>
      <c r="N3634" s="6" t="str">
        <f>IF($D3634="","",IFERROR(INDEX('Paramètres'!$Q:$Q,MATCH($D3634,'Paramètres'!$M:$M,0))&amp;"",""))</f>
        <v/>
      </c>
      <c r="O3634" s="6" t="str">
        <f>IF($A3634="","",IF(OR($J3634&lt;&gt;"x",$A3634&lt;=FinReleve),1,0))</f>
        <v/>
      </c>
      <c r="P3634" s="6" t="str">
        <f>IF($D3634="","",IF(AND($L3634="Crédit",OR(IFERROR(INDEX('Paramètres'!$O:$O,MATCH($D3634,'Paramètres'!$M:$M,0))&amp;"","")&lt;&gt;"",ISNUMBER(SEARCH("remboursement",IFERROR(INDEX('Paramètres'!$N:$N,MATCH($D3634,'Paramètres'!$M:$M,0))&amp;"",""))))),1,0))</f>
        <v/>
      </c>
      <c r="Q3634" s="6" t="str">
        <f>IF($K3634="","",IF(ISNUMBER(SEARCH("transfert-interne",IFERROR(INDEX('Paramètres'!$N:$N,MATCH($D3634,'Paramètres'!$M:$M,0))&amp;"",""))),0,IF($L3634="Débit",$K3634,IF($P3634=1,-$K3634,0))))</f>
        <v/>
      </c>
      <c r="R3634" s="6" t="str">
        <f>IF($K3634="","",IF($L3634="Crédit",$K3634,-$K3634))</f>
        <v/>
      </c>
      <c r="S3634" s="6" t="str">
        <f>IF($C3634="","",IFERROR(INDEX('Paramètres'!$H:$H,MATCH($C3634,'Paramètres'!$D:$D,0))&amp;"",""))</f>
        <v/>
      </c>
      <c r="T3634" s="6" t="str">
        <f>IF($K3634="","",IF($S3634="",0,IF(ISNUMBER(SEARCH("apport-exterieur",IFERROR(INDEX('Paramètres'!$N:$N,MATCH($D3634,'Paramètres'!$M:$M,0))&amp;"",""))),0,IF(OR(IFERROR(INDEX('Paramètres'!$I:$I,MATCH($C3634,'Paramètres'!$D:$D,0))&amp;"","")="Les deux",IFERROR(INDEX('Paramètres'!$I:$I,MATCH($C3634,'Paramètres'!$D:$D,0))&amp;"","")=IF($P3634=1,"Débit",$L3634)),-IF($P3634=1,-$K3634,$K3634),0))))</f>
        <v/>
      </c>
      <c r="U3634" s="6" t="str">
        <f>IF($K3634="","",IF(ISNUMBER(SEARCH("sortie-epargne",IFERROR(INDEX('Paramètres'!$N:$N,MATCH($D3634,'Paramètres'!$M:$M,0))&amp;"",""))),$K3634,0))</f>
        <v/>
      </c>
      <c r="V3634" s="6" t="str">
        <f>IF(AND($A3634&lt;&gt;"",$O3634=1,$L3634="Débit",N($Q3634)&gt;0,$A3634&gt;=Visualisation!$B$1,$A3634&lt;Visualisation!$D$1),MAX($V$1:V3633)+1,"")</f>
        <v/>
      </c>
    </row>
    <row r="3635" spans="1:22" x14ac:dyDescent="0.25">
      <c r="A3635" s="9"/>
      <c r="E3635" s="10"/>
      <c r="K3635" s="11" t="str">
        <f>IF($E3635="","",ROUND($E3635*IF(ISNA(MATCH($C3635,'Paramètres'!$D:$D,0)),1,IF(INDEX('Paramètres'!$J:$J,MATCH($C3635,'Paramètres'!$D:$D,0))="",1,INDEX('Paramètres'!$J:$J,MATCH($C3635,'Paramètres'!$D:$D,0)))),2))</f>
        <v/>
      </c>
      <c r="L3635" s="6" t="str">
        <f>IF($D3635="","",IF($F3635&lt;&gt;"",$F3635,IF(ISNA(MATCH($D3635,'Paramètres'!$M:$M,0)),"⚠ Type inconnu",IFERROR(INDEX('Paramètres'!$P:$P,MATCH($D3635,'Paramètres'!$M:$M,0))&amp;"",""))))</f>
        <v/>
      </c>
      <c r="M3635" s="6" t="str">
        <f>IF($D3635="","",IF(ISNA(MATCH($D3635,'Paramètres'!$M:$M,0)),"⚠ Type inconnu",IF($L3635="Crédit","",IFERROR(INDEX('Paramètres'!$O:$O,MATCH($D3635,'Paramètres'!$M:$M,0))&amp;"",""))))</f>
        <v/>
      </c>
      <c r="N3635" s="6" t="str">
        <f>IF($D3635="","",IFERROR(INDEX('Paramètres'!$Q:$Q,MATCH($D3635,'Paramètres'!$M:$M,0))&amp;"",""))</f>
        <v/>
      </c>
      <c r="O3635" s="6" t="str">
        <f>IF($A3635="","",IF(OR($J3635&lt;&gt;"x",$A3635&lt;=FinReleve),1,0))</f>
        <v/>
      </c>
      <c r="P3635" s="6" t="str">
        <f>IF($D3635="","",IF(AND($L3635="Crédit",OR(IFERROR(INDEX('Paramètres'!$O:$O,MATCH($D3635,'Paramètres'!$M:$M,0))&amp;"","")&lt;&gt;"",ISNUMBER(SEARCH("remboursement",IFERROR(INDEX('Paramètres'!$N:$N,MATCH($D3635,'Paramètres'!$M:$M,0))&amp;"",""))))),1,0))</f>
        <v/>
      </c>
      <c r="Q3635" s="6" t="str">
        <f>IF($K3635="","",IF(ISNUMBER(SEARCH("transfert-interne",IFERROR(INDEX('Paramètres'!$N:$N,MATCH($D3635,'Paramètres'!$M:$M,0))&amp;"",""))),0,IF($L3635="Débit",$K3635,IF($P3635=1,-$K3635,0))))</f>
        <v/>
      </c>
      <c r="R3635" s="6" t="str">
        <f>IF($K3635="","",IF($L3635="Crédit",$K3635,-$K3635))</f>
        <v/>
      </c>
      <c r="S3635" s="6" t="str">
        <f>IF($C3635="","",IFERROR(INDEX('Paramètres'!$H:$H,MATCH($C3635,'Paramètres'!$D:$D,0))&amp;"",""))</f>
        <v/>
      </c>
      <c r="T3635" s="6" t="str">
        <f>IF($K3635="","",IF($S3635="",0,IF(ISNUMBER(SEARCH("apport-exterieur",IFERROR(INDEX('Paramètres'!$N:$N,MATCH($D3635,'Paramètres'!$M:$M,0))&amp;"",""))),0,IF(OR(IFERROR(INDEX('Paramètres'!$I:$I,MATCH($C3635,'Paramètres'!$D:$D,0))&amp;"","")="Les deux",IFERROR(INDEX('Paramètres'!$I:$I,MATCH($C3635,'Paramètres'!$D:$D,0))&amp;"","")=IF($P3635=1,"Débit",$L3635)),-IF($P3635=1,-$K3635,$K3635),0))))</f>
        <v/>
      </c>
      <c r="U3635" s="6" t="str">
        <f>IF($K3635="","",IF(ISNUMBER(SEARCH("sortie-epargne",IFERROR(INDEX('Paramètres'!$N:$N,MATCH($D3635,'Paramètres'!$M:$M,0))&amp;"",""))),$K3635,0))</f>
        <v/>
      </c>
      <c r="V3635" s="6" t="str">
        <f>IF(AND($A3635&lt;&gt;"",$O3635=1,$L3635="Débit",N($Q3635)&gt;0,$A3635&gt;=Visualisation!$B$1,$A3635&lt;Visualisation!$D$1),MAX($V$1:V3634)+1,"")</f>
        <v/>
      </c>
    </row>
    <row r="3636" spans="1:22" x14ac:dyDescent="0.25">
      <c r="A3636" s="9"/>
      <c r="E3636" s="10"/>
      <c r="K3636" s="11" t="str">
        <f>IF($E3636="","",ROUND($E3636*IF(ISNA(MATCH($C3636,'Paramètres'!$D:$D,0)),1,IF(INDEX('Paramètres'!$J:$J,MATCH($C3636,'Paramètres'!$D:$D,0))="",1,INDEX('Paramètres'!$J:$J,MATCH($C3636,'Paramètres'!$D:$D,0)))),2))</f>
        <v/>
      </c>
      <c r="L3636" s="6" t="str">
        <f>IF($D3636="","",IF($F3636&lt;&gt;"",$F3636,IF(ISNA(MATCH($D3636,'Paramètres'!$M:$M,0)),"⚠ Type inconnu",IFERROR(INDEX('Paramètres'!$P:$P,MATCH($D3636,'Paramètres'!$M:$M,0))&amp;"",""))))</f>
        <v/>
      </c>
      <c r="M3636" s="6" t="str">
        <f>IF($D3636="","",IF(ISNA(MATCH($D3636,'Paramètres'!$M:$M,0)),"⚠ Type inconnu",IF($L3636="Crédit","",IFERROR(INDEX('Paramètres'!$O:$O,MATCH($D3636,'Paramètres'!$M:$M,0))&amp;"",""))))</f>
        <v/>
      </c>
      <c r="N3636" s="6" t="str">
        <f>IF($D3636="","",IFERROR(INDEX('Paramètres'!$Q:$Q,MATCH($D3636,'Paramètres'!$M:$M,0))&amp;"",""))</f>
        <v/>
      </c>
      <c r="O3636" s="6" t="str">
        <f>IF($A3636="","",IF(OR($J3636&lt;&gt;"x",$A3636&lt;=FinReleve),1,0))</f>
        <v/>
      </c>
      <c r="P3636" s="6" t="str">
        <f>IF($D3636="","",IF(AND($L3636="Crédit",OR(IFERROR(INDEX('Paramètres'!$O:$O,MATCH($D3636,'Paramètres'!$M:$M,0))&amp;"","")&lt;&gt;"",ISNUMBER(SEARCH("remboursement",IFERROR(INDEX('Paramètres'!$N:$N,MATCH($D3636,'Paramètres'!$M:$M,0))&amp;"",""))))),1,0))</f>
        <v/>
      </c>
      <c r="Q3636" s="6" t="str">
        <f>IF($K3636="","",IF(ISNUMBER(SEARCH("transfert-interne",IFERROR(INDEX('Paramètres'!$N:$N,MATCH($D3636,'Paramètres'!$M:$M,0))&amp;"",""))),0,IF($L3636="Débit",$K3636,IF($P3636=1,-$K3636,0))))</f>
        <v/>
      </c>
      <c r="R3636" s="6" t="str">
        <f>IF($K3636="","",IF($L3636="Crédit",$K3636,-$K3636))</f>
        <v/>
      </c>
      <c r="S3636" s="6" t="str">
        <f>IF($C3636="","",IFERROR(INDEX('Paramètres'!$H:$H,MATCH($C3636,'Paramètres'!$D:$D,0))&amp;"",""))</f>
        <v/>
      </c>
      <c r="T3636" s="6" t="str">
        <f>IF($K3636="","",IF($S3636="",0,IF(ISNUMBER(SEARCH("apport-exterieur",IFERROR(INDEX('Paramètres'!$N:$N,MATCH($D3636,'Paramètres'!$M:$M,0))&amp;"",""))),0,IF(OR(IFERROR(INDEX('Paramètres'!$I:$I,MATCH($C3636,'Paramètres'!$D:$D,0))&amp;"","")="Les deux",IFERROR(INDEX('Paramètres'!$I:$I,MATCH($C3636,'Paramètres'!$D:$D,0))&amp;"","")=IF($P3636=1,"Débit",$L3636)),-IF($P3636=1,-$K3636,$K3636),0))))</f>
        <v/>
      </c>
      <c r="U3636" s="6" t="str">
        <f>IF($K3636="","",IF(ISNUMBER(SEARCH("sortie-epargne",IFERROR(INDEX('Paramètres'!$N:$N,MATCH($D3636,'Paramètres'!$M:$M,0))&amp;"",""))),$K3636,0))</f>
        <v/>
      </c>
      <c r="V3636" s="6" t="str">
        <f>IF(AND($A3636&lt;&gt;"",$O3636=1,$L3636="Débit",N($Q3636)&gt;0,$A3636&gt;=Visualisation!$B$1,$A3636&lt;Visualisation!$D$1),MAX($V$1:V3635)+1,"")</f>
        <v/>
      </c>
    </row>
    <row r="3637" spans="1:22" x14ac:dyDescent="0.25">
      <c r="A3637" s="9"/>
      <c r="E3637" s="10"/>
      <c r="K3637" s="11" t="str">
        <f>IF($E3637="","",ROUND($E3637*IF(ISNA(MATCH($C3637,'Paramètres'!$D:$D,0)),1,IF(INDEX('Paramètres'!$J:$J,MATCH($C3637,'Paramètres'!$D:$D,0))="",1,INDEX('Paramètres'!$J:$J,MATCH($C3637,'Paramètres'!$D:$D,0)))),2))</f>
        <v/>
      </c>
      <c r="L3637" s="6" t="str">
        <f>IF($D3637="","",IF($F3637&lt;&gt;"",$F3637,IF(ISNA(MATCH($D3637,'Paramètres'!$M:$M,0)),"⚠ Type inconnu",IFERROR(INDEX('Paramètres'!$P:$P,MATCH($D3637,'Paramètres'!$M:$M,0))&amp;"",""))))</f>
        <v/>
      </c>
      <c r="M3637" s="6" t="str">
        <f>IF($D3637="","",IF(ISNA(MATCH($D3637,'Paramètres'!$M:$M,0)),"⚠ Type inconnu",IF($L3637="Crédit","",IFERROR(INDEX('Paramètres'!$O:$O,MATCH($D3637,'Paramètres'!$M:$M,0))&amp;"",""))))</f>
        <v/>
      </c>
      <c r="N3637" s="6" t="str">
        <f>IF($D3637="","",IFERROR(INDEX('Paramètres'!$Q:$Q,MATCH($D3637,'Paramètres'!$M:$M,0))&amp;"",""))</f>
        <v/>
      </c>
      <c r="O3637" s="6" t="str">
        <f>IF($A3637="","",IF(OR($J3637&lt;&gt;"x",$A3637&lt;=FinReleve),1,0))</f>
        <v/>
      </c>
      <c r="P3637" s="6" t="str">
        <f>IF($D3637="","",IF(AND($L3637="Crédit",OR(IFERROR(INDEX('Paramètres'!$O:$O,MATCH($D3637,'Paramètres'!$M:$M,0))&amp;"","")&lt;&gt;"",ISNUMBER(SEARCH("remboursement",IFERROR(INDEX('Paramètres'!$N:$N,MATCH($D3637,'Paramètres'!$M:$M,0))&amp;"",""))))),1,0))</f>
        <v/>
      </c>
      <c r="Q3637" s="6" t="str">
        <f>IF($K3637="","",IF(ISNUMBER(SEARCH("transfert-interne",IFERROR(INDEX('Paramètres'!$N:$N,MATCH($D3637,'Paramètres'!$M:$M,0))&amp;"",""))),0,IF($L3637="Débit",$K3637,IF($P3637=1,-$K3637,0))))</f>
        <v/>
      </c>
      <c r="R3637" s="6" t="str">
        <f>IF($K3637="","",IF($L3637="Crédit",$K3637,-$K3637))</f>
        <v/>
      </c>
      <c r="S3637" s="6" t="str">
        <f>IF($C3637="","",IFERROR(INDEX('Paramètres'!$H:$H,MATCH($C3637,'Paramètres'!$D:$D,0))&amp;"",""))</f>
        <v/>
      </c>
      <c r="T3637" s="6" t="str">
        <f>IF($K3637="","",IF($S3637="",0,IF(ISNUMBER(SEARCH("apport-exterieur",IFERROR(INDEX('Paramètres'!$N:$N,MATCH($D3637,'Paramètres'!$M:$M,0))&amp;"",""))),0,IF(OR(IFERROR(INDEX('Paramètres'!$I:$I,MATCH($C3637,'Paramètres'!$D:$D,0))&amp;"","")="Les deux",IFERROR(INDEX('Paramètres'!$I:$I,MATCH($C3637,'Paramètres'!$D:$D,0))&amp;"","")=IF($P3637=1,"Débit",$L3637)),-IF($P3637=1,-$K3637,$K3637),0))))</f>
        <v/>
      </c>
      <c r="U3637" s="6" t="str">
        <f>IF($K3637="","",IF(ISNUMBER(SEARCH("sortie-epargne",IFERROR(INDEX('Paramètres'!$N:$N,MATCH($D3637,'Paramètres'!$M:$M,0))&amp;"",""))),$K3637,0))</f>
        <v/>
      </c>
      <c r="V3637" s="6" t="str">
        <f>IF(AND($A3637&lt;&gt;"",$O3637=1,$L3637="Débit",N($Q3637)&gt;0,$A3637&gt;=Visualisation!$B$1,$A3637&lt;Visualisation!$D$1),MAX($V$1:V3636)+1,"")</f>
        <v/>
      </c>
    </row>
    <row r="3638" spans="1:22" x14ac:dyDescent="0.25">
      <c r="A3638" s="9"/>
      <c r="E3638" s="10"/>
      <c r="K3638" s="11" t="str">
        <f>IF($E3638="","",ROUND($E3638*IF(ISNA(MATCH($C3638,'Paramètres'!$D:$D,0)),1,IF(INDEX('Paramètres'!$J:$J,MATCH($C3638,'Paramètres'!$D:$D,0))="",1,INDEX('Paramètres'!$J:$J,MATCH($C3638,'Paramètres'!$D:$D,0)))),2))</f>
        <v/>
      </c>
      <c r="L3638" s="6" t="str">
        <f>IF($D3638="","",IF($F3638&lt;&gt;"",$F3638,IF(ISNA(MATCH($D3638,'Paramètres'!$M:$M,0)),"⚠ Type inconnu",IFERROR(INDEX('Paramètres'!$P:$P,MATCH($D3638,'Paramètres'!$M:$M,0))&amp;"",""))))</f>
        <v/>
      </c>
      <c r="M3638" s="6" t="str">
        <f>IF($D3638="","",IF(ISNA(MATCH($D3638,'Paramètres'!$M:$M,0)),"⚠ Type inconnu",IF($L3638="Crédit","",IFERROR(INDEX('Paramètres'!$O:$O,MATCH($D3638,'Paramètres'!$M:$M,0))&amp;"",""))))</f>
        <v/>
      </c>
      <c r="N3638" s="6" t="str">
        <f>IF($D3638="","",IFERROR(INDEX('Paramètres'!$Q:$Q,MATCH($D3638,'Paramètres'!$M:$M,0))&amp;"",""))</f>
        <v/>
      </c>
      <c r="O3638" s="6" t="str">
        <f>IF($A3638="","",IF(OR($J3638&lt;&gt;"x",$A3638&lt;=FinReleve),1,0))</f>
        <v/>
      </c>
      <c r="P3638" s="6" t="str">
        <f>IF($D3638="","",IF(AND($L3638="Crédit",OR(IFERROR(INDEX('Paramètres'!$O:$O,MATCH($D3638,'Paramètres'!$M:$M,0))&amp;"","")&lt;&gt;"",ISNUMBER(SEARCH("remboursement",IFERROR(INDEX('Paramètres'!$N:$N,MATCH($D3638,'Paramètres'!$M:$M,0))&amp;"",""))))),1,0))</f>
        <v/>
      </c>
      <c r="Q3638" s="6" t="str">
        <f>IF($K3638="","",IF(ISNUMBER(SEARCH("transfert-interne",IFERROR(INDEX('Paramètres'!$N:$N,MATCH($D3638,'Paramètres'!$M:$M,0))&amp;"",""))),0,IF($L3638="Débit",$K3638,IF($P3638=1,-$K3638,0))))</f>
        <v/>
      </c>
      <c r="R3638" s="6" t="str">
        <f>IF($K3638="","",IF($L3638="Crédit",$K3638,-$K3638))</f>
        <v/>
      </c>
      <c r="S3638" s="6" t="str">
        <f>IF($C3638="","",IFERROR(INDEX('Paramètres'!$H:$H,MATCH($C3638,'Paramètres'!$D:$D,0))&amp;"",""))</f>
        <v/>
      </c>
      <c r="T3638" s="6" t="str">
        <f>IF($K3638="","",IF($S3638="",0,IF(ISNUMBER(SEARCH("apport-exterieur",IFERROR(INDEX('Paramètres'!$N:$N,MATCH($D3638,'Paramètres'!$M:$M,0))&amp;"",""))),0,IF(OR(IFERROR(INDEX('Paramètres'!$I:$I,MATCH($C3638,'Paramètres'!$D:$D,0))&amp;"","")="Les deux",IFERROR(INDEX('Paramètres'!$I:$I,MATCH($C3638,'Paramètres'!$D:$D,0))&amp;"","")=IF($P3638=1,"Débit",$L3638)),-IF($P3638=1,-$K3638,$K3638),0))))</f>
        <v/>
      </c>
      <c r="U3638" s="6" t="str">
        <f>IF($K3638="","",IF(ISNUMBER(SEARCH("sortie-epargne",IFERROR(INDEX('Paramètres'!$N:$N,MATCH($D3638,'Paramètres'!$M:$M,0))&amp;"",""))),$K3638,0))</f>
        <v/>
      </c>
      <c r="V3638" s="6" t="str">
        <f>IF(AND($A3638&lt;&gt;"",$O3638=1,$L3638="Débit",N($Q3638)&gt;0,$A3638&gt;=Visualisation!$B$1,$A3638&lt;Visualisation!$D$1),MAX($V$1:V3637)+1,"")</f>
        <v/>
      </c>
    </row>
    <row r="3639" spans="1:22" x14ac:dyDescent="0.25">
      <c r="A3639" s="9"/>
      <c r="E3639" s="10"/>
      <c r="K3639" s="11" t="str">
        <f>IF($E3639="","",ROUND($E3639*IF(ISNA(MATCH($C3639,'Paramètres'!$D:$D,0)),1,IF(INDEX('Paramètres'!$J:$J,MATCH($C3639,'Paramètres'!$D:$D,0))="",1,INDEX('Paramètres'!$J:$J,MATCH($C3639,'Paramètres'!$D:$D,0)))),2))</f>
        <v/>
      </c>
      <c r="L3639" s="6" t="str">
        <f>IF($D3639="","",IF($F3639&lt;&gt;"",$F3639,IF(ISNA(MATCH($D3639,'Paramètres'!$M:$M,0)),"⚠ Type inconnu",IFERROR(INDEX('Paramètres'!$P:$P,MATCH($D3639,'Paramètres'!$M:$M,0))&amp;"",""))))</f>
        <v/>
      </c>
      <c r="M3639" s="6" t="str">
        <f>IF($D3639="","",IF(ISNA(MATCH($D3639,'Paramètres'!$M:$M,0)),"⚠ Type inconnu",IF($L3639="Crédit","",IFERROR(INDEX('Paramètres'!$O:$O,MATCH($D3639,'Paramètres'!$M:$M,0))&amp;"",""))))</f>
        <v/>
      </c>
      <c r="N3639" s="6" t="str">
        <f>IF($D3639="","",IFERROR(INDEX('Paramètres'!$Q:$Q,MATCH($D3639,'Paramètres'!$M:$M,0))&amp;"",""))</f>
        <v/>
      </c>
      <c r="O3639" s="6" t="str">
        <f>IF($A3639="","",IF(OR($J3639&lt;&gt;"x",$A3639&lt;=FinReleve),1,0))</f>
        <v/>
      </c>
      <c r="P3639" s="6" t="str">
        <f>IF($D3639="","",IF(AND($L3639="Crédit",OR(IFERROR(INDEX('Paramètres'!$O:$O,MATCH($D3639,'Paramètres'!$M:$M,0))&amp;"","")&lt;&gt;"",ISNUMBER(SEARCH("remboursement",IFERROR(INDEX('Paramètres'!$N:$N,MATCH($D3639,'Paramètres'!$M:$M,0))&amp;"",""))))),1,0))</f>
        <v/>
      </c>
      <c r="Q3639" s="6" t="str">
        <f>IF($K3639="","",IF(ISNUMBER(SEARCH("transfert-interne",IFERROR(INDEX('Paramètres'!$N:$N,MATCH($D3639,'Paramètres'!$M:$M,0))&amp;"",""))),0,IF($L3639="Débit",$K3639,IF($P3639=1,-$K3639,0))))</f>
        <v/>
      </c>
      <c r="R3639" s="6" t="str">
        <f>IF($K3639="","",IF($L3639="Crédit",$K3639,-$K3639))</f>
        <v/>
      </c>
      <c r="S3639" s="6" t="str">
        <f>IF($C3639="","",IFERROR(INDEX('Paramètres'!$H:$H,MATCH($C3639,'Paramètres'!$D:$D,0))&amp;"",""))</f>
        <v/>
      </c>
      <c r="T3639" s="6" t="str">
        <f>IF($K3639="","",IF($S3639="",0,IF(ISNUMBER(SEARCH("apport-exterieur",IFERROR(INDEX('Paramètres'!$N:$N,MATCH($D3639,'Paramètres'!$M:$M,0))&amp;"",""))),0,IF(OR(IFERROR(INDEX('Paramètres'!$I:$I,MATCH($C3639,'Paramètres'!$D:$D,0))&amp;"","")="Les deux",IFERROR(INDEX('Paramètres'!$I:$I,MATCH($C3639,'Paramètres'!$D:$D,0))&amp;"","")=IF($P3639=1,"Débit",$L3639)),-IF($P3639=1,-$K3639,$K3639),0))))</f>
        <v/>
      </c>
      <c r="U3639" s="6" t="str">
        <f>IF($K3639="","",IF(ISNUMBER(SEARCH("sortie-epargne",IFERROR(INDEX('Paramètres'!$N:$N,MATCH($D3639,'Paramètres'!$M:$M,0))&amp;"",""))),$K3639,0))</f>
        <v/>
      </c>
      <c r="V3639" s="6" t="str">
        <f>IF(AND($A3639&lt;&gt;"",$O3639=1,$L3639="Débit",N($Q3639)&gt;0,$A3639&gt;=Visualisation!$B$1,$A3639&lt;Visualisation!$D$1),MAX($V$1:V3638)+1,"")</f>
        <v/>
      </c>
    </row>
    <row r="3640" spans="1:22" x14ac:dyDescent="0.25">
      <c r="A3640" s="9"/>
      <c r="E3640" s="10"/>
      <c r="K3640" s="11" t="str">
        <f>IF($E3640="","",ROUND($E3640*IF(ISNA(MATCH($C3640,'Paramètres'!$D:$D,0)),1,IF(INDEX('Paramètres'!$J:$J,MATCH($C3640,'Paramètres'!$D:$D,0))="",1,INDEX('Paramètres'!$J:$J,MATCH($C3640,'Paramètres'!$D:$D,0)))),2))</f>
        <v/>
      </c>
      <c r="L3640" s="6" t="str">
        <f>IF($D3640="","",IF($F3640&lt;&gt;"",$F3640,IF(ISNA(MATCH($D3640,'Paramètres'!$M:$M,0)),"⚠ Type inconnu",IFERROR(INDEX('Paramètres'!$P:$P,MATCH($D3640,'Paramètres'!$M:$M,0))&amp;"",""))))</f>
        <v/>
      </c>
      <c r="M3640" s="6" t="str">
        <f>IF($D3640="","",IF(ISNA(MATCH($D3640,'Paramètres'!$M:$M,0)),"⚠ Type inconnu",IF($L3640="Crédit","",IFERROR(INDEX('Paramètres'!$O:$O,MATCH($D3640,'Paramètres'!$M:$M,0))&amp;"",""))))</f>
        <v/>
      </c>
      <c r="N3640" s="6" t="str">
        <f>IF($D3640="","",IFERROR(INDEX('Paramètres'!$Q:$Q,MATCH($D3640,'Paramètres'!$M:$M,0))&amp;"",""))</f>
        <v/>
      </c>
      <c r="O3640" s="6" t="str">
        <f>IF($A3640="","",IF(OR($J3640&lt;&gt;"x",$A3640&lt;=FinReleve),1,0))</f>
        <v/>
      </c>
      <c r="P3640" s="6" t="str">
        <f>IF($D3640="","",IF(AND($L3640="Crédit",OR(IFERROR(INDEX('Paramètres'!$O:$O,MATCH($D3640,'Paramètres'!$M:$M,0))&amp;"","")&lt;&gt;"",ISNUMBER(SEARCH("remboursement",IFERROR(INDEX('Paramètres'!$N:$N,MATCH($D3640,'Paramètres'!$M:$M,0))&amp;"",""))))),1,0))</f>
        <v/>
      </c>
      <c r="Q3640" s="6" t="str">
        <f>IF($K3640="","",IF(ISNUMBER(SEARCH("transfert-interne",IFERROR(INDEX('Paramètres'!$N:$N,MATCH($D3640,'Paramètres'!$M:$M,0))&amp;"",""))),0,IF($L3640="Débit",$K3640,IF($P3640=1,-$K3640,0))))</f>
        <v/>
      </c>
      <c r="R3640" s="6" t="str">
        <f>IF($K3640="","",IF($L3640="Crédit",$K3640,-$K3640))</f>
        <v/>
      </c>
      <c r="S3640" s="6" t="str">
        <f>IF($C3640="","",IFERROR(INDEX('Paramètres'!$H:$H,MATCH($C3640,'Paramètres'!$D:$D,0))&amp;"",""))</f>
        <v/>
      </c>
      <c r="T3640" s="6" t="str">
        <f>IF($K3640="","",IF($S3640="",0,IF(ISNUMBER(SEARCH("apport-exterieur",IFERROR(INDEX('Paramètres'!$N:$N,MATCH($D3640,'Paramètres'!$M:$M,0))&amp;"",""))),0,IF(OR(IFERROR(INDEX('Paramètres'!$I:$I,MATCH($C3640,'Paramètres'!$D:$D,0))&amp;"","")="Les deux",IFERROR(INDEX('Paramètres'!$I:$I,MATCH($C3640,'Paramètres'!$D:$D,0))&amp;"","")=IF($P3640=1,"Débit",$L3640)),-IF($P3640=1,-$K3640,$K3640),0))))</f>
        <v/>
      </c>
      <c r="U3640" s="6" t="str">
        <f>IF($K3640="","",IF(ISNUMBER(SEARCH("sortie-epargne",IFERROR(INDEX('Paramètres'!$N:$N,MATCH($D3640,'Paramètres'!$M:$M,0))&amp;"",""))),$K3640,0))</f>
        <v/>
      </c>
      <c r="V3640" s="6" t="str">
        <f>IF(AND($A3640&lt;&gt;"",$O3640=1,$L3640="Débit",N($Q3640)&gt;0,$A3640&gt;=Visualisation!$B$1,$A3640&lt;Visualisation!$D$1),MAX($V$1:V3639)+1,"")</f>
        <v/>
      </c>
    </row>
    <row r="3641" spans="1:22" x14ac:dyDescent="0.25">
      <c r="A3641" s="9"/>
      <c r="E3641" s="10"/>
      <c r="K3641" s="11" t="str">
        <f>IF($E3641="","",ROUND($E3641*IF(ISNA(MATCH($C3641,'Paramètres'!$D:$D,0)),1,IF(INDEX('Paramètres'!$J:$J,MATCH($C3641,'Paramètres'!$D:$D,0))="",1,INDEX('Paramètres'!$J:$J,MATCH($C3641,'Paramètres'!$D:$D,0)))),2))</f>
        <v/>
      </c>
      <c r="L3641" s="6" t="str">
        <f>IF($D3641="","",IF($F3641&lt;&gt;"",$F3641,IF(ISNA(MATCH($D3641,'Paramètres'!$M:$M,0)),"⚠ Type inconnu",IFERROR(INDEX('Paramètres'!$P:$P,MATCH($D3641,'Paramètres'!$M:$M,0))&amp;"",""))))</f>
        <v/>
      </c>
      <c r="M3641" s="6" t="str">
        <f>IF($D3641="","",IF(ISNA(MATCH($D3641,'Paramètres'!$M:$M,0)),"⚠ Type inconnu",IF($L3641="Crédit","",IFERROR(INDEX('Paramètres'!$O:$O,MATCH($D3641,'Paramètres'!$M:$M,0))&amp;"",""))))</f>
        <v/>
      </c>
      <c r="N3641" s="6" t="str">
        <f>IF($D3641="","",IFERROR(INDEX('Paramètres'!$Q:$Q,MATCH($D3641,'Paramètres'!$M:$M,0))&amp;"",""))</f>
        <v/>
      </c>
      <c r="O3641" s="6" t="str">
        <f>IF($A3641="","",IF(OR($J3641&lt;&gt;"x",$A3641&lt;=FinReleve),1,0))</f>
        <v/>
      </c>
      <c r="P3641" s="6" t="str">
        <f>IF($D3641="","",IF(AND($L3641="Crédit",OR(IFERROR(INDEX('Paramètres'!$O:$O,MATCH($D3641,'Paramètres'!$M:$M,0))&amp;"","")&lt;&gt;"",ISNUMBER(SEARCH("remboursement",IFERROR(INDEX('Paramètres'!$N:$N,MATCH($D3641,'Paramètres'!$M:$M,0))&amp;"",""))))),1,0))</f>
        <v/>
      </c>
      <c r="Q3641" s="6" t="str">
        <f>IF($K3641="","",IF(ISNUMBER(SEARCH("transfert-interne",IFERROR(INDEX('Paramètres'!$N:$N,MATCH($D3641,'Paramètres'!$M:$M,0))&amp;"",""))),0,IF($L3641="Débit",$K3641,IF($P3641=1,-$K3641,0))))</f>
        <v/>
      </c>
      <c r="R3641" s="6" t="str">
        <f>IF($K3641="","",IF($L3641="Crédit",$K3641,-$K3641))</f>
        <v/>
      </c>
      <c r="S3641" s="6" t="str">
        <f>IF($C3641="","",IFERROR(INDEX('Paramètres'!$H:$H,MATCH($C3641,'Paramètres'!$D:$D,0))&amp;"",""))</f>
        <v/>
      </c>
      <c r="T3641" s="6" t="str">
        <f>IF($K3641="","",IF($S3641="",0,IF(ISNUMBER(SEARCH("apport-exterieur",IFERROR(INDEX('Paramètres'!$N:$N,MATCH($D3641,'Paramètres'!$M:$M,0))&amp;"",""))),0,IF(OR(IFERROR(INDEX('Paramètres'!$I:$I,MATCH($C3641,'Paramètres'!$D:$D,0))&amp;"","")="Les deux",IFERROR(INDEX('Paramètres'!$I:$I,MATCH($C3641,'Paramètres'!$D:$D,0))&amp;"","")=IF($P3641=1,"Débit",$L3641)),-IF($P3641=1,-$K3641,$K3641),0))))</f>
        <v/>
      </c>
      <c r="U3641" s="6" t="str">
        <f>IF($K3641="","",IF(ISNUMBER(SEARCH("sortie-epargne",IFERROR(INDEX('Paramètres'!$N:$N,MATCH($D3641,'Paramètres'!$M:$M,0))&amp;"",""))),$K3641,0))</f>
        <v/>
      </c>
      <c r="V3641" s="6" t="str">
        <f>IF(AND($A3641&lt;&gt;"",$O3641=1,$L3641="Débit",N($Q3641)&gt;0,$A3641&gt;=Visualisation!$B$1,$A3641&lt;Visualisation!$D$1),MAX($V$1:V3640)+1,"")</f>
        <v/>
      </c>
    </row>
    <row r="3642" spans="1:22" x14ac:dyDescent="0.25">
      <c r="A3642" s="9"/>
      <c r="E3642" s="10"/>
      <c r="K3642" s="11" t="str">
        <f>IF($E3642="","",ROUND($E3642*IF(ISNA(MATCH($C3642,'Paramètres'!$D:$D,0)),1,IF(INDEX('Paramètres'!$J:$J,MATCH($C3642,'Paramètres'!$D:$D,0))="",1,INDEX('Paramètres'!$J:$J,MATCH($C3642,'Paramètres'!$D:$D,0)))),2))</f>
        <v/>
      </c>
      <c r="L3642" s="6" t="str">
        <f>IF($D3642="","",IF($F3642&lt;&gt;"",$F3642,IF(ISNA(MATCH($D3642,'Paramètres'!$M:$M,0)),"⚠ Type inconnu",IFERROR(INDEX('Paramètres'!$P:$P,MATCH($D3642,'Paramètres'!$M:$M,0))&amp;"",""))))</f>
        <v/>
      </c>
      <c r="M3642" s="6" t="str">
        <f>IF($D3642="","",IF(ISNA(MATCH($D3642,'Paramètres'!$M:$M,0)),"⚠ Type inconnu",IF($L3642="Crédit","",IFERROR(INDEX('Paramètres'!$O:$O,MATCH($D3642,'Paramètres'!$M:$M,0))&amp;"",""))))</f>
        <v/>
      </c>
      <c r="N3642" s="6" t="str">
        <f>IF($D3642="","",IFERROR(INDEX('Paramètres'!$Q:$Q,MATCH($D3642,'Paramètres'!$M:$M,0))&amp;"",""))</f>
        <v/>
      </c>
      <c r="O3642" s="6" t="str">
        <f>IF($A3642="","",IF(OR($J3642&lt;&gt;"x",$A3642&lt;=FinReleve),1,0))</f>
        <v/>
      </c>
      <c r="P3642" s="6" t="str">
        <f>IF($D3642="","",IF(AND($L3642="Crédit",OR(IFERROR(INDEX('Paramètres'!$O:$O,MATCH($D3642,'Paramètres'!$M:$M,0))&amp;"","")&lt;&gt;"",ISNUMBER(SEARCH("remboursement",IFERROR(INDEX('Paramètres'!$N:$N,MATCH($D3642,'Paramètres'!$M:$M,0))&amp;"",""))))),1,0))</f>
        <v/>
      </c>
      <c r="Q3642" s="6" t="str">
        <f>IF($K3642="","",IF(ISNUMBER(SEARCH("transfert-interne",IFERROR(INDEX('Paramètres'!$N:$N,MATCH($D3642,'Paramètres'!$M:$M,0))&amp;"",""))),0,IF($L3642="Débit",$K3642,IF($P3642=1,-$K3642,0))))</f>
        <v/>
      </c>
      <c r="R3642" s="6" t="str">
        <f>IF($K3642="","",IF($L3642="Crédit",$K3642,-$K3642))</f>
        <v/>
      </c>
      <c r="S3642" s="6" t="str">
        <f>IF($C3642="","",IFERROR(INDEX('Paramètres'!$H:$H,MATCH($C3642,'Paramètres'!$D:$D,0))&amp;"",""))</f>
        <v/>
      </c>
      <c r="T3642" s="6" t="str">
        <f>IF($K3642="","",IF($S3642="",0,IF(ISNUMBER(SEARCH("apport-exterieur",IFERROR(INDEX('Paramètres'!$N:$N,MATCH($D3642,'Paramètres'!$M:$M,0))&amp;"",""))),0,IF(OR(IFERROR(INDEX('Paramètres'!$I:$I,MATCH($C3642,'Paramètres'!$D:$D,0))&amp;"","")="Les deux",IFERROR(INDEX('Paramètres'!$I:$I,MATCH($C3642,'Paramètres'!$D:$D,0))&amp;"","")=IF($P3642=1,"Débit",$L3642)),-IF($P3642=1,-$K3642,$K3642),0))))</f>
        <v/>
      </c>
      <c r="U3642" s="6" t="str">
        <f>IF($K3642="","",IF(ISNUMBER(SEARCH("sortie-epargne",IFERROR(INDEX('Paramètres'!$N:$N,MATCH($D3642,'Paramètres'!$M:$M,0))&amp;"",""))),$K3642,0))</f>
        <v/>
      </c>
      <c r="V3642" s="6" t="str">
        <f>IF(AND($A3642&lt;&gt;"",$O3642=1,$L3642="Débit",N($Q3642)&gt;0,$A3642&gt;=Visualisation!$B$1,$A3642&lt;Visualisation!$D$1),MAX($V$1:V3641)+1,"")</f>
        <v/>
      </c>
    </row>
    <row r="3643" spans="1:22" x14ac:dyDescent="0.25">
      <c r="A3643" s="9"/>
      <c r="E3643" s="10"/>
      <c r="K3643" s="11" t="str">
        <f>IF($E3643="","",ROUND($E3643*IF(ISNA(MATCH($C3643,'Paramètres'!$D:$D,0)),1,IF(INDEX('Paramètres'!$J:$J,MATCH($C3643,'Paramètres'!$D:$D,0))="",1,INDEX('Paramètres'!$J:$J,MATCH($C3643,'Paramètres'!$D:$D,0)))),2))</f>
        <v/>
      </c>
      <c r="L3643" s="6" t="str">
        <f>IF($D3643="","",IF($F3643&lt;&gt;"",$F3643,IF(ISNA(MATCH($D3643,'Paramètres'!$M:$M,0)),"⚠ Type inconnu",IFERROR(INDEX('Paramètres'!$P:$P,MATCH($D3643,'Paramètres'!$M:$M,0))&amp;"",""))))</f>
        <v/>
      </c>
      <c r="M3643" s="6" t="str">
        <f>IF($D3643="","",IF(ISNA(MATCH($D3643,'Paramètres'!$M:$M,0)),"⚠ Type inconnu",IF($L3643="Crédit","",IFERROR(INDEX('Paramètres'!$O:$O,MATCH($D3643,'Paramètres'!$M:$M,0))&amp;"",""))))</f>
        <v/>
      </c>
      <c r="N3643" s="6" t="str">
        <f>IF($D3643="","",IFERROR(INDEX('Paramètres'!$Q:$Q,MATCH($D3643,'Paramètres'!$M:$M,0))&amp;"",""))</f>
        <v/>
      </c>
      <c r="O3643" s="6" t="str">
        <f>IF($A3643="","",IF(OR($J3643&lt;&gt;"x",$A3643&lt;=FinReleve),1,0))</f>
        <v/>
      </c>
      <c r="P3643" s="6" t="str">
        <f>IF($D3643="","",IF(AND($L3643="Crédit",OR(IFERROR(INDEX('Paramètres'!$O:$O,MATCH($D3643,'Paramètres'!$M:$M,0))&amp;"","")&lt;&gt;"",ISNUMBER(SEARCH("remboursement",IFERROR(INDEX('Paramètres'!$N:$N,MATCH($D3643,'Paramètres'!$M:$M,0))&amp;"",""))))),1,0))</f>
        <v/>
      </c>
      <c r="Q3643" s="6" t="str">
        <f>IF($K3643="","",IF(ISNUMBER(SEARCH("transfert-interne",IFERROR(INDEX('Paramètres'!$N:$N,MATCH($D3643,'Paramètres'!$M:$M,0))&amp;"",""))),0,IF($L3643="Débit",$K3643,IF($P3643=1,-$K3643,0))))</f>
        <v/>
      </c>
      <c r="R3643" s="6" t="str">
        <f>IF($K3643="","",IF($L3643="Crédit",$K3643,-$K3643))</f>
        <v/>
      </c>
      <c r="S3643" s="6" t="str">
        <f>IF($C3643="","",IFERROR(INDEX('Paramètres'!$H:$H,MATCH($C3643,'Paramètres'!$D:$D,0))&amp;"",""))</f>
        <v/>
      </c>
      <c r="T3643" s="6" t="str">
        <f>IF($K3643="","",IF($S3643="",0,IF(ISNUMBER(SEARCH("apport-exterieur",IFERROR(INDEX('Paramètres'!$N:$N,MATCH($D3643,'Paramètres'!$M:$M,0))&amp;"",""))),0,IF(OR(IFERROR(INDEX('Paramètres'!$I:$I,MATCH($C3643,'Paramètres'!$D:$D,0))&amp;"","")="Les deux",IFERROR(INDEX('Paramètres'!$I:$I,MATCH($C3643,'Paramètres'!$D:$D,0))&amp;"","")=IF($P3643=1,"Débit",$L3643)),-IF($P3643=1,-$K3643,$K3643),0))))</f>
        <v/>
      </c>
      <c r="U3643" s="6" t="str">
        <f>IF($K3643="","",IF(ISNUMBER(SEARCH("sortie-epargne",IFERROR(INDEX('Paramètres'!$N:$N,MATCH($D3643,'Paramètres'!$M:$M,0))&amp;"",""))),$K3643,0))</f>
        <v/>
      </c>
      <c r="V3643" s="6" t="str">
        <f>IF(AND($A3643&lt;&gt;"",$O3643=1,$L3643="Débit",N($Q3643)&gt;0,$A3643&gt;=Visualisation!$B$1,$A3643&lt;Visualisation!$D$1),MAX($V$1:V3642)+1,"")</f>
        <v/>
      </c>
    </row>
    <row r="3644" spans="1:22" x14ac:dyDescent="0.25">
      <c r="A3644" s="9"/>
      <c r="E3644" s="10"/>
      <c r="K3644" s="11" t="str">
        <f>IF($E3644="","",ROUND($E3644*IF(ISNA(MATCH($C3644,'Paramètres'!$D:$D,0)),1,IF(INDEX('Paramètres'!$J:$J,MATCH($C3644,'Paramètres'!$D:$D,0))="",1,INDEX('Paramètres'!$J:$J,MATCH($C3644,'Paramètres'!$D:$D,0)))),2))</f>
        <v/>
      </c>
      <c r="L3644" s="6" t="str">
        <f>IF($D3644="","",IF($F3644&lt;&gt;"",$F3644,IF(ISNA(MATCH($D3644,'Paramètres'!$M:$M,0)),"⚠ Type inconnu",IFERROR(INDEX('Paramètres'!$P:$P,MATCH($D3644,'Paramètres'!$M:$M,0))&amp;"",""))))</f>
        <v/>
      </c>
      <c r="M3644" s="6" t="str">
        <f>IF($D3644="","",IF(ISNA(MATCH($D3644,'Paramètres'!$M:$M,0)),"⚠ Type inconnu",IF($L3644="Crédit","",IFERROR(INDEX('Paramètres'!$O:$O,MATCH($D3644,'Paramètres'!$M:$M,0))&amp;"",""))))</f>
        <v/>
      </c>
      <c r="N3644" s="6" t="str">
        <f>IF($D3644="","",IFERROR(INDEX('Paramètres'!$Q:$Q,MATCH($D3644,'Paramètres'!$M:$M,0))&amp;"",""))</f>
        <v/>
      </c>
      <c r="O3644" s="6" t="str">
        <f>IF($A3644="","",IF(OR($J3644&lt;&gt;"x",$A3644&lt;=FinReleve),1,0))</f>
        <v/>
      </c>
      <c r="P3644" s="6" t="str">
        <f>IF($D3644="","",IF(AND($L3644="Crédit",OR(IFERROR(INDEX('Paramètres'!$O:$O,MATCH($D3644,'Paramètres'!$M:$M,0))&amp;"","")&lt;&gt;"",ISNUMBER(SEARCH("remboursement",IFERROR(INDEX('Paramètres'!$N:$N,MATCH($D3644,'Paramètres'!$M:$M,0))&amp;"",""))))),1,0))</f>
        <v/>
      </c>
      <c r="Q3644" s="6" t="str">
        <f>IF($K3644="","",IF(ISNUMBER(SEARCH("transfert-interne",IFERROR(INDEX('Paramètres'!$N:$N,MATCH($D3644,'Paramètres'!$M:$M,0))&amp;"",""))),0,IF($L3644="Débit",$K3644,IF($P3644=1,-$K3644,0))))</f>
        <v/>
      </c>
      <c r="R3644" s="6" t="str">
        <f>IF($K3644="","",IF($L3644="Crédit",$K3644,-$K3644))</f>
        <v/>
      </c>
      <c r="S3644" s="6" t="str">
        <f>IF($C3644="","",IFERROR(INDEX('Paramètres'!$H:$H,MATCH($C3644,'Paramètres'!$D:$D,0))&amp;"",""))</f>
        <v/>
      </c>
      <c r="T3644" s="6" t="str">
        <f>IF($K3644="","",IF($S3644="",0,IF(ISNUMBER(SEARCH("apport-exterieur",IFERROR(INDEX('Paramètres'!$N:$N,MATCH($D3644,'Paramètres'!$M:$M,0))&amp;"",""))),0,IF(OR(IFERROR(INDEX('Paramètres'!$I:$I,MATCH($C3644,'Paramètres'!$D:$D,0))&amp;"","")="Les deux",IFERROR(INDEX('Paramètres'!$I:$I,MATCH($C3644,'Paramètres'!$D:$D,0))&amp;"","")=IF($P3644=1,"Débit",$L3644)),-IF($P3644=1,-$K3644,$K3644),0))))</f>
        <v/>
      </c>
      <c r="U3644" s="6" t="str">
        <f>IF($K3644="","",IF(ISNUMBER(SEARCH("sortie-epargne",IFERROR(INDEX('Paramètres'!$N:$N,MATCH($D3644,'Paramètres'!$M:$M,0))&amp;"",""))),$K3644,0))</f>
        <v/>
      </c>
      <c r="V3644" s="6" t="str">
        <f>IF(AND($A3644&lt;&gt;"",$O3644=1,$L3644="Débit",N($Q3644)&gt;0,$A3644&gt;=Visualisation!$B$1,$A3644&lt;Visualisation!$D$1),MAX($V$1:V3643)+1,"")</f>
        <v/>
      </c>
    </row>
    <row r="3645" spans="1:22" x14ac:dyDescent="0.25">
      <c r="A3645" s="9"/>
      <c r="E3645" s="10"/>
      <c r="K3645" s="11" t="str">
        <f>IF($E3645="","",ROUND($E3645*IF(ISNA(MATCH($C3645,'Paramètres'!$D:$D,0)),1,IF(INDEX('Paramètres'!$J:$J,MATCH($C3645,'Paramètres'!$D:$D,0))="",1,INDEX('Paramètres'!$J:$J,MATCH($C3645,'Paramètres'!$D:$D,0)))),2))</f>
        <v/>
      </c>
      <c r="L3645" s="6" t="str">
        <f>IF($D3645="","",IF($F3645&lt;&gt;"",$F3645,IF(ISNA(MATCH($D3645,'Paramètres'!$M:$M,0)),"⚠ Type inconnu",IFERROR(INDEX('Paramètres'!$P:$P,MATCH($D3645,'Paramètres'!$M:$M,0))&amp;"",""))))</f>
        <v/>
      </c>
      <c r="M3645" s="6" t="str">
        <f>IF($D3645="","",IF(ISNA(MATCH($D3645,'Paramètres'!$M:$M,0)),"⚠ Type inconnu",IF($L3645="Crédit","",IFERROR(INDEX('Paramètres'!$O:$O,MATCH($D3645,'Paramètres'!$M:$M,0))&amp;"",""))))</f>
        <v/>
      </c>
      <c r="N3645" s="6" t="str">
        <f>IF($D3645="","",IFERROR(INDEX('Paramètres'!$Q:$Q,MATCH($D3645,'Paramètres'!$M:$M,0))&amp;"",""))</f>
        <v/>
      </c>
      <c r="O3645" s="6" t="str">
        <f>IF($A3645="","",IF(OR($J3645&lt;&gt;"x",$A3645&lt;=FinReleve),1,0))</f>
        <v/>
      </c>
      <c r="P3645" s="6" t="str">
        <f>IF($D3645="","",IF(AND($L3645="Crédit",OR(IFERROR(INDEX('Paramètres'!$O:$O,MATCH($D3645,'Paramètres'!$M:$M,0))&amp;"","")&lt;&gt;"",ISNUMBER(SEARCH("remboursement",IFERROR(INDEX('Paramètres'!$N:$N,MATCH($D3645,'Paramètres'!$M:$M,0))&amp;"",""))))),1,0))</f>
        <v/>
      </c>
      <c r="Q3645" s="6" t="str">
        <f>IF($K3645="","",IF(ISNUMBER(SEARCH("transfert-interne",IFERROR(INDEX('Paramètres'!$N:$N,MATCH($D3645,'Paramètres'!$M:$M,0))&amp;"",""))),0,IF($L3645="Débit",$K3645,IF($P3645=1,-$K3645,0))))</f>
        <v/>
      </c>
      <c r="R3645" s="6" t="str">
        <f>IF($K3645="","",IF($L3645="Crédit",$K3645,-$K3645))</f>
        <v/>
      </c>
      <c r="S3645" s="6" t="str">
        <f>IF($C3645="","",IFERROR(INDEX('Paramètres'!$H:$H,MATCH($C3645,'Paramètres'!$D:$D,0))&amp;"",""))</f>
        <v/>
      </c>
      <c r="T3645" s="6" t="str">
        <f>IF($K3645="","",IF($S3645="",0,IF(ISNUMBER(SEARCH("apport-exterieur",IFERROR(INDEX('Paramètres'!$N:$N,MATCH($D3645,'Paramètres'!$M:$M,0))&amp;"",""))),0,IF(OR(IFERROR(INDEX('Paramètres'!$I:$I,MATCH($C3645,'Paramètres'!$D:$D,0))&amp;"","")="Les deux",IFERROR(INDEX('Paramètres'!$I:$I,MATCH($C3645,'Paramètres'!$D:$D,0))&amp;"","")=IF($P3645=1,"Débit",$L3645)),-IF($P3645=1,-$K3645,$K3645),0))))</f>
        <v/>
      </c>
      <c r="U3645" s="6" t="str">
        <f>IF($K3645="","",IF(ISNUMBER(SEARCH("sortie-epargne",IFERROR(INDEX('Paramètres'!$N:$N,MATCH($D3645,'Paramètres'!$M:$M,0))&amp;"",""))),$K3645,0))</f>
        <v/>
      </c>
      <c r="V3645" s="6" t="str">
        <f>IF(AND($A3645&lt;&gt;"",$O3645=1,$L3645="Débit",N($Q3645)&gt;0,$A3645&gt;=Visualisation!$B$1,$A3645&lt;Visualisation!$D$1),MAX($V$1:V3644)+1,"")</f>
        <v/>
      </c>
    </row>
    <row r="3646" spans="1:22" x14ac:dyDescent="0.25">
      <c r="A3646" s="9"/>
      <c r="E3646" s="10"/>
      <c r="K3646" s="11" t="str">
        <f>IF($E3646="","",ROUND($E3646*IF(ISNA(MATCH($C3646,'Paramètres'!$D:$D,0)),1,IF(INDEX('Paramètres'!$J:$J,MATCH($C3646,'Paramètres'!$D:$D,0))="",1,INDEX('Paramètres'!$J:$J,MATCH($C3646,'Paramètres'!$D:$D,0)))),2))</f>
        <v/>
      </c>
      <c r="L3646" s="6" t="str">
        <f>IF($D3646="","",IF($F3646&lt;&gt;"",$F3646,IF(ISNA(MATCH($D3646,'Paramètres'!$M:$M,0)),"⚠ Type inconnu",IFERROR(INDEX('Paramètres'!$P:$P,MATCH($D3646,'Paramètres'!$M:$M,0))&amp;"",""))))</f>
        <v/>
      </c>
      <c r="M3646" s="6" t="str">
        <f>IF($D3646="","",IF(ISNA(MATCH($D3646,'Paramètres'!$M:$M,0)),"⚠ Type inconnu",IF($L3646="Crédit","",IFERROR(INDEX('Paramètres'!$O:$O,MATCH($D3646,'Paramètres'!$M:$M,0))&amp;"",""))))</f>
        <v/>
      </c>
      <c r="N3646" s="6" t="str">
        <f>IF($D3646="","",IFERROR(INDEX('Paramètres'!$Q:$Q,MATCH($D3646,'Paramètres'!$M:$M,0))&amp;"",""))</f>
        <v/>
      </c>
      <c r="O3646" s="6" t="str">
        <f>IF($A3646="","",IF(OR($J3646&lt;&gt;"x",$A3646&lt;=FinReleve),1,0))</f>
        <v/>
      </c>
      <c r="P3646" s="6" t="str">
        <f>IF($D3646="","",IF(AND($L3646="Crédit",OR(IFERROR(INDEX('Paramètres'!$O:$O,MATCH($D3646,'Paramètres'!$M:$M,0))&amp;"","")&lt;&gt;"",ISNUMBER(SEARCH("remboursement",IFERROR(INDEX('Paramètres'!$N:$N,MATCH($D3646,'Paramètres'!$M:$M,0))&amp;"",""))))),1,0))</f>
        <v/>
      </c>
      <c r="Q3646" s="6" t="str">
        <f>IF($K3646="","",IF(ISNUMBER(SEARCH("transfert-interne",IFERROR(INDEX('Paramètres'!$N:$N,MATCH($D3646,'Paramètres'!$M:$M,0))&amp;"",""))),0,IF($L3646="Débit",$K3646,IF($P3646=1,-$K3646,0))))</f>
        <v/>
      </c>
      <c r="R3646" s="6" t="str">
        <f>IF($K3646="","",IF($L3646="Crédit",$K3646,-$K3646))</f>
        <v/>
      </c>
      <c r="S3646" s="6" t="str">
        <f>IF($C3646="","",IFERROR(INDEX('Paramètres'!$H:$H,MATCH($C3646,'Paramètres'!$D:$D,0))&amp;"",""))</f>
        <v/>
      </c>
      <c r="T3646" s="6" t="str">
        <f>IF($K3646="","",IF($S3646="",0,IF(ISNUMBER(SEARCH("apport-exterieur",IFERROR(INDEX('Paramètres'!$N:$N,MATCH($D3646,'Paramètres'!$M:$M,0))&amp;"",""))),0,IF(OR(IFERROR(INDEX('Paramètres'!$I:$I,MATCH($C3646,'Paramètres'!$D:$D,0))&amp;"","")="Les deux",IFERROR(INDEX('Paramètres'!$I:$I,MATCH($C3646,'Paramètres'!$D:$D,0))&amp;"","")=IF($P3646=1,"Débit",$L3646)),-IF($P3646=1,-$K3646,$K3646),0))))</f>
        <v/>
      </c>
      <c r="U3646" s="6" t="str">
        <f>IF($K3646="","",IF(ISNUMBER(SEARCH("sortie-epargne",IFERROR(INDEX('Paramètres'!$N:$N,MATCH($D3646,'Paramètres'!$M:$M,0))&amp;"",""))),$K3646,0))</f>
        <v/>
      </c>
      <c r="V3646" s="6" t="str">
        <f>IF(AND($A3646&lt;&gt;"",$O3646=1,$L3646="Débit",N($Q3646)&gt;0,$A3646&gt;=Visualisation!$B$1,$A3646&lt;Visualisation!$D$1),MAX($V$1:V3645)+1,"")</f>
        <v/>
      </c>
    </row>
    <row r="3647" spans="1:22" x14ac:dyDescent="0.25">
      <c r="A3647" s="9"/>
      <c r="E3647" s="10"/>
      <c r="K3647" s="11" t="str">
        <f>IF($E3647="","",ROUND($E3647*IF(ISNA(MATCH($C3647,'Paramètres'!$D:$D,0)),1,IF(INDEX('Paramètres'!$J:$J,MATCH($C3647,'Paramètres'!$D:$D,0))="",1,INDEX('Paramètres'!$J:$J,MATCH($C3647,'Paramètres'!$D:$D,0)))),2))</f>
        <v/>
      </c>
      <c r="L3647" s="6" t="str">
        <f>IF($D3647="","",IF($F3647&lt;&gt;"",$F3647,IF(ISNA(MATCH($D3647,'Paramètres'!$M:$M,0)),"⚠ Type inconnu",IFERROR(INDEX('Paramètres'!$P:$P,MATCH($D3647,'Paramètres'!$M:$M,0))&amp;"",""))))</f>
        <v/>
      </c>
      <c r="M3647" s="6" t="str">
        <f>IF($D3647="","",IF(ISNA(MATCH($D3647,'Paramètres'!$M:$M,0)),"⚠ Type inconnu",IF($L3647="Crédit","",IFERROR(INDEX('Paramètres'!$O:$O,MATCH($D3647,'Paramètres'!$M:$M,0))&amp;"",""))))</f>
        <v/>
      </c>
      <c r="N3647" s="6" t="str">
        <f>IF($D3647="","",IFERROR(INDEX('Paramètres'!$Q:$Q,MATCH($D3647,'Paramètres'!$M:$M,0))&amp;"",""))</f>
        <v/>
      </c>
      <c r="O3647" s="6" t="str">
        <f>IF($A3647="","",IF(OR($J3647&lt;&gt;"x",$A3647&lt;=FinReleve),1,0))</f>
        <v/>
      </c>
      <c r="P3647" s="6" t="str">
        <f>IF($D3647="","",IF(AND($L3647="Crédit",OR(IFERROR(INDEX('Paramètres'!$O:$O,MATCH($D3647,'Paramètres'!$M:$M,0))&amp;"","")&lt;&gt;"",ISNUMBER(SEARCH("remboursement",IFERROR(INDEX('Paramètres'!$N:$N,MATCH($D3647,'Paramètres'!$M:$M,0))&amp;"",""))))),1,0))</f>
        <v/>
      </c>
      <c r="Q3647" s="6" t="str">
        <f>IF($K3647="","",IF(ISNUMBER(SEARCH("transfert-interne",IFERROR(INDEX('Paramètres'!$N:$N,MATCH($D3647,'Paramètres'!$M:$M,0))&amp;"",""))),0,IF($L3647="Débit",$K3647,IF($P3647=1,-$K3647,0))))</f>
        <v/>
      </c>
      <c r="R3647" s="6" t="str">
        <f>IF($K3647="","",IF($L3647="Crédit",$K3647,-$K3647))</f>
        <v/>
      </c>
      <c r="S3647" s="6" t="str">
        <f>IF($C3647="","",IFERROR(INDEX('Paramètres'!$H:$H,MATCH($C3647,'Paramètres'!$D:$D,0))&amp;"",""))</f>
        <v/>
      </c>
      <c r="T3647" s="6" t="str">
        <f>IF($K3647="","",IF($S3647="",0,IF(ISNUMBER(SEARCH("apport-exterieur",IFERROR(INDEX('Paramètres'!$N:$N,MATCH($D3647,'Paramètres'!$M:$M,0))&amp;"",""))),0,IF(OR(IFERROR(INDEX('Paramètres'!$I:$I,MATCH($C3647,'Paramètres'!$D:$D,0))&amp;"","")="Les deux",IFERROR(INDEX('Paramètres'!$I:$I,MATCH($C3647,'Paramètres'!$D:$D,0))&amp;"","")=IF($P3647=1,"Débit",$L3647)),-IF($P3647=1,-$K3647,$K3647),0))))</f>
        <v/>
      </c>
      <c r="U3647" s="6" t="str">
        <f>IF($K3647="","",IF(ISNUMBER(SEARCH("sortie-epargne",IFERROR(INDEX('Paramètres'!$N:$N,MATCH($D3647,'Paramètres'!$M:$M,0))&amp;"",""))),$K3647,0))</f>
        <v/>
      </c>
      <c r="V3647" s="6" t="str">
        <f>IF(AND($A3647&lt;&gt;"",$O3647=1,$L3647="Débit",N($Q3647)&gt;0,$A3647&gt;=Visualisation!$B$1,$A3647&lt;Visualisation!$D$1),MAX($V$1:V3646)+1,"")</f>
        <v/>
      </c>
    </row>
    <row r="3648" spans="1:22" x14ac:dyDescent="0.25">
      <c r="A3648" s="9"/>
      <c r="E3648" s="10"/>
      <c r="K3648" s="11" t="str">
        <f>IF($E3648="","",ROUND($E3648*IF(ISNA(MATCH($C3648,'Paramètres'!$D:$D,0)),1,IF(INDEX('Paramètres'!$J:$J,MATCH($C3648,'Paramètres'!$D:$D,0))="",1,INDEX('Paramètres'!$J:$J,MATCH($C3648,'Paramètres'!$D:$D,0)))),2))</f>
        <v/>
      </c>
      <c r="L3648" s="6" t="str">
        <f>IF($D3648="","",IF($F3648&lt;&gt;"",$F3648,IF(ISNA(MATCH($D3648,'Paramètres'!$M:$M,0)),"⚠ Type inconnu",IFERROR(INDEX('Paramètres'!$P:$P,MATCH($D3648,'Paramètres'!$M:$M,0))&amp;"",""))))</f>
        <v/>
      </c>
      <c r="M3648" s="6" t="str">
        <f>IF($D3648="","",IF(ISNA(MATCH($D3648,'Paramètres'!$M:$M,0)),"⚠ Type inconnu",IF($L3648="Crédit","",IFERROR(INDEX('Paramètres'!$O:$O,MATCH($D3648,'Paramètres'!$M:$M,0))&amp;"",""))))</f>
        <v/>
      </c>
      <c r="N3648" s="6" t="str">
        <f>IF($D3648="","",IFERROR(INDEX('Paramètres'!$Q:$Q,MATCH($D3648,'Paramètres'!$M:$M,0))&amp;"",""))</f>
        <v/>
      </c>
      <c r="O3648" s="6" t="str">
        <f>IF($A3648="","",IF(OR($J3648&lt;&gt;"x",$A3648&lt;=FinReleve),1,0))</f>
        <v/>
      </c>
      <c r="P3648" s="6" t="str">
        <f>IF($D3648="","",IF(AND($L3648="Crédit",OR(IFERROR(INDEX('Paramètres'!$O:$O,MATCH($D3648,'Paramètres'!$M:$M,0))&amp;"","")&lt;&gt;"",ISNUMBER(SEARCH("remboursement",IFERROR(INDEX('Paramètres'!$N:$N,MATCH($D3648,'Paramètres'!$M:$M,0))&amp;"",""))))),1,0))</f>
        <v/>
      </c>
      <c r="Q3648" s="6" t="str">
        <f>IF($K3648="","",IF(ISNUMBER(SEARCH("transfert-interne",IFERROR(INDEX('Paramètres'!$N:$N,MATCH($D3648,'Paramètres'!$M:$M,0))&amp;"",""))),0,IF($L3648="Débit",$K3648,IF($P3648=1,-$K3648,0))))</f>
        <v/>
      </c>
      <c r="R3648" s="6" t="str">
        <f>IF($K3648="","",IF($L3648="Crédit",$K3648,-$K3648))</f>
        <v/>
      </c>
      <c r="S3648" s="6" t="str">
        <f>IF($C3648="","",IFERROR(INDEX('Paramètres'!$H:$H,MATCH($C3648,'Paramètres'!$D:$D,0))&amp;"",""))</f>
        <v/>
      </c>
      <c r="T3648" s="6" t="str">
        <f>IF($K3648="","",IF($S3648="",0,IF(ISNUMBER(SEARCH("apport-exterieur",IFERROR(INDEX('Paramètres'!$N:$N,MATCH($D3648,'Paramètres'!$M:$M,0))&amp;"",""))),0,IF(OR(IFERROR(INDEX('Paramètres'!$I:$I,MATCH($C3648,'Paramètres'!$D:$D,0))&amp;"","")="Les deux",IFERROR(INDEX('Paramètres'!$I:$I,MATCH($C3648,'Paramètres'!$D:$D,0))&amp;"","")=IF($P3648=1,"Débit",$L3648)),-IF($P3648=1,-$K3648,$K3648),0))))</f>
        <v/>
      </c>
      <c r="U3648" s="6" t="str">
        <f>IF($K3648="","",IF(ISNUMBER(SEARCH("sortie-epargne",IFERROR(INDEX('Paramètres'!$N:$N,MATCH($D3648,'Paramètres'!$M:$M,0))&amp;"",""))),$K3648,0))</f>
        <v/>
      </c>
      <c r="V3648" s="6" t="str">
        <f>IF(AND($A3648&lt;&gt;"",$O3648=1,$L3648="Débit",N($Q3648)&gt;0,$A3648&gt;=Visualisation!$B$1,$A3648&lt;Visualisation!$D$1),MAX($V$1:V3647)+1,"")</f>
        <v/>
      </c>
    </row>
    <row r="3649" spans="1:22" x14ac:dyDescent="0.25">
      <c r="A3649" s="9"/>
      <c r="E3649" s="10"/>
      <c r="K3649" s="11" t="str">
        <f>IF($E3649="","",ROUND($E3649*IF(ISNA(MATCH($C3649,'Paramètres'!$D:$D,0)),1,IF(INDEX('Paramètres'!$J:$J,MATCH($C3649,'Paramètres'!$D:$D,0))="",1,INDEX('Paramètres'!$J:$J,MATCH($C3649,'Paramètres'!$D:$D,0)))),2))</f>
        <v/>
      </c>
      <c r="L3649" s="6" t="str">
        <f>IF($D3649="","",IF($F3649&lt;&gt;"",$F3649,IF(ISNA(MATCH($D3649,'Paramètres'!$M:$M,0)),"⚠ Type inconnu",IFERROR(INDEX('Paramètres'!$P:$P,MATCH($D3649,'Paramètres'!$M:$M,0))&amp;"",""))))</f>
        <v/>
      </c>
      <c r="M3649" s="6" t="str">
        <f>IF($D3649="","",IF(ISNA(MATCH($D3649,'Paramètres'!$M:$M,0)),"⚠ Type inconnu",IF($L3649="Crédit","",IFERROR(INDEX('Paramètres'!$O:$O,MATCH($D3649,'Paramètres'!$M:$M,0))&amp;"",""))))</f>
        <v/>
      </c>
      <c r="N3649" s="6" t="str">
        <f>IF($D3649="","",IFERROR(INDEX('Paramètres'!$Q:$Q,MATCH($D3649,'Paramètres'!$M:$M,0))&amp;"",""))</f>
        <v/>
      </c>
      <c r="O3649" s="6" t="str">
        <f>IF($A3649="","",IF(OR($J3649&lt;&gt;"x",$A3649&lt;=FinReleve),1,0))</f>
        <v/>
      </c>
      <c r="P3649" s="6" t="str">
        <f>IF($D3649="","",IF(AND($L3649="Crédit",OR(IFERROR(INDEX('Paramètres'!$O:$O,MATCH($D3649,'Paramètres'!$M:$M,0))&amp;"","")&lt;&gt;"",ISNUMBER(SEARCH("remboursement",IFERROR(INDEX('Paramètres'!$N:$N,MATCH($D3649,'Paramètres'!$M:$M,0))&amp;"",""))))),1,0))</f>
        <v/>
      </c>
      <c r="Q3649" s="6" t="str">
        <f>IF($K3649="","",IF(ISNUMBER(SEARCH("transfert-interne",IFERROR(INDEX('Paramètres'!$N:$N,MATCH($D3649,'Paramètres'!$M:$M,0))&amp;"",""))),0,IF($L3649="Débit",$K3649,IF($P3649=1,-$K3649,0))))</f>
        <v/>
      </c>
      <c r="R3649" s="6" t="str">
        <f>IF($K3649="","",IF($L3649="Crédit",$K3649,-$K3649))</f>
        <v/>
      </c>
      <c r="S3649" s="6" t="str">
        <f>IF($C3649="","",IFERROR(INDEX('Paramètres'!$H:$H,MATCH($C3649,'Paramètres'!$D:$D,0))&amp;"",""))</f>
        <v/>
      </c>
      <c r="T3649" s="6" t="str">
        <f>IF($K3649="","",IF($S3649="",0,IF(ISNUMBER(SEARCH("apport-exterieur",IFERROR(INDEX('Paramètres'!$N:$N,MATCH($D3649,'Paramètres'!$M:$M,0))&amp;"",""))),0,IF(OR(IFERROR(INDEX('Paramètres'!$I:$I,MATCH($C3649,'Paramètres'!$D:$D,0))&amp;"","")="Les deux",IFERROR(INDEX('Paramètres'!$I:$I,MATCH($C3649,'Paramètres'!$D:$D,0))&amp;"","")=IF($P3649=1,"Débit",$L3649)),-IF($P3649=1,-$K3649,$K3649),0))))</f>
        <v/>
      </c>
      <c r="U3649" s="6" t="str">
        <f>IF($K3649="","",IF(ISNUMBER(SEARCH("sortie-epargne",IFERROR(INDEX('Paramètres'!$N:$N,MATCH($D3649,'Paramètres'!$M:$M,0))&amp;"",""))),$K3649,0))</f>
        <v/>
      </c>
      <c r="V3649" s="6" t="str">
        <f>IF(AND($A3649&lt;&gt;"",$O3649=1,$L3649="Débit",N($Q3649)&gt;0,$A3649&gt;=Visualisation!$B$1,$A3649&lt;Visualisation!$D$1),MAX($V$1:V3648)+1,"")</f>
        <v/>
      </c>
    </row>
    <row r="3650" spans="1:22" x14ac:dyDescent="0.25">
      <c r="A3650" s="9"/>
      <c r="E3650" s="10"/>
      <c r="K3650" s="11" t="str">
        <f>IF($E3650="","",ROUND($E3650*IF(ISNA(MATCH($C3650,'Paramètres'!$D:$D,0)),1,IF(INDEX('Paramètres'!$J:$J,MATCH($C3650,'Paramètres'!$D:$D,0))="",1,INDEX('Paramètres'!$J:$J,MATCH($C3650,'Paramètres'!$D:$D,0)))),2))</f>
        <v/>
      </c>
      <c r="L3650" s="6" t="str">
        <f>IF($D3650="","",IF($F3650&lt;&gt;"",$F3650,IF(ISNA(MATCH($D3650,'Paramètres'!$M:$M,0)),"⚠ Type inconnu",IFERROR(INDEX('Paramètres'!$P:$P,MATCH($D3650,'Paramètres'!$M:$M,0))&amp;"",""))))</f>
        <v/>
      </c>
      <c r="M3650" s="6" t="str">
        <f>IF($D3650="","",IF(ISNA(MATCH($D3650,'Paramètres'!$M:$M,0)),"⚠ Type inconnu",IF($L3650="Crédit","",IFERROR(INDEX('Paramètres'!$O:$O,MATCH($D3650,'Paramètres'!$M:$M,0))&amp;"",""))))</f>
        <v/>
      </c>
      <c r="N3650" s="6" t="str">
        <f>IF($D3650="","",IFERROR(INDEX('Paramètres'!$Q:$Q,MATCH($D3650,'Paramètres'!$M:$M,0))&amp;"",""))</f>
        <v/>
      </c>
      <c r="O3650" s="6" t="str">
        <f>IF($A3650="","",IF(OR($J3650&lt;&gt;"x",$A3650&lt;=FinReleve),1,0))</f>
        <v/>
      </c>
      <c r="P3650" s="6" t="str">
        <f>IF($D3650="","",IF(AND($L3650="Crédit",OR(IFERROR(INDEX('Paramètres'!$O:$O,MATCH($D3650,'Paramètres'!$M:$M,0))&amp;"","")&lt;&gt;"",ISNUMBER(SEARCH("remboursement",IFERROR(INDEX('Paramètres'!$N:$N,MATCH($D3650,'Paramètres'!$M:$M,0))&amp;"",""))))),1,0))</f>
        <v/>
      </c>
      <c r="Q3650" s="6" t="str">
        <f>IF($K3650="","",IF(ISNUMBER(SEARCH("transfert-interne",IFERROR(INDEX('Paramètres'!$N:$N,MATCH($D3650,'Paramètres'!$M:$M,0))&amp;"",""))),0,IF($L3650="Débit",$K3650,IF($P3650=1,-$K3650,0))))</f>
        <v/>
      </c>
      <c r="R3650" s="6" t="str">
        <f>IF($K3650="","",IF($L3650="Crédit",$K3650,-$K3650))</f>
        <v/>
      </c>
      <c r="S3650" s="6" t="str">
        <f>IF($C3650="","",IFERROR(INDEX('Paramètres'!$H:$H,MATCH($C3650,'Paramètres'!$D:$D,0))&amp;"",""))</f>
        <v/>
      </c>
      <c r="T3650" s="6" t="str">
        <f>IF($K3650="","",IF($S3650="",0,IF(ISNUMBER(SEARCH("apport-exterieur",IFERROR(INDEX('Paramètres'!$N:$N,MATCH($D3650,'Paramètres'!$M:$M,0))&amp;"",""))),0,IF(OR(IFERROR(INDEX('Paramètres'!$I:$I,MATCH($C3650,'Paramètres'!$D:$D,0))&amp;"","")="Les deux",IFERROR(INDEX('Paramètres'!$I:$I,MATCH($C3650,'Paramètres'!$D:$D,0))&amp;"","")=IF($P3650=1,"Débit",$L3650)),-IF($P3650=1,-$K3650,$K3650),0))))</f>
        <v/>
      </c>
      <c r="U3650" s="6" t="str">
        <f>IF($K3650="","",IF(ISNUMBER(SEARCH("sortie-epargne",IFERROR(INDEX('Paramètres'!$N:$N,MATCH($D3650,'Paramètres'!$M:$M,0))&amp;"",""))),$K3650,0))</f>
        <v/>
      </c>
      <c r="V3650" s="6" t="str">
        <f>IF(AND($A3650&lt;&gt;"",$O3650=1,$L3650="Débit",N($Q3650)&gt;0,$A3650&gt;=Visualisation!$B$1,$A3650&lt;Visualisation!$D$1),MAX($V$1:V3649)+1,"")</f>
        <v/>
      </c>
    </row>
    <row r="3651" spans="1:22" x14ac:dyDescent="0.25">
      <c r="A3651" s="9"/>
      <c r="E3651" s="10"/>
      <c r="K3651" s="11" t="str">
        <f>IF($E3651="","",ROUND($E3651*IF(ISNA(MATCH($C3651,'Paramètres'!$D:$D,0)),1,IF(INDEX('Paramètres'!$J:$J,MATCH($C3651,'Paramètres'!$D:$D,0))="",1,INDEX('Paramètres'!$J:$J,MATCH($C3651,'Paramètres'!$D:$D,0)))),2))</f>
        <v/>
      </c>
      <c r="L3651" s="6" t="str">
        <f>IF($D3651="","",IF($F3651&lt;&gt;"",$F3651,IF(ISNA(MATCH($D3651,'Paramètres'!$M:$M,0)),"⚠ Type inconnu",IFERROR(INDEX('Paramètres'!$P:$P,MATCH($D3651,'Paramètres'!$M:$M,0))&amp;"",""))))</f>
        <v/>
      </c>
      <c r="M3651" s="6" t="str">
        <f>IF($D3651="","",IF(ISNA(MATCH($D3651,'Paramètres'!$M:$M,0)),"⚠ Type inconnu",IF($L3651="Crédit","",IFERROR(INDEX('Paramètres'!$O:$O,MATCH($D3651,'Paramètres'!$M:$M,0))&amp;"",""))))</f>
        <v/>
      </c>
      <c r="N3651" s="6" t="str">
        <f>IF($D3651="","",IFERROR(INDEX('Paramètres'!$Q:$Q,MATCH($D3651,'Paramètres'!$M:$M,0))&amp;"",""))</f>
        <v/>
      </c>
      <c r="O3651" s="6" t="str">
        <f>IF($A3651="","",IF(OR($J3651&lt;&gt;"x",$A3651&lt;=FinReleve),1,0))</f>
        <v/>
      </c>
      <c r="P3651" s="6" t="str">
        <f>IF($D3651="","",IF(AND($L3651="Crédit",OR(IFERROR(INDEX('Paramètres'!$O:$O,MATCH($D3651,'Paramètres'!$M:$M,0))&amp;"","")&lt;&gt;"",ISNUMBER(SEARCH("remboursement",IFERROR(INDEX('Paramètres'!$N:$N,MATCH($D3651,'Paramètres'!$M:$M,0))&amp;"",""))))),1,0))</f>
        <v/>
      </c>
      <c r="Q3651" s="6" t="str">
        <f>IF($K3651="","",IF(ISNUMBER(SEARCH("transfert-interne",IFERROR(INDEX('Paramètres'!$N:$N,MATCH($D3651,'Paramètres'!$M:$M,0))&amp;"",""))),0,IF($L3651="Débit",$K3651,IF($P3651=1,-$K3651,0))))</f>
        <v/>
      </c>
      <c r="R3651" s="6" t="str">
        <f>IF($K3651="","",IF($L3651="Crédit",$K3651,-$K3651))</f>
        <v/>
      </c>
      <c r="S3651" s="6" t="str">
        <f>IF($C3651="","",IFERROR(INDEX('Paramètres'!$H:$H,MATCH($C3651,'Paramètres'!$D:$D,0))&amp;"",""))</f>
        <v/>
      </c>
      <c r="T3651" s="6" t="str">
        <f>IF($K3651="","",IF($S3651="",0,IF(ISNUMBER(SEARCH("apport-exterieur",IFERROR(INDEX('Paramètres'!$N:$N,MATCH($D3651,'Paramètres'!$M:$M,0))&amp;"",""))),0,IF(OR(IFERROR(INDEX('Paramètres'!$I:$I,MATCH($C3651,'Paramètres'!$D:$D,0))&amp;"","")="Les deux",IFERROR(INDEX('Paramètres'!$I:$I,MATCH($C3651,'Paramètres'!$D:$D,0))&amp;"","")=IF($P3651=1,"Débit",$L3651)),-IF($P3651=1,-$K3651,$K3651),0))))</f>
        <v/>
      </c>
      <c r="U3651" s="6" t="str">
        <f>IF($K3651="","",IF(ISNUMBER(SEARCH("sortie-epargne",IFERROR(INDEX('Paramètres'!$N:$N,MATCH($D3651,'Paramètres'!$M:$M,0))&amp;"",""))),$K3651,0))</f>
        <v/>
      </c>
      <c r="V3651" s="6" t="str">
        <f>IF(AND($A3651&lt;&gt;"",$O3651=1,$L3651="Débit",N($Q3651)&gt;0,$A3651&gt;=Visualisation!$B$1,$A3651&lt;Visualisation!$D$1),MAX($V$1:V3650)+1,"")</f>
        <v/>
      </c>
    </row>
    <row r="3652" spans="1:22" x14ac:dyDescent="0.25">
      <c r="A3652" s="9"/>
      <c r="E3652" s="10"/>
      <c r="K3652" s="11" t="str">
        <f>IF($E3652="","",ROUND($E3652*IF(ISNA(MATCH($C3652,'Paramètres'!$D:$D,0)),1,IF(INDEX('Paramètres'!$J:$J,MATCH($C3652,'Paramètres'!$D:$D,0))="",1,INDEX('Paramètres'!$J:$J,MATCH($C3652,'Paramètres'!$D:$D,0)))),2))</f>
        <v/>
      </c>
      <c r="L3652" s="6" t="str">
        <f>IF($D3652="","",IF($F3652&lt;&gt;"",$F3652,IF(ISNA(MATCH($D3652,'Paramètres'!$M:$M,0)),"⚠ Type inconnu",IFERROR(INDEX('Paramètres'!$P:$P,MATCH($D3652,'Paramètres'!$M:$M,0))&amp;"",""))))</f>
        <v/>
      </c>
      <c r="M3652" s="6" t="str">
        <f>IF($D3652="","",IF(ISNA(MATCH($D3652,'Paramètres'!$M:$M,0)),"⚠ Type inconnu",IF($L3652="Crédit","",IFERROR(INDEX('Paramètres'!$O:$O,MATCH($D3652,'Paramètres'!$M:$M,0))&amp;"",""))))</f>
        <v/>
      </c>
      <c r="N3652" s="6" t="str">
        <f>IF($D3652="","",IFERROR(INDEX('Paramètres'!$Q:$Q,MATCH($D3652,'Paramètres'!$M:$M,0))&amp;"",""))</f>
        <v/>
      </c>
      <c r="O3652" s="6" t="str">
        <f>IF($A3652="","",IF(OR($J3652&lt;&gt;"x",$A3652&lt;=FinReleve),1,0))</f>
        <v/>
      </c>
      <c r="P3652" s="6" t="str">
        <f>IF($D3652="","",IF(AND($L3652="Crédit",OR(IFERROR(INDEX('Paramètres'!$O:$O,MATCH($D3652,'Paramètres'!$M:$M,0))&amp;"","")&lt;&gt;"",ISNUMBER(SEARCH("remboursement",IFERROR(INDEX('Paramètres'!$N:$N,MATCH($D3652,'Paramètres'!$M:$M,0))&amp;"",""))))),1,0))</f>
        <v/>
      </c>
      <c r="Q3652" s="6" t="str">
        <f>IF($K3652="","",IF(ISNUMBER(SEARCH("transfert-interne",IFERROR(INDEX('Paramètres'!$N:$N,MATCH($D3652,'Paramètres'!$M:$M,0))&amp;"",""))),0,IF($L3652="Débit",$K3652,IF($P3652=1,-$K3652,0))))</f>
        <v/>
      </c>
      <c r="R3652" s="6" t="str">
        <f>IF($K3652="","",IF($L3652="Crédit",$K3652,-$K3652))</f>
        <v/>
      </c>
      <c r="S3652" s="6" t="str">
        <f>IF($C3652="","",IFERROR(INDEX('Paramètres'!$H:$H,MATCH($C3652,'Paramètres'!$D:$D,0))&amp;"",""))</f>
        <v/>
      </c>
      <c r="T3652" s="6" t="str">
        <f>IF($K3652="","",IF($S3652="",0,IF(ISNUMBER(SEARCH("apport-exterieur",IFERROR(INDEX('Paramètres'!$N:$N,MATCH($D3652,'Paramètres'!$M:$M,0))&amp;"",""))),0,IF(OR(IFERROR(INDEX('Paramètres'!$I:$I,MATCH($C3652,'Paramètres'!$D:$D,0))&amp;"","")="Les deux",IFERROR(INDEX('Paramètres'!$I:$I,MATCH($C3652,'Paramètres'!$D:$D,0))&amp;"","")=IF($P3652=1,"Débit",$L3652)),-IF($P3652=1,-$K3652,$K3652),0))))</f>
        <v/>
      </c>
      <c r="U3652" s="6" t="str">
        <f>IF($K3652="","",IF(ISNUMBER(SEARCH("sortie-epargne",IFERROR(INDEX('Paramètres'!$N:$N,MATCH($D3652,'Paramètres'!$M:$M,0))&amp;"",""))),$K3652,0))</f>
        <v/>
      </c>
      <c r="V3652" s="6" t="str">
        <f>IF(AND($A3652&lt;&gt;"",$O3652=1,$L3652="Débit",N($Q3652)&gt;0,$A3652&gt;=Visualisation!$B$1,$A3652&lt;Visualisation!$D$1),MAX($V$1:V3651)+1,"")</f>
        <v/>
      </c>
    </row>
    <row r="3653" spans="1:22" x14ac:dyDescent="0.25">
      <c r="A3653" s="9"/>
      <c r="E3653" s="10"/>
      <c r="K3653" s="11" t="str">
        <f>IF($E3653="","",ROUND($E3653*IF(ISNA(MATCH($C3653,'Paramètres'!$D:$D,0)),1,IF(INDEX('Paramètres'!$J:$J,MATCH($C3653,'Paramètres'!$D:$D,0))="",1,INDEX('Paramètres'!$J:$J,MATCH($C3653,'Paramètres'!$D:$D,0)))),2))</f>
        <v/>
      </c>
      <c r="L3653" s="6" t="str">
        <f>IF($D3653="","",IF($F3653&lt;&gt;"",$F3653,IF(ISNA(MATCH($D3653,'Paramètres'!$M:$M,0)),"⚠ Type inconnu",IFERROR(INDEX('Paramètres'!$P:$P,MATCH($D3653,'Paramètres'!$M:$M,0))&amp;"",""))))</f>
        <v/>
      </c>
      <c r="M3653" s="6" t="str">
        <f>IF($D3653="","",IF(ISNA(MATCH($D3653,'Paramètres'!$M:$M,0)),"⚠ Type inconnu",IF($L3653="Crédit","",IFERROR(INDEX('Paramètres'!$O:$O,MATCH($D3653,'Paramètres'!$M:$M,0))&amp;"",""))))</f>
        <v/>
      </c>
      <c r="N3653" s="6" t="str">
        <f>IF($D3653="","",IFERROR(INDEX('Paramètres'!$Q:$Q,MATCH($D3653,'Paramètres'!$M:$M,0))&amp;"",""))</f>
        <v/>
      </c>
      <c r="O3653" s="6" t="str">
        <f>IF($A3653="","",IF(OR($J3653&lt;&gt;"x",$A3653&lt;=FinReleve),1,0))</f>
        <v/>
      </c>
      <c r="P3653" s="6" t="str">
        <f>IF($D3653="","",IF(AND($L3653="Crédit",OR(IFERROR(INDEX('Paramètres'!$O:$O,MATCH($D3653,'Paramètres'!$M:$M,0))&amp;"","")&lt;&gt;"",ISNUMBER(SEARCH("remboursement",IFERROR(INDEX('Paramètres'!$N:$N,MATCH($D3653,'Paramètres'!$M:$M,0))&amp;"",""))))),1,0))</f>
        <v/>
      </c>
      <c r="Q3653" s="6" t="str">
        <f>IF($K3653="","",IF(ISNUMBER(SEARCH("transfert-interne",IFERROR(INDEX('Paramètres'!$N:$N,MATCH($D3653,'Paramètres'!$M:$M,0))&amp;"",""))),0,IF($L3653="Débit",$K3653,IF($P3653=1,-$K3653,0))))</f>
        <v/>
      </c>
      <c r="R3653" s="6" t="str">
        <f>IF($K3653="","",IF($L3653="Crédit",$K3653,-$K3653))</f>
        <v/>
      </c>
      <c r="S3653" s="6" t="str">
        <f>IF($C3653="","",IFERROR(INDEX('Paramètres'!$H:$H,MATCH($C3653,'Paramètres'!$D:$D,0))&amp;"",""))</f>
        <v/>
      </c>
      <c r="T3653" s="6" t="str">
        <f>IF($K3653="","",IF($S3653="",0,IF(ISNUMBER(SEARCH("apport-exterieur",IFERROR(INDEX('Paramètres'!$N:$N,MATCH($D3653,'Paramètres'!$M:$M,0))&amp;"",""))),0,IF(OR(IFERROR(INDEX('Paramètres'!$I:$I,MATCH($C3653,'Paramètres'!$D:$D,0))&amp;"","")="Les deux",IFERROR(INDEX('Paramètres'!$I:$I,MATCH($C3653,'Paramètres'!$D:$D,0))&amp;"","")=IF($P3653=1,"Débit",$L3653)),-IF($P3653=1,-$K3653,$K3653),0))))</f>
        <v/>
      </c>
      <c r="U3653" s="6" t="str">
        <f>IF($K3653="","",IF(ISNUMBER(SEARCH("sortie-epargne",IFERROR(INDEX('Paramètres'!$N:$N,MATCH($D3653,'Paramètres'!$M:$M,0))&amp;"",""))),$K3653,0))</f>
        <v/>
      </c>
      <c r="V3653" s="6" t="str">
        <f>IF(AND($A3653&lt;&gt;"",$O3653=1,$L3653="Débit",N($Q3653)&gt;0,$A3653&gt;=Visualisation!$B$1,$A3653&lt;Visualisation!$D$1),MAX($V$1:V3652)+1,"")</f>
        <v/>
      </c>
    </row>
    <row r="3654" spans="1:22" x14ac:dyDescent="0.25">
      <c r="A3654" s="9"/>
      <c r="E3654" s="10"/>
      <c r="K3654" s="11" t="str">
        <f>IF($E3654="","",ROUND($E3654*IF(ISNA(MATCH($C3654,'Paramètres'!$D:$D,0)),1,IF(INDEX('Paramètres'!$J:$J,MATCH($C3654,'Paramètres'!$D:$D,0))="",1,INDEX('Paramètres'!$J:$J,MATCH($C3654,'Paramètres'!$D:$D,0)))),2))</f>
        <v/>
      </c>
      <c r="L3654" s="6" t="str">
        <f>IF($D3654="","",IF($F3654&lt;&gt;"",$F3654,IF(ISNA(MATCH($D3654,'Paramètres'!$M:$M,0)),"⚠ Type inconnu",IFERROR(INDEX('Paramètres'!$P:$P,MATCH($D3654,'Paramètres'!$M:$M,0))&amp;"",""))))</f>
        <v/>
      </c>
      <c r="M3654" s="6" t="str">
        <f>IF($D3654="","",IF(ISNA(MATCH($D3654,'Paramètres'!$M:$M,0)),"⚠ Type inconnu",IF($L3654="Crédit","",IFERROR(INDEX('Paramètres'!$O:$O,MATCH($D3654,'Paramètres'!$M:$M,0))&amp;"",""))))</f>
        <v/>
      </c>
      <c r="N3654" s="6" t="str">
        <f>IF($D3654="","",IFERROR(INDEX('Paramètres'!$Q:$Q,MATCH($D3654,'Paramètres'!$M:$M,0))&amp;"",""))</f>
        <v/>
      </c>
      <c r="O3654" s="6" t="str">
        <f>IF($A3654="","",IF(OR($J3654&lt;&gt;"x",$A3654&lt;=FinReleve),1,0))</f>
        <v/>
      </c>
      <c r="P3654" s="6" t="str">
        <f>IF($D3654="","",IF(AND($L3654="Crédit",OR(IFERROR(INDEX('Paramètres'!$O:$O,MATCH($D3654,'Paramètres'!$M:$M,0))&amp;"","")&lt;&gt;"",ISNUMBER(SEARCH("remboursement",IFERROR(INDEX('Paramètres'!$N:$N,MATCH($D3654,'Paramètres'!$M:$M,0))&amp;"",""))))),1,0))</f>
        <v/>
      </c>
      <c r="Q3654" s="6" t="str">
        <f>IF($K3654="","",IF(ISNUMBER(SEARCH("transfert-interne",IFERROR(INDEX('Paramètres'!$N:$N,MATCH($D3654,'Paramètres'!$M:$M,0))&amp;"",""))),0,IF($L3654="Débit",$K3654,IF($P3654=1,-$K3654,0))))</f>
        <v/>
      </c>
      <c r="R3654" s="6" t="str">
        <f>IF($K3654="","",IF($L3654="Crédit",$K3654,-$K3654))</f>
        <v/>
      </c>
      <c r="S3654" s="6" t="str">
        <f>IF($C3654="","",IFERROR(INDEX('Paramètres'!$H:$H,MATCH($C3654,'Paramètres'!$D:$D,0))&amp;"",""))</f>
        <v/>
      </c>
      <c r="T3654" s="6" t="str">
        <f>IF($K3654="","",IF($S3654="",0,IF(ISNUMBER(SEARCH("apport-exterieur",IFERROR(INDEX('Paramètres'!$N:$N,MATCH($D3654,'Paramètres'!$M:$M,0))&amp;"",""))),0,IF(OR(IFERROR(INDEX('Paramètres'!$I:$I,MATCH($C3654,'Paramètres'!$D:$D,0))&amp;"","")="Les deux",IFERROR(INDEX('Paramètres'!$I:$I,MATCH($C3654,'Paramètres'!$D:$D,0))&amp;"","")=IF($P3654=1,"Débit",$L3654)),-IF($P3654=1,-$K3654,$K3654),0))))</f>
        <v/>
      </c>
      <c r="U3654" s="6" t="str">
        <f>IF($K3654="","",IF(ISNUMBER(SEARCH("sortie-epargne",IFERROR(INDEX('Paramètres'!$N:$N,MATCH($D3654,'Paramètres'!$M:$M,0))&amp;"",""))),$K3654,0))</f>
        <v/>
      </c>
      <c r="V3654" s="6" t="str">
        <f>IF(AND($A3654&lt;&gt;"",$O3654=1,$L3654="Débit",N($Q3654)&gt;0,$A3654&gt;=Visualisation!$B$1,$A3654&lt;Visualisation!$D$1),MAX($V$1:V3653)+1,"")</f>
        <v/>
      </c>
    </row>
    <row r="3655" spans="1:22" x14ac:dyDescent="0.25">
      <c r="A3655" s="9"/>
      <c r="E3655" s="10"/>
      <c r="K3655" s="11" t="str">
        <f>IF($E3655="","",ROUND($E3655*IF(ISNA(MATCH($C3655,'Paramètres'!$D:$D,0)),1,IF(INDEX('Paramètres'!$J:$J,MATCH($C3655,'Paramètres'!$D:$D,0))="",1,INDEX('Paramètres'!$J:$J,MATCH($C3655,'Paramètres'!$D:$D,0)))),2))</f>
        <v/>
      </c>
      <c r="L3655" s="6" t="str">
        <f>IF($D3655="","",IF($F3655&lt;&gt;"",$F3655,IF(ISNA(MATCH($D3655,'Paramètres'!$M:$M,0)),"⚠ Type inconnu",IFERROR(INDEX('Paramètres'!$P:$P,MATCH($D3655,'Paramètres'!$M:$M,0))&amp;"",""))))</f>
        <v/>
      </c>
      <c r="M3655" s="6" t="str">
        <f>IF($D3655="","",IF(ISNA(MATCH($D3655,'Paramètres'!$M:$M,0)),"⚠ Type inconnu",IF($L3655="Crédit","",IFERROR(INDEX('Paramètres'!$O:$O,MATCH($D3655,'Paramètres'!$M:$M,0))&amp;"",""))))</f>
        <v/>
      </c>
      <c r="N3655" s="6" t="str">
        <f>IF($D3655="","",IFERROR(INDEX('Paramètres'!$Q:$Q,MATCH($D3655,'Paramètres'!$M:$M,0))&amp;"",""))</f>
        <v/>
      </c>
      <c r="O3655" s="6" t="str">
        <f>IF($A3655="","",IF(OR($J3655&lt;&gt;"x",$A3655&lt;=FinReleve),1,0))</f>
        <v/>
      </c>
      <c r="P3655" s="6" t="str">
        <f>IF($D3655="","",IF(AND($L3655="Crédit",OR(IFERROR(INDEX('Paramètres'!$O:$O,MATCH($D3655,'Paramètres'!$M:$M,0))&amp;"","")&lt;&gt;"",ISNUMBER(SEARCH("remboursement",IFERROR(INDEX('Paramètres'!$N:$N,MATCH($D3655,'Paramètres'!$M:$M,0))&amp;"",""))))),1,0))</f>
        <v/>
      </c>
      <c r="Q3655" s="6" t="str">
        <f>IF($K3655="","",IF(ISNUMBER(SEARCH("transfert-interne",IFERROR(INDEX('Paramètres'!$N:$N,MATCH($D3655,'Paramètres'!$M:$M,0))&amp;"",""))),0,IF($L3655="Débit",$K3655,IF($P3655=1,-$K3655,0))))</f>
        <v/>
      </c>
      <c r="R3655" s="6" t="str">
        <f>IF($K3655="","",IF($L3655="Crédit",$K3655,-$K3655))</f>
        <v/>
      </c>
      <c r="S3655" s="6" t="str">
        <f>IF($C3655="","",IFERROR(INDEX('Paramètres'!$H:$H,MATCH($C3655,'Paramètres'!$D:$D,0))&amp;"",""))</f>
        <v/>
      </c>
      <c r="T3655" s="6" t="str">
        <f>IF($K3655="","",IF($S3655="",0,IF(ISNUMBER(SEARCH("apport-exterieur",IFERROR(INDEX('Paramètres'!$N:$N,MATCH($D3655,'Paramètres'!$M:$M,0))&amp;"",""))),0,IF(OR(IFERROR(INDEX('Paramètres'!$I:$I,MATCH($C3655,'Paramètres'!$D:$D,0))&amp;"","")="Les deux",IFERROR(INDEX('Paramètres'!$I:$I,MATCH($C3655,'Paramètres'!$D:$D,0))&amp;"","")=IF($P3655=1,"Débit",$L3655)),-IF($P3655=1,-$K3655,$K3655),0))))</f>
        <v/>
      </c>
      <c r="U3655" s="6" t="str">
        <f>IF($K3655="","",IF(ISNUMBER(SEARCH("sortie-epargne",IFERROR(INDEX('Paramètres'!$N:$N,MATCH($D3655,'Paramètres'!$M:$M,0))&amp;"",""))),$K3655,0))</f>
        <v/>
      </c>
      <c r="V3655" s="6" t="str">
        <f>IF(AND($A3655&lt;&gt;"",$O3655=1,$L3655="Débit",N($Q3655)&gt;0,$A3655&gt;=Visualisation!$B$1,$A3655&lt;Visualisation!$D$1),MAX($V$1:V3654)+1,"")</f>
        <v/>
      </c>
    </row>
    <row r="3656" spans="1:22" x14ac:dyDescent="0.25">
      <c r="A3656" s="9"/>
      <c r="E3656" s="10"/>
      <c r="K3656" s="11" t="str">
        <f>IF($E3656="","",ROUND($E3656*IF(ISNA(MATCH($C3656,'Paramètres'!$D:$D,0)),1,IF(INDEX('Paramètres'!$J:$J,MATCH($C3656,'Paramètres'!$D:$D,0))="",1,INDEX('Paramètres'!$J:$J,MATCH($C3656,'Paramètres'!$D:$D,0)))),2))</f>
        <v/>
      </c>
      <c r="L3656" s="6" t="str">
        <f>IF($D3656="","",IF($F3656&lt;&gt;"",$F3656,IF(ISNA(MATCH($D3656,'Paramètres'!$M:$M,0)),"⚠ Type inconnu",IFERROR(INDEX('Paramètres'!$P:$P,MATCH($D3656,'Paramètres'!$M:$M,0))&amp;"",""))))</f>
        <v/>
      </c>
      <c r="M3656" s="6" t="str">
        <f>IF($D3656="","",IF(ISNA(MATCH($D3656,'Paramètres'!$M:$M,0)),"⚠ Type inconnu",IF($L3656="Crédit","",IFERROR(INDEX('Paramètres'!$O:$O,MATCH($D3656,'Paramètres'!$M:$M,0))&amp;"",""))))</f>
        <v/>
      </c>
      <c r="N3656" s="6" t="str">
        <f>IF($D3656="","",IFERROR(INDEX('Paramètres'!$Q:$Q,MATCH($D3656,'Paramètres'!$M:$M,0))&amp;"",""))</f>
        <v/>
      </c>
      <c r="O3656" s="6" t="str">
        <f>IF($A3656="","",IF(OR($J3656&lt;&gt;"x",$A3656&lt;=FinReleve),1,0))</f>
        <v/>
      </c>
      <c r="P3656" s="6" t="str">
        <f>IF($D3656="","",IF(AND($L3656="Crédit",OR(IFERROR(INDEX('Paramètres'!$O:$O,MATCH($D3656,'Paramètres'!$M:$M,0))&amp;"","")&lt;&gt;"",ISNUMBER(SEARCH("remboursement",IFERROR(INDEX('Paramètres'!$N:$N,MATCH($D3656,'Paramètres'!$M:$M,0))&amp;"",""))))),1,0))</f>
        <v/>
      </c>
      <c r="Q3656" s="6" t="str">
        <f>IF($K3656="","",IF(ISNUMBER(SEARCH("transfert-interne",IFERROR(INDEX('Paramètres'!$N:$N,MATCH($D3656,'Paramètres'!$M:$M,0))&amp;"",""))),0,IF($L3656="Débit",$K3656,IF($P3656=1,-$K3656,0))))</f>
        <v/>
      </c>
      <c r="R3656" s="6" t="str">
        <f>IF($K3656="","",IF($L3656="Crédit",$K3656,-$K3656))</f>
        <v/>
      </c>
      <c r="S3656" s="6" t="str">
        <f>IF($C3656="","",IFERROR(INDEX('Paramètres'!$H:$H,MATCH($C3656,'Paramètres'!$D:$D,0))&amp;"",""))</f>
        <v/>
      </c>
      <c r="T3656" s="6" t="str">
        <f>IF($K3656="","",IF($S3656="",0,IF(ISNUMBER(SEARCH("apport-exterieur",IFERROR(INDEX('Paramètres'!$N:$N,MATCH($D3656,'Paramètres'!$M:$M,0))&amp;"",""))),0,IF(OR(IFERROR(INDEX('Paramètres'!$I:$I,MATCH($C3656,'Paramètres'!$D:$D,0))&amp;"","")="Les deux",IFERROR(INDEX('Paramètres'!$I:$I,MATCH($C3656,'Paramètres'!$D:$D,0))&amp;"","")=IF($P3656=1,"Débit",$L3656)),-IF($P3656=1,-$K3656,$K3656),0))))</f>
        <v/>
      </c>
      <c r="U3656" s="6" t="str">
        <f>IF($K3656="","",IF(ISNUMBER(SEARCH("sortie-epargne",IFERROR(INDEX('Paramètres'!$N:$N,MATCH($D3656,'Paramètres'!$M:$M,0))&amp;"",""))),$K3656,0))</f>
        <v/>
      </c>
      <c r="V3656" s="6" t="str">
        <f>IF(AND($A3656&lt;&gt;"",$O3656=1,$L3656="Débit",N($Q3656)&gt;0,$A3656&gt;=Visualisation!$B$1,$A3656&lt;Visualisation!$D$1),MAX($V$1:V3655)+1,"")</f>
        <v/>
      </c>
    </row>
    <row r="3657" spans="1:22" x14ac:dyDescent="0.25">
      <c r="A3657" s="9"/>
      <c r="E3657" s="10"/>
      <c r="K3657" s="11" t="str">
        <f>IF($E3657="","",ROUND($E3657*IF(ISNA(MATCH($C3657,'Paramètres'!$D:$D,0)),1,IF(INDEX('Paramètres'!$J:$J,MATCH($C3657,'Paramètres'!$D:$D,0))="",1,INDEX('Paramètres'!$J:$J,MATCH($C3657,'Paramètres'!$D:$D,0)))),2))</f>
        <v/>
      </c>
      <c r="L3657" s="6" t="str">
        <f>IF($D3657="","",IF($F3657&lt;&gt;"",$F3657,IF(ISNA(MATCH($D3657,'Paramètres'!$M:$M,0)),"⚠ Type inconnu",IFERROR(INDEX('Paramètres'!$P:$P,MATCH($D3657,'Paramètres'!$M:$M,0))&amp;"",""))))</f>
        <v/>
      </c>
      <c r="M3657" s="6" t="str">
        <f>IF($D3657="","",IF(ISNA(MATCH($D3657,'Paramètres'!$M:$M,0)),"⚠ Type inconnu",IF($L3657="Crédit","",IFERROR(INDEX('Paramètres'!$O:$O,MATCH($D3657,'Paramètres'!$M:$M,0))&amp;"",""))))</f>
        <v/>
      </c>
      <c r="N3657" s="6" t="str">
        <f>IF($D3657="","",IFERROR(INDEX('Paramètres'!$Q:$Q,MATCH($D3657,'Paramètres'!$M:$M,0))&amp;"",""))</f>
        <v/>
      </c>
      <c r="O3657" s="6" t="str">
        <f>IF($A3657="","",IF(OR($J3657&lt;&gt;"x",$A3657&lt;=FinReleve),1,0))</f>
        <v/>
      </c>
      <c r="P3657" s="6" t="str">
        <f>IF($D3657="","",IF(AND($L3657="Crédit",OR(IFERROR(INDEX('Paramètres'!$O:$O,MATCH($D3657,'Paramètres'!$M:$M,0))&amp;"","")&lt;&gt;"",ISNUMBER(SEARCH("remboursement",IFERROR(INDEX('Paramètres'!$N:$N,MATCH($D3657,'Paramètres'!$M:$M,0))&amp;"",""))))),1,0))</f>
        <v/>
      </c>
      <c r="Q3657" s="6" t="str">
        <f>IF($K3657="","",IF(ISNUMBER(SEARCH("transfert-interne",IFERROR(INDEX('Paramètres'!$N:$N,MATCH($D3657,'Paramètres'!$M:$M,0))&amp;"",""))),0,IF($L3657="Débit",$K3657,IF($P3657=1,-$K3657,0))))</f>
        <v/>
      </c>
      <c r="R3657" s="6" t="str">
        <f>IF($K3657="","",IF($L3657="Crédit",$K3657,-$K3657))</f>
        <v/>
      </c>
      <c r="S3657" s="6" t="str">
        <f>IF($C3657="","",IFERROR(INDEX('Paramètres'!$H:$H,MATCH($C3657,'Paramètres'!$D:$D,0))&amp;"",""))</f>
        <v/>
      </c>
      <c r="T3657" s="6" t="str">
        <f>IF($K3657="","",IF($S3657="",0,IF(ISNUMBER(SEARCH("apport-exterieur",IFERROR(INDEX('Paramètres'!$N:$N,MATCH($D3657,'Paramètres'!$M:$M,0))&amp;"",""))),0,IF(OR(IFERROR(INDEX('Paramètres'!$I:$I,MATCH($C3657,'Paramètres'!$D:$D,0))&amp;"","")="Les deux",IFERROR(INDEX('Paramètres'!$I:$I,MATCH($C3657,'Paramètres'!$D:$D,0))&amp;"","")=IF($P3657=1,"Débit",$L3657)),-IF($P3657=1,-$K3657,$K3657),0))))</f>
        <v/>
      </c>
      <c r="U3657" s="6" t="str">
        <f>IF($K3657="","",IF(ISNUMBER(SEARCH("sortie-epargne",IFERROR(INDEX('Paramètres'!$N:$N,MATCH($D3657,'Paramètres'!$M:$M,0))&amp;"",""))),$K3657,0))</f>
        <v/>
      </c>
      <c r="V3657" s="6" t="str">
        <f>IF(AND($A3657&lt;&gt;"",$O3657=1,$L3657="Débit",N($Q3657)&gt;0,$A3657&gt;=Visualisation!$B$1,$A3657&lt;Visualisation!$D$1),MAX($V$1:V3656)+1,"")</f>
        <v/>
      </c>
    </row>
    <row r="3658" spans="1:22" x14ac:dyDescent="0.25">
      <c r="A3658" s="9"/>
      <c r="E3658" s="10"/>
      <c r="K3658" s="11" t="str">
        <f>IF($E3658="","",ROUND($E3658*IF(ISNA(MATCH($C3658,'Paramètres'!$D:$D,0)),1,IF(INDEX('Paramètres'!$J:$J,MATCH($C3658,'Paramètres'!$D:$D,0))="",1,INDEX('Paramètres'!$J:$J,MATCH($C3658,'Paramètres'!$D:$D,0)))),2))</f>
        <v/>
      </c>
      <c r="L3658" s="6" t="str">
        <f>IF($D3658="","",IF($F3658&lt;&gt;"",$F3658,IF(ISNA(MATCH($D3658,'Paramètres'!$M:$M,0)),"⚠ Type inconnu",IFERROR(INDEX('Paramètres'!$P:$P,MATCH($D3658,'Paramètres'!$M:$M,0))&amp;"",""))))</f>
        <v/>
      </c>
      <c r="M3658" s="6" t="str">
        <f>IF($D3658="","",IF(ISNA(MATCH($D3658,'Paramètres'!$M:$M,0)),"⚠ Type inconnu",IF($L3658="Crédit","",IFERROR(INDEX('Paramètres'!$O:$O,MATCH($D3658,'Paramètres'!$M:$M,0))&amp;"",""))))</f>
        <v/>
      </c>
      <c r="N3658" s="6" t="str">
        <f>IF($D3658="","",IFERROR(INDEX('Paramètres'!$Q:$Q,MATCH($D3658,'Paramètres'!$M:$M,0))&amp;"",""))</f>
        <v/>
      </c>
      <c r="O3658" s="6" t="str">
        <f>IF($A3658="","",IF(OR($J3658&lt;&gt;"x",$A3658&lt;=FinReleve),1,0))</f>
        <v/>
      </c>
      <c r="P3658" s="6" t="str">
        <f>IF($D3658="","",IF(AND($L3658="Crédit",OR(IFERROR(INDEX('Paramètres'!$O:$O,MATCH($D3658,'Paramètres'!$M:$M,0))&amp;"","")&lt;&gt;"",ISNUMBER(SEARCH("remboursement",IFERROR(INDEX('Paramètres'!$N:$N,MATCH($D3658,'Paramètres'!$M:$M,0))&amp;"",""))))),1,0))</f>
        <v/>
      </c>
      <c r="Q3658" s="6" t="str">
        <f>IF($K3658="","",IF(ISNUMBER(SEARCH("transfert-interne",IFERROR(INDEX('Paramètres'!$N:$N,MATCH($D3658,'Paramètres'!$M:$M,0))&amp;"",""))),0,IF($L3658="Débit",$K3658,IF($P3658=1,-$K3658,0))))</f>
        <v/>
      </c>
      <c r="R3658" s="6" t="str">
        <f>IF($K3658="","",IF($L3658="Crédit",$K3658,-$K3658))</f>
        <v/>
      </c>
      <c r="S3658" s="6" t="str">
        <f>IF($C3658="","",IFERROR(INDEX('Paramètres'!$H:$H,MATCH($C3658,'Paramètres'!$D:$D,0))&amp;"",""))</f>
        <v/>
      </c>
      <c r="T3658" s="6" t="str">
        <f>IF($K3658="","",IF($S3658="",0,IF(ISNUMBER(SEARCH("apport-exterieur",IFERROR(INDEX('Paramètres'!$N:$N,MATCH($D3658,'Paramètres'!$M:$M,0))&amp;"",""))),0,IF(OR(IFERROR(INDEX('Paramètres'!$I:$I,MATCH($C3658,'Paramètres'!$D:$D,0))&amp;"","")="Les deux",IFERROR(INDEX('Paramètres'!$I:$I,MATCH($C3658,'Paramètres'!$D:$D,0))&amp;"","")=IF($P3658=1,"Débit",$L3658)),-IF($P3658=1,-$K3658,$K3658),0))))</f>
        <v/>
      </c>
      <c r="U3658" s="6" t="str">
        <f>IF($K3658="","",IF(ISNUMBER(SEARCH("sortie-epargne",IFERROR(INDEX('Paramètres'!$N:$N,MATCH($D3658,'Paramètres'!$M:$M,0))&amp;"",""))),$K3658,0))</f>
        <v/>
      </c>
      <c r="V3658" s="6" t="str">
        <f>IF(AND($A3658&lt;&gt;"",$O3658=1,$L3658="Débit",N($Q3658)&gt;0,$A3658&gt;=Visualisation!$B$1,$A3658&lt;Visualisation!$D$1),MAX($V$1:V3657)+1,"")</f>
        <v/>
      </c>
    </row>
    <row r="3659" spans="1:22" x14ac:dyDescent="0.25">
      <c r="A3659" s="9"/>
      <c r="E3659" s="10"/>
      <c r="K3659" s="11" t="str">
        <f>IF($E3659="","",ROUND($E3659*IF(ISNA(MATCH($C3659,'Paramètres'!$D:$D,0)),1,IF(INDEX('Paramètres'!$J:$J,MATCH($C3659,'Paramètres'!$D:$D,0))="",1,INDEX('Paramètres'!$J:$J,MATCH($C3659,'Paramètres'!$D:$D,0)))),2))</f>
        <v/>
      </c>
      <c r="L3659" s="6" t="str">
        <f>IF($D3659="","",IF($F3659&lt;&gt;"",$F3659,IF(ISNA(MATCH($D3659,'Paramètres'!$M:$M,0)),"⚠ Type inconnu",IFERROR(INDEX('Paramètres'!$P:$P,MATCH($D3659,'Paramètres'!$M:$M,0))&amp;"",""))))</f>
        <v/>
      </c>
      <c r="M3659" s="6" t="str">
        <f>IF($D3659="","",IF(ISNA(MATCH($D3659,'Paramètres'!$M:$M,0)),"⚠ Type inconnu",IF($L3659="Crédit","",IFERROR(INDEX('Paramètres'!$O:$O,MATCH($D3659,'Paramètres'!$M:$M,0))&amp;"",""))))</f>
        <v/>
      </c>
      <c r="N3659" s="6" t="str">
        <f>IF($D3659="","",IFERROR(INDEX('Paramètres'!$Q:$Q,MATCH($D3659,'Paramètres'!$M:$M,0))&amp;"",""))</f>
        <v/>
      </c>
      <c r="O3659" s="6" t="str">
        <f>IF($A3659="","",IF(OR($J3659&lt;&gt;"x",$A3659&lt;=FinReleve),1,0))</f>
        <v/>
      </c>
      <c r="P3659" s="6" t="str">
        <f>IF($D3659="","",IF(AND($L3659="Crédit",OR(IFERROR(INDEX('Paramètres'!$O:$O,MATCH($D3659,'Paramètres'!$M:$M,0))&amp;"","")&lt;&gt;"",ISNUMBER(SEARCH("remboursement",IFERROR(INDEX('Paramètres'!$N:$N,MATCH($D3659,'Paramètres'!$M:$M,0))&amp;"",""))))),1,0))</f>
        <v/>
      </c>
      <c r="Q3659" s="6" t="str">
        <f>IF($K3659="","",IF(ISNUMBER(SEARCH("transfert-interne",IFERROR(INDEX('Paramètres'!$N:$N,MATCH($D3659,'Paramètres'!$M:$M,0))&amp;"",""))),0,IF($L3659="Débit",$K3659,IF($P3659=1,-$K3659,0))))</f>
        <v/>
      </c>
      <c r="R3659" s="6" t="str">
        <f>IF($K3659="","",IF($L3659="Crédit",$K3659,-$K3659))</f>
        <v/>
      </c>
      <c r="S3659" s="6" t="str">
        <f>IF($C3659="","",IFERROR(INDEX('Paramètres'!$H:$H,MATCH($C3659,'Paramètres'!$D:$D,0))&amp;"",""))</f>
        <v/>
      </c>
      <c r="T3659" s="6" t="str">
        <f>IF($K3659="","",IF($S3659="",0,IF(ISNUMBER(SEARCH("apport-exterieur",IFERROR(INDEX('Paramètres'!$N:$N,MATCH($D3659,'Paramètres'!$M:$M,0))&amp;"",""))),0,IF(OR(IFERROR(INDEX('Paramètres'!$I:$I,MATCH($C3659,'Paramètres'!$D:$D,0))&amp;"","")="Les deux",IFERROR(INDEX('Paramètres'!$I:$I,MATCH($C3659,'Paramètres'!$D:$D,0))&amp;"","")=IF($P3659=1,"Débit",$L3659)),-IF($P3659=1,-$K3659,$K3659),0))))</f>
        <v/>
      </c>
      <c r="U3659" s="6" t="str">
        <f>IF($K3659="","",IF(ISNUMBER(SEARCH("sortie-epargne",IFERROR(INDEX('Paramètres'!$N:$N,MATCH($D3659,'Paramètres'!$M:$M,0))&amp;"",""))),$K3659,0))</f>
        <v/>
      </c>
      <c r="V3659" s="6" t="str">
        <f>IF(AND($A3659&lt;&gt;"",$O3659=1,$L3659="Débit",N($Q3659)&gt;0,$A3659&gt;=Visualisation!$B$1,$A3659&lt;Visualisation!$D$1),MAX($V$1:V3658)+1,"")</f>
        <v/>
      </c>
    </row>
    <row r="3660" spans="1:22" x14ac:dyDescent="0.25">
      <c r="A3660" s="9"/>
      <c r="E3660" s="10"/>
      <c r="K3660" s="11" t="str">
        <f>IF($E3660="","",ROUND($E3660*IF(ISNA(MATCH($C3660,'Paramètres'!$D:$D,0)),1,IF(INDEX('Paramètres'!$J:$J,MATCH($C3660,'Paramètres'!$D:$D,0))="",1,INDEX('Paramètres'!$J:$J,MATCH($C3660,'Paramètres'!$D:$D,0)))),2))</f>
        <v/>
      </c>
      <c r="L3660" s="6" t="str">
        <f>IF($D3660="","",IF($F3660&lt;&gt;"",$F3660,IF(ISNA(MATCH($D3660,'Paramètres'!$M:$M,0)),"⚠ Type inconnu",IFERROR(INDEX('Paramètres'!$P:$P,MATCH($D3660,'Paramètres'!$M:$M,0))&amp;"",""))))</f>
        <v/>
      </c>
      <c r="M3660" s="6" t="str">
        <f>IF($D3660="","",IF(ISNA(MATCH($D3660,'Paramètres'!$M:$M,0)),"⚠ Type inconnu",IF($L3660="Crédit","",IFERROR(INDEX('Paramètres'!$O:$O,MATCH($D3660,'Paramètres'!$M:$M,0))&amp;"",""))))</f>
        <v/>
      </c>
      <c r="N3660" s="6" t="str">
        <f>IF($D3660="","",IFERROR(INDEX('Paramètres'!$Q:$Q,MATCH($D3660,'Paramètres'!$M:$M,0))&amp;"",""))</f>
        <v/>
      </c>
      <c r="O3660" s="6" t="str">
        <f>IF($A3660="","",IF(OR($J3660&lt;&gt;"x",$A3660&lt;=FinReleve),1,0))</f>
        <v/>
      </c>
      <c r="P3660" s="6" t="str">
        <f>IF($D3660="","",IF(AND($L3660="Crédit",OR(IFERROR(INDEX('Paramètres'!$O:$O,MATCH($D3660,'Paramètres'!$M:$M,0))&amp;"","")&lt;&gt;"",ISNUMBER(SEARCH("remboursement",IFERROR(INDEX('Paramètres'!$N:$N,MATCH($D3660,'Paramètres'!$M:$M,0))&amp;"",""))))),1,0))</f>
        <v/>
      </c>
      <c r="Q3660" s="6" t="str">
        <f>IF($K3660="","",IF(ISNUMBER(SEARCH("transfert-interne",IFERROR(INDEX('Paramètres'!$N:$N,MATCH($D3660,'Paramètres'!$M:$M,0))&amp;"",""))),0,IF($L3660="Débit",$K3660,IF($P3660=1,-$K3660,0))))</f>
        <v/>
      </c>
      <c r="R3660" s="6" t="str">
        <f>IF($K3660="","",IF($L3660="Crédit",$K3660,-$K3660))</f>
        <v/>
      </c>
      <c r="S3660" s="6" t="str">
        <f>IF($C3660="","",IFERROR(INDEX('Paramètres'!$H:$H,MATCH($C3660,'Paramètres'!$D:$D,0))&amp;"",""))</f>
        <v/>
      </c>
      <c r="T3660" s="6" t="str">
        <f>IF($K3660="","",IF($S3660="",0,IF(ISNUMBER(SEARCH("apport-exterieur",IFERROR(INDEX('Paramètres'!$N:$N,MATCH($D3660,'Paramètres'!$M:$M,0))&amp;"",""))),0,IF(OR(IFERROR(INDEX('Paramètres'!$I:$I,MATCH($C3660,'Paramètres'!$D:$D,0))&amp;"","")="Les deux",IFERROR(INDEX('Paramètres'!$I:$I,MATCH($C3660,'Paramètres'!$D:$D,0))&amp;"","")=IF($P3660=1,"Débit",$L3660)),-IF($P3660=1,-$K3660,$K3660),0))))</f>
        <v/>
      </c>
      <c r="U3660" s="6" t="str">
        <f>IF($K3660="","",IF(ISNUMBER(SEARCH("sortie-epargne",IFERROR(INDEX('Paramètres'!$N:$N,MATCH($D3660,'Paramètres'!$M:$M,0))&amp;"",""))),$K3660,0))</f>
        <v/>
      </c>
      <c r="V3660" s="6" t="str">
        <f>IF(AND($A3660&lt;&gt;"",$O3660=1,$L3660="Débit",N($Q3660)&gt;0,$A3660&gt;=Visualisation!$B$1,$A3660&lt;Visualisation!$D$1),MAX($V$1:V3659)+1,"")</f>
        <v/>
      </c>
    </row>
    <row r="3661" spans="1:22" x14ac:dyDescent="0.25">
      <c r="A3661" s="9"/>
      <c r="E3661" s="10"/>
      <c r="K3661" s="11" t="str">
        <f>IF($E3661="","",ROUND($E3661*IF(ISNA(MATCH($C3661,'Paramètres'!$D:$D,0)),1,IF(INDEX('Paramètres'!$J:$J,MATCH($C3661,'Paramètres'!$D:$D,0))="",1,INDEX('Paramètres'!$J:$J,MATCH($C3661,'Paramètres'!$D:$D,0)))),2))</f>
        <v/>
      </c>
      <c r="L3661" s="6" t="str">
        <f>IF($D3661="","",IF($F3661&lt;&gt;"",$F3661,IF(ISNA(MATCH($D3661,'Paramètres'!$M:$M,0)),"⚠ Type inconnu",IFERROR(INDEX('Paramètres'!$P:$P,MATCH($D3661,'Paramètres'!$M:$M,0))&amp;"",""))))</f>
        <v/>
      </c>
      <c r="M3661" s="6" t="str">
        <f>IF($D3661="","",IF(ISNA(MATCH($D3661,'Paramètres'!$M:$M,0)),"⚠ Type inconnu",IF($L3661="Crédit","",IFERROR(INDEX('Paramètres'!$O:$O,MATCH($D3661,'Paramètres'!$M:$M,0))&amp;"",""))))</f>
        <v/>
      </c>
      <c r="N3661" s="6" t="str">
        <f>IF($D3661="","",IFERROR(INDEX('Paramètres'!$Q:$Q,MATCH($D3661,'Paramètres'!$M:$M,0))&amp;"",""))</f>
        <v/>
      </c>
      <c r="O3661" s="6" t="str">
        <f>IF($A3661="","",IF(OR($J3661&lt;&gt;"x",$A3661&lt;=FinReleve),1,0))</f>
        <v/>
      </c>
      <c r="P3661" s="6" t="str">
        <f>IF($D3661="","",IF(AND($L3661="Crédit",OR(IFERROR(INDEX('Paramètres'!$O:$O,MATCH($D3661,'Paramètres'!$M:$M,0))&amp;"","")&lt;&gt;"",ISNUMBER(SEARCH("remboursement",IFERROR(INDEX('Paramètres'!$N:$N,MATCH($D3661,'Paramètres'!$M:$M,0))&amp;"",""))))),1,0))</f>
        <v/>
      </c>
      <c r="Q3661" s="6" t="str">
        <f>IF($K3661="","",IF(ISNUMBER(SEARCH("transfert-interne",IFERROR(INDEX('Paramètres'!$N:$N,MATCH($D3661,'Paramètres'!$M:$M,0))&amp;"",""))),0,IF($L3661="Débit",$K3661,IF($P3661=1,-$K3661,0))))</f>
        <v/>
      </c>
      <c r="R3661" s="6" t="str">
        <f>IF($K3661="","",IF($L3661="Crédit",$K3661,-$K3661))</f>
        <v/>
      </c>
      <c r="S3661" s="6" t="str">
        <f>IF($C3661="","",IFERROR(INDEX('Paramètres'!$H:$H,MATCH($C3661,'Paramètres'!$D:$D,0))&amp;"",""))</f>
        <v/>
      </c>
      <c r="T3661" s="6" t="str">
        <f>IF($K3661="","",IF($S3661="",0,IF(ISNUMBER(SEARCH("apport-exterieur",IFERROR(INDEX('Paramètres'!$N:$N,MATCH($D3661,'Paramètres'!$M:$M,0))&amp;"",""))),0,IF(OR(IFERROR(INDEX('Paramètres'!$I:$I,MATCH($C3661,'Paramètres'!$D:$D,0))&amp;"","")="Les deux",IFERROR(INDEX('Paramètres'!$I:$I,MATCH($C3661,'Paramètres'!$D:$D,0))&amp;"","")=IF($P3661=1,"Débit",$L3661)),-IF($P3661=1,-$K3661,$K3661),0))))</f>
        <v/>
      </c>
      <c r="U3661" s="6" t="str">
        <f>IF($K3661="","",IF(ISNUMBER(SEARCH("sortie-epargne",IFERROR(INDEX('Paramètres'!$N:$N,MATCH($D3661,'Paramètres'!$M:$M,0))&amp;"",""))),$K3661,0))</f>
        <v/>
      </c>
      <c r="V3661" s="6" t="str">
        <f>IF(AND($A3661&lt;&gt;"",$O3661=1,$L3661="Débit",N($Q3661)&gt;0,$A3661&gt;=Visualisation!$B$1,$A3661&lt;Visualisation!$D$1),MAX($V$1:V3660)+1,"")</f>
        <v/>
      </c>
    </row>
    <row r="3662" spans="1:22" x14ac:dyDescent="0.25">
      <c r="A3662" s="9"/>
      <c r="E3662" s="10"/>
      <c r="K3662" s="11" t="str">
        <f>IF($E3662="","",ROUND($E3662*IF(ISNA(MATCH($C3662,'Paramètres'!$D:$D,0)),1,IF(INDEX('Paramètres'!$J:$J,MATCH($C3662,'Paramètres'!$D:$D,0))="",1,INDEX('Paramètres'!$J:$J,MATCH($C3662,'Paramètres'!$D:$D,0)))),2))</f>
        <v/>
      </c>
      <c r="L3662" s="6" t="str">
        <f>IF($D3662="","",IF($F3662&lt;&gt;"",$F3662,IF(ISNA(MATCH($D3662,'Paramètres'!$M:$M,0)),"⚠ Type inconnu",IFERROR(INDEX('Paramètres'!$P:$P,MATCH($D3662,'Paramètres'!$M:$M,0))&amp;"",""))))</f>
        <v/>
      </c>
      <c r="M3662" s="6" t="str">
        <f>IF($D3662="","",IF(ISNA(MATCH($D3662,'Paramètres'!$M:$M,0)),"⚠ Type inconnu",IF($L3662="Crédit","",IFERROR(INDEX('Paramètres'!$O:$O,MATCH($D3662,'Paramètres'!$M:$M,0))&amp;"",""))))</f>
        <v/>
      </c>
      <c r="N3662" s="6" t="str">
        <f>IF($D3662="","",IFERROR(INDEX('Paramètres'!$Q:$Q,MATCH($D3662,'Paramètres'!$M:$M,0))&amp;"",""))</f>
        <v/>
      </c>
      <c r="O3662" s="6" t="str">
        <f>IF($A3662="","",IF(OR($J3662&lt;&gt;"x",$A3662&lt;=FinReleve),1,0))</f>
        <v/>
      </c>
      <c r="P3662" s="6" t="str">
        <f>IF($D3662="","",IF(AND($L3662="Crédit",OR(IFERROR(INDEX('Paramètres'!$O:$O,MATCH($D3662,'Paramètres'!$M:$M,0))&amp;"","")&lt;&gt;"",ISNUMBER(SEARCH("remboursement",IFERROR(INDEX('Paramètres'!$N:$N,MATCH($D3662,'Paramètres'!$M:$M,0))&amp;"",""))))),1,0))</f>
        <v/>
      </c>
      <c r="Q3662" s="6" t="str">
        <f>IF($K3662="","",IF(ISNUMBER(SEARCH("transfert-interne",IFERROR(INDEX('Paramètres'!$N:$N,MATCH($D3662,'Paramètres'!$M:$M,0))&amp;"",""))),0,IF($L3662="Débit",$K3662,IF($P3662=1,-$K3662,0))))</f>
        <v/>
      </c>
      <c r="R3662" s="6" t="str">
        <f>IF($K3662="","",IF($L3662="Crédit",$K3662,-$K3662))</f>
        <v/>
      </c>
      <c r="S3662" s="6" t="str">
        <f>IF($C3662="","",IFERROR(INDEX('Paramètres'!$H:$H,MATCH($C3662,'Paramètres'!$D:$D,0))&amp;"",""))</f>
        <v/>
      </c>
      <c r="T3662" s="6" t="str">
        <f>IF($K3662="","",IF($S3662="",0,IF(ISNUMBER(SEARCH("apport-exterieur",IFERROR(INDEX('Paramètres'!$N:$N,MATCH($D3662,'Paramètres'!$M:$M,0))&amp;"",""))),0,IF(OR(IFERROR(INDEX('Paramètres'!$I:$I,MATCH($C3662,'Paramètres'!$D:$D,0))&amp;"","")="Les deux",IFERROR(INDEX('Paramètres'!$I:$I,MATCH($C3662,'Paramètres'!$D:$D,0))&amp;"","")=IF($P3662=1,"Débit",$L3662)),-IF($P3662=1,-$K3662,$K3662),0))))</f>
        <v/>
      </c>
      <c r="U3662" s="6" t="str">
        <f>IF($K3662="","",IF(ISNUMBER(SEARCH("sortie-epargne",IFERROR(INDEX('Paramètres'!$N:$N,MATCH($D3662,'Paramètres'!$M:$M,0))&amp;"",""))),$K3662,0))</f>
        <v/>
      </c>
      <c r="V3662" s="6" t="str">
        <f>IF(AND($A3662&lt;&gt;"",$O3662=1,$L3662="Débit",N($Q3662)&gt;0,$A3662&gt;=Visualisation!$B$1,$A3662&lt;Visualisation!$D$1),MAX($V$1:V3661)+1,"")</f>
        <v/>
      </c>
    </row>
    <row r="3663" spans="1:22" x14ac:dyDescent="0.25">
      <c r="A3663" s="9"/>
      <c r="E3663" s="10"/>
      <c r="K3663" s="11" t="str">
        <f>IF($E3663="","",ROUND($E3663*IF(ISNA(MATCH($C3663,'Paramètres'!$D:$D,0)),1,IF(INDEX('Paramètres'!$J:$J,MATCH($C3663,'Paramètres'!$D:$D,0))="",1,INDEX('Paramètres'!$J:$J,MATCH($C3663,'Paramètres'!$D:$D,0)))),2))</f>
        <v/>
      </c>
      <c r="L3663" s="6" t="str">
        <f>IF($D3663="","",IF($F3663&lt;&gt;"",$F3663,IF(ISNA(MATCH($D3663,'Paramètres'!$M:$M,0)),"⚠ Type inconnu",IFERROR(INDEX('Paramètres'!$P:$P,MATCH($D3663,'Paramètres'!$M:$M,0))&amp;"",""))))</f>
        <v/>
      </c>
      <c r="M3663" s="6" t="str">
        <f>IF($D3663="","",IF(ISNA(MATCH($D3663,'Paramètres'!$M:$M,0)),"⚠ Type inconnu",IF($L3663="Crédit","",IFERROR(INDEX('Paramètres'!$O:$O,MATCH($D3663,'Paramètres'!$M:$M,0))&amp;"",""))))</f>
        <v/>
      </c>
      <c r="N3663" s="6" t="str">
        <f>IF($D3663="","",IFERROR(INDEX('Paramètres'!$Q:$Q,MATCH($D3663,'Paramètres'!$M:$M,0))&amp;"",""))</f>
        <v/>
      </c>
      <c r="O3663" s="6" t="str">
        <f>IF($A3663="","",IF(OR($J3663&lt;&gt;"x",$A3663&lt;=FinReleve),1,0))</f>
        <v/>
      </c>
      <c r="P3663" s="6" t="str">
        <f>IF($D3663="","",IF(AND($L3663="Crédit",OR(IFERROR(INDEX('Paramètres'!$O:$O,MATCH($D3663,'Paramètres'!$M:$M,0))&amp;"","")&lt;&gt;"",ISNUMBER(SEARCH("remboursement",IFERROR(INDEX('Paramètres'!$N:$N,MATCH($D3663,'Paramètres'!$M:$M,0))&amp;"",""))))),1,0))</f>
        <v/>
      </c>
      <c r="Q3663" s="6" t="str">
        <f>IF($K3663="","",IF(ISNUMBER(SEARCH("transfert-interne",IFERROR(INDEX('Paramètres'!$N:$N,MATCH($D3663,'Paramètres'!$M:$M,0))&amp;"",""))),0,IF($L3663="Débit",$K3663,IF($P3663=1,-$K3663,0))))</f>
        <v/>
      </c>
      <c r="R3663" s="6" t="str">
        <f>IF($K3663="","",IF($L3663="Crédit",$K3663,-$K3663))</f>
        <v/>
      </c>
      <c r="S3663" s="6" t="str">
        <f>IF($C3663="","",IFERROR(INDEX('Paramètres'!$H:$H,MATCH($C3663,'Paramètres'!$D:$D,0))&amp;"",""))</f>
        <v/>
      </c>
      <c r="T3663" s="6" t="str">
        <f>IF($K3663="","",IF($S3663="",0,IF(ISNUMBER(SEARCH("apport-exterieur",IFERROR(INDEX('Paramètres'!$N:$N,MATCH($D3663,'Paramètres'!$M:$M,0))&amp;"",""))),0,IF(OR(IFERROR(INDEX('Paramètres'!$I:$I,MATCH($C3663,'Paramètres'!$D:$D,0))&amp;"","")="Les deux",IFERROR(INDEX('Paramètres'!$I:$I,MATCH($C3663,'Paramètres'!$D:$D,0))&amp;"","")=IF($P3663=1,"Débit",$L3663)),-IF($P3663=1,-$K3663,$K3663),0))))</f>
        <v/>
      </c>
      <c r="U3663" s="6" t="str">
        <f>IF($K3663="","",IF(ISNUMBER(SEARCH("sortie-epargne",IFERROR(INDEX('Paramètres'!$N:$N,MATCH($D3663,'Paramètres'!$M:$M,0))&amp;"",""))),$K3663,0))</f>
        <v/>
      </c>
      <c r="V3663" s="6" t="str">
        <f>IF(AND($A3663&lt;&gt;"",$O3663=1,$L3663="Débit",N($Q3663)&gt;0,$A3663&gt;=Visualisation!$B$1,$A3663&lt;Visualisation!$D$1),MAX($V$1:V3662)+1,"")</f>
        <v/>
      </c>
    </row>
    <row r="3664" spans="1:22" x14ac:dyDescent="0.25">
      <c r="A3664" s="9"/>
      <c r="E3664" s="10"/>
      <c r="K3664" s="11" t="str">
        <f>IF($E3664="","",ROUND($E3664*IF(ISNA(MATCH($C3664,'Paramètres'!$D:$D,0)),1,IF(INDEX('Paramètres'!$J:$J,MATCH($C3664,'Paramètres'!$D:$D,0))="",1,INDEX('Paramètres'!$J:$J,MATCH($C3664,'Paramètres'!$D:$D,0)))),2))</f>
        <v/>
      </c>
      <c r="L3664" s="6" t="str">
        <f>IF($D3664="","",IF($F3664&lt;&gt;"",$F3664,IF(ISNA(MATCH($D3664,'Paramètres'!$M:$M,0)),"⚠ Type inconnu",IFERROR(INDEX('Paramètres'!$P:$P,MATCH($D3664,'Paramètres'!$M:$M,0))&amp;"",""))))</f>
        <v/>
      </c>
      <c r="M3664" s="6" t="str">
        <f>IF($D3664="","",IF(ISNA(MATCH($D3664,'Paramètres'!$M:$M,0)),"⚠ Type inconnu",IF($L3664="Crédit","",IFERROR(INDEX('Paramètres'!$O:$O,MATCH($D3664,'Paramètres'!$M:$M,0))&amp;"",""))))</f>
        <v/>
      </c>
      <c r="N3664" s="6" t="str">
        <f>IF($D3664="","",IFERROR(INDEX('Paramètres'!$Q:$Q,MATCH($D3664,'Paramètres'!$M:$M,0))&amp;"",""))</f>
        <v/>
      </c>
      <c r="O3664" s="6" t="str">
        <f>IF($A3664="","",IF(OR($J3664&lt;&gt;"x",$A3664&lt;=FinReleve),1,0))</f>
        <v/>
      </c>
      <c r="P3664" s="6" t="str">
        <f>IF($D3664="","",IF(AND($L3664="Crédit",OR(IFERROR(INDEX('Paramètres'!$O:$O,MATCH($D3664,'Paramètres'!$M:$M,0))&amp;"","")&lt;&gt;"",ISNUMBER(SEARCH("remboursement",IFERROR(INDEX('Paramètres'!$N:$N,MATCH($D3664,'Paramètres'!$M:$M,0))&amp;"",""))))),1,0))</f>
        <v/>
      </c>
      <c r="Q3664" s="6" t="str">
        <f>IF($K3664="","",IF(ISNUMBER(SEARCH("transfert-interne",IFERROR(INDEX('Paramètres'!$N:$N,MATCH($D3664,'Paramètres'!$M:$M,0))&amp;"",""))),0,IF($L3664="Débit",$K3664,IF($P3664=1,-$K3664,0))))</f>
        <v/>
      </c>
      <c r="R3664" s="6" t="str">
        <f>IF($K3664="","",IF($L3664="Crédit",$K3664,-$K3664))</f>
        <v/>
      </c>
      <c r="S3664" s="6" t="str">
        <f>IF($C3664="","",IFERROR(INDEX('Paramètres'!$H:$H,MATCH($C3664,'Paramètres'!$D:$D,0))&amp;"",""))</f>
        <v/>
      </c>
      <c r="T3664" s="6" t="str">
        <f>IF($K3664="","",IF($S3664="",0,IF(ISNUMBER(SEARCH("apport-exterieur",IFERROR(INDEX('Paramètres'!$N:$N,MATCH($D3664,'Paramètres'!$M:$M,0))&amp;"",""))),0,IF(OR(IFERROR(INDEX('Paramètres'!$I:$I,MATCH($C3664,'Paramètres'!$D:$D,0))&amp;"","")="Les deux",IFERROR(INDEX('Paramètres'!$I:$I,MATCH($C3664,'Paramètres'!$D:$D,0))&amp;"","")=IF($P3664=1,"Débit",$L3664)),-IF($P3664=1,-$K3664,$K3664),0))))</f>
        <v/>
      </c>
      <c r="U3664" s="6" t="str">
        <f>IF($K3664="","",IF(ISNUMBER(SEARCH("sortie-epargne",IFERROR(INDEX('Paramètres'!$N:$N,MATCH($D3664,'Paramètres'!$M:$M,0))&amp;"",""))),$K3664,0))</f>
        <v/>
      </c>
      <c r="V3664" s="6" t="str">
        <f>IF(AND($A3664&lt;&gt;"",$O3664=1,$L3664="Débit",N($Q3664)&gt;0,$A3664&gt;=Visualisation!$B$1,$A3664&lt;Visualisation!$D$1),MAX($V$1:V3663)+1,"")</f>
        <v/>
      </c>
    </row>
    <row r="3665" spans="1:22" x14ac:dyDescent="0.25">
      <c r="A3665" s="9"/>
      <c r="E3665" s="10"/>
      <c r="K3665" s="11" t="str">
        <f>IF($E3665="","",ROUND($E3665*IF(ISNA(MATCH($C3665,'Paramètres'!$D:$D,0)),1,IF(INDEX('Paramètres'!$J:$J,MATCH($C3665,'Paramètres'!$D:$D,0))="",1,INDEX('Paramètres'!$J:$J,MATCH($C3665,'Paramètres'!$D:$D,0)))),2))</f>
        <v/>
      </c>
      <c r="L3665" s="6" t="str">
        <f>IF($D3665="","",IF($F3665&lt;&gt;"",$F3665,IF(ISNA(MATCH($D3665,'Paramètres'!$M:$M,0)),"⚠ Type inconnu",IFERROR(INDEX('Paramètres'!$P:$P,MATCH($D3665,'Paramètres'!$M:$M,0))&amp;"",""))))</f>
        <v/>
      </c>
      <c r="M3665" s="6" t="str">
        <f>IF($D3665="","",IF(ISNA(MATCH($D3665,'Paramètres'!$M:$M,0)),"⚠ Type inconnu",IF($L3665="Crédit","",IFERROR(INDEX('Paramètres'!$O:$O,MATCH($D3665,'Paramètres'!$M:$M,0))&amp;"",""))))</f>
        <v/>
      </c>
      <c r="N3665" s="6" t="str">
        <f>IF($D3665="","",IFERROR(INDEX('Paramètres'!$Q:$Q,MATCH($D3665,'Paramètres'!$M:$M,0))&amp;"",""))</f>
        <v/>
      </c>
      <c r="O3665" s="6" t="str">
        <f>IF($A3665="","",IF(OR($J3665&lt;&gt;"x",$A3665&lt;=FinReleve),1,0))</f>
        <v/>
      </c>
      <c r="P3665" s="6" t="str">
        <f>IF($D3665="","",IF(AND($L3665="Crédit",OR(IFERROR(INDEX('Paramètres'!$O:$O,MATCH($D3665,'Paramètres'!$M:$M,0))&amp;"","")&lt;&gt;"",ISNUMBER(SEARCH("remboursement",IFERROR(INDEX('Paramètres'!$N:$N,MATCH($D3665,'Paramètres'!$M:$M,0))&amp;"",""))))),1,0))</f>
        <v/>
      </c>
      <c r="Q3665" s="6" t="str">
        <f>IF($K3665="","",IF(ISNUMBER(SEARCH("transfert-interne",IFERROR(INDEX('Paramètres'!$N:$N,MATCH($D3665,'Paramètres'!$M:$M,0))&amp;"",""))),0,IF($L3665="Débit",$K3665,IF($P3665=1,-$K3665,0))))</f>
        <v/>
      </c>
      <c r="R3665" s="6" t="str">
        <f>IF($K3665="","",IF($L3665="Crédit",$K3665,-$K3665))</f>
        <v/>
      </c>
      <c r="S3665" s="6" t="str">
        <f>IF($C3665="","",IFERROR(INDEX('Paramètres'!$H:$H,MATCH($C3665,'Paramètres'!$D:$D,0))&amp;"",""))</f>
        <v/>
      </c>
      <c r="T3665" s="6" t="str">
        <f>IF($K3665="","",IF($S3665="",0,IF(ISNUMBER(SEARCH("apport-exterieur",IFERROR(INDEX('Paramètres'!$N:$N,MATCH($D3665,'Paramètres'!$M:$M,0))&amp;"",""))),0,IF(OR(IFERROR(INDEX('Paramètres'!$I:$I,MATCH($C3665,'Paramètres'!$D:$D,0))&amp;"","")="Les deux",IFERROR(INDEX('Paramètres'!$I:$I,MATCH($C3665,'Paramètres'!$D:$D,0))&amp;"","")=IF($P3665=1,"Débit",$L3665)),-IF($P3665=1,-$K3665,$K3665),0))))</f>
        <v/>
      </c>
      <c r="U3665" s="6" t="str">
        <f>IF($K3665="","",IF(ISNUMBER(SEARCH("sortie-epargne",IFERROR(INDEX('Paramètres'!$N:$N,MATCH($D3665,'Paramètres'!$M:$M,0))&amp;"",""))),$K3665,0))</f>
        <v/>
      </c>
      <c r="V3665" s="6" t="str">
        <f>IF(AND($A3665&lt;&gt;"",$O3665=1,$L3665="Débit",N($Q3665)&gt;0,$A3665&gt;=Visualisation!$B$1,$A3665&lt;Visualisation!$D$1),MAX($V$1:V3664)+1,"")</f>
        <v/>
      </c>
    </row>
    <row r="3666" spans="1:22" x14ac:dyDescent="0.25">
      <c r="A3666" s="9"/>
      <c r="E3666" s="10"/>
      <c r="K3666" s="11" t="str">
        <f>IF($E3666="","",ROUND($E3666*IF(ISNA(MATCH($C3666,'Paramètres'!$D:$D,0)),1,IF(INDEX('Paramètres'!$J:$J,MATCH($C3666,'Paramètres'!$D:$D,0))="",1,INDEX('Paramètres'!$J:$J,MATCH($C3666,'Paramètres'!$D:$D,0)))),2))</f>
        <v/>
      </c>
      <c r="L3666" s="6" t="str">
        <f>IF($D3666="","",IF($F3666&lt;&gt;"",$F3666,IF(ISNA(MATCH($D3666,'Paramètres'!$M:$M,0)),"⚠ Type inconnu",IFERROR(INDEX('Paramètres'!$P:$P,MATCH($D3666,'Paramètres'!$M:$M,0))&amp;"",""))))</f>
        <v/>
      </c>
      <c r="M3666" s="6" t="str">
        <f>IF($D3666="","",IF(ISNA(MATCH($D3666,'Paramètres'!$M:$M,0)),"⚠ Type inconnu",IF($L3666="Crédit","",IFERROR(INDEX('Paramètres'!$O:$O,MATCH($D3666,'Paramètres'!$M:$M,0))&amp;"",""))))</f>
        <v/>
      </c>
      <c r="N3666" s="6" t="str">
        <f>IF($D3666="","",IFERROR(INDEX('Paramètres'!$Q:$Q,MATCH($D3666,'Paramètres'!$M:$M,0))&amp;"",""))</f>
        <v/>
      </c>
      <c r="O3666" s="6" t="str">
        <f>IF($A3666="","",IF(OR($J3666&lt;&gt;"x",$A3666&lt;=FinReleve),1,0))</f>
        <v/>
      </c>
      <c r="P3666" s="6" t="str">
        <f>IF($D3666="","",IF(AND($L3666="Crédit",OR(IFERROR(INDEX('Paramètres'!$O:$O,MATCH($D3666,'Paramètres'!$M:$M,0))&amp;"","")&lt;&gt;"",ISNUMBER(SEARCH("remboursement",IFERROR(INDEX('Paramètres'!$N:$N,MATCH($D3666,'Paramètres'!$M:$M,0))&amp;"",""))))),1,0))</f>
        <v/>
      </c>
      <c r="Q3666" s="6" t="str">
        <f>IF($K3666="","",IF(ISNUMBER(SEARCH("transfert-interne",IFERROR(INDEX('Paramètres'!$N:$N,MATCH($D3666,'Paramètres'!$M:$M,0))&amp;"",""))),0,IF($L3666="Débit",$K3666,IF($P3666=1,-$K3666,0))))</f>
        <v/>
      </c>
      <c r="R3666" s="6" t="str">
        <f>IF($K3666="","",IF($L3666="Crédit",$K3666,-$K3666))</f>
        <v/>
      </c>
      <c r="S3666" s="6" t="str">
        <f>IF($C3666="","",IFERROR(INDEX('Paramètres'!$H:$H,MATCH($C3666,'Paramètres'!$D:$D,0))&amp;"",""))</f>
        <v/>
      </c>
      <c r="T3666" s="6" t="str">
        <f>IF($K3666="","",IF($S3666="",0,IF(ISNUMBER(SEARCH("apport-exterieur",IFERROR(INDEX('Paramètres'!$N:$N,MATCH($D3666,'Paramètres'!$M:$M,0))&amp;"",""))),0,IF(OR(IFERROR(INDEX('Paramètres'!$I:$I,MATCH($C3666,'Paramètres'!$D:$D,0))&amp;"","")="Les deux",IFERROR(INDEX('Paramètres'!$I:$I,MATCH($C3666,'Paramètres'!$D:$D,0))&amp;"","")=IF($P3666=1,"Débit",$L3666)),-IF($P3666=1,-$K3666,$K3666),0))))</f>
        <v/>
      </c>
      <c r="U3666" s="6" t="str">
        <f>IF($K3666="","",IF(ISNUMBER(SEARCH("sortie-epargne",IFERROR(INDEX('Paramètres'!$N:$N,MATCH($D3666,'Paramètres'!$M:$M,0))&amp;"",""))),$K3666,0))</f>
        <v/>
      </c>
      <c r="V3666" s="6" t="str">
        <f>IF(AND($A3666&lt;&gt;"",$O3666=1,$L3666="Débit",N($Q3666)&gt;0,$A3666&gt;=Visualisation!$B$1,$A3666&lt;Visualisation!$D$1),MAX($V$1:V3665)+1,"")</f>
        <v/>
      </c>
    </row>
    <row r="3667" spans="1:22" x14ac:dyDescent="0.25">
      <c r="A3667" s="9"/>
      <c r="E3667" s="10"/>
      <c r="K3667" s="11" t="str">
        <f>IF($E3667="","",ROUND($E3667*IF(ISNA(MATCH($C3667,'Paramètres'!$D:$D,0)),1,IF(INDEX('Paramètres'!$J:$J,MATCH($C3667,'Paramètres'!$D:$D,0))="",1,INDEX('Paramètres'!$J:$J,MATCH($C3667,'Paramètres'!$D:$D,0)))),2))</f>
        <v/>
      </c>
      <c r="L3667" s="6" t="str">
        <f>IF($D3667="","",IF($F3667&lt;&gt;"",$F3667,IF(ISNA(MATCH($D3667,'Paramètres'!$M:$M,0)),"⚠ Type inconnu",IFERROR(INDEX('Paramètres'!$P:$P,MATCH($D3667,'Paramètres'!$M:$M,0))&amp;"",""))))</f>
        <v/>
      </c>
      <c r="M3667" s="6" t="str">
        <f>IF($D3667="","",IF(ISNA(MATCH($D3667,'Paramètres'!$M:$M,0)),"⚠ Type inconnu",IF($L3667="Crédit","",IFERROR(INDEX('Paramètres'!$O:$O,MATCH($D3667,'Paramètres'!$M:$M,0))&amp;"",""))))</f>
        <v/>
      </c>
      <c r="N3667" s="6" t="str">
        <f>IF($D3667="","",IFERROR(INDEX('Paramètres'!$Q:$Q,MATCH($D3667,'Paramètres'!$M:$M,0))&amp;"",""))</f>
        <v/>
      </c>
      <c r="O3667" s="6" t="str">
        <f>IF($A3667="","",IF(OR($J3667&lt;&gt;"x",$A3667&lt;=FinReleve),1,0))</f>
        <v/>
      </c>
      <c r="P3667" s="6" t="str">
        <f>IF($D3667="","",IF(AND($L3667="Crédit",OR(IFERROR(INDEX('Paramètres'!$O:$O,MATCH($D3667,'Paramètres'!$M:$M,0))&amp;"","")&lt;&gt;"",ISNUMBER(SEARCH("remboursement",IFERROR(INDEX('Paramètres'!$N:$N,MATCH($D3667,'Paramètres'!$M:$M,0))&amp;"",""))))),1,0))</f>
        <v/>
      </c>
      <c r="Q3667" s="6" t="str">
        <f>IF($K3667="","",IF(ISNUMBER(SEARCH("transfert-interne",IFERROR(INDEX('Paramètres'!$N:$N,MATCH($D3667,'Paramètres'!$M:$M,0))&amp;"",""))),0,IF($L3667="Débit",$K3667,IF($P3667=1,-$K3667,0))))</f>
        <v/>
      </c>
      <c r="R3667" s="6" t="str">
        <f>IF($K3667="","",IF($L3667="Crédit",$K3667,-$K3667))</f>
        <v/>
      </c>
      <c r="S3667" s="6" t="str">
        <f>IF($C3667="","",IFERROR(INDEX('Paramètres'!$H:$H,MATCH($C3667,'Paramètres'!$D:$D,0))&amp;"",""))</f>
        <v/>
      </c>
      <c r="T3667" s="6" t="str">
        <f>IF($K3667="","",IF($S3667="",0,IF(ISNUMBER(SEARCH("apport-exterieur",IFERROR(INDEX('Paramètres'!$N:$N,MATCH($D3667,'Paramètres'!$M:$M,0))&amp;"",""))),0,IF(OR(IFERROR(INDEX('Paramètres'!$I:$I,MATCH($C3667,'Paramètres'!$D:$D,0))&amp;"","")="Les deux",IFERROR(INDEX('Paramètres'!$I:$I,MATCH($C3667,'Paramètres'!$D:$D,0))&amp;"","")=IF($P3667=1,"Débit",$L3667)),-IF($P3667=1,-$K3667,$K3667),0))))</f>
        <v/>
      </c>
      <c r="U3667" s="6" t="str">
        <f>IF($K3667="","",IF(ISNUMBER(SEARCH("sortie-epargne",IFERROR(INDEX('Paramètres'!$N:$N,MATCH($D3667,'Paramètres'!$M:$M,0))&amp;"",""))),$K3667,0))</f>
        <v/>
      </c>
      <c r="V3667" s="6" t="str">
        <f>IF(AND($A3667&lt;&gt;"",$O3667=1,$L3667="Débit",N($Q3667)&gt;0,$A3667&gt;=Visualisation!$B$1,$A3667&lt;Visualisation!$D$1),MAX($V$1:V3666)+1,"")</f>
        <v/>
      </c>
    </row>
    <row r="3668" spans="1:22" x14ac:dyDescent="0.25">
      <c r="A3668" s="9"/>
      <c r="E3668" s="10"/>
      <c r="K3668" s="11" t="str">
        <f>IF($E3668="","",ROUND($E3668*IF(ISNA(MATCH($C3668,'Paramètres'!$D:$D,0)),1,IF(INDEX('Paramètres'!$J:$J,MATCH($C3668,'Paramètres'!$D:$D,0))="",1,INDEX('Paramètres'!$J:$J,MATCH($C3668,'Paramètres'!$D:$D,0)))),2))</f>
        <v/>
      </c>
      <c r="L3668" s="6" t="str">
        <f>IF($D3668="","",IF($F3668&lt;&gt;"",$F3668,IF(ISNA(MATCH($D3668,'Paramètres'!$M:$M,0)),"⚠ Type inconnu",IFERROR(INDEX('Paramètres'!$P:$P,MATCH($D3668,'Paramètres'!$M:$M,0))&amp;"",""))))</f>
        <v/>
      </c>
      <c r="M3668" s="6" t="str">
        <f>IF($D3668="","",IF(ISNA(MATCH($D3668,'Paramètres'!$M:$M,0)),"⚠ Type inconnu",IF($L3668="Crédit","",IFERROR(INDEX('Paramètres'!$O:$O,MATCH($D3668,'Paramètres'!$M:$M,0))&amp;"",""))))</f>
        <v/>
      </c>
      <c r="N3668" s="6" t="str">
        <f>IF($D3668="","",IFERROR(INDEX('Paramètres'!$Q:$Q,MATCH($D3668,'Paramètres'!$M:$M,0))&amp;"",""))</f>
        <v/>
      </c>
      <c r="O3668" s="6" t="str">
        <f>IF($A3668="","",IF(OR($J3668&lt;&gt;"x",$A3668&lt;=FinReleve),1,0))</f>
        <v/>
      </c>
      <c r="P3668" s="6" t="str">
        <f>IF($D3668="","",IF(AND($L3668="Crédit",OR(IFERROR(INDEX('Paramètres'!$O:$O,MATCH($D3668,'Paramètres'!$M:$M,0))&amp;"","")&lt;&gt;"",ISNUMBER(SEARCH("remboursement",IFERROR(INDEX('Paramètres'!$N:$N,MATCH($D3668,'Paramètres'!$M:$M,0))&amp;"",""))))),1,0))</f>
        <v/>
      </c>
      <c r="Q3668" s="6" t="str">
        <f>IF($K3668="","",IF(ISNUMBER(SEARCH("transfert-interne",IFERROR(INDEX('Paramètres'!$N:$N,MATCH($D3668,'Paramètres'!$M:$M,0))&amp;"",""))),0,IF($L3668="Débit",$K3668,IF($P3668=1,-$K3668,0))))</f>
        <v/>
      </c>
      <c r="R3668" s="6" t="str">
        <f>IF($K3668="","",IF($L3668="Crédit",$K3668,-$K3668))</f>
        <v/>
      </c>
      <c r="S3668" s="6" t="str">
        <f>IF($C3668="","",IFERROR(INDEX('Paramètres'!$H:$H,MATCH($C3668,'Paramètres'!$D:$D,0))&amp;"",""))</f>
        <v/>
      </c>
      <c r="T3668" s="6" t="str">
        <f>IF($K3668="","",IF($S3668="",0,IF(ISNUMBER(SEARCH("apport-exterieur",IFERROR(INDEX('Paramètres'!$N:$N,MATCH($D3668,'Paramètres'!$M:$M,0))&amp;"",""))),0,IF(OR(IFERROR(INDEX('Paramètres'!$I:$I,MATCH($C3668,'Paramètres'!$D:$D,0))&amp;"","")="Les deux",IFERROR(INDEX('Paramètres'!$I:$I,MATCH($C3668,'Paramètres'!$D:$D,0))&amp;"","")=IF($P3668=1,"Débit",$L3668)),-IF($P3668=1,-$K3668,$K3668),0))))</f>
        <v/>
      </c>
      <c r="U3668" s="6" t="str">
        <f>IF($K3668="","",IF(ISNUMBER(SEARCH("sortie-epargne",IFERROR(INDEX('Paramètres'!$N:$N,MATCH($D3668,'Paramètres'!$M:$M,0))&amp;"",""))),$K3668,0))</f>
        <v/>
      </c>
      <c r="V3668" s="6" t="str">
        <f>IF(AND($A3668&lt;&gt;"",$O3668=1,$L3668="Débit",N($Q3668)&gt;0,$A3668&gt;=Visualisation!$B$1,$A3668&lt;Visualisation!$D$1),MAX($V$1:V3667)+1,"")</f>
        <v/>
      </c>
    </row>
    <row r="3669" spans="1:22" x14ac:dyDescent="0.25">
      <c r="A3669" s="9"/>
      <c r="E3669" s="10"/>
      <c r="K3669" s="11" t="str">
        <f>IF($E3669="","",ROUND($E3669*IF(ISNA(MATCH($C3669,'Paramètres'!$D:$D,0)),1,IF(INDEX('Paramètres'!$J:$J,MATCH($C3669,'Paramètres'!$D:$D,0))="",1,INDEX('Paramètres'!$J:$J,MATCH($C3669,'Paramètres'!$D:$D,0)))),2))</f>
        <v/>
      </c>
      <c r="L3669" s="6" t="str">
        <f>IF($D3669="","",IF($F3669&lt;&gt;"",$F3669,IF(ISNA(MATCH($D3669,'Paramètres'!$M:$M,0)),"⚠ Type inconnu",IFERROR(INDEX('Paramètres'!$P:$P,MATCH($D3669,'Paramètres'!$M:$M,0))&amp;"",""))))</f>
        <v/>
      </c>
      <c r="M3669" s="6" t="str">
        <f>IF($D3669="","",IF(ISNA(MATCH($D3669,'Paramètres'!$M:$M,0)),"⚠ Type inconnu",IF($L3669="Crédit","",IFERROR(INDEX('Paramètres'!$O:$O,MATCH($D3669,'Paramètres'!$M:$M,0))&amp;"",""))))</f>
        <v/>
      </c>
      <c r="N3669" s="6" t="str">
        <f>IF($D3669="","",IFERROR(INDEX('Paramètres'!$Q:$Q,MATCH($D3669,'Paramètres'!$M:$M,0))&amp;"",""))</f>
        <v/>
      </c>
      <c r="O3669" s="6" t="str">
        <f>IF($A3669="","",IF(OR($J3669&lt;&gt;"x",$A3669&lt;=FinReleve),1,0))</f>
        <v/>
      </c>
      <c r="P3669" s="6" t="str">
        <f>IF($D3669="","",IF(AND($L3669="Crédit",OR(IFERROR(INDEX('Paramètres'!$O:$O,MATCH($D3669,'Paramètres'!$M:$M,0))&amp;"","")&lt;&gt;"",ISNUMBER(SEARCH("remboursement",IFERROR(INDEX('Paramètres'!$N:$N,MATCH($D3669,'Paramètres'!$M:$M,0))&amp;"",""))))),1,0))</f>
        <v/>
      </c>
      <c r="Q3669" s="6" t="str">
        <f>IF($K3669="","",IF(ISNUMBER(SEARCH("transfert-interne",IFERROR(INDEX('Paramètres'!$N:$N,MATCH($D3669,'Paramètres'!$M:$M,0))&amp;"",""))),0,IF($L3669="Débit",$K3669,IF($P3669=1,-$K3669,0))))</f>
        <v/>
      </c>
      <c r="R3669" s="6" t="str">
        <f>IF($K3669="","",IF($L3669="Crédit",$K3669,-$K3669))</f>
        <v/>
      </c>
      <c r="S3669" s="6" t="str">
        <f>IF($C3669="","",IFERROR(INDEX('Paramètres'!$H:$H,MATCH($C3669,'Paramètres'!$D:$D,0))&amp;"",""))</f>
        <v/>
      </c>
      <c r="T3669" s="6" t="str">
        <f>IF($K3669="","",IF($S3669="",0,IF(ISNUMBER(SEARCH("apport-exterieur",IFERROR(INDEX('Paramètres'!$N:$N,MATCH($D3669,'Paramètres'!$M:$M,0))&amp;"",""))),0,IF(OR(IFERROR(INDEX('Paramètres'!$I:$I,MATCH($C3669,'Paramètres'!$D:$D,0))&amp;"","")="Les deux",IFERROR(INDEX('Paramètres'!$I:$I,MATCH($C3669,'Paramètres'!$D:$D,0))&amp;"","")=IF($P3669=1,"Débit",$L3669)),-IF($P3669=1,-$K3669,$K3669),0))))</f>
        <v/>
      </c>
      <c r="U3669" s="6" t="str">
        <f>IF($K3669="","",IF(ISNUMBER(SEARCH("sortie-epargne",IFERROR(INDEX('Paramètres'!$N:$N,MATCH($D3669,'Paramètres'!$M:$M,0))&amp;"",""))),$K3669,0))</f>
        <v/>
      </c>
      <c r="V3669" s="6" t="str">
        <f>IF(AND($A3669&lt;&gt;"",$O3669=1,$L3669="Débit",N($Q3669)&gt;0,$A3669&gt;=Visualisation!$B$1,$A3669&lt;Visualisation!$D$1),MAX($V$1:V3668)+1,"")</f>
        <v/>
      </c>
    </row>
    <row r="3670" spans="1:22" x14ac:dyDescent="0.25">
      <c r="A3670" s="9"/>
      <c r="E3670" s="10"/>
      <c r="K3670" s="11" t="str">
        <f>IF($E3670="","",ROUND($E3670*IF(ISNA(MATCH($C3670,'Paramètres'!$D:$D,0)),1,IF(INDEX('Paramètres'!$J:$J,MATCH($C3670,'Paramètres'!$D:$D,0))="",1,INDEX('Paramètres'!$J:$J,MATCH($C3670,'Paramètres'!$D:$D,0)))),2))</f>
        <v/>
      </c>
      <c r="L3670" s="6" t="str">
        <f>IF($D3670="","",IF($F3670&lt;&gt;"",$F3670,IF(ISNA(MATCH($D3670,'Paramètres'!$M:$M,0)),"⚠ Type inconnu",IFERROR(INDEX('Paramètres'!$P:$P,MATCH($D3670,'Paramètres'!$M:$M,0))&amp;"",""))))</f>
        <v/>
      </c>
      <c r="M3670" s="6" t="str">
        <f>IF($D3670="","",IF(ISNA(MATCH($D3670,'Paramètres'!$M:$M,0)),"⚠ Type inconnu",IF($L3670="Crédit","",IFERROR(INDEX('Paramètres'!$O:$O,MATCH($D3670,'Paramètres'!$M:$M,0))&amp;"",""))))</f>
        <v/>
      </c>
      <c r="N3670" s="6" t="str">
        <f>IF($D3670="","",IFERROR(INDEX('Paramètres'!$Q:$Q,MATCH($D3670,'Paramètres'!$M:$M,0))&amp;"",""))</f>
        <v/>
      </c>
      <c r="O3670" s="6" t="str">
        <f>IF($A3670="","",IF(OR($J3670&lt;&gt;"x",$A3670&lt;=FinReleve),1,0))</f>
        <v/>
      </c>
      <c r="P3670" s="6" t="str">
        <f>IF($D3670="","",IF(AND($L3670="Crédit",OR(IFERROR(INDEX('Paramètres'!$O:$O,MATCH($D3670,'Paramètres'!$M:$M,0))&amp;"","")&lt;&gt;"",ISNUMBER(SEARCH("remboursement",IFERROR(INDEX('Paramètres'!$N:$N,MATCH($D3670,'Paramètres'!$M:$M,0))&amp;"",""))))),1,0))</f>
        <v/>
      </c>
      <c r="Q3670" s="6" t="str">
        <f>IF($K3670="","",IF(ISNUMBER(SEARCH("transfert-interne",IFERROR(INDEX('Paramètres'!$N:$N,MATCH($D3670,'Paramètres'!$M:$M,0))&amp;"",""))),0,IF($L3670="Débit",$K3670,IF($P3670=1,-$K3670,0))))</f>
        <v/>
      </c>
      <c r="R3670" s="6" t="str">
        <f>IF($K3670="","",IF($L3670="Crédit",$K3670,-$K3670))</f>
        <v/>
      </c>
      <c r="S3670" s="6" t="str">
        <f>IF($C3670="","",IFERROR(INDEX('Paramètres'!$H:$H,MATCH($C3670,'Paramètres'!$D:$D,0))&amp;"",""))</f>
        <v/>
      </c>
      <c r="T3670" s="6" t="str">
        <f>IF($K3670="","",IF($S3670="",0,IF(ISNUMBER(SEARCH("apport-exterieur",IFERROR(INDEX('Paramètres'!$N:$N,MATCH($D3670,'Paramètres'!$M:$M,0))&amp;"",""))),0,IF(OR(IFERROR(INDEX('Paramètres'!$I:$I,MATCH($C3670,'Paramètres'!$D:$D,0))&amp;"","")="Les deux",IFERROR(INDEX('Paramètres'!$I:$I,MATCH($C3670,'Paramètres'!$D:$D,0))&amp;"","")=IF($P3670=1,"Débit",$L3670)),-IF($P3670=1,-$K3670,$K3670),0))))</f>
        <v/>
      </c>
      <c r="U3670" s="6" t="str">
        <f>IF($K3670="","",IF(ISNUMBER(SEARCH("sortie-epargne",IFERROR(INDEX('Paramètres'!$N:$N,MATCH($D3670,'Paramètres'!$M:$M,0))&amp;"",""))),$K3670,0))</f>
        <v/>
      </c>
      <c r="V3670" s="6" t="str">
        <f>IF(AND($A3670&lt;&gt;"",$O3670=1,$L3670="Débit",N($Q3670)&gt;0,$A3670&gt;=Visualisation!$B$1,$A3670&lt;Visualisation!$D$1),MAX($V$1:V3669)+1,"")</f>
        <v/>
      </c>
    </row>
    <row r="3671" spans="1:22" x14ac:dyDescent="0.25">
      <c r="A3671" s="9"/>
      <c r="E3671" s="10"/>
      <c r="K3671" s="11" t="str">
        <f>IF($E3671="","",ROUND($E3671*IF(ISNA(MATCH($C3671,'Paramètres'!$D:$D,0)),1,IF(INDEX('Paramètres'!$J:$J,MATCH($C3671,'Paramètres'!$D:$D,0))="",1,INDEX('Paramètres'!$J:$J,MATCH($C3671,'Paramètres'!$D:$D,0)))),2))</f>
        <v/>
      </c>
      <c r="L3671" s="6" t="str">
        <f>IF($D3671="","",IF($F3671&lt;&gt;"",$F3671,IF(ISNA(MATCH($D3671,'Paramètres'!$M:$M,0)),"⚠ Type inconnu",IFERROR(INDEX('Paramètres'!$P:$P,MATCH($D3671,'Paramètres'!$M:$M,0))&amp;"",""))))</f>
        <v/>
      </c>
      <c r="M3671" s="6" t="str">
        <f>IF($D3671="","",IF(ISNA(MATCH($D3671,'Paramètres'!$M:$M,0)),"⚠ Type inconnu",IF($L3671="Crédit","",IFERROR(INDEX('Paramètres'!$O:$O,MATCH($D3671,'Paramètres'!$M:$M,0))&amp;"",""))))</f>
        <v/>
      </c>
      <c r="N3671" s="6" t="str">
        <f>IF($D3671="","",IFERROR(INDEX('Paramètres'!$Q:$Q,MATCH($D3671,'Paramètres'!$M:$M,0))&amp;"",""))</f>
        <v/>
      </c>
      <c r="O3671" s="6" t="str">
        <f>IF($A3671="","",IF(OR($J3671&lt;&gt;"x",$A3671&lt;=FinReleve),1,0))</f>
        <v/>
      </c>
      <c r="P3671" s="6" t="str">
        <f>IF($D3671="","",IF(AND($L3671="Crédit",OR(IFERROR(INDEX('Paramètres'!$O:$O,MATCH($D3671,'Paramètres'!$M:$M,0))&amp;"","")&lt;&gt;"",ISNUMBER(SEARCH("remboursement",IFERROR(INDEX('Paramètres'!$N:$N,MATCH($D3671,'Paramètres'!$M:$M,0))&amp;"",""))))),1,0))</f>
        <v/>
      </c>
      <c r="Q3671" s="6" t="str">
        <f>IF($K3671="","",IF(ISNUMBER(SEARCH("transfert-interne",IFERROR(INDEX('Paramètres'!$N:$N,MATCH($D3671,'Paramètres'!$M:$M,0))&amp;"",""))),0,IF($L3671="Débit",$K3671,IF($P3671=1,-$K3671,0))))</f>
        <v/>
      </c>
      <c r="R3671" s="6" t="str">
        <f>IF($K3671="","",IF($L3671="Crédit",$K3671,-$K3671))</f>
        <v/>
      </c>
      <c r="S3671" s="6" t="str">
        <f>IF($C3671="","",IFERROR(INDEX('Paramètres'!$H:$H,MATCH($C3671,'Paramètres'!$D:$D,0))&amp;"",""))</f>
        <v/>
      </c>
      <c r="T3671" s="6" t="str">
        <f>IF($K3671="","",IF($S3671="",0,IF(ISNUMBER(SEARCH("apport-exterieur",IFERROR(INDEX('Paramètres'!$N:$N,MATCH($D3671,'Paramètres'!$M:$M,0))&amp;"",""))),0,IF(OR(IFERROR(INDEX('Paramètres'!$I:$I,MATCH($C3671,'Paramètres'!$D:$D,0))&amp;"","")="Les deux",IFERROR(INDEX('Paramètres'!$I:$I,MATCH($C3671,'Paramètres'!$D:$D,0))&amp;"","")=IF($P3671=1,"Débit",$L3671)),-IF($P3671=1,-$K3671,$K3671),0))))</f>
        <v/>
      </c>
      <c r="U3671" s="6" t="str">
        <f>IF($K3671="","",IF(ISNUMBER(SEARCH("sortie-epargne",IFERROR(INDEX('Paramètres'!$N:$N,MATCH($D3671,'Paramètres'!$M:$M,0))&amp;"",""))),$K3671,0))</f>
        <v/>
      </c>
      <c r="V3671" s="6" t="str">
        <f>IF(AND($A3671&lt;&gt;"",$O3671=1,$L3671="Débit",N($Q3671)&gt;0,$A3671&gt;=Visualisation!$B$1,$A3671&lt;Visualisation!$D$1),MAX($V$1:V3670)+1,"")</f>
        <v/>
      </c>
    </row>
    <row r="3672" spans="1:22" x14ac:dyDescent="0.25">
      <c r="A3672" s="9"/>
      <c r="E3672" s="10"/>
      <c r="K3672" s="11" t="str">
        <f>IF($E3672="","",ROUND($E3672*IF(ISNA(MATCH($C3672,'Paramètres'!$D:$D,0)),1,IF(INDEX('Paramètres'!$J:$J,MATCH($C3672,'Paramètres'!$D:$D,0))="",1,INDEX('Paramètres'!$J:$J,MATCH($C3672,'Paramètres'!$D:$D,0)))),2))</f>
        <v/>
      </c>
      <c r="L3672" s="6" t="str">
        <f>IF($D3672="","",IF($F3672&lt;&gt;"",$F3672,IF(ISNA(MATCH($D3672,'Paramètres'!$M:$M,0)),"⚠ Type inconnu",IFERROR(INDEX('Paramètres'!$P:$P,MATCH($D3672,'Paramètres'!$M:$M,0))&amp;"",""))))</f>
        <v/>
      </c>
      <c r="M3672" s="6" t="str">
        <f>IF($D3672="","",IF(ISNA(MATCH($D3672,'Paramètres'!$M:$M,0)),"⚠ Type inconnu",IF($L3672="Crédit","",IFERROR(INDEX('Paramètres'!$O:$O,MATCH($D3672,'Paramètres'!$M:$M,0))&amp;"",""))))</f>
        <v/>
      </c>
      <c r="N3672" s="6" t="str">
        <f>IF($D3672="","",IFERROR(INDEX('Paramètres'!$Q:$Q,MATCH($D3672,'Paramètres'!$M:$M,0))&amp;"",""))</f>
        <v/>
      </c>
      <c r="O3672" s="6" t="str">
        <f>IF($A3672="","",IF(OR($J3672&lt;&gt;"x",$A3672&lt;=FinReleve),1,0))</f>
        <v/>
      </c>
      <c r="P3672" s="6" t="str">
        <f>IF($D3672="","",IF(AND($L3672="Crédit",OR(IFERROR(INDEX('Paramètres'!$O:$O,MATCH($D3672,'Paramètres'!$M:$M,0))&amp;"","")&lt;&gt;"",ISNUMBER(SEARCH("remboursement",IFERROR(INDEX('Paramètres'!$N:$N,MATCH($D3672,'Paramètres'!$M:$M,0))&amp;"",""))))),1,0))</f>
        <v/>
      </c>
      <c r="Q3672" s="6" t="str">
        <f>IF($K3672="","",IF(ISNUMBER(SEARCH("transfert-interne",IFERROR(INDEX('Paramètres'!$N:$N,MATCH($D3672,'Paramètres'!$M:$M,0))&amp;"",""))),0,IF($L3672="Débit",$K3672,IF($P3672=1,-$K3672,0))))</f>
        <v/>
      </c>
      <c r="R3672" s="6" t="str">
        <f>IF($K3672="","",IF($L3672="Crédit",$K3672,-$K3672))</f>
        <v/>
      </c>
      <c r="S3672" s="6" t="str">
        <f>IF($C3672="","",IFERROR(INDEX('Paramètres'!$H:$H,MATCH($C3672,'Paramètres'!$D:$D,0))&amp;"",""))</f>
        <v/>
      </c>
      <c r="T3672" s="6" t="str">
        <f>IF($K3672="","",IF($S3672="",0,IF(ISNUMBER(SEARCH("apport-exterieur",IFERROR(INDEX('Paramètres'!$N:$N,MATCH($D3672,'Paramètres'!$M:$M,0))&amp;"",""))),0,IF(OR(IFERROR(INDEX('Paramètres'!$I:$I,MATCH($C3672,'Paramètres'!$D:$D,0))&amp;"","")="Les deux",IFERROR(INDEX('Paramètres'!$I:$I,MATCH($C3672,'Paramètres'!$D:$D,0))&amp;"","")=IF($P3672=1,"Débit",$L3672)),-IF($P3672=1,-$K3672,$K3672),0))))</f>
        <v/>
      </c>
      <c r="U3672" s="6" t="str">
        <f>IF($K3672="","",IF(ISNUMBER(SEARCH("sortie-epargne",IFERROR(INDEX('Paramètres'!$N:$N,MATCH($D3672,'Paramètres'!$M:$M,0))&amp;"",""))),$K3672,0))</f>
        <v/>
      </c>
      <c r="V3672" s="6" t="str">
        <f>IF(AND($A3672&lt;&gt;"",$O3672=1,$L3672="Débit",N($Q3672)&gt;0,$A3672&gt;=Visualisation!$B$1,$A3672&lt;Visualisation!$D$1),MAX($V$1:V3671)+1,"")</f>
        <v/>
      </c>
    </row>
    <row r="3673" spans="1:22" x14ac:dyDescent="0.25">
      <c r="A3673" s="9"/>
      <c r="E3673" s="10"/>
      <c r="K3673" s="11" t="str">
        <f>IF($E3673="","",ROUND($E3673*IF(ISNA(MATCH($C3673,'Paramètres'!$D:$D,0)),1,IF(INDEX('Paramètres'!$J:$J,MATCH($C3673,'Paramètres'!$D:$D,0))="",1,INDEX('Paramètres'!$J:$J,MATCH($C3673,'Paramètres'!$D:$D,0)))),2))</f>
        <v/>
      </c>
      <c r="L3673" s="6" t="str">
        <f>IF($D3673="","",IF($F3673&lt;&gt;"",$F3673,IF(ISNA(MATCH($D3673,'Paramètres'!$M:$M,0)),"⚠ Type inconnu",IFERROR(INDEX('Paramètres'!$P:$P,MATCH($D3673,'Paramètres'!$M:$M,0))&amp;"",""))))</f>
        <v/>
      </c>
      <c r="M3673" s="6" t="str">
        <f>IF($D3673="","",IF(ISNA(MATCH($D3673,'Paramètres'!$M:$M,0)),"⚠ Type inconnu",IF($L3673="Crédit","",IFERROR(INDEX('Paramètres'!$O:$O,MATCH($D3673,'Paramètres'!$M:$M,0))&amp;"",""))))</f>
        <v/>
      </c>
      <c r="N3673" s="6" t="str">
        <f>IF($D3673="","",IFERROR(INDEX('Paramètres'!$Q:$Q,MATCH($D3673,'Paramètres'!$M:$M,0))&amp;"",""))</f>
        <v/>
      </c>
      <c r="O3673" s="6" t="str">
        <f>IF($A3673="","",IF(OR($J3673&lt;&gt;"x",$A3673&lt;=FinReleve),1,0))</f>
        <v/>
      </c>
      <c r="P3673" s="6" t="str">
        <f>IF($D3673="","",IF(AND($L3673="Crédit",OR(IFERROR(INDEX('Paramètres'!$O:$O,MATCH($D3673,'Paramètres'!$M:$M,0))&amp;"","")&lt;&gt;"",ISNUMBER(SEARCH("remboursement",IFERROR(INDEX('Paramètres'!$N:$N,MATCH($D3673,'Paramètres'!$M:$M,0))&amp;"",""))))),1,0))</f>
        <v/>
      </c>
      <c r="Q3673" s="6" t="str">
        <f>IF($K3673="","",IF(ISNUMBER(SEARCH("transfert-interne",IFERROR(INDEX('Paramètres'!$N:$N,MATCH($D3673,'Paramètres'!$M:$M,0))&amp;"",""))),0,IF($L3673="Débit",$K3673,IF($P3673=1,-$K3673,0))))</f>
        <v/>
      </c>
      <c r="R3673" s="6" t="str">
        <f>IF($K3673="","",IF($L3673="Crédit",$K3673,-$K3673))</f>
        <v/>
      </c>
      <c r="S3673" s="6" t="str">
        <f>IF($C3673="","",IFERROR(INDEX('Paramètres'!$H:$H,MATCH($C3673,'Paramètres'!$D:$D,0))&amp;"",""))</f>
        <v/>
      </c>
      <c r="T3673" s="6" t="str">
        <f>IF($K3673="","",IF($S3673="",0,IF(ISNUMBER(SEARCH("apport-exterieur",IFERROR(INDEX('Paramètres'!$N:$N,MATCH($D3673,'Paramètres'!$M:$M,0))&amp;"",""))),0,IF(OR(IFERROR(INDEX('Paramètres'!$I:$I,MATCH($C3673,'Paramètres'!$D:$D,0))&amp;"","")="Les deux",IFERROR(INDEX('Paramètres'!$I:$I,MATCH($C3673,'Paramètres'!$D:$D,0))&amp;"","")=IF($P3673=1,"Débit",$L3673)),-IF($P3673=1,-$K3673,$K3673),0))))</f>
        <v/>
      </c>
      <c r="U3673" s="6" t="str">
        <f>IF($K3673="","",IF(ISNUMBER(SEARCH("sortie-epargne",IFERROR(INDEX('Paramètres'!$N:$N,MATCH($D3673,'Paramètres'!$M:$M,0))&amp;"",""))),$K3673,0))</f>
        <v/>
      </c>
      <c r="V3673" s="6" t="str">
        <f>IF(AND($A3673&lt;&gt;"",$O3673=1,$L3673="Débit",N($Q3673)&gt;0,$A3673&gt;=Visualisation!$B$1,$A3673&lt;Visualisation!$D$1),MAX($V$1:V3672)+1,"")</f>
        <v/>
      </c>
    </row>
    <row r="3674" spans="1:22" x14ac:dyDescent="0.25">
      <c r="A3674" s="9"/>
      <c r="E3674" s="10"/>
      <c r="K3674" s="11" t="str">
        <f>IF($E3674="","",ROUND($E3674*IF(ISNA(MATCH($C3674,'Paramètres'!$D:$D,0)),1,IF(INDEX('Paramètres'!$J:$J,MATCH($C3674,'Paramètres'!$D:$D,0))="",1,INDEX('Paramètres'!$J:$J,MATCH($C3674,'Paramètres'!$D:$D,0)))),2))</f>
        <v/>
      </c>
      <c r="L3674" s="6" t="str">
        <f>IF($D3674="","",IF($F3674&lt;&gt;"",$F3674,IF(ISNA(MATCH($D3674,'Paramètres'!$M:$M,0)),"⚠ Type inconnu",IFERROR(INDEX('Paramètres'!$P:$P,MATCH($D3674,'Paramètres'!$M:$M,0))&amp;"",""))))</f>
        <v/>
      </c>
      <c r="M3674" s="6" t="str">
        <f>IF($D3674="","",IF(ISNA(MATCH($D3674,'Paramètres'!$M:$M,0)),"⚠ Type inconnu",IF($L3674="Crédit","",IFERROR(INDEX('Paramètres'!$O:$O,MATCH($D3674,'Paramètres'!$M:$M,0))&amp;"",""))))</f>
        <v/>
      </c>
      <c r="N3674" s="6" t="str">
        <f>IF($D3674="","",IFERROR(INDEX('Paramètres'!$Q:$Q,MATCH($D3674,'Paramètres'!$M:$M,0))&amp;"",""))</f>
        <v/>
      </c>
      <c r="O3674" s="6" t="str">
        <f>IF($A3674="","",IF(OR($J3674&lt;&gt;"x",$A3674&lt;=FinReleve),1,0))</f>
        <v/>
      </c>
      <c r="P3674" s="6" t="str">
        <f>IF($D3674="","",IF(AND($L3674="Crédit",OR(IFERROR(INDEX('Paramètres'!$O:$O,MATCH($D3674,'Paramètres'!$M:$M,0))&amp;"","")&lt;&gt;"",ISNUMBER(SEARCH("remboursement",IFERROR(INDEX('Paramètres'!$N:$N,MATCH($D3674,'Paramètres'!$M:$M,0))&amp;"",""))))),1,0))</f>
        <v/>
      </c>
      <c r="Q3674" s="6" t="str">
        <f>IF($K3674="","",IF(ISNUMBER(SEARCH("transfert-interne",IFERROR(INDEX('Paramètres'!$N:$N,MATCH($D3674,'Paramètres'!$M:$M,0))&amp;"",""))),0,IF($L3674="Débit",$K3674,IF($P3674=1,-$K3674,0))))</f>
        <v/>
      </c>
      <c r="R3674" s="6" t="str">
        <f>IF($K3674="","",IF($L3674="Crédit",$K3674,-$K3674))</f>
        <v/>
      </c>
      <c r="S3674" s="6" t="str">
        <f>IF($C3674="","",IFERROR(INDEX('Paramètres'!$H:$H,MATCH($C3674,'Paramètres'!$D:$D,0))&amp;"",""))</f>
        <v/>
      </c>
      <c r="T3674" s="6" t="str">
        <f>IF($K3674="","",IF($S3674="",0,IF(ISNUMBER(SEARCH("apport-exterieur",IFERROR(INDEX('Paramètres'!$N:$N,MATCH($D3674,'Paramètres'!$M:$M,0))&amp;"",""))),0,IF(OR(IFERROR(INDEX('Paramètres'!$I:$I,MATCH($C3674,'Paramètres'!$D:$D,0))&amp;"","")="Les deux",IFERROR(INDEX('Paramètres'!$I:$I,MATCH($C3674,'Paramètres'!$D:$D,0))&amp;"","")=IF($P3674=1,"Débit",$L3674)),-IF($P3674=1,-$K3674,$K3674),0))))</f>
        <v/>
      </c>
      <c r="U3674" s="6" t="str">
        <f>IF($K3674="","",IF(ISNUMBER(SEARCH("sortie-epargne",IFERROR(INDEX('Paramètres'!$N:$N,MATCH($D3674,'Paramètres'!$M:$M,0))&amp;"",""))),$K3674,0))</f>
        <v/>
      </c>
      <c r="V3674" s="6" t="str">
        <f>IF(AND($A3674&lt;&gt;"",$O3674=1,$L3674="Débit",N($Q3674)&gt;0,$A3674&gt;=Visualisation!$B$1,$A3674&lt;Visualisation!$D$1),MAX($V$1:V3673)+1,"")</f>
        <v/>
      </c>
    </row>
    <row r="3675" spans="1:22" x14ac:dyDescent="0.25">
      <c r="A3675" s="9"/>
      <c r="E3675" s="10"/>
      <c r="K3675" s="11" t="str">
        <f>IF($E3675="","",ROUND($E3675*IF(ISNA(MATCH($C3675,'Paramètres'!$D:$D,0)),1,IF(INDEX('Paramètres'!$J:$J,MATCH($C3675,'Paramètres'!$D:$D,0))="",1,INDEX('Paramètres'!$J:$J,MATCH($C3675,'Paramètres'!$D:$D,0)))),2))</f>
        <v/>
      </c>
      <c r="L3675" s="6" t="str">
        <f>IF($D3675="","",IF($F3675&lt;&gt;"",$F3675,IF(ISNA(MATCH($D3675,'Paramètres'!$M:$M,0)),"⚠ Type inconnu",IFERROR(INDEX('Paramètres'!$P:$P,MATCH($D3675,'Paramètres'!$M:$M,0))&amp;"",""))))</f>
        <v/>
      </c>
      <c r="M3675" s="6" t="str">
        <f>IF($D3675="","",IF(ISNA(MATCH($D3675,'Paramètres'!$M:$M,0)),"⚠ Type inconnu",IF($L3675="Crédit","",IFERROR(INDEX('Paramètres'!$O:$O,MATCH($D3675,'Paramètres'!$M:$M,0))&amp;"",""))))</f>
        <v/>
      </c>
      <c r="N3675" s="6" t="str">
        <f>IF($D3675="","",IFERROR(INDEX('Paramètres'!$Q:$Q,MATCH($D3675,'Paramètres'!$M:$M,0))&amp;"",""))</f>
        <v/>
      </c>
      <c r="O3675" s="6" t="str">
        <f>IF($A3675="","",IF(OR($J3675&lt;&gt;"x",$A3675&lt;=FinReleve),1,0))</f>
        <v/>
      </c>
      <c r="P3675" s="6" t="str">
        <f>IF($D3675="","",IF(AND($L3675="Crédit",OR(IFERROR(INDEX('Paramètres'!$O:$O,MATCH($D3675,'Paramètres'!$M:$M,0))&amp;"","")&lt;&gt;"",ISNUMBER(SEARCH("remboursement",IFERROR(INDEX('Paramètres'!$N:$N,MATCH($D3675,'Paramètres'!$M:$M,0))&amp;"",""))))),1,0))</f>
        <v/>
      </c>
      <c r="Q3675" s="6" t="str">
        <f>IF($K3675="","",IF(ISNUMBER(SEARCH("transfert-interne",IFERROR(INDEX('Paramètres'!$N:$N,MATCH($D3675,'Paramètres'!$M:$M,0))&amp;"",""))),0,IF($L3675="Débit",$K3675,IF($P3675=1,-$K3675,0))))</f>
        <v/>
      </c>
      <c r="R3675" s="6" t="str">
        <f>IF($K3675="","",IF($L3675="Crédit",$K3675,-$K3675))</f>
        <v/>
      </c>
      <c r="S3675" s="6" t="str">
        <f>IF($C3675="","",IFERROR(INDEX('Paramètres'!$H:$H,MATCH($C3675,'Paramètres'!$D:$D,0))&amp;"",""))</f>
        <v/>
      </c>
      <c r="T3675" s="6" t="str">
        <f>IF($K3675="","",IF($S3675="",0,IF(ISNUMBER(SEARCH("apport-exterieur",IFERROR(INDEX('Paramètres'!$N:$N,MATCH($D3675,'Paramètres'!$M:$M,0))&amp;"",""))),0,IF(OR(IFERROR(INDEX('Paramètres'!$I:$I,MATCH($C3675,'Paramètres'!$D:$D,0))&amp;"","")="Les deux",IFERROR(INDEX('Paramètres'!$I:$I,MATCH($C3675,'Paramètres'!$D:$D,0))&amp;"","")=IF($P3675=1,"Débit",$L3675)),-IF($P3675=1,-$K3675,$K3675),0))))</f>
        <v/>
      </c>
      <c r="U3675" s="6" t="str">
        <f>IF($K3675="","",IF(ISNUMBER(SEARCH("sortie-epargne",IFERROR(INDEX('Paramètres'!$N:$N,MATCH($D3675,'Paramètres'!$M:$M,0))&amp;"",""))),$K3675,0))</f>
        <v/>
      </c>
      <c r="V3675" s="6" t="str">
        <f>IF(AND($A3675&lt;&gt;"",$O3675=1,$L3675="Débit",N($Q3675)&gt;0,$A3675&gt;=Visualisation!$B$1,$A3675&lt;Visualisation!$D$1),MAX($V$1:V3674)+1,"")</f>
        <v/>
      </c>
    </row>
    <row r="3676" spans="1:22" x14ac:dyDescent="0.25">
      <c r="A3676" s="9"/>
      <c r="E3676" s="10"/>
      <c r="K3676" s="11" t="str">
        <f>IF($E3676="","",ROUND($E3676*IF(ISNA(MATCH($C3676,'Paramètres'!$D:$D,0)),1,IF(INDEX('Paramètres'!$J:$J,MATCH($C3676,'Paramètres'!$D:$D,0))="",1,INDEX('Paramètres'!$J:$J,MATCH($C3676,'Paramètres'!$D:$D,0)))),2))</f>
        <v/>
      </c>
      <c r="L3676" s="6" t="str">
        <f>IF($D3676="","",IF($F3676&lt;&gt;"",$F3676,IF(ISNA(MATCH($D3676,'Paramètres'!$M:$M,0)),"⚠ Type inconnu",IFERROR(INDEX('Paramètres'!$P:$P,MATCH($D3676,'Paramètres'!$M:$M,0))&amp;"",""))))</f>
        <v/>
      </c>
      <c r="M3676" s="6" t="str">
        <f>IF($D3676="","",IF(ISNA(MATCH($D3676,'Paramètres'!$M:$M,0)),"⚠ Type inconnu",IF($L3676="Crédit","",IFERROR(INDEX('Paramètres'!$O:$O,MATCH($D3676,'Paramètres'!$M:$M,0))&amp;"",""))))</f>
        <v/>
      </c>
      <c r="N3676" s="6" t="str">
        <f>IF($D3676="","",IFERROR(INDEX('Paramètres'!$Q:$Q,MATCH($D3676,'Paramètres'!$M:$M,0))&amp;"",""))</f>
        <v/>
      </c>
      <c r="O3676" s="6" t="str">
        <f>IF($A3676="","",IF(OR($J3676&lt;&gt;"x",$A3676&lt;=FinReleve),1,0))</f>
        <v/>
      </c>
      <c r="P3676" s="6" t="str">
        <f>IF($D3676="","",IF(AND($L3676="Crédit",OR(IFERROR(INDEX('Paramètres'!$O:$O,MATCH($D3676,'Paramètres'!$M:$M,0))&amp;"","")&lt;&gt;"",ISNUMBER(SEARCH("remboursement",IFERROR(INDEX('Paramètres'!$N:$N,MATCH($D3676,'Paramètres'!$M:$M,0))&amp;"",""))))),1,0))</f>
        <v/>
      </c>
      <c r="Q3676" s="6" t="str">
        <f>IF($K3676="","",IF(ISNUMBER(SEARCH("transfert-interne",IFERROR(INDEX('Paramètres'!$N:$N,MATCH($D3676,'Paramètres'!$M:$M,0))&amp;"",""))),0,IF($L3676="Débit",$K3676,IF($P3676=1,-$K3676,0))))</f>
        <v/>
      </c>
      <c r="R3676" s="6" t="str">
        <f>IF($K3676="","",IF($L3676="Crédit",$K3676,-$K3676))</f>
        <v/>
      </c>
      <c r="S3676" s="6" t="str">
        <f>IF($C3676="","",IFERROR(INDEX('Paramètres'!$H:$H,MATCH($C3676,'Paramètres'!$D:$D,0))&amp;"",""))</f>
        <v/>
      </c>
      <c r="T3676" s="6" t="str">
        <f>IF($K3676="","",IF($S3676="",0,IF(ISNUMBER(SEARCH("apport-exterieur",IFERROR(INDEX('Paramètres'!$N:$N,MATCH($D3676,'Paramètres'!$M:$M,0))&amp;"",""))),0,IF(OR(IFERROR(INDEX('Paramètres'!$I:$I,MATCH($C3676,'Paramètres'!$D:$D,0))&amp;"","")="Les deux",IFERROR(INDEX('Paramètres'!$I:$I,MATCH($C3676,'Paramètres'!$D:$D,0))&amp;"","")=IF($P3676=1,"Débit",$L3676)),-IF($P3676=1,-$K3676,$K3676),0))))</f>
        <v/>
      </c>
      <c r="U3676" s="6" t="str">
        <f>IF($K3676="","",IF(ISNUMBER(SEARCH("sortie-epargne",IFERROR(INDEX('Paramètres'!$N:$N,MATCH($D3676,'Paramètres'!$M:$M,0))&amp;"",""))),$K3676,0))</f>
        <v/>
      </c>
      <c r="V3676" s="6" t="str">
        <f>IF(AND($A3676&lt;&gt;"",$O3676=1,$L3676="Débit",N($Q3676)&gt;0,$A3676&gt;=Visualisation!$B$1,$A3676&lt;Visualisation!$D$1),MAX($V$1:V3675)+1,"")</f>
        <v/>
      </c>
    </row>
    <row r="3677" spans="1:22" x14ac:dyDescent="0.25">
      <c r="A3677" s="9"/>
      <c r="E3677" s="10"/>
      <c r="K3677" s="11" t="str">
        <f>IF($E3677="","",ROUND($E3677*IF(ISNA(MATCH($C3677,'Paramètres'!$D:$D,0)),1,IF(INDEX('Paramètres'!$J:$J,MATCH($C3677,'Paramètres'!$D:$D,0))="",1,INDEX('Paramètres'!$J:$J,MATCH($C3677,'Paramètres'!$D:$D,0)))),2))</f>
        <v/>
      </c>
      <c r="L3677" s="6" t="str">
        <f>IF($D3677="","",IF($F3677&lt;&gt;"",$F3677,IF(ISNA(MATCH($D3677,'Paramètres'!$M:$M,0)),"⚠ Type inconnu",IFERROR(INDEX('Paramètres'!$P:$P,MATCH($D3677,'Paramètres'!$M:$M,0))&amp;"",""))))</f>
        <v/>
      </c>
      <c r="M3677" s="6" t="str">
        <f>IF($D3677="","",IF(ISNA(MATCH($D3677,'Paramètres'!$M:$M,0)),"⚠ Type inconnu",IF($L3677="Crédit","",IFERROR(INDEX('Paramètres'!$O:$O,MATCH($D3677,'Paramètres'!$M:$M,0))&amp;"",""))))</f>
        <v/>
      </c>
      <c r="N3677" s="6" t="str">
        <f>IF($D3677="","",IFERROR(INDEX('Paramètres'!$Q:$Q,MATCH($D3677,'Paramètres'!$M:$M,0))&amp;"",""))</f>
        <v/>
      </c>
      <c r="O3677" s="6" t="str">
        <f>IF($A3677="","",IF(OR($J3677&lt;&gt;"x",$A3677&lt;=FinReleve),1,0))</f>
        <v/>
      </c>
      <c r="P3677" s="6" t="str">
        <f>IF($D3677="","",IF(AND($L3677="Crédit",OR(IFERROR(INDEX('Paramètres'!$O:$O,MATCH($D3677,'Paramètres'!$M:$M,0))&amp;"","")&lt;&gt;"",ISNUMBER(SEARCH("remboursement",IFERROR(INDEX('Paramètres'!$N:$N,MATCH($D3677,'Paramètres'!$M:$M,0))&amp;"",""))))),1,0))</f>
        <v/>
      </c>
      <c r="Q3677" s="6" t="str">
        <f>IF($K3677="","",IF(ISNUMBER(SEARCH("transfert-interne",IFERROR(INDEX('Paramètres'!$N:$N,MATCH($D3677,'Paramètres'!$M:$M,0))&amp;"",""))),0,IF($L3677="Débit",$K3677,IF($P3677=1,-$K3677,0))))</f>
        <v/>
      </c>
      <c r="R3677" s="6" t="str">
        <f>IF($K3677="","",IF($L3677="Crédit",$K3677,-$K3677))</f>
        <v/>
      </c>
      <c r="S3677" s="6" t="str">
        <f>IF($C3677="","",IFERROR(INDEX('Paramètres'!$H:$H,MATCH($C3677,'Paramètres'!$D:$D,0))&amp;"",""))</f>
        <v/>
      </c>
      <c r="T3677" s="6" t="str">
        <f>IF($K3677="","",IF($S3677="",0,IF(ISNUMBER(SEARCH("apport-exterieur",IFERROR(INDEX('Paramètres'!$N:$N,MATCH($D3677,'Paramètres'!$M:$M,0))&amp;"",""))),0,IF(OR(IFERROR(INDEX('Paramètres'!$I:$I,MATCH($C3677,'Paramètres'!$D:$D,0))&amp;"","")="Les deux",IFERROR(INDEX('Paramètres'!$I:$I,MATCH($C3677,'Paramètres'!$D:$D,0))&amp;"","")=IF($P3677=1,"Débit",$L3677)),-IF($P3677=1,-$K3677,$K3677),0))))</f>
        <v/>
      </c>
      <c r="U3677" s="6" t="str">
        <f>IF($K3677="","",IF(ISNUMBER(SEARCH("sortie-epargne",IFERROR(INDEX('Paramètres'!$N:$N,MATCH($D3677,'Paramètres'!$M:$M,0))&amp;"",""))),$K3677,0))</f>
        <v/>
      </c>
      <c r="V3677" s="6" t="str">
        <f>IF(AND($A3677&lt;&gt;"",$O3677=1,$L3677="Débit",N($Q3677)&gt;0,$A3677&gt;=Visualisation!$B$1,$A3677&lt;Visualisation!$D$1),MAX($V$1:V3676)+1,"")</f>
        <v/>
      </c>
    </row>
    <row r="3678" spans="1:22" x14ac:dyDescent="0.25">
      <c r="A3678" s="9"/>
      <c r="E3678" s="10"/>
      <c r="K3678" s="11" t="str">
        <f>IF($E3678="","",ROUND($E3678*IF(ISNA(MATCH($C3678,'Paramètres'!$D:$D,0)),1,IF(INDEX('Paramètres'!$J:$J,MATCH($C3678,'Paramètres'!$D:$D,0))="",1,INDEX('Paramètres'!$J:$J,MATCH($C3678,'Paramètres'!$D:$D,0)))),2))</f>
        <v/>
      </c>
      <c r="L3678" s="6" t="str">
        <f>IF($D3678="","",IF($F3678&lt;&gt;"",$F3678,IF(ISNA(MATCH($D3678,'Paramètres'!$M:$M,0)),"⚠ Type inconnu",IFERROR(INDEX('Paramètres'!$P:$P,MATCH($D3678,'Paramètres'!$M:$M,0))&amp;"",""))))</f>
        <v/>
      </c>
      <c r="M3678" s="6" t="str">
        <f>IF($D3678="","",IF(ISNA(MATCH($D3678,'Paramètres'!$M:$M,0)),"⚠ Type inconnu",IF($L3678="Crédit","",IFERROR(INDEX('Paramètres'!$O:$O,MATCH($D3678,'Paramètres'!$M:$M,0))&amp;"",""))))</f>
        <v/>
      </c>
      <c r="N3678" s="6" t="str">
        <f>IF($D3678="","",IFERROR(INDEX('Paramètres'!$Q:$Q,MATCH($D3678,'Paramètres'!$M:$M,0))&amp;"",""))</f>
        <v/>
      </c>
      <c r="O3678" s="6" t="str">
        <f>IF($A3678="","",IF(OR($J3678&lt;&gt;"x",$A3678&lt;=FinReleve),1,0))</f>
        <v/>
      </c>
      <c r="P3678" s="6" t="str">
        <f>IF($D3678="","",IF(AND($L3678="Crédit",OR(IFERROR(INDEX('Paramètres'!$O:$O,MATCH($D3678,'Paramètres'!$M:$M,0))&amp;"","")&lt;&gt;"",ISNUMBER(SEARCH("remboursement",IFERROR(INDEX('Paramètres'!$N:$N,MATCH($D3678,'Paramètres'!$M:$M,0))&amp;"",""))))),1,0))</f>
        <v/>
      </c>
      <c r="Q3678" s="6" t="str">
        <f>IF($K3678="","",IF(ISNUMBER(SEARCH("transfert-interne",IFERROR(INDEX('Paramètres'!$N:$N,MATCH($D3678,'Paramètres'!$M:$M,0))&amp;"",""))),0,IF($L3678="Débit",$K3678,IF($P3678=1,-$K3678,0))))</f>
        <v/>
      </c>
      <c r="R3678" s="6" t="str">
        <f>IF($K3678="","",IF($L3678="Crédit",$K3678,-$K3678))</f>
        <v/>
      </c>
      <c r="S3678" s="6" t="str">
        <f>IF($C3678="","",IFERROR(INDEX('Paramètres'!$H:$H,MATCH($C3678,'Paramètres'!$D:$D,0))&amp;"",""))</f>
        <v/>
      </c>
      <c r="T3678" s="6" t="str">
        <f>IF($K3678="","",IF($S3678="",0,IF(ISNUMBER(SEARCH("apport-exterieur",IFERROR(INDEX('Paramètres'!$N:$N,MATCH($D3678,'Paramètres'!$M:$M,0))&amp;"",""))),0,IF(OR(IFERROR(INDEX('Paramètres'!$I:$I,MATCH($C3678,'Paramètres'!$D:$D,0))&amp;"","")="Les deux",IFERROR(INDEX('Paramètres'!$I:$I,MATCH($C3678,'Paramètres'!$D:$D,0))&amp;"","")=IF($P3678=1,"Débit",$L3678)),-IF($P3678=1,-$K3678,$K3678),0))))</f>
        <v/>
      </c>
      <c r="U3678" s="6" t="str">
        <f>IF($K3678="","",IF(ISNUMBER(SEARCH("sortie-epargne",IFERROR(INDEX('Paramètres'!$N:$N,MATCH($D3678,'Paramètres'!$M:$M,0))&amp;"",""))),$K3678,0))</f>
        <v/>
      </c>
      <c r="V3678" s="6" t="str">
        <f>IF(AND($A3678&lt;&gt;"",$O3678=1,$L3678="Débit",N($Q3678)&gt;0,$A3678&gt;=Visualisation!$B$1,$A3678&lt;Visualisation!$D$1),MAX($V$1:V3677)+1,"")</f>
        <v/>
      </c>
    </row>
    <row r="3679" spans="1:22" x14ac:dyDescent="0.25">
      <c r="A3679" s="9"/>
      <c r="E3679" s="10"/>
      <c r="K3679" s="11" t="str">
        <f>IF($E3679="","",ROUND($E3679*IF(ISNA(MATCH($C3679,'Paramètres'!$D:$D,0)),1,IF(INDEX('Paramètres'!$J:$J,MATCH($C3679,'Paramètres'!$D:$D,0))="",1,INDEX('Paramètres'!$J:$J,MATCH($C3679,'Paramètres'!$D:$D,0)))),2))</f>
        <v/>
      </c>
      <c r="L3679" s="6" t="str">
        <f>IF($D3679="","",IF($F3679&lt;&gt;"",$F3679,IF(ISNA(MATCH($D3679,'Paramètres'!$M:$M,0)),"⚠ Type inconnu",IFERROR(INDEX('Paramètres'!$P:$P,MATCH($D3679,'Paramètres'!$M:$M,0))&amp;"",""))))</f>
        <v/>
      </c>
      <c r="M3679" s="6" t="str">
        <f>IF($D3679="","",IF(ISNA(MATCH($D3679,'Paramètres'!$M:$M,0)),"⚠ Type inconnu",IF($L3679="Crédit","",IFERROR(INDEX('Paramètres'!$O:$O,MATCH($D3679,'Paramètres'!$M:$M,0))&amp;"",""))))</f>
        <v/>
      </c>
      <c r="N3679" s="6" t="str">
        <f>IF($D3679="","",IFERROR(INDEX('Paramètres'!$Q:$Q,MATCH($D3679,'Paramètres'!$M:$M,0))&amp;"",""))</f>
        <v/>
      </c>
      <c r="O3679" s="6" t="str">
        <f>IF($A3679="","",IF(OR($J3679&lt;&gt;"x",$A3679&lt;=FinReleve),1,0))</f>
        <v/>
      </c>
      <c r="P3679" s="6" t="str">
        <f>IF($D3679="","",IF(AND($L3679="Crédit",OR(IFERROR(INDEX('Paramètres'!$O:$O,MATCH($D3679,'Paramètres'!$M:$M,0))&amp;"","")&lt;&gt;"",ISNUMBER(SEARCH("remboursement",IFERROR(INDEX('Paramètres'!$N:$N,MATCH($D3679,'Paramètres'!$M:$M,0))&amp;"",""))))),1,0))</f>
        <v/>
      </c>
      <c r="Q3679" s="6" t="str">
        <f>IF($K3679="","",IF(ISNUMBER(SEARCH("transfert-interne",IFERROR(INDEX('Paramètres'!$N:$N,MATCH($D3679,'Paramètres'!$M:$M,0))&amp;"",""))),0,IF($L3679="Débit",$K3679,IF($P3679=1,-$K3679,0))))</f>
        <v/>
      </c>
      <c r="R3679" s="6" t="str">
        <f>IF($K3679="","",IF($L3679="Crédit",$K3679,-$K3679))</f>
        <v/>
      </c>
      <c r="S3679" s="6" t="str">
        <f>IF($C3679="","",IFERROR(INDEX('Paramètres'!$H:$H,MATCH($C3679,'Paramètres'!$D:$D,0))&amp;"",""))</f>
        <v/>
      </c>
      <c r="T3679" s="6" t="str">
        <f>IF($K3679="","",IF($S3679="",0,IF(ISNUMBER(SEARCH("apport-exterieur",IFERROR(INDEX('Paramètres'!$N:$N,MATCH($D3679,'Paramètres'!$M:$M,0))&amp;"",""))),0,IF(OR(IFERROR(INDEX('Paramètres'!$I:$I,MATCH($C3679,'Paramètres'!$D:$D,0))&amp;"","")="Les deux",IFERROR(INDEX('Paramètres'!$I:$I,MATCH($C3679,'Paramètres'!$D:$D,0))&amp;"","")=IF($P3679=1,"Débit",$L3679)),-IF($P3679=1,-$K3679,$K3679),0))))</f>
        <v/>
      </c>
      <c r="U3679" s="6" t="str">
        <f>IF($K3679="","",IF(ISNUMBER(SEARCH("sortie-epargne",IFERROR(INDEX('Paramètres'!$N:$N,MATCH($D3679,'Paramètres'!$M:$M,0))&amp;"",""))),$K3679,0))</f>
        <v/>
      </c>
      <c r="V3679" s="6" t="str">
        <f>IF(AND($A3679&lt;&gt;"",$O3679=1,$L3679="Débit",N($Q3679)&gt;0,$A3679&gt;=Visualisation!$B$1,$A3679&lt;Visualisation!$D$1),MAX($V$1:V3678)+1,"")</f>
        <v/>
      </c>
    </row>
    <row r="3680" spans="1:22" x14ac:dyDescent="0.25">
      <c r="A3680" s="9"/>
      <c r="E3680" s="10"/>
      <c r="K3680" s="11" t="str">
        <f>IF($E3680="","",ROUND($E3680*IF(ISNA(MATCH($C3680,'Paramètres'!$D:$D,0)),1,IF(INDEX('Paramètres'!$J:$J,MATCH($C3680,'Paramètres'!$D:$D,0))="",1,INDEX('Paramètres'!$J:$J,MATCH($C3680,'Paramètres'!$D:$D,0)))),2))</f>
        <v/>
      </c>
      <c r="L3680" s="6" t="str">
        <f>IF($D3680="","",IF($F3680&lt;&gt;"",$F3680,IF(ISNA(MATCH($D3680,'Paramètres'!$M:$M,0)),"⚠ Type inconnu",IFERROR(INDEX('Paramètres'!$P:$P,MATCH($D3680,'Paramètres'!$M:$M,0))&amp;"",""))))</f>
        <v/>
      </c>
      <c r="M3680" s="6" t="str">
        <f>IF($D3680="","",IF(ISNA(MATCH($D3680,'Paramètres'!$M:$M,0)),"⚠ Type inconnu",IF($L3680="Crédit","",IFERROR(INDEX('Paramètres'!$O:$O,MATCH($D3680,'Paramètres'!$M:$M,0))&amp;"",""))))</f>
        <v/>
      </c>
      <c r="N3680" s="6" t="str">
        <f>IF($D3680="","",IFERROR(INDEX('Paramètres'!$Q:$Q,MATCH($D3680,'Paramètres'!$M:$M,0))&amp;"",""))</f>
        <v/>
      </c>
      <c r="O3680" s="6" t="str">
        <f>IF($A3680="","",IF(OR($J3680&lt;&gt;"x",$A3680&lt;=FinReleve),1,0))</f>
        <v/>
      </c>
      <c r="P3680" s="6" t="str">
        <f>IF($D3680="","",IF(AND($L3680="Crédit",OR(IFERROR(INDEX('Paramètres'!$O:$O,MATCH($D3680,'Paramètres'!$M:$M,0))&amp;"","")&lt;&gt;"",ISNUMBER(SEARCH("remboursement",IFERROR(INDEX('Paramètres'!$N:$N,MATCH($D3680,'Paramètres'!$M:$M,0))&amp;"",""))))),1,0))</f>
        <v/>
      </c>
      <c r="Q3680" s="6" t="str">
        <f>IF($K3680="","",IF(ISNUMBER(SEARCH("transfert-interne",IFERROR(INDEX('Paramètres'!$N:$N,MATCH($D3680,'Paramètres'!$M:$M,0))&amp;"",""))),0,IF($L3680="Débit",$K3680,IF($P3680=1,-$K3680,0))))</f>
        <v/>
      </c>
      <c r="R3680" s="6" t="str">
        <f>IF($K3680="","",IF($L3680="Crédit",$K3680,-$K3680))</f>
        <v/>
      </c>
      <c r="S3680" s="6" t="str">
        <f>IF($C3680="","",IFERROR(INDEX('Paramètres'!$H:$H,MATCH($C3680,'Paramètres'!$D:$D,0))&amp;"",""))</f>
        <v/>
      </c>
      <c r="T3680" s="6" t="str">
        <f>IF($K3680="","",IF($S3680="",0,IF(ISNUMBER(SEARCH("apport-exterieur",IFERROR(INDEX('Paramètres'!$N:$N,MATCH($D3680,'Paramètres'!$M:$M,0))&amp;"",""))),0,IF(OR(IFERROR(INDEX('Paramètres'!$I:$I,MATCH($C3680,'Paramètres'!$D:$D,0))&amp;"","")="Les deux",IFERROR(INDEX('Paramètres'!$I:$I,MATCH($C3680,'Paramètres'!$D:$D,0))&amp;"","")=IF($P3680=1,"Débit",$L3680)),-IF($P3680=1,-$K3680,$K3680),0))))</f>
        <v/>
      </c>
      <c r="U3680" s="6" t="str">
        <f>IF($K3680="","",IF(ISNUMBER(SEARCH("sortie-epargne",IFERROR(INDEX('Paramètres'!$N:$N,MATCH($D3680,'Paramètres'!$M:$M,0))&amp;"",""))),$K3680,0))</f>
        <v/>
      </c>
      <c r="V3680" s="6" t="str">
        <f>IF(AND($A3680&lt;&gt;"",$O3680=1,$L3680="Débit",N($Q3680)&gt;0,$A3680&gt;=Visualisation!$B$1,$A3680&lt;Visualisation!$D$1),MAX($V$1:V3679)+1,"")</f>
        <v/>
      </c>
    </row>
    <row r="3681" spans="1:22" x14ac:dyDescent="0.25">
      <c r="A3681" s="9"/>
      <c r="E3681" s="10"/>
      <c r="K3681" s="11" t="str">
        <f>IF($E3681="","",ROUND($E3681*IF(ISNA(MATCH($C3681,'Paramètres'!$D:$D,0)),1,IF(INDEX('Paramètres'!$J:$J,MATCH($C3681,'Paramètres'!$D:$D,0))="",1,INDEX('Paramètres'!$J:$J,MATCH($C3681,'Paramètres'!$D:$D,0)))),2))</f>
        <v/>
      </c>
      <c r="L3681" s="6" t="str">
        <f>IF($D3681="","",IF($F3681&lt;&gt;"",$F3681,IF(ISNA(MATCH($D3681,'Paramètres'!$M:$M,0)),"⚠ Type inconnu",IFERROR(INDEX('Paramètres'!$P:$P,MATCH($D3681,'Paramètres'!$M:$M,0))&amp;"",""))))</f>
        <v/>
      </c>
      <c r="M3681" s="6" t="str">
        <f>IF($D3681="","",IF(ISNA(MATCH($D3681,'Paramètres'!$M:$M,0)),"⚠ Type inconnu",IF($L3681="Crédit","",IFERROR(INDEX('Paramètres'!$O:$O,MATCH($D3681,'Paramètres'!$M:$M,0))&amp;"",""))))</f>
        <v/>
      </c>
      <c r="N3681" s="6" t="str">
        <f>IF($D3681="","",IFERROR(INDEX('Paramètres'!$Q:$Q,MATCH($D3681,'Paramètres'!$M:$M,0))&amp;"",""))</f>
        <v/>
      </c>
      <c r="O3681" s="6" t="str">
        <f>IF($A3681="","",IF(OR($J3681&lt;&gt;"x",$A3681&lt;=FinReleve),1,0))</f>
        <v/>
      </c>
      <c r="P3681" s="6" t="str">
        <f>IF($D3681="","",IF(AND($L3681="Crédit",OR(IFERROR(INDEX('Paramètres'!$O:$O,MATCH($D3681,'Paramètres'!$M:$M,0))&amp;"","")&lt;&gt;"",ISNUMBER(SEARCH("remboursement",IFERROR(INDEX('Paramètres'!$N:$N,MATCH($D3681,'Paramètres'!$M:$M,0))&amp;"",""))))),1,0))</f>
        <v/>
      </c>
      <c r="Q3681" s="6" t="str">
        <f>IF($K3681="","",IF(ISNUMBER(SEARCH("transfert-interne",IFERROR(INDEX('Paramètres'!$N:$N,MATCH($D3681,'Paramètres'!$M:$M,0))&amp;"",""))),0,IF($L3681="Débit",$K3681,IF($P3681=1,-$K3681,0))))</f>
        <v/>
      </c>
      <c r="R3681" s="6" t="str">
        <f>IF($K3681="","",IF($L3681="Crédit",$K3681,-$K3681))</f>
        <v/>
      </c>
      <c r="S3681" s="6" t="str">
        <f>IF($C3681="","",IFERROR(INDEX('Paramètres'!$H:$H,MATCH($C3681,'Paramètres'!$D:$D,0))&amp;"",""))</f>
        <v/>
      </c>
      <c r="T3681" s="6" t="str">
        <f>IF($K3681="","",IF($S3681="",0,IF(ISNUMBER(SEARCH("apport-exterieur",IFERROR(INDEX('Paramètres'!$N:$N,MATCH($D3681,'Paramètres'!$M:$M,0))&amp;"",""))),0,IF(OR(IFERROR(INDEX('Paramètres'!$I:$I,MATCH($C3681,'Paramètres'!$D:$D,0))&amp;"","")="Les deux",IFERROR(INDEX('Paramètres'!$I:$I,MATCH($C3681,'Paramètres'!$D:$D,0))&amp;"","")=IF($P3681=1,"Débit",$L3681)),-IF($P3681=1,-$K3681,$K3681),0))))</f>
        <v/>
      </c>
      <c r="U3681" s="6" t="str">
        <f>IF($K3681="","",IF(ISNUMBER(SEARCH("sortie-epargne",IFERROR(INDEX('Paramètres'!$N:$N,MATCH($D3681,'Paramètres'!$M:$M,0))&amp;"",""))),$K3681,0))</f>
        <v/>
      </c>
      <c r="V3681" s="6" t="str">
        <f>IF(AND($A3681&lt;&gt;"",$O3681=1,$L3681="Débit",N($Q3681)&gt;0,$A3681&gt;=Visualisation!$B$1,$A3681&lt;Visualisation!$D$1),MAX($V$1:V3680)+1,"")</f>
        <v/>
      </c>
    </row>
    <row r="3682" spans="1:22" x14ac:dyDescent="0.25">
      <c r="A3682" s="9"/>
      <c r="E3682" s="10"/>
      <c r="K3682" s="11" t="str">
        <f>IF($E3682="","",ROUND($E3682*IF(ISNA(MATCH($C3682,'Paramètres'!$D:$D,0)),1,IF(INDEX('Paramètres'!$J:$J,MATCH($C3682,'Paramètres'!$D:$D,0))="",1,INDEX('Paramètres'!$J:$J,MATCH($C3682,'Paramètres'!$D:$D,0)))),2))</f>
        <v/>
      </c>
      <c r="L3682" s="6" t="str">
        <f>IF($D3682="","",IF($F3682&lt;&gt;"",$F3682,IF(ISNA(MATCH($D3682,'Paramètres'!$M:$M,0)),"⚠ Type inconnu",IFERROR(INDEX('Paramètres'!$P:$P,MATCH($D3682,'Paramètres'!$M:$M,0))&amp;"",""))))</f>
        <v/>
      </c>
      <c r="M3682" s="6" t="str">
        <f>IF($D3682="","",IF(ISNA(MATCH($D3682,'Paramètres'!$M:$M,0)),"⚠ Type inconnu",IF($L3682="Crédit","",IFERROR(INDEX('Paramètres'!$O:$O,MATCH($D3682,'Paramètres'!$M:$M,0))&amp;"",""))))</f>
        <v/>
      </c>
      <c r="N3682" s="6" t="str">
        <f>IF($D3682="","",IFERROR(INDEX('Paramètres'!$Q:$Q,MATCH($D3682,'Paramètres'!$M:$M,0))&amp;"",""))</f>
        <v/>
      </c>
      <c r="O3682" s="6" t="str">
        <f>IF($A3682="","",IF(OR($J3682&lt;&gt;"x",$A3682&lt;=FinReleve),1,0))</f>
        <v/>
      </c>
      <c r="P3682" s="6" t="str">
        <f>IF($D3682="","",IF(AND($L3682="Crédit",OR(IFERROR(INDEX('Paramètres'!$O:$O,MATCH($D3682,'Paramètres'!$M:$M,0))&amp;"","")&lt;&gt;"",ISNUMBER(SEARCH("remboursement",IFERROR(INDEX('Paramètres'!$N:$N,MATCH($D3682,'Paramètres'!$M:$M,0))&amp;"",""))))),1,0))</f>
        <v/>
      </c>
      <c r="Q3682" s="6" t="str">
        <f>IF($K3682="","",IF(ISNUMBER(SEARCH("transfert-interne",IFERROR(INDEX('Paramètres'!$N:$N,MATCH($D3682,'Paramètres'!$M:$M,0))&amp;"",""))),0,IF($L3682="Débit",$K3682,IF($P3682=1,-$K3682,0))))</f>
        <v/>
      </c>
      <c r="R3682" s="6" t="str">
        <f>IF($K3682="","",IF($L3682="Crédit",$K3682,-$K3682))</f>
        <v/>
      </c>
      <c r="S3682" s="6" t="str">
        <f>IF($C3682="","",IFERROR(INDEX('Paramètres'!$H:$H,MATCH($C3682,'Paramètres'!$D:$D,0))&amp;"",""))</f>
        <v/>
      </c>
      <c r="T3682" s="6" t="str">
        <f>IF($K3682="","",IF($S3682="",0,IF(ISNUMBER(SEARCH("apport-exterieur",IFERROR(INDEX('Paramètres'!$N:$N,MATCH($D3682,'Paramètres'!$M:$M,0))&amp;"",""))),0,IF(OR(IFERROR(INDEX('Paramètres'!$I:$I,MATCH($C3682,'Paramètres'!$D:$D,0))&amp;"","")="Les deux",IFERROR(INDEX('Paramètres'!$I:$I,MATCH($C3682,'Paramètres'!$D:$D,0))&amp;"","")=IF($P3682=1,"Débit",$L3682)),-IF($P3682=1,-$K3682,$K3682),0))))</f>
        <v/>
      </c>
      <c r="U3682" s="6" t="str">
        <f>IF($K3682="","",IF(ISNUMBER(SEARCH("sortie-epargne",IFERROR(INDEX('Paramètres'!$N:$N,MATCH($D3682,'Paramètres'!$M:$M,0))&amp;"",""))),$K3682,0))</f>
        <v/>
      </c>
      <c r="V3682" s="6" t="str">
        <f>IF(AND($A3682&lt;&gt;"",$O3682=1,$L3682="Débit",N($Q3682)&gt;0,$A3682&gt;=Visualisation!$B$1,$A3682&lt;Visualisation!$D$1),MAX($V$1:V3681)+1,"")</f>
        <v/>
      </c>
    </row>
    <row r="3683" spans="1:22" x14ac:dyDescent="0.25">
      <c r="A3683" s="9"/>
      <c r="E3683" s="10"/>
      <c r="K3683" s="11" t="str">
        <f>IF($E3683="","",ROUND($E3683*IF(ISNA(MATCH($C3683,'Paramètres'!$D:$D,0)),1,IF(INDEX('Paramètres'!$J:$J,MATCH($C3683,'Paramètres'!$D:$D,0))="",1,INDEX('Paramètres'!$J:$J,MATCH($C3683,'Paramètres'!$D:$D,0)))),2))</f>
        <v/>
      </c>
      <c r="L3683" s="6" t="str">
        <f>IF($D3683="","",IF($F3683&lt;&gt;"",$F3683,IF(ISNA(MATCH($D3683,'Paramètres'!$M:$M,0)),"⚠ Type inconnu",IFERROR(INDEX('Paramètres'!$P:$P,MATCH($D3683,'Paramètres'!$M:$M,0))&amp;"",""))))</f>
        <v/>
      </c>
      <c r="M3683" s="6" t="str">
        <f>IF($D3683="","",IF(ISNA(MATCH($D3683,'Paramètres'!$M:$M,0)),"⚠ Type inconnu",IF($L3683="Crédit","",IFERROR(INDEX('Paramètres'!$O:$O,MATCH($D3683,'Paramètres'!$M:$M,0))&amp;"",""))))</f>
        <v/>
      </c>
      <c r="N3683" s="6" t="str">
        <f>IF($D3683="","",IFERROR(INDEX('Paramètres'!$Q:$Q,MATCH($D3683,'Paramètres'!$M:$M,0))&amp;"",""))</f>
        <v/>
      </c>
      <c r="O3683" s="6" t="str">
        <f>IF($A3683="","",IF(OR($J3683&lt;&gt;"x",$A3683&lt;=FinReleve),1,0))</f>
        <v/>
      </c>
      <c r="P3683" s="6" t="str">
        <f>IF($D3683="","",IF(AND($L3683="Crédit",OR(IFERROR(INDEX('Paramètres'!$O:$O,MATCH($D3683,'Paramètres'!$M:$M,0))&amp;"","")&lt;&gt;"",ISNUMBER(SEARCH("remboursement",IFERROR(INDEX('Paramètres'!$N:$N,MATCH($D3683,'Paramètres'!$M:$M,0))&amp;"",""))))),1,0))</f>
        <v/>
      </c>
      <c r="Q3683" s="6" t="str">
        <f>IF($K3683="","",IF(ISNUMBER(SEARCH("transfert-interne",IFERROR(INDEX('Paramètres'!$N:$N,MATCH($D3683,'Paramètres'!$M:$M,0))&amp;"",""))),0,IF($L3683="Débit",$K3683,IF($P3683=1,-$K3683,0))))</f>
        <v/>
      </c>
      <c r="R3683" s="6" t="str">
        <f>IF($K3683="","",IF($L3683="Crédit",$K3683,-$K3683))</f>
        <v/>
      </c>
      <c r="S3683" s="6" t="str">
        <f>IF($C3683="","",IFERROR(INDEX('Paramètres'!$H:$H,MATCH($C3683,'Paramètres'!$D:$D,0))&amp;"",""))</f>
        <v/>
      </c>
      <c r="T3683" s="6" t="str">
        <f>IF($K3683="","",IF($S3683="",0,IF(ISNUMBER(SEARCH("apport-exterieur",IFERROR(INDEX('Paramètres'!$N:$N,MATCH($D3683,'Paramètres'!$M:$M,0))&amp;"",""))),0,IF(OR(IFERROR(INDEX('Paramètres'!$I:$I,MATCH($C3683,'Paramètres'!$D:$D,0))&amp;"","")="Les deux",IFERROR(INDEX('Paramètres'!$I:$I,MATCH($C3683,'Paramètres'!$D:$D,0))&amp;"","")=IF($P3683=1,"Débit",$L3683)),-IF($P3683=1,-$K3683,$K3683),0))))</f>
        <v/>
      </c>
      <c r="U3683" s="6" t="str">
        <f>IF($K3683="","",IF(ISNUMBER(SEARCH("sortie-epargne",IFERROR(INDEX('Paramètres'!$N:$N,MATCH($D3683,'Paramètres'!$M:$M,0))&amp;"",""))),$K3683,0))</f>
        <v/>
      </c>
      <c r="V3683" s="6" t="str">
        <f>IF(AND($A3683&lt;&gt;"",$O3683=1,$L3683="Débit",N($Q3683)&gt;0,$A3683&gt;=Visualisation!$B$1,$A3683&lt;Visualisation!$D$1),MAX($V$1:V3682)+1,"")</f>
        <v/>
      </c>
    </row>
    <row r="3684" spans="1:22" x14ac:dyDescent="0.25">
      <c r="A3684" s="9"/>
      <c r="E3684" s="10"/>
      <c r="K3684" s="11" t="str">
        <f>IF($E3684="","",ROUND($E3684*IF(ISNA(MATCH($C3684,'Paramètres'!$D:$D,0)),1,IF(INDEX('Paramètres'!$J:$J,MATCH($C3684,'Paramètres'!$D:$D,0))="",1,INDEX('Paramètres'!$J:$J,MATCH($C3684,'Paramètres'!$D:$D,0)))),2))</f>
        <v/>
      </c>
      <c r="L3684" s="6" t="str">
        <f>IF($D3684="","",IF($F3684&lt;&gt;"",$F3684,IF(ISNA(MATCH($D3684,'Paramètres'!$M:$M,0)),"⚠ Type inconnu",IFERROR(INDEX('Paramètres'!$P:$P,MATCH($D3684,'Paramètres'!$M:$M,0))&amp;"",""))))</f>
        <v/>
      </c>
      <c r="M3684" s="6" t="str">
        <f>IF($D3684="","",IF(ISNA(MATCH($D3684,'Paramètres'!$M:$M,0)),"⚠ Type inconnu",IF($L3684="Crédit","",IFERROR(INDEX('Paramètres'!$O:$O,MATCH($D3684,'Paramètres'!$M:$M,0))&amp;"",""))))</f>
        <v/>
      </c>
      <c r="N3684" s="6" t="str">
        <f>IF($D3684="","",IFERROR(INDEX('Paramètres'!$Q:$Q,MATCH($D3684,'Paramètres'!$M:$M,0))&amp;"",""))</f>
        <v/>
      </c>
      <c r="O3684" s="6" t="str">
        <f>IF($A3684="","",IF(OR($J3684&lt;&gt;"x",$A3684&lt;=FinReleve),1,0))</f>
        <v/>
      </c>
      <c r="P3684" s="6" t="str">
        <f>IF($D3684="","",IF(AND($L3684="Crédit",OR(IFERROR(INDEX('Paramètres'!$O:$O,MATCH($D3684,'Paramètres'!$M:$M,0))&amp;"","")&lt;&gt;"",ISNUMBER(SEARCH("remboursement",IFERROR(INDEX('Paramètres'!$N:$N,MATCH($D3684,'Paramètres'!$M:$M,0))&amp;"",""))))),1,0))</f>
        <v/>
      </c>
      <c r="Q3684" s="6" t="str">
        <f>IF($K3684="","",IF(ISNUMBER(SEARCH("transfert-interne",IFERROR(INDEX('Paramètres'!$N:$N,MATCH($D3684,'Paramètres'!$M:$M,0))&amp;"",""))),0,IF($L3684="Débit",$K3684,IF($P3684=1,-$K3684,0))))</f>
        <v/>
      </c>
      <c r="R3684" s="6" t="str">
        <f>IF($K3684="","",IF($L3684="Crédit",$K3684,-$K3684))</f>
        <v/>
      </c>
      <c r="S3684" s="6" t="str">
        <f>IF($C3684="","",IFERROR(INDEX('Paramètres'!$H:$H,MATCH($C3684,'Paramètres'!$D:$D,0))&amp;"",""))</f>
        <v/>
      </c>
      <c r="T3684" s="6" t="str">
        <f>IF($K3684="","",IF($S3684="",0,IF(ISNUMBER(SEARCH("apport-exterieur",IFERROR(INDEX('Paramètres'!$N:$N,MATCH($D3684,'Paramètres'!$M:$M,0))&amp;"",""))),0,IF(OR(IFERROR(INDEX('Paramètres'!$I:$I,MATCH($C3684,'Paramètres'!$D:$D,0))&amp;"","")="Les deux",IFERROR(INDEX('Paramètres'!$I:$I,MATCH($C3684,'Paramètres'!$D:$D,0))&amp;"","")=IF($P3684=1,"Débit",$L3684)),-IF($P3684=1,-$K3684,$K3684),0))))</f>
        <v/>
      </c>
      <c r="U3684" s="6" t="str">
        <f>IF($K3684="","",IF(ISNUMBER(SEARCH("sortie-epargne",IFERROR(INDEX('Paramètres'!$N:$N,MATCH($D3684,'Paramètres'!$M:$M,0))&amp;"",""))),$K3684,0))</f>
        <v/>
      </c>
      <c r="V3684" s="6" t="str">
        <f>IF(AND($A3684&lt;&gt;"",$O3684=1,$L3684="Débit",N($Q3684)&gt;0,$A3684&gt;=Visualisation!$B$1,$A3684&lt;Visualisation!$D$1),MAX($V$1:V3683)+1,"")</f>
        <v/>
      </c>
    </row>
    <row r="3685" spans="1:22" x14ac:dyDescent="0.25">
      <c r="A3685" s="9"/>
      <c r="E3685" s="10"/>
      <c r="K3685" s="11" t="str">
        <f>IF($E3685="","",ROUND($E3685*IF(ISNA(MATCH($C3685,'Paramètres'!$D:$D,0)),1,IF(INDEX('Paramètres'!$J:$J,MATCH($C3685,'Paramètres'!$D:$D,0))="",1,INDEX('Paramètres'!$J:$J,MATCH($C3685,'Paramètres'!$D:$D,0)))),2))</f>
        <v/>
      </c>
      <c r="L3685" s="6" t="str">
        <f>IF($D3685="","",IF($F3685&lt;&gt;"",$F3685,IF(ISNA(MATCH($D3685,'Paramètres'!$M:$M,0)),"⚠ Type inconnu",IFERROR(INDEX('Paramètres'!$P:$P,MATCH($D3685,'Paramètres'!$M:$M,0))&amp;"",""))))</f>
        <v/>
      </c>
      <c r="M3685" s="6" t="str">
        <f>IF($D3685="","",IF(ISNA(MATCH($D3685,'Paramètres'!$M:$M,0)),"⚠ Type inconnu",IF($L3685="Crédit","",IFERROR(INDEX('Paramètres'!$O:$O,MATCH($D3685,'Paramètres'!$M:$M,0))&amp;"",""))))</f>
        <v/>
      </c>
      <c r="N3685" s="6" t="str">
        <f>IF($D3685="","",IFERROR(INDEX('Paramètres'!$Q:$Q,MATCH($D3685,'Paramètres'!$M:$M,0))&amp;"",""))</f>
        <v/>
      </c>
      <c r="O3685" s="6" t="str">
        <f>IF($A3685="","",IF(OR($J3685&lt;&gt;"x",$A3685&lt;=FinReleve),1,0))</f>
        <v/>
      </c>
      <c r="P3685" s="6" t="str">
        <f>IF($D3685="","",IF(AND($L3685="Crédit",OR(IFERROR(INDEX('Paramètres'!$O:$O,MATCH($D3685,'Paramètres'!$M:$M,0))&amp;"","")&lt;&gt;"",ISNUMBER(SEARCH("remboursement",IFERROR(INDEX('Paramètres'!$N:$N,MATCH($D3685,'Paramètres'!$M:$M,0))&amp;"",""))))),1,0))</f>
        <v/>
      </c>
      <c r="Q3685" s="6" t="str">
        <f>IF($K3685="","",IF(ISNUMBER(SEARCH("transfert-interne",IFERROR(INDEX('Paramètres'!$N:$N,MATCH($D3685,'Paramètres'!$M:$M,0))&amp;"",""))),0,IF($L3685="Débit",$K3685,IF($P3685=1,-$K3685,0))))</f>
        <v/>
      </c>
      <c r="R3685" s="6" t="str">
        <f>IF($K3685="","",IF($L3685="Crédit",$K3685,-$K3685))</f>
        <v/>
      </c>
      <c r="S3685" s="6" t="str">
        <f>IF($C3685="","",IFERROR(INDEX('Paramètres'!$H:$H,MATCH($C3685,'Paramètres'!$D:$D,0))&amp;"",""))</f>
        <v/>
      </c>
      <c r="T3685" s="6" t="str">
        <f>IF($K3685="","",IF($S3685="",0,IF(ISNUMBER(SEARCH("apport-exterieur",IFERROR(INDEX('Paramètres'!$N:$N,MATCH($D3685,'Paramètres'!$M:$M,0))&amp;"",""))),0,IF(OR(IFERROR(INDEX('Paramètres'!$I:$I,MATCH($C3685,'Paramètres'!$D:$D,0))&amp;"","")="Les deux",IFERROR(INDEX('Paramètres'!$I:$I,MATCH($C3685,'Paramètres'!$D:$D,0))&amp;"","")=IF($P3685=1,"Débit",$L3685)),-IF($P3685=1,-$K3685,$K3685),0))))</f>
        <v/>
      </c>
      <c r="U3685" s="6" t="str">
        <f>IF($K3685="","",IF(ISNUMBER(SEARCH("sortie-epargne",IFERROR(INDEX('Paramètres'!$N:$N,MATCH($D3685,'Paramètres'!$M:$M,0))&amp;"",""))),$K3685,0))</f>
        <v/>
      </c>
      <c r="V3685" s="6" t="str">
        <f>IF(AND($A3685&lt;&gt;"",$O3685=1,$L3685="Débit",N($Q3685)&gt;0,$A3685&gt;=Visualisation!$B$1,$A3685&lt;Visualisation!$D$1),MAX($V$1:V3684)+1,"")</f>
        <v/>
      </c>
    </row>
    <row r="3686" spans="1:22" x14ac:dyDescent="0.25">
      <c r="A3686" s="9"/>
      <c r="E3686" s="10"/>
      <c r="K3686" s="11" t="str">
        <f>IF($E3686="","",ROUND($E3686*IF(ISNA(MATCH($C3686,'Paramètres'!$D:$D,0)),1,IF(INDEX('Paramètres'!$J:$J,MATCH($C3686,'Paramètres'!$D:$D,0))="",1,INDEX('Paramètres'!$J:$J,MATCH($C3686,'Paramètres'!$D:$D,0)))),2))</f>
        <v/>
      </c>
      <c r="L3686" s="6" t="str">
        <f>IF($D3686="","",IF($F3686&lt;&gt;"",$F3686,IF(ISNA(MATCH($D3686,'Paramètres'!$M:$M,0)),"⚠ Type inconnu",IFERROR(INDEX('Paramètres'!$P:$P,MATCH($D3686,'Paramètres'!$M:$M,0))&amp;"",""))))</f>
        <v/>
      </c>
      <c r="M3686" s="6" t="str">
        <f>IF($D3686="","",IF(ISNA(MATCH($D3686,'Paramètres'!$M:$M,0)),"⚠ Type inconnu",IF($L3686="Crédit","",IFERROR(INDEX('Paramètres'!$O:$O,MATCH($D3686,'Paramètres'!$M:$M,0))&amp;"",""))))</f>
        <v/>
      </c>
      <c r="N3686" s="6" t="str">
        <f>IF($D3686="","",IFERROR(INDEX('Paramètres'!$Q:$Q,MATCH($D3686,'Paramètres'!$M:$M,0))&amp;"",""))</f>
        <v/>
      </c>
      <c r="O3686" s="6" t="str">
        <f>IF($A3686="","",IF(OR($J3686&lt;&gt;"x",$A3686&lt;=FinReleve),1,0))</f>
        <v/>
      </c>
      <c r="P3686" s="6" t="str">
        <f>IF($D3686="","",IF(AND($L3686="Crédit",OR(IFERROR(INDEX('Paramètres'!$O:$O,MATCH($D3686,'Paramètres'!$M:$M,0))&amp;"","")&lt;&gt;"",ISNUMBER(SEARCH("remboursement",IFERROR(INDEX('Paramètres'!$N:$N,MATCH($D3686,'Paramètres'!$M:$M,0))&amp;"",""))))),1,0))</f>
        <v/>
      </c>
      <c r="Q3686" s="6" t="str">
        <f>IF($K3686="","",IF(ISNUMBER(SEARCH("transfert-interne",IFERROR(INDEX('Paramètres'!$N:$N,MATCH($D3686,'Paramètres'!$M:$M,0))&amp;"",""))),0,IF($L3686="Débit",$K3686,IF($P3686=1,-$K3686,0))))</f>
        <v/>
      </c>
      <c r="R3686" s="6" t="str">
        <f>IF($K3686="","",IF($L3686="Crédit",$K3686,-$K3686))</f>
        <v/>
      </c>
      <c r="S3686" s="6" t="str">
        <f>IF($C3686="","",IFERROR(INDEX('Paramètres'!$H:$H,MATCH($C3686,'Paramètres'!$D:$D,0))&amp;"",""))</f>
        <v/>
      </c>
      <c r="T3686" s="6" t="str">
        <f>IF($K3686="","",IF($S3686="",0,IF(ISNUMBER(SEARCH("apport-exterieur",IFERROR(INDEX('Paramètres'!$N:$N,MATCH($D3686,'Paramètres'!$M:$M,0))&amp;"",""))),0,IF(OR(IFERROR(INDEX('Paramètres'!$I:$I,MATCH($C3686,'Paramètres'!$D:$D,0))&amp;"","")="Les deux",IFERROR(INDEX('Paramètres'!$I:$I,MATCH($C3686,'Paramètres'!$D:$D,0))&amp;"","")=IF($P3686=1,"Débit",$L3686)),-IF($P3686=1,-$K3686,$K3686),0))))</f>
        <v/>
      </c>
      <c r="U3686" s="6" t="str">
        <f>IF($K3686="","",IF(ISNUMBER(SEARCH("sortie-epargne",IFERROR(INDEX('Paramètres'!$N:$N,MATCH($D3686,'Paramètres'!$M:$M,0))&amp;"",""))),$K3686,0))</f>
        <v/>
      </c>
      <c r="V3686" s="6" t="str">
        <f>IF(AND($A3686&lt;&gt;"",$O3686=1,$L3686="Débit",N($Q3686)&gt;0,$A3686&gt;=Visualisation!$B$1,$A3686&lt;Visualisation!$D$1),MAX($V$1:V3685)+1,"")</f>
        <v/>
      </c>
    </row>
    <row r="3687" spans="1:22" x14ac:dyDescent="0.25">
      <c r="A3687" s="9"/>
      <c r="E3687" s="10"/>
      <c r="K3687" s="11" t="str">
        <f>IF($E3687="","",ROUND($E3687*IF(ISNA(MATCH($C3687,'Paramètres'!$D:$D,0)),1,IF(INDEX('Paramètres'!$J:$J,MATCH($C3687,'Paramètres'!$D:$D,0))="",1,INDEX('Paramètres'!$J:$J,MATCH($C3687,'Paramètres'!$D:$D,0)))),2))</f>
        <v/>
      </c>
      <c r="L3687" s="6" t="str">
        <f>IF($D3687="","",IF($F3687&lt;&gt;"",$F3687,IF(ISNA(MATCH($D3687,'Paramètres'!$M:$M,0)),"⚠ Type inconnu",IFERROR(INDEX('Paramètres'!$P:$P,MATCH($D3687,'Paramètres'!$M:$M,0))&amp;"",""))))</f>
        <v/>
      </c>
      <c r="M3687" s="6" t="str">
        <f>IF($D3687="","",IF(ISNA(MATCH($D3687,'Paramètres'!$M:$M,0)),"⚠ Type inconnu",IF($L3687="Crédit","",IFERROR(INDEX('Paramètres'!$O:$O,MATCH($D3687,'Paramètres'!$M:$M,0))&amp;"",""))))</f>
        <v/>
      </c>
      <c r="N3687" s="6" t="str">
        <f>IF($D3687="","",IFERROR(INDEX('Paramètres'!$Q:$Q,MATCH($D3687,'Paramètres'!$M:$M,0))&amp;"",""))</f>
        <v/>
      </c>
      <c r="O3687" s="6" t="str">
        <f>IF($A3687="","",IF(OR($J3687&lt;&gt;"x",$A3687&lt;=FinReleve),1,0))</f>
        <v/>
      </c>
      <c r="P3687" s="6" t="str">
        <f>IF($D3687="","",IF(AND($L3687="Crédit",OR(IFERROR(INDEX('Paramètres'!$O:$O,MATCH($D3687,'Paramètres'!$M:$M,0))&amp;"","")&lt;&gt;"",ISNUMBER(SEARCH("remboursement",IFERROR(INDEX('Paramètres'!$N:$N,MATCH($D3687,'Paramètres'!$M:$M,0))&amp;"",""))))),1,0))</f>
        <v/>
      </c>
      <c r="Q3687" s="6" t="str">
        <f>IF($K3687="","",IF(ISNUMBER(SEARCH("transfert-interne",IFERROR(INDEX('Paramètres'!$N:$N,MATCH($D3687,'Paramètres'!$M:$M,0))&amp;"",""))),0,IF($L3687="Débit",$K3687,IF($P3687=1,-$K3687,0))))</f>
        <v/>
      </c>
      <c r="R3687" s="6" t="str">
        <f>IF($K3687="","",IF($L3687="Crédit",$K3687,-$K3687))</f>
        <v/>
      </c>
      <c r="S3687" s="6" t="str">
        <f>IF($C3687="","",IFERROR(INDEX('Paramètres'!$H:$H,MATCH($C3687,'Paramètres'!$D:$D,0))&amp;"",""))</f>
        <v/>
      </c>
      <c r="T3687" s="6" t="str">
        <f>IF($K3687="","",IF($S3687="",0,IF(ISNUMBER(SEARCH("apport-exterieur",IFERROR(INDEX('Paramètres'!$N:$N,MATCH($D3687,'Paramètres'!$M:$M,0))&amp;"",""))),0,IF(OR(IFERROR(INDEX('Paramètres'!$I:$I,MATCH($C3687,'Paramètres'!$D:$D,0))&amp;"","")="Les deux",IFERROR(INDEX('Paramètres'!$I:$I,MATCH($C3687,'Paramètres'!$D:$D,0))&amp;"","")=IF($P3687=1,"Débit",$L3687)),-IF($P3687=1,-$K3687,$K3687),0))))</f>
        <v/>
      </c>
      <c r="U3687" s="6" t="str">
        <f>IF($K3687="","",IF(ISNUMBER(SEARCH("sortie-epargne",IFERROR(INDEX('Paramètres'!$N:$N,MATCH($D3687,'Paramètres'!$M:$M,0))&amp;"",""))),$K3687,0))</f>
        <v/>
      </c>
      <c r="V3687" s="6" t="str">
        <f>IF(AND($A3687&lt;&gt;"",$O3687=1,$L3687="Débit",N($Q3687)&gt;0,$A3687&gt;=Visualisation!$B$1,$A3687&lt;Visualisation!$D$1),MAX($V$1:V3686)+1,"")</f>
        <v/>
      </c>
    </row>
    <row r="3688" spans="1:22" x14ac:dyDescent="0.25">
      <c r="A3688" s="9"/>
      <c r="E3688" s="10"/>
      <c r="K3688" s="11" t="str">
        <f>IF($E3688="","",ROUND($E3688*IF(ISNA(MATCH($C3688,'Paramètres'!$D:$D,0)),1,IF(INDEX('Paramètres'!$J:$J,MATCH($C3688,'Paramètres'!$D:$D,0))="",1,INDEX('Paramètres'!$J:$J,MATCH($C3688,'Paramètres'!$D:$D,0)))),2))</f>
        <v/>
      </c>
      <c r="L3688" s="6" t="str">
        <f>IF($D3688="","",IF($F3688&lt;&gt;"",$F3688,IF(ISNA(MATCH($D3688,'Paramètres'!$M:$M,0)),"⚠ Type inconnu",IFERROR(INDEX('Paramètres'!$P:$P,MATCH($D3688,'Paramètres'!$M:$M,0))&amp;"",""))))</f>
        <v/>
      </c>
      <c r="M3688" s="6" t="str">
        <f>IF($D3688="","",IF(ISNA(MATCH($D3688,'Paramètres'!$M:$M,0)),"⚠ Type inconnu",IF($L3688="Crédit","",IFERROR(INDEX('Paramètres'!$O:$O,MATCH($D3688,'Paramètres'!$M:$M,0))&amp;"",""))))</f>
        <v/>
      </c>
      <c r="N3688" s="6" t="str">
        <f>IF($D3688="","",IFERROR(INDEX('Paramètres'!$Q:$Q,MATCH($D3688,'Paramètres'!$M:$M,0))&amp;"",""))</f>
        <v/>
      </c>
      <c r="O3688" s="6" t="str">
        <f>IF($A3688="","",IF(OR($J3688&lt;&gt;"x",$A3688&lt;=FinReleve),1,0))</f>
        <v/>
      </c>
      <c r="P3688" s="6" t="str">
        <f>IF($D3688="","",IF(AND($L3688="Crédit",OR(IFERROR(INDEX('Paramètres'!$O:$O,MATCH($D3688,'Paramètres'!$M:$M,0))&amp;"","")&lt;&gt;"",ISNUMBER(SEARCH("remboursement",IFERROR(INDEX('Paramètres'!$N:$N,MATCH($D3688,'Paramètres'!$M:$M,0))&amp;"",""))))),1,0))</f>
        <v/>
      </c>
      <c r="Q3688" s="6" t="str">
        <f>IF($K3688="","",IF(ISNUMBER(SEARCH("transfert-interne",IFERROR(INDEX('Paramètres'!$N:$N,MATCH($D3688,'Paramètres'!$M:$M,0))&amp;"",""))),0,IF($L3688="Débit",$K3688,IF($P3688=1,-$K3688,0))))</f>
        <v/>
      </c>
      <c r="R3688" s="6" t="str">
        <f>IF($K3688="","",IF($L3688="Crédit",$K3688,-$K3688))</f>
        <v/>
      </c>
      <c r="S3688" s="6" t="str">
        <f>IF($C3688="","",IFERROR(INDEX('Paramètres'!$H:$H,MATCH($C3688,'Paramètres'!$D:$D,0))&amp;"",""))</f>
        <v/>
      </c>
      <c r="T3688" s="6" t="str">
        <f>IF($K3688="","",IF($S3688="",0,IF(ISNUMBER(SEARCH("apport-exterieur",IFERROR(INDEX('Paramètres'!$N:$N,MATCH($D3688,'Paramètres'!$M:$M,0))&amp;"",""))),0,IF(OR(IFERROR(INDEX('Paramètres'!$I:$I,MATCH($C3688,'Paramètres'!$D:$D,0))&amp;"","")="Les deux",IFERROR(INDEX('Paramètres'!$I:$I,MATCH($C3688,'Paramètres'!$D:$D,0))&amp;"","")=IF($P3688=1,"Débit",$L3688)),-IF($P3688=1,-$K3688,$K3688),0))))</f>
        <v/>
      </c>
      <c r="U3688" s="6" t="str">
        <f>IF($K3688="","",IF(ISNUMBER(SEARCH("sortie-epargne",IFERROR(INDEX('Paramètres'!$N:$N,MATCH($D3688,'Paramètres'!$M:$M,0))&amp;"",""))),$K3688,0))</f>
        <v/>
      </c>
      <c r="V3688" s="6" t="str">
        <f>IF(AND($A3688&lt;&gt;"",$O3688=1,$L3688="Débit",N($Q3688)&gt;0,$A3688&gt;=Visualisation!$B$1,$A3688&lt;Visualisation!$D$1),MAX($V$1:V3687)+1,"")</f>
        <v/>
      </c>
    </row>
    <row r="3689" spans="1:22" x14ac:dyDescent="0.25">
      <c r="A3689" s="9"/>
      <c r="E3689" s="10"/>
      <c r="K3689" s="11" t="str">
        <f>IF($E3689="","",ROUND($E3689*IF(ISNA(MATCH($C3689,'Paramètres'!$D:$D,0)),1,IF(INDEX('Paramètres'!$J:$J,MATCH($C3689,'Paramètres'!$D:$D,0))="",1,INDEX('Paramètres'!$J:$J,MATCH($C3689,'Paramètres'!$D:$D,0)))),2))</f>
        <v/>
      </c>
      <c r="L3689" s="6" t="str">
        <f>IF($D3689="","",IF($F3689&lt;&gt;"",$F3689,IF(ISNA(MATCH($D3689,'Paramètres'!$M:$M,0)),"⚠ Type inconnu",IFERROR(INDEX('Paramètres'!$P:$P,MATCH($D3689,'Paramètres'!$M:$M,0))&amp;"",""))))</f>
        <v/>
      </c>
      <c r="M3689" s="6" t="str">
        <f>IF($D3689="","",IF(ISNA(MATCH($D3689,'Paramètres'!$M:$M,0)),"⚠ Type inconnu",IF($L3689="Crédit","",IFERROR(INDEX('Paramètres'!$O:$O,MATCH($D3689,'Paramètres'!$M:$M,0))&amp;"",""))))</f>
        <v/>
      </c>
      <c r="N3689" s="6" t="str">
        <f>IF($D3689="","",IFERROR(INDEX('Paramètres'!$Q:$Q,MATCH($D3689,'Paramètres'!$M:$M,0))&amp;"",""))</f>
        <v/>
      </c>
      <c r="O3689" s="6" t="str">
        <f>IF($A3689="","",IF(OR($J3689&lt;&gt;"x",$A3689&lt;=FinReleve),1,0))</f>
        <v/>
      </c>
      <c r="P3689" s="6" t="str">
        <f>IF($D3689="","",IF(AND($L3689="Crédit",OR(IFERROR(INDEX('Paramètres'!$O:$O,MATCH($D3689,'Paramètres'!$M:$M,0))&amp;"","")&lt;&gt;"",ISNUMBER(SEARCH("remboursement",IFERROR(INDEX('Paramètres'!$N:$N,MATCH($D3689,'Paramètres'!$M:$M,0))&amp;"",""))))),1,0))</f>
        <v/>
      </c>
      <c r="Q3689" s="6" t="str">
        <f>IF($K3689="","",IF(ISNUMBER(SEARCH("transfert-interne",IFERROR(INDEX('Paramètres'!$N:$N,MATCH($D3689,'Paramètres'!$M:$M,0))&amp;"",""))),0,IF($L3689="Débit",$K3689,IF($P3689=1,-$K3689,0))))</f>
        <v/>
      </c>
      <c r="R3689" s="6" t="str">
        <f>IF($K3689="","",IF($L3689="Crédit",$K3689,-$K3689))</f>
        <v/>
      </c>
      <c r="S3689" s="6" t="str">
        <f>IF($C3689="","",IFERROR(INDEX('Paramètres'!$H:$H,MATCH($C3689,'Paramètres'!$D:$D,0))&amp;"",""))</f>
        <v/>
      </c>
      <c r="T3689" s="6" t="str">
        <f>IF($K3689="","",IF($S3689="",0,IF(ISNUMBER(SEARCH("apport-exterieur",IFERROR(INDEX('Paramètres'!$N:$N,MATCH($D3689,'Paramètres'!$M:$M,0))&amp;"",""))),0,IF(OR(IFERROR(INDEX('Paramètres'!$I:$I,MATCH($C3689,'Paramètres'!$D:$D,0))&amp;"","")="Les deux",IFERROR(INDEX('Paramètres'!$I:$I,MATCH($C3689,'Paramètres'!$D:$D,0))&amp;"","")=IF($P3689=1,"Débit",$L3689)),-IF($P3689=1,-$K3689,$K3689),0))))</f>
        <v/>
      </c>
      <c r="U3689" s="6" t="str">
        <f>IF($K3689="","",IF(ISNUMBER(SEARCH("sortie-epargne",IFERROR(INDEX('Paramètres'!$N:$N,MATCH($D3689,'Paramètres'!$M:$M,0))&amp;"",""))),$K3689,0))</f>
        <v/>
      </c>
      <c r="V3689" s="6" t="str">
        <f>IF(AND($A3689&lt;&gt;"",$O3689=1,$L3689="Débit",N($Q3689)&gt;0,$A3689&gt;=Visualisation!$B$1,$A3689&lt;Visualisation!$D$1),MAX($V$1:V3688)+1,"")</f>
        <v/>
      </c>
    </row>
    <row r="3690" spans="1:22" x14ac:dyDescent="0.25">
      <c r="A3690" s="9"/>
      <c r="E3690" s="10"/>
      <c r="K3690" s="11" t="str">
        <f>IF($E3690="","",ROUND($E3690*IF(ISNA(MATCH($C3690,'Paramètres'!$D:$D,0)),1,IF(INDEX('Paramètres'!$J:$J,MATCH($C3690,'Paramètres'!$D:$D,0))="",1,INDEX('Paramètres'!$J:$J,MATCH($C3690,'Paramètres'!$D:$D,0)))),2))</f>
        <v/>
      </c>
      <c r="L3690" s="6" t="str">
        <f>IF($D3690="","",IF($F3690&lt;&gt;"",$F3690,IF(ISNA(MATCH($D3690,'Paramètres'!$M:$M,0)),"⚠ Type inconnu",IFERROR(INDEX('Paramètres'!$P:$P,MATCH($D3690,'Paramètres'!$M:$M,0))&amp;"",""))))</f>
        <v/>
      </c>
      <c r="M3690" s="6" t="str">
        <f>IF($D3690="","",IF(ISNA(MATCH($D3690,'Paramètres'!$M:$M,0)),"⚠ Type inconnu",IF($L3690="Crédit","",IFERROR(INDEX('Paramètres'!$O:$O,MATCH($D3690,'Paramètres'!$M:$M,0))&amp;"",""))))</f>
        <v/>
      </c>
      <c r="N3690" s="6" t="str">
        <f>IF($D3690="","",IFERROR(INDEX('Paramètres'!$Q:$Q,MATCH($D3690,'Paramètres'!$M:$M,0))&amp;"",""))</f>
        <v/>
      </c>
      <c r="O3690" s="6" t="str">
        <f>IF($A3690="","",IF(OR($J3690&lt;&gt;"x",$A3690&lt;=FinReleve),1,0))</f>
        <v/>
      </c>
      <c r="P3690" s="6" t="str">
        <f>IF($D3690="","",IF(AND($L3690="Crédit",OR(IFERROR(INDEX('Paramètres'!$O:$O,MATCH($D3690,'Paramètres'!$M:$M,0))&amp;"","")&lt;&gt;"",ISNUMBER(SEARCH("remboursement",IFERROR(INDEX('Paramètres'!$N:$N,MATCH($D3690,'Paramètres'!$M:$M,0))&amp;"",""))))),1,0))</f>
        <v/>
      </c>
      <c r="Q3690" s="6" t="str">
        <f>IF($K3690="","",IF(ISNUMBER(SEARCH("transfert-interne",IFERROR(INDEX('Paramètres'!$N:$N,MATCH($D3690,'Paramètres'!$M:$M,0))&amp;"",""))),0,IF($L3690="Débit",$K3690,IF($P3690=1,-$K3690,0))))</f>
        <v/>
      </c>
      <c r="R3690" s="6" t="str">
        <f>IF($K3690="","",IF($L3690="Crédit",$K3690,-$K3690))</f>
        <v/>
      </c>
      <c r="S3690" s="6" t="str">
        <f>IF($C3690="","",IFERROR(INDEX('Paramètres'!$H:$H,MATCH($C3690,'Paramètres'!$D:$D,0))&amp;"",""))</f>
        <v/>
      </c>
      <c r="T3690" s="6" t="str">
        <f>IF($K3690="","",IF($S3690="",0,IF(ISNUMBER(SEARCH("apport-exterieur",IFERROR(INDEX('Paramètres'!$N:$N,MATCH($D3690,'Paramètres'!$M:$M,0))&amp;"",""))),0,IF(OR(IFERROR(INDEX('Paramètres'!$I:$I,MATCH($C3690,'Paramètres'!$D:$D,0))&amp;"","")="Les deux",IFERROR(INDEX('Paramètres'!$I:$I,MATCH($C3690,'Paramètres'!$D:$D,0))&amp;"","")=IF($P3690=1,"Débit",$L3690)),-IF($P3690=1,-$K3690,$K3690),0))))</f>
        <v/>
      </c>
      <c r="U3690" s="6" t="str">
        <f>IF($K3690="","",IF(ISNUMBER(SEARCH("sortie-epargne",IFERROR(INDEX('Paramètres'!$N:$N,MATCH($D3690,'Paramètres'!$M:$M,0))&amp;"",""))),$K3690,0))</f>
        <v/>
      </c>
      <c r="V3690" s="6" t="str">
        <f>IF(AND($A3690&lt;&gt;"",$O3690=1,$L3690="Débit",N($Q3690)&gt;0,$A3690&gt;=Visualisation!$B$1,$A3690&lt;Visualisation!$D$1),MAX($V$1:V3689)+1,"")</f>
        <v/>
      </c>
    </row>
    <row r="3691" spans="1:22" x14ac:dyDescent="0.25">
      <c r="A3691" s="9"/>
      <c r="E3691" s="10"/>
      <c r="K3691" s="11" t="str">
        <f>IF($E3691="","",ROUND($E3691*IF(ISNA(MATCH($C3691,'Paramètres'!$D:$D,0)),1,IF(INDEX('Paramètres'!$J:$J,MATCH($C3691,'Paramètres'!$D:$D,0))="",1,INDEX('Paramètres'!$J:$J,MATCH($C3691,'Paramètres'!$D:$D,0)))),2))</f>
        <v/>
      </c>
      <c r="L3691" s="6" t="str">
        <f>IF($D3691="","",IF($F3691&lt;&gt;"",$F3691,IF(ISNA(MATCH($D3691,'Paramètres'!$M:$M,0)),"⚠ Type inconnu",IFERROR(INDEX('Paramètres'!$P:$P,MATCH($D3691,'Paramètres'!$M:$M,0))&amp;"",""))))</f>
        <v/>
      </c>
      <c r="M3691" s="6" t="str">
        <f>IF($D3691="","",IF(ISNA(MATCH($D3691,'Paramètres'!$M:$M,0)),"⚠ Type inconnu",IF($L3691="Crédit","",IFERROR(INDEX('Paramètres'!$O:$O,MATCH($D3691,'Paramètres'!$M:$M,0))&amp;"",""))))</f>
        <v/>
      </c>
      <c r="N3691" s="6" t="str">
        <f>IF($D3691="","",IFERROR(INDEX('Paramètres'!$Q:$Q,MATCH($D3691,'Paramètres'!$M:$M,0))&amp;"",""))</f>
        <v/>
      </c>
      <c r="O3691" s="6" t="str">
        <f>IF($A3691="","",IF(OR($J3691&lt;&gt;"x",$A3691&lt;=FinReleve),1,0))</f>
        <v/>
      </c>
      <c r="P3691" s="6" t="str">
        <f>IF($D3691="","",IF(AND($L3691="Crédit",OR(IFERROR(INDEX('Paramètres'!$O:$O,MATCH($D3691,'Paramètres'!$M:$M,0))&amp;"","")&lt;&gt;"",ISNUMBER(SEARCH("remboursement",IFERROR(INDEX('Paramètres'!$N:$N,MATCH($D3691,'Paramètres'!$M:$M,0))&amp;"",""))))),1,0))</f>
        <v/>
      </c>
      <c r="Q3691" s="6" t="str">
        <f>IF($K3691="","",IF(ISNUMBER(SEARCH("transfert-interne",IFERROR(INDEX('Paramètres'!$N:$N,MATCH($D3691,'Paramètres'!$M:$M,0))&amp;"",""))),0,IF($L3691="Débit",$K3691,IF($P3691=1,-$K3691,0))))</f>
        <v/>
      </c>
      <c r="R3691" s="6" t="str">
        <f>IF($K3691="","",IF($L3691="Crédit",$K3691,-$K3691))</f>
        <v/>
      </c>
      <c r="S3691" s="6" t="str">
        <f>IF($C3691="","",IFERROR(INDEX('Paramètres'!$H:$H,MATCH($C3691,'Paramètres'!$D:$D,0))&amp;"",""))</f>
        <v/>
      </c>
      <c r="T3691" s="6" t="str">
        <f>IF($K3691="","",IF($S3691="",0,IF(ISNUMBER(SEARCH("apport-exterieur",IFERROR(INDEX('Paramètres'!$N:$N,MATCH($D3691,'Paramètres'!$M:$M,0))&amp;"",""))),0,IF(OR(IFERROR(INDEX('Paramètres'!$I:$I,MATCH($C3691,'Paramètres'!$D:$D,0))&amp;"","")="Les deux",IFERROR(INDEX('Paramètres'!$I:$I,MATCH($C3691,'Paramètres'!$D:$D,0))&amp;"","")=IF($P3691=1,"Débit",$L3691)),-IF($P3691=1,-$K3691,$K3691),0))))</f>
        <v/>
      </c>
      <c r="U3691" s="6" t="str">
        <f>IF($K3691="","",IF(ISNUMBER(SEARCH("sortie-epargne",IFERROR(INDEX('Paramètres'!$N:$N,MATCH($D3691,'Paramètres'!$M:$M,0))&amp;"",""))),$K3691,0))</f>
        <v/>
      </c>
      <c r="V3691" s="6" t="str">
        <f>IF(AND($A3691&lt;&gt;"",$O3691=1,$L3691="Débit",N($Q3691)&gt;0,$A3691&gt;=Visualisation!$B$1,$A3691&lt;Visualisation!$D$1),MAX($V$1:V3690)+1,"")</f>
        <v/>
      </c>
    </row>
    <row r="3692" spans="1:22" x14ac:dyDescent="0.25">
      <c r="A3692" s="9"/>
      <c r="E3692" s="10"/>
      <c r="K3692" s="11" t="str">
        <f>IF($E3692="","",ROUND($E3692*IF(ISNA(MATCH($C3692,'Paramètres'!$D:$D,0)),1,IF(INDEX('Paramètres'!$J:$J,MATCH($C3692,'Paramètres'!$D:$D,0))="",1,INDEX('Paramètres'!$J:$J,MATCH($C3692,'Paramètres'!$D:$D,0)))),2))</f>
        <v/>
      </c>
      <c r="L3692" s="6" t="str">
        <f>IF($D3692="","",IF($F3692&lt;&gt;"",$F3692,IF(ISNA(MATCH($D3692,'Paramètres'!$M:$M,0)),"⚠ Type inconnu",IFERROR(INDEX('Paramètres'!$P:$P,MATCH($D3692,'Paramètres'!$M:$M,0))&amp;"",""))))</f>
        <v/>
      </c>
      <c r="M3692" s="6" t="str">
        <f>IF($D3692="","",IF(ISNA(MATCH($D3692,'Paramètres'!$M:$M,0)),"⚠ Type inconnu",IF($L3692="Crédit","",IFERROR(INDEX('Paramètres'!$O:$O,MATCH($D3692,'Paramètres'!$M:$M,0))&amp;"",""))))</f>
        <v/>
      </c>
      <c r="N3692" s="6" t="str">
        <f>IF($D3692="","",IFERROR(INDEX('Paramètres'!$Q:$Q,MATCH($D3692,'Paramètres'!$M:$M,0))&amp;"",""))</f>
        <v/>
      </c>
      <c r="O3692" s="6" t="str">
        <f>IF($A3692="","",IF(OR($J3692&lt;&gt;"x",$A3692&lt;=FinReleve),1,0))</f>
        <v/>
      </c>
      <c r="P3692" s="6" t="str">
        <f>IF($D3692="","",IF(AND($L3692="Crédit",OR(IFERROR(INDEX('Paramètres'!$O:$O,MATCH($D3692,'Paramètres'!$M:$M,0))&amp;"","")&lt;&gt;"",ISNUMBER(SEARCH("remboursement",IFERROR(INDEX('Paramètres'!$N:$N,MATCH($D3692,'Paramètres'!$M:$M,0))&amp;"",""))))),1,0))</f>
        <v/>
      </c>
      <c r="Q3692" s="6" t="str">
        <f>IF($K3692="","",IF(ISNUMBER(SEARCH("transfert-interne",IFERROR(INDEX('Paramètres'!$N:$N,MATCH($D3692,'Paramètres'!$M:$M,0))&amp;"",""))),0,IF($L3692="Débit",$K3692,IF($P3692=1,-$K3692,0))))</f>
        <v/>
      </c>
      <c r="R3692" s="6" t="str">
        <f>IF($K3692="","",IF($L3692="Crédit",$K3692,-$K3692))</f>
        <v/>
      </c>
      <c r="S3692" s="6" t="str">
        <f>IF($C3692="","",IFERROR(INDEX('Paramètres'!$H:$H,MATCH($C3692,'Paramètres'!$D:$D,0))&amp;"",""))</f>
        <v/>
      </c>
      <c r="T3692" s="6" t="str">
        <f>IF($K3692="","",IF($S3692="",0,IF(ISNUMBER(SEARCH("apport-exterieur",IFERROR(INDEX('Paramètres'!$N:$N,MATCH($D3692,'Paramètres'!$M:$M,0))&amp;"",""))),0,IF(OR(IFERROR(INDEX('Paramètres'!$I:$I,MATCH($C3692,'Paramètres'!$D:$D,0))&amp;"","")="Les deux",IFERROR(INDEX('Paramètres'!$I:$I,MATCH($C3692,'Paramètres'!$D:$D,0))&amp;"","")=IF($P3692=1,"Débit",$L3692)),-IF($P3692=1,-$K3692,$K3692),0))))</f>
        <v/>
      </c>
      <c r="U3692" s="6" t="str">
        <f>IF($K3692="","",IF(ISNUMBER(SEARCH("sortie-epargne",IFERROR(INDEX('Paramètres'!$N:$N,MATCH($D3692,'Paramètres'!$M:$M,0))&amp;"",""))),$K3692,0))</f>
        <v/>
      </c>
      <c r="V3692" s="6" t="str">
        <f>IF(AND($A3692&lt;&gt;"",$O3692=1,$L3692="Débit",N($Q3692)&gt;0,$A3692&gt;=Visualisation!$B$1,$A3692&lt;Visualisation!$D$1),MAX($V$1:V3691)+1,"")</f>
        <v/>
      </c>
    </row>
    <row r="3693" spans="1:22" x14ac:dyDescent="0.25">
      <c r="A3693" s="9"/>
      <c r="E3693" s="10"/>
      <c r="K3693" s="11" t="str">
        <f>IF($E3693="","",ROUND($E3693*IF(ISNA(MATCH($C3693,'Paramètres'!$D:$D,0)),1,IF(INDEX('Paramètres'!$J:$J,MATCH($C3693,'Paramètres'!$D:$D,0))="",1,INDEX('Paramètres'!$J:$J,MATCH($C3693,'Paramètres'!$D:$D,0)))),2))</f>
        <v/>
      </c>
      <c r="L3693" s="6" t="str">
        <f>IF($D3693="","",IF($F3693&lt;&gt;"",$F3693,IF(ISNA(MATCH($D3693,'Paramètres'!$M:$M,0)),"⚠ Type inconnu",IFERROR(INDEX('Paramètres'!$P:$P,MATCH($D3693,'Paramètres'!$M:$M,0))&amp;"",""))))</f>
        <v/>
      </c>
      <c r="M3693" s="6" t="str">
        <f>IF($D3693="","",IF(ISNA(MATCH($D3693,'Paramètres'!$M:$M,0)),"⚠ Type inconnu",IF($L3693="Crédit","",IFERROR(INDEX('Paramètres'!$O:$O,MATCH($D3693,'Paramètres'!$M:$M,0))&amp;"",""))))</f>
        <v/>
      </c>
      <c r="N3693" s="6" t="str">
        <f>IF($D3693="","",IFERROR(INDEX('Paramètres'!$Q:$Q,MATCH($D3693,'Paramètres'!$M:$M,0))&amp;"",""))</f>
        <v/>
      </c>
      <c r="O3693" s="6" t="str">
        <f>IF($A3693="","",IF(OR($J3693&lt;&gt;"x",$A3693&lt;=FinReleve),1,0))</f>
        <v/>
      </c>
      <c r="P3693" s="6" t="str">
        <f>IF($D3693="","",IF(AND($L3693="Crédit",OR(IFERROR(INDEX('Paramètres'!$O:$O,MATCH($D3693,'Paramètres'!$M:$M,0))&amp;"","")&lt;&gt;"",ISNUMBER(SEARCH("remboursement",IFERROR(INDEX('Paramètres'!$N:$N,MATCH($D3693,'Paramètres'!$M:$M,0))&amp;"",""))))),1,0))</f>
        <v/>
      </c>
      <c r="Q3693" s="6" t="str">
        <f>IF($K3693="","",IF(ISNUMBER(SEARCH("transfert-interne",IFERROR(INDEX('Paramètres'!$N:$N,MATCH($D3693,'Paramètres'!$M:$M,0))&amp;"",""))),0,IF($L3693="Débit",$K3693,IF($P3693=1,-$K3693,0))))</f>
        <v/>
      </c>
      <c r="R3693" s="6" t="str">
        <f>IF($K3693="","",IF($L3693="Crédit",$K3693,-$K3693))</f>
        <v/>
      </c>
      <c r="S3693" s="6" t="str">
        <f>IF($C3693="","",IFERROR(INDEX('Paramètres'!$H:$H,MATCH($C3693,'Paramètres'!$D:$D,0))&amp;"",""))</f>
        <v/>
      </c>
      <c r="T3693" s="6" t="str">
        <f>IF($K3693="","",IF($S3693="",0,IF(ISNUMBER(SEARCH("apport-exterieur",IFERROR(INDEX('Paramètres'!$N:$N,MATCH($D3693,'Paramètres'!$M:$M,0))&amp;"",""))),0,IF(OR(IFERROR(INDEX('Paramètres'!$I:$I,MATCH($C3693,'Paramètres'!$D:$D,0))&amp;"","")="Les deux",IFERROR(INDEX('Paramètres'!$I:$I,MATCH($C3693,'Paramètres'!$D:$D,0))&amp;"","")=IF($P3693=1,"Débit",$L3693)),-IF($P3693=1,-$K3693,$K3693),0))))</f>
        <v/>
      </c>
      <c r="U3693" s="6" t="str">
        <f>IF($K3693="","",IF(ISNUMBER(SEARCH("sortie-epargne",IFERROR(INDEX('Paramètres'!$N:$N,MATCH($D3693,'Paramètres'!$M:$M,0))&amp;"",""))),$K3693,0))</f>
        <v/>
      </c>
      <c r="V3693" s="6" t="str">
        <f>IF(AND($A3693&lt;&gt;"",$O3693=1,$L3693="Débit",N($Q3693)&gt;0,$A3693&gt;=Visualisation!$B$1,$A3693&lt;Visualisation!$D$1),MAX($V$1:V3692)+1,"")</f>
        <v/>
      </c>
    </row>
    <row r="3694" spans="1:22" x14ac:dyDescent="0.25">
      <c r="A3694" s="9"/>
      <c r="E3694" s="10"/>
      <c r="K3694" s="11" t="str">
        <f>IF($E3694="","",ROUND($E3694*IF(ISNA(MATCH($C3694,'Paramètres'!$D:$D,0)),1,IF(INDEX('Paramètres'!$J:$J,MATCH($C3694,'Paramètres'!$D:$D,0))="",1,INDEX('Paramètres'!$J:$J,MATCH($C3694,'Paramètres'!$D:$D,0)))),2))</f>
        <v/>
      </c>
      <c r="L3694" s="6" t="str">
        <f>IF($D3694="","",IF($F3694&lt;&gt;"",$F3694,IF(ISNA(MATCH($D3694,'Paramètres'!$M:$M,0)),"⚠ Type inconnu",IFERROR(INDEX('Paramètres'!$P:$P,MATCH($D3694,'Paramètres'!$M:$M,0))&amp;"",""))))</f>
        <v/>
      </c>
      <c r="M3694" s="6" t="str">
        <f>IF($D3694="","",IF(ISNA(MATCH($D3694,'Paramètres'!$M:$M,0)),"⚠ Type inconnu",IF($L3694="Crédit","",IFERROR(INDEX('Paramètres'!$O:$O,MATCH($D3694,'Paramètres'!$M:$M,0))&amp;"",""))))</f>
        <v/>
      </c>
      <c r="N3694" s="6" t="str">
        <f>IF($D3694="","",IFERROR(INDEX('Paramètres'!$Q:$Q,MATCH($D3694,'Paramètres'!$M:$M,0))&amp;"",""))</f>
        <v/>
      </c>
      <c r="O3694" s="6" t="str">
        <f>IF($A3694="","",IF(OR($J3694&lt;&gt;"x",$A3694&lt;=FinReleve),1,0))</f>
        <v/>
      </c>
      <c r="P3694" s="6" t="str">
        <f>IF($D3694="","",IF(AND($L3694="Crédit",OR(IFERROR(INDEX('Paramètres'!$O:$O,MATCH($D3694,'Paramètres'!$M:$M,0))&amp;"","")&lt;&gt;"",ISNUMBER(SEARCH("remboursement",IFERROR(INDEX('Paramètres'!$N:$N,MATCH($D3694,'Paramètres'!$M:$M,0))&amp;"",""))))),1,0))</f>
        <v/>
      </c>
      <c r="Q3694" s="6" t="str">
        <f>IF($K3694="","",IF(ISNUMBER(SEARCH("transfert-interne",IFERROR(INDEX('Paramètres'!$N:$N,MATCH($D3694,'Paramètres'!$M:$M,0))&amp;"",""))),0,IF($L3694="Débit",$K3694,IF($P3694=1,-$K3694,0))))</f>
        <v/>
      </c>
      <c r="R3694" s="6" t="str">
        <f>IF($K3694="","",IF($L3694="Crédit",$K3694,-$K3694))</f>
        <v/>
      </c>
      <c r="S3694" s="6" t="str">
        <f>IF($C3694="","",IFERROR(INDEX('Paramètres'!$H:$H,MATCH($C3694,'Paramètres'!$D:$D,0))&amp;"",""))</f>
        <v/>
      </c>
      <c r="T3694" s="6" t="str">
        <f>IF($K3694="","",IF($S3694="",0,IF(ISNUMBER(SEARCH("apport-exterieur",IFERROR(INDEX('Paramètres'!$N:$N,MATCH($D3694,'Paramètres'!$M:$M,0))&amp;"",""))),0,IF(OR(IFERROR(INDEX('Paramètres'!$I:$I,MATCH($C3694,'Paramètres'!$D:$D,0))&amp;"","")="Les deux",IFERROR(INDEX('Paramètres'!$I:$I,MATCH($C3694,'Paramètres'!$D:$D,0))&amp;"","")=IF($P3694=1,"Débit",$L3694)),-IF($P3694=1,-$K3694,$K3694),0))))</f>
        <v/>
      </c>
      <c r="U3694" s="6" t="str">
        <f>IF($K3694="","",IF(ISNUMBER(SEARCH("sortie-epargne",IFERROR(INDEX('Paramètres'!$N:$N,MATCH($D3694,'Paramètres'!$M:$M,0))&amp;"",""))),$K3694,0))</f>
        <v/>
      </c>
      <c r="V3694" s="6" t="str">
        <f>IF(AND($A3694&lt;&gt;"",$O3694=1,$L3694="Débit",N($Q3694)&gt;0,$A3694&gt;=Visualisation!$B$1,$A3694&lt;Visualisation!$D$1),MAX($V$1:V3693)+1,"")</f>
        <v/>
      </c>
    </row>
    <row r="3695" spans="1:22" x14ac:dyDescent="0.25">
      <c r="A3695" s="9"/>
      <c r="E3695" s="10"/>
      <c r="K3695" s="11" t="str">
        <f>IF($E3695="","",ROUND($E3695*IF(ISNA(MATCH($C3695,'Paramètres'!$D:$D,0)),1,IF(INDEX('Paramètres'!$J:$J,MATCH($C3695,'Paramètres'!$D:$D,0))="",1,INDEX('Paramètres'!$J:$J,MATCH($C3695,'Paramètres'!$D:$D,0)))),2))</f>
        <v/>
      </c>
      <c r="L3695" s="6" t="str">
        <f>IF($D3695="","",IF($F3695&lt;&gt;"",$F3695,IF(ISNA(MATCH($D3695,'Paramètres'!$M:$M,0)),"⚠ Type inconnu",IFERROR(INDEX('Paramètres'!$P:$P,MATCH($D3695,'Paramètres'!$M:$M,0))&amp;"",""))))</f>
        <v/>
      </c>
      <c r="M3695" s="6" t="str">
        <f>IF($D3695="","",IF(ISNA(MATCH($D3695,'Paramètres'!$M:$M,0)),"⚠ Type inconnu",IF($L3695="Crédit","",IFERROR(INDEX('Paramètres'!$O:$O,MATCH($D3695,'Paramètres'!$M:$M,0))&amp;"",""))))</f>
        <v/>
      </c>
      <c r="N3695" s="6" t="str">
        <f>IF($D3695="","",IFERROR(INDEX('Paramètres'!$Q:$Q,MATCH($D3695,'Paramètres'!$M:$M,0))&amp;"",""))</f>
        <v/>
      </c>
      <c r="O3695" s="6" t="str">
        <f>IF($A3695="","",IF(OR($J3695&lt;&gt;"x",$A3695&lt;=FinReleve),1,0))</f>
        <v/>
      </c>
      <c r="P3695" s="6" t="str">
        <f>IF($D3695="","",IF(AND($L3695="Crédit",OR(IFERROR(INDEX('Paramètres'!$O:$O,MATCH($D3695,'Paramètres'!$M:$M,0))&amp;"","")&lt;&gt;"",ISNUMBER(SEARCH("remboursement",IFERROR(INDEX('Paramètres'!$N:$N,MATCH($D3695,'Paramètres'!$M:$M,0))&amp;"",""))))),1,0))</f>
        <v/>
      </c>
      <c r="Q3695" s="6" t="str">
        <f>IF($K3695="","",IF(ISNUMBER(SEARCH("transfert-interne",IFERROR(INDEX('Paramètres'!$N:$N,MATCH($D3695,'Paramètres'!$M:$M,0))&amp;"",""))),0,IF($L3695="Débit",$K3695,IF($P3695=1,-$K3695,0))))</f>
        <v/>
      </c>
      <c r="R3695" s="6" t="str">
        <f>IF($K3695="","",IF($L3695="Crédit",$K3695,-$K3695))</f>
        <v/>
      </c>
      <c r="S3695" s="6" t="str">
        <f>IF($C3695="","",IFERROR(INDEX('Paramètres'!$H:$H,MATCH($C3695,'Paramètres'!$D:$D,0))&amp;"",""))</f>
        <v/>
      </c>
      <c r="T3695" s="6" t="str">
        <f>IF($K3695="","",IF($S3695="",0,IF(ISNUMBER(SEARCH("apport-exterieur",IFERROR(INDEX('Paramètres'!$N:$N,MATCH($D3695,'Paramètres'!$M:$M,0))&amp;"",""))),0,IF(OR(IFERROR(INDEX('Paramètres'!$I:$I,MATCH($C3695,'Paramètres'!$D:$D,0))&amp;"","")="Les deux",IFERROR(INDEX('Paramètres'!$I:$I,MATCH($C3695,'Paramètres'!$D:$D,0))&amp;"","")=IF($P3695=1,"Débit",$L3695)),-IF($P3695=1,-$K3695,$K3695),0))))</f>
        <v/>
      </c>
      <c r="U3695" s="6" t="str">
        <f>IF($K3695="","",IF(ISNUMBER(SEARCH("sortie-epargne",IFERROR(INDEX('Paramètres'!$N:$N,MATCH($D3695,'Paramètres'!$M:$M,0))&amp;"",""))),$K3695,0))</f>
        <v/>
      </c>
      <c r="V3695" s="6" t="str">
        <f>IF(AND($A3695&lt;&gt;"",$O3695=1,$L3695="Débit",N($Q3695)&gt;0,$A3695&gt;=Visualisation!$B$1,$A3695&lt;Visualisation!$D$1),MAX($V$1:V3694)+1,"")</f>
        <v/>
      </c>
    </row>
    <row r="3696" spans="1:22" x14ac:dyDescent="0.25">
      <c r="A3696" s="9"/>
      <c r="E3696" s="10"/>
      <c r="K3696" s="11" t="str">
        <f>IF($E3696="","",ROUND($E3696*IF(ISNA(MATCH($C3696,'Paramètres'!$D:$D,0)),1,IF(INDEX('Paramètres'!$J:$J,MATCH($C3696,'Paramètres'!$D:$D,0))="",1,INDEX('Paramètres'!$J:$J,MATCH($C3696,'Paramètres'!$D:$D,0)))),2))</f>
        <v/>
      </c>
      <c r="L3696" s="6" t="str">
        <f>IF($D3696="","",IF($F3696&lt;&gt;"",$F3696,IF(ISNA(MATCH($D3696,'Paramètres'!$M:$M,0)),"⚠ Type inconnu",IFERROR(INDEX('Paramètres'!$P:$P,MATCH($D3696,'Paramètres'!$M:$M,0))&amp;"",""))))</f>
        <v/>
      </c>
      <c r="M3696" s="6" t="str">
        <f>IF($D3696="","",IF(ISNA(MATCH($D3696,'Paramètres'!$M:$M,0)),"⚠ Type inconnu",IF($L3696="Crédit","",IFERROR(INDEX('Paramètres'!$O:$O,MATCH($D3696,'Paramètres'!$M:$M,0))&amp;"",""))))</f>
        <v/>
      </c>
      <c r="N3696" s="6" t="str">
        <f>IF($D3696="","",IFERROR(INDEX('Paramètres'!$Q:$Q,MATCH($D3696,'Paramètres'!$M:$M,0))&amp;"",""))</f>
        <v/>
      </c>
      <c r="O3696" s="6" t="str">
        <f>IF($A3696="","",IF(OR($J3696&lt;&gt;"x",$A3696&lt;=FinReleve),1,0))</f>
        <v/>
      </c>
      <c r="P3696" s="6" t="str">
        <f>IF($D3696="","",IF(AND($L3696="Crédit",OR(IFERROR(INDEX('Paramètres'!$O:$O,MATCH($D3696,'Paramètres'!$M:$M,0))&amp;"","")&lt;&gt;"",ISNUMBER(SEARCH("remboursement",IFERROR(INDEX('Paramètres'!$N:$N,MATCH($D3696,'Paramètres'!$M:$M,0))&amp;"",""))))),1,0))</f>
        <v/>
      </c>
      <c r="Q3696" s="6" t="str">
        <f>IF($K3696="","",IF(ISNUMBER(SEARCH("transfert-interne",IFERROR(INDEX('Paramètres'!$N:$N,MATCH($D3696,'Paramètres'!$M:$M,0))&amp;"",""))),0,IF($L3696="Débit",$K3696,IF($P3696=1,-$K3696,0))))</f>
        <v/>
      </c>
      <c r="R3696" s="6" t="str">
        <f>IF($K3696="","",IF($L3696="Crédit",$K3696,-$K3696))</f>
        <v/>
      </c>
      <c r="S3696" s="6" t="str">
        <f>IF($C3696="","",IFERROR(INDEX('Paramètres'!$H:$H,MATCH($C3696,'Paramètres'!$D:$D,0))&amp;"",""))</f>
        <v/>
      </c>
      <c r="T3696" s="6" t="str">
        <f>IF($K3696="","",IF($S3696="",0,IF(ISNUMBER(SEARCH("apport-exterieur",IFERROR(INDEX('Paramètres'!$N:$N,MATCH($D3696,'Paramètres'!$M:$M,0))&amp;"",""))),0,IF(OR(IFERROR(INDEX('Paramètres'!$I:$I,MATCH($C3696,'Paramètres'!$D:$D,0))&amp;"","")="Les deux",IFERROR(INDEX('Paramètres'!$I:$I,MATCH($C3696,'Paramètres'!$D:$D,0))&amp;"","")=IF($P3696=1,"Débit",$L3696)),-IF($P3696=1,-$K3696,$K3696),0))))</f>
        <v/>
      </c>
      <c r="U3696" s="6" t="str">
        <f>IF($K3696="","",IF(ISNUMBER(SEARCH("sortie-epargne",IFERROR(INDEX('Paramètres'!$N:$N,MATCH($D3696,'Paramètres'!$M:$M,0))&amp;"",""))),$K3696,0))</f>
        <v/>
      </c>
      <c r="V3696" s="6" t="str">
        <f>IF(AND($A3696&lt;&gt;"",$O3696=1,$L3696="Débit",N($Q3696)&gt;0,$A3696&gt;=Visualisation!$B$1,$A3696&lt;Visualisation!$D$1),MAX($V$1:V3695)+1,"")</f>
        <v/>
      </c>
    </row>
    <row r="3697" spans="1:22" x14ac:dyDescent="0.25">
      <c r="A3697" s="9"/>
      <c r="E3697" s="10"/>
      <c r="K3697" s="11" t="str">
        <f>IF($E3697="","",ROUND($E3697*IF(ISNA(MATCH($C3697,'Paramètres'!$D:$D,0)),1,IF(INDEX('Paramètres'!$J:$J,MATCH($C3697,'Paramètres'!$D:$D,0))="",1,INDEX('Paramètres'!$J:$J,MATCH($C3697,'Paramètres'!$D:$D,0)))),2))</f>
        <v/>
      </c>
      <c r="L3697" s="6" t="str">
        <f>IF($D3697="","",IF($F3697&lt;&gt;"",$F3697,IF(ISNA(MATCH($D3697,'Paramètres'!$M:$M,0)),"⚠ Type inconnu",IFERROR(INDEX('Paramètres'!$P:$P,MATCH($D3697,'Paramètres'!$M:$M,0))&amp;"",""))))</f>
        <v/>
      </c>
      <c r="M3697" s="6" t="str">
        <f>IF($D3697="","",IF(ISNA(MATCH($D3697,'Paramètres'!$M:$M,0)),"⚠ Type inconnu",IF($L3697="Crédit","",IFERROR(INDEX('Paramètres'!$O:$O,MATCH($D3697,'Paramètres'!$M:$M,0))&amp;"",""))))</f>
        <v/>
      </c>
      <c r="N3697" s="6" t="str">
        <f>IF($D3697="","",IFERROR(INDEX('Paramètres'!$Q:$Q,MATCH($D3697,'Paramètres'!$M:$M,0))&amp;"",""))</f>
        <v/>
      </c>
      <c r="O3697" s="6" t="str">
        <f>IF($A3697="","",IF(OR($J3697&lt;&gt;"x",$A3697&lt;=FinReleve),1,0))</f>
        <v/>
      </c>
      <c r="P3697" s="6" t="str">
        <f>IF($D3697="","",IF(AND($L3697="Crédit",OR(IFERROR(INDEX('Paramètres'!$O:$O,MATCH($D3697,'Paramètres'!$M:$M,0))&amp;"","")&lt;&gt;"",ISNUMBER(SEARCH("remboursement",IFERROR(INDEX('Paramètres'!$N:$N,MATCH($D3697,'Paramètres'!$M:$M,0))&amp;"",""))))),1,0))</f>
        <v/>
      </c>
      <c r="Q3697" s="6" t="str">
        <f>IF($K3697="","",IF(ISNUMBER(SEARCH("transfert-interne",IFERROR(INDEX('Paramètres'!$N:$N,MATCH($D3697,'Paramètres'!$M:$M,0))&amp;"",""))),0,IF($L3697="Débit",$K3697,IF($P3697=1,-$K3697,0))))</f>
        <v/>
      </c>
      <c r="R3697" s="6" t="str">
        <f>IF($K3697="","",IF($L3697="Crédit",$K3697,-$K3697))</f>
        <v/>
      </c>
      <c r="S3697" s="6" t="str">
        <f>IF($C3697="","",IFERROR(INDEX('Paramètres'!$H:$H,MATCH($C3697,'Paramètres'!$D:$D,0))&amp;"",""))</f>
        <v/>
      </c>
      <c r="T3697" s="6" t="str">
        <f>IF($K3697="","",IF($S3697="",0,IF(ISNUMBER(SEARCH("apport-exterieur",IFERROR(INDEX('Paramètres'!$N:$N,MATCH($D3697,'Paramètres'!$M:$M,0))&amp;"",""))),0,IF(OR(IFERROR(INDEX('Paramètres'!$I:$I,MATCH($C3697,'Paramètres'!$D:$D,0))&amp;"","")="Les deux",IFERROR(INDEX('Paramètres'!$I:$I,MATCH($C3697,'Paramètres'!$D:$D,0))&amp;"","")=IF($P3697=1,"Débit",$L3697)),-IF($P3697=1,-$K3697,$K3697),0))))</f>
        <v/>
      </c>
      <c r="U3697" s="6" t="str">
        <f>IF($K3697="","",IF(ISNUMBER(SEARCH("sortie-epargne",IFERROR(INDEX('Paramètres'!$N:$N,MATCH($D3697,'Paramètres'!$M:$M,0))&amp;"",""))),$K3697,0))</f>
        <v/>
      </c>
      <c r="V3697" s="6" t="str">
        <f>IF(AND($A3697&lt;&gt;"",$O3697=1,$L3697="Débit",N($Q3697)&gt;0,$A3697&gt;=Visualisation!$B$1,$A3697&lt;Visualisation!$D$1),MAX($V$1:V3696)+1,"")</f>
        <v/>
      </c>
    </row>
    <row r="3698" spans="1:22" x14ac:dyDescent="0.25">
      <c r="A3698" s="9"/>
      <c r="E3698" s="10"/>
      <c r="K3698" s="11" t="str">
        <f>IF($E3698="","",ROUND($E3698*IF(ISNA(MATCH($C3698,'Paramètres'!$D:$D,0)),1,IF(INDEX('Paramètres'!$J:$J,MATCH($C3698,'Paramètres'!$D:$D,0))="",1,INDEX('Paramètres'!$J:$J,MATCH($C3698,'Paramètres'!$D:$D,0)))),2))</f>
        <v/>
      </c>
      <c r="L3698" s="6" t="str">
        <f>IF($D3698="","",IF($F3698&lt;&gt;"",$F3698,IF(ISNA(MATCH($D3698,'Paramètres'!$M:$M,0)),"⚠ Type inconnu",IFERROR(INDEX('Paramètres'!$P:$P,MATCH($D3698,'Paramètres'!$M:$M,0))&amp;"",""))))</f>
        <v/>
      </c>
      <c r="M3698" s="6" t="str">
        <f>IF($D3698="","",IF(ISNA(MATCH($D3698,'Paramètres'!$M:$M,0)),"⚠ Type inconnu",IF($L3698="Crédit","",IFERROR(INDEX('Paramètres'!$O:$O,MATCH($D3698,'Paramètres'!$M:$M,0))&amp;"",""))))</f>
        <v/>
      </c>
      <c r="N3698" s="6" t="str">
        <f>IF($D3698="","",IFERROR(INDEX('Paramètres'!$Q:$Q,MATCH($D3698,'Paramètres'!$M:$M,0))&amp;"",""))</f>
        <v/>
      </c>
      <c r="O3698" s="6" t="str">
        <f>IF($A3698="","",IF(OR($J3698&lt;&gt;"x",$A3698&lt;=FinReleve),1,0))</f>
        <v/>
      </c>
      <c r="P3698" s="6" t="str">
        <f>IF($D3698="","",IF(AND($L3698="Crédit",OR(IFERROR(INDEX('Paramètres'!$O:$O,MATCH($D3698,'Paramètres'!$M:$M,0))&amp;"","")&lt;&gt;"",ISNUMBER(SEARCH("remboursement",IFERROR(INDEX('Paramètres'!$N:$N,MATCH($D3698,'Paramètres'!$M:$M,0))&amp;"",""))))),1,0))</f>
        <v/>
      </c>
      <c r="Q3698" s="6" t="str">
        <f>IF($K3698="","",IF(ISNUMBER(SEARCH("transfert-interne",IFERROR(INDEX('Paramètres'!$N:$N,MATCH($D3698,'Paramètres'!$M:$M,0))&amp;"",""))),0,IF($L3698="Débit",$K3698,IF($P3698=1,-$K3698,0))))</f>
        <v/>
      </c>
      <c r="R3698" s="6" t="str">
        <f>IF($K3698="","",IF($L3698="Crédit",$K3698,-$K3698))</f>
        <v/>
      </c>
      <c r="S3698" s="6" t="str">
        <f>IF($C3698="","",IFERROR(INDEX('Paramètres'!$H:$H,MATCH($C3698,'Paramètres'!$D:$D,0))&amp;"",""))</f>
        <v/>
      </c>
      <c r="T3698" s="6" t="str">
        <f>IF($K3698="","",IF($S3698="",0,IF(ISNUMBER(SEARCH("apport-exterieur",IFERROR(INDEX('Paramètres'!$N:$N,MATCH($D3698,'Paramètres'!$M:$M,0))&amp;"",""))),0,IF(OR(IFERROR(INDEX('Paramètres'!$I:$I,MATCH($C3698,'Paramètres'!$D:$D,0))&amp;"","")="Les deux",IFERROR(INDEX('Paramètres'!$I:$I,MATCH($C3698,'Paramètres'!$D:$D,0))&amp;"","")=IF($P3698=1,"Débit",$L3698)),-IF($P3698=1,-$K3698,$K3698),0))))</f>
        <v/>
      </c>
      <c r="U3698" s="6" t="str">
        <f>IF($K3698="","",IF(ISNUMBER(SEARCH("sortie-epargne",IFERROR(INDEX('Paramètres'!$N:$N,MATCH($D3698,'Paramètres'!$M:$M,0))&amp;"",""))),$K3698,0))</f>
        <v/>
      </c>
      <c r="V3698" s="6" t="str">
        <f>IF(AND($A3698&lt;&gt;"",$O3698=1,$L3698="Débit",N($Q3698)&gt;0,$A3698&gt;=Visualisation!$B$1,$A3698&lt;Visualisation!$D$1),MAX($V$1:V3697)+1,"")</f>
        <v/>
      </c>
    </row>
    <row r="3699" spans="1:22" x14ac:dyDescent="0.25">
      <c r="A3699" s="9"/>
      <c r="E3699" s="10"/>
      <c r="K3699" s="11" t="str">
        <f>IF($E3699="","",ROUND($E3699*IF(ISNA(MATCH($C3699,'Paramètres'!$D:$D,0)),1,IF(INDEX('Paramètres'!$J:$J,MATCH($C3699,'Paramètres'!$D:$D,0))="",1,INDEX('Paramètres'!$J:$J,MATCH($C3699,'Paramètres'!$D:$D,0)))),2))</f>
        <v/>
      </c>
      <c r="L3699" s="6" t="str">
        <f>IF($D3699="","",IF($F3699&lt;&gt;"",$F3699,IF(ISNA(MATCH($D3699,'Paramètres'!$M:$M,0)),"⚠ Type inconnu",IFERROR(INDEX('Paramètres'!$P:$P,MATCH($D3699,'Paramètres'!$M:$M,0))&amp;"",""))))</f>
        <v/>
      </c>
      <c r="M3699" s="6" t="str">
        <f>IF($D3699="","",IF(ISNA(MATCH($D3699,'Paramètres'!$M:$M,0)),"⚠ Type inconnu",IF($L3699="Crédit","",IFERROR(INDEX('Paramètres'!$O:$O,MATCH($D3699,'Paramètres'!$M:$M,0))&amp;"",""))))</f>
        <v/>
      </c>
      <c r="N3699" s="6" t="str">
        <f>IF($D3699="","",IFERROR(INDEX('Paramètres'!$Q:$Q,MATCH($D3699,'Paramètres'!$M:$M,0))&amp;"",""))</f>
        <v/>
      </c>
      <c r="O3699" s="6" t="str">
        <f>IF($A3699="","",IF(OR($J3699&lt;&gt;"x",$A3699&lt;=FinReleve),1,0))</f>
        <v/>
      </c>
      <c r="P3699" s="6" t="str">
        <f>IF($D3699="","",IF(AND($L3699="Crédit",OR(IFERROR(INDEX('Paramètres'!$O:$O,MATCH($D3699,'Paramètres'!$M:$M,0))&amp;"","")&lt;&gt;"",ISNUMBER(SEARCH("remboursement",IFERROR(INDEX('Paramètres'!$N:$N,MATCH($D3699,'Paramètres'!$M:$M,0))&amp;"",""))))),1,0))</f>
        <v/>
      </c>
      <c r="Q3699" s="6" t="str">
        <f>IF($K3699="","",IF(ISNUMBER(SEARCH("transfert-interne",IFERROR(INDEX('Paramètres'!$N:$N,MATCH($D3699,'Paramètres'!$M:$M,0))&amp;"",""))),0,IF($L3699="Débit",$K3699,IF($P3699=1,-$K3699,0))))</f>
        <v/>
      </c>
      <c r="R3699" s="6" t="str">
        <f>IF($K3699="","",IF($L3699="Crédit",$K3699,-$K3699))</f>
        <v/>
      </c>
      <c r="S3699" s="6" t="str">
        <f>IF($C3699="","",IFERROR(INDEX('Paramètres'!$H:$H,MATCH($C3699,'Paramètres'!$D:$D,0))&amp;"",""))</f>
        <v/>
      </c>
      <c r="T3699" s="6" t="str">
        <f>IF($K3699="","",IF($S3699="",0,IF(ISNUMBER(SEARCH("apport-exterieur",IFERROR(INDEX('Paramètres'!$N:$N,MATCH($D3699,'Paramètres'!$M:$M,0))&amp;"",""))),0,IF(OR(IFERROR(INDEX('Paramètres'!$I:$I,MATCH($C3699,'Paramètres'!$D:$D,0))&amp;"","")="Les deux",IFERROR(INDEX('Paramètres'!$I:$I,MATCH($C3699,'Paramètres'!$D:$D,0))&amp;"","")=IF($P3699=1,"Débit",$L3699)),-IF($P3699=1,-$K3699,$K3699),0))))</f>
        <v/>
      </c>
      <c r="U3699" s="6" t="str">
        <f>IF($K3699="","",IF(ISNUMBER(SEARCH("sortie-epargne",IFERROR(INDEX('Paramètres'!$N:$N,MATCH($D3699,'Paramètres'!$M:$M,0))&amp;"",""))),$K3699,0))</f>
        <v/>
      </c>
      <c r="V3699" s="6" t="str">
        <f>IF(AND($A3699&lt;&gt;"",$O3699=1,$L3699="Débit",N($Q3699)&gt;0,$A3699&gt;=Visualisation!$B$1,$A3699&lt;Visualisation!$D$1),MAX($V$1:V3698)+1,"")</f>
        <v/>
      </c>
    </row>
    <row r="3700" spans="1:22" x14ac:dyDescent="0.25">
      <c r="A3700" s="9"/>
      <c r="E3700" s="10"/>
      <c r="K3700" s="11" t="str">
        <f>IF($E3700="","",ROUND($E3700*IF(ISNA(MATCH($C3700,'Paramètres'!$D:$D,0)),1,IF(INDEX('Paramètres'!$J:$J,MATCH($C3700,'Paramètres'!$D:$D,0))="",1,INDEX('Paramètres'!$J:$J,MATCH($C3700,'Paramètres'!$D:$D,0)))),2))</f>
        <v/>
      </c>
      <c r="L3700" s="6" t="str">
        <f>IF($D3700="","",IF($F3700&lt;&gt;"",$F3700,IF(ISNA(MATCH($D3700,'Paramètres'!$M:$M,0)),"⚠ Type inconnu",IFERROR(INDEX('Paramètres'!$P:$P,MATCH($D3700,'Paramètres'!$M:$M,0))&amp;"",""))))</f>
        <v/>
      </c>
      <c r="M3700" s="6" t="str">
        <f>IF($D3700="","",IF(ISNA(MATCH($D3700,'Paramètres'!$M:$M,0)),"⚠ Type inconnu",IF($L3700="Crédit","",IFERROR(INDEX('Paramètres'!$O:$O,MATCH($D3700,'Paramètres'!$M:$M,0))&amp;"",""))))</f>
        <v/>
      </c>
      <c r="N3700" s="6" t="str">
        <f>IF($D3700="","",IFERROR(INDEX('Paramètres'!$Q:$Q,MATCH($D3700,'Paramètres'!$M:$M,0))&amp;"",""))</f>
        <v/>
      </c>
      <c r="O3700" s="6" t="str">
        <f>IF($A3700="","",IF(OR($J3700&lt;&gt;"x",$A3700&lt;=FinReleve),1,0))</f>
        <v/>
      </c>
      <c r="P3700" s="6" t="str">
        <f>IF($D3700="","",IF(AND($L3700="Crédit",OR(IFERROR(INDEX('Paramètres'!$O:$O,MATCH($D3700,'Paramètres'!$M:$M,0))&amp;"","")&lt;&gt;"",ISNUMBER(SEARCH("remboursement",IFERROR(INDEX('Paramètres'!$N:$N,MATCH($D3700,'Paramètres'!$M:$M,0))&amp;"",""))))),1,0))</f>
        <v/>
      </c>
      <c r="Q3700" s="6" t="str">
        <f>IF($K3700="","",IF(ISNUMBER(SEARCH("transfert-interne",IFERROR(INDEX('Paramètres'!$N:$N,MATCH($D3700,'Paramètres'!$M:$M,0))&amp;"",""))),0,IF($L3700="Débit",$K3700,IF($P3700=1,-$K3700,0))))</f>
        <v/>
      </c>
      <c r="R3700" s="6" t="str">
        <f>IF($K3700="","",IF($L3700="Crédit",$K3700,-$K3700))</f>
        <v/>
      </c>
      <c r="S3700" s="6" t="str">
        <f>IF($C3700="","",IFERROR(INDEX('Paramètres'!$H:$H,MATCH($C3700,'Paramètres'!$D:$D,0))&amp;"",""))</f>
        <v/>
      </c>
      <c r="T3700" s="6" t="str">
        <f>IF($K3700="","",IF($S3700="",0,IF(ISNUMBER(SEARCH("apport-exterieur",IFERROR(INDEX('Paramètres'!$N:$N,MATCH($D3700,'Paramètres'!$M:$M,0))&amp;"",""))),0,IF(OR(IFERROR(INDEX('Paramètres'!$I:$I,MATCH($C3700,'Paramètres'!$D:$D,0))&amp;"","")="Les deux",IFERROR(INDEX('Paramètres'!$I:$I,MATCH($C3700,'Paramètres'!$D:$D,0))&amp;"","")=IF($P3700=1,"Débit",$L3700)),-IF($P3700=1,-$K3700,$K3700),0))))</f>
        <v/>
      </c>
      <c r="U3700" s="6" t="str">
        <f>IF($K3700="","",IF(ISNUMBER(SEARCH("sortie-epargne",IFERROR(INDEX('Paramètres'!$N:$N,MATCH($D3700,'Paramètres'!$M:$M,0))&amp;"",""))),$K3700,0))</f>
        <v/>
      </c>
      <c r="V3700" s="6" t="str">
        <f>IF(AND($A3700&lt;&gt;"",$O3700=1,$L3700="Débit",N($Q3700)&gt;0,$A3700&gt;=Visualisation!$B$1,$A3700&lt;Visualisation!$D$1),MAX($V$1:V3699)+1,"")</f>
        <v/>
      </c>
    </row>
    <row r="3701" spans="1:22" x14ac:dyDescent="0.25">
      <c r="A3701" s="9"/>
      <c r="E3701" s="10"/>
      <c r="K3701" s="11" t="str">
        <f>IF($E3701="","",ROUND($E3701*IF(ISNA(MATCH($C3701,'Paramètres'!$D:$D,0)),1,IF(INDEX('Paramètres'!$J:$J,MATCH($C3701,'Paramètres'!$D:$D,0))="",1,INDEX('Paramètres'!$J:$J,MATCH($C3701,'Paramètres'!$D:$D,0)))),2))</f>
        <v/>
      </c>
      <c r="L3701" s="6" t="str">
        <f>IF($D3701="","",IF($F3701&lt;&gt;"",$F3701,IF(ISNA(MATCH($D3701,'Paramètres'!$M:$M,0)),"⚠ Type inconnu",IFERROR(INDEX('Paramètres'!$P:$P,MATCH($D3701,'Paramètres'!$M:$M,0))&amp;"",""))))</f>
        <v/>
      </c>
      <c r="M3701" s="6" t="str">
        <f>IF($D3701="","",IF(ISNA(MATCH($D3701,'Paramètres'!$M:$M,0)),"⚠ Type inconnu",IF($L3701="Crédit","",IFERROR(INDEX('Paramètres'!$O:$O,MATCH($D3701,'Paramètres'!$M:$M,0))&amp;"",""))))</f>
        <v/>
      </c>
      <c r="N3701" s="6" t="str">
        <f>IF($D3701="","",IFERROR(INDEX('Paramètres'!$Q:$Q,MATCH($D3701,'Paramètres'!$M:$M,0))&amp;"",""))</f>
        <v/>
      </c>
      <c r="O3701" s="6" t="str">
        <f>IF($A3701="","",IF(OR($J3701&lt;&gt;"x",$A3701&lt;=FinReleve),1,0))</f>
        <v/>
      </c>
      <c r="P3701" s="6" t="str">
        <f>IF($D3701="","",IF(AND($L3701="Crédit",OR(IFERROR(INDEX('Paramètres'!$O:$O,MATCH($D3701,'Paramètres'!$M:$M,0))&amp;"","")&lt;&gt;"",ISNUMBER(SEARCH("remboursement",IFERROR(INDEX('Paramètres'!$N:$N,MATCH($D3701,'Paramètres'!$M:$M,0))&amp;"",""))))),1,0))</f>
        <v/>
      </c>
      <c r="Q3701" s="6" t="str">
        <f>IF($K3701="","",IF(ISNUMBER(SEARCH("transfert-interne",IFERROR(INDEX('Paramètres'!$N:$N,MATCH($D3701,'Paramètres'!$M:$M,0))&amp;"",""))),0,IF($L3701="Débit",$K3701,IF($P3701=1,-$K3701,0))))</f>
        <v/>
      </c>
      <c r="R3701" s="6" t="str">
        <f>IF($K3701="","",IF($L3701="Crédit",$K3701,-$K3701))</f>
        <v/>
      </c>
      <c r="S3701" s="6" t="str">
        <f>IF($C3701="","",IFERROR(INDEX('Paramètres'!$H:$H,MATCH($C3701,'Paramètres'!$D:$D,0))&amp;"",""))</f>
        <v/>
      </c>
      <c r="T3701" s="6" t="str">
        <f>IF($K3701="","",IF($S3701="",0,IF(ISNUMBER(SEARCH("apport-exterieur",IFERROR(INDEX('Paramètres'!$N:$N,MATCH($D3701,'Paramètres'!$M:$M,0))&amp;"",""))),0,IF(OR(IFERROR(INDEX('Paramètres'!$I:$I,MATCH($C3701,'Paramètres'!$D:$D,0))&amp;"","")="Les deux",IFERROR(INDEX('Paramètres'!$I:$I,MATCH($C3701,'Paramètres'!$D:$D,0))&amp;"","")=IF($P3701=1,"Débit",$L3701)),-IF($P3701=1,-$K3701,$K3701),0))))</f>
        <v/>
      </c>
      <c r="U3701" s="6" t="str">
        <f>IF($K3701="","",IF(ISNUMBER(SEARCH("sortie-epargne",IFERROR(INDEX('Paramètres'!$N:$N,MATCH($D3701,'Paramètres'!$M:$M,0))&amp;"",""))),$K3701,0))</f>
        <v/>
      </c>
      <c r="V3701" s="6" t="str">
        <f>IF(AND($A3701&lt;&gt;"",$O3701=1,$L3701="Débit",N($Q3701)&gt;0,$A3701&gt;=Visualisation!$B$1,$A3701&lt;Visualisation!$D$1),MAX($V$1:V3700)+1,"")</f>
        <v/>
      </c>
    </row>
    <row r="3702" spans="1:22" x14ac:dyDescent="0.25">
      <c r="A3702" s="9"/>
      <c r="E3702" s="10"/>
      <c r="K3702" s="11" t="str">
        <f>IF($E3702="","",ROUND($E3702*IF(ISNA(MATCH($C3702,'Paramètres'!$D:$D,0)),1,IF(INDEX('Paramètres'!$J:$J,MATCH($C3702,'Paramètres'!$D:$D,0))="",1,INDEX('Paramètres'!$J:$J,MATCH($C3702,'Paramètres'!$D:$D,0)))),2))</f>
        <v/>
      </c>
      <c r="L3702" s="6" t="str">
        <f>IF($D3702="","",IF($F3702&lt;&gt;"",$F3702,IF(ISNA(MATCH($D3702,'Paramètres'!$M:$M,0)),"⚠ Type inconnu",IFERROR(INDEX('Paramètres'!$P:$P,MATCH($D3702,'Paramètres'!$M:$M,0))&amp;"",""))))</f>
        <v/>
      </c>
      <c r="M3702" s="6" t="str">
        <f>IF($D3702="","",IF(ISNA(MATCH($D3702,'Paramètres'!$M:$M,0)),"⚠ Type inconnu",IF($L3702="Crédit","",IFERROR(INDEX('Paramètres'!$O:$O,MATCH($D3702,'Paramètres'!$M:$M,0))&amp;"",""))))</f>
        <v/>
      </c>
      <c r="N3702" s="6" t="str">
        <f>IF($D3702="","",IFERROR(INDEX('Paramètres'!$Q:$Q,MATCH($D3702,'Paramètres'!$M:$M,0))&amp;"",""))</f>
        <v/>
      </c>
      <c r="O3702" s="6" t="str">
        <f>IF($A3702="","",IF(OR($J3702&lt;&gt;"x",$A3702&lt;=FinReleve),1,0))</f>
        <v/>
      </c>
      <c r="P3702" s="6" t="str">
        <f>IF($D3702="","",IF(AND($L3702="Crédit",OR(IFERROR(INDEX('Paramètres'!$O:$O,MATCH($D3702,'Paramètres'!$M:$M,0))&amp;"","")&lt;&gt;"",ISNUMBER(SEARCH("remboursement",IFERROR(INDEX('Paramètres'!$N:$N,MATCH($D3702,'Paramètres'!$M:$M,0))&amp;"",""))))),1,0))</f>
        <v/>
      </c>
      <c r="Q3702" s="6" t="str">
        <f>IF($K3702="","",IF(ISNUMBER(SEARCH("transfert-interne",IFERROR(INDEX('Paramètres'!$N:$N,MATCH($D3702,'Paramètres'!$M:$M,0))&amp;"",""))),0,IF($L3702="Débit",$K3702,IF($P3702=1,-$K3702,0))))</f>
        <v/>
      </c>
      <c r="R3702" s="6" t="str">
        <f>IF($K3702="","",IF($L3702="Crédit",$K3702,-$K3702))</f>
        <v/>
      </c>
      <c r="S3702" s="6" t="str">
        <f>IF($C3702="","",IFERROR(INDEX('Paramètres'!$H:$H,MATCH($C3702,'Paramètres'!$D:$D,0))&amp;"",""))</f>
        <v/>
      </c>
      <c r="T3702" s="6" t="str">
        <f>IF($K3702="","",IF($S3702="",0,IF(ISNUMBER(SEARCH("apport-exterieur",IFERROR(INDEX('Paramètres'!$N:$N,MATCH($D3702,'Paramètres'!$M:$M,0))&amp;"",""))),0,IF(OR(IFERROR(INDEX('Paramètres'!$I:$I,MATCH($C3702,'Paramètres'!$D:$D,0))&amp;"","")="Les deux",IFERROR(INDEX('Paramètres'!$I:$I,MATCH($C3702,'Paramètres'!$D:$D,0))&amp;"","")=IF($P3702=1,"Débit",$L3702)),-IF($P3702=1,-$K3702,$K3702),0))))</f>
        <v/>
      </c>
      <c r="U3702" s="6" t="str">
        <f>IF($K3702="","",IF(ISNUMBER(SEARCH("sortie-epargne",IFERROR(INDEX('Paramètres'!$N:$N,MATCH($D3702,'Paramètres'!$M:$M,0))&amp;"",""))),$K3702,0))</f>
        <v/>
      </c>
      <c r="V3702" s="6" t="str">
        <f>IF(AND($A3702&lt;&gt;"",$O3702=1,$L3702="Débit",N($Q3702)&gt;0,$A3702&gt;=Visualisation!$B$1,$A3702&lt;Visualisation!$D$1),MAX($V$1:V3701)+1,"")</f>
        <v/>
      </c>
    </row>
    <row r="3703" spans="1:22" x14ac:dyDescent="0.25">
      <c r="A3703" s="9"/>
      <c r="E3703" s="10"/>
      <c r="K3703" s="11" t="str">
        <f>IF($E3703="","",ROUND($E3703*IF(ISNA(MATCH($C3703,'Paramètres'!$D:$D,0)),1,IF(INDEX('Paramètres'!$J:$J,MATCH($C3703,'Paramètres'!$D:$D,0))="",1,INDEX('Paramètres'!$J:$J,MATCH($C3703,'Paramètres'!$D:$D,0)))),2))</f>
        <v/>
      </c>
      <c r="L3703" s="6" t="str">
        <f>IF($D3703="","",IF($F3703&lt;&gt;"",$F3703,IF(ISNA(MATCH($D3703,'Paramètres'!$M:$M,0)),"⚠ Type inconnu",IFERROR(INDEX('Paramètres'!$P:$P,MATCH($D3703,'Paramètres'!$M:$M,0))&amp;"",""))))</f>
        <v/>
      </c>
      <c r="M3703" s="6" t="str">
        <f>IF($D3703="","",IF(ISNA(MATCH($D3703,'Paramètres'!$M:$M,0)),"⚠ Type inconnu",IF($L3703="Crédit","",IFERROR(INDEX('Paramètres'!$O:$O,MATCH($D3703,'Paramètres'!$M:$M,0))&amp;"",""))))</f>
        <v/>
      </c>
      <c r="N3703" s="6" t="str">
        <f>IF($D3703="","",IFERROR(INDEX('Paramètres'!$Q:$Q,MATCH($D3703,'Paramètres'!$M:$M,0))&amp;"",""))</f>
        <v/>
      </c>
      <c r="O3703" s="6" t="str">
        <f>IF($A3703="","",IF(OR($J3703&lt;&gt;"x",$A3703&lt;=FinReleve),1,0))</f>
        <v/>
      </c>
      <c r="P3703" s="6" t="str">
        <f>IF($D3703="","",IF(AND($L3703="Crédit",OR(IFERROR(INDEX('Paramètres'!$O:$O,MATCH($D3703,'Paramètres'!$M:$M,0))&amp;"","")&lt;&gt;"",ISNUMBER(SEARCH("remboursement",IFERROR(INDEX('Paramètres'!$N:$N,MATCH($D3703,'Paramètres'!$M:$M,0))&amp;"",""))))),1,0))</f>
        <v/>
      </c>
      <c r="Q3703" s="6" t="str">
        <f>IF($K3703="","",IF(ISNUMBER(SEARCH("transfert-interne",IFERROR(INDEX('Paramètres'!$N:$N,MATCH($D3703,'Paramètres'!$M:$M,0))&amp;"",""))),0,IF($L3703="Débit",$K3703,IF($P3703=1,-$K3703,0))))</f>
        <v/>
      </c>
      <c r="R3703" s="6" t="str">
        <f>IF($K3703="","",IF($L3703="Crédit",$K3703,-$K3703))</f>
        <v/>
      </c>
      <c r="S3703" s="6" t="str">
        <f>IF($C3703="","",IFERROR(INDEX('Paramètres'!$H:$H,MATCH($C3703,'Paramètres'!$D:$D,0))&amp;"",""))</f>
        <v/>
      </c>
      <c r="T3703" s="6" t="str">
        <f>IF($K3703="","",IF($S3703="",0,IF(ISNUMBER(SEARCH("apport-exterieur",IFERROR(INDEX('Paramètres'!$N:$N,MATCH($D3703,'Paramètres'!$M:$M,0))&amp;"",""))),0,IF(OR(IFERROR(INDEX('Paramètres'!$I:$I,MATCH($C3703,'Paramètres'!$D:$D,0))&amp;"","")="Les deux",IFERROR(INDEX('Paramètres'!$I:$I,MATCH($C3703,'Paramètres'!$D:$D,0))&amp;"","")=IF($P3703=1,"Débit",$L3703)),-IF($P3703=1,-$K3703,$K3703),0))))</f>
        <v/>
      </c>
      <c r="U3703" s="6" t="str">
        <f>IF($K3703="","",IF(ISNUMBER(SEARCH("sortie-epargne",IFERROR(INDEX('Paramètres'!$N:$N,MATCH($D3703,'Paramètres'!$M:$M,0))&amp;"",""))),$K3703,0))</f>
        <v/>
      </c>
      <c r="V3703" s="6" t="str">
        <f>IF(AND($A3703&lt;&gt;"",$O3703=1,$L3703="Débit",N($Q3703)&gt;0,$A3703&gt;=Visualisation!$B$1,$A3703&lt;Visualisation!$D$1),MAX($V$1:V3702)+1,"")</f>
        <v/>
      </c>
    </row>
    <row r="3704" spans="1:22" x14ac:dyDescent="0.25">
      <c r="A3704" s="9"/>
      <c r="E3704" s="10"/>
      <c r="K3704" s="11" t="str">
        <f>IF($E3704="","",ROUND($E3704*IF(ISNA(MATCH($C3704,'Paramètres'!$D:$D,0)),1,IF(INDEX('Paramètres'!$J:$J,MATCH($C3704,'Paramètres'!$D:$D,0))="",1,INDEX('Paramètres'!$J:$J,MATCH($C3704,'Paramètres'!$D:$D,0)))),2))</f>
        <v/>
      </c>
      <c r="L3704" s="6" t="str">
        <f>IF($D3704="","",IF($F3704&lt;&gt;"",$F3704,IF(ISNA(MATCH($D3704,'Paramètres'!$M:$M,0)),"⚠ Type inconnu",IFERROR(INDEX('Paramètres'!$P:$P,MATCH($D3704,'Paramètres'!$M:$M,0))&amp;"",""))))</f>
        <v/>
      </c>
      <c r="M3704" s="6" t="str">
        <f>IF($D3704="","",IF(ISNA(MATCH($D3704,'Paramètres'!$M:$M,0)),"⚠ Type inconnu",IF($L3704="Crédit","",IFERROR(INDEX('Paramètres'!$O:$O,MATCH($D3704,'Paramètres'!$M:$M,0))&amp;"",""))))</f>
        <v/>
      </c>
      <c r="N3704" s="6" t="str">
        <f>IF($D3704="","",IFERROR(INDEX('Paramètres'!$Q:$Q,MATCH($D3704,'Paramètres'!$M:$M,0))&amp;"",""))</f>
        <v/>
      </c>
      <c r="O3704" s="6" t="str">
        <f>IF($A3704="","",IF(OR($J3704&lt;&gt;"x",$A3704&lt;=FinReleve),1,0))</f>
        <v/>
      </c>
      <c r="P3704" s="6" t="str">
        <f>IF($D3704="","",IF(AND($L3704="Crédit",OR(IFERROR(INDEX('Paramètres'!$O:$O,MATCH($D3704,'Paramètres'!$M:$M,0))&amp;"","")&lt;&gt;"",ISNUMBER(SEARCH("remboursement",IFERROR(INDEX('Paramètres'!$N:$N,MATCH($D3704,'Paramètres'!$M:$M,0))&amp;"",""))))),1,0))</f>
        <v/>
      </c>
      <c r="Q3704" s="6" t="str">
        <f>IF($K3704="","",IF(ISNUMBER(SEARCH("transfert-interne",IFERROR(INDEX('Paramètres'!$N:$N,MATCH($D3704,'Paramètres'!$M:$M,0))&amp;"",""))),0,IF($L3704="Débit",$K3704,IF($P3704=1,-$K3704,0))))</f>
        <v/>
      </c>
      <c r="R3704" s="6" t="str">
        <f>IF($K3704="","",IF($L3704="Crédit",$K3704,-$K3704))</f>
        <v/>
      </c>
      <c r="S3704" s="6" t="str">
        <f>IF($C3704="","",IFERROR(INDEX('Paramètres'!$H:$H,MATCH($C3704,'Paramètres'!$D:$D,0))&amp;"",""))</f>
        <v/>
      </c>
      <c r="T3704" s="6" t="str">
        <f>IF($K3704="","",IF($S3704="",0,IF(ISNUMBER(SEARCH("apport-exterieur",IFERROR(INDEX('Paramètres'!$N:$N,MATCH($D3704,'Paramètres'!$M:$M,0))&amp;"",""))),0,IF(OR(IFERROR(INDEX('Paramètres'!$I:$I,MATCH($C3704,'Paramètres'!$D:$D,0))&amp;"","")="Les deux",IFERROR(INDEX('Paramètres'!$I:$I,MATCH($C3704,'Paramètres'!$D:$D,0))&amp;"","")=IF($P3704=1,"Débit",$L3704)),-IF($P3704=1,-$K3704,$K3704),0))))</f>
        <v/>
      </c>
      <c r="U3704" s="6" t="str">
        <f>IF($K3704="","",IF(ISNUMBER(SEARCH("sortie-epargne",IFERROR(INDEX('Paramètres'!$N:$N,MATCH($D3704,'Paramètres'!$M:$M,0))&amp;"",""))),$K3704,0))</f>
        <v/>
      </c>
      <c r="V3704" s="6" t="str">
        <f>IF(AND($A3704&lt;&gt;"",$O3704=1,$L3704="Débit",N($Q3704)&gt;0,$A3704&gt;=Visualisation!$B$1,$A3704&lt;Visualisation!$D$1),MAX($V$1:V3703)+1,"")</f>
        <v/>
      </c>
    </row>
    <row r="3705" spans="1:22" x14ac:dyDescent="0.25">
      <c r="A3705" s="9"/>
      <c r="E3705" s="10"/>
      <c r="K3705" s="11" t="str">
        <f>IF($E3705="","",ROUND($E3705*IF(ISNA(MATCH($C3705,'Paramètres'!$D:$D,0)),1,IF(INDEX('Paramètres'!$J:$J,MATCH($C3705,'Paramètres'!$D:$D,0))="",1,INDEX('Paramètres'!$J:$J,MATCH($C3705,'Paramètres'!$D:$D,0)))),2))</f>
        <v/>
      </c>
      <c r="L3705" s="6" t="str">
        <f>IF($D3705="","",IF($F3705&lt;&gt;"",$F3705,IF(ISNA(MATCH($D3705,'Paramètres'!$M:$M,0)),"⚠ Type inconnu",IFERROR(INDEX('Paramètres'!$P:$P,MATCH($D3705,'Paramètres'!$M:$M,0))&amp;"",""))))</f>
        <v/>
      </c>
      <c r="M3705" s="6" t="str">
        <f>IF($D3705="","",IF(ISNA(MATCH($D3705,'Paramètres'!$M:$M,0)),"⚠ Type inconnu",IF($L3705="Crédit","",IFERROR(INDEX('Paramètres'!$O:$O,MATCH($D3705,'Paramètres'!$M:$M,0))&amp;"",""))))</f>
        <v/>
      </c>
      <c r="N3705" s="6" t="str">
        <f>IF($D3705="","",IFERROR(INDEX('Paramètres'!$Q:$Q,MATCH($D3705,'Paramètres'!$M:$M,0))&amp;"",""))</f>
        <v/>
      </c>
      <c r="O3705" s="6" t="str">
        <f>IF($A3705="","",IF(OR($J3705&lt;&gt;"x",$A3705&lt;=FinReleve),1,0))</f>
        <v/>
      </c>
      <c r="P3705" s="6" t="str">
        <f>IF($D3705="","",IF(AND($L3705="Crédit",OR(IFERROR(INDEX('Paramètres'!$O:$O,MATCH($D3705,'Paramètres'!$M:$M,0))&amp;"","")&lt;&gt;"",ISNUMBER(SEARCH("remboursement",IFERROR(INDEX('Paramètres'!$N:$N,MATCH($D3705,'Paramètres'!$M:$M,0))&amp;"",""))))),1,0))</f>
        <v/>
      </c>
      <c r="Q3705" s="6" t="str">
        <f>IF($K3705="","",IF(ISNUMBER(SEARCH("transfert-interne",IFERROR(INDEX('Paramètres'!$N:$N,MATCH($D3705,'Paramètres'!$M:$M,0))&amp;"",""))),0,IF($L3705="Débit",$K3705,IF($P3705=1,-$K3705,0))))</f>
        <v/>
      </c>
      <c r="R3705" s="6" t="str">
        <f>IF($K3705="","",IF($L3705="Crédit",$K3705,-$K3705))</f>
        <v/>
      </c>
      <c r="S3705" s="6" t="str">
        <f>IF($C3705="","",IFERROR(INDEX('Paramètres'!$H:$H,MATCH($C3705,'Paramètres'!$D:$D,0))&amp;"",""))</f>
        <v/>
      </c>
      <c r="T3705" s="6" t="str">
        <f>IF($K3705="","",IF($S3705="",0,IF(ISNUMBER(SEARCH("apport-exterieur",IFERROR(INDEX('Paramètres'!$N:$N,MATCH($D3705,'Paramètres'!$M:$M,0))&amp;"",""))),0,IF(OR(IFERROR(INDEX('Paramètres'!$I:$I,MATCH($C3705,'Paramètres'!$D:$D,0))&amp;"","")="Les deux",IFERROR(INDEX('Paramètres'!$I:$I,MATCH($C3705,'Paramètres'!$D:$D,0))&amp;"","")=IF($P3705=1,"Débit",$L3705)),-IF($P3705=1,-$K3705,$K3705),0))))</f>
        <v/>
      </c>
      <c r="U3705" s="6" t="str">
        <f>IF($K3705="","",IF(ISNUMBER(SEARCH("sortie-epargne",IFERROR(INDEX('Paramètres'!$N:$N,MATCH($D3705,'Paramètres'!$M:$M,0))&amp;"",""))),$K3705,0))</f>
        <v/>
      </c>
      <c r="V3705" s="6" t="str">
        <f>IF(AND($A3705&lt;&gt;"",$O3705=1,$L3705="Débit",N($Q3705)&gt;0,$A3705&gt;=Visualisation!$B$1,$A3705&lt;Visualisation!$D$1),MAX($V$1:V3704)+1,"")</f>
        <v/>
      </c>
    </row>
    <row r="3706" spans="1:22" x14ac:dyDescent="0.25">
      <c r="A3706" s="9"/>
      <c r="E3706" s="10"/>
      <c r="K3706" s="11" t="str">
        <f>IF($E3706="","",ROUND($E3706*IF(ISNA(MATCH($C3706,'Paramètres'!$D:$D,0)),1,IF(INDEX('Paramètres'!$J:$J,MATCH($C3706,'Paramètres'!$D:$D,0))="",1,INDEX('Paramètres'!$J:$J,MATCH($C3706,'Paramètres'!$D:$D,0)))),2))</f>
        <v/>
      </c>
      <c r="L3706" s="6" t="str">
        <f>IF($D3706="","",IF($F3706&lt;&gt;"",$F3706,IF(ISNA(MATCH($D3706,'Paramètres'!$M:$M,0)),"⚠ Type inconnu",IFERROR(INDEX('Paramètres'!$P:$P,MATCH($D3706,'Paramètres'!$M:$M,0))&amp;"",""))))</f>
        <v/>
      </c>
      <c r="M3706" s="6" t="str">
        <f>IF($D3706="","",IF(ISNA(MATCH($D3706,'Paramètres'!$M:$M,0)),"⚠ Type inconnu",IF($L3706="Crédit","",IFERROR(INDEX('Paramètres'!$O:$O,MATCH($D3706,'Paramètres'!$M:$M,0))&amp;"",""))))</f>
        <v/>
      </c>
      <c r="N3706" s="6" t="str">
        <f>IF($D3706="","",IFERROR(INDEX('Paramètres'!$Q:$Q,MATCH($D3706,'Paramètres'!$M:$M,0))&amp;"",""))</f>
        <v/>
      </c>
      <c r="O3706" s="6" t="str">
        <f>IF($A3706="","",IF(OR($J3706&lt;&gt;"x",$A3706&lt;=FinReleve),1,0))</f>
        <v/>
      </c>
      <c r="P3706" s="6" t="str">
        <f>IF($D3706="","",IF(AND($L3706="Crédit",OR(IFERROR(INDEX('Paramètres'!$O:$O,MATCH($D3706,'Paramètres'!$M:$M,0))&amp;"","")&lt;&gt;"",ISNUMBER(SEARCH("remboursement",IFERROR(INDEX('Paramètres'!$N:$N,MATCH($D3706,'Paramètres'!$M:$M,0))&amp;"",""))))),1,0))</f>
        <v/>
      </c>
      <c r="Q3706" s="6" t="str">
        <f>IF($K3706="","",IF(ISNUMBER(SEARCH("transfert-interne",IFERROR(INDEX('Paramètres'!$N:$N,MATCH($D3706,'Paramètres'!$M:$M,0))&amp;"",""))),0,IF($L3706="Débit",$K3706,IF($P3706=1,-$K3706,0))))</f>
        <v/>
      </c>
      <c r="R3706" s="6" t="str">
        <f>IF($K3706="","",IF($L3706="Crédit",$K3706,-$K3706))</f>
        <v/>
      </c>
      <c r="S3706" s="6" t="str">
        <f>IF($C3706="","",IFERROR(INDEX('Paramètres'!$H:$H,MATCH($C3706,'Paramètres'!$D:$D,0))&amp;"",""))</f>
        <v/>
      </c>
      <c r="T3706" s="6" t="str">
        <f>IF($K3706="","",IF($S3706="",0,IF(ISNUMBER(SEARCH("apport-exterieur",IFERROR(INDEX('Paramètres'!$N:$N,MATCH($D3706,'Paramètres'!$M:$M,0))&amp;"",""))),0,IF(OR(IFERROR(INDEX('Paramètres'!$I:$I,MATCH($C3706,'Paramètres'!$D:$D,0))&amp;"","")="Les deux",IFERROR(INDEX('Paramètres'!$I:$I,MATCH($C3706,'Paramètres'!$D:$D,0))&amp;"","")=IF($P3706=1,"Débit",$L3706)),-IF($P3706=1,-$K3706,$K3706),0))))</f>
        <v/>
      </c>
      <c r="U3706" s="6" t="str">
        <f>IF($K3706="","",IF(ISNUMBER(SEARCH("sortie-epargne",IFERROR(INDEX('Paramètres'!$N:$N,MATCH($D3706,'Paramètres'!$M:$M,0))&amp;"",""))),$K3706,0))</f>
        <v/>
      </c>
      <c r="V3706" s="6" t="str">
        <f>IF(AND($A3706&lt;&gt;"",$O3706=1,$L3706="Débit",N($Q3706)&gt;0,$A3706&gt;=Visualisation!$B$1,$A3706&lt;Visualisation!$D$1),MAX($V$1:V3705)+1,"")</f>
        <v/>
      </c>
    </row>
    <row r="3707" spans="1:22" x14ac:dyDescent="0.25">
      <c r="A3707" s="9"/>
      <c r="E3707" s="10"/>
      <c r="K3707" s="11" t="str">
        <f>IF($E3707="","",ROUND($E3707*IF(ISNA(MATCH($C3707,'Paramètres'!$D:$D,0)),1,IF(INDEX('Paramètres'!$J:$J,MATCH($C3707,'Paramètres'!$D:$D,0))="",1,INDEX('Paramètres'!$J:$J,MATCH($C3707,'Paramètres'!$D:$D,0)))),2))</f>
        <v/>
      </c>
      <c r="L3707" s="6" t="str">
        <f>IF($D3707="","",IF($F3707&lt;&gt;"",$F3707,IF(ISNA(MATCH($D3707,'Paramètres'!$M:$M,0)),"⚠ Type inconnu",IFERROR(INDEX('Paramètres'!$P:$P,MATCH($D3707,'Paramètres'!$M:$M,0))&amp;"",""))))</f>
        <v/>
      </c>
      <c r="M3707" s="6" t="str">
        <f>IF($D3707="","",IF(ISNA(MATCH($D3707,'Paramètres'!$M:$M,0)),"⚠ Type inconnu",IF($L3707="Crédit","",IFERROR(INDEX('Paramètres'!$O:$O,MATCH($D3707,'Paramètres'!$M:$M,0))&amp;"",""))))</f>
        <v/>
      </c>
      <c r="N3707" s="6" t="str">
        <f>IF($D3707="","",IFERROR(INDEX('Paramètres'!$Q:$Q,MATCH($D3707,'Paramètres'!$M:$M,0))&amp;"",""))</f>
        <v/>
      </c>
      <c r="O3707" s="6" t="str">
        <f>IF($A3707="","",IF(OR($J3707&lt;&gt;"x",$A3707&lt;=FinReleve),1,0))</f>
        <v/>
      </c>
      <c r="P3707" s="6" t="str">
        <f>IF($D3707="","",IF(AND($L3707="Crédit",OR(IFERROR(INDEX('Paramètres'!$O:$O,MATCH($D3707,'Paramètres'!$M:$M,0))&amp;"","")&lt;&gt;"",ISNUMBER(SEARCH("remboursement",IFERROR(INDEX('Paramètres'!$N:$N,MATCH($D3707,'Paramètres'!$M:$M,0))&amp;"",""))))),1,0))</f>
        <v/>
      </c>
      <c r="Q3707" s="6" t="str">
        <f>IF($K3707="","",IF(ISNUMBER(SEARCH("transfert-interne",IFERROR(INDEX('Paramètres'!$N:$N,MATCH($D3707,'Paramètres'!$M:$M,0))&amp;"",""))),0,IF($L3707="Débit",$K3707,IF($P3707=1,-$K3707,0))))</f>
        <v/>
      </c>
      <c r="R3707" s="6" t="str">
        <f>IF($K3707="","",IF($L3707="Crédit",$K3707,-$K3707))</f>
        <v/>
      </c>
      <c r="S3707" s="6" t="str">
        <f>IF($C3707="","",IFERROR(INDEX('Paramètres'!$H:$H,MATCH($C3707,'Paramètres'!$D:$D,0))&amp;"",""))</f>
        <v/>
      </c>
      <c r="T3707" s="6" t="str">
        <f>IF($K3707="","",IF($S3707="",0,IF(ISNUMBER(SEARCH("apport-exterieur",IFERROR(INDEX('Paramètres'!$N:$N,MATCH($D3707,'Paramètres'!$M:$M,0))&amp;"",""))),0,IF(OR(IFERROR(INDEX('Paramètres'!$I:$I,MATCH($C3707,'Paramètres'!$D:$D,0))&amp;"","")="Les deux",IFERROR(INDEX('Paramètres'!$I:$I,MATCH($C3707,'Paramètres'!$D:$D,0))&amp;"","")=IF($P3707=1,"Débit",$L3707)),-IF($P3707=1,-$K3707,$K3707),0))))</f>
        <v/>
      </c>
      <c r="U3707" s="6" t="str">
        <f>IF($K3707="","",IF(ISNUMBER(SEARCH("sortie-epargne",IFERROR(INDEX('Paramètres'!$N:$N,MATCH($D3707,'Paramètres'!$M:$M,0))&amp;"",""))),$K3707,0))</f>
        <v/>
      </c>
      <c r="V3707" s="6" t="str">
        <f>IF(AND($A3707&lt;&gt;"",$O3707=1,$L3707="Débit",N($Q3707)&gt;0,$A3707&gt;=Visualisation!$B$1,$A3707&lt;Visualisation!$D$1),MAX($V$1:V3706)+1,"")</f>
        <v/>
      </c>
    </row>
    <row r="3708" spans="1:22" x14ac:dyDescent="0.25">
      <c r="A3708" s="9"/>
      <c r="E3708" s="10"/>
      <c r="K3708" s="11" t="str">
        <f>IF($E3708="","",ROUND($E3708*IF(ISNA(MATCH($C3708,'Paramètres'!$D:$D,0)),1,IF(INDEX('Paramètres'!$J:$J,MATCH($C3708,'Paramètres'!$D:$D,0))="",1,INDEX('Paramètres'!$J:$J,MATCH($C3708,'Paramètres'!$D:$D,0)))),2))</f>
        <v/>
      </c>
      <c r="L3708" s="6" t="str">
        <f>IF($D3708="","",IF($F3708&lt;&gt;"",$F3708,IF(ISNA(MATCH($D3708,'Paramètres'!$M:$M,0)),"⚠ Type inconnu",IFERROR(INDEX('Paramètres'!$P:$P,MATCH($D3708,'Paramètres'!$M:$M,0))&amp;"",""))))</f>
        <v/>
      </c>
      <c r="M3708" s="6" t="str">
        <f>IF($D3708="","",IF(ISNA(MATCH($D3708,'Paramètres'!$M:$M,0)),"⚠ Type inconnu",IF($L3708="Crédit","",IFERROR(INDEX('Paramètres'!$O:$O,MATCH($D3708,'Paramètres'!$M:$M,0))&amp;"",""))))</f>
        <v/>
      </c>
      <c r="N3708" s="6" t="str">
        <f>IF($D3708="","",IFERROR(INDEX('Paramètres'!$Q:$Q,MATCH($D3708,'Paramètres'!$M:$M,0))&amp;"",""))</f>
        <v/>
      </c>
      <c r="O3708" s="6" t="str">
        <f>IF($A3708="","",IF(OR($J3708&lt;&gt;"x",$A3708&lt;=FinReleve),1,0))</f>
        <v/>
      </c>
      <c r="P3708" s="6" t="str">
        <f>IF($D3708="","",IF(AND($L3708="Crédit",OR(IFERROR(INDEX('Paramètres'!$O:$O,MATCH($D3708,'Paramètres'!$M:$M,0))&amp;"","")&lt;&gt;"",ISNUMBER(SEARCH("remboursement",IFERROR(INDEX('Paramètres'!$N:$N,MATCH($D3708,'Paramètres'!$M:$M,0))&amp;"",""))))),1,0))</f>
        <v/>
      </c>
      <c r="Q3708" s="6" t="str">
        <f>IF($K3708="","",IF(ISNUMBER(SEARCH("transfert-interne",IFERROR(INDEX('Paramètres'!$N:$N,MATCH($D3708,'Paramètres'!$M:$M,0))&amp;"",""))),0,IF($L3708="Débit",$K3708,IF($P3708=1,-$K3708,0))))</f>
        <v/>
      </c>
      <c r="R3708" s="6" t="str">
        <f>IF($K3708="","",IF($L3708="Crédit",$K3708,-$K3708))</f>
        <v/>
      </c>
      <c r="S3708" s="6" t="str">
        <f>IF($C3708="","",IFERROR(INDEX('Paramètres'!$H:$H,MATCH($C3708,'Paramètres'!$D:$D,0))&amp;"",""))</f>
        <v/>
      </c>
      <c r="T3708" s="6" t="str">
        <f>IF($K3708="","",IF($S3708="",0,IF(ISNUMBER(SEARCH("apport-exterieur",IFERROR(INDEX('Paramètres'!$N:$N,MATCH($D3708,'Paramètres'!$M:$M,0))&amp;"",""))),0,IF(OR(IFERROR(INDEX('Paramètres'!$I:$I,MATCH($C3708,'Paramètres'!$D:$D,0))&amp;"","")="Les deux",IFERROR(INDEX('Paramètres'!$I:$I,MATCH($C3708,'Paramètres'!$D:$D,0))&amp;"","")=IF($P3708=1,"Débit",$L3708)),-IF($P3708=1,-$K3708,$K3708),0))))</f>
        <v/>
      </c>
      <c r="U3708" s="6" t="str">
        <f>IF($K3708="","",IF(ISNUMBER(SEARCH("sortie-epargne",IFERROR(INDEX('Paramètres'!$N:$N,MATCH($D3708,'Paramètres'!$M:$M,0))&amp;"",""))),$K3708,0))</f>
        <v/>
      </c>
      <c r="V3708" s="6" t="str">
        <f>IF(AND($A3708&lt;&gt;"",$O3708=1,$L3708="Débit",N($Q3708)&gt;0,$A3708&gt;=Visualisation!$B$1,$A3708&lt;Visualisation!$D$1),MAX($V$1:V3707)+1,"")</f>
        <v/>
      </c>
    </row>
    <row r="3709" spans="1:22" x14ac:dyDescent="0.25">
      <c r="A3709" s="9"/>
      <c r="E3709" s="10"/>
      <c r="K3709" s="11" t="str">
        <f>IF($E3709="","",ROUND($E3709*IF(ISNA(MATCH($C3709,'Paramètres'!$D:$D,0)),1,IF(INDEX('Paramètres'!$J:$J,MATCH($C3709,'Paramètres'!$D:$D,0))="",1,INDEX('Paramètres'!$J:$J,MATCH($C3709,'Paramètres'!$D:$D,0)))),2))</f>
        <v/>
      </c>
      <c r="L3709" s="6" t="str">
        <f>IF($D3709="","",IF($F3709&lt;&gt;"",$F3709,IF(ISNA(MATCH($D3709,'Paramètres'!$M:$M,0)),"⚠ Type inconnu",IFERROR(INDEX('Paramètres'!$P:$P,MATCH($D3709,'Paramètres'!$M:$M,0))&amp;"",""))))</f>
        <v/>
      </c>
      <c r="M3709" s="6" t="str">
        <f>IF($D3709="","",IF(ISNA(MATCH($D3709,'Paramètres'!$M:$M,0)),"⚠ Type inconnu",IF($L3709="Crédit","",IFERROR(INDEX('Paramètres'!$O:$O,MATCH($D3709,'Paramètres'!$M:$M,0))&amp;"",""))))</f>
        <v/>
      </c>
      <c r="N3709" s="6" t="str">
        <f>IF($D3709="","",IFERROR(INDEX('Paramètres'!$Q:$Q,MATCH($D3709,'Paramètres'!$M:$M,0))&amp;"",""))</f>
        <v/>
      </c>
      <c r="O3709" s="6" t="str">
        <f>IF($A3709="","",IF(OR($J3709&lt;&gt;"x",$A3709&lt;=FinReleve),1,0))</f>
        <v/>
      </c>
      <c r="P3709" s="6" t="str">
        <f>IF($D3709="","",IF(AND($L3709="Crédit",OR(IFERROR(INDEX('Paramètres'!$O:$O,MATCH($D3709,'Paramètres'!$M:$M,0))&amp;"","")&lt;&gt;"",ISNUMBER(SEARCH("remboursement",IFERROR(INDEX('Paramètres'!$N:$N,MATCH($D3709,'Paramètres'!$M:$M,0))&amp;"",""))))),1,0))</f>
        <v/>
      </c>
      <c r="Q3709" s="6" t="str">
        <f>IF($K3709="","",IF(ISNUMBER(SEARCH("transfert-interne",IFERROR(INDEX('Paramètres'!$N:$N,MATCH($D3709,'Paramètres'!$M:$M,0))&amp;"",""))),0,IF($L3709="Débit",$K3709,IF($P3709=1,-$K3709,0))))</f>
        <v/>
      </c>
      <c r="R3709" s="6" t="str">
        <f>IF($K3709="","",IF($L3709="Crédit",$K3709,-$K3709))</f>
        <v/>
      </c>
      <c r="S3709" s="6" t="str">
        <f>IF($C3709="","",IFERROR(INDEX('Paramètres'!$H:$H,MATCH($C3709,'Paramètres'!$D:$D,0))&amp;"",""))</f>
        <v/>
      </c>
      <c r="T3709" s="6" t="str">
        <f>IF($K3709="","",IF($S3709="",0,IF(ISNUMBER(SEARCH("apport-exterieur",IFERROR(INDEX('Paramètres'!$N:$N,MATCH($D3709,'Paramètres'!$M:$M,0))&amp;"",""))),0,IF(OR(IFERROR(INDEX('Paramètres'!$I:$I,MATCH($C3709,'Paramètres'!$D:$D,0))&amp;"","")="Les deux",IFERROR(INDEX('Paramètres'!$I:$I,MATCH($C3709,'Paramètres'!$D:$D,0))&amp;"","")=IF($P3709=1,"Débit",$L3709)),-IF($P3709=1,-$K3709,$K3709),0))))</f>
        <v/>
      </c>
      <c r="U3709" s="6" t="str">
        <f>IF($K3709="","",IF(ISNUMBER(SEARCH("sortie-epargne",IFERROR(INDEX('Paramètres'!$N:$N,MATCH($D3709,'Paramètres'!$M:$M,0))&amp;"",""))),$K3709,0))</f>
        <v/>
      </c>
      <c r="V3709" s="6" t="str">
        <f>IF(AND($A3709&lt;&gt;"",$O3709=1,$L3709="Débit",N($Q3709)&gt;0,$A3709&gt;=Visualisation!$B$1,$A3709&lt;Visualisation!$D$1),MAX($V$1:V3708)+1,"")</f>
        <v/>
      </c>
    </row>
    <row r="3710" spans="1:22" x14ac:dyDescent="0.25">
      <c r="A3710" s="9"/>
      <c r="E3710" s="10"/>
      <c r="K3710" s="11" t="str">
        <f>IF($E3710="","",ROUND($E3710*IF(ISNA(MATCH($C3710,'Paramètres'!$D:$D,0)),1,IF(INDEX('Paramètres'!$J:$J,MATCH($C3710,'Paramètres'!$D:$D,0))="",1,INDEX('Paramètres'!$J:$J,MATCH($C3710,'Paramètres'!$D:$D,0)))),2))</f>
        <v/>
      </c>
      <c r="L3710" s="6" t="str">
        <f>IF($D3710="","",IF($F3710&lt;&gt;"",$F3710,IF(ISNA(MATCH($D3710,'Paramètres'!$M:$M,0)),"⚠ Type inconnu",IFERROR(INDEX('Paramètres'!$P:$P,MATCH($D3710,'Paramètres'!$M:$M,0))&amp;"",""))))</f>
        <v/>
      </c>
      <c r="M3710" s="6" t="str">
        <f>IF($D3710="","",IF(ISNA(MATCH($D3710,'Paramètres'!$M:$M,0)),"⚠ Type inconnu",IF($L3710="Crédit","",IFERROR(INDEX('Paramètres'!$O:$O,MATCH($D3710,'Paramètres'!$M:$M,0))&amp;"",""))))</f>
        <v/>
      </c>
      <c r="N3710" s="6" t="str">
        <f>IF($D3710="","",IFERROR(INDEX('Paramètres'!$Q:$Q,MATCH($D3710,'Paramètres'!$M:$M,0))&amp;"",""))</f>
        <v/>
      </c>
      <c r="O3710" s="6" t="str">
        <f>IF($A3710="","",IF(OR($J3710&lt;&gt;"x",$A3710&lt;=FinReleve),1,0))</f>
        <v/>
      </c>
      <c r="P3710" s="6" t="str">
        <f>IF($D3710="","",IF(AND($L3710="Crédit",OR(IFERROR(INDEX('Paramètres'!$O:$O,MATCH($D3710,'Paramètres'!$M:$M,0))&amp;"","")&lt;&gt;"",ISNUMBER(SEARCH("remboursement",IFERROR(INDEX('Paramètres'!$N:$N,MATCH($D3710,'Paramètres'!$M:$M,0))&amp;"",""))))),1,0))</f>
        <v/>
      </c>
      <c r="Q3710" s="6" t="str">
        <f>IF($K3710="","",IF(ISNUMBER(SEARCH("transfert-interne",IFERROR(INDEX('Paramètres'!$N:$N,MATCH($D3710,'Paramètres'!$M:$M,0))&amp;"",""))),0,IF($L3710="Débit",$K3710,IF($P3710=1,-$K3710,0))))</f>
        <v/>
      </c>
      <c r="R3710" s="6" t="str">
        <f>IF($K3710="","",IF($L3710="Crédit",$K3710,-$K3710))</f>
        <v/>
      </c>
      <c r="S3710" s="6" t="str">
        <f>IF($C3710="","",IFERROR(INDEX('Paramètres'!$H:$H,MATCH($C3710,'Paramètres'!$D:$D,0))&amp;"",""))</f>
        <v/>
      </c>
      <c r="T3710" s="6" t="str">
        <f>IF($K3710="","",IF($S3710="",0,IF(ISNUMBER(SEARCH("apport-exterieur",IFERROR(INDEX('Paramètres'!$N:$N,MATCH($D3710,'Paramètres'!$M:$M,0))&amp;"",""))),0,IF(OR(IFERROR(INDEX('Paramètres'!$I:$I,MATCH($C3710,'Paramètres'!$D:$D,0))&amp;"","")="Les deux",IFERROR(INDEX('Paramètres'!$I:$I,MATCH($C3710,'Paramètres'!$D:$D,0))&amp;"","")=IF($P3710=1,"Débit",$L3710)),-IF($P3710=1,-$K3710,$K3710),0))))</f>
        <v/>
      </c>
      <c r="U3710" s="6" t="str">
        <f>IF($K3710="","",IF(ISNUMBER(SEARCH("sortie-epargne",IFERROR(INDEX('Paramètres'!$N:$N,MATCH($D3710,'Paramètres'!$M:$M,0))&amp;"",""))),$K3710,0))</f>
        <v/>
      </c>
      <c r="V3710" s="6" t="str">
        <f>IF(AND($A3710&lt;&gt;"",$O3710=1,$L3710="Débit",N($Q3710)&gt;0,$A3710&gt;=Visualisation!$B$1,$A3710&lt;Visualisation!$D$1),MAX($V$1:V3709)+1,"")</f>
        <v/>
      </c>
    </row>
    <row r="3711" spans="1:22" x14ac:dyDescent="0.25">
      <c r="A3711" s="9"/>
      <c r="E3711" s="10"/>
      <c r="K3711" s="11" t="str">
        <f>IF($E3711="","",ROUND($E3711*IF(ISNA(MATCH($C3711,'Paramètres'!$D:$D,0)),1,IF(INDEX('Paramètres'!$J:$J,MATCH($C3711,'Paramètres'!$D:$D,0))="",1,INDEX('Paramètres'!$J:$J,MATCH($C3711,'Paramètres'!$D:$D,0)))),2))</f>
        <v/>
      </c>
      <c r="L3711" s="6" t="str">
        <f>IF($D3711="","",IF($F3711&lt;&gt;"",$F3711,IF(ISNA(MATCH($D3711,'Paramètres'!$M:$M,0)),"⚠ Type inconnu",IFERROR(INDEX('Paramètres'!$P:$P,MATCH($D3711,'Paramètres'!$M:$M,0))&amp;"",""))))</f>
        <v/>
      </c>
      <c r="M3711" s="6" t="str">
        <f>IF($D3711="","",IF(ISNA(MATCH($D3711,'Paramètres'!$M:$M,0)),"⚠ Type inconnu",IF($L3711="Crédit","",IFERROR(INDEX('Paramètres'!$O:$O,MATCH($D3711,'Paramètres'!$M:$M,0))&amp;"",""))))</f>
        <v/>
      </c>
      <c r="N3711" s="6" t="str">
        <f>IF($D3711="","",IFERROR(INDEX('Paramètres'!$Q:$Q,MATCH($D3711,'Paramètres'!$M:$M,0))&amp;"",""))</f>
        <v/>
      </c>
      <c r="O3711" s="6" t="str">
        <f>IF($A3711="","",IF(OR($J3711&lt;&gt;"x",$A3711&lt;=FinReleve),1,0))</f>
        <v/>
      </c>
      <c r="P3711" s="6" t="str">
        <f>IF($D3711="","",IF(AND($L3711="Crédit",OR(IFERROR(INDEX('Paramètres'!$O:$O,MATCH($D3711,'Paramètres'!$M:$M,0))&amp;"","")&lt;&gt;"",ISNUMBER(SEARCH("remboursement",IFERROR(INDEX('Paramètres'!$N:$N,MATCH($D3711,'Paramètres'!$M:$M,0))&amp;"",""))))),1,0))</f>
        <v/>
      </c>
      <c r="Q3711" s="6" t="str">
        <f>IF($K3711="","",IF(ISNUMBER(SEARCH("transfert-interne",IFERROR(INDEX('Paramètres'!$N:$N,MATCH($D3711,'Paramètres'!$M:$M,0))&amp;"",""))),0,IF($L3711="Débit",$K3711,IF($P3711=1,-$K3711,0))))</f>
        <v/>
      </c>
      <c r="R3711" s="6" t="str">
        <f>IF($K3711="","",IF($L3711="Crédit",$K3711,-$K3711))</f>
        <v/>
      </c>
      <c r="S3711" s="6" t="str">
        <f>IF($C3711="","",IFERROR(INDEX('Paramètres'!$H:$H,MATCH($C3711,'Paramètres'!$D:$D,0))&amp;"",""))</f>
        <v/>
      </c>
      <c r="T3711" s="6" t="str">
        <f>IF($K3711="","",IF($S3711="",0,IF(ISNUMBER(SEARCH("apport-exterieur",IFERROR(INDEX('Paramètres'!$N:$N,MATCH($D3711,'Paramètres'!$M:$M,0))&amp;"",""))),0,IF(OR(IFERROR(INDEX('Paramètres'!$I:$I,MATCH($C3711,'Paramètres'!$D:$D,0))&amp;"","")="Les deux",IFERROR(INDEX('Paramètres'!$I:$I,MATCH($C3711,'Paramètres'!$D:$D,0))&amp;"","")=IF($P3711=1,"Débit",$L3711)),-IF($P3711=1,-$K3711,$K3711),0))))</f>
        <v/>
      </c>
      <c r="U3711" s="6" t="str">
        <f>IF($K3711="","",IF(ISNUMBER(SEARCH("sortie-epargne",IFERROR(INDEX('Paramètres'!$N:$N,MATCH($D3711,'Paramètres'!$M:$M,0))&amp;"",""))),$K3711,0))</f>
        <v/>
      </c>
      <c r="V3711" s="6" t="str">
        <f>IF(AND($A3711&lt;&gt;"",$O3711=1,$L3711="Débit",N($Q3711)&gt;0,$A3711&gt;=Visualisation!$B$1,$A3711&lt;Visualisation!$D$1),MAX($V$1:V3710)+1,"")</f>
        <v/>
      </c>
    </row>
    <row r="3712" spans="1:22" x14ac:dyDescent="0.25">
      <c r="A3712" s="9"/>
      <c r="E3712" s="10"/>
      <c r="K3712" s="11" t="str">
        <f>IF($E3712="","",ROUND($E3712*IF(ISNA(MATCH($C3712,'Paramètres'!$D:$D,0)),1,IF(INDEX('Paramètres'!$J:$J,MATCH($C3712,'Paramètres'!$D:$D,0))="",1,INDEX('Paramètres'!$J:$J,MATCH($C3712,'Paramètres'!$D:$D,0)))),2))</f>
        <v/>
      </c>
      <c r="L3712" s="6" t="str">
        <f>IF($D3712="","",IF($F3712&lt;&gt;"",$F3712,IF(ISNA(MATCH($D3712,'Paramètres'!$M:$M,0)),"⚠ Type inconnu",IFERROR(INDEX('Paramètres'!$P:$P,MATCH($D3712,'Paramètres'!$M:$M,0))&amp;"",""))))</f>
        <v/>
      </c>
      <c r="M3712" s="6" t="str">
        <f>IF($D3712="","",IF(ISNA(MATCH($D3712,'Paramètres'!$M:$M,0)),"⚠ Type inconnu",IF($L3712="Crédit","",IFERROR(INDEX('Paramètres'!$O:$O,MATCH($D3712,'Paramètres'!$M:$M,0))&amp;"",""))))</f>
        <v/>
      </c>
      <c r="N3712" s="6" t="str">
        <f>IF($D3712="","",IFERROR(INDEX('Paramètres'!$Q:$Q,MATCH($D3712,'Paramètres'!$M:$M,0))&amp;"",""))</f>
        <v/>
      </c>
      <c r="O3712" s="6" t="str">
        <f>IF($A3712="","",IF(OR($J3712&lt;&gt;"x",$A3712&lt;=FinReleve),1,0))</f>
        <v/>
      </c>
      <c r="P3712" s="6" t="str">
        <f>IF($D3712="","",IF(AND($L3712="Crédit",OR(IFERROR(INDEX('Paramètres'!$O:$O,MATCH($D3712,'Paramètres'!$M:$M,0))&amp;"","")&lt;&gt;"",ISNUMBER(SEARCH("remboursement",IFERROR(INDEX('Paramètres'!$N:$N,MATCH($D3712,'Paramètres'!$M:$M,0))&amp;"",""))))),1,0))</f>
        <v/>
      </c>
      <c r="Q3712" s="6" t="str">
        <f>IF($K3712="","",IF(ISNUMBER(SEARCH("transfert-interne",IFERROR(INDEX('Paramètres'!$N:$N,MATCH($D3712,'Paramètres'!$M:$M,0))&amp;"",""))),0,IF($L3712="Débit",$K3712,IF($P3712=1,-$K3712,0))))</f>
        <v/>
      </c>
      <c r="R3712" s="6" t="str">
        <f>IF($K3712="","",IF($L3712="Crédit",$K3712,-$K3712))</f>
        <v/>
      </c>
      <c r="S3712" s="6" t="str">
        <f>IF($C3712="","",IFERROR(INDEX('Paramètres'!$H:$H,MATCH($C3712,'Paramètres'!$D:$D,0))&amp;"",""))</f>
        <v/>
      </c>
      <c r="T3712" s="6" t="str">
        <f>IF($K3712="","",IF($S3712="",0,IF(ISNUMBER(SEARCH("apport-exterieur",IFERROR(INDEX('Paramètres'!$N:$N,MATCH($D3712,'Paramètres'!$M:$M,0))&amp;"",""))),0,IF(OR(IFERROR(INDEX('Paramètres'!$I:$I,MATCH($C3712,'Paramètres'!$D:$D,0))&amp;"","")="Les deux",IFERROR(INDEX('Paramètres'!$I:$I,MATCH($C3712,'Paramètres'!$D:$D,0))&amp;"","")=IF($P3712=1,"Débit",$L3712)),-IF($P3712=1,-$K3712,$K3712),0))))</f>
        <v/>
      </c>
      <c r="U3712" s="6" t="str">
        <f>IF($K3712="","",IF(ISNUMBER(SEARCH("sortie-epargne",IFERROR(INDEX('Paramètres'!$N:$N,MATCH($D3712,'Paramètres'!$M:$M,0))&amp;"",""))),$K3712,0))</f>
        <v/>
      </c>
      <c r="V3712" s="6" t="str">
        <f>IF(AND($A3712&lt;&gt;"",$O3712=1,$L3712="Débit",N($Q3712)&gt;0,$A3712&gt;=Visualisation!$B$1,$A3712&lt;Visualisation!$D$1),MAX($V$1:V3711)+1,"")</f>
        <v/>
      </c>
    </row>
    <row r="3713" spans="1:22" x14ac:dyDescent="0.25">
      <c r="A3713" s="9"/>
      <c r="E3713" s="10"/>
      <c r="K3713" s="11" t="str">
        <f>IF($E3713="","",ROUND($E3713*IF(ISNA(MATCH($C3713,'Paramètres'!$D:$D,0)),1,IF(INDEX('Paramètres'!$J:$J,MATCH($C3713,'Paramètres'!$D:$D,0))="",1,INDEX('Paramètres'!$J:$J,MATCH($C3713,'Paramètres'!$D:$D,0)))),2))</f>
        <v/>
      </c>
      <c r="L3713" s="6" t="str">
        <f>IF($D3713="","",IF($F3713&lt;&gt;"",$F3713,IF(ISNA(MATCH($D3713,'Paramètres'!$M:$M,0)),"⚠ Type inconnu",IFERROR(INDEX('Paramètres'!$P:$P,MATCH($D3713,'Paramètres'!$M:$M,0))&amp;"",""))))</f>
        <v/>
      </c>
      <c r="M3713" s="6" t="str">
        <f>IF($D3713="","",IF(ISNA(MATCH($D3713,'Paramètres'!$M:$M,0)),"⚠ Type inconnu",IF($L3713="Crédit","",IFERROR(INDEX('Paramètres'!$O:$O,MATCH($D3713,'Paramètres'!$M:$M,0))&amp;"",""))))</f>
        <v/>
      </c>
      <c r="N3713" s="6" t="str">
        <f>IF($D3713="","",IFERROR(INDEX('Paramètres'!$Q:$Q,MATCH($D3713,'Paramètres'!$M:$M,0))&amp;"",""))</f>
        <v/>
      </c>
      <c r="O3713" s="6" t="str">
        <f>IF($A3713="","",IF(OR($J3713&lt;&gt;"x",$A3713&lt;=FinReleve),1,0))</f>
        <v/>
      </c>
      <c r="P3713" s="6" t="str">
        <f>IF($D3713="","",IF(AND($L3713="Crédit",OR(IFERROR(INDEX('Paramètres'!$O:$O,MATCH($D3713,'Paramètres'!$M:$M,0))&amp;"","")&lt;&gt;"",ISNUMBER(SEARCH("remboursement",IFERROR(INDEX('Paramètres'!$N:$N,MATCH($D3713,'Paramètres'!$M:$M,0))&amp;"",""))))),1,0))</f>
        <v/>
      </c>
      <c r="Q3713" s="6" t="str">
        <f>IF($K3713="","",IF(ISNUMBER(SEARCH("transfert-interne",IFERROR(INDEX('Paramètres'!$N:$N,MATCH($D3713,'Paramètres'!$M:$M,0))&amp;"",""))),0,IF($L3713="Débit",$K3713,IF($P3713=1,-$K3713,0))))</f>
        <v/>
      </c>
      <c r="R3713" s="6" t="str">
        <f>IF($K3713="","",IF($L3713="Crédit",$K3713,-$K3713))</f>
        <v/>
      </c>
      <c r="S3713" s="6" t="str">
        <f>IF($C3713="","",IFERROR(INDEX('Paramètres'!$H:$H,MATCH($C3713,'Paramètres'!$D:$D,0))&amp;"",""))</f>
        <v/>
      </c>
      <c r="T3713" s="6" t="str">
        <f>IF($K3713="","",IF($S3713="",0,IF(ISNUMBER(SEARCH("apport-exterieur",IFERROR(INDEX('Paramètres'!$N:$N,MATCH($D3713,'Paramètres'!$M:$M,0))&amp;"",""))),0,IF(OR(IFERROR(INDEX('Paramètres'!$I:$I,MATCH($C3713,'Paramètres'!$D:$D,0))&amp;"","")="Les deux",IFERROR(INDEX('Paramètres'!$I:$I,MATCH($C3713,'Paramètres'!$D:$D,0))&amp;"","")=IF($P3713=1,"Débit",$L3713)),-IF($P3713=1,-$K3713,$K3713),0))))</f>
        <v/>
      </c>
      <c r="U3713" s="6" t="str">
        <f>IF($K3713="","",IF(ISNUMBER(SEARCH("sortie-epargne",IFERROR(INDEX('Paramètres'!$N:$N,MATCH($D3713,'Paramètres'!$M:$M,0))&amp;"",""))),$K3713,0))</f>
        <v/>
      </c>
      <c r="V3713" s="6" t="str">
        <f>IF(AND($A3713&lt;&gt;"",$O3713=1,$L3713="Débit",N($Q3713)&gt;0,$A3713&gt;=Visualisation!$B$1,$A3713&lt;Visualisation!$D$1),MAX($V$1:V3712)+1,"")</f>
        <v/>
      </c>
    </row>
    <row r="3714" spans="1:22" x14ac:dyDescent="0.25">
      <c r="A3714" s="9"/>
      <c r="E3714" s="10"/>
      <c r="K3714" s="11" t="str">
        <f>IF($E3714="","",ROUND($E3714*IF(ISNA(MATCH($C3714,'Paramètres'!$D:$D,0)),1,IF(INDEX('Paramètres'!$J:$J,MATCH($C3714,'Paramètres'!$D:$D,0))="",1,INDEX('Paramètres'!$J:$J,MATCH($C3714,'Paramètres'!$D:$D,0)))),2))</f>
        <v/>
      </c>
      <c r="L3714" s="6" t="str">
        <f>IF($D3714="","",IF($F3714&lt;&gt;"",$F3714,IF(ISNA(MATCH($D3714,'Paramètres'!$M:$M,0)),"⚠ Type inconnu",IFERROR(INDEX('Paramètres'!$P:$P,MATCH($D3714,'Paramètres'!$M:$M,0))&amp;"",""))))</f>
        <v/>
      </c>
      <c r="M3714" s="6" t="str">
        <f>IF($D3714="","",IF(ISNA(MATCH($D3714,'Paramètres'!$M:$M,0)),"⚠ Type inconnu",IF($L3714="Crédit","",IFERROR(INDEX('Paramètres'!$O:$O,MATCH($D3714,'Paramètres'!$M:$M,0))&amp;"",""))))</f>
        <v/>
      </c>
      <c r="N3714" s="6" t="str">
        <f>IF($D3714="","",IFERROR(INDEX('Paramètres'!$Q:$Q,MATCH($D3714,'Paramètres'!$M:$M,0))&amp;"",""))</f>
        <v/>
      </c>
      <c r="O3714" s="6" t="str">
        <f>IF($A3714="","",IF(OR($J3714&lt;&gt;"x",$A3714&lt;=FinReleve),1,0))</f>
        <v/>
      </c>
      <c r="P3714" s="6" t="str">
        <f>IF($D3714="","",IF(AND($L3714="Crédit",OR(IFERROR(INDEX('Paramètres'!$O:$O,MATCH($D3714,'Paramètres'!$M:$M,0))&amp;"","")&lt;&gt;"",ISNUMBER(SEARCH("remboursement",IFERROR(INDEX('Paramètres'!$N:$N,MATCH($D3714,'Paramètres'!$M:$M,0))&amp;"",""))))),1,0))</f>
        <v/>
      </c>
      <c r="Q3714" s="6" t="str">
        <f>IF($K3714="","",IF(ISNUMBER(SEARCH("transfert-interne",IFERROR(INDEX('Paramètres'!$N:$N,MATCH($D3714,'Paramètres'!$M:$M,0))&amp;"",""))),0,IF($L3714="Débit",$K3714,IF($P3714=1,-$K3714,0))))</f>
        <v/>
      </c>
      <c r="R3714" s="6" t="str">
        <f>IF($K3714="","",IF($L3714="Crédit",$K3714,-$K3714))</f>
        <v/>
      </c>
      <c r="S3714" s="6" t="str">
        <f>IF($C3714="","",IFERROR(INDEX('Paramètres'!$H:$H,MATCH($C3714,'Paramètres'!$D:$D,0))&amp;"",""))</f>
        <v/>
      </c>
      <c r="T3714" s="6" t="str">
        <f>IF($K3714="","",IF($S3714="",0,IF(ISNUMBER(SEARCH("apport-exterieur",IFERROR(INDEX('Paramètres'!$N:$N,MATCH($D3714,'Paramètres'!$M:$M,0))&amp;"",""))),0,IF(OR(IFERROR(INDEX('Paramètres'!$I:$I,MATCH($C3714,'Paramètres'!$D:$D,0))&amp;"","")="Les deux",IFERROR(INDEX('Paramètres'!$I:$I,MATCH($C3714,'Paramètres'!$D:$D,0))&amp;"","")=IF($P3714=1,"Débit",$L3714)),-IF($P3714=1,-$K3714,$K3714),0))))</f>
        <v/>
      </c>
      <c r="U3714" s="6" t="str">
        <f>IF($K3714="","",IF(ISNUMBER(SEARCH("sortie-epargne",IFERROR(INDEX('Paramètres'!$N:$N,MATCH($D3714,'Paramètres'!$M:$M,0))&amp;"",""))),$K3714,0))</f>
        <v/>
      </c>
      <c r="V3714" s="6" t="str">
        <f>IF(AND($A3714&lt;&gt;"",$O3714=1,$L3714="Débit",N($Q3714)&gt;0,$A3714&gt;=Visualisation!$B$1,$A3714&lt;Visualisation!$D$1),MAX($V$1:V3713)+1,"")</f>
        <v/>
      </c>
    </row>
    <row r="3715" spans="1:22" x14ac:dyDescent="0.25">
      <c r="A3715" s="9"/>
      <c r="E3715" s="10"/>
      <c r="K3715" s="11" t="str">
        <f>IF($E3715="","",ROUND($E3715*IF(ISNA(MATCH($C3715,'Paramètres'!$D:$D,0)),1,IF(INDEX('Paramètres'!$J:$J,MATCH($C3715,'Paramètres'!$D:$D,0))="",1,INDEX('Paramètres'!$J:$J,MATCH($C3715,'Paramètres'!$D:$D,0)))),2))</f>
        <v/>
      </c>
      <c r="L3715" s="6" t="str">
        <f>IF($D3715="","",IF($F3715&lt;&gt;"",$F3715,IF(ISNA(MATCH($D3715,'Paramètres'!$M:$M,0)),"⚠ Type inconnu",IFERROR(INDEX('Paramètres'!$P:$P,MATCH($D3715,'Paramètres'!$M:$M,0))&amp;"",""))))</f>
        <v/>
      </c>
      <c r="M3715" s="6" t="str">
        <f>IF($D3715="","",IF(ISNA(MATCH($D3715,'Paramètres'!$M:$M,0)),"⚠ Type inconnu",IF($L3715="Crédit","",IFERROR(INDEX('Paramètres'!$O:$O,MATCH($D3715,'Paramètres'!$M:$M,0))&amp;"",""))))</f>
        <v/>
      </c>
      <c r="N3715" s="6" t="str">
        <f>IF($D3715="","",IFERROR(INDEX('Paramètres'!$Q:$Q,MATCH($D3715,'Paramètres'!$M:$M,0))&amp;"",""))</f>
        <v/>
      </c>
      <c r="O3715" s="6" t="str">
        <f>IF($A3715="","",IF(OR($J3715&lt;&gt;"x",$A3715&lt;=FinReleve),1,0))</f>
        <v/>
      </c>
      <c r="P3715" s="6" t="str">
        <f>IF($D3715="","",IF(AND($L3715="Crédit",OR(IFERROR(INDEX('Paramètres'!$O:$O,MATCH($D3715,'Paramètres'!$M:$M,0))&amp;"","")&lt;&gt;"",ISNUMBER(SEARCH("remboursement",IFERROR(INDEX('Paramètres'!$N:$N,MATCH($D3715,'Paramètres'!$M:$M,0))&amp;"",""))))),1,0))</f>
        <v/>
      </c>
      <c r="Q3715" s="6" t="str">
        <f>IF($K3715="","",IF(ISNUMBER(SEARCH("transfert-interne",IFERROR(INDEX('Paramètres'!$N:$N,MATCH($D3715,'Paramètres'!$M:$M,0))&amp;"",""))),0,IF($L3715="Débit",$K3715,IF($P3715=1,-$K3715,0))))</f>
        <v/>
      </c>
      <c r="R3715" s="6" t="str">
        <f>IF($K3715="","",IF($L3715="Crédit",$K3715,-$K3715))</f>
        <v/>
      </c>
      <c r="S3715" s="6" t="str">
        <f>IF($C3715="","",IFERROR(INDEX('Paramètres'!$H:$H,MATCH($C3715,'Paramètres'!$D:$D,0))&amp;"",""))</f>
        <v/>
      </c>
      <c r="T3715" s="6" t="str">
        <f>IF($K3715="","",IF($S3715="",0,IF(ISNUMBER(SEARCH("apport-exterieur",IFERROR(INDEX('Paramètres'!$N:$N,MATCH($D3715,'Paramètres'!$M:$M,0))&amp;"",""))),0,IF(OR(IFERROR(INDEX('Paramètres'!$I:$I,MATCH($C3715,'Paramètres'!$D:$D,0))&amp;"","")="Les deux",IFERROR(INDEX('Paramètres'!$I:$I,MATCH($C3715,'Paramètres'!$D:$D,0))&amp;"","")=IF($P3715=1,"Débit",$L3715)),-IF($P3715=1,-$K3715,$K3715),0))))</f>
        <v/>
      </c>
      <c r="U3715" s="6" t="str">
        <f>IF($K3715="","",IF(ISNUMBER(SEARCH("sortie-epargne",IFERROR(INDEX('Paramètres'!$N:$N,MATCH($D3715,'Paramètres'!$M:$M,0))&amp;"",""))),$K3715,0))</f>
        <v/>
      </c>
      <c r="V3715" s="6" t="str">
        <f>IF(AND($A3715&lt;&gt;"",$O3715=1,$L3715="Débit",N($Q3715)&gt;0,$A3715&gt;=Visualisation!$B$1,$A3715&lt;Visualisation!$D$1),MAX($V$1:V3714)+1,"")</f>
        <v/>
      </c>
    </row>
    <row r="3716" spans="1:22" x14ac:dyDescent="0.25">
      <c r="A3716" s="9"/>
      <c r="E3716" s="10"/>
      <c r="K3716" s="11" t="str">
        <f>IF($E3716="","",ROUND($E3716*IF(ISNA(MATCH($C3716,'Paramètres'!$D:$D,0)),1,IF(INDEX('Paramètres'!$J:$J,MATCH($C3716,'Paramètres'!$D:$D,0))="",1,INDEX('Paramètres'!$J:$J,MATCH($C3716,'Paramètres'!$D:$D,0)))),2))</f>
        <v/>
      </c>
      <c r="L3716" s="6" t="str">
        <f>IF($D3716="","",IF($F3716&lt;&gt;"",$F3716,IF(ISNA(MATCH($D3716,'Paramètres'!$M:$M,0)),"⚠ Type inconnu",IFERROR(INDEX('Paramètres'!$P:$P,MATCH($D3716,'Paramètres'!$M:$M,0))&amp;"",""))))</f>
        <v/>
      </c>
      <c r="M3716" s="6" t="str">
        <f>IF($D3716="","",IF(ISNA(MATCH($D3716,'Paramètres'!$M:$M,0)),"⚠ Type inconnu",IF($L3716="Crédit","",IFERROR(INDEX('Paramètres'!$O:$O,MATCH($D3716,'Paramètres'!$M:$M,0))&amp;"",""))))</f>
        <v/>
      </c>
      <c r="N3716" s="6" t="str">
        <f>IF($D3716="","",IFERROR(INDEX('Paramètres'!$Q:$Q,MATCH($D3716,'Paramètres'!$M:$M,0))&amp;"",""))</f>
        <v/>
      </c>
      <c r="O3716" s="6" t="str">
        <f>IF($A3716="","",IF(OR($J3716&lt;&gt;"x",$A3716&lt;=FinReleve),1,0))</f>
        <v/>
      </c>
      <c r="P3716" s="6" t="str">
        <f>IF($D3716="","",IF(AND($L3716="Crédit",OR(IFERROR(INDEX('Paramètres'!$O:$O,MATCH($D3716,'Paramètres'!$M:$M,0))&amp;"","")&lt;&gt;"",ISNUMBER(SEARCH("remboursement",IFERROR(INDEX('Paramètres'!$N:$N,MATCH($D3716,'Paramètres'!$M:$M,0))&amp;"",""))))),1,0))</f>
        <v/>
      </c>
      <c r="Q3716" s="6" t="str">
        <f>IF($K3716="","",IF(ISNUMBER(SEARCH("transfert-interne",IFERROR(INDEX('Paramètres'!$N:$N,MATCH($D3716,'Paramètres'!$M:$M,0))&amp;"",""))),0,IF($L3716="Débit",$K3716,IF($P3716=1,-$K3716,0))))</f>
        <v/>
      </c>
      <c r="R3716" s="6" t="str">
        <f>IF($K3716="","",IF($L3716="Crédit",$K3716,-$K3716))</f>
        <v/>
      </c>
      <c r="S3716" s="6" t="str">
        <f>IF($C3716="","",IFERROR(INDEX('Paramètres'!$H:$H,MATCH($C3716,'Paramètres'!$D:$D,0))&amp;"",""))</f>
        <v/>
      </c>
      <c r="T3716" s="6" t="str">
        <f>IF($K3716="","",IF($S3716="",0,IF(ISNUMBER(SEARCH("apport-exterieur",IFERROR(INDEX('Paramètres'!$N:$N,MATCH($D3716,'Paramètres'!$M:$M,0))&amp;"",""))),0,IF(OR(IFERROR(INDEX('Paramètres'!$I:$I,MATCH($C3716,'Paramètres'!$D:$D,0))&amp;"","")="Les deux",IFERROR(INDEX('Paramètres'!$I:$I,MATCH($C3716,'Paramètres'!$D:$D,0))&amp;"","")=IF($P3716=1,"Débit",$L3716)),-IF($P3716=1,-$K3716,$K3716),0))))</f>
        <v/>
      </c>
      <c r="U3716" s="6" t="str">
        <f>IF($K3716="","",IF(ISNUMBER(SEARCH("sortie-epargne",IFERROR(INDEX('Paramètres'!$N:$N,MATCH($D3716,'Paramètres'!$M:$M,0))&amp;"",""))),$K3716,0))</f>
        <v/>
      </c>
      <c r="V3716" s="6" t="str">
        <f>IF(AND($A3716&lt;&gt;"",$O3716=1,$L3716="Débit",N($Q3716)&gt;0,$A3716&gt;=Visualisation!$B$1,$A3716&lt;Visualisation!$D$1),MAX($V$1:V3715)+1,"")</f>
        <v/>
      </c>
    </row>
    <row r="3717" spans="1:22" x14ac:dyDescent="0.25">
      <c r="A3717" s="9"/>
      <c r="E3717" s="10"/>
      <c r="K3717" s="11" t="str">
        <f>IF($E3717="","",ROUND($E3717*IF(ISNA(MATCH($C3717,'Paramètres'!$D:$D,0)),1,IF(INDEX('Paramètres'!$J:$J,MATCH($C3717,'Paramètres'!$D:$D,0))="",1,INDEX('Paramètres'!$J:$J,MATCH($C3717,'Paramètres'!$D:$D,0)))),2))</f>
        <v/>
      </c>
      <c r="L3717" s="6" t="str">
        <f>IF($D3717="","",IF($F3717&lt;&gt;"",$F3717,IF(ISNA(MATCH($D3717,'Paramètres'!$M:$M,0)),"⚠ Type inconnu",IFERROR(INDEX('Paramètres'!$P:$P,MATCH($D3717,'Paramètres'!$M:$M,0))&amp;"",""))))</f>
        <v/>
      </c>
      <c r="M3717" s="6" t="str">
        <f>IF($D3717="","",IF(ISNA(MATCH($D3717,'Paramètres'!$M:$M,0)),"⚠ Type inconnu",IF($L3717="Crédit","",IFERROR(INDEX('Paramètres'!$O:$O,MATCH($D3717,'Paramètres'!$M:$M,0))&amp;"",""))))</f>
        <v/>
      </c>
      <c r="N3717" s="6" t="str">
        <f>IF($D3717="","",IFERROR(INDEX('Paramètres'!$Q:$Q,MATCH($D3717,'Paramètres'!$M:$M,0))&amp;"",""))</f>
        <v/>
      </c>
      <c r="O3717" s="6" t="str">
        <f>IF($A3717="","",IF(OR($J3717&lt;&gt;"x",$A3717&lt;=FinReleve),1,0))</f>
        <v/>
      </c>
      <c r="P3717" s="6" t="str">
        <f>IF($D3717="","",IF(AND($L3717="Crédit",OR(IFERROR(INDEX('Paramètres'!$O:$O,MATCH($D3717,'Paramètres'!$M:$M,0))&amp;"","")&lt;&gt;"",ISNUMBER(SEARCH("remboursement",IFERROR(INDEX('Paramètres'!$N:$N,MATCH($D3717,'Paramètres'!$M:$M,0))&amp;"",""))))),1,0))</f>
        <v/>
      </c>
      <c r="Q3717" s="6" t="str">
        <f>IF($K3717="","",IF(ISNUMBER(SEARCH("transfert-interne",IFERROR(INDEX('Paramètres'!$N:$N,MATCH($D3717,'Paramètres'!$M:$M,0))&amp;"",""))),0,IF($L3717="Débit",$K3717,IF($P3717=1,-$K3717,0))))</f>
        <v/>
      </c>
      <c r="R3717" s="6" t="str">
        <f>IF($K3717="","",IF($L3717="Crédit",$K3717,-$K3717))</f>
        <v/>
      </c>
      <c r="S3717" s="6" t="str">
        <f>IF($C3717="","",IFERROR(INDEX('Paramètres'!$H:$H,MATCH($C3717,'Paramètres'!$D:$D,0))&amp;"",""))</f>
        <v/>
      </c>
      <c r="T3717" s="6" t="str">
        <f>IF($K3717="","",IF($S3717="",0,IF(ISNUMBER(SEARCH("apport-exterieur",IFERROR(INDEX('Paramètres'!$N:$N,MATCH($D3717,'Paramètres'!$M:$M,0))&amp;"",""))),0,IF(OR(IFERROR(INDEX('Paramètres'!$I:$I,MATCH($C3717,'Paramètres'!$D:$D,0))&amp;"","")="Les deux",IFERROR(INDEX('Paramètres'!$I:$I,MATCH($C3717,'Paramètres'!$D:$D,0))&amp;"","")=IF($P3717=1,"Débit",$L3717)),-IF($P3717=1,-$K3717,$K3717),0))))</f>
        <v/>
      </c>
      <c r="U3717" s="6" t="str">
        <f>IF($K3717="","",IF(ISNUMBER(SEARCH("sortie-epargne",IFERROR(INDEX('Paramètres'!$N:$N,MATCH($D3717,'Paramètres'!$M:$M,0))&amp;"",""))),$K3717,0))</f>
        <v/>
      </c>
      <c r="V3717" s="6" t="str">
        <f>IF(AND($A3717&lt;&gt;"",$O3717=1,$L3717="Débit",N($Q3717)&gt;0,$A3717&gt;=Visualisation!$B$1,$A3717&lt;Visualisation!$D$1),MAX($V$1:V3716)+1,"")</f>
        <v/>
      </c>
    </row>
    <row r="3718" spans="1:22" x14ac:dyDescent="0.25">
      <c r="A3718" s="9"/>
      <c r="E3718" s="10"/>
      <c r="K3718" s="11" t="str">
        <f>IF($E3718="","",ROUND($E3718*IF(ISNA(MATCH($C3718,'Paramètres'!$D:$D,0)),1,IF(INDEX('Paramètres'!$J:$J,MATCH($C3718,'Paramètres'!$D:$D,0))="",1,INDEX('Paramètres'!$J:$J,MATCH($C3718,'Paramètres'!$D:$D,0)))),2))</f>
        <v/>
      </c>
      <c r="L3718" s="6" t="str">
        <f>IF($D3718="","",IF($F3718&lt;&gt;"",$F3718,IF(ISNA(MATCH($D3718,'Paramètres'!$M:$M,0)),"⚠ Type inconnu",IFERROR(INDEX('Paramètres'!$P:$P,MATCH($D3718,'Paramètres'!$M:$M,0))&amp;"",""))))</f>
        <v/>
      </c>
      <c r="M3718" s="6" t="str">
        <f>IF($D3718="","",IF(ISNA(MATCH($D3718,'Paramètres'!$M:$M,0)),"⚠ Type inconnu",IF($L3718="Crédit","",IFERROR(INDEX('Paramètres'!$O:$O,MATCH($D3718,'Paramètres'!$M:$M,0))&amp;"",""))))</f>
        <v/>
      </c>
      <c r="N3718" s="6" t="str">
        <f>IF($D3718="","",IFERROR(INDEX('Paramètres'!$Q:$Q,MATCH($D3718,'Paramètres'!$M:$M,0))&amp;"",""))</f>
        <v/>
      </c>
      <c r="O3718" s="6" t="str">
        <f>IF($A3718="","",IF(OR($J3718&lt;&gt;"x",$A3718&lt;=FinReleve),1,0))</f>
        <v/>
      </c>
      <c r="P3718" s="6" t="str">
        <f>IF($D3718="","",IF(AND($L3718="Crédit",OR(IFERROR(INDEX('Paramètres'!$O:$O,MATCH($D3718,'Paramètres'!$M:$M,0))&amp;"","")&lt;&gt;"",ISNUMBER(SEARCH("remboursement",IFERROR(INDEX('Paramètres'!$N:$N,MATCH($D3718,'Paramètres'!$M:$M,0))&amp;"",""))))),1,0))</f>
        <v/>
      </c>
      <c r="Q3718" s="6" t="str">
        <f>IF($K3718="","",IF(ISNUMBER(SEARCH("transfert-interne",IFERROR(INDEX('Paramètres'!$N:$N,MATCH($D3718,'Paramètres'!$M:$M,0))&amp;"",""))),0,IF($L3718="Débit",$K3718,IF($P3718=1,-$K3718,0))))</f>
        <v/>
      </c>
      <c r="R3718" s="6" t="str">
        <f>IF($K3718="","",IF($L3718="Crédit",$K3718,-$K3718))</f>
        <v/>
      </c>
      <c r="S3718" s="6" t="str">
        <f>IF($C3718="","",IFERROR(INDEX('Paramètres'!$H:$H,MATCH($C3718,'Paramètres'!$D:$D,0))&amp;"",""))</f>
        <v/>
      </c>
      <c r="T3718" s="6" t="str">
        <f>IF($K3718="","",IF($S3718="",0,IF(ISNUMBER(SEARCH("apport-exterieur",IFERROR(INDEX('Paramètres'!$N:$N,MATCH($D3718,'Paramètres'!$M:$M,0))&amp;"",""))),0,IF(OR(IFERROR(INDEX('Paramètres'!$I:$I,MATCH($C3718,'Paramètres'!$D:$D,0))&amp;"","")="Les deux",IFERROR(INDEX('Paramètres'!$I:$I,MATCH($C3718,'Paramètres'!$D:$D,0))&amp;"","")=IF($P3718=1,"Débit",$L3718)),-IF($P3718=1,-$K3718,$K3718),0))))</f>
        <v/>
      </c>
      <c r="U3718" s="6" t="str">
        <f>IF($K3718="","",IF(ISNUMBER(SEARCH("sortie-epargne",IFERROR(INDEX('Paramètres'!$N:$N,MATCH($D3718,'Paramètres'!$M:$M,0))&amp;"",""))),$K3718,0))</f>
        <v/>
      </c>
      <c r="V3718" s="6" t="str">
        <f>IF(AND($A3718&lt;&gt;"",$O3718=1,$L3718="Débit",N($Q3718)&gt;0,$A3718&gt;=Visualisation!$B$1,$A3718&lt;Visualisation!$D$1),MAX($V$1:V3717)+1,"")</f>
        <v/>
      </c>
    </row>
    <row r="3719" spans="1:22" x14ac:dyDescent="0.25">
      <c r="A3719" s="9"/>
      <c r="E3719" s="10"/>
      <c r="K3719" s="11" t="str">
        <f>IF($E3719="","",ROUND($E3719*IF(ISNA(MATCH($C3719,'Paramètres'!$D:$D,0)),1,IF(INDEX('Paramètres'!$J:$J,MATCH($C3719,'Paramètres'!$D:$D,0))="",1,INDEX('Paramètres'!$J:$J,MATCH($C3719,'Paramètres'!$D:$D,0)))),2))</f>
        <v/>
      </c>
      <c r="L3719" s="6" t="str">
        <f>IF($D3719="","",IF($F3719&lt;&gt;"",$F3719,IF(ISNA(MATCH($D3719,'Paramètres'!$M:$M,0)),"⚠ Type inconnu",IFERROR(INDEX('Paramètres'!$P:$P,MATCH($D3719,'Paramètres'!$M:$M,0))&amp;"",""))))</f>
        <v/>
      </c>
      <c r="M3719" s="6" t="str">
        <f>IF($D3719="","",IF(ISNA(MATCH($D3719,'Paramètres'!$M:$M,0)),"⚠ Type inconnu",IF($L3719="Crédit","",IFERROR(INDEX('Paramètres'!$O:$O,MATCH($D3719,'Paramètres'!$M:$M,0))&amp;"",""))))</f>
        <v/>
      </c>
      <c r="N3719" s="6" t="str">
        <f>IF($D3719="","",IFERROR(INDEX('Paramètres'!$Q:$Q,MATCH($D3719,'Paramètres'!$M:$M,0))&amp;"",""))</f>
        <v/>
      </c>
      <c r="O3719" s="6" t="str">
        <f>IF($A3719="","",IF(OR($J3719&lt;&gt;"x",$A3719&lt;=FinReleve),1,0))</f>
        <v/>
      </c>
      <c r="P3719" s="6" t="str">
        <f>IF($D3719="","",IF(AND($L3719="Crédit",OR(IFERROR(INDEX('Paramètres'!$O:$O,MATCH($D3719,'Paramètres'!$M:$M,0))&amp;"","")&lt;&gt;"",ISNUMBER(SEARCH("remboursement",IFERROR(INDEX('Paramètres'!$N:$N,MATCH($D3719,'Paramètres'!$M:$M,0))&amp;"",""))))),1,0))</f>
        <v/>
      </c>
      <c r="Q3719" s="6" t="str">
        <f>IF($K3719="","",IF(ISNUMBER(SEARCH("transfert-interne",IFERROR(INDEX('Paramètres'!$N:$N,MATCH($D3719,'Paramètres'!$M:$M,0))&amp;"",""))),0,IF($L3719="Débit",$K3719,IF($P3719=1,-$K3719,0))))</f>
        <v/>
      </c>
      <c r="R3719" s="6" t="str">
        <f>IF($K3719="","",IF($L3719="Crédit",$K3719,-$K3719))</f>
        <v/>
      </c>
      <c r="S3719" s="6" t="str">
        <f>IF($C3719="","",IFERROR(INDEX('Paramètres'!$H:$H,MATCH($C3719,'Paramètres'!$D:$D,0))&amp;"",""))</f>
        <v/>
      </c>
      <c r="T3719" s="6" t="str">
        <f>IF($K3719="","",IF($S3719="",0,IF(ISNUMBER(SEARCH("apport-exterieur",IFERROR(INDEX('Paramètres'!$N:$N,MATCH($D3719,'Paramètres'!$M:$M,0))&amp;"",""))),0,IF(OR(IFERROR(INDEX('Paramètres'!$I:$I,MATCH($C3719,'Paramètres'!$D:$D,0))&amp;"","")="Les deux",IFERROR(INDEX('Paramètres'!$I:$I,MATCH($C3719,'Paramètres'!$D:$D,0))&amp;"","")=IF($P3719=1,"Débit",$L3719)),-IF($P3719=1,-$K3719,$K3719),0))))</f>
        <v/>
      </c>
      <c r="U3719" s="6" t="str">
        <f>IF($K3719="","",IF(ISNUMBER(SEARCH("sortie-epargne",IFERROR(INDEX('Paramètres'!$N:$N,MATCH($D3719,'Paramètres'!$M:$M,0))&amp;"",""))),$K3719,0))</f>
        <v/>
      </c>
      <c r="V3719" s="6" t="str">
        <f>IF(AND($A3719&lt;&gt;"",$O3719=1,$L3719="Débit",N($Q3719)&gt;0,$A3719&gt;=Visualisation!$B$1,$A3719&lt;Visualisation!$D$1),MAX($V$1:V3718)+1,"")</f>
        <v/>
      </c>
    </row>
    <row r="3720" spans="1:22" x14ac:dyDescent="0.25">
      <c r="A3720" s="9"/>
      <c r="E3720" s="10"/>
      <c r="K3720" s="11" t="str">
        <f>IF($E3720="","",ROUND($E3720*IF(ISNA(MATCH($C3720,'Paramètres'!$D:$D,0)),1,IF(INDEX('Paramètres'!$J:$J,MATCH($C3720,'Paramètres'!$D:$D,0))="",1,INDEX('Paramètres'!$J:$J,MATCH($C3720,'Paramètres'!$D:$D,0)))),2))</f>
        <v/>
      </c>
      <c r="L3720" s="6" t="str">
        <f>IF($D3720="","",IF($F3720&lt;&gt;"",$F3720,IF(ISNA(MATCH($D3720,'Paramètres'!$M:$M,0)),"⚠ Type inconnu",IFERROR(INDEX('Paramètres'!$P:$P,MATCH($D3720,'Paramètres'!$M:$M,0))&amp;"",""))))</f>
        <v/>
      </c>
      <c r="M3720" s="6" t="str">
        <f>IF($D3720="","",IF(ISNA(MATCH($D3720,'Paramètres'!$M:$M,0)),"⚠ Type inconnu",IF($L3720="Crédit","",IFERROR(INDEX('Paramètres'!$O:$O,MATCH($D3720,'Paramètres'!$M:$M,0))&amp;"",""))))</f>
        <v/>
      </c>
      <c r="N3720" s="6" t="str">
        <f>IF($D3720="","",IFERROR(INDEX('Paramètres'!$Q:$Q,MATCH($D3720,'Paramètres'!$M:$M,0))&amp;"",""))</f>
        <v/>
      </c>
      <c r="O3720" s="6" t="str">
        <f>IF($A3720="","",IF(OR($J3720&lt;&gt;"x",$A3720&lt;=FinReleve),1,0))</f>
        <v/>
      </c>
      <c r="P3720" s="6" t="str">
        <f>IF($D3720="","",IF(AND($L3720="Crédit",OR(IFERROR(INDEX('Paramètres'!$O:$O,MATCH($D3720,'Paramètres'!$M:$M,0))&amp;"","")&lt;&gt;"",ISNUMBER(SEARCH("remboursement",IFERROR(INDEX('Paramètres'!$N:$N,MATCH($D3720,'Paramètres'!$M:$M,0))&amp;"",""))))),1,0))</f>
        <v/>
      </c>
      <c r="Q3720" s="6" t="str">
        <f>IF($K3720="","",IF(ISNUMBER(SEARCH("transfert-interne",IFERROR(INDEX('Paramètres'!$N:$N,MATCH($D3720,'Paramètres'!$M:$M,0))&amp;"",""))),0,IF($L3720="Débit",$K3720,IF($P3720=1,-$K3720,0))))</f>
        <v/>
      </c>
      <c r="R3720" s="6" t="str">
        <f>IF($K3720="","",IF($L3720="Crédit",$K3720,-$K3720))</f>
        <v/>
      </c>
      <c r="S3720" s="6" t="str">
        <f>IF($C3720="","",IFERROR(INDEX('Paramètres'!$H:$H,MATCH($C3720,'Paramètres'!$D:$D,0))&amp;"",""))</f>
        <v/>
      </c>
      <c r="T3720" s="6" t="str">
        <f>IF($K3720="","",IF($S3720="",0,IF(ISNUMBER(SEARCH("apport-exterieur",IFERROR(INDEX('Paramètres'!$N:$N,MATCH($D3720,'Paramètres'!$M:$M,0))&amp;"",""))),0,IF(OR(IFERROR(INDEX('Paramètres'!$I:$I,MATCH($C3720,'Paramètres'!$D:$D,0))&amp;"","")="Les deux",IFERROR(INDEX('Paramètres'!$I:$I,MATCH($C3720,'Paramètres'!$D:$D,0))&amp;"","")=IF($P3720=1,"Débit",$L3720)),-IF($P3720=1,-$K3720,$K3720),0))))</f>
        <v/>
      </c>
      <c r="U3720" s="6" t="str">
        <f>IF($K3720="","",IF(ISNUMBER(SEARCH("sortie-epargne",IFERROR(INDEX('Paramètres'!$N:$N,MATCH($D3720,'Paramètres'!$M:$M,0))&amp;"",""))),$K3720,0))</f>
        <v/>
      </c>
      <c r="V3720" s="6" t="str">
        <f>IF(AND($A3720&lt;&gt;"",$O3720=1,$L3720="Débit",N($Q3720)&gt;0,$A3720&gt;=Visualisation!$B$1,$A3720&lt;Visualisation!$D$1),MAX($V$1:V3719)+1,"")</f>
        <v/>
      </c>
    </row>
    <row r="3721" spans="1:22" x14ac:dyDescent="0.25">
      <c r="A3721" s="9"/>
      <c r="E3721" s="10"/>
      <c r="K3721" s="11" t="str">
        <f>IF($E3721="","",ROUND($E3721*IF(ISNA(MATCH($C3721,'Paramètres'!$D:$D,0)),1,IF(INDEX('Paramètres'!$J:$J,MATCH($C3721,'Paramètres'!$D:$D,0))="",1,INDEX('Paramètres'!$J:$J,MATCH($C3721,'Paramètres'!$D:$D,0)))),2))</f>
        <v/>
      </c>
      <c r="L3721" s="6" t="str">
        <f>IF($D3721="","",IF($F3721&lt;&gt;"",$F3721,IF(ISNA(MATCH($D3721,'Paramètres'!$M:$M,0)),"⚠ Type inconnu",IFERROR(INDEX('Paramètres'!$P:$P,MATCH($D3721,'Paramètres'!$M:$M,0))&amp;"",""))))</f>
        <v/>
      </c>
      <c r="M3721" s="6" t="str">
        <f>IF($D3721="","",IF(ISNA(MATCH($D3721,'Paramètres'!$M:$M,0)),"⚠ Type inconnu",IF($L3721="Crédit","",IFERROR(INDEX('Paramètres'!$O:$O,MATCH($D3721,'Paramètres'!$M:$M,0))&amp;"",""))))</f>
        <v/>
      </c>
      <c r="N3721" s="6" t="str">
        <f>IF($D3721="","",IFERROR(INDEX('Paramètres'!$Q:$Q,MATCH($D3721,'Paramètres'!$M:$M,0))&amp;"",""))</f>
        <v/>
      </c>
      <c r="O3721" s="6" t="str">
        <f>IF($A3721="","",IF(OR($J3721&lt;&gt;"x",$A3721&lt;=FinReleve),1,0))</f>
        <v/>
      </c>
      <c r="P3721" s="6" t="str">
        <f>IF($D3721="","",IF(AND($L3721="Crédit",OR(IFERROR(INDEX('Paramètres'!$O:$O,MATCH($D3721,'Paramètres'!$M:$M,0))&amp;"","")&lt;&gt;"",ISNUMBER(SEARCH("remboursement",IFERROR(INDEX('Paramètres'!$N:$N,MATCH($D3721,'Paramètres'!$M:$M,0))&amp;"",""))))),1,0))</f>
        <v/>
      </c>
      <c r="Q3721" s="6" t="str">
        <f>IF($K3721="","",IF(ISNUMBER(SEARCH("transfert-interne",IFERROR(INDEX('Paramètres'!$N:$N,MATCH($D3721,'Paramètres'!$M:$M,0))&amp;"",""))),0,IF($L3721="Débit",$K3721,IF($P3721=1,-$K3721,0))))</f>
        <v/>
      </c>
      <c r="R3721" s="6" t="str">
        <f>IF($K3721="","",IF($L3721="Crédit",$K3721,-$K3721))</f>
        <v/>
      </c>
      <c r="S3721" s="6" t="str">
        <f>IF($C3721="","",IFERROR(INDEX('Paramètres'!$H:$H,MATCH($C3721,'Paramètres'!$D:$D,0))&amp;"",""))</f>
        <v/>
      </c>
      <c r="T3721" s="6" t="str">
        <f>IF($K3721="","",IF($S3721="",0,IF(ISNUMBER(SEARCH("apport-exterieur",IFERROR(INDEX('Paramètres'!$N:$N,MATCH($D3721,'Paramètres'!$M:$M,0))&amp;"",""))),0,IF(OR(IFERROR(INDEX('Paramètres'!$I:$I,MATCH($C3721,'Paramètres'!$D:$D,0))&amp;"","")="Les deux",IFERROR(INDEX('Paramètres'!$I:$I,MATCH($C3721,'Paramètres'!$D:$D,0))&amp;"","")=IF($P3721=1,"Débit",$L3721)),-IF($P3721=1,-$K3721,$K3721),0))))</f>
        <v/>
      </c>
      <c r="U3721" s="6" t="str">
        <f>IF($K3721="","",IF(ISNUMBER(SEARCH("sortie-epargne",IFERROR(INDEX('Paramètres'!$N:$N,MATCH($D3721,'Paramètres'!$M:$M,0))&amp;"",""))),$K3721,0))</f>
        <v/>
      </c>
      <c r="V3721" s="6" t="str">
        <f>IF(AND($A3721&lt;&gt;"",$O3721=1,$L3721="Débit",N($Q3721)&gt;0,$A3721&gt;=Visualisation!$B$1,$A3721&lt;Visualisation!$D$1),MAX($V$1:V3720)+1,"")</f>
        <v/>
      </c>
    </row>
    <row r="3722" spans="1:22" x14ac:dyDescent="0.25">
      <c r="A3722" s="9"/>
      <c r="E3722" s="10"/>
      <c r="K3722" s="11" t="str">
        <f>IF($E3722="","",ROUND($E3722*IF(ISNA(MATCH($C3722,'Paramètres'!$D:$D,0)),1,IF(INDEX('Paramètres'!$J:$J,MATCH($C3722,'Paramètres'!$D:$D,0))="",1,INDEX('Paramètres'!$J:$J,MATCH($C3722,'Paramètres'!$D:$D,0)))),2))</f>
        <v/>
      </c>
      <c r="L3722" s="6" t="str">
        <f>IF($D3722="","",IF($F3722&lt;&gt;"",$F3722,IF(ISNA(MATCH($D3722,'Paramètres'!$M:$M,0)),"⚠ Type inconnu",IFERROR(INDEX('Paramètres'!$P:$P,MATCH($D3722,'Paramètres'!$M:$M,0))&amp;"",""))))</f>
        <v/>
      </c>
      <c r="M3722" s="6" t="str">
        <f>IF($D3722="","",IF(ISNA(MATCH($D3722,'Paramètres'!$M:$M,0)),"⚠ Type inconnu",IF($L3722="Crédit","",IFERROR(INDEX('Paramètres'!$O:$O,MATCH($D3722,'Paramètres'!$M:$M,0))&amp;"",""))))</f>
        <v/>
      </c>
      <c r="N3722" s="6" t="str">
        <f>IF($D3722="","",IFERROR(INDEX('Paramètres'!$Q:$Q,MATCH($D3722,'Paramètres'!$M:$M,0))&amp;"",""))</f>
        <v/>
      </c>
      <c r="O3722" s="6" t="str">
        <f>IF($A3722="","",IF(OR($J3722&lt;&gt;"x",$A3722&lt;=FinReleve),1,0))</f>
        <v/>
      </c>
      <c r="P3722" s="6" t="str">
        <f>IF($D3722="","",IF(AND($L3722="Crédit",OR(IFERROR(INDEX('Paramètres'!$O:$O,MATCH($D3722,'Paramètres'!$M:$M,0))&amp;"","")&lt;&gt;"",ISNUMBER(SEARCH("remboursement",IFERROR(INDEX('Paramètres'!$N:$N,MATCH($D3722,'Paramètres'!$M:$M,0))&amp;"",""))))),1,0))</f>
        <v/>
      </c>
      <c r="Q3722" s="6" t="str">
        <f>IF($K3722="","",IF(ISNUMBER(SEARCH("transfert-interne",IFERROR(INDEX('Paramètres'!$N:$N,MATCH($D3722,'Paramètres'!$M:$M,0))&amp;"",""))),0,IF($L3722="Débit",$K3722,IF($P3722=1,-$K3722,0))))</f>
        <v/>
      </c>
      <c r="R3722" s="6" t="str">
        <f>IF($K3722="","",IF($L3722="Crédit",$K3722,-$K3722))</f>
        <v/>
      </c>
      <c r="S3722" s="6" t="str">
        <f>IF($C3722="","",IFERROR(INDEX('Paramètres'!$H:$H,MATCH($C3722,'Paramètres'!$D:$D,0))&amp;"",""))</f>
        <v/>
      </c>
      <c r="T3722" s="6" t="str">
        <f>IF($K3722="","",IF($S3722="",0,IF(ISNUMBER(SEARCH("apport-exterieur",IFERROR(INDEX('Paramètres'!$N:$N,MATCH($D3722,'Paramètres'!$M:$M,0))&amp;"",""))),0,IF(OR(IFERROR(INDEX('Paramètres'!$I:$I,MATCH($C3722,'Paramètres'!$D:$D,0))&amp;"","")="Les deux",IFERROR(INDEX('Paramètres'!$I:$I,MATCH($C3722,'Paramètres'!$D:$D,0))&amp;"","")=IF($P3722=1,"Débit",$L3722)),-IF($P3722=1,-$K3722,$K3722),0))))</f>
        <v/>
      </c>
      <c r="U3722" s="6" t="str">
        <f>IF($K3722="","",IF(ISNUMBER(SEARCH("sortie-epargne",IFERROR(INDEX('Paramètres'!$N:$N,MATCH($D3722,'Paramètres'!$M:$M,0))&amp;"",""))),$K3722,0))</f>
        <v/>
      </c>
      <c r="V3722" s="6" t="str">
        <f>IF(AND($A3722&lt;&gt;"",$O3722=1,$L3722="Débit",N($Q3722)&gt;0,$A3722&gt;=Visualisation!$B$1,$A3722&lt;Visualisation!$D$1),MAX($V$1:V3721)+1,"")</f>
        <v/>
      </c>
    </row>
    <row r="3723" spans="1:22" x14ac:dyDescent="0.25">
      <c r="A3723" s="9"/>
      <c r="E3723" s="10"/>
      <c r="K3723" s="11" t="str">
        <f>IF($E3723="","",ROUND($E3723*IF(ISNA(MATCH($C3723,'Paramètres'!$D:$D,0)),1,IF(INDEX('Paramètres'!$J:$J,MATCH($C3723,'Paramètres'!$D:$D,0))="",1,INDEX('Paramètres'!$J:$J,MATCH($C3723,'Paramètres'!$D:$D,0)))),2))</f>
        <v/>
      </c>
      <c r="L3723" s="6" t="str">
        <f>IF($D3723="","",IF($F3723&lt;&gt;"",$F3723,IF(ISNA(MATCH($D3723,'Paramètres'!$M:$M,0)),"⚠ Type inconnu",IFERROR(INDEX('Paramètres'!$P:$P,MATCH($D3723,'Paramètres'!$M:$M,0))&amp;"",""))))</f>
        <v/>
      </c>
      <c r="M3723" s="6" t="str">
        <f>IF($D3723="","",IF(ISNA(MATCH($D3723,'Paramètres'!$M:$M,0)),"⚠ Type inconnu",IF($L3723="Crédit","",IFERROR(INDEX('Paramètres'!$O:$O,MATCH($D3723,'Paramètres'!$M:$M,0))&amp;"",""))))</f>
        <v/>
      </c>
      <c r="N3723" s="6" t="str">
        <f>IF($D3723="","",IFERROR(INDEX('Paramètres'!$Q:$Q,MATCH($D3723,'Paramètres'!$M:$M,0))&amp;"",""))</f>
        <v/>
      </c>
      <c r="O3723" s="6" t="str">
        <f>IF($A3723="","",IF(OR($J3723&lt;&gt;"x",$A3723&lt;=FinReleve),1,0))</f>
        <v/>
      </c>
      <c r="P3723" s="6" t="str">
        <f>IF($D3723="","",IF(AND($L3723="Crédit",OR(IFERROR(INDEX('Paramètres'!$O:$O,MATCH($D3723,'Paramètres'!$M:$M,0))&amp;"","")&lt;&gt;"",ISNUMBER(SEARCH("remboursement",IFERROR(INDEX('Paramètres'!$N:$N,MATCH($D3723,'Paramètres'!$M:$M,0))&amp;"",""))))),1,0))</f>
        <v/>
      </c>
      <c r="Q3723" s="6" t="str">
        <f>IF($K3723="","",IF(ISNUMBER(SEARCH("transfert-interne",IFERROR(INDEX('Paramètres'!$N:$N,MATCH($D3723,'Paramètres'!$M:$M,0))&amp;"",""))),0,IF($L3723="Débit",$K3723,IF($P3723=1,-$K3723,0))))</f>
        <v/>
      </c>
      <c r="R3723" s="6" t="str">
        <f>IF($K3723="","",IF($L3723="Crédit",$K3723,-$K3723))</f>
        <v/>
      </c>
      <c r="S3723" s="6" t="str">
        <f>IF($C3723="","",IFERROR(INDEX('Paramètres'!$H:$H,MATCH($C3723,'Paramètres'!$D:$D,0))&amp;"",""))</f>
        <v/>
      </c>
      <c r="T3723" s="6" t="str">
        <f>IF($K3723="","",IF($S3723="",0,IF(ISNUMBER(SEARCH("apport-exterieur",IFERROR(INDEX('Paramètres'!$N:$N,MATCH($D3723,'Paramètres'!$M:$M,0))&amp;"",""))),0,IF(OR(IFERROR(INDEX('Paramètres'!$I:$I,MATCH($C3723,'Paramètres'!$D:$D,0))&amp;"","")="Les deux",IFERROR(INDEX('Paramètres'!$I:$I,MATCH($C3723,'Paramètres'!$D:$D,0))&amp;"","")=IF($P3723=1,"Débit",$L3723)),-IF($P3723=1,-$K3723,$K3723),0))))</f>
        <v/>
      </c>
      <c r="U3723" s="6" t="str">
        <f>IF($K3723="","",IF(ISNUMBER(SEARCH("sortie-epargne",IFERROR(INDEX('Paramètres'!$N:$N,MATCH($D3723,'Paramètres'!$M:$M,0))&amp;"",""))),$K3723,0))</f>
        <v/>
      </c>
      <c r="V3723" s="6" t="str">
        <f>IF(AND($A3723&lt;&gt;"",$O3723=1,$L3723="Débit",N($Q3723)&gt;0,$A3723&gt;=Visualisation!$B$1,$A3723&lt;Visualisation!$D$1),MAX($V$1:V3722)+1,"")</f>
        <v/>
      </c>
    </row>
    <row r="3724" spans="1:22" x14ac:dyDescent="0.25">
      <c r="A3724" s="9"/>
      <c r="E3724" s="10"/>
      <c r="K3724" s="11" t="str">
        <f>IF($E3724="","",ROUND($E3724*IF(ISNA(MATCH($C3724,'Paramètres'!$D:$D,0)),1,IF(INDEX('Paramètres'!$J:$J,MATCH($C3724,'Paramètres'!$D:$D,0))="",1,INDEX('Paramètres'!$J:$J,MATCH($C3724,'Paramètres'!$D:$D,0)))),2))</f>
        <v/>
      </c>
      <c r="L3724" s="6" t="str">
        <f>IF($D3724="","",IF($F3724&lt;&gt;"",$F3724,IF(ISNA(MATCH($D3724,'Paramètres'!$M:$M,0)),"⚠ Type inconnu",IFERROR(INDEX('Paramètres'!$P:$P,MATCH($D3724,'Paramètres'!$M:$M,0))&amp;"",""))))</f>
        <v/>
      </c>
      <c r="M3724" s="6" t="str">
        <f>IF($D3724="","",IF(ISNA(MATCH($D3724,'Paramètres'!$M:$M,0)),"⚠ Type inconnu",IF($L3724="Crédit","",IFERROR(INDEX('Paramètres'!$O:$O,MATCH($D3724,'Paramètres'!$M:$M,0))&amp;"",""))))</f>
        <v/>
      </c>
      <c r="N3724" s="6" t="str">
        <f>IF($D3724="","",IFERROR(INDEX('Paramètres'!$Q:$Q,MATCH($D3724,'Paramètres'!$M:$M,0))&amp;"",""))</f>
        <v/>
      </c>
      <c r="O3724" s="6" t="str">
        <f>IF($A3724="","",IF(OR($J3724&lt;&gt;"x",$A3724&lt;=FinReleve),1,0))</f>
        <v/>
      </c>
      <c r="P3724" s="6" t="str">
        <f>IF($D3724="","",IF(AND($L3724="Crédit",OR(IFERROR(INDEX('Paramètres'!$O:$O,MATCH($D3724,'Paramètres'!$M:$M,0))&amp;"","")&lt;&gt;"",ISNUMBER(SEARCH("remboursement",IFERROR(INDEX('Paramètres'!$N:$N,MATCH($D3724,'Paramètres'!$M:$M,0))&amp;"",""))))),1,0))</f>
        <v/>
      </c>
      <c r="Q3724" s="6" t="str">
        <f>IF($K3724="","",IF(ISNUMBER(SEARCH("transfert-interne",IFERROR(INDEX('Paramètres'!$N:$N,MATCH($D3724,'Paramètres'!$M:$M,0))&amp;"",""))),0,IF($L3724="Débit",$K3724,IF($P3724=1,-$K3724,0))))</f>
        <v/>
      </c>
      <c r="R3724" s="6" t="str">
        <f>IF($K3724="","",IF($L3724="Crédit",$K3724,-$K3724))</f>
        <v/>
      </c>
      <c r="S3724" s="6" t="str">
        <f>IF($C3724="","",IFERROR(INDEX('Paramètres'!$H:$H,MATCH($C3724,'Paramètres'!$D:$D,0))&amp;"",""))</f>
        <v/>
      </c>
      <c r="T3724" s="6" t="str">
        <f>IF($K3724="","",IF($S3724="",0,IF(ISNUMBER(SEARCH("apport-exterieur",IFERROR(INDEX('Paramètres'!$N:$N,MATCH($D3724,'Paramètres'!$M:$M,0))&amp;"",""))),0,IF(OR(IFERROR(INDEX('Paramètres'!$I:$I,MATCH($C3724,'Paramètres'!$D:$D,0))&amp;"","")="Les deux",IFERROR(INDEX('Paramètres'!$I:$I,MATCH($C3724,'Paramètres'!$D:$D,0))&amp;"","")=IF($P3724=1,"Débit",$L3724)),-IF($P3724=1,-$K3724,$K3724),0))))</f>
        <v/>
      </c>
      <c r="U3724" s="6" t="str">
        <f>IF($K3724="","",IF(ISNUMBER(SEARCH("sortie-epargne",IFERROR(INDEX('Paramètres'!$N:$N,MATCH($D3724,'Paramètres'!$M:$M,0))&amp;"",""))),$K3724,0))</f>
        <v/>
      </c>
      <c r="V3724" s="6" t="str">
        <f>IF(AND($A3724&lt;&gt;"",$O3724=1,$L3724="Débit",N($Q3724)&gt;0,$A3724&gt;=Visualisation!$B$1,$A3724&lt;Visualisation!$D$1),MAX($V$1:V3723)+1,"")</f>
        <v/>
      </c>
    </row>
    <row r="3725" spans="1:22" x14ac:dyDescent="0.25">
      <c r="A3725" s="9"/>
      <c r="E3725" s="10"/>
      <c r="K3725" s="11" t="str">
        <f>IF($E3725="","",ROUND($E3725*IF(ISNA(MATCH($C3725,'Paramètres'!$D:$D,0)),1,IF(INDEX('Paramètres'!$J:$J,MATCH($C3725,'Paramètres'!$D:$D,0))="",1,INDEX('Paramètres'!$J:$J,MATCH($C3725,'Paramètres'!$D:$D,0)))),2))</f>
        <v/>
      </c>
      <c r="L3725" s="6" t="str">
        <f>IF($D3725="","",IF($F3725&lt;&gt;"",$F3725,IF(ISNA(MATCH($D3725,'Paramètres'!$M:$M,0)),"⚠ Type inconnu",IFERROR(INDEX('Paramètres'!$P:$P,MATCH($D3725,'Paramètres'!$M:$M,0))&amp;"",""))))</f>
        <v/>
      </c>
      <c r="M3725" s="6" t="str">
        <f>IF($D3725="","",IF(ISNA(MATCH($D3725,'Paramètres'!$M:$M,0)),"⚠ Type inconnu",IF($L3725="Crédit","",IFERROR(INDEX('Paramètres'!$O:$O,MATCH($D3725,'Paramètres'!$M:$M,0))&amp;"",""))))</f>
        <v/>
      </c>
      <c r="N3725" s="6" t="str">
        <f>IF($D3725="","",IFERROR(INDEX('Paramètres'!$Q:$Q,MATCH($D3725,'Paramètres'!$M:$M,0))&amp;"",""))</f>
        <v/>
      </c>
      <c r="O3725" s="6" t="str">
        <f>IF($A3725="","",IF(OR($J3725&lt;&gt;"x",$A3725&lt;=FinReleve),1,0))</f>
        <v/>
      </c>
      <c r="P3725" s="6" t="str">
        <f>IF($D3725="","",IF(AND($L3725="Crédit",OR(IFERROR(INDEX('Paramètres'!$O:$O,MATCH($D3725,'Paramètres'!$M:$M,0))&amp;"","")&lt;&gt;"",ISNUMBER(SEARCH("remboursement",IFERROR(INDEX('Paramètres'!$N:$N,MATCH($D3725,'Paramètres'!$M:$M,0))&amp;"",""))))),1,0))</f>
        <v/>
      </c>
      <c r="Q3725" s="6" t="str">
        <f>IF($K3725="","",IF(ISNUMBER(SEARCH("transfert-interne",IFERROR(INDEX('Paramètres'!$N:$N,MATCH($D3725,'Paramètres'!$M:$M,0))&amp;"",""))),0,IF($L3725="Débit",$K3725,IF($P3725=1,-$K3725,0))))</f>
        <v/>
      </c>
      <c r="R3725" s="6" t="str">
        <f>IF($K3725="","",IF($L3725="Crédit",$K3725,-$K3725))</f>
        <v/>
      </c>
      <c r="S3725" s="6" t="str">
        <f>IF($C3725="","",IFERROR(INDEX('Paramètres'!$H:$H,MATCH($C3725,'Paramètres'!$D:$D,0))&amp;"",""))</f>
        <v/>
      </c>
      <c r="T3725" s="6" t="str">
        <f>IF($K3725="","",IF($S3725="",0,IF(ISNUMBER(SEARCH("apport-exterieur",IFERROR(INDEX('Paramètres'!$N:$N,MATCH($D3725,'Paramètres'!$M:$M,0))&amp;"",""))),0,IF(OR(IFERROR(INDEX('Paramètres'!$I:$I,MATCH($C3725,'Paramètres'!$D:$D,0))&amp;"","")="Les deux",IFERROR(INDEX('Paramètres'!$I:$I,MATCH($C3725,'Paramètres'!$D:$D,0))&amp;"","")=IF($P3725=1,"Débit",$L3725)),-IF($P3725=1,-$K3725,$K3725),0))))</f>
        <v/>
      </c>
      <c r="U3725" s="6" t="str">
        <f>IF($K3725="","",IF(ISNUMBER(SEARCH("sortie-epargne",IFERROR(INDEX('Paramètres'!$N:$N,MATCH($D3725,'Paramètres'!$M:$M,0))&amp;"",""))),$K3725,0))</f>
        <v/>
      </c>
      <c r="V3725" s="6" t="str">
        <f>IF(AND($A3725&lt;&gt;"",$O3725=1,$L3725="Débit",N($Q3725)&gt;0,$A3725&gt;=Visualisation!$B$1,$A3725&lt;Visualisation!$D$1),MAX($V$1:V3724)+1,"")</f>
        <v/>
      </c>
    </row>
    <row r="3726" spans="1:22" x14ac:dyDescent="0.25">
      <c r="A3726" s="9"/>
      <c r="E3726" s="10"/>
      <c r="K3726" s="11" t="str">
        <f>IF($E3726="","",ROUND($E3726*IF(ISNA(MATCH($C3726,'Paramètres'!$D:$D,0)),1,IF(INDEX('Paramètres'!$J:$J,MATCH($C3726,'Paramètres'!$D:$D,0))="",1,INDEX('Paramètres'!$J:$J,MATCH($C3726,'Paramètres'!$D:$D,0)))),2))</f>
        <v/>
      </c>
      <c r="L3726" s="6" t="str">
        <f>IF($D3726="","",IF($F3726&lt;&gt;"",$F3726,IF(ISNA(MATCH($D3726,'Paramètres'!$M:$M,0)),"⚠ Type inconnu",IFERROR(INDEX('Paramètres'!$P:$P,MATCH($D3726,'Paramètres'!$M:$M,0))&amp;"",""))))</f>
        <v/>
      </c>
      <c r="M3726" s="6" t="str">
        <f>IF($D3726="","",IF(ISNA(MATCH($D3726,'Paramètres'!$M:$M,0)),"⚠ Type inconnu",IF($L3726="Crédit","",IFERROR(INDEX('Paramètres'!$O:$O,MATCH($D3726,'Paramètres'!$M:$M,0))&amp;"",""))))</f>
        <v/>
      </c>
      <c r="N3726" s="6" t="str">
        <f>IF($D3726="","",IFERROR(INDEX('Paramètres'!$Q:$Q,MATCH($D3726,'Paramètres'!$M:$M,0))&amp;"",""))</f>
        <v/>
      </c>
      <c r="O3726" s="6" t="str">
        <f>IF($A3726="","",IF(OR($J3726&lt;&gt;"x",$A3726&lt;=FinReleve),1,0))</f>
        <v/>
      </c>
      <c r="P3726" s="6" t="str">
        <f>IF($D3726="","",IF(AND($L3726="Crédit",OR(IFERROR(INDEX('Paramètres'!$O:$O,MATCH($D3726,'Paramètres'!$M:$M,0))&amp;"","")&lt;&gt;"",ISNUMBER(SEARCH("remboursement",IFERROR(INDEX('Paramètres'!$N:$N,MATCH($D3726,'Paramètres'!$M:$M,0))&amp;"",""))))),1,0))</f>
        <v/>
      </c>
      <c r="Q3726" s="6" t="str">
        <f>IF($K3726="","",IF(ISNUMBER(SEARCH("transfert-interne",IFERROR(INDEX('Paramètres'!$N:$N,MATCH($D3726,'Paramètres'!$M:$M,0))&amp;"",""))),0,IF($L3726="Débit",$K3726,IF($P3726=1,-$K3726,0))))</f>
        <v/>
      </c>
      <c r="R3726" s="6" t="str">
        <f>IF($K3726="","",IF($L3726="Crédit",$K3726,-$K3726))</f>
        <v/>
      </c>
      <c r="S3726" s="6" t="str">
        <f>IF($C3726="","",IFERROR(INDEX('Paramètres'!$H:$H,MATCH($C3726,'Paramètres'!$D:$D,0))&amp;"",""))</f>
        <v/>
      </c>
      <c r="T3726" s="6" t="str">
        <f>IF($K3726="","",IF($S3726="",0,IF(ISNUMBER(SEARCH("apport-exterieur",IFERROR(INDEX('Paramètres'!$N:$N,MATCH($D3726,'Paramètres'!$M:$M,0))&amp;"",""))),0,IF(OR(IFERROR(INDEX('Paramètres'!$I:$I,MATCH($C3726,'Paramètres'!$D:$D,0))&amp;"","")="Les deux",IFERROR(INDEX('Paramètres'!$I:$I,MATCH($C3726,'Paramètres'!$D:$D,0))&amp;"","")=IF($P3726=1,"Débit",$L3726)),-IF($P3726=1,-$K3726,$K3726),0))))</f>
        <v/>
      </c>
      <c r="U3726" s="6" t="str">
        <f>IF($K3726="","",IF(ISNUMBER(SEARCH("sortie-epargne",IFERROR(INDEX('Paramètres'!$N:$N,MATCH($D3726,'Paramètres'!$M:$M,0))&amp;"",""))),$K3726,0))</f>
        <v/>
      </c>
      <c r="V3726" s="6" t="str">
        <f>IF(AND($A3726&lt;&gt;"",$O3726=1,$L3726="Débit",N($Q3726)&gt;0,$A3726&gt;=Visualisation!$B$1,$A3726&lt;Visualisation!$D$1),MAX($V$1:V3725)+1,"")</f>
        <v/>
      </c>
    </row>
    <row r="3727" spans="1:22" x14ac:dyDescent="0.25">
      <c r="A3727" s="9"/>
      <c r="E3727" s="10"/>
      <c r="K3727" s="11" t="str">
        <f>IF($E3727="","",ROUND($E3727*IF(ISNA(MATCH($C3727,'Paramètres'!$D:$D,0)),1,IF(INDEX('Paramètres'!$J:$J,MATCH($C3727,'Paramètres'!$D:$D,0))="",1,INDEX('Paramètres'!$J:$J,MATCH($C3727,'Paramètres'!$D:$D,0)))),2))</f>
        <v/>
      </c>
      <c r="L3727" s="6" t="str">
        <f>IF($D3727="","",IF($F3727&lt;&gt;"",$F3727,IF(ISNA(MATCH($D3727,'Paramètres'!$M:$M,0)),"⚠ Type inconnu",IFERROR(INDEX('Paramètres'!$P:$P,MATCH($D3727,'Paramètres'!$M:$M,0))&amp;"",""))))</f>
        <v/>
      </c>
      <c r="M3727" s="6" t="str">
        <f>IF($D3727="","",IF(ISNA(MATCH($D3727,'Paramètres'!$M:$M,0)),"⚠ Type inconnu",IF($L3727="Crédit","",IFERROR(INDEX('Paramètres'!$O:$O,MATCH($D3727,'Paramètres'!$M:$M,0))&amp;"",""))))</f>
        <v/>
      </c>
      <c r="N3727" s="6" t="str">
        <f>IF($D3727="","",IFERROR(INDEX('Paramètres'!$Q:$Q,MATCH($D3727,'Paramètres'!$M:$M,0))&amp;"",""))</f>
        <v/>
      </c>
      <c r="O3727" s="6" t="str">
        <f>IF($A3727="","",IF(OR($J3727&lt;&gt;"x",$A3727&lt;=FinReleve),1,0))</f>
        <v/>
      </c>
      <c r="P3727" s="6" t="str">
        <f>IF($D3727="","",IF(AND($L3727="Crédit",OR(IFERROR(INDEX('Paramètres'!$O:$O,MATCH($D3727,'Paramètres'!$M:$M,0))&amp;"","")&lt;&gt;"",ISNUMBER(SEARCH("remboursement",IFERROR(INDEX('Paramètres'!$N:$N,MATCH($D3727,'Paramètres'!$M:$M,0))&amp;"",""))))),1,0))</f>
        <v/>
      </c>
      <c r="Q3727" s="6" t="str">
        <f>IF($K3727="","",IF(ISNUMBER(SEARCH("transfert-interne",IFERROR(INDEX('Paramètres'!$N:$N,MATCH($D3727,'Paramètres'!$M:$M,0))&amp;"",""))),0,IF($L3727="Débit",$K3727,IF($P3727=1,-$K3727,0))))</f>
        <v/>
      </c>
      <c r="R3727" s="6" t="str">
        <f>IF($K3727="","",IF($L3727="Crédit",$K3727,-$K3727))</f>
        <v/>
      </c>
      <c r="S3727" s="6" t="str">
        <f>IF($C3727="","",IFERROR(INDEX('Paramètres'!$H:$H,MATCH($C3727,'Paramètres'!$D:$D,0))&amp;"",""))</f>
        <v/>
      </c>
      <c r="T3727" s="6" t="str">
        <f>IF($K3727="","",IF($S3727="",0,IF(ISNUMBER(SEARCH("apport-exterieur",IFERROR(INDEX('Paramètres'!$N:$N,MATCH($D3727,'Paramètres'!$M:$M,0))&amp;"",""))),0,IF(OR(IFERROR(INDEX('Paramètres'!$I:$I,MATCH($C3727,'Paramètres'!$D:$D,0))&amp;"","")="Les deux",IFERROR(INDEX('Paramètres'!$I:$I,MATCH($C3727,'Paramètres'!$D:$D,0))&amp;"","")=IF($P3727=1,"Débit",$L3727)),-IF($P3727=1,-$K3727,$K3727),0))))</f>
        <v/>
      </c>
      <c r="U3727" s="6" t="str">
        <f>IF($K3727="","",IF(ISNUMBER(SEARCH("sortie-epargne",IFERROR(INDEX('Paramètres'!$N:$N,MATCH($D3727,'Paramètres'!$M:$M,0))&amp;"",""))),$K3727,0))</f>
        <v/>
      </c>
      <c r="V3727" s="6" t="str">
        <f>IF(AND($A3727&lt;&gt;"",$O3727=1,$L3727="Débit",N($Q3727)&gt;0,$A3727&gt;=Visualisation!$B$1,$A3727&lt;Visualisation!$D$1),MAX($V$1:V3726)+1,"")</f>
        <v/>
      </c>
    </row>
    <row r="3728" spans="1:22" x14ac:dyDescent="0.25">
      <c r="A3728" s="9"/>
      <c r="E3728" s="10"/>
      <c r="K3728" s="11" t="str">
        <f>IF($E3728="","",ROUND($E3728*IF(ISNA(MATCH($C3728,'Paramètres'!$D:$D,0)),1,IF(INDEX('Paramètres'!$J:$J,MATCH($C3728,'Paramètres'!$D:$D,0))="",1,INDEX('Paramètres'!$J:$J,MATCH($C3728,'Paramètres'!$D:$D,0)))),2))</f>
        <v/>
      </c>
      <c r="L3728" s="6" t="str">
        <f>IF($D3728="","",IF($F3728&lt;&gt;"",$F3728,IF(ISNA(MATCH($D3728,'Paramètres'!$M:$M,0)),"⚠ Type inconnu",IFERROR(INDEX('Paramètres'!$P:$P,MATCH($D3728,'Paramètres'!$M:$M,0))&amp;"",""))))</f>
        <v/>
      </c>
      <c r="M3728" s="6" t="str">
        <f>IF($D3728="","",IF(ISNA(MATCH($D3728,'Paramètres'!$M:$M,0)),"⚠ Type inconnu",IF($L3728="Crédit","",IFERROR(INDEX('Paramètres'!$O:$O,MATCH($D3728,'Paramètres'!$M:$M,0))&amp;"",""))))</f>
        <v/>
      </c>
      <c r="N3728" s="6" t="str">
        <f>IF($D3728="","",IFERROR(INDEX('Paramètres'!$Q:$Q,MATCH($D3728,'Paramètres'!$M:$M,0))&amp;"",""))</f>
        <v/>
      </c>
      <c r="O3728" s="6" t="str">
        <f>IF($A3728="","",IF(OR($J3728&lt;&gt;"x",$A3728&lt;=FinReleve),1,0))</f>
        <v/>
      </c>
      <c r="P3728" s="6" t="str">
        <f>IF($D3728="","",IF(AND($L3728="Crédit",OR(IFERROR(INDEX('Paramètres'!$O:$O,MATCH($D3728,'Paramètres'!$M:$M,0))&amp;"","")&lt;&gt;"",ISNUMBER(SEARCH("remboursement",IFERROR(INDEX('Paramètres'!$N:$N,MATCH($D3728,'Paramètres'!$M:$M,0))&amp;"",""))))),1,0))</f>
        <v/>
      </c>
      <c r="Q3728" s="6" t="str">
        <f>IF($K3728="","",IF(ISNUMBER(SEARCH("transfert-interne",IFERROR(INDEX('Paramètres'!$N:$N,MATCH($D3728,'Paramètres'!$M:$M,0))&amp;"",""))),0,IF($L3728="Débit",$K3728,IF($P3728=1,-$K3728,0))))</f>
        <v/>
      </c>
      <c r="R3728" s="6" t="str">
        <f>IF($K3728="","",IF($L3728="Crédit",$K3728,-$K3728))</f>
        <v/>
      </c>
      <c r="S3728" s="6" t="str">
        <f>IF($C3728="","",IFERROR(INDEX('Paramètres'!$H:$H,MATCH($C3728,'Paramètres'!$D:$D,0))&amp;"",""))</f>
        <v/>
      </c>
      <c r="T3728" s="6" t="str">
        <f>IF($K3728="","",IF($S3728="",0,IF(ISNUMBER(SEARCH("apport-exterieur",IFERROR(INDEX('Paramètres'!$N:$N,MATCH($D3728,'Paramètres'!$M:$M,0))&amp;"",""))),0,IF(OR(IFERROR(INDEX('Paramètres'!$I:$I,MATCH($C3728,'Paramètres'!$D:$D,0))&amp;"","")="Les deux",IFERROR(INDEX('Paramètres'!$I:$I,MATCH($C3728,'Paramètres'!$D:$D,0))&amp;"","")=IF($P3728=1,"Débit",$L3728)),-IF($P3728=1,-$K3728,$K3728),0))))</f>
        <v/>
      </c>
      <c r="U3728" s="6" t="str">
        <f>IF($K3728="","",IF(ISNUMBER(SEARCH("sortie-epargne",IFERROR(INDEX('Paramètres'!$N:$N,MATCH($D3728,'Paramètres'!$M:$M,0))&amp;"",""))),$K3728,0))</f>
        <v/>
      </c>
      <c r="V3728" s="6" t="str">
        <f>IF(AND($A3728&lt;&gt;"",$O3728=1,$L3728="Débit",N($Q3728)&gt;0,$A3728&gt;=Visualisation!$B$1,$A3728&lt;Visualisation!$D$1),MAX($V$1:V3727)+1,"")</f>
        <v/>
      </c>
    </row>
    <row r="3729" spans="1:22" x14ac:dyDescent="0.25">
      <c r="A3729" s="9"/>
      <c r="E3729" s="10"/>
      <c r="K3729" s="11" t="str">
        <f>IF($E3729="","",ROUND($E3729*IF(ISNA(MATCH($C3729,'Paramètres'!$D:$D,0)),1,IF(INDEX('Paramètres'!$J:$J,MATCH($C3729,'Paramètres'!$D:$D,0))="",1,INDEX('Paramètres'!$J:$J,MATCH($C3729,'Paramètres'!$D:$D,0)))),2))</f>
        <v/>
      </c>
      <c r="L3729" s="6" t="str">
        <f>IF($D3729="","",IF($F3729&lt;&gt;"",$F3729,IF(ISNA(MATCH($D3729,'Paramètres'!$M:$M,0)),"⚠ Type inconnu",IFERROR(INDEX('Paramètres'!$P:$P,MATCH($D3729,'Paramètres'!$M:$M,0))&amp;"",""))))</f>
        <v/>
      </c>
      <c r="M3729" s="6" t="str">
        <f>IF($D3729="","",IF(ISNA(MATCH($D3729,'Paramètres'!$M:$M,0)),"⚠ Type inconnu",IF($L3729="Crédit","",IFERROR(INDEX('Paramètres'!$O:$O,MATCH($D3729,'Paramètres'!$M:$M,0))&amp;"",""))))</f>
        <v/>
      </c>
      <c r="N3729" s="6" t="str">
        <f>IF($D3729="","",IFERROR(INDEX('Paramètres'!$Q:$Q,MATCH($D3729,'Paramètres'!$M:$M,0))&amp;"",""))</f>
        <v/>
      </c>
      <c r="O3729" s="6" t="str">
        <f>IF($A3729="","",IF(OR($J3729&lt;&gt;"x",$A3729&lt;=FinReleve),1,0))</f>
        <v/>
      </c>
      <c r="P3729" s="6" t="str">
        <f>IF($D3729="","",IF(AND($L3729="Crédit",OR(IFERROR(INDEX('Paramètres'!$O:$O,MATCH($D3729,'Paramètres'!$M:$M,0))&amp;"","")&lt;&gt;"",ISNUMBER(SEARCH("remboursement",IFERROR(INDEX('Paramètres'!$N:$N,MATCH($D3729,'Paramètres'!$M:$M,0))&amp;"",""))))),1,0))</f>
        <v/>
      </c>
      <c r="Q3729" s="6" t="str">
        <f>IF($K3729="","",IF(ISNUMBER(SEARCH("transfert-interne",IFERROR(INDEX('Paramètres'!$N:$N,MATCH($D3729,'Paramètres'!$M:$M,0))&amp;"",""))),0,IF($L3729="Débit",$K3729,IF($P3729=1,-$K3729,0))))</f>
        <v/>
      </c>
      <c r="R3729" s="6" t="str">
        <f>IF($K3729="","",IF($L3729="Crédit",$K3729,-$K3729))</f>
        <v/>
      </c>
      <c r="S3729" s="6" t="str">
        <f>IF($C3729="","",IFERROR(INDEX('Paramètres'!$H:$H,MATCH($C3729,'Paramètres'!$D:$D,0))&amp;"",""))</f>
        <v/>
      </c>
      <c r="T3729" s="6" t="str">
        <f>IF($K3729="","",IF($S3729="",0,IF(ISNUMBER(SEARCH("apport-exterieur",IFERROR(INDEX('Paramètres'!$N:$N,MATCH($D3729,'Paramètres'!$M:$M,0))&amp;"",""))),0,IF(OR(IFERROR(INDEX('Paramètres'!$I:$I,MATCH($C3729,'Paramètres'!$D:$D,0))&amp;"","")="Les deux",IFERROR(INDEX('Paramètres'!$I:$I,MATCH($C3729,'Paramètres'!$D:$D,0))&amp;"","")=IF($P3729=1,"Débit",$L3729)),-IF($P3729=1,-$K3729,$K3729),0))))</f>
        <v/>
      </c>
      <c r="U3729" s="6" t="str">
        <f>IF($K3729="","",IF(ISNUMBER(SEARCH("sortie-epargne",IFERROR(INDEX('Paramètres'!$N:$N,MATCH($D3729,'Paramètres'!$M:$M,0))&amp;"",""))),$K3729,0))</f>
        <v/>
      </c>
      <c r="V3729" s="6" t="str">
        <f>IF(AND($A3729&lt;&gt;"",$O3729=1,$L3729="Débit",N($Q3729)&gt;0,$A3729&gt;=Visualisation!$B$1,$A3729&lt;Visualisation!$D$1),MAX($V$1:V3728)+1,"")</f>
        <v/>
      </c>
    </row>
    <row r="3730" spans="1:22" x14ac:dyDescent="0.25">
      <c r="A3730" s="9"/>
      <c r="E3730" s="10"/>
      <c r="K3730" s="11" t="str">
        <f>IF($E3730="","",ROUND($E3730*IF(ISNA(MATCH($C3730,'Paramètres'!$D:$D,0)),1,IF(INDEX('Paramètres'!$J:$J,MATCH($C3730,'Paramètres'!$D:$D,0))="",1,INDEX('Paramètres'!$J:$J,MATCH($C3730,'Paramètres'!$D:$D,0)))),2))</f>
        <v/>
      </c>
      <c r="L3730" s="6" t="str">
        <f>IF($D3730="","",IF($F3730&lt;&gt;"",$F3730,IF(ISNA(MATCH($D3730,'Paramètres'!$M:$M,0)),"⚠ Type inconnu",IFERROR(INDEX('Paramètres'!$P:$P,MATCH($D3730,'Paramètres'!$M:$M,0))&amp;"",""))))</f>
        <v/>
      </c>
      <c r="M3730" s="6" t="str">
        <f>IF($D3730="","",IF(ISNA(MATCH($D3730,'Paramètres'!$M:$M,0)),"⚠ Type inconnu",IF($L3730="Crédit","",IFERROR(INDEX('Paramètres'!$O:$O,MATCH($D3730,'Paramètres'!$M:$M,0))&amp;"",""))))</f>
        <v/>
      </c>
      <c r="N3730" s="6" t="str">
        <f>IF($D3730="","",IFERROR(INDEX('Paramètres'!$Q:$Q,MATCH($D3730,'Paramètres'!$M:$M,0))&amp;"",""))</f>
        <v/>
      </c>
      <c r="O3730" s="6" t="str">
        <f>IF($A3730="","",IF(OR($J3730&lt;&gt;"x",$A3730&lt;=FinReleve),1,0))</f>
        <v/>
      </c>
      <c r="P3730" s="6" t="str">
        <f>IF($D3730="","",IF(AND($L3730="Crédit",OR(IFERROR(INDEX('Paramètres'!$O:$O,MATCH($D3730,'Paramètres'!$M:$M,0))&amp;"","")&lt;&gt;"",ISNUMBER(SEARCH("remboursement",IFERROR(INDEX('Paramètres'!$N:$N,MATCH($D3730,'Paramètres'!$M:$M,0))&amp;"",""))))),1,0))</f>
        <v/>
      </c>
      <c r="Q3730" s="6" t="str">
        <f>IF($K3730="","",IF(ISNUMBER(SEARCH("transfert-interne",IFERROR(INDEX('Paramètres'!$N:$N,MATCH($D3730,'Paramètres'!$M:$M,0))&amp;"",""))),0,IF($L3730="Débit",$K3730,IF($P3730=1,-$K3730,0))))</f>
        <v/>
      </c>
      <c r="R3730" s="6" t="str">
        <f>IF($K3730="","",IF($L3730="Crédit",$K3730,-$K3730))</f>
        <v/>
      </c>
      <c r="S3730" s="6" t="str">
        <f>IF($C3730="","",IFERROR(INDEX('Paramètres'!$H:$H,MATCH($C3730,'Paramètres'!$D:$D,0))&amp;"",""))</f>
        <v/>
      </c>
      <c r="T3730" s="6" t="str">
        <f>IF($K3730="","",IF($S3730="",0,IF(ISNUMBER(SEARCH("apport-exterieur",IFERROR(INDEX('Paramètres'!$N:$N,MATCH($D3730,'Paramètres'!$M:$M,0))&amp;"",""))),0,IF(OR(IFERROR(INDEX('Paramètres'!$I:$I,MATCH($C3730,'Paramètres'!$D:$D,0))&amp;"","")="Les deux",IFERROR(INDEX('Paramètres'!$I:$I,MATCH($C3730,'Paramètres'!$D:$D,0))&amp;"","")=IF($P3730=1,"Débit",$L3730)),-IF($P3730=1,-$K3730,$K3730),0))))</f>
        <v/>
      </c>
      <c r="U3730" s="6" t="str">
        <f>IF($K3730="","",IF(ISNUMBER(SEARCH("sortie-epargne",IFERROR(INDEX('Paramètres'!$N:$N,MATCH($D3730,'Paramètres'!$M:$M,0))&amp;"",""))),$K3730,0))</f>
        <v/>
      </c>
      <c r="V3730" s="6" t="str">
        <f>IF(AND($A3730&lt;&gt;"",$O3730=1,$L3730="Débit",N($Q3730)&gt;0,$A3730&gt;=Visualisation!$B$1,$A3730&lt;Visualisation!$D$1),MAX($V$1:V3729)+1,"")</f>
        <v/>
      </c>
    </row>
    <row r="3731" spans="1:22" x14ac:dyDescent="0.25">
      <c r="A3731" s="9"/>
      <c r="E3731" s="10"/>
      <c r="K3731" s="11" t="str">
        <f>IF($E3731="","",ROUND($E3731*IF(ISNA(MATCH($C3731,'Paramètres'!$D:$D,0)),1,IF(INDEX('Paramètres'!$J:$J,MATCH($C3731,'Paramètres'!$D:$D,0))="",1,INDEX('Paramètres'!$J:$J,MATCH($C3731,'Paramètres'!$D:$D,0)))),2))</f>
        <v/>
      </c>
      <c r="L3731" s="6" t="str">
        <f>IF($D3731="","",IF($F3731&lt;&gt;"",$F3731,IF(ISNA(MATCH($D3731,'Paramètres'!$M:$M,0)),"⚠ Type inconnu",IFERROR(INDEX('Paramètres'!$P:$P,MATCH($D3731,'Paramètres'!$M:$M,0))&amp;"",""))))</f>
        <v/>
      </c>
      <c r="M3731" s="6" t="str">
        <f>IF($D3731="","",IF(ISNA(MATCH($D3731,'Paramètres'!$M:$M,0)),"⚠ Type inconnu",IF($L3731="Crédit","",IFERROR(INDEX('Paramètres'!$O:$O,MATCH($D3731,'Paramètres'!$M:$M,0))&amp;"",""))))</f>
        <v/>
      </c>
      <c r="N3731" s="6" t="str">
        <f>IF($D3731="","",IFERROR(INDEX('Paramètres'!$Q:$Q,MATCH($D3731,'Paramètres'!$M:$M,0))&amp;"",""))</f>
        <v/>
      </c>
      <c r="O3731" s="6" t="str">
        <f>IF($A3731="","",IF(OR($J3731&lt;&gt;"x",$A3731&lt;=FinReleve),1,0))</f>
        <v/>
      </c>
      <c r="P3731" s="6" t="str">
        <f>IF($D3731="","",IF(AND($L3731="Crédit",OR(IFERROR(INDEX('Paramètres'!$O:$O,MATCH($D3731,'Paramètres'!$M:$M,0))&amp;"","")&lt;&gt;"",ISNUMBER(SEARCH("remboursement",IFERROR(INDEX('Paramètres'!$N:$N,MATCH($D3731,'Paramètres'!$M:$M,0))&amp;"",""))))),1,0))</f>
        <v/>
      </c>
      <c r="Q3731" s="6" t="str">
        <f>IF($K3731="","",IF(ISNUMBER(SEARCH("transfert-interne",IFERROR(INDEX('Paramètres'!$N:$N,MATCH($D3731,'Paramètres'!$M:$M,0))&amp;"",""))),0,IF($L3731="Débit",$K3731,IF($P3731=1,-$K3731,0))))</f>
        <v/>
      </c>
      <c r="R3731" s="6" t="str">
        <f>IF($K3731="","",IF($L3731="Crédit",$K3731,-$K3731))</f>
        <v/>
      </c>
      <c r="S3731" s="6" t="str">
        <f>IF($C3731="","",IFERROR(INDEX('Paramètres'!$H:$H,MATCH($C3731,'Paramètres'!$D:$D,0))&amp;"",""))</f>
        <v/>
      </c>
      <c r="T3731" s="6" t="str">
        <f>IF($K3731="","",IF($S3731="",0,IF(ISNUMBER(SEARCH("apport-exterieur",IFERROR(INDEX('Paramètres'!$N:$N,MATCH($D3731,'Paramètres'!$M:$M,0))&amp;"",""))),0,IF(OR(IFERROR(INDEX('Paramètres'!$I:$I,MATCH($C3731,'Paramètres'!$D:$D,0))&amp;"","")="Les deux",IFERROR(INDEX('Paramètres'!$I:$I,MATCH($C3731,'Paramètres'!$D:$D,0))&amp;"","")=IF($P3731=1,"Débit",$L3731)),-IF($P3731=1,-$K3731,$K3731),0))))</f>
        <v/>
      </c>
      <c r="U3731" s="6" t="str">
        <f>IF($K3731="","",IF(ISNUMBER(SEARCH("sortie-epargne",IFERROR(INDEX('Paramètres'!$N:$N,MATCH($D3731,'Paramètres'!$M:$M,0))&amp;"",""))),$K3731,0))</f>
        <v/>
      </c>
      <c r="V3731" s="6" t="str">
        <f>IF(AND($A3731&lt;&gt;"",$O3731=1,$L3731="Débit",N($Q3731)&gt;0,$A3731&gt;=Visualisation!$B$1,$A3731&lt;Visualisation!$D$1),MAX($V$1:V3730)+1,"")</f>
        <v/>
      </c>
    </row>
    <row r="3732" spans="1:22" x14ac:dyDescent="0.25">
      <c r="A3732" s="9"/>
      <c r="E3732" s="10"/>
      <c r="K3732" s="11" t="str">
        <f>IF($E3732="","",ROUND($E3732*IF(ISNA(MATCH($C3732,'Paramètres'!$D:$D,0)),1,IF(INDEX('Paramètres'!$J:$J,MATCH($C3732,'Paramètres'!$D:$D,0))="",1,INDEX('Paramètres'!$J:$J,MATCH($C3732,'Paramètres'!$D:$D,0)))),2))</f>
        <v/>
      </c>
      <c r="L3732" s="6" t="str">
        <f>IF($D3732="","",IF($F3732&lt;&gt;"",$F3732,IF(ISNA(MATCH($D3732,'Paramètres'!$M:$M,0)),"⚠ Type inconnu",IFERROR(INDEX('Paramètres'!$P:$P,MATCH($D3732,'Paramètres'!$M:$M,0))&amp;"",""))))</f>
        <v/>
      </c>
      <c r="M3732" s="6" t="str">
        <f>IF($D3732="","",IF(ISNA(MATCH($D3732,'Paramètres'!$M:$M,0)),"⚠ Type inconnu",IF($L3732="Crédit","",IFERROR(INDEX('Paramètres'!$O:$O,MATCH($D3732,'Paramètres'!$M:$M,0))&amp;"",""))))</f>
        <v/>
      </c>
      <c r="N3732" s="6" t="str">
        <f>IF($D3732="","",IFERROR(INDEX('Paramètres'!$Q:$Q,MATCH($D3732,'Paramètres'!$M:$M,0))&amp;"",""))</f>
        <v/>
      </c>
      <c r="O3732" s="6" t="str">
        <f>IF($A3732="","",IF(OR($J3732&lt;&gt;"x",$A3732&lt;=FinReleve),1,0))</f>
        <v/>
      </c>
      <c r="P3732" s="6" t="str">
        <f>IF($D3732="","",IF(AND($L3732="Crédit",OR(IFERROR(INDEX('Paramètres'!$O:$O,MATCH($D3732,'Paramètres'!$M:$M,0))&amp;"","")&lt;&gt;"",ISNUMBER(SEARCH("remboursement",IFERROR(INDEX('Paramètres'!$N:$N,MATCH($D3732,'Paramètres'!$M:$M,0))&amp;"",""))))),1,0))</f>
        <v/>
      </c>
      <c r="Q3732" s="6" t="str">
        <f>IF($K3732="","",IF(ISNUMBER(SEARCH("transfert-interne",IFERROR(INDEX('Paramètres'!$N:$N,MATCH($D3732,'Paramètres'!$M:$M,0))&amp;"",""))),0,IF($L3732="Débit",$K3732,IF($P3732=1,-$K3732,0))))</f>
        <v/>
      </c>
      <c r="R3732" s="6" t="str">
        <f>IF($K3732="","",IF($L3732="Crédit",$K3732,-$K3732))</f>
        <v/>
      </c>
      <c r="S3732" s="6" t="str">
        <f>IF($C3732="","",IFERROR(INDEX('Paramètres'!$H:$H,MATCH($C3732,'Paramètres'!$D:$D,0))&amp;"",""))</f>
        <v/>
      </c>
      <c r="T3732" s="6" t="str">
        <f>IF($K3732="","",IF($S3732="",0,IF(ISNUMBER(SEARCH("apport-exterieur",IFERROR(INDEX('Paramètres'!$N:$N,MATCH($D3732,'Paramètres'!$M:$M,0))&amp;"",""))),0,IF(OR(IFERROR(INDEX('Paramètres'!$I:$I,MATCH($C3732,'Paramètres'!$D:$D,0))&amp;"","")="Les deux",IFERROR(INDEX('Paramètres'!$I:$I,MATCH($C3732,'Paramètres'!$D:$D,0))&amp;"","")=IF($P3732=1,"Débit",$L3732)),-IF($P3732=1,-$K3732,$K3732),0))))</f>
        <v/>
      </c>
      <c r="U3732" s="6" t="str">
        <f>IF($K3732="","",IF(ISNUMBER(SEARCH("sortie-epargne",IFERROR(INDEX('Paramètres'!$N:$N,MATCH($D3732,'Paramètres'!$M:$M,0))&amp;"",""))),$K3732,0))</f>
        <v/>
      </c>
      <c r="V3732" s="6" t="str">
        <f>IF(AND($A3732&lt;&gt;"",$O3732=1,$L3732="Débit",N($Q3732)&gt;0,$A3732&gt;=Visualisation!$B$1,$A3732&lt;Visualisation!$D$1),MAX($V$1:V3731)+1,"")</f>
        <v/>
      </c>
    </row>
    <row r="3733" spans="1:22" x14ac:dyDescent="0.25">
      <c r="A3733" s="9"/>
      <c r="E3733" s="10"/>
      <c r="K3733" s="11" t="str">
        <f>IF($E3733="","",ROUND($E3733*IF(ISNA(MATCH($C3733,'Paramètres'!$D:$D,0)),1,IF(INDEX('Paramètres'!$J:$J,MATCH($C3733,'Paramètres'!$D:$D,0))="",1,INDEX('Paramètres'!$J:$J,MATCH($C3733,'Paramètres'!$D:$D,0)))),2))</f>
        <v/>
      </c>
      <c r="L3733" s="6" t="str">
        <f>IF($D3733="","",IF($F3733&lt;&gt;"",$F3733,IF(ISNA(MATCH($D3733,'Paramètres'!$M:$M,0)),"⚠ Type inconnu",IFERROR(INDEX('Paramètres'!$P:$P,MATCH($D3733,'Paramètres'!$M:$M,0))&amp;"",""))))</f>
        <v/>
      </c>
      <c r="M3733" s="6" t="str">
        <f>IF($D3733="","",IF(ISNA(MATCH($D3733,'Paramètres'!$M:$M,0)),"⚠ Type inconnu",IF($L3733="Crédit","",IFERROR(INDEX('Paramètres'!$O:$O,MATCH($D3733,'Paramètres'!$M:$M,0))&amp;"",""))))</f>
        <v/>
      </c>
      <c r="N3733" s="6" t="str">
        <f>IF($D3733="","",IFERROR(INDEX('Paramètres'!$Q:$Q,MATCH($D3733,'Paramètres'!$M:$M,0))&amp;"",""))</f>
        <v/>
      </c>
      <c r="O3733" s="6" t="str">
        <f>IF($A3733="","",IF(OR($J3733&lt;&gt;"x",$A3733&lt;=FinReleve),1,0))</f>
        <v/>
      </c>
      <c r="P3733" s="6" t="str">
        <f>IF($D3733="","",IF(AND($L3733="Crédit",OR(IFERROR(INDEX('Paramètres'!$O:$O,MATCH($D3733,'Paramètres'!$M:$M,0))&amp;"","")&lt;&gt;"",ISNUMBER(SEARCH("remboursement",IFERROR(INDEX('Paramètres'!$N:$N,MATCH($D3733,'Paramètres'!$M:$M,0))&amp;"",""))))),1,0))</f>
        <v/>
      </c>
      <c r="Q3733" s="6" t="str">
        <f>IF($K3733="","",IF(ISNUMBER(SEARCH("transfert-interne",IFERROR(INDEX('Paramètres'!$N:$N,MATCH($D3733,'Paramètres'!$M:$M,0))&amp;"",""))),0,IF($L3733="Débit",$K3733,IF($P3733=1,-$K3733,0))))</f>
        <v/>
      </c>
      <c r="R3733" s="6" t="str">
        <f>IF($K3733="","",IF($L3733="Crédit",$K3733,-$K3733))</f>
        <v/>
      </c>
      <c r="S3733" s="6" t="str">
        <f>IF($C3733="","",IFERROR(INDEX('Paramètres'!$H:$H,MATCH($C3733,'Paramètres'!$D:$D,0))&amp;"",""))</f>
        <v/>
      </c>
      <c r="T3733" s="6" t="str">
        <f>IF($K3733="","",IF($S3733="",0,IF(ISNUMBER(SEARCH("apport-exterieur",IFERROR(INDEX('Paramètres'!$N:$N,MATCH($D3733,'Paramètres'!$M:$M,0))&amp;"",""))),0,IF(OR(IFERROR(INDEX('Paramètres'!$I:$I,MATCH($C3733,'Paramètres'!$D:$D,0))&amp;"","")="Les deux",IFERROR(INDEX('Paramètres'!$I:$I,MATCH($C3733,'Paramètres'!$D:$D,0))&amp;"","")=IF($P3733=1,"Débit",$L3733)),-IF($P3733=1,-$K3733,$K3733),0))))</f>
        <v/>
      </c>
      <c r="U3733" s="6" t="str">
        <f>IF($K3733="","",IF(ISNUMBER(SEARCH("sortie-epargne",IFERROR(INDEX('Paramètres'!$N:$N,MATCH($D3733,'Paramètres'!$M:$M,0))&amp;"",""))),$K3733,0))</f>
        <v/>
      </c>
      <c r="V3733" s="6" t="str">
        <f>IF(AND($A3733&lt;&gt;"",$O3733=1,$L3733="Débit",N($Q3733)&gt;0,$A3733&gt;=Visualisation!$B$1,$A3733&lt;Visualisation!$D$1),MAX($V$1:V3732)+1,"")</f>
        <v/>
      </c>
    </row>
    <row r="3734" spans="1:22" x14ac:dyDescent="0.25">
      <c r="A3734" s="9"/>
      <c r="E3734" s="10"/>
      <c r="K3734" s="11" t="str">
        <f>IF($E3734="","",ROUND($E3734*IF(ISNA(MATCH($C3734,'Paramètres'!$D:$D,0)),1,IF(INDEX('Paramètres'!$J:$J,MATCH($C3734,'Paramètres'!$D:$D,0))="",1,INDEX('Paramètres'!$J:$J,MATCH($C3734,'Paramètres'!$D:$D,0)))),2))</f>
        <v/>
      </c>
      <c r="L3734" s="6" t="str">
        <f>IF($D3734="","",IF($F3734&lt;&gt;"",$F3734,IF(ISNA(MATCH($D3734,'Paramètres'!$M:$M,0)),"⚠ Type inconnu",IFERROR(INDEX('Paramètres'!$P:$P,MATCH($D3734,'Paramètres'!$M:$M,0))&amp;"",""))))</f>
        <v/>
      </c>
      <c r="M3734" s="6" t="str">
        <f>IF($D3734="","",IF(ISNA(MATCH($D3734,'Paramètres'!$M:$M,0)),"⚠ Type inconnu",IF($L3734="Crédit","",IFERROR(INDEX('Paramètres'!$O:$O,MATCH($D3734,'Paramètres'!$M:$M,0))&amp;"",""))))</f>
        <v/>
      </c>
      <c r="N3734" s="6" t="str">
        <f>IF($D3734="","",IFERROR(INDEX('Paramètres'!$Q:$Q,MATCH($D3734,'Paramètres'!$M:$M,0))&amp;"",""))</f>
        <v/>
      </c>
      <c r="O3734" s="6" t="str">
        <f>IF($A3734="","",IF(OR($J3734&lt;&gt;"x",$A3734&lt;=FinReleve),1,0))</f>
        <v/>
      </c>
      <c r="P3734" s="6" t="str">
        <f>IF($D3734="","",IF(AND($L3734="Crédit",OR(IFERROR(INDEX('Paramètres'!$O:$O,MATCH($D3734,'Paramètres'!$M:$M,0))&amp;"","")&lt;&gt;"",ISNUMBER(SEARCH("remboursement",IFERROR(INDEX('Paramètres'!$N:$N,MATCH($D3734,'Paramètres'!$M:$M,0))&amp;"",""))))),1,0))</f>
        <v/>
      </c>
      <c r="Q3734" s="6" t="str">
        <f>IF($K3734="","",IF(ISNUMBER(SEARCH("transfert-interne",IFERROR(INDEX('Paramètres'!$N:$N,MATCH($D3734,'Paramètres'!$M:$M,0))&amp;"",""))),0,IF($L3734="Débit",$K3734,IF($P3734=1,-$K3734,0))))</f>
        <v/>
      </c>
      <c r="R3734" s="6" t="str">
        <f>IF($K3734="","",IF($L3734="Crédit",$K3734,-$K3734))</f>
        <v/>
      </c>
      <c r="S3734" s="6" t="str">
        <f>IF($C3734="","",IFERROR(INDEX('Paramètres'!$H:$H,MATCH($C3734,'Paramètres'!$D:$D,0))&amp;"",""))</f>
        <v/>
      </c>
      <c r="T3734" s="6" t="str">
        <f>IF($K3734="","",IF($S3734="",0,IF(ISNUMBER(SEARCH("apport-exterieur",IFERROR(INDEX('Paramètres'!$N:$N,MATCH($D3734,'Paramètres'!$M:$M,0))&amp;"",""))),0,IF(OR(IFERROR(INDEX('Paramètres'!$I:$I,MATCH($C3734,'Paramètres'!$D:$D,0))&amp;"","")="Les deux",IFERROR(INDEX('Paramètres'!$I:$I,MATCH($C3734,'Paramètres'!$D:$D,0))&amp;"","")=IF($P3734=1,"Débit",$L3734)),-IF($P3734=1,-$K3734,$K3734),0))))</f>
        <v/>
      </c>
      <c r="U3734" s="6" t="str">
        <f>IF($K3734="","",IF(ISNUMBER(SEARCH("sortie-epargne",IFERROR(INDEX('Paramètres'!$N:$N,MATCH($D3734,'Paramètres'!$M:$M,0))&amp;"",""))),$K3734,0))</f>
        <v/>
      </c>
      <c r="V3734" s="6" t="str">
        <f>IF(AND($A3734&lt;&gt;"",$O3734=1,$L3734="Débit",N($Q3734)&gt;0,$A3734&gt;=Visualisation!$B$1,$A3734&lt;Visualisation!$D$1),MAX($V$1:V3733)+1,"")</f>
        <v/>
      </c>
    </row>
    <row r="3735" spans="1:22" x14ac:dyDescent="0.25">
      <c r="A3735" s="9"/>
      <c r="E3735" s="10"/>
      <c r="K3735" s="11" t="str">
        <f>IF($E3735="","",ROUND($E3735*IF(ISNA(MATCH($C3735,'Paramètres'!$D:$D,0)),1,IF(INDEX('Paramètres'!$J:$J,MATCH($C3735,'Paramètres'!$D:$D,0))="",1,INDEX('Paramètres'!$J:$J,MATCH($C3735,'Paramètres'!$D:$D,0)))),2))</f>
        <v/>
      </c>
      <c r="L3735" s="6" t="str">
        <f>IF($D3735="","",IF($F3735&lt;&gt;"",$F3735,IF(ISNA(MATCH($D3735,'Paramètres'!$M:$M,0)),"⚠ Type inconnu",IFERROR(INDEX('Paramètres'!$P:$P,MATCH($D3735,'Paramètres'!$M:$M,0))&amp;"",""))))</f>
        <v/>
      </c>
      <c r="M3735" s="6" t="str">
        <f>IF($D3735="","",IF(ISNA(MATCH($D3735,'Paramètres'!$M:$M,0)),"⚠ Type inconnu",IF($L3735="Crédit","",IFERROR(INDEX('Paramètres'!$O:$O,MATCH($D3735,'Paramètres'!$M:$M,0))&amp;"",""))))</f>
        <v/>
      </c>
      <c r="N3735" s="6" t="str">
        <f>IF($D3735="","",IFERROR(INDEX('Paramètres'!$Q:$Q,MATCH($D3735,'Paramètres'!$M:$M,0))&amp;"",""))</f>
        <v/>
      </c>
      <c r="O3735" s="6" t="str">
        <f>IF($A3735="","",IF(OR($J3735&lt;&gt;"x",$A3735&lt;=FinReleve),1,0))</f>
        <v/>
      </c>
      <c r="P3735" s="6" t="str">
        <f>IF($D3735="","",IF(AND($L3735="Crédit",OR(IFERROR(INDEX('Paramètres'!$O:$O,MATCH($D3735,'Paramètres'!$M:$M,0))&amp;"","")&lt;&gt;"",ISNUMBER(SEARCH("remboursement",IFERROR(INDEX('Paramètres'!$N:$N,MATCH($D3735,'Paramètres'!$M:$M,0))&amp;"",""))))),1,0))</f>
        <v/>
      </c>
      <c r="Q3735" s="6" t="str">
        <f>IF($K3735="","",IF(ISNUMBER(SEARCH("transfert-interne",IFERROR(INDEX('Paramètres'!$N:$N,MATCH($D3735,'Paramètres'!$M:$M,0))&amp;"",""))),0,IF($L3735="Débit",$K3735,IF($P3735=1,-$K3735,0))))</f>
        <v/>
      </c>
      <c r="R3735" s="6" t="str">
        <f>IF($K3735="","",IF($L3735="Crédit",$K3735,-$K3735))</f>
        <v/>
      </c>
      <c r="S3735" s="6" t="str">
        <f>IF($C3735="","",IFERROR(INDEX('Paramètres'!$H:$H,MATCH($C3735,'Paramètres'!$D:$D,0))&amp;"",""))</f>
        <v/>
      </c>
      <c r="T3735" s="6" t="str">
        <f>IF($K3735="","",IF($S3735="",0,IF(ISNUMBER(SEARCH("apport-exterieur",IFERROR(INDEX('Paramètres'!$N:$N,MATCH($D3735,'Paramètres'!$M:$M,0))&amp;"",""))),0,IF(OR(IFERROR(INDEX('Paramètres'!$I:$I,MATCH($C3735,'Paramètres'!$D:$D,0))&amp;"","")="Les deux",IFERROR(INDEX('Paramètres'!$I:$I,MATCH($C3735,'Paramètres'!$D:$D,0))&amp;"","")=IF($P3735=1,"Débit",$L3735)),-IF($P3735=1,-$K3735,$K3735),0))))</f>
        <v/>
      </c>
      <c r="U3735" s="6" t="str">
        <f>IF($K3735="","",IF(ISNUMBER(SEARCH("sortie-epargne",IFERROR(INDEX('Paramètres'!$N:$N,MATCH($D3735,'Paramètres'!$M:$M,0))&amp;"",""))),$K3735,0))</f>
        <v/>
      </c>
      <c r="V3735" s="6" t="str">
        <f>IF(AND($A3735&lt;&gt;"",$O3735=1,$L3735="Débit",N($Q3735)&gt;0,$A3735&gt;=Visualisation!$B$1,$A3735&lt;Visualisation!$D$1),MAX($V$1:V3734)+1,"")</f>
        <v/>
      </c>
    </row>
    <row r="3736" spans="1:22" x14ac:dyDescent="0.25">
      <c r="A3736" s="9"/>
      <c r="E3736" s="10"/>
      <c r="K3736" s="11" t="str">
        <f>IF($E3736="","",ROUND($E3736*IF(ISNA(MATCH($C3736,'Paramètres'!$D:$D,0)),1,IF(INDEX('Paramètres'!$J:$J,MATCH($C3736,'Paramètres'!$D:$D,0))="",1,INDEX('Paramètres'!$J:$J,MATCH($C3736,'Paramètres'!$D:$D,0)))),2))</f>
        <v/>
      </c>
      <c r="L3736" s="6" t="str">
        <f>IF($D3736="","",IF($F3736&lt;&gt;"",$F3736,IF(ISNA(MATCH($D3736,'Paramètres'!$M:$M,0)),"⚠ Type inconnu",IFERROR(INDEX('Paramètres'!$P:$P,MATCH($D3736,'Paramètres'!$M:$M,0))&amp;"",""))))</f>
        <v/>
      </c>
      <c r="M3736" s="6" t="str">
        <f>IF($D3736="","",IF(ISNA(MATCH($D3736,'Paramètres'!$M:$M,0)),"⚠ Type inconnu",IF($L3736="Crédit","",IFERROR(INDEX('Paramètres'!$O:$O,MATCH($D3736,'Paramètres'!$M:$M,0))&amp;"",""))))</f>
        <v/>
      </c>
      <c r="N3736" s="6" t="str">
        <f>IF($D3736="","",IFERROR(INDEX('Paramètres'!$Q:$Q,MATCH($D3736,'Paramètres'!$M:$M,0))&amp;"",""))</f>
        <v/>
      </c>
      <c r="O3736" s="6" t="str">
        <f>IF($A3736="","",IF(OR($J3736&lt;&gt;"x",$A3736&lt;=FinReleve),1,0))</f>
        <v/>
      </c>
      <c r="P3736" s="6" t="str">
        <f>IF($D3736="","",IF(AND($L3736="Crédit",OR(IFERROR(INDEX('Paramètres'!$O:$O,MATCH($D3736,'Paramètres'!$M:$M,0))&amp;"","")&lt;&gt;"",ISNUMBER(SEARCH("remboursement",IFERROR(INDEX('Paramètres'!$N:$N,MATCH($D3736,'Paramètres'!$M:$M,0))&amp;"",""))))),1,0))</f>
        <v/>
      </c>
      <c r="Q3736" s="6" t="str">
        <f>IF($K3736="","",IF(ISNUMBER(SEARCH("transfert-interne",IFERROR(INDEX('Paramètres'!$N:$N,MATCH($D3736,'Paramètres'!$M:$M,0))&amp;"",""))),0,IF($L3736="Débit",$K3736,IF($P3736=1,-$K3736,0))))</f>
        <v/>
      </c>
      <c r="R3736" s="6" t="str">
        <f>IF($K3736="","",IF($L3736="Crédit",$K3736,-$K3736))</f>
        <v/>
      </c>
      <c r="S3736" s="6" t="str">
        <f>IF($C3736="","",IFERROR(INDEX('Paramètres'!$H:$H,MATCH($C3736,'Paramètres'!$D:$D,0))&amp;"",""))</f>
        <v/>
      </c>
      <c r="T3736" s="6" t="str">
        <f>IF($K3736="","",IF($S3736="",0,IF(ISNUMBER(SEARCH("apport-exterieur",IFERROR(INDEX('Paramètres'!$N:$N,MATCH($D3736,'Paramètres'!$M:$M,0))&amp;"",""))),0,IF(OR(IFERROR(INDEX('Paramètres'!$I:$I,MATCH($C3736,'Paramètres'!$D:$D,0))&amp;"","")="Les deux",IFERROR(INDEX('Paramètres'!$I:$I,MATCH($C3736,'Paramètres'!$D:$D,0))&amp;"","")=IF($P3736=1,"Débit",$L3736)),-IF($P3736=1,-$K3736,$K3736),0))))</f>
        <v/>
      </c>
      <c r="U3736" s="6" t="str">
        <f>IF($K3736="","",IF(ISNUMBER(SEARCH("sortie-epargne",IFERROR(INDEX('Paramètres'!$N:$N,MATCH($D3736,'Paramètres'!$M:$M,0))&amp;"",""))),$K3736,0))</f>
        <v/>
      </c>
      <c r="V3736" s="6" t="str">
        <f>IF(AND($A3736&lt;&gt;"",$O3736=1,$L3736="Débit",N($Q3736)&gt;0,$A3736&gt;=Visualisation!$B$1,$A3736&lt;Visualisation!$D$1),MAX($V$1:V3735)+1,"")</f>
        <v/>
      </c>
    </row>
    <row r="3737" spans="1:22" x14ac:dyDescent="0.25">
      <c r="A3737" s="9"/>
      <c r="E3737" s="10"/>
      <c r="K3737" s="11" t="str">
        <f>IF($E3737="","",ROUND($E3737*IF(ISNA(MATCH($C3737,'Paramètres'!$D:$D,0)),1,IF(INDEX('Paramètres'!$J:$J,MATCH($C3737,'Paramètres'!$D:$D,0))="",1,INDEX('Paramètres'!$J:$J,MATCH($C3737,'Paramètres'!$D:$D,0)))),2))</f>
        <v/>
      </c>
      <c r="L3737" s="6" t="str">
        <f>IF($D3737="","",IF($F3737&lt;&gt;"",$F3737,IF(ISNA(MATCH($D3737,'Paramètres'!$M:$M,0)),"⚠ Type inconnu",IFERROR(INDEX('Paramètres'!$P:$P,MATCH($D3737,'Paramètres'!$M:$M,0))&amp;"",""))))</f>
        <v/>
      </c>
      <c r="M3737" s="6" t="str">
        <f>IF($D3737="","",IF(ISNA(MATCH($D3737,'Paramètres'!$M:$M,0)),"⚠ Type inconnu",IF($L3737="Crédit","",IFERROR(INDEX('Paramètres'!$O:$O,MATCH($D3737,'Paramètres'!$M:$M,0))&amp;"",""))))</f>
        <v/>
      </c>
      <c r="N3737" s="6" t="str">
        <f>IF($D3737="","",IFERROR(INDEX('Paramètres'!$Q:$Q,MATCH($D3737,'Paramètres'!$M:$M,0))&amp;"",""))</f>
        <v/>
      </c>
      <c r="O3737" s="6" t="str">
        <f>IF($A3737="","",IF(OR($J3737&lt;&gt;"x",$A3737&lt;=FinReleve),1,0))</f>
        <v/>
      </c>
      <c r="P3737" s="6" t="str">
        <f>IF($D3737="","",IF(AND($L3737="Crédit",OR(IFERROR(INDEX('Paramètres'!$O:$O,MATCH($D3737,'Paramètres'!$M:$M,0))&amp;"","")&lt;&gt;"",ISNUMBER(SEARCH("remboursement",IFERROR(INDEX('Paramètres'!$N:$N,MATCH($D3737,'Paramètres'!$M:$M,0))&amp;"",""))))),1,0))</f>
        <v/>
      </c>
      <c r="Q3737" s="6" t="str">
        <f>IF($K3737="","",IF(ISNUMBER(SEARCH("transfert-interne",IFERROR(INDEX('Paramètres'!$N:$N,MATCH($D3737,'Paramètres'!$M:$M,0))&amp;"",""))),0,IF($L3737="Débit",$K3737,IF($P3737=1,-$K3737,0))))</f>
        <v/>
      </c>
      <c r="R3737" s="6" t="str">
        <f>IF($K3737="","",IF($L3737="Crédit",$K3737,-$K3737))</f>
        <v/>
      </c>
      <c r="S3737" s="6" t="str">
        <f>IF($C3737="","",IFERROR(INDEX('Paramètres'!$H:$H,MATCH($C3737,'Paramètres'!$D:$D,0))&amp;"",""))</f>
        <v/>
      </c>
      <c r="T3737" s="6" t="str">
        <f>IF($K3737="","",IF($S3737="",0,IF(ISNUMBER(SEARCH("apport-exterieur",IFERROR(INDEX('Paramètres'!$N:$N,MATCH($D3737,'Paramètres'!$M:$M,0))&amp;"",""))),0,IF(OR(IFERROR(INDEX('Paramètres'!$I:$I,MATCH($C3737,'Paramètres'!$D:$D,0))&amp;"","")="Les deux",IFERROR(INDEX('Paramètres'!$I:$I,MATCH($C3737,'Paramètres'!$D:$D,0))&amp;"","")=IF($P3737=1,"Débit",$L3737)),-IF($P3737=1,-$K3737,$K3737),0))))</f>
        <v/>
      </c>
      <c r="U3737" s="6" t="str">
        <f>IF($K3737="","",IF(ISNUMBER(SEARCH("sortie-epargne",IFERROR(INDEX('Paramètres'!$N:$N,MATCH($D3737,'Paramètres'!$M:$M,0))&amp;"",""))),$K3737,0))</f>
        <v/>
      </c>
      <c r="V3737" s="6" t="str">
        <f>IF(AND($A3737&lt;&gt;"",$O3737=1,$L3737="Débit",N($Q3737)&gt;0,$A3737&gt;=Visualisation!$B$1,$A3737&lt;Visualisation!$D$1),MAX($V$1:V3736)+1,"")</f>
        <v/>
      </c>
    </row>
    <row r="3738" spans="1:22" x14ac:dyDescent="0.25">
      <c r="A3738" s="9"/>
      <c r="E3738" s="10"/>
      <c r="K3738" s="11" t="str">
        <f>IF($E3738="","",ROUND($E3738*IF(ISNA(MATCH($C3738,'Paramètres'!$D:$D,0)),1,IF(INDEX('Paramètres'!$J:$J,MATCH($C3738,'Paramètres'!$D:$D,0))="",1,INDEX('Paramètres'!$J:$J,MATCH($C3738,'Paramètres'!$D:$D,0)))),2))</f>
        <v/>
      </c>
      <c r="L3738" s="6" t="str">
        <f>IF($D3738="","",IF($F3738&lt;&gt;"",$F3738,IF(ISNA(MATCH($D3738,'Paramètres'!$M:$M,0)),"⚠ Type inconnu",IFERROR(INDEX('Paramètres'!$P:$P,MATCH($D3738,'Paramètres'!$M:$M,0))&amp;"",""))))</f>
        <v/>
      </c>
      <c r="M3738" s="6" t="str">
        <f>IF($D3738="","",IF(ISNA(MATCH($D3738,'Paramètres'!$M:$M,0)),"⚠ Type inconnu",IF($L3738="Crédit","",IFERROR(INDEX('Paramètres'!$O:$O,MATCH($D3738,'Paramètres'!$M:$M,0))&amp;"",""))))</f>
        <v/>
      </c>
      <c r="N3738" s="6" t="str">
        <f>IF($D3738="","",IFERROR(INDEX('Paramètres'!$Q:$Q,MATCH($D3738,'Paramètres'!$M:$M,0))&amp;"",""))</f>
        <v/>
      </c>
      <c r="O3738" s="6" t="str">
        <f>IF($A3738="","",IF(OR($J3738&lt;&gt;"x",$A3738&lt;=FinReleve),1,0))</f>
        <v/>
      </c>
      <c r="P3738" s="6" t="str">
        <f>IF($D3738="","",IF(AND($L3738="Crédit",OR(IFERROR(INDEX('Paramètres'!$O:$O,MATCH($D3738,'Paramètres'!$M:$M,0))&amp;"","")&lt;&gt;"",ISNUMBER(SEARCH("remboursement",IFERROR(INDEX('Paramètres'!$N:$N,MATCH($D3738,'Paramètres'!$M:$M,0))&amp;"",""))))),1,0))</f>
        <v/>
      </c>
      <c r="Q3738" s="6" t="str">
        <f>IF($K3738="","",IF(ISNUMBER(SEARCH("transfert-interne",IFERROR(INDEX('Paramètres'!$N:$N,MATCH($D3738,'Paramètres'!$M:$M,0))&amp;"",""))),0,IF($L3738="Débit",$K3738,IF($P3738=1,-$K3738,0))))</f>
        <v/>
      </c>
      <c r="R3738" s="6" t="str">
        <f>IF($K3738="","",IF($L3738="Crédit",$K3738,-$K3738))</f>
        <v/>
      </c>
      <c r="S3738" s="6" t="str">
        <f>IF($C3738="","",IFERROR(INDEX('Paramètres'!$H:$H,MATCH($C3738,'Paramètres'!$D:$D,0))&amp;"",""))</f>
        <v/>
      </c>
      <c r="T3738" s="6" t="str">
        <f>IF($K3738="","",IF($S3738="",0,IF(ISNUMBER(SEARCH("apport-exterieur",IFERROR(INDEX('Paramètres'!$N:$N,MATCH($D3738,'Paramètres'!$M:$M,0))&amp;"",""))),0,IF(OR(IFERROR(INDEX('Paramètres'!$I:$I,MATCH($C3738,'Paramètres'!$D:$D,0))&amp;"","")="Les deux",IFERROR(INDEX('Paramètres'!$I:$I,MATCH($C3738,'Paramètres'!$D:$D,0))&amp;"","")=IF($P3738=1,"Débit",$L3738)),-IF($P3738=1,-$K3738,$K3738),0))))</f>
        <v/>
      </c>
      <c r="U3738" s="6" t="str">
        <f>IF($K3738="","",IF(ISNUMBER(SEARCH("sortie-epargne",IFERROR(INDEX('Paramètres'!$N:$N,MATCH($D3738,'Paramètres'!$M:$M,0))&amp;"",""))),$K3738,0))</f>
        <v/>
      </c>
      <c r="V3738" s="6" t="str">
        <f>IF(AND($A3738&lt;&gt;"",$O3738=1,$L3738="Débit",N($Q3738)&gt;0,$A3738&gt;=Visualisation!$B$1,$A3738&lt;Visualisation!$D$1),MAX($V$1:V3737)+1,"")</f>
        <v/>
      </c>
    </row>
    <row r="3739" spans="1:22" x14ac:dyDescent="0.25">
      <c r="A3739" s="9"/>
      <c r="E3739" s="10"/>
      <c r="K3739" s="11" t="str">
        <f>IF($E3739="","",ROUND($E3739*IF(ISNA(MATCH($C3739,'Paramètres'!$D:$D,0)),1,IF(INDEX('Paramètres'!$J:$J,MATCH($C3739,'Paramètres'!$D:$D,0))="",1,INDEX('Paramètres'!$J:$J,MATCH($C3739,'Paramètres'!$D:$D,0)))),2))</f>
        <v/>
      </c>
      <c r="L3739" s="6" t="str">
        <f>IF($D3739="","",IF($F3739&lt;&gt;"",$F3739,IF(ISNA(MATCH($D3739,'Paramètres'!$M:$M,0)),"⚠ Type inconnu",IFERROR(INDEX('Paramètres'!$P:$P,MATCH($D3739,'Paramètres'!$M:$M,0))&amp;"",""))))</f>
        <v/>
      </c>
      <c r="M3739" s="6" t="str">
        <f>IF($D3739="","",IF(ISNA(MATCH($D3739,'Paramètres'!$M:$M,0)),"⚠ Type inconnu",IF($L3739="Crédit","",IFERROR(INDEX('Paramètres'!$O:$O,MATCH($D3739,'Paramètres'!$M:$M,0))&amp;"",""))))</f>
        <v/>
      </c>
      <c r="N3739" s="6" t="str">
        <f>IF($D3739="","",IFERROR(INDEX('Paramètres'!$Q:$Q,MATCH($D3739,'Paramètres'!$M:$M,0))&amp;"",""))</f>
        <v/>
      </c>
      <c r="O3739" s="6" t="str">
        <f>IF($A3739="","",IF(OR($J3739&lt;&gt;"x",$A3739&lt;=FinReleve),1,0))</f>
        <v/>
      </c>
      <c r="P3739" s="6" t="str">
        <f>IF($D3739="","",IF(AND($L3739="Crédit",OR(IFERROR(INDEX('Paramètres'!$O:$O,MATCH($D3739,'Paramètres'!$M:$M,0))&amp;"","")&lt;&gt;"",ISNUMBER(SEARCH("remboursement",IFERROR(INDEX('Paramètres'!$N:$N,MATCH($D3739,'Paramètres'!$M:$M,0))&amp;"",""))))),1,0))</f>
        <v/>
      </c>
      <c r="Q3739" s="6" t="str">
        <f>IF($K3739="","",IF(ISNUMBER(SEARCH("transfert-interne",IFERROR(INDEX('Paramètres'!$N:$N,MATCH($D3739,'Paramètres'!$M:$M,0))&amp;"",""))),0,IF($L3739="Débit",$K3739,IF($P3739=1,-$K3739,0))))</f>
        <v/>
      </c>
      <c r="R3739" s="6" t="str">
        <f>IF($K3739="","",IF($L3739="Crédit",$K3739,-$K3739))</f>
        <v/>
      </c>
      <c r="S3739" s="6" t="str">
        <f>IF($C3739="","",IFERROR(INDEX('Paramètres'!$H:$H,MATCH($C3739,'Paramètres'!$D:$D,0))&amp;"",""))</f>
        <v/>
      </c>
      <c r="T3739" s="6" t="str">
        <f>IF($K3739="","",IF($S3739="",0,IF(ISNUMBER(SEARCH("apport-exterieur",IFERROR(INDEX('Paramètres'!$N:$N,MATCH($D3739,'Paramètres'!$M:$M,0))&amp;"",""))),0,IF(OR(IFERROR(INDEX('Paramètres'!$I:$I,MATCH($C3739,'Paramètres'!$D:$D,0))&amp;"","")="Les deux",IFERROR(INDEX('Paramètres'!$I:$I,MATCH($C3739,'Paramètres'!$D:$D,0))&amp;"","")=IF($P3739=1,"Débit",$L3739)),-IF($P3739=1,-$K3739,$K3739),0))))</f>
        <v/>
      </c>
      <c r="U3739" s="6" t="str">
        <f>IF($K3739="","",IF(ISNUMBER(SEARCH("sortie-epargne",IFERROR(INDEX('Paramètres'!$N:$N,MATCH($D3739,'Paramètres'!$M:$M,0))&amp;"",""))),$K3739,0))</f>
        <v/>
      </c>
      <c r="V3739" s="6" t="str">
        <f>IF(AND($A3739&lt;&gt;"",$O3739=1,$L3739="Débit",N($Q3739)&gt;0,$A3739&gt;=Visualisation!$B$1,$A3739&lt;Visualisation!$D$1),MAX($V$1:V3738)+1,"")</f>
        <v/>
      </c>
    </row>
    <row r="3740" spans="1:22" x14ac:dyDescent="0.25">
      <c r="A3740" s="9"/>
      <c r="E3740" s="10"/>
      <c r="K3740" s="11" t="str">
        <f>IF($E3740="","",ROUND($E3740*IF(ISNA(MATCH($C3740,'Paramètres'!$D:$D,0)),1,IF(INDEX('Paramètres'!$J:$J,MATCH($C3740,'Paramètres'!$D:$D,0))="",1,INDEX('Paramètres'!$J:$J,MATCH($C3740,'Paramètres'!$D:$D,0)))),2))</f>
        <v/>
      </c>
      <c r="L3740" s="6" t="str">
        <f>IF($D3740="","",IF($F3740&lt;&gt;"",$F3740,IF(ISNA(MATCH($D3740,'Paramètres'!$M:$M,0)),"⚠ Type inconnu",IFERROR(INDEX('Paramètres'!$P:$P,MATCH($D3740,'Paramètres'!$M:$M,0))&amp;"",""))))</f>
        <v/>
      </c>
      <c r="M3740" s="6" t="str">
        <f>IF($D3740="","",IF(ISNA(MATCH($D3740,'Paramètres'!$M:$M,0)),"⚠ Type inconnu",IF($L3740="Crédit","",IFERROR(INDEX('Paramètres'!$O:$O,MATCH($D3740,'Paramètres'!$M:$M,0))&amp;"",""))))</f>
        <v/>
      </c>
      <c r="N3740" s="6" t="str">
        <f>IF($D3740="","",IFERROR(INDEX('Paramètres'!$Q:$Q,MATCH($D3740,'Paramètres'!$M:$M,0))&amp;"",""))</f>
        <v/>
      </c>
      <c r="O3740" s="6" t="str">
        <f>IF($A3740="","",IF(OR($J3740&lt;&gt;"x",$A3740&lt;=FinReleve),1,0))</f>
        <v/>
      </c>
      <c r="P3740" s="6" t="str">
        <f>IF($D3740="","",IF(AND($L3740="Crédit",OR(IFERROR(INDEX('Paramètres'!$O:$O,MATCH($D3740,'Paramètres'!$M:$M,0))&amp;"","")&lt;&gt;"",ISNUMBER(SEARCH("remboursement",IFERROR(INDEX('Paramètres'!$N:$N,MATCH($D3740,'Paramètres'!$M:$M,0))&amp;"",""))))),1,0))</f>
        <v/>
      </c>
      <c r="Q3740" s="6" t="str">
        <f>IF($K3740="","",IF(ISNUMBER(SEARCH("transfert-interne",IFERROR(INDEX('Paramètres'!$N:$N,MATCH($D3740,'Paramètres'!$M:$M,0))&amp;"",""))),0,IF($L3740="Débit",$K3740,IF($P3740=1,-$K3740,0))))</f>
        <v/>
      </c>
      <c r="R3740" s="6" t="str">
        <f>IF($K3740="","",IF($L3740="Crédit",$K3740,-$K3740))</f>
        <v/>
      </c>
      <c r="S3740" s="6" t="str">
        <f>IF($C3740="","",IFERROR(INDEX('Paramètres'!$H:$H,MATCH($C3740,'Paramètres'!$D:$D,0))&amp;"",""))</f>
        <v/>
      </c>
      <c r="T3740" s="6" t="str">
        <f>IF($K3740="","",IF($S3740="",0,IF(ISNUMBER(SEARCH("apport-exterieur",IFERROR(INDEX('Paramètres'!$N:$N,MATCH($D3740,'Paramètres'!$M:$M,0))&amp;"",""))),0,IF(OR(IFERROR(INDEX('Paramètres'!$I:$I,MATCH($C3740,'Paramètres'!$D:$D,0))&amp;"","")="Les deux",IFERROR(INDEX('Paramètres'!$I:$I,MATCH($C3740,'Paramètres'!$D:$D,0))&amp;"","")=IF($P3740=1,"Débit",$L3740)),-IF($P3740=1,-$K3740,$K3740),0))))</f>
        <v/>
      </c>
      <c r="U3740" s="6" t="str">
        <f>IF($K3740="","",IF(ISNUMBER(SEARCH("sortie-epargne",IFERROR(INDEX('Paramètres'!$N:$N,MATCH($D3740,'Paramètres'!$M:$M,0))&amp;"",""))),$K3740,0))</f>
        <v/>
      </c>
      <c r="V3740" s="6" t="str">
        <f>IF(AND($A3740&lt;&gt;"",$O3740=1,$L3740="Débit",N($Q3740)&gt;0,$A3740&gt;=Visualisation!$B$1,$A3740&lt;Visualisation!$D$1),MAX($V$1:V3739)+1,"")</f>
        <v/>
      </c>
    </row>
    <row r="3741" spans="1:22" x14ac:dyDescent="0.25">
      <c r="A3741" s="9"/>
      <c r="E3741" s="10"/>
      <c r="K3741" s="11" t="str">
        <f>IF($E3741="","",ROUND($E3741*IF(ISNA(MATCH($C3741,'Paramètres'!$D:$D,0)),1,IF(INDEX('Paramètres'!$J:$J,MATCH($C3741,'Paramètres'!$D:$D,0))="",1,INDEX('Paramètres'!$J:$J,MATCH($C3741,'Paramètres'!$D:$D,0)))),2))</f>
        <v/>
      </c>
      <c r="L3741" s="6" t="str">
        <f>IF($D3741="","",IF($F3741&lt;&gt;"",$F3741,IF(ISNA(MATCH($D3741,'Paramètres'!$M:$M,0)),"⚠ Type inconnu",IFERROR(INDEX('Paramètres'!$P:$P,MATCH($D3741,'Paramètres'!$M:$M,0))&amp;"",""))))</f>
        <v/>
      </c>
      <c r="M3741" s="6" t="str">
        <f>IF($D3741="","",IF(ISNA(MATCH($D3741,'Paramètres'!$M:$M,0)),"⚠ Type inconnu",IF($L3741="Crédit","",IFERROR(INDEX('Paramètres'!$O:$O,MATCH($D3741,'Paramètres'!$M:$M,0))&amp;"",""))))</f>
        <v/>
      </c>
      <c r="N3741" s="6" t="str">
        <f>IF($D3741="","",IFERROR(INDEX('Paramètres'!$Q:$Q,MATCH($D3741,'Paramètres'!$M:$M,0))&amp;"",""))</f>
        <v/>
      </c>
      <c r="O3741" s="6" t="str">
        <f>IF($A3741="","",IF(OR($J3741&lt;&gt;"x",$A3741&lt;=FinReleve),1,0))</f>
        <v/>
      </c>
      <c r="P3741" s="6" t="str">
        <f>IF($D3741="","",IF(AND($L3741="Crédit",OR(IFERROR(INDEX('Paramètres'!$O:$O,MATCH($D3741,'Paramètres'!$M:$M,0))&amp;"","")&lt;&gt;"",ISNUMBER(SEARCH("remboursement",IFERROR(INDEX('Paramètres'!$N:$N,MATCH($D3741,'Paramètres'!$M:$M,0))&amp;"",""))))),1,0))</f>
        <v/>
      </c>
      <c r="Q3741" s="6" t="str">
        <f>IF($K3741="","",IF(ISNUMBER(SEARCH("transfert-interne",IFERROR(INDEX('Paramètres'!$N:$N,MATCH($D3741,'Paramètres'!$M:$M,0))&amp;"",""))),0,IF($L3741="Débit",$K3741,IF($P3741=1,-$K3741,0))))</f>
        <v/>
      </c>
      <c r="R3741" s="6" t="str">
        <f>IF($K3741="","",IF($L3741="Crédit",$K3741,-$K3741))</f>
        <v/>
      </c>
      <c r="S3741" s="6" t="str">
        <f>IF($C3741="","",IFERROR(INDEX('Paramètres'!$H:$H,MATCH($C3741,'Paramètres'!$D:$D,0))&amp;"",""))</f>
        <v/>
      </c>
      <c r="T3741" s="6" t="str">
        <f>IF($K3741="","",IF($S3741="",0,IF(ISNUMBER(SEARCH("apport-exterieur",IFERROR(INDEX('Paramètres'!$N:$N,MATCH($D3741,'Paramètres'!$M:$M,0))&amp;"",""))),0,IF(OR(IFERROR(INDEX('Paramètres'!$I:$I,MATCH($C3741,'Paramètres'!$D:$D,0))&amp;"","")="Les deux",IFERROR(INDEX('Paramètres'!$I:$I,MATCH($C3741,'Paramètres'!$D:$D,0))&amp;"","")=IF($P3741=1,"Débit",$L3741)),-IF($P3741=1,-$K3741,$K3741),0))))</f>
        <v/>
      </c>
      <c r="U3741" s="6" t="str">
        <f>IF($K3741="","",IF(ISNUMBER(SEARCH("sortie-epargne",IFERROR(INDEX('Paramètres'!$N:$N,MATCH($D3741,'Paramètres'!$M:$M,0))&amp;"",""))),$K3741,0))</f>
        <v/>
      </c>
      <c r="V3741" s="6" t="str">
        <f>IF(AND($A3741&lt;&gt;"",$O3741=1,$L3741="Débit",N($Q3741)&gt;0,$A3741&gt;=Visualisation!$B$1,$A3741&lt;Visualisation!$D$1),MAX($V$1:V3740)+1,"")</f>
        <v/>
      </c>
    </row>
    <row r="3742" spans="1:22" x14ac:dyDescent="0.25">
      <c r="A3742" s="9"/>
      <c r="E3742" s="10"/>
      <c r="K3742" s="11" t="str">
        <f>IF($E3742="","",ROUND($E3742*IF(ISNA(MATCH($C3742,'Paramètres'!$D:$D,0)),1,IF(INDEX('Paramètres'!$J:$J,MATCH($C3742,'Paramètres'!$D:$D,0))="",1,INDEX('Paramètres'!$J:$J,MATCH($C3742,'Paramètres'!$D:$D,0)))),2))</f>
        <v/>
      </c>
      <c r="L3742" s="6" t="str">
        <f>IF($D3742="","",IF($F3742&lt;&gt;"",$F3742,IF(ISNA(MATCH($D3742,'Paramètres'!$M:$M,0)),"⚠ Type inconnu",IFERROR(INDEX('Paramètres'!$P:$P,MATCH($D3742,'Paramètres'!$M:$M,0))&amp;"",""))))</f>
        <v/>
      </c>
      <c r="M3742" s="6" t="str">
        <f>IF($D3742="","",IF(ISNA(MATCH($D3742,'Paramètres'!$M:$M,0)),"⚠ Type inconnu",IF($L3742="Crédit","",IFERROR(INDEX('Paramètres'!$O:$O,MATCH($D3742,'Paramètres'!$M:$M,0))&amp;"",""))))</f>
        <v/>
      </c>
      <c r="N3742" s="6" t="str">
        <f>IF($D3742="","",IFERROR(INDEX('Paramètres'!$Q:$Q,MATCH($D3742,'Paramètres'!$M:$M,0))&amp;"",""))</f>
        <v/>
      </c>
      <c r="O3742" s="6" t="str">
        <f>IF($A3742="","",IF(OR($J3742&lt;&gt;"x",$A3742&lt;=FinReleve),1,0))</f>
        <v/>
      </c>
      <c r="P3742" s="6" t="str">
        <f>IF($D3742="","",IF(AND($L3742="Crédit",OR(IFERROR(INDEX('Paramètres'!$O:$O,MATCH($D3742,'Paramètres'!$M:$M,0))&amp;"","")&lt;&gt;"",ISNUMBER(SEARCH("remboursement",IFERROR(INDEX('Paramètres'!$N:$N,MATCH($D3742,'Paramètres'!$M:$M,0))&amp;"",""))))),1,0))</f>
        <v/>
      </c>
      <c r="Q3742" s="6" t="str">
        <f>IF($K3742="","",IF(ISNUMBER(SEARCH("transfert-interne",IFERROR(INDEX('Paramètres'!$N:$N,MATCH($D3742,'Paramètres'!$M:$M,0))&amp;"",""))),0,IF($L3742="Débit",$K3742,IF($P3742=1,-$K3742,0))))</f>
        <v/>
      </c>
      <c r="R3742" s="6" t="str">
        <f>IF($K3742="","",IF($L3742="Crédit",$K3742,-$K3742))</f>
        <v/>
      </c>
      <c r="S3742" s="6" t="str">
        <f>IF($C3742="","",IFERROR(INDEX('Paramètres'!$H:$H,MATCH($C3742,'Paramètres'!$D:$D,0))&amp;"",""))</f>
        <v/>
      </c>
      <c r="T3742" s="6" t="str">
        <f>IF($K3742="","",IF($S3742="",0,IF(ISNUMBER(SEARCH("apport-exterieur",IFERROR(INDEX('Paramètres'!$N:$N,MATCH($D3742,'Paramètres'!$M:$M,0))&amp;"",""))),0,IF(OR(IFERROR(INDEX('Paramètres'!$I:$I,MATCH($C3742,'Paramètres'!$D:$D,0))&amp;"","")="Les deux",IFERROR(INDEX('Paramètres'!$I:$I,MATCH($C3742,'Paramètres'!$D:$D,0))&amp;"","")=IF($P3742=1,"Débit",$L3742)),-IF($P3742=1,-$K3742,$K3742),0))))</f>
        <v/>
      </c>
      <c r="U3742" s="6" t="str">
        <f>IF($K3742="","",IF(ISNUMBER(SEARCH("sortie-epargne",IFERROR(INDEX('Paramètres'!$N:$N,MATCH($D3742,'Paramètres'!$M:$M,0))&amp;"",""))),$K3742,0))</f>
        <v/>
      </c>
      <c r="V3742" s="6" t="str">
        <f>IF(AND($A3742&lt;&gt;"",$O3742=1,$L3742="Débit",N($Q3742)&gt;0,$A3742&gt;=Visualisation!$B$1,$A3742&lt;Visualisation!$D$1),MAX($V$1:V3741)+1,"")</f>
        <v/>
      </c>
    </row>
    <row r="3743" spans="1:22" x14ac:dyDescent="0.25">
      <c r="A3743" s="9"/>
      <c r="E3743" s="10"/>
      <c r="K3743" s="11" t="str">
        <f>IF($E3743="","",ROUND($E3743*IF(ISNA(MATCH($C3743,'Paramètres'!$D:$D,0)),1,IF(INDEX('Paramètres'!$J:$J,MATCH($C3743,'Paramètres'!$D:$D,0))="",1,INDEX('Paramètres'!$J:$J,MATCH($C3743,'Paramètres'!$D:$D,0)))),2))</f>
        <v/>
      </c>
      <c r="L3743" s="6" t="str">
        <f>IF($D3743="","",IF($F3743&lt;&gt;"",$F3743,IF(ISNA(MATCH($D3743,'Paramètres'!$M:$M,0)),"⚠ Type inconnu",IFERROR(INDEX('Paramètres'!$P:$P,MATCH($D3743,'Paramètres'!$M:$M,0))&amp;"",""))))</f>
        <v/>
      </c>
      <c r="M3743" s="6" t="str">
        <f>IF($D3743="","",IF(ISNA(MATCH($D3743,'Paramètres'!$M:$M,0)),"⚠ Type inconnu",IF($L3743="Crédit","",IFERROR(INDEX('Paramètres'!$O:$O,MATCH($D3743,'Paramètres'!$M:$M,0))&amp;"",""))))</f>
        <v/>
      </c>
      <c r="N3743" s="6" t="str">
        <f>IF($D3743="","",IFERROR(INDEX('Paramètres'!$Q:$Q,MATCH($D3743,'Paramètres'!$M:$M,0))&amp;"",""))</f>
        <v/>
      </c>
      <c r="O3743" s="6" t="str">
        <f>IF($A3743="","",IF(OR($J3743&lt;&gt;"x",$A3743&lt;=FinReleve),1,0))</f>
        <v/>
      </c>
      <c r="P3743" s="6" t="str">
        <f>IF($D3743="","",IF(AND($L3743="Crédit",OR(IFERROR(INDEX('Paramètres'!$O:$O,MATCH($D3743,'Paramètres'!$M:$M,0))&amp;"","")&lt;&gt;"",ISNUMBER(SEARCH("remboursement",IFERROR(INDEX('Paramètres'!$N:$N,MATCH($D3743,'Paramètres'!$M:$M,0))&amp;"",""))))),1,0))</f>
        <v/>
      </c>
      <c r="Q3743" s="6" t="str">
        <f>IF($K3743="","",IF(ISNUMBER(SEARCH("transfert-interne",IFERROR(INDEX('Paramètres'!$N:$N,MATCH($D3743,'Paramètres'!$M:$M,0))&amp;"",""))),0,IF($L3743="Débit",$K3743,IF($P3743=1,-$K3743,0))))</f>
        <v/>
      </c>
      <c r="R3743" s="6" t="str">
        <f>IF($K3743="","",IF($L3743="Crédit",$K3743,-$K3743))</f>
        <v/>
      </c>
      <c r="S3743" s="6" t="str">
        <f>IF($C3743="","",IFERROR(INDEX('Paramètres'!$H:$H,MATCH($C3743,'Paramètres'!$D:$D,0))&amp;"",""))</f>
        <v/>
      </c>
      <c r="T3743" s="6" t="str">
        <f>IF($K3743="","",IF($S3743="",0,IF(ISNUMBER(SEARCH("apport-exterieur",IFERROR(INDEX('Paramètres'!$N:$N,MATCH($D3743,'Paramètres'!$M:$M,0))&amp;"",""))),0,IF(OR(IFERROR(INDEX('Paramètres'!$I:$I,MATCH($C3743,'Paramètres'!$D:$D,0))&amp;"","")="Les deux",IFERROR(INDEX('Paramètres'!$I:$I,MATCH($C3743,'Paramètres'!$D:$D,0))&amp;"","")=IF($P3743=1,"Débit",$L3743)),-IF($P3743=1,-$K3743,$K3743),0))))</f>
        <v/>
      </c>
      <c r="U3743" s="6" t="str">
        <f>IF($K3743="","",IF(ISNUMBER(SEARCH("sortie-epargne",IFERROR(INDEX('Paramètres'!$N:$N,MATCH($D3743,'Paramètres'!$M:$M,0))&amp;"",""))),$K3743,0))</f>
        <v/>
      </c>
      <c r="V3743" s="6" t="str">
        <f>IF(AND($A3743&lt;&gt;"",$O3743=1,$L3743="Débit",N($Q3743)&gt;0,$A3743&gt;=Visualisation!$B$1,$A3743&lt;Visualisation!$D$1),MAX($V$1:V3742)+1,"")</f>
        <v/>
      </c>
    </row>
    <row r="3744" spans="1:22" x14ac:dyDescent="0.25">
      <c r="A3744" s="9"/>
      <c r="E3744" s="10"/>
      <c r="K3744" s="11" t="str">
        <f>IF($E3744="","",ROUND($E3744*IF(ISNA(MATCH($C3744,'Paramètres'!$D:$D,0)),1,IF(INDEX('Paramètres'!$J:$J,MATCH($C3744,'Paramètres'!$D:$D,0))="",1,INDEX('Paramètres'!$J:$J,MATCH($C3744,'Paramètres'!$D:$D,0)))),2))</f>
        <v/>
      </c>
      <c r="L3744" s="6" t="str">
        <f>IF($D3744="","",IF($F3744&lt;&gt;"",$F3744,IF(ISNA(MATCH($D3744,'Paramètres'!$M:$M,0)),"⚠ Type inconnu",IFERROR(INDEX('Paramètres'!$P:$P,MATCH($D3744,'Paramètres'!$M:$M,0))&amp;"",""))))</f>
        <v/>
      </c>
      <c r="M3744" s="6" t="str">
        <f>IF($D3744="","",IF(ISNA(MATCH($D3744,'Paramètres'!$M:$M,0)),"⚠ Type inconnu",IF($L3744="Crédit","",IFERROR(INDEX('Paramètres'!$O:$O,MATCH($D3744,'Paramètres'!$M:$M,0))&amp;"",""))))</f>
        <v/>
      </c>
      <c r="N3744" s="6" t="str">
        <f>IF($D3744="","",IFERROR(INDEX('Paramètres'!$Q:$Q,MATCH($D3744,'Paramètres'!$M:$M,0))&amp;"",""))</f>
        <v/>
      </c>
      <c r="O3744" s="6" t="str">
        <f>IF($A3744="","",IF(OR($J3744&lt;&gt;"x",$A3744&lt;=FinReleve),1,0))</f>
        <v/>
      </c>
      <c r="P3744" s="6" t="str">
        <f>IF($D3744="","",IF(AND($L3744="Crédit",OR(IFERROR(INDEX('Paramètres'!$O:$O,MATCH($D3744,'Paramètres'!$M:$M,0))&amp;"","")&lt;&gt;"",ISNUMBER(SEARCH("remboursement",IFERROR(INDEX('Paramètres'!$N:$N,MATCH($D3744,'Paramètres'!$M:$M,0))&amp;"",""))))),1,0))</f>
        <v/>
      </c>
      <c r="Q3744" s="6" t="str">
        <f>IF($K3744="","",IF(ISNUMBER(SEARCH("transfert-interne",IFERROR(INDEX('Paramètres'!$N:$N,MATCH($D3744,'Paramètres'!$M:$M,0))&amp;"",""))),0,IF($L3744="Débit",$K3744,IF($P3744=1,-$K3744,0))))</f>
        <v/>
      </c>
      <c r="R3744" s="6" t="str">
        <f>IF($K3744="","",IF($L3744="Crédit",$K3744,-$K3744))</f>
        <v/>
      </c>
      <c r="S3744" s="6" t="str">
        <f>IF($C3744="","",IFERROR(INDEX('Paramètres'!$H:$H,MATCH($C3744,'Paramètres'!$D:$D,0))&amp;"",""))</f>
        <v/>
      </c>
      <c r="T3744" s="6" t="str">
        <f>IF($K3744="","",IF($S3744="",0,IF(ISNUMBER(SEARCH("apport-exterieur",IFERROR(INDEX('Paramètres'!$N:$N,MATCH($D3744,'Paramètres'!$M:$M,0))&amp;"",""))),0,IF(OR(IFERROR(INDEX('Paramètres'!$I:$I,MATCH($C3744,'Paramètres'!$D:$D,0))&amp;"","")="Les deux",IFERROR(INDEX('Paramètres'!$I:$I,MATCH($C3744,'Paramètres'!$D:$D,0))&amp;"","")=IF($P3744=1,"Débit",$L3744)),-IF($P3744=1,-$K3744,$K3744),0))))</f>
        <v/>
      </c>
      <c r="U3744" s="6" t="str">
        <f>IF($K3744="","",IF(ISNUMBER(SEARCH("sortie-epargne",IFERROR(INDEX('Paramètres'!$N:$N,MATCH($D3744,'Paramètres'!$M:$M,0))&amp;"",""))),$K3744,0))</f>
        <v/>
      </c>
      <c r="V3744" s="6" t="str">
        <f>IF(AND($A3744&lt;&gt;"",$O3744=1,$L3744="Débit",N($Q3744)&gt;0,$A3744&gt;=Visualisation!$B$1,$A3744&lt;Visualisation!$D$1),MAX($V$1:V3743)+1,"")</f>
        <v/>
      </c>
    </row>
    <row r="3745" spans="1:22" x14ac:dyDescent="0.25">
      <c r="A3745" s="9"/>
      <c r="E3745" s="10"/>
      <c r="K3745" s="11" t="str">
        <f>IF($E3745="","",ROUND($E3745*IF(ISNA(MATCH($C3745,'Paramètres'!$D:$D,0)),1,IF(INDEX('Paramètres'!$J:$J,MATCH($C3745,'Paramètres'!$D:$D,0))="",1,INDEX('Paramètres'!$J:$J,MATCH($C3745,'Paramètres'!$D:$D,0)))),2))</f>
        <v/>
      </c>
      <c r="L3745" s="6" t="str">
        <f>IF($D3745="","",IF($F3745&lt;&gt;"",$F3745,IF(ISNA(MATCH($D3745,'Paramètres'!$M:$M,0)),"⚠ Type inconnu",IFERROR(INDEX('Paramètres'!$P:$P,MATCH($D3745,'Paramètres'!$M:$M,0))&amp;"",""))))</f>
        <v/>
      </c>
      <c r="M3745" s="6" t="str">
        <f>IF($D3745="","",IF(ISNA(MATCH($D3745,'Paramètres'!$M:$M,0)),"⚠ Type inconnu",IF($L3745="Crédit","",IFERROR(INDEX('Paramètres'!$O:$O,MATCH($D3745,'Paramètres'!$M:$M,0))&amp;"",""))))</f>
        <v/>
      </c>
      <c r="N3745" s="6" t="str">
        <f>IF($D3745="","",IFERROR(INDEX('Paramètres'!$Q:$Q,MATCH($D3745,'Paramètres'!$M:$M,0))&amp;"",""))</f>
        <v/>
      </c>
      <c r="O3745" s="6" t="str">
        <f>IF($A3745="","",IF(OR($J3745&lt;&gt;"x",$A3745&lt;=FinReleve),1,0))</f>
        <v/>
      </c>
      <c r="P3745" s="6" t="str">
        <f>IF($D3745="","",IF(AND($L3745="Crédit",OR(IFERROR(INDEX('Paramètres'!$O:$O,MATCH($D3745,'Paramètres'!$M:$M,0))&amp;"","")&lt;&gt;"",ISNUMBER(SEARCH("remboursement",IFERROR(INDEX('Paramètres'!$N:$N,MATCH($D3745,'Paramètres'!$M:$M,0))&amp;"",""))))),1,0))</f>
        <v/>
      </c>
      <c r="Q3745" s="6" t="str">
        <f>IF($K3745="","",IF(ISNUMBER(SEARCH("transfert-interne",IFERROR(INDEX('Paramètres'!$N:$N,MATCH($D3745,'Paramètres'!$M:$M,0))&amp;"",""))),0,IF($L3745="Débit",$K3745,IF($P3745=1,-$K3745,0))))</f>
        <v/>
      </c>
      <c r="R3745" s="6" t="str">
        <f>IF($K3745="","",IF($L3745="Crédit",$K3745,-$K3745))</f>
        <v/>
      </c>
      <c r="S3745" s="6" t="str">
        <f>IF($C3745="","",IFERROR(INDEX('Paramètres'!$H:$H,MATCH($C3745,'Paramètres'!$D:$D,0))&amp;"",""))</f>
        <v/>
      </c>
      <c r="T3745" s="6" t="str">
        <f>IF($K3745="","",IF($S3745="",0,IF(ISNUMBER(SEARCH("apport-exterieur",IFERROR(INDEX('Paramètres'!$N:$N,MATCH($D3745,'Paramètres'!$M:$M,0))&amp;"",""))),0,IF(OR(IFERROR(INDEX('Paramètres'!$I:$I,MATCH($C3745,'Paramètres'!$D:$D,0))&amp;"","")="Les deux",IFERROR(INDEX('Paramètres'!$I:$I,MATCH($C3745,'Paramètres'!$D:$D,0))&amp;"","")=IF($P3745=1,"Débit",$L3745)),-IF($P3745=1,-$K3745,$K3745),0))))</f>
        <v/>
      </c>
      <c r="U3745" s="6" t="str">
        <f>IF($K3745="","",IF(ISNUMBER(SEARCH("sortie-epargne",IFERROR(INDEX('Paramètres'!$N:$N,MATCH($D3745,'Paramètres'!$M:$M,0))&amp;"",""))),$K3745,0))</f>
        <v/>
      </c>
      <c r="V3745" s="6" t="str">
        <f>IF(AND($A3745&lt;&gt;"",$O3745=1,$L3745="Débit",N($Q3745)&gt;0,$A3745&gt;=Visualisation!$B$1,$A3745&lt;Visualisation!$D$1),MAX($V$1:V3744)+1,"")</f>
        <v/>
      </c>
    </row>
    <row r="3746" spans="1:22" x14ac:dyDescent="0.25">
      <c r="A3746" s="9"/>
      <c r="E3746" s="10"/>
      <c r="K3746" s="11" t="str">
        <f>IF($E3746="","",ROUND($E3746*IF(ISNA(MATCH($C3746,'Paramètres'!$D:$D,0)),1,IF(INDEX('Paramètres'!$J:$J,MATCH($C3746,'Paramètres'!$D:$D,0))="",1,INDEX('Paramètres'!$J:$J,MATCH($C3746,'Paramètres'!$D:$D,0)))),2))</f>
        <v/>
      </c>
      <c r="L3746" s="6" t="str">
        <f>IF($D3746="","",IF($F3746&lt;&gt;"",$F3746,IF(ISNA(MATCH($D3746,'Paramètres'!$M:$M,0)),"⚠ Type inconnu",IFERROR(INDEX('Paramètres'!$P:$P,MATCH($D3746,'Paramètres'!$M:$M,0))&amp;"",""))))</f>
        <v/>
      </c>
      <c r="M3746" s="6" t="str">
        <f>IF($D3746="","",IF(ISNA(MATCH($D3746,'Paramètres'!$M:$M,0)),"⚠ Type inconnu",IF($L3746="Crédit","",IFERROR(INDEX('Paramètres'!$O:$O,MATCH($D3746,'Paramètres'!$M:$M,0))&amp;"",""))))</f>
        <v/>
      </c>
      <c r="N3746" s="6" t="str">
        <f>IF($D3746="","",IFERROR(INDEX('Paramètres'!$Q:$Q,MATCH($D3746,'Paramètres'!$M:$M,0))&amp;"",""))</f>
        <v/>
      </c>
      <c r="O3746" s="6" t="str">
        <f>IF($A3746="","",IF(OR($J3746&lt;&gt;"x",$A3746&lt;=FinReleve),1,0))</f>
        <v/>
      </c>
      <c r="P3746" s="6" t="str">
        <f>IF($D3746="","",IF(AND($L3746="Crédit",OR(IFERROR(INDEX('Paramètres'!$O:$O,MATCH($D3746,'Paramètres'!$M:$M,0))&amp;"","")&lt;&gt;"",ISNUMBER(SEARCH("remboursement",IFERROR(INDEX('Paramètres'!$N:$N,MATCH($D3746,'Paramètres'!$M:$M,0))&amp;"",""))))),1,0))</f>
        <v/>
      </c>
      <c r="Q3746" s="6" t="str">
        <f>IF($K3746="","",IF(ISNUMBER(SEARCH("transfert-interne",IFERROR(INDEX('Paramètres'!$N:$N,MATCH($D3746,'Paramètres'!$M:$M,0))&amp;"",""))),0,IF($L3746="Débit",$K3746,IF($P3746=1,-$K3746,0))))</f>
        <v/>
      </c>
      <c r="R3746" s="6" t="str">
        <f>IF($K3746="","",IF($L3746="Crédit",$K3746,-$K3746))</f>
        <v/>
      </c>
      <c r="S3746" s="6" t="str">
        <f>IF($C3746="","",IFERROR(INDEX('Paramètres'!$H:$H,MATCH($C3746,'Paramètres'!$D:$D,0))&amp;"",""))</f>
        <v/>
      </c>
      <c r="T3746" s="6" t="str">
        <f>IF($K3746="","",IF($S3746="",0,IF(ISNUMBER(SEARCH("apport-exterieur",IFERROR(INDEX('Paramètres'!$N:$N,MATCH($D3746,'Paramètres'!$M:$M,0))&amp;"",""))),0,IF(OR(IFERROR(INDEX('Paramètres'!$I:$I,MATCH($C3746,'Paramètres'!$D:$D,0))&amp;"","")="Les deux",IFERROR(INDEX('Paramètres'!$I:$I,MATCH($C3746,'Paramètres'!$D:$D,0))&amp;"","")=IF($P3746=1,"Débit",$L3746)),-IF($P3746=1,-$K3746,$K3746),0))))</f>
        <v/>
      </c>
      <c r="U3746" s="6" t="str">
        <f>IF($K3746="","",IF(ISNUMBER(SEARCH("sortie-epargne",IFERROR(INDEX('Paramètres'!$N:$N,MATCH($D3746,'Paramètres'!$M:$M,0))&amp;"",""))),$K3746,0))</f>
        <v/>
      </c>
      <c r="V3746" s="6" t="str">
        <f>IF(AND($A3746&lt;&gt;"",$O3746=1,$L3746="Débit",N($Q3746)&gt;0,$A3746&gt;=Visualisation!$B$1,$A3746&lt;Visualisation!$D$1),MAX($V$1:V3745)+1,"")</f>
        <v/>
      </c>
    </row>
    <row r="3747" spans="1:22" x14ac:dyDescent="0.25">
      <c r="A3747" s="9"/>
      <c r="E3747" s="10"/>
      <c r="K3747" s="11" t="str">
        <f>IF($E3747="","",ROUND($E3747*IF(ISNA(MATCH($C3747,'Paramètres'!$D:$D,0)),1,IF(INDEX('Paramètres'!$J:$J,MATCH($C3747,'Paramètres'!$D:$D,0))="",1,INDEX('Paramètres'!$J:$J,MATCH($C3747,'Paramètres'!$D:$D,0)))),2))</f>
        <v/>
      </c>
      <c r="L3747" s="6" t="str">
        <f>IF($D3747="","",IF($F3747&lt;&gt;"",$F3747,IF(ISNA(MATCH($D3747,'Paramètres'!$M:$M,0)),"⚠ Type inconnu",IFERROR(INDEX('Paramètres'!$P:$P,MATCH($D3747,'Paramètres'!$M:$M,0))&amp;"",""))))</f>
        <v/>
      </c>
      <c r="M3747" s="6" t="str">
        <f>IF($D3747="","",IF(ISNA(MATCH($D3747,'Paramètres'!$M:$M,0)),"⚠ Type inconnu",IF($L3747="Crédit","",IFERROR(INDEX('Paramètres'!$O:$O,MATCH($D3747,'Paramètres'!$M:$M,0))&amp;"",""))))</f>
        <v/>
      </c>
      <c r="N3747" s="6" t="str">
        <f>IF($D3747="","",IFERROR(INDEX('Paramètres'!$Q:$Q,MATCH($D3747,'Paramètres'!$M:$M,0))&amp;"",""))</f>
        <v/>
      </c>
      <c r="O3747" s="6" t="str">
        <f>IF($A3747="","",IF(OR($J3747&lt;&gt;"x",$A3747&lt;=FinReleve),1,0))</f>
        <v/>
      </c>
      <c r="P3747" s="6" t="str">
        <f>IF($D3747="","",IF(AND($L3747="Crédit",OR(IFERROR(INDEX('Paramètres'!$O:$O,MATCH($D3747,'Paramètres'!$M:$M,0))&amp;"","")&lt;&gt;"",ISNUMBER(SEARCH("remboursement",IFERROR(INDEX('Paramètres'!$N:$N,MATCH($D3747,'Paramètres'!$M:$M,0))&amp;"",""))))),1,0))</f>
        <v/>
      </c>
      <c r="Q3747" s="6" t="str">
        <f>IF($K3747="","",IF(ISNUMBER(SEARCH("transfert-interne",IFERROR(INDEX('Paramètres'!$N:$N,MATCH($D3747,'Paramètres'!$M:$M,0))&amp;"",""))),0,IF($L3747="Débit",$K3747,IF($P3747=1,-$K3747,0))))</f>
        <v/>
      </c>
      <c r="R3747" s="6" t="str">
        <f>IF($K3747="","",IF($L3747="Crédit",$K3747,-$K3747))</f>
        <v/>
      </c>
      <c r="S3747" s="6" t="str">
        <f>IF($C3747="","",IFERROR(INDEX('Paramètres'!$H:$H,MATCH($C3747,'Paramètres'!$D:$D,0))&amp;"",""))</f>
        <v/>
      </c>
      <c r="T3747" s="6" t="str">
        <f>IF($K3747="","",IF($S3747="",0,IF(ISNUMBER(SEARCH("apport-exterieur",IFERROR(INDEX('Paramètres'!$N:$N,MATCH($D3747,'Paramètres'!$M:$M,0))&amp;"",""))),0,IF(OR(IFERROR(INDEX('Paramètres'!$I:$I,MATCH($C3747,'Paramètres'!$D:$D,0))&amp;"","")="Les deux",IFERROR(INDEX('Paramètres'!$I:$I,MATCH($C3747,'Paramètres'!$D:$D,0))&amp;"","")=IF($P3747=1,"Débit",$L3747)),-IF($P3747=1,-$K3747,$K3747),0))))</f>
        <v/>
      </c>
      <c r="U3747" s="6" t="str">
        <f>IF($K3747="","",IF(ISNUMBER(SEARCH("sortie-epargne",IFERROR(INDEX('Paramètres'!$N:$N,MATCH($D3747,'Paramètres'!$M:$M,0))&amp;"",""))),$K3747,0))</f>
        <v/>
      </c>
      <c r="V3747" s="6" t="str">
        <f>IF(AND($A3747&lt;&gt;"",$O3747=1,$L3747="Débit",N($Q3747)&gt;0,$A3747&gt;=Visualisation!$B$1,$A3747&lt;Visualisation!$D$1),MAX($V$1:V3746)+1,"")</f>
        <v/>
      </c>
    </row>
    <row r="3748" spans="1:22" x14ac:dyDescent="0.25">
      <c r="A3748" s="9"/>
      <c r="E3748" s="10"/>
      <c r="K3748" s="11" t="str">
        <f>IF($E3748="","",ROUND($E3748*IF(ISNA(MATCH($C3748,'Paramètres'!$D:$D,0)),1,IF(INDEX('Paramètres'!$J:$J,MATCH($C3748,'Paramètres'!$D:$D,0))="",1,INDEX('Paramètres'!$J:$J,MATCH($C3748,'Paramètres'!$D:$D,0)))),2))</f>
        <v/>
      </c>
      <c r="L3748" s="6" t="str">
        <f>IF($D3748="","",IF($F3748&lt;&gt;"",$F3748,IF(ISNA(MATCH($D3748,'Paramètres'!$M:$M,0)),"⚠ Type inconnu",IFERROR(INDEX('Paramètres'!$P:$P,MATCH($D3748,'Paramètres'!$M:$M,0))&amp;"",""))))</f>
        <v/>
      </c>
      <c r="M3748" s="6" t="str">
        <f>IF($D3748="","",IF(ISNA(MATCH($D3748,'Paramètres'!$M:$M,0)),"⚠ Type inconnu",IF($L3748="Crédit","",IFERROR(INDEX('Paramètres'!$O:$O,MATCH($D3748,'Paramètres'!$M:$M,0))&amp;"",""))))</f>
        <v/>
      </c>
      <c r="N3748" s="6" t="str">
        <f>IF($D3748="","",IFERROR(INDEX('Paramètres'!$Q:$Q,MATCH($D3748,'Paramètres'!$M:$M,0))&amp;"",""))</f>
        <v/>
      </c>
      <c r="O3748" s="6" t="str">
        <f>IF($A3748="","",IF(OR($J3748&lt;&gt;"x",$A3748&lt;=FinReleve),1,0))</f>
        <v/>
      </c>
      <c r="P3748" s="6" t="str">
        <f>IF($D3748="","",IF(AND($L3748="Crédit",OR(IFERROR(INDEX('Paramètres'!$O:$O,MATCH($D3748,'Paramètres'!$M:$M,0))&amp;"","")&lt;&gt;"",ISNUMBER(SEARCH("remboursement",IFERROR(INDEX('Paramètres'!$N:$N,MATCH($D3748,'Paramètres'!$M:$M,0))&amp;"",""))))),1,0))</f>
        <v/>
      </c>
      <c r="Q3748" s="6" t="str">
        <f>IF($K3748="","",IF(ISNUMBER(SEARCH("transfert-interne",IFERROR(INDEX('Paramètres'!$N:$N,MATCH($D3748,'Paramètres'!$M:$M,0))&amp;"",""))),0,IF($L3748="Débit",$K3748,IF($P3748=1,-$K3748,0))))</f>
        <v/>
      </c>
      <c r="R3748" s="6" t="str">
        <f>IF($K3748="","",IF($L3748="Crédit",$K3748,-$K3748))</f>
        <v/>
      </c>
      <c r="S3748" s="6" t="str">
        <f>IF($C3748="","",IFERROR(INDEX('Paramètres'!$H:$H,MATCH($C3748,'Paramètres'!$D:$D,0))&amp;"",""))</f>
        <v/>
      </c>
      <c r="T3748" s="6" t="str">
        <f>IF($K3748="","",IF($S3748="",0,IF(ISNUMBER(SEARCH("apport-exterieur",IFERROR(INDEX('Paramètres'!$N:$N,MATCH($D3748,'Paramètres'!$M:$M,0))&amp;"",""))),0,IF(OR(IFERROR(INDEX('Paramètres'!$I:$I,MATCH($C3748,'Paramètres'!$D:$D,0))&amp;"","")="Les deux",IFERROR(INDEX('Paramètres'!$I:$I,MATCH($C3748,'Paramètres'!$D:$D,0))&amp;"","")=IF($P3748=1,"Débit",$L3748)),-IF($P3748=1,-$K3748,$K3748),0))))</f>
        <v/>
      </c>
      <c r="U3748" s="6" t="str">
        <f>IF($K3748="","",IF(ISNUMBER(SEARCH("sortie-epargne",IFERROR(INDEX('Paramètres'!$N:$N,MATCH($D3748,'Paramètres'!$M:$M,0))&amp;"",""))),$K3748,0))</f>
        <v/>
      </c>
      <c r="V3748" s="6" t="str">
        <f>IF(AND($A3748&lt;&gt;"",$O3748=1,$L3748="Débit",N($Q3748)&gt;0,$A3748&gt;=Visualisation!$B$1,$A3748&lt;Visualisation!$D$1),MAX($V$1:V3747)+1,"")</f>
        <v/>
      </c>
    </row>
    <row r="3749" spans="1:22" x14ac:dyDescent="0.25">
      <c r="A3749" s="9"/>
      <c r="E3749" s="10"/>
      <c r="K3749" s="11" t="str">
        <f>IF($E3749="","",ROUND($E3749*IF(ISNA(MATCH($C3749,'Paramètres'!$D:$D,0)),1,IF(INDEX('Paramètres'!$J:$J,MATCH($C3749,'Paramètres'!$D:$D,0))="",1,INDEX('Paramètres'!$J:$J,MATCH($C3749,'Paramètres'!$D:$D,0)))),2))</f>
        <v/>
      </c>
      <c r="L3749" s="6" t="str">
        <f>IF($D3749="","",IF($F3749&lt;&gt;"",$F3749,IF(ISNA(MATCH($D3749,'Paramètres'!$M:$M,0)),"⚠ Type inconnu",IFERROR(INDEX('Paramètres'!$P:$P,MATCH($D3749,'Paramètres'!$M:$M,0))&amp;"",""))))</f>
        <v/>
      </c>
      <c r="M3749" s="6" t="str">
        <f>IF($D3749="","",IF(ISNA(MATCH($D3749,'Paramètres'!$M:$M,0)),"⚠ Type inconnu",IF($L3749="Crédit","",IFERROR(INDEX('Paramètres'!$O:$O,MATCH($D3749,'Paramètres'!$M:$M,0))&amp;"",""))))</f>
        <v/>
      </c>
      <c r="N3749" s="6" t="str">
        <f>IF($D3749="","",IFERROR(INDEX('Paramètres'!$Q:$Q,MATCH($D3749,'Paramètres'!$M:$M,0))&amp;"",""))</f>
        <v/>
      </c>
      <c r="O3749" s="6" t="str">
        <f>IF($A3749="","",IF(OR($J3749&lt;&gt;"x",$A3749&lt;=FinReleve),1,0))</f>
        <v/>
      </c>
      <c r="P3749" s="6" t="str">
        <f>IF($D3749="","",IF(AND($L3749="Crédit",OR(IFERROR(INDEX('Paramètres'!$O:$O,MATCH($D3749,'Paramètres'!$M:$M,0))&amp;"","")&lt;&gt;"",ISNUMBER(SEARCH("remboursement",IFERROR(INDEX('Paramètres'!$N:$N,MATCH($D3749,'Paramètres'!$M:$M,0))&amp;"",""))))),1,0))</f>
        <v/>
      </c>
      <c r="Q3749" s="6" t="str">
        <f>IF($K3749="","",IF(ISNUMBER(SEARCH("transfert-interne",IFERROR(INDEX('Paramètres'!$N:$N,MATCH($D3749,'Paramètres'!$M:$M,0))&amp;"",""))),0,IF($L3749="Débit",$K3749,IF($P3749=1,-$K3749,0))))</f>
        <v/>
      </c>
      <c r="R3749" s="6" t="str">
        <f>IF($K3749="","",IF($L3749="Crédit",$K3749,-$K3749))</f>
        <v/>
      </c>
      <c r="S3749" s="6" t="str">
        <f>IF($C3749="","",IFERROR(INDEX('Paramètres'!$H:$H,MATCH($C3749,'Paramètres'!$D:$D,0))&amp;"",""))</f>
        <v/>
      </c>
      <c r="T3749" s="6" t="str">
        <f>IF($K3749="","",IF($S3749="",0,IF(ISNUMBER(SEARCH("apport-exterieur",IFERROR(INDEX('Paramètres'!$N:$N,MATCH($D3749,'Paramètres'!$M:$M,0))&amp;"",""))),0,IF(OR(IFERROR(INDEX('Paramètres'!$I:$I,MATCH($C3749,'Paramètres'!$D:$D,0))&amp;"","")="Les deux",IFERROR(INDEX('Paramètres'!$I:$I,MATCH($C3749,'Paramètres'!$D:$D,0))&amp;"","")=IF($P3749=1,"Débit",$L3749)),-IF($P3749=1,-$K3749,$K3749),0))))</f>
        <v/>
      </c>
      <c r="U3749" s="6" t="str">
        <f>IF($K3749="","",IF(ISNUMBER(SEARCH("sortie-epargne",IFERROR(INDEX('Paramètres'!$N:$N,MATCH($D3749,'Paramètres'!$M:$M,0))&amp;"",""))),$K3749,0))</f>
        <v/>
      </c>
      <c r="V3749" s="6" t="str">
        <f>IF(AND($A3749&lt;&gt;"",$O3749=1,$L3749="Débit",N($Q3749)&gt;0,$A3749&gt;=Visualisation!$B$1,$A3749&lt;Visualisation!$D$1),MAX($V$1:V3748)+1,"")</f>
        <v/>
      </c>
    </row>
    <row r="3750" spans="1:22" x14ac:dyDescent="0.25">
      <c r="A3750" s="9"/>
      <c r="E3750" s="10"/>
      <c r="K3750" s="11" t="str">
        <f>IF($E3750="","",ROUND($E3750*IF(ISNA(MATCH($C3750,'Paramètres'!$D:$D,0)),1,IF(INDEX('Paramètres'!$J:$J,MATCH($C3750,'Paramètres'!$D:$D,0))="",1,INDEX('Paramètres'!$J:$J,MATCH($C3750,'Paramètres'!$D:$D,0)))),2))</f>
        <v/>
      </c>
      <c r="L3750" s="6" t="str">
        <f>IF($D3750="","",IF($F3750&lt;&gt;"",$F3750,IF(ISNA(MATCH($D3750,'Paramètres'!$M:$M,0)),"⚠ Type inconnu",IFERROR(INDEX('Paramètres'!$P:$P,MATCH($D3750,'Paramètres'!$M:$M,0))&amp;"",""))))</f>
        <v/>
      </c>
      <c r="M3750" s="6" t="str">
        <f>IF($D3750="","",IF(ISNA(MATCH($D3750,'Paramètres'!$M:$M,0)),"⚠ Type inconnu",IF($L3750="Crédit","",IFERROR(INDEX('Paramètres'!$O:$O,MATCH($D3750,'Paramètres'!$M:$M,0))&amp;"",""))))</f>
        <v/>
      </c>
      <c r="N3750" s="6" t="str">
        <f>IF($D3750="","",IFERROR(INDEX('Paramètres'!$Q:$Q,MATCH($D3750,'Paramètres'!$M:$M,0))&amp;"",""))</f>
        <v/>
      </c>
      <c r="O3750" s="6" t="str">
        <f>IF($A3750="","",IF(OR($J3750&lt;&gt;"x",$A3750&lt;=FinReleve),1,0))</f>
        <v/>
      </c>
      <c r="P3750" s="6" t="str">
        <f>IF($D3750="","",IF(AND($L3750="Crédit",OR(IFERROR(INDEX('Paramètres'!$O:$O,MATCH($D3750,'Paramètres'!$M:$M,0))&amp;"","")&lt;&gt;"",ISNUMBER(SEARCH("remboursement",IFERROR(INDEX('Paramètres'!$N:$N,MATCH($D3750,'Paramètres'!$M:$M,0))&amp;"",""))))),1,0))</f>
        <v/>
      </c>
      <c r="Q3750" s="6" t="str">
        <f>IF($K3750="","",IF(ISNUMBER(SEARCH("transfert-interne",IFERROR(INDEX('Paramètres'!$N:$N,MATCH($D3750,'Paramètres'!$M:$M,0))&amp;"",""))),0,IF($L3750="Débit",$K3750,IF($P3750=1,-$K3750,0))))</f>
        <v/>
      </c>
      <c r="R3750" s="6" t="str">
        <f>IF($K3750="","",IF($L3750="Crédit",$K3750,-$K3750))</f>
        <v/>
      </c>
      <c r="S3750" s="6" t="str">
        <f>IF($C3750="","",IFERROR(INDEX('Paramètres'!$H:$H,MATCH($C3750,'Paramètres'!$D:$D,0))&amp;"",""))</f>
        <v/>
      </c>
      <c r="T3750" s="6" t="str">
        <f>IF($K3750="","",IF($S3750="",0,IF(ISNUMBER(SEARCH("apport-exterieur",IFERROR(INDEX('Paramètres'!$N:$N,MATCH($D3750,'Paramètres'!$M:$M,0))&amp;"",""))),0,IF(OR(IFERROR(INDEX('Paramètres'!$I:$I,MATCH($C3750,'Paramètres'!$D:$D,0))&amp;"","")="Les deux",IFERROR(INDEX('Paramètres'!$I:$I,MATCH($C3750,'Paramètres'!$D:$D,0))&amp;"","")=IF($P3750=1,"Débit",$L3750)),-IF($P3750=1,-$K3750,$K3750),0))))</f>
        <v/>
      </c>
      <c r="U3750" s="6" t="str">
        <f>IF($K3750="","",IF(ISNUMBER(SEARCH("sortie-epargne",IFERROR(INDEX('Paramètres'!$N:$N,MATCH($D3750,'Paramètres'!$M:$M,0))&amp;"",""))),$K3750,0))</f>
        <v/>
      </c>
      <c r="V3750" s="6" t="str">
        <f>IF(AND($A3750&lt;&gt;"",$O3750=1,$L3750="Débit",N($Q3750)&gt;0,$A3750&gt;=Visualisation!$B$1,$A3750&lt;Visualisation!$D$1),MAX($V$1:V3749)+1,"")</f>
        <v/>
      </c>
    </row>
    <row r="3751" spans="1:22" x14ac:dyDescent="0.25">
      <c r="A3751" s="9"/>
      <c r="E3751" s="10"/>
      <c r="K3751" s="11" t="str">
        <f>IF($E3751="","",ROUND($E3751*IF(ISNA(MATCH($C3751,'Paramètres'!$D:$D,0)),1,IF(INDEX('Paramètres'!$J:$J,MATCH($C3751,'Paramètres'!$D:$D,0))="",1,INDEX('Paramètres'!$J:$J,MATCH($C3751,'Paramètres'!$D:$D,0)))),2))</f>
        <v/>
      </c>
      <c r="L3751" s="6" t="str">
        <f>IF($D3751="","",IF($F3751&lt;&gt;"",$F3751,IF(ISNA(MATCH($D3751,'Paramètres'!$M:$M,0)),"⚠ Type inconnu",IFERROR(INDEX('Paramètres'!$P:$P,MATCH($D3751,'Paramètres'!$M:$M,0))&amp;"",""))))</f>
        <v/>
      </c>
      <c r="M3751" s="6" t="str">
        <f>IF($D3751="","",IF(ISNA(MATCH($D3751,'Paramètres'!$M:$M,0)),"⚠ Type inconnu",IF($L3751="Crédit","",IFERROR(INDEX('Paramètres'!$O:$O,MATCH($D3751,'Paramètres'!$M:$M,0))&amp;"",""))))</f>
        <v/>
      </c>
      <c r="N3751" s="6" t="str">
        <f>IF($D3751="","",IFERROR(INDEX('Paramètres'!$Q:$Q,MATCH($D3751,'Paramètres'!$M:$M,0))&amp;"",""))</f>
        <v/>
      </c>
      <c r="O3751" s="6" t="str">
        <f>IF($A3751="","",IF(OR($J3751&lt;&gt;"x",$A3751&lt;=FinReleve),1,0))</f>
        <v/>
      </c>
      <c r="P3751" s="6" t="str">
        <f>IF($D3751="","",IF(AND($L3751="Crédit",OR(IFERROR(INDEX('Paramètres'!$O:$O,MATCH($D3751,'Paramètres'!$M:$M,0))&amp;"","")&lt;&gt;"",ISNUMBER(SEARCH("remboursement",IFERROR(INDEX('Paramètres'!$N:$N,MATCH($D3751,'Paramètres'!$M:$M,0))&amp;"",""))))),1,0))</f>
        <v/>
      </c>
      <c r="Q3751" s="6" t="str">
        <f>IF($K3751="","",IF(ISNUMBER(SEARCH("transfert-interne",IFERROR(INDEX('Paramètres'!$N:$N,MATCH($D3751,'Paramètres'!$M:$M,0))&amp;"",""))),0,IF($L3751="Débit",$K3751,IF($P3751=1,-$K3751,0))))</f>
        <v/>
      </c>
      <c r="R3751" s="6" t="str">
        <f>IF($K3751="","",IF($L3751="Crédit",$K3751,-$K3751))</f>
        <v/>
      </c>
      <c r="S3751" s="6" t="str">
        <f>IF($C3751="","",IFERROR(INDEX('Paramètres'!$H:$H,MATCH($C3751,'Paramètres'!$D:$D,0))&amp;"",""))</f>
        <v/>
      </c>
      <c r="T3751" s="6" t="str">
        <f>IF($K3751="","",IF($S3751="",0,IF(ISNUMBER(SEARCH("apport-exterieur",IFERROR(INDEX('Paramètres'!$N:$N,MATCH($D3751,'Paramètres'!$M:$M,0))&amp;"",""))),0,IF(OR(IFERROR(INDEX('Paramètres'!$I:$I,MATCH($C3751,'Paramètres'!$D:$D,0))&amp;"","")="Les deux",IFERROR(INDEX('Paramètres'!$I:$I,MATCH($C3751,'Paramètres'!$D:$D,0))&amp;"","")=IF($P3751=1,"Débit",$L3751)),-IF($P3751=1,-$K3751,$K3751),0))))</f>
        <v/>
      </c>
      <c r="U3751" s="6" t="str">
        <f>IF($K3751="","",IF(ISNUMBER(SEARCH("sortie-epargne",IFERROR(INDEX('Paramètres'!$N:$N,MATCH($D3751,'Paramètres'!$M:$M,0))&amp;"",""))),$K3751,0))</f>
        <v/>
      </c>
      <c r="V3751" s="6" t="str">
        <f>IF(AND($A3751&lt;&gt;"",$O3751=1,$L3751="Débit",N($Q3751)&gt;0,$A3751&gt;=Visualisation!$B$1,$A3751&lt;Visualisation!$D$1),MAX($V$1:V3750)+1,"")</f>
        <v/>
      </c>
    </row>
    <row r="3752" spans="1:22" x14ac:dyDescent="0.25">
      <c r="A3752" s="9"/>
      <c r="E3752" s="10"/>
      <c r="K3752" s="11" t="str">
        <f>IF($E3752="","",ROUND($E3752*IF(ISNA(MATCH($C3752,'Paramètres'!$D:$D,0)),1,IF(INDEX('Paramètres'!$J:$J,MATCH($C3752,'Paramètres'!$D:$D,0))="",1,INDEX('Paramètres'!$J:$J,MATCH($C3752,'Paramètres'!$D:$D,0)))),2))</f>
        <v/>
      </c>
      <c r="L3752" s="6" t="str">
        <f>IF($D3752="","",IF($F3752&lt;&gt;"",$F3752,IF(ISNA(MATCH($D3752,'Paramètres'!$M:$M,0)),"⚠ Type inconnu",IFERROR(INDEX('Paramètres'!$P:$P,MATCH($D3752,'Paramètres'!$M:$M,0))&amp;"",""))))</f>
        <v/>
      </c>
      <c r="M3752" s="6" t="str">
        <f>IF($D3752="","",IF(ISNA(MATCH($D3752,'Paramètres'!$M:$M,0)),"⚠ Type inconnu",IF($L3752="Crédit","",IFERROR(INDEX('Paramètres'!$O:$O,MATCH($D3752,'Paramètres'!$M:$M,0))&amp;"",""))))</f>
        <v/>
      </c>
      <c r="N3752" s="6" t="str">
        <f>IF($D3752="","",IFERROR(INDEX('Paramètres'!$Q:$Q,MATCH($D3752,'Paramètres'!$M:$M,0))&amp;"",""))</f>
        <v/>
      </c>
      <c r="O3752" s="6" t="str">
        <f>IF($A3752="","",IF(OR($J3752&lt;&gt;"x",$A3752&lt;=FinReleve),1,0))</f>
        <v/>
      </c>
      <c r="P3752" s="6" t="str">
        <f>IF($D3752="","",IF(AND($L3752="Crédit",OR(IFERROR(INDEX('Paramètres'!$O:$O,MATCH($D3752,'Paramètres'!$M:$M,0))&amp;"","")&lt;&gt;"",ISNUMBER(SEARCH("remboursement",IFERROR(INDEX('Paramètres'!$N:$N,MATCH($D3752,'Paramètres'!$M:$M,0))&amp;"",""))))),1,0))</f>
        <v/>
      </c>
      <c r="Q3752" s="6" t="str">
        <f>IF($K3752="","",IF(ISNUMBER(SEARCH("transfert-interne",IFERROR(INDEX('Paramètres'!$N:$N,MATCH($D3752,'Paramètres'!$M:$M,0))&amp;"",""))),0,IF($L3752="Débit",$K3752,IF($P3752=1,-$K3752,0))))</f>
        <v/>
      </c>
      <c r="R3752" s="6" t="str">
        <f>IF($K3752="","",IF($L3752="Crédit",$K3752,-$K3752))</f>
        <v/>
      </c>
      <c r="S3752" s="6" t="str">
        <f>IF($C3752="","",IFERROR(INDEX('Paramètres'!$H:$H,MATCH($C3752,'Paramètres'!$D:$D,0))&amp;"",""))</f>
        <v/>
      </c>
      <c r="T3752" s="6" t="str">
        <f>IF($K3752="","",IF($S3752="",0,IF(ISNUMBER(SEARCH("apport-exterieur",IFERROR(INDEX('Paramètres'!$N:$N,MATCH($D3752,'Paramètres'!$M:$M,0))&amp;"",""))),0,IF(OR(IFERROR(INDEX('Paramètres'!$I:$I,MATCH($C3752,'Paramètres'!$D:$D,0))&amp;"","")="Les deux",IFERROR(INDEX('Paramètres'!$I:$I,MATCH($C3752,'Paramètres'!$D:$D,0))&amp;"","")=IF($P3752=1,"Débit",$L3752)),-IF($P3752=1,-$K3752,$K3752),0))))</f>
        <v/>
      </c>
      <c r="U3752" s="6" t="str">
        <f>IF($K3752="","",IF(ISNUMBER(SEARCH("sortie-epargne",IFERROR(INDEX('Paramètres'!$N:$N,MATCH($D3752,'Paramètres'!$M:$M,0))&amp;"",""))),$K3752,0))</f>
        <v/>
      </c>
      <c r="V3752" s="6" t="str">
        <f>IF(AND($A3752&lt;&gt;"",$O3752=1,$L3752="Débit",N($Q3752)&gt;0,$A3752&gt;=Visualisation!$B$1,$A3752&lt;Visualisation!$D$1),MAX($V$1:V3751)+1,"")</f>
        <v/>
      </c>
    </row>
    <row r="3753" spans="1:22" x14ac:dyDescent="0.25">
      <c r="A3753" s="9"/>
      <c r="E3753" s="10"/>
      <c r="K3753" s="11" t="str">
        <f>IF($E3753="","",ROUND($E3753*IF(ISNA(MATCH($C3753,'Paramètres'!$D:$D,0)),1,IF(INDEX('Paramètres'!$J:$J,MATCH($C3753,'Paramètres'!$D:$D,0))="",1,INDEX('Paramètres'!$J:$J,MATCH($C3753,'Paramètres'!$D:$D,0)))),2))</f>
        <v/>
      </c>
      <c r="L3753" s="6" t="str">
        <f>IF($D3753="","",IF($F3753&lt;&gt;"",$F3753,IF(ISNA(MATCH($D3753,'Paramètres'!$M:$M,0)),"⚠ Type inconnu",IFERROR(INDEX('Paramètres'!$P:$P,MATCH($D3753,'Paramètres'!$M:$M,0))&amp;"",""))))</f>
        <v/>
      </c>
      <c r="M3753" s="6" t="str">
        <f>IF($D3753="","",IF(ISNA(MATCH($D3753,'Paramètres'!$M:$M,0)),"⚠ Type inconnu",IF($L3753="Crédit","",IFERROR(INDEX('Paramètres'!$O:$O,MATCH($D3753,'Paramètres'!$M:$M,0))&amp;"",""))))</f>
        <v/>
      </c>
      <c r="N3753" s="6" t="str">
        <f>IF($D3753="","",IFERROR(INDEX('Paramètres'!$Q:$Q,MATCH($D3753,'Paramètres'!$M:$M,0))&amp;"",""))</f>
        <v/>
      </c>
      <c r="O3753" s="6" t="str">
        <f>IF($A3753="","",IF(OR($J3753&lt;&gt;"x",$A3753&lt;=FinReleve),1,0))</f>
        <v/>
      </c>
      <c r="P3753" s="6" t="str">
        <f>IF($D3753="","",IF(AND($L3753="Crédit",OR(IFERROR(INDEX('Paramètres'!$O:$O,MATCH($D3753,'Paramètres'!$M:$M,0))&amp;"","")&lt;&gt;"",ISNUMBER(SEARCH("remboursement",IFERROR(INDEX('Paramètres'!$N:$N,MATCH($D3753,'Paramètres'!$M:$M,0))&amp;"",""))))),1,0))</f>
        <v/>
      </c>
      <c r="Q3753" s="6" t="str">
        <f>IF($K3753="","",IF(ISNUMBER(SEARCH("transfert-interne",IFERROR(INDEX('Paramètres'!$N:$N,MATCH($D3753,'Paramètres'!$M:$M,0))&amp;"",""))),0,IF($L3753="Débit",$K3753,IF($P3753=1,-$K3753,0))))</f>
        <v/>
      </c>
      <c r="R3753" s="6" t="str">
        <f>IF($K3753="","",IF($L3753="Crédit",$K3753,-$K3753))</f>
        <v/>
      </c>
      <c r="S3753" s="6" t="str">
        <f>IF($C3753="","",IFERROR(INDEX('Paramètres'!$H:$H,MATCH($C3753,'Paramètres'!$D:$D,0))&amp;"",""))</f>
        <v/>
      </c>
      <c r="T3753" s="6" t="str">
        <f>IF($K3753="","",IF($S3753="",0,IF(ISNUMBER(SEARCH("apport-exterieur",IFERROR(INDEX('Paramètres'!$N:$N,MATCH($D3753,'Paramètres'!$M:$M,0))&amp;"",""))),0,IF(OR(IFERROR(INDEX('Paramètres'!$I:$I,MATCH($C3753,'Paramètres'!$D:$D,0))&amp;"","")="Les deux",IFERROR(INDEX('Paramètres'!$I:$I,MATCH($C3753,'Paramètres'!$D:$D,0))&amp;"","")=IF($P3753=1,"Débit",$L3753)),-IF($P3753=1,-$K3753,$K3753),0))))</f>
        <v/>
      </c>
      <c r="U3753" s="6" t="str">
        <f>IF($K3753="","",IF(ISNUMBER(SEARCH("sortie-epargne",IFERROR(INDEX('Paramètres'!$N:$N,MATCH($D3753,'Paramètres'!$M:$M,0))&amp;"",""))),$K3753,0))</f>
        <v/>
      </c>
      <c r="V3753" s="6" t="str">
        <f>IF(AND($A3753&lt;&gt;"",$O3753=1,$L3753="Débit",N($Q3753)&gt;0,$A3753&gt;=Visualisation!$B$1,$A3753&lt;Visualisation!$D$1),MAX($V$1:V3752)+1,"")</f>
        <v/>
      </c>
    </row>
    <row r="3754" spans="1:22" x14ac:dyDescent="0.25">
      <c r="A3754" s="9"/>
      <c r="E3754" s="10"/>
      <c r="K3754" s="11" t="str">
        <f>IF($E3754="","",ROUND($E3754*IF(ISNA(MATCH($C3754,'Paramètres'!$D:$D,0)),1,IF(INDEX('Paramètres'!$J:$J,MATCH($C3754,'Paramètres'!$D:$D,0))="",1,INDEX('Paramètres'!$J:$J,MATCH($C3754,'Paramètres'!$D:$D,0)))),2))</f>
        <v/>
      </c>
      <c r="L3754" s="6" t="str">
        <f>IF($D3754="","",IF($F3754&lt;&gt;"",$F3754,IF(ISNA(MATCH($D3754,'Paramètres'!$M:$M,0)),"⚠ Type inconnu",IFERROR(INDEX('Paramètres'!$P:$P,MATCH($D3754,'Paramètres'!$M:$M,0))&amp;"",""))))</f>
        <v/>
      </c>
      <c r="M3754" s="6" t="str">
        <f>IF($D3754="","",IF(ISNA(MATCH($D3754,'Paramètres'!$M:$M,0)),"⚠ Type inconnu",IF($L3754="Crédit","",IFERROR(INDEX('Paramètres'!$O:$O,MATCH($D3754,'Paramètres'!$M:$M,0))&amp;"",""))))</f>
        <v/>
      </c>
      <c r="N3754" s="6" t="str">
        <f>IF($D3754="","",IFERROR(INDEX('Paramètres'!$Q:$Q,MATCH($D3754,'Paramètres'!$M:$M,0))&amp;"",""))</f>
        <v/>
      </c>
      <c r="O3754" s="6" t="str">
        <f>IF($A3754="","",IF(OR($J3754&lt;&gt;"x",$A3754&lt;=FinReleve),1,0))</f>
        <v/>
      </c>
      <c r="P3754" s="6" t="str">
        <f>IF($D3754="","",IF(AND($L3754="Crédit",OR(IFERROR(INDEX('Paramètres'!$O:$O,MATCH($D3754,'Paramètres'!$M:$M,0))&amp;"","")&lt;&gt;"",ISNUMBER(SEARCH("remboursement",IFERROR(INDEX('Paramètres'!$N:$N,MATCH($D3754,'Paramètres'!$M:$M,0))&amp;"",""))))),1,0))</f>
        <v/>
      </c>
      <c r="Q3754" s="6" t="str">
        <f>IF($K3754="","",IF(ISNUMBER(SEARCH("transfert-interne",IFERROR(INDEX('Paramètres'!$N:$N,MATCH($D3754,'Paramètres'!$M:$M,0))&amp;"",""))),0,IF($L3754="Débit",$K3754,IF($P3754=1,-$K3754,0))))</f>
        <v/>
      </c>
      <c r="R3754" s="6" t="str">
        <f>IF($K3754="","",IF($L3754="Crédit",$K3754,-$K3754))</f>
        <v/>
      </c>
      <c r="S3754" s="6" t="str">
        <f>IF($C3754="","",IFERROR(INDEX('Paramètres'!$H:$H,MATCH($C3754,'Paramètres'!$D:$D,0))&amp;"",""))</f>
        <v/>
      </c>
      <c r="T3754" s="6" t="str">
        <f>IF($K3754="","",IF($S3754="",0,IF(ISNUMBER(SEARCH("apport-exterieur",IFERROR(INDEX('Paramètres'!$N:$N,MATCH($D3754,'Paramètres'!$M:$M,0))&amp;"",""))),0,IF(OR(IFERROR(INDEX('Paramètres'!$I:$I,MATCH($C3754,'Paramètres'!$D:$D,0))&amp;"","")="Les deux",IFERROR(INDEX('Paramètres'!$I:$I,MATCH($C3754,'Paramètres'!$D:$D,0))&amp;"","")=IF($P3754=1,"Débit",$L3754)),-IF($P3754=1,-$K3754,$K3754),0))))</f>
        <v/>
      </c>
      <c r="U3754" s="6" t="str">
        <f>IF($K3754="","",IF(ISNUMBER(SEARCH("sortie-epargne",IFERROR(INDEX('Paramètres'!$N:$N,MATCH($D3754,'Paramètres'!$M:$M,0))&amp;"",""))),$K3754,0))</f>
        <v/>
      </c>
      <c r="V3754" s="6" t="str">
        <f>IF(AND($A3754&lt;&gt;"",$O3754=1,$L3754="Débit",N($Q3754)&gt;0,$A3754&gt;=Visualisation!$B$1,$A3754&lt;Visualisation!$D$1),MAX($V$1:V3753)+1,"")</f>
        <v/>
      </c>
    </row>
    <row r="3755" spans="1:22" x14ac:dyDescent="0.25">
      <c r="A3755" s="9"/>
      <c r="E3755" s="10"/>
      <c r="K3755" s="11" t="str">
        <f>IF($E3755="","",ROUND($E3755*IF(ISNA(MATCH($C3755,'Paramètres'!$D:$D,0)),1,IF(INDEX('Paramètres'!$J:$J,MATCH($C3755,'Paramètres'!$D:$D,0))="",1,INDEX('Paramètres'!$J:$J,MATCH($C3755,'Paramètres'!$D:$D,0)))),2))</f>
        <v/>
      </c>
      <c r="L3755" s="6" t="str">
        <f>IF($D3755="","",IF($F3755&lt;&gt;"",$F3755,IF(ISNA(MATCH($D3755,'Paramètres'!$M:$M,0)),"⚠ Type inconnu",IFERROR(INDEX('Paramètres'!$P:$P,MATCH($D3755,'Paramètres'!$M:$M,0))&amp;"",""))))</f>
        <v/>
      </c>
      <c r="M3755" s="6" t="str">
        <f>IF($D3755="","",IF(ISNA(MATCH($D3755,'Paramètres'!$M:$M,0)),"⚠ Type inconnu",IF($L3755="Crédit","",IFERROR(INDEX('Paramètres'!$O:$O,MATCH($D3755,'Paramètres'!$M:$M,0))&amp;"",""))))</f>
        <v/>
      </c>
      <c r="N3755" s="6" t="str">
        <f>IF($D3755="","",IFERROR(INDEX('Paramètres'!$Q:$Q,MATCH($D3755,'Paramètres'!$M:$M,0))&amp;"",""))</f>
        <v/>
      </c>
      <c r="O3755" s="6" t="str">
        <f>IF($A3755="","",IF(OR($J3755&lt;&gt;"x",$A3755&lt;=FinReleve),1,0))</f>
        <v/>
      </c>
      <c r="P3755" s="6" t="str">
        <f>IF($D3755="","",IF(AND($L3755="Crédit",OR(IFERROR(INDEX('Paramètres'!$O:$O,MATCH($D3755,'Paramètres'!$M:$M,0))&amp;"","")&lt;&gt;"",ISNUMBER(SEARCH("remboursement",IFERROR(INDEX('Paramètres'!$N:$N,MATCH($D3755,'Paramètres'!$M:$M,0))&amp;"",""))))),1,0))</f>
        <v/>
      </c>
      <c r="Q3755" s="6" t="str">
        <f>IF($K3755="","",IF(ISNUMBER(SEARCH("transfert-interne",IFERROR(INDEX('Paramètres'!$N:$N,MATCH($D3755,'Paramètres'!$M:$M,0))&amp;"",""))),0,IF($L3755="Débit",$K3755,IF($P3755=1,-$K3755,0))))</f>
        <v/>
      </c>
      <c r="R3755" s="6" t="str">
        <f>IF($K3755="","",IF($L3755="Crédit",$K3755,-$K3755))</f>
        <v/>
      </c>
      <c r="S3755" s="6" t="str">
        <f>IF($C3755="","",IFERROR(INDEX('Paramètres'!$H:$H,MATCH($C3755,'Paramètres'!$D:$D,0))&amp;"",""))</f>
        <v/>
      </c>
      <c r="T3755" s="6" t="str">
        <f>IF($K3755="","",IF($S3755="",0,IF(ISNUMBER(SEARCH("apport-exterieur",IFERROR(INDEX('Paramètres'!$N:$N,MATCH($D3755,'Paramètres'!$M:$M,0))&amp;"",""))),0,IF(OR(IFERROR(INDEX('Paramètres'!$I:$I,MATCH($C3755,'Paramètres'!$D:$D,0))&amp;"","")="Les deux",IFERROR(INDEX('Paramètres'!$I:$I,MATCH($C3755,'Paramètres'!$D:$D,0))&amp;"","")=IF($P3755=1,"Débit",$L3755)),-IF($P3755=1,-$K3755,$K3755),0))))</f>
        <v/>
      </c>
      <c r="U3755" s="6" t="str">
        <f>IF($K3755="","",IF(ISNUMBER(SEARCH("sortie-epargne",IFERROR(INDEX('Paramètres'!$N:$N,MATCH($D3755,'Paramètres'!$M:$M,0))&amp;"",""))),$K3755,0))</f>
        <v/>
      </c>
      <c r="V3755" s="6" t="str">
        <f>IF(AND($A3755&lt;&gt;"",$O3755=1,$L3755="Débit",N($Q3755)&gt;0,$A3755&gt;=Visualisation!$B$1,$A3755&lt;Visualisation!$D$1),MAX($V$1:V3754)+1,"")</f>
        <v/>
      </c>
    </row>
    <row r="3756" spans="1:22" x14ac:dyDescent="0.25">
      <c r="A3756" s="9"/>
      <c r="E3756" s="10"/>
      <c r="K3756" s="11" t="str">
        <f>IF($E3756="","",ROUND($E3756*IF(ISNA(MATCH($C3756,'Paramètres'!$D:$D,0)),1,IF(INDEX('Paramètres'!$J:$J,MATCH($C3756,'Paramètres'!$D:$D,0))="",1,INDEX('Paramètres'!$J:$J,MATCH($C3756,'Paramètres'!$D:$D,0)))),2))</f>
        <v/>
      </c>
      <c r="L3756" s="6" t="str">
        <f>IF($D3756="","",IF($F3756&lt;&gt;"",$F3756,IF(ISNA(MATCH($D3756,'Paramètres'!$M:$M,0)),"⚠ Type inconnu",IFERROR(INDEX('Paramètres'!$P:$P,MATCH($D3756,'Paramètres'!$M:$M,0))&amp;"",""))))</f>
        <v/>
      </c>
      <c r="M3756" s="6" t="str">
        <f>IF($D3756="","",IF(ISNA(MATCH($D3756,'Paramètres'!$M:$M,0)),"⚠ Type inconnu",IF($L3756="Crédit","",IFERROR(INDEX('Paramètres'!$O:$O,MATCH($D3756,'Paramètres'!$M:$M,0))&amp;"",""))))</f>
        <v/>
      </c>
      <c r="N3756" s="6" t="str">
        <f>IF($D3756="","",IFERROR(INDEX('Paramètres'!$Q:$Q,MATCH($D3756,'Paramètres'!$M:$M,0))&amp;"",""))</f>
        <v/>
      </c>
      <c r="O3756" s="6" t="str">
        <f>IF($A3756="","",IF(OR($J3756&lt;&gt;"x",$A3756&lt;=FinReleve),1,0))</f>
        <v/>
      </c>
      <c r="P3756" s="6" t="str">
        <f>IF($D3756="","",IF(AND($L3756="Crédit",OR(IFERROR(INDEX('Paramètres'!$O:$O,MATCH($D3756,'Paramètres'!$M:$M,0))&amp;"","")&lt;&gt;"",ISNUMBER(SEARCH("remboursement",IFERROR(INDEX('Paramètres'!$N:$N,MATCH($D3756,'Paramètres'!$M:$M,0))&amp;"",""))))),1,0))</f>
        <v/>
      </c>
      <c r="Q3756" s="6" t="str">
        <f>IF($K3756="","",IF(ISNUMBER(SEARCH("transfert-interne",IFERROR(INDEX('Paramètres'!$N:$N,MATCH($D3756,'Paramètres'!$M:$M,0))&amp;"",""))),0,IF($L3756="Débit",$K3756,IF($P3756=1,-$K3756,0))))</f>
        <v/>
      </c>
      <c r="R3756" s="6" t="str">
        <f>IF($K3756="","",IF($L3756="Crédit",$K3756,-$K3756))</f>
        <v/>
      </c>
      <c r="S3756" s="6" t="str">
        <f>IF($C3756="","",IFERROR(INDEX('Paramètres'!$H:$H,MATCH($C3756,'Paramètres'!$D:$D,0))&amp;"",""))</f>
        <v/>
      </c>
      <c r="T3756" s="6" t="str">
        <f>IF($K3756="","",IF($S3756="",0,IF(ISNUMBER(SEARCH("apport-exterieur",IFERROR(INDEX('Paramètres'!$N:$N,MATCH($D3756,'Paramètres'!$M:$M,0))&amp;"",""))),0,IF(OR(IFERROR(INDEX('Paramètres'!$I:$I,MATCH($C3756,'Paramètres'!$D:$D,0))&amp;"","")="Les deux",IFERROR(INDEX('Paramètres'!$I:$I,MATCH($C3756,'Paramètres'!$D:$D,0))&amp;"","")=IF($P3756=1,"Débit",$L3756)),-IF($P3756=1,-$K3756,$K3756),0))))</f>
        <v/>
      </c>
      <c r="U3756" s="6" t="str">
        <f>IF($K3756="","",IF(ISNUMBER(SEARCH("sortie-epargne",IFERROR(INDEX('Paramètres'!$N:$N,MATCH($D3756,'Paramètres'!$M:$M,0))&amp;"",""))),$K3756,0))</f>
        <v/>
      </c>
      <c r="V3756" s="6" t="str">
        <f>IF(AND($A3756&lt;&gt;"",$O3756=1,$L3756="Débit",N($Q3756)&gt;0,$A3756&gt;=Visualisation!$B$1,$A3756&lt;Visualisation!$D$1),MAX($V$1:V3755)+1,"")</f>
        <v/>
      </c>
    </row>
    <row r="3757" spans="1:22" x14ac:dyDescent="0.25">
      <c r="A3757" s="9"/>
      <c r="E3757" s="10"/>
      <c r="K3757" s="11" t="str">
        <f>IF($E3757="","",ROUND($E3757*IF(ISNA(MATCH($C3757,'Paramètres'!$D:$D,0)),1,IF(INDEX('Paramètres'!$J:$J,MATCH($C3757,'Paramètres'!$D:$D,0))="",1,INDEX('Paramètres'!$J:$J,MATCH($C3757,'Paramètres'!$D:$D,0)))),2))</f>
        <v/>
      </c>
      <c r="L3757" s="6" t="str">
        <f>IF($D3757="","",IF($F3757&lt;&gt;"",$F3757,IF(ISNA(MATCH($D3757,'Paramètres'!$M:$M,0)),"⚠ Type inconnu",IFERROR(INDEX('Paramètres'!$P:$P,MATCH($D3757,'Paramètres'!$M:$M,0))&amp;"",""))))</f>
        <v/>
      </c>
      <c r="M3757" s="6" t="str">
        <f>IF($D3757="","",IF(ISNA(MATCH($D3757,'Paramètres'!$M:$M,0)),"⚠ Type inconnu",IF($L3757="Crédit","",IFERROR(INDEX('Paramètres'!$O:$O,MATCH($D3757,'Paramètres'!$M:$M,0))&amp;"",""))))</f>
        <v/>
      </c>
      <c r="N3757" s="6" t="str">
        <f>IF($D3757="","",IFERROR(INDEX('Paramètres'!$Q:$Q,MATCH($D3757,'Paramètres'!$M:$M,0))&amp;"",""))</f>
        <v/>
      </c>
      <c r="O3757" s="6" t="str">
        <f>IF($A3757="","",IF(OR($J3757&lt;&gt;"x",$A3757&lt;=FinReleve),1,0))</f>
        <v/>
      </c>
      <c r="P3757" s="6" t="str">
        <f>IF($D3757="","",IF(AND($L3757="Crédit",OR(IFERROR(INDEX('Paramètres'!$O:$O,MATCH($D3757,'Paramètres'!$M:$M,0))&amp;"","")&lt;&gt;"",ISNUMBER(SEARCH("remboursement",IFERROR(INDEX('Paramètres'!$N:$N,MATCH($D3757,'Paramètres'!$M:$M,0))&amp;"",""))))),1,0))</f>
        <v/>
      </c>
      <c r="Q3757" s="6" t="str">
        <f>IF($K3757="","",IF(ISNUMBER(SEARCH("transfert-interne",IFERROR(INDEX('Paramètres'!$N:$N,MATCH($D3757,'Paramètres'!$M:$M,0))&amp;"",""))),0,IF($L3757="Débit",$K3757,IF($P3757=1,-$K3757,0))))</f>
        <v/>
      </c>
      <c r="R3757" s="6" t="str">
        <f>IF($K3757="","",IF($L3757="Crédit",$K3757,-$K3757))</f>
        <v/>
      </c>
      <c r="S3757" s="6" t="str">
        <f>IF($C3757="","",IFERROR(INDEX('Paramètres'!$H:$H,MATCH($C3757,'Paramètres'!$D:$D,0))&amp;"",""))</f>
        <v/>
      </c>
      <c r="T3757" s="6" t="str">
        <f>IF($K3757="","",IF($S3757="",0,IF(ISNUMBER(SEARCH("apport-exterieur",IFERROR(INDEX('Paramètres'!$N:$N,MATCH($D3757,'Paramètres'!$M:$M,0))&amp;"",""))),0,IF(OR(IFERROR(INDEX('Paramètres'!$I:$I,MATCH($C3757,'Paramètres'!$D:$D,0))&amp;"","")="Les deux",IFERROR(INDEX('Paramètres'!$I:$I,MATCH($C3757,'Paramètres'!$D:$D,0))&amp;"","")=IF($P3757=1,"Débit",$L3757)),-IF($P3757=1,-$K3757,$K3757),0))))</f>
        <v/>
      </c>
      <c r="U3757" s="6" t="str">
        <f>IF($K3757="","",IF(ISNUMBER(SEARCH("sortie-epargne",IFERROR(INDEX('Paramètres'!$N:$N,MATCH($D3757,'Paramètres'!$M:$M,0))&amp;"",""))),$K3757,0))</f>
        <v/>
      </c>
      <c r="V3757" s="6" t="str">
        <f>IF(AND($A3757&lt;&gt;"",$O3757=1,$L3757="Débit",N($Q3757)&gt;0,$A3757&gt;=Visualisation!$B$1,$A3757&lt;Visualisation!$D$1),MAX($V$1:V3756)+1,"")</f>
        <v/>
      </c>
    </row>
    <row r="3758" spans="1:22" x14ac:dyDescent="0.25">
      <c r="A3758" s="9"/>
      <c r="E3758" s="10"/>
      <c r="K3758" s="11" t="str">
        <f>IF($E3758="","",ROUND($E3758*IF(ISNA(MATCH($C3758,'Paramètres'!$D:$D,0)),1,IF(INDEX('Paramètres'!$J:$J,MATCH($C3758,'Paramètres'!$D:$D,0))="",1,INDEX('Paramètres'!$J:$J,MATCH($C3758,'Paramètres'!$D:$D,0)))),2))</f>
        <v/>
      </c>
      <c r="L3758" s="6" t="str">
        <f>IF($D3758="","",IF($F3758&lt;&gt;"",$F3758,IF(ISNA(MATCH($D3758,'Paramètres'!$M:$M,0)),"⚠ Type inconnu",IFERROR(INDEX('Paramètres'!$P:$P,MATCH($D3758,'Paramètres'!$M:$M,0))&amp;"",""))))</f>
        <v/>
      </c>
      <c r="M3758" s="6" t="str">
        <f>IF($D3758="","",IF(ISNA(MATCH($D3758,'Paramètres'!$M:$M,0)),"⚠ Type inconnu",IF($L3758="Crédit","",IFERROR(INDEX('Paramètres'!$O:$O,MATCH($D3758,'Paramètres'!$M:$M,0))&amp;"",""))))</f>
        <v/>
      </c>
      <c r="N3758" s="6" t="str">
        <f>IF($D3758="","",IFERROR(INDEX('Paramètres'!$Q:$Q,MATCH($D3758,'Paramètres'!$M:$M,0))&amp;"",""))</f>
        <v/>
      </c>
      <c r="O3758" s="6" t="str">
        <f>IF($A3758="","",IF(OR($J3758&lt;&gt;"x",$A3758&lt;=FinReleve),1,0))</f>
        <v/>
      </c>
      <c r="P3758" s="6" t="str">
        <f>IF($D3758="","",IF(AND($L3758="Crédit",OR(IFERROR(INDEX('Paramètres'!$O:$O,MATCH($D3758,'Paramètres'!$M:$M,0))&amp;"","")&lt;&gt;"",ISNUMBER(SEARCH("remboursement",IFERROR(INDEX('Paramètres'!$N:$N,MATCH($D3758,'Paramètres'!$M:$M,0))&amp;"",""))))),1,0))</f>
        <v/>
      </c>
      <c r="Q3758" s="6" t="str">
        <f>IF($K3758="","",IF(ISNUMBER(SEARCH("transfert-interne",IFERROR(INDEX('Paramètres'!$N:$N,MATCH($D3758,'Paramètres'!$M:$M,0))&amp;"",""))),0,IF($L3758="Débit",$K3758,IF($P3758=1,-$K3758,0))))</f>
        <v/>
      </c>
      <c r="R3758" s="6" t="str">
        <f>IF($K3758="","",IF($L3758="Crédit",$K3758,-$K3758))</f>
        <v/>
      </c>
      <c r="S3758" s="6" t="str">
        <f>IF($C3758="","",IFERROR(INDEX('Paramètres'!$H:$H,MATCH($C3758,'Paramètres'!$D:$D,0))&amp;"",""))</f>
        <v/>
      </c>
      <c r="T3758" s="6" t="str">
        <f>IF($K3758="","",IF($S3758="",0,IF(ISNUMBER(SEARCH("apport-exterieur",IFERROR(INDEX('Paramètres'!$N:$N,MATCH($D3758,'Paramètres'!$M:$M,0))&amp;"",""))),0,IF(OR(IFERROR(INDEX('Paramètres'!$I:$I,MATCH($C3758,'Paramètres'!$D:$D,0))&amp;"","")="Les deux",IFERROR(INDEX('Paramètres'!$I:$I,MATCH($C3758,'Paramètres'!$D:$D,0))&amp;"","")=IF($P3758=1,"Débit",$L3758)),-IF($P3758=1,-$K3758,$K3758),0))))</f>
        <v/>
      </c>
      <c r="U3758" s="6" t="str">
        <f>IF($K3758="","",IF(ISNUMBER(SEARCH("sortie-epargne",IFERROR(INDEX('Paramètres'!$N:$N,MATCH($D3758,'Paramètres'!$M:$M,0))&amp;"",""))),$K3758,0))</f>
        <v/>
      </c>
      <c r="V3758" s="6" t="str">
        <f>IF(AND($A3758&lt;&gt;"",$O3758=1,$L3758="Débit",N($Q3758)&gt;0,$A3758&gt;=Visualisation!$B$1,$A3758&lt;Visualisation!$D$1),MAX($V$1:V3757)+1,"")</f>
        <v/>
      </c>
    </row>
    <row r="3759" spans="1:22" x14ac:dyDescent="0.25">
      <c r="A3759" s="9"/>
      <c r="E3759" s="10"/>
      <c r="K3759" s="11" t="str">
        <f>IF($E3759="","",ROUND($E3759*IF(ISNA(MATCH($C3759,'Paramètres'!$D:$D,0)),1,IF(INDEX('Paramètres'!$J:$J,MATCH($C3759,'Paramètres'!$D:$D,0))="",1,INDEX('Paramètres'!$J:$J,MATCH($C3759,'Paramètres'!$D:$D,0)))),2))</f>
        <v/>
      </c>
      <c r="L3759" s="6" t="str">
        <f>IF($D3759="","",IF($F3759&lt;&gt;"",$F3759,IF(ISNA(MATCH($D3759,'Paramètres'!$M:$M,0)),"⚠ Type inconnu",IFERROR(INDEX('Paramètres'!$P:$P,MATCH($D3759,'Paramètres'!$M:$M,0))&amp;"",""))))</f>
        <v/>
      </c>
      <c r="M3759" s="6" t="str">
        <f>IF($D3759="","",IF(ISNA(MATCH($D3759,'Paramètres'!$M:$M,0)),"⚠ Type inconnu",IF($L3759="Crédit","",IFERROR(INDEX('Paramètres'!$O:$O,MATCH($D3759,'Paramètres'!$M:$M,0))&amp;"",""))))</f>
        <v/>
      </c>
      <c r="N3759" s="6" t="str">
        <f>IF($D3759="","",IFERROR(INDEX('Paramètres'!$Q:$Q,MATCH($D3759,'Paramètres'!$M:$M,0))&amp;"",""))</f>
        <v/>
      </c>
      <c r="O3759" s="6" t="str">
        <f>IF($A3759="","",IF(OR($J3759&lt;&gt;"x",$A3759&lt;=FinReleve),1,0))</f>
        <v/>
      </c>
      <c r="P3759" s="6" t="str">
        <f>IF($D3759="","",IF(AND($L3759="Crédit",OR(IFERROR(INDEX('Paramètres'!$O:$O,MATCH($D3759,'Paramètres'!$M:$M,0))&amp;"","")&lt;&gt;"",ISNUMBER(SEARCH("remboursement",IFERROR(INDEX('Paramètres'!$N:$N,MATCH($D3759,'Paramètres'!$M:$M,0))&amp;"",""))))),1,0))</f>
        <v/>
      </c>
      <c r="Q3759" s="6" t="str">
        <f>IF($K3759="","",IF(ISNUMBER(SEARCH("transfert-interne",IFERROR(INDEX('Paramètres'!$N:$N,MATCH($D3759,'Paramètres'!$M:$M,0))&amp;"",""))),0,IF($L3759="Débit",$K3759,IF($P3759=1,-$K3759,0))))</f>
        <v/>
      </c>
      <c r="R3759" s="6" t="str">
        <f>IF($K3759="","",IF($L3759="Crédit",$K3759,-$K3759))</f>
        <v/>
      </c>
      <c r="S3759" s="6" t="str">
        <f>IF($C3759="","",IFERROR(INDEX('Paramètres'!$H:$H,MATCH($C3759,'Paramètres'!$D:$D,0))&amp;"",""))</f>
        <v/>
      </c>
      <c r="T3759" s="6" t="str">
        <f>IF($K3759="","",IF($S3759="",0,IF(ISNUMBER(SEARCH("apport-exterieur",IFERROR(INDEX('Paramètres'!$N:$N,MATCH($D3759,'Paramètres'!$M:$M,0))&amp;"",""))),0,IF(OR(IFERROR(INDEX('Paramètres'!$I:$I,MATCH($C3759,'Paramètres'!$D:$D,0))&amp;"","")="Les deux",IFERROR(INDEX('Paramètres'!$I:$I,MATCH($C3759,'Paramètres'!$D:$D,0))&amp;"","")=IF($P3759=1,"Débit",$L3759)),-IF($P3759=1,-$K3759,$K3759),0))))</f>
        <v/>
      </c>
      <c r="U3759" s="6" t="str">
        <f>IF($K3759="","",IF(ISNUMBER(SEARCH("sortie-epargne",IFERROR(INDEX('Paramètres'!$N:$N,MATCH($D3759,'Paramètres'!$M:$M,0))&amp;"",""))),$K3759,0))</f>
        <v/>
      </c>
      <c r="V3759" s="6" t="str">
        <f>IF(AND($A3759&lt;&gt;"",$O3759=1,$L3759="Débit",N($Q3759)&gt;0,$A3759&gt;=Visualisation!$B$1,$A3759&lt;Visualisation!$D$1),MAX($V$1:V3758)+1,"")</f>
        <v/>
      </c>
    </row>
    <row r="3760" spans="1:22" x14ac:dyDescent="0.25">
      <c r="A3760" s="9"/>
      <c r="E3760" s="10"/>
      <c r="K3760" s="11" t="str">
        <f>IF($E3760="","",ROUND($E3760*IF(ISNA(MATCH($C3760,'Paramètres'!$D:$D,0)),1,IF(INDEX('Paramètres'!$J:$J,MATCH($C3760,'Paramètres'!$D:$D,0))="",1,INDEX('Paramètres'!$J:$J,MATCH($C3760,'Paramètres'!$D:$D,0)))),2))</f>
        <v/>
      </c>
      <c r="L3760" s="6" t="str">
        <f>IF($D3760="","",IF($F3760&lt;&gt;"",$F3760,IF(ISNA(MATCH($D3760,'Paramètres'!$M:$M,0)),"⚠ Type inconnu",IFERROR(INDEX('Paramètres'!$P:$P,MATCH($D3760,'Paramètres'!$M:$M,0))&amp;"",""))))</f>
        <v/>
      </c>
      <c r="M3760" s="6" t="str">
        <f>IF($D3760="","",IF(ISNA(MATCH($D3760,'Paramètres'!$M:$M,0)),"⚠ Type inconnu",IF($L3760="Crédit","",IFERROR(INDEX('Paramètres'!$O:$O,MATCH($D3760,'Paramètres'!$M:$M,0))&amp;"",""))))</f>
        <v/>
      </c>
      <c r="N3760" s="6" t="str">
        <f>IF($D3760="","",IFERROR(INDEX('Paramètres'!$Q:$Q,MATCH($D3760,'Paramètres'!$M:$M,0))&amp;"",""))</f>
        <v/>
      </c>
      <c r="O3760" s="6" t="str">
        <f>IF($A3760="","",IF(OR($J3760&lt;&gt;"x",$A3760&lt;=FinReleve),1,0))</f>
        <v/>
      </c>
      <c r="P3760" s="6" t="str">
        <f>IF($D3760="","",IF(AND($L3760="Crédit",OR(IFERROR(INDEX('Paramètres'!$O:$O,MATCH($D3760,'Paramètres'!$M:$M,0))&amp;"","")&lt;&gt;"",ISNUMBER(SEARCH("remboursement",IFERROR(INDEX('Paramètres'!$N:$N,MATCH($D3760,'Paramètres'!$M:$M,0))&amp;"",""))))),1,0))</f>
        <v/>
      </c>
      <c r="Q3760" s="6" t="str">
        <f>IF($K3760="","",IF(ISNUMBER(SEARCH("transfert-interne",IFERROR(INDEX('Paramètres'!$N:$N,MATCH($D3760,'Paramètres'!$M:$M,0))&amp;"",""))),0,IF($L3760="Débit",$K3760,IF($P3760=1,-$K3760,0))))</f>
        <v/>
      </c>
      <c r="R3760" s="6" t="str">
        <f>IF($K3760="","",IF($L3760="Crédit",$K3760,-$K3760))</f>
        <v/>
      </c>
      <c r="S3760" s="6" t="str">
        <f>IF($C3760="","",IFERROR(INDEX('Paramètres'!$H:$H,MATCH($C3760,'Paramètres'!$D:$D,0))&amp;"",""))</f>
        <v/>
      </c>
      <c r="T3760" s="6" t="str">
        <f>IF($K3760="","",IF($S3760="",0,IF(ISNUMBER(SEARCH("apport-exterieur",IFERROR(INDEX('Paramètres'!$N:$N,MATCH($D3760,'Paramètres'!$M:$M,0))&amp;"",""))),0,IF(OR(IFERROR(INDEX('Paramètres'!$I:$I,MATCH($C3760,'Paramètres'!$D:$D,0))&amp;"","")="Les deux",IFERROR(INDEX('Paramètres'!$I:$I,MATCH($C3760,'Paramètres'!$D:$D,0))&amp;"","")=IF($P3760=1,"Débit",$L3760)),-IF($P3760=1,-$K3760,$K3760),0))))</f>
        <v/>
      </c>
      <c r="U3760" s="6" t="str">
        <f>IF($K3760="","",IF(ISNUMBER(SEARCH("sortie-epargne",IFERROR(INDEX('Paramètres'!$N:$N,MATCH($D3760,'Paramètres'!$M:$M,0))&amp;"",""))),$K3760,0))</f>
        <v/>
      </c>
      <c r="V3760" s="6" t="str">
        <f>IF(AND($A3760&lt;&gt;"",$O3760=1,$L3760="Débit",N($Q3760)&gt;0,$A3760&gt;=Visualisation!$B$1,$A3760&lt;Visualisation!$D$1),MAX($V$1:V3759)+1,"")</f>
        <v/>
      </c>
    </row>
    <row r="3761" spans="1:22" x14ac:dyDescent="0.25">
      <c r="A3761" s="9"/>
      <c r="E3761" s="10"/>
      <c r="K3761" s="11" t="str">
        <f>IF($E3761="","",ROUND($E3761*IF(ISNA(MATCH($C3761,'Paramètres'!$D:$D,0)),1,IF(INDEX('Paramètres'!$J:$J,MATCH($C3761,'Paramètres'!$D:$D,0))="",1,INDEX('Paramètres'!$J:$J,MATCH($C3761,'Paramètres'!$D:$D,0)))),2))</f>
        <v/>
      </c>
      <c r="L3761" s="6" t="str">
        <f>IF($D3761="","",IF($F3761&lt;&gt;"",$F3761,IF(ISNA(MATCH($D3761,'Paramètres'!$M:$M,0)),"⚠ Type inconnu",IFERROR(INDEX('Paramètres'!$P:$P,MATCH($D3761,'Paramètres'!$M:$M,0))&amp;"",""))))</f>
        <v/>
      </c>
      <c r="M3761" s="6" t="str">
        <f>IF($D3761="","",IF(ISNA(MATCH($D3761,'Paramètres'!$M:$M,0)),"⚠ Type inconnu",IF($L3761="Crédit","",IFERROR(INDEX('Paramètres'!$O:$O,MATCH($D3761,'Paramètres'!$M:$M,0))&amp;"",""))))</f>
        <v/>
      </c>
      <c r="N3761" s="6" t="str">
        <f>IF($D3761="","",IFERROR(INDEX('Paramètres'!$Q:$Q,MATCH($D3761,'Paramètres'!$M:$M,0))&amp;"",""))</f>
        <v/>
      </c>
      <c r="O3761" s="6" t="str">
        <f>IF($A3761="","",IF(OR($J3761&lt;&gt;"x",$A3761&lt;=FinReleve),1,0))</f>
        <v/>
      </c>
      <c r="P3761" s="6" t="str">
        <f>IF($D3761="","",IF(AND($L3761="Crédit",OR(IFERROR(INDEX('Paramètres'!$O:$O,MATCH($D3761,'Paramètres'!$M:$M,0))&amp;"","")&lt;&gt;"",ISNUMBER(SEARCH("remboursement",IFERROR(INDEX('Paramètres'!$N:$N,MATCH($D3761,'Paramètres'!$M:$M,0))&amp;"",""))))),1,0))</f>
        <v/>
      </c>
      <c r="Q3761" s="6" t="str">
        <f>IF($K3761="","",IF(ISNUMBER(SEARCH("transfert-interne",IFERROR(INDEX('Paramètres'!$N:$N,MATCH($D3761,'Paramètres'!$M:$M,0))&amp;"",""))),0,IF($L3761="Débit",$K3761,IF($P3761=1,-$K3761,0))))</f>
        <v/>
      </c>
      <c r="R3761" s="6" t="str">
        <f>IF($K3761="","",IF($L3761="Crédit",$K3761,-$K3761))</f>
        <v/>
      </c>
      <c r="S3761" s="6" t="str">
        <f>IF($C3761="","",IFERROR(INDEX('Paramètres'!$H:$H,MATCH($C3761,'Paramètres'!$D:$D,0))&amp;"",""))</f>
        <v/>
      </c>
      <c r="T3761" s="6" t="str">
        <f>IF($K3761="","",IF($S3761="",0,IF(ISNUMBER(SEARCH("apport-exterieur",IFERROR(INDEX('Paramètres'!$N:$N,MATCH($D3761,'Paramètres'!$M:$M,0))&amp;"",""))),0,IF(OR(IFERROR(INDEX('Paramètres'!$I:$I,MATCH($C3761,'Paramètres'!$D:$D,0))&amp;"","")="Les deux",IFERROR(INDEX('Paramètres'!$I:$I,MATCH($C3761,'Paramètres'!$D:$D,0))&amp;"","")=IF($P3761=1,"Débit",$L3761)),-IF($P3761=1,-$K3761,$K3761),0))))</f>
        <v/>
      </c>
      <c r="U3761" s="6" t="str">
        <f>IF($K3761="","",IF(ISNUMBER(SEARCH("sortie-epargne",IFERROR(INDEX('Paramètres'!$N:$N,MATCH($D3761,'Paramètres'!$M:$M,0))&amp;"",""))),$K3761,0))</f>
        <v/>
      </c>
      <c r="V3761" s="6" t="str">
        <f>IF(AND($A3761&lt;&gt;"",$O3761=1,$L3761="Débit",N($Q3761)&gt;0,$A3761&gt;=Visualisation!$B$1,$A3761&lt;Visualisation!$D$1),MAX($V$1:V3760)+1,"")</f>
        <v/>
      </c>
    </row>
    <row r="3762" spans="1:22" x14ac:dyDescent="0.25">
      <c r="A3762" s="9"/>
      <c r="E3762" s="10"/>
      <c r="K3762" s="11" t="str">
        <f>IF($E3762="","",ROUND($E3762*IF(ISNA(MATCH($C3762,'Paramètres'!$D:$D,0)),1,IF(INDEX('Paramètres'!$J:$J,MATCH($C3762,'Paramètres'!$D:$D,0))="",1,INDEX('Paramètres'!$J:$J,MATCH($C3762,'Paramètres'!$D:$D,0)))),2))</f>
        <v/>
      </c>
      <c r="L3762" s="6" t="str">
        <f>IF($D3762="","",IF($F3762&lt;&gt;"",$F3762,IF(ISNA(MATCH($D3762,'Paramètres'!$M:$M,0)),"⚠ Type inconnu",IFERROR(INDEX('Paramètres'!$P:$P,MATCH($D3762,'Paramètres'!$M:$M,0))&amp;"",""))))</f>
        <v/>
      </c>
      <c r="M3762" s="6" t="str">
        <f>IF($D3762="","",IF(ISNA(MATCH($D3762,'Paramètres'!$M:$M,0)),"⚠ Type inconnu",IF($L3762="Crédit","",IFERROR(INDEX('Paramètres'!$O:$O,MATCH($D3762,'Paramètres'!$M:$M,0))&amp;"",""))))</f>
        <v/>
      </c>
      <c r="N3762" s="6" t="str">
        <f>IF($D3762="","",IFERROR(INDEX('Paramètres'!$Q:$Q,MATCH($D3762,'Paramètres'!$M:$M,0))&amp;"",""))</f>
        <v/>
      </c>
      <c r="O3762" s="6" t="str">
        <f>IF($A3762="","",IF(OR($J3762&lt;&gt;"x",$A3762&lt;=FinReleve),1,0))</f>
        <v/>
      </c>
      <c r="P3762" s="6" t="str">
        <f>IF($D3762="","",IF(AND($L3762="Crédit",OR(IFERROR(INDEX('Paramètres'!$O:$O,MATCH($D3762,'Paramètres'!$M:$M,0))&amp;"","")&lt;&gt;"",ISNUMBER(SEARCH("remboursement",IFERROR(INDEX('Paramètres'!$N:$N,MATCH($D3762,'Paramètres'!$M:$M,0))&amp;"",""))))),1,0))</f>
        <v/>
      </c>
      <c r="Q3762" s="6" t="str">
        <f>IF($K3762="","",IF(ISNUMBER(SEARCH("transfert-interne",IFERROR(INDEX('Paramètres'!$N:$N,MATCH($D3762,'Paramètres'!$M:$M,0))&amp;"",""))),0,IF($L3762="Débit",$K3762,IF($P3762=1,-$K3762,0))))</f>
        <v/>
      </c>
      <c r="R3762" s="6" t="str">
        <f>IF($K3762="","",IF($L3762="Crédit",$K3762,-$K3762))</f>
        <v/>
      </c>
      <c r="S3762" s="6" t="str">
        <f>IF($C3762="","",IFERROR(INDEX('Paramètres'!$H:$H,MATCH($C3762,'Paramètres'!$D:$D,0))&amp;"",""))</f>
        <v/>
      </c>
      <c r="T3762" s="6" t="str">
        <f>IF($K3762="","",IF($S3762="",0,IF(ISNUMBER(SEARCH("apport-exterieur",IFERROR(INDEX('Paramètres'!$N:$N,MATCH($D3762,'Paramètres'!$M:$M,0))&amp;"",""))),0,IF(OR(IFERROR(INDEX('Paramètres'!$I:$I,MATCH($C3762,'Paramètres'!$D:$D,0))&amp;"","")="Les deux",IFERROR(INDEX('Paramètres'!$I:$I,MATCH($C3762,'Paramètres'!$D:$D,0))&amp;"","")=IF($P3762=1,"Débit",$L3762)),-IF($P3762=1,-$K3762,$K3762),0))))</f>
        <v/>
      </c>
      <c r="U3762" s="6" t="str">
        <f>IF($K3762="","",IF(ISNUMBER(SEARCH("sortie-epargne",IFERROR(INDEX('Paramètres'!$N:$N,MATCH($D3762,'Paramètres'!$M:$M,0))&amp;"",""))),$K3762,0))</f>
        <v/>
      </c>
      <c r="V3762" s="6" t="str">
        <f>IF(AND($A3762&lt;&gt;"",$O3762=1,$L3762="Débit",N($Q3762)&gt;0,$A3762&gt;=Visualisation!$B$1,$A3762&lt;Visualisation!$D$1),MAX($V$1:V3761)+1,"")</f>
        <v/>
      </c>
    </row>
    <row r="3763" spans="1:22" x14ac:dyDescent="0.25">
      <c r="A3763" s="9"/>
      <c r="E3763" s="10"/>
      <c r="K3763" s="11" t="str">
        <f>IF($E3763="","",ROUND($E3763*IF(ISNA(MATCH($C3763,'Paramètres'!$D:$D,0)),1,IF(INDEX('Paramètres'!$J:$J,MATCH($C3763,'Paramètres'!$D:$D,0))="",1,INDEX('Paramètres'!$J:$J,MATCH($C3763,'Paramètres'!$D:$D,0)))),2))</f>
        <v/>
      </c>
      <c r="L3763" s="6" t="str">
        <f>IF($D3763="","",IF($F3763&lt;&gt;"",$F3763,IF(ISNA(MATCH($D3763,'Paramètres'!$M:$M,0)),"⚠ Type inconnu",IFERROR(INDEX('Paramètres'!$P:$P,MATCH($D3763,'Paramètres'!$M:$M,0))&amp;"",""))))</f>
        <v/>
      </c>
      <c r="M3763" s="6" t="str">
        <f>IF($D3763="","",IF(ISNA(MATCH($D3763,'Paramètres'!$M:$M,0)),"⚠ Type inconnu",IF($L3763="Crédit","",IFERROR(INDEX('Paramètres'!$O:$O,MATCH($D3763,'Paramètres'!$M:$M,0))&amp;"",""))))</f>
        <v/>
      </c>
      <c r="N3763" s="6" t="str">
        <f>IF($D3763="","",IFERROR(INDEX('Paramètres'!$Q:$Q,MATCH($D3763,'Paramètres'!$M:$M,0))&amp;"",""))</f>
        <v/>
      </c>
      <c r="O3763" s="6" t="str">
        <f>IF($A3763="","",IF(OR($J3763&lt;&gt;"x",$A3763&lt;=FinReleve),1,0))</f>
        <v/>
      </c>
      <c r="P3763" s="6" t="str">
        <f>IF($D3763="","",IF(AND($L3763="Crédit",OR(IFERROR(INDEX('Paramètres'!$O:$O,MATCH($D3763,'Paramètres'!$M:$M,0))&amp;"","")&lt;&gt;"",ISNUMBER(SEARCH("remboursement",IFERROR(INDEX('Paramètres'!$N:$N,MATCH($D3763,'Paramètres'!$M:$M,0))&amp;"",""))))),1,0))</f>
        <v/>
      </c>
      <c r="Q3763" s="6" t="str">
        <f>IF($K3763="","",IF(ISNUMBER(SEARCH("transfert-interne",IFERROR(INDEX('Paramètres'!$N:$N,MATCH($D3763,'Paramètres'!$M:$M,0))&amp;"",""))),0,IF($L3763="Débit",$K3763,IF($P3763=1,-$K3763,0))))</f>
        <v/>
      </c>
      <c r="R3763" s="6" t="str">
        <f>IF($K3763="","",IF($L3763="Crédit",$K3763,-$K3763))</f>
        <v/>
      </c>
      <c r="S3763" s="6" t="str">
        <f>IF($C3763="","",IFERROR(INDEX('Paramètres'!$H:$H,MATCH($C3763,'Paramètres'!$D:$D,0))&amp;"",""))</f>
        <v/>
      </c>
      <c r="T3763" s="6" t="str">
        <f>IF($K3763="","",IF($S3763="",0,IF(ISNUMBER(SEARCH("apport-exterieur",IFERROR(INDEX('Paramètres'!$N:$N,MATCH($D3763,'Paramètres'!$M:$M,0))&amp;"",""))),0,IF(OR(IFERROR(INDEX('Paramètres'!$I:$I,MATCH($C3763,'Paramètres'!$D:$D,0))&amp;"","")="Les deux",IFERROR(INDEX('Paramètres'!$I:$I,MATCH($C3763,'Paramètres'!$D:$D,0))&amp;"","")=IF($P3763=1,"Débit",$L3763)),-IF($P3763=1,-$K3763,$K3763),0))))</f>
        <v/>
      </c>
      <c r="U3763" s="6" t="str">
        <f>IF($K3763="","",IF(ISNUMBER(SEARCH("sortie-epargne",IFERROR(INDEX('Paramètres'!$N:$N,MATCH($D3763,'Paramètres'!$M:$M,0))&amp;"",""))),$K3763,0))</f>
        <v/>
      </c>
      <c r="V3763" s="6" t="str">
        <f>IF(AND($A3763&lt;&gt;"",$O3763=1,$L3763="Débit",N($Q3763)&gt;0,$A3763&gt;=Visualisation!$B$1,$A3763&lt;Visualisation!$D$1),MAX($V$1:V3762)+1,"")</f>
        <v/>
      </c>
    </row>
    <row r="3764" spans="1:22" x14ac:dyDescent="0.25">
      <c r="A3764" s="9"/>
      <c r="E3764" s="10"/>
      <c r="K3764" s="11" t="str">
        <f>IF($E3764="","",ROUND($E3764*IF(ISNA(MATCH($C3764,'Paramètres'!$D:$D,0)),1,IF(INDEX('Paramètres'!$J:$J,MATCH($C3764,'Paramètres'!$D:$D,0))="",1,INDEX('Paramètres'!$J:$J,MATCH($C3764,'Paramètres'!$D:$D,0)))),2))</f>
        <v/>
      </c>
      <c r="L3764" s="6" t="str">
        <f>IF($D3764="","",IF($F3764&lt;&gt;"",$F3764,IF(ISNA(MATCH($D3764,'Paramètres'!$M:$M,0)),"⚠ Type inconnu",IFERROR(INDEX('Paramètres'!$P:$P,MATCH($D3764,'Paramètres'!$M:$M,0))&amp;"",""))))</f>
        <v/>
      </c>
      <c r="M3764" s="6" t="str">
        <f>IF($D3764="","",IF(ISNA(MATCH($D3764,'Paramètres'!$M:$M,0)),"⚠ Type inconnu",IF($L3764="Crédit","",IFERROR(INDEX('Paramètres'!$O:$O,MATCH($D3764,'Paramètres'!$M:$M,0))&amp;"",""))))</f>
        <v/>
      </c>
      <c r="N3764" s="6" t="str">
        <f>IF($D3764="","",IFERROR(INDEX('Paramètres'!$Q:$Q,MATCH($D3764,'Paramètres'!$M:$M,0))&amp;"",""))</f>
        <v/>
      </c>
      <c r="O3764" s="6" t="str">
        <f>IF($A3764="","",IF(OR($J3764&lt;&gt;"x",$A3764&lt;=FinReleve),1,0))</f>
        <v/>
      </c>
      <c r="P3764" s="6" t="str">
        <f>IF($D3764="","",IF(AND($L3764="Crédit",OR(IFERROR(INDEX('Paramètres'!$O:$O,MATCH($D3764,'Paramètres'!$M:$M,0))&amp;"","")&lt;&gt;"",ISNUMBER(SEARCH("remboursement",IFERROR(INDEX('Paramètres'!$N:$N,MATCH($D3764,'Paramètres'!$M:$M,0))&amp;"",""))))),1,0))</f>
        <v/>
      </c>
      <c r="Q3764" s="6" t="str">
        <f>IF($K3764="","",IF(ISNUMBER(SEARCH("transfert-interne",IFERROR(INDEX('Paramètres'!$N:$N,MATCH($D3764,'Paramètres'!$M:$M,0))&amp;"",""))),0,IF($L3764="Débit",$K3764,IF($P3764=1,-$K3764,0))))</f>
        <v/>
      </c>
      <c r="R3764" s="6" t="str">
        <f>IF($K3764="","",IF($L3764="Crédit",$K3764,-$K3764))</f>
        <v/>
      </c>
      <c r="S3764" s="6" t="str">
        <f>IF($C3764="","",IFERROR(INDEX('Paramètres'!$H:$H,MATCH($C3764,'Paramètres'!$D:$D,0))&amp;"",""))</f>
        <v/>
      </c>
      <c r="T3764" s="6" t="str">
        <f>IF($K3764="","",IF($S3764="",0,IF(ISNUMBER(SEARCH("apport-exterieur",IFERROR(INDEX('Paramètres'!$N:$N,MATCH($D3764,'Paramètres'!$M:$M,0))&amp;"",""))),0,IF(OR(IFERROR(INDEX('Paramètres'!$I:$I,MATCH($C3764,'Paramètres'!$D:$D,0))&amp;"","")="Les deux",IFERROR(INDEX('Paramètres'!$I:$I,MATCH($C3764,'Paramètres'!$D:$D,0))&amp;"","")=IF($P3764=1,"Débit",$L3764)),-IF($P3764=1,-$K3764,$K3764),0))))</f>
        <v/>
      </c>
      <c r="U3764" s="6" t="str">
        <f>IF($K3764="","",IF(ISNUMBER(SEARCH("sortie-epargne",IFERROR(INDEX('Paramètres'!$N:$N,MATCH($D3764,'Paramètres'!$M:$M,0))&amp;"",""))),$K3764,0))</f>
        <v/>
      </c>
      <c r="V3764" s="6" t="str">
        <f>IF(AND($A3764&lt;&gt;"",$O3764=1,$L3764="Débit",N($Q3764)&gt;0,$A3764&gt;=Visualisation!$B$1,$A3764&lt;Visualisation!$D$1),MAX($V$1:V3763)+1,"")</f>
        <v/>
      </c>
    </row>
    <row r="3765" spans="1:22" x14ac:dyDescent="0.25">
      <c r="A3765" s="9"/>
      <c r="E3765" s="10"/>
      <c r="K3765" s="11" t="str">
        <f>IF($E3765="","",ROUND($E3765*IF(ISNA(MATCH($C3765,'Paramètres'!$D:$D,0)),1,IF(INDEX('Paramètres'!$J:$J,MATCH($C3765,'Paramètres'!$D:$D,0))="",1,INDEX('Paramètres'!$J:$J,MATCH($C3765,'Paramètres'!$D:$D,0)))),2))</f>
        <v/>
      </c>
      <c r="L3765" s="6" t="str">
        <f>IF($D3765="","",IF($F3765&lt;&gt;"",$F3765,IF(ISNA(MATCH($D3765,'Paramètres'!$M:$M,0)),"⚠ Type inconnu",IFERROR(INDEX('Paramètres'!$P:$P,MATCH($D3765,'Paramètres'!$M:$M,0))&amp;"",""))))</f>
        <v/>
      </c>
      <c r="M3765" s="6" t="str">
        <f>IF($D3765="","",IF(ISNA(MATCH($D3765,'Paramètres'!$M:$M,0)),"⚠ Type inconnu",IF($L3765="Crédit","",IFERROR(INDEX('Paramètres'!$O:$O,MATCH($D3765,'Paramètres'!$M:$M,0))&amp;"",""))))</f>
        <v/>
      </c>
      <c r="N3765" s="6" t="str">
        <f>IF($D3765="","",IFERROR(INDEX('Paramètres'!$Q:$Q,MATCH($D3765,'Paramètres'!$M:$M,0))&amp;"",""))</f>
        <v/>
      </c>
      <c r="O3765" s="6" t="str">
        <f>IF($A3765="","",IF(OR($J3765&lt;&gt;"x",$A3765&lt;=FinReleve),1,0))</f>
        <v/>
      </c>
      <c r="P3765" s="6" t="str">
        <f>IF($D3765="","",IF(AND($L3765="Crédit",OR(IFERROR(INDEX('Paramètres'!$O:$O,MATCH($D3765,'Paramètres'!$M:$M,0))&amp;"","")&lt;&gt;"",ISNUMBER(SEARCH("remboursement",IFERROR(INDEX('Paramètres'!$N:$N,MATCH($D3765,'Paramètres'!$M:$M,0))&amp;"",""))))),1,0))</f>
        <v/>
      </c>
      <c r="Q3765" s="6" t="str">
        <f>IF($K3765="","",IF(ISNUMBER(SEARCH("transfert-interne",IFERROR(INDEX('Paramètres'!$N:$N,MATCH($D3765,'Paramètres'!$M:$M,0))&amp;"",""))),0,IF($L3765="Débit",$K3765,IF($P3765=1,-$K3765,0))))</f>
        <v/>
      </c>
      <c r="R3765" s="6" t="str">
        <f>IF($K3765="","",IF($L3765="Crédit",$K3765,-$K3765))</f>
        <v/>
      </c>
      <c r="S3765" s="6" t="str">
        <f>IF($C3765="","",IFERROR(INDEX('Paramètres'!$H:$H,MATCH($C3765,'Paramètres'!$D:$D,0))&amp;"",""))</f>
        <v/>
      </c>
      <c r="T3765" s="6" t="str">
        <f>IF($K3765="","",IF($S3765="",0,IF(ISNUMBER(SEARCH("apport-exterieur",IFERROR(INDEX('Paramètres'!$N:$N,MATCH($D3765,'Paramètres'!$M:$M,0))&amp;"",""))),0,IF(OR(IFERROR(INDEX('Paramètres'!$I:$I,MATCH($C3765,'Paramètres'!$D:$D,0))&amp;"","")="Les deux",IFERROR(INDEX('Paramètres'!$I:$I,MATCH($C3765,'Paramètres'!$D:$D,0))&amp;"","")=IF($P3765=1,"Débit",$L3765)),-IF($P3765=1,-$K3765,$K3765),0))))</f>
        <v/>
      </c>
      <c r="U3765" s="6" t="str">
        <f>IF($K3765="","",IF(ISNUMBER(SEARCH("sortie-epargne",IFERROR(INDEX('Paramètres'!$N:$N,MATCH($D3765,'Paramètres'!$M:$M,0))&amp;"",""))),$K3765,0))</f>
        <v/>
      </c>
      <c r="V3765" s="6" t="str">
        <f>IF(AND($A3765&lt;&gt;"",$O3765=1,$L3765="Débit",N($Q3765)&gt;0,$A3765&gt;=Visualisation!$B$1,$A3765&lt;Visualisation!$D$1),MAX($V$1:V3764)+1,"")</f>
        <v/>
      </c>
    </row>
    <row r="3766" spans="1:22" x14ac:dyDescent="0.25">
      <c r="A3766" s="9"/>
      <c r="E3766" s="10"/>
      <c r="K3766" s="11" t="str">
        <f>IF($E3766="","",ROUND($E3766*IF(ISNA(MATCH($C3766,'Paramètres'!$D:$D,0)),1,IF(INDEX('Paramètres'!$J:$J,MATCH($C3766,'Paramètres'!$D:$D,0))="",1,INDEX('Paramètres'!$J:$J,MATCH($C3766,'Paramètres'!$D:$D,0)))),2))</f>
        <v/>
      </c>
      <c r="L3766" s="6" t="str">
        <f>IF($D3766="","",IF($F3766&lt;&gt;"",$F3766,IF(ISNA(MATCH($D3766,'Paramètres'!$M:$M,0)),"⚠ Type inconnu",IFERROR(INDEX('Paramètres'!$P:$P,MATCH($D3766,'Paramètres'!$M:$M,0))&amp;"",""))))</f>
        <v/>
      </c>
      <c r="M3766" s="6" t="str">
        <f>IF($D3766="","",IF(ISNA(MATCH($D3766,'Paramètres'!$M:$M,0)),"⚠ Type inconnu",IF($L3766="Crédit","",IFERROR(INDEX('Paramètres'!$O:$O,MATCH($D3766,'Paramètres'!$M:$M,0))&amp;"",""))))</f>
        <v/>
      </c>
      <c r="N3766" s="6" t="str">
        <f>IF($D3766="","",IFERROR(INDEX('Paramètres'!$Q:$Q,MATCH($D3766,'Paramètres'!$M:$M,0))&amp;"",""))</f>
        <v/>
      </c>
      <c r="O3766" s="6" t="str">
        <f>IF($A3766="","",IF(OR($J3766&lt;&gt;"x",$A3766&lt;=FinReleve),1,0))</f>
        <v/>
      </c>
      <c r="P3766" s="6" t="str">
        <f>IF($D3766="","",IF(AND($L3766="Crédit",OR(IFERROR(INDEX('Paramètres'!$O:$O,MATCH($D3766,'Paramètres'!$M:$M,0))&amp;"","")&lt;&gt;"",ISNUMBER(SEARCH("remboursement",IFERROR(INDEX('Paramètres'!$N:$N,MATCH($D3766,'Paramètres'!$M:$M,0))&amp;"",""))))),1,0))</f>
        <v/>
      </c>
      <c r="Q3766" s="6" t="str">
        <f>IF($K3766="","",IF(ISNUMBER(SEARCH("transfert-interne",IFERROR(INDEX('Paramètres'!$N:$N,MATCH($D3766,'Paramètres'!$M:$M,0))&amp;"",""))),0,IF($L3766="Débit",$K3766,IF($P3766=1,-$K3766,0))))</f>
        <v/>
      </c>
      <c r="R3766" s="6" t="str">
        <f>IF($K3766="","",IF($L3766="Crédit",$K3766,-$K3766))</f>
        <v/>
      </c>
      <c r="S3766" s="6" t="str">
        <f>IF($C3766="","",IFERROR(INDEX('Paramètres'!$H:$H,MATCH($C3766,'Paramètres'!$D:$D,0))&amp;"",""))</f>
        <v/>
      </c>
      <c r="T3766" s="6" t="str">
        <f>IF($K3766="","",IF($S3766="",0,IF(ISNUMBER(SEARCH("apport-exterieur",IFERROR(INDEX('Paramètres'!$N:$N,MATCH($D3766,'Paramètres'!$M:$M,0))&amp;"",""))),0,IF(OR(IFERROR(INDEX('Paramètres'!$I:$I,MATCH($C3766,'Paramètres'!$D:$D,0))&amp;"","")="Les deux",IFERROR(INDEX('Paramètres'!$I:$I,MATCH($C3766,'Paramètres'!$D:$D,0))&amp;"","")=IF($P3766=1,"Débit",$L3766)),-IF($P3766=1,-$K3766,$K3766),0))))</f>
        <v/>
      </c>
      <c r="U3766" s="6" t="str">
        <f>IF($K3766="","",IF(ISNUMBER(SEARCH("sortie-epargne",IFERROR(INDEX('Paramètres'!$N:$N,MATCH($D3766,'Paramètres'!$M:$M,0))&amp;"",""))),$K3766,0))</f>
        <v/>
      </c>
      <c r="V3766" s="6" t="str">
        <f>IF(AND($A3766&lt;&gt;"",$O3766=1,$L3766="Débit",N($Q3766)&gt;0,$A3766&gt;=Visualisation!$B$1,$A3766&lt;Visualisation!$D$1),MAX($V$1:V3765)+1,"")</f>
        <v/>
      </c>
    </row>
    <row r="3767" spans="1:22" x14ac:dyDescent="0.25">
      <c r="A3767" s="9"/>
      <c r="E3767" s="10"/>
      <c r="K3767" s="11" t="str">
        <f>IF($E3767="","",ROUND($E3767*IF(ISNA(MATCH($C3767,'Paramètres'!$D:$D,0)),1,IF(INDEX('Paramètres'!$J:$J,MATCH($C3767,'Paramètres'!$D:$D,0))="",1,INDEX('Paramètres'!$J:$J,MATCH($C3767,'Paramètres'!$D:$D,0)))),2))</f>
        <v/>
      </c>
      <c r="L3767" s="6" t="str">
        <f>IF($D3767="","",IF($F3767&lt;&gt;"",$F3767,IF(ISNA(MATCH($D3767,'Paramètres'!$M:$M,0)),"⚠ Type inconnu",IFERROR(INDEX('Paramètres'!$P:$P,MATCH($D3767,'Paramètres'!$M:$M,0))&amp;"",""))))</f>
        <v/>
      </c>
      <c r="M3767" s="6" t="str">
        <f>IF($D3767="","",IF(ISNA(MATCH($D3767,'Paramètres'!$M:$M,0)),"⚠ Type inconnu",IF($L3767="Crédit","",IFERROR(INDEX('Paramètres'!$O:$O,MATCH($D3767,'Paramètres'!$M:$M,0))&amp;"",""))))</f>
        <v/>
      </c>
      <c r="N3767" s="6" t="str">
        <f>IF($D3767="","",IFERROR(INDEX('Paramètres'!$Q:$Q,MATCH($D3767,'Paramètres'!$M:$M,0))&amp;"",""))</f>
        <v/>
      </c>
      <c r="O3767" s="6" t="str">
        <f>IF($A3767="","",IF(OR($J3767&lt;&gt;"x",$A3767&lt;=FinReleve),1,0))</f>
        <v/>
      </c>
      <c r="P3767" s="6" t="str">
        <f>IF($D3767="","",IF(AND($L3767="Crédit",OR(IFERROR(INDEX('Paramètres'!$O:$O,MATCH($D3767,'Paramètres'!$M:$M,0))&amp;"","")&lt;&gt;"",ISNUMBER(SEARCH("remboursement",IFERROR(INDEX('Paramètres'!$N:$N,MATCH($D3767,'Paramètres'!$M:$M,0))&amp;"",""))))),1,0))</f>
        <v/>
      </c>
      <c r="Q3767" s="6" t="str">
        <f>IF($K3767="","",IF(ISNUMBER(SEARCH("transfert-interne",IFERROR(INDEX('Paramètres'!$N:$N,MATCH($D3767,'Paramètres'!$M:$M,0))&amp;"",""))),0,IF($L3767="Débit",$K3767,IF($P3767=1,-$K3767,0))))</f>
        <v/>
      </c>
      <c r="R3767" s="6" t="str">
        <f>IF($K3767="","",IF($L3767="Crédit",$K3767,-$K3767))</f>
        <v/>
      </c>
      <c r="S3767" s="6" t="str">
        <f>IF($C3767="","",IFERROR(INDEX('Paramètres'!$H:$H,MATCH($C3767,'Paramètres'!$D:$D,0))&amp;"",""))</f>
        <v/>
      </c>
      <c r="T3767" s="6" t="str">
        <f>IF($K3767="","",IF($S3767="",0,IF(ISNUMBER(SEARCH("apport-exterieur",IFERROR(INDEX('Paramètres'!$N:$N,MATCH($D3767,'Paramètres'!$M:$M,0))&amp;"",""))),0,IF(OR(IFERROR(INDEX('Paramètres'!$I:$I,MATCH($C3767,'Paramètres'!$D:$D,0))&amp;"","")="Les deux",IFERROR(INDEX('Paramètres'!$I:$I,MATCH($C3767,'Paramètres'!$D:$D,0))&amp;"","")=IF($P3767=1,"Débit",$L3767)),-IF($P3767=1,-$K3767,$K3767),0))))</f>
        <v/>
      </c>
      <c r="U3767" s="6" t="str">
        <f>IF($K3767="","",IF(ISNUMBER(SEARCH("sortie-epargne",IFERROR(INDEX('Paramètres'!$N:$N,MATCH($D3767,'Paramètres'!$M:$M,0))&amp;"",""))),$K3767,0))</f>
        <v/>
      </c>
      <c r="V3767" s="6" t="str">
        <f>IF(AND($A3767&lt;&gt;"",$O3767=1,$L3767="Débit",N($Q3767)&gt;0,$A3767&gt;=Visualisation!$B$1,$A3767&lt;Visualisation!$D$1),MAX($V$1:V3766)+1,"")</f>
        <v/>
      </c>
    </row>
    <row r="3768" spans="1:22" x14ac:dyDescent="0.25">
      <c r="A3768" s="9"/>
      <c r="E3768" s="10"/>
      <c r="K3768" s="11" t="str">
        <f>IF($E3768="","",ROUND($E3768*IF(ISNA(MATCH($C3768,'Paramètres'!$D:$D,0)),1,IF(INDEX('Paramètres'!$J:$J,MATCH($C3768,'Paramètres'!$D:$D,0))="",1,INDEX('Paramètres'!$J:$J,MATCH($C3768,'Paramètres'!$D:$D,0)))),2))</f>
        <v/>
      </c>
      <c r="L3768" s="6" t="str">
        <f>IF($D3768="","",IF($F3768&lt;&gt;"",$F3768,IF(ISNA(MATCH($D3768,'Paramètres'!$M:$M,0)),"⚠ Type inconnu",IFERROR(INDEX('Paramètres'!$P:$P,MATCH($D3768,'Paramètres'!$M:$M,0))&amp;"",""))))</f>
        <v/>
      </c>
      <c r="M3768" s="6" t="str">
        <f>IF($D3768="","",IF(ISNA(MATCH($D3768,'Paramètres'!$M:$M,0)),"⚠ Type inconnu",IF($L3768="Crédit","",IFERROR(INDEX('Paramètres'!$O:$O,MATCH($D3768,'Paramètres'!$M:$M,0))&amp;"",""))))</f>
        <v/>
      </c>
      <c r="N3768" s="6" t="str">
        <f>IF($D3768="","",IFERROR(INDEX('Paramètres'!$Q:$Q,MATCH($D3768,'Paramètres'!$M:$M,0))&amp;"",""))</f>
        <v/>
      </c>
      <c r="O3768" s="6" t="str">
        <f>IF($A3768="","",IF(OR($J3768&lt;&gt;"x",$A3768&lt;=FinReleve),1,0))</f>
        <v/>
      </c>
      <c r="P3768" s="6" t="str">
        <f>IF($D3768="","",IF(AND($L3768="Crédit",OR(IFERROR(INDEX('Paramètres'!$O:$O,MATCH($D3768,'Paramètres'!$M:$M,0))&amp;"","")&lt;&gt;"",ISNUMBER(SEARCH("remboursement",IFERROR(INDEX('Paramètres'!$N:$N,MATCH($D3768,'Paramètres'!$M:$M,0))&amp;"",""))))),1,0))</f>
        <v/>
      </c>
      <c r="Q3768" s="6" t="str">
        <f>IF($K3768="","",IF(ISNUMBER(SEARCH("transfert-interne",IFERROR(INDEX('Paramètres'!$N:$N,MATCH($D3768,'Paramètres'!$M:$M,0))&amp;"",""))),0,IF($L3768="Débit",$K3768,IF($P3768=1,-$K3768,0))))</f>
        <v/>
      </c>
      <c r="R3768" s="6" t="str">
        <f>IF($K3768="","",IF($L3768="Crédit",$K3768,-$K3768))</f>
        <v/>
      </c>
      <c r="S3768" s="6" t="str">
        <f>IF($C3768="","",IFERROR(INDEX('Paramètres'!$H:$H,MATCH($C3768,'Paramètres'!$D:$D,0))&amp;"",""))</f>
        <v/>
      </c>
      <c r="T3768" s="6" t="str">
        <f>IF($K3768="","",IF($S3768="",0,IF(ISNUMBER(SEARCH("apport-exterieur",IFERROR(INDEX('Paramètres'!$N:$N,MATCH($D3768,'Paramètres'!$M:$M,0))&amp;"",""))),0,IF(OR(IFERROR(INDEX('Paramètres'!$I:$I,MATCH($C3768,'Paramètres'!$D:$D,0))&amp;"","")="Les deux",IFERROR(INDEX('Paramètres'!$I:$I,MATCH($C3768,'Paramètres'!$D:$D,0))&amp;"","")=IF($P3768=1,"Débit",$L3768)),-IF($P3768=1,-$K3768,$K3768),0))))</f>
        <v/>
      </c>
      <c r="U3768" s="6" t="str">
        <f>IF($K3768="","",IF(ISNUMBER(SEARCH("sortie-epargne",IFERROR(INDEX('Paramètres'!$N:$N,MATCH($D3768,'Paramètres'!$M:$M,0))&amp;"",""))),$K3768,0))</f>
        <v/>
      </c>
      <c r="V3768" s="6" t="str">
        <f>IF(AND($A3768&lt;&gt;"",$O3768=1,$L3768="Débit",N($Q3768)&gt;0,$A3768&gt;=Visualisation!$B$1,$A3768&lt;Visualisation!$D$1),MAX($V$1:V3767)+1,"")</f>
        <v/>
      </c>
    </row>
    <row r="3769" spans="1:22" x14ac:dyDescent="0.25">
      <c r="A3769" s="9"/>
      <c r="E3769" s="10"/>
      <c r="K3769" s="11" t="str">
        <f>IF($E3769="","",ROUND($E3769*IF(ISNA(MATCH($C3769,'Paramètres'!$D:$D,0)),1,IF(INDEX('Paramètres'!$J:$J,MATCH($C3769,'Paramètres'!$D:$D,0))="",1,INDEX('Paramètres'!$J:$J,MATCH($C3769,'Paramètres'!$D:$D,0)))),2))</f>
        <v/>
      </c>
      <c r="L3769" s="6" t="str">
        <f>IF($D3769="","",IF($F3769&lt;&gt;"",$F3769,IF(ISNA(MATCH($D3769,'Paramètres'!$M:$M,0)),"⚠ Type inconnu",IFERROR(INDEX('Paramètres'!$P:$P,MATCH($D3769,'Paramètres'!$M:$M,0))&amp;"",""))))</f>
        <v/>
      </c>
      <c r="M3769" s="6" t="str">
        <f>IF($D3769="","",IF(ISNA(MATCH($D3769,'Paramètres'!$M:$M,0)),"⚠ Type inconnu",IF($L3769="Crédit","",IFERROR(INDEX('Paramètres'!$O:$O,MATCH($D3769,'Paramètres'!$M:$M,0))&amp;"",""))))</f>
        <v/>
      </c>
      <c r="N3769" s="6" t="str">
        <f>IF($D3769="","",IFERROR(INDEX('Paramètres'!$Q:$Q,MATCH($D3769,'Paramètres'!$M:$M,0))&amp;"",""))</f>
        <v/>
      </c>
      <c r="O3769" s="6" t="str">
        <f>IF($A3769="","",IF(OR($J3769&lt;&gt;"x",$A3769&lt;=FinReleve),1,0))</f>
        <v/>
      </c>
      <c r="P3769" s="6" t="str">
        <f>IF($D3769="","",IF(AND($L3769="Crédit",OR(IFERROR(INDEX('Paramètres'!$O:$O,MATCH($D3769,'Paramètres'!$M:$M,0))&amp;"","")&lt;&gt;"",ISNUMBER(SEARCH("remboursement",IFERROR(INDEX('Paramètres'!$N:$N,MATCH($D3769,'Paramètres'!$M:$M,0))&amp;"",""))))),1,0))</f>
        <v/>
      </c>
      <c r="Q3769" s="6" t="str">
        <f>IF($K3769="","",IF(ISNUMBER(SEARCH("transfert-interne",IFERROR(INDEX('Paramètres'!$N:$N,MATCH($D3769,'Paramètres'!$M:$M,0))&amp;"",""))),0,IF($L3769="Débit",$K3769,IF($P3769=1,-$K3769,0))))</f>
        <v/>
      </c>
      <c r="R3769" s="6" t="str">
        <f>IF($K3769="","",IF($L3769="Crédit",$K3769,-$K3769))</f>
        <v/>
      </c>
      <c r="S3769" s="6" t="str">
        <f>IF($C3769="","",IFERROR(INDEX('Paramètres'!$H:$H,MATCH($C3769,'Paramètres'!$D:$D,0))&amp;"",""))</f>
        <v/>
      </c>
      <c r="T3769" s="6" t="str">
        <f>IF($K3769="","",IF($S3769="",0,IF(ISNUMBER(SEARCH("apport-exterieur",IFERROR(INDEX('Paramètres'!$N:$N,MATCH($D3769,'Paramètres'!$M:$M,0))&amp;"",""))),0,IF(OR(IFERROR(INDEX('Paramètres'!$I:$I,MATCH($C3769,'Paramètres'!$D:$D,0))&amp;"","")="Les deux",IFERROR(INDEX('Paramètres'!$I:$I,MATCH($C3769,'Paramètres'!$D:$D,0))&amp;"","")=IF($P3769=1,"Débit",$L3769)),-IF($P3769=1,-$K3769,$K3769),0))))</f>
        <v/>
      </c>
      <c r="U3769" s="6" t="str">
        <f>IF($K3769="","",IF(ISNUMBER(SEARCH("sortie-epargne",IFERROR(INDEX('Paramètres'!$N:$N,MATCH($D3769,'Paramètres'!$M:$M,0))&amp;"",""))),$K3769,0))</f>
        <v/>
      </c>
      <c r="V3769" s="6" t="str">
        <f>IF(AND($A3769&lt;&gt;"",$O3769=1,$L3769="Débit",N($Q3769)&gt;0,$A3769&gt;=Visualisation!$B$1,$A3769&lt;Visualisation!$D$1),MAX($V$1:V3768)+1,"")</f>
        <v/>
      </c>
    </row>
    <row r="3770" spans="1:22" x14ac:dyDescent="0.25">
      <c r="A3770" s="9"/>
      <c r="E3770" s="10"/>
      <c r="K3770" s="11" t="str">
        <f>IF($E3770="","",ROUND($E3770*IF(ISNA(MATCH($C3770,'Paramètres'!$D:$D,0)),1,IF(INDEX('Paramètres'!$J:$J,MATCH($C3770,'Paramètres'!$D:$D,0))="",1,INDEX('Paramètres'!$J:$J,MATCH($C3770,'Paramètres'!$D:$D,0)))),2))</f>
        <v/>
      </c>
      <c r="L3770" s="6" t="str">
        <f>IF($D3770="","",IF($F3770&lt;&gt;"",$F3770,IF(ISNA(MATCH($D3770,'Paramètres'!$M:$M,0)),"⚠ Type inconnu",IFERROR(INDEX('Paramètres'!$P:$P,MATCH($D3770,'Paramètres'!$M:$M,0))&amp;"",""))))</f>
        <v/>
      </c>
      <c r="M3770" s="6" t="str">
        <f>IF($D3770="","",IF(ISNA(MATCH($D3770,'Paramètres'!$M:$M,0)),"⚠ Type inconnu",IF($L3770="Crédit","",IFERROR(INDEX('Paramètres'!$O:$O,MATCH($D3770,'Paramètres'!$M:$M,0))&amp;"",""))))</f>
        <v/>
      </c>
      <c r="N3770" s="6" t="str">
        <f>IF($D3770="","",IFERROR(INDEX('Paramètres'!$Q:$Q,MATCH($D3770,'Paramètres'!$M:$M,0))&amp;"",""))</f>
        <v/>
      </c>
      <c r="O3770" s="6" t="str">
        <f>IF($A3770="","",IF(OR($J3770&lt;&gt;"x",$A3770&lt;=FinReleve),1,0))</f>
        <v/>
      </c>
      <c r="P3770" s="6" t="str">
        <f>IF($D3770="","",IF(AND($L3770="Crédit",OR(IFERROR(INDEX('Paramètres'!$O:$O,MATCH($D3770,'Paramètres'!$M:$M,0))&amp;"","")&lt;&gt;"",ISNUMBER(SEARCH("remboursement",IFERROR(INDEX('Paramètres'!$N:$N,MATCH($D3770,'Paramètres'!$M:$M,0))&amp;"",""))))),1,0))</f>
        <v/>
      </c>
      <c r="Q3770" s="6" t="str">
        <f>IF($K3770="","",IF(ISNUMBER(SEARCH("transfert-interne",IFERROR(INDEX('Paramètres'!$N:$N,MATCH($D3770,'Paramètres'!$M:$M,0))&amp;"",""))),0,IF($L3770="Débit",$K3770,IF($P3770=1,-$K3770,0))))</f>
        <v/>
      </c>
      <c r="R3770" s="6" t="str">
        <f>IF($K3770="","",IF($L3770="Crédit",$K3770,-$K3770))</f>
        <v/>
      </c>
      <c r="S3770" s="6" t="str">
        <f>IF($C3770="","",IFERROR(INDEX('Paramètres'!$H:$H,MATCH($C3770,'Paramètres'!$D:$D,0))&amp;"",""))</f>
        <v/>
      </c>
      <c r="T3770" s="6" t="str">
        <f>IF($K3770="","",IF($S3770="",0,IF(ISNUMBER(SEARCH("apport-exterieur",IFERROR(INDEX('Paramètres'!$N:$N,MATCH($D3770,'Paramètres'!$M:$M,0))&amp;"",""))),0,IF(OR(IFERROR(INDEX('Paramètres'!$I:$I,MATCH($C3770,'Paramètres'!$D:$D,0))&amp;"","")="Les deux",IFERROR(INDEX('Paramètres'!$I:$I,MATCH($C3770,'Paramètres'!$D:$D,0))&amp;"","")=IF($P3770=1,"Débit",$L3770)),-IF($P3770=1,-$K3770,$K3770),0))))</f>
        <v/>
      </c>
      <c r="U3770" s="6" t="str">
        <f>IF($K3770="","",IF(ISNUMBER(SEARCH("sortie-epargne",IFERROR(INDEX('Paramètres'!$N:$N,MATCH($D3770,'Paramètres'!$M:$M,0))&amp;"",""))),$K3770,0))</f>
        <v/>
      </c>
      <c r="V3770" s="6" t="str">
        <f>IF(AND($A3770&lt;&gt;"",$O3770=1,$L3770="Débit",N($Q3770)&gt;0,$A3770&gt;=Visualisation!$B$1,$A3770&lt;Visualisation!$D$1),MAX($V$1:V3769)+1,"")</f>
        <v/>
      </c>
    </row>
    <row r="3771" spans="1:22" x14ac:dyDescent="0.25">
      <c r="A3771" s="9"/>
      <c r="E3771" s="10"/>
      <c r="K3771" s="11" t="str">
        <f>IF($E3771="","",ROUND($E3771*IF(ISNA(MATCH($C3771,'Paramètres'!$D:$D,0)),1,IF(INDEX('Paramètres'!$J:$J,MATCH($C3771,'Paramètres'!$D:$D,0))="",1,INDEX('Paramètres'!$J:$J,MATCH($C3771,'Paramètres'!$D:$D,0)))),2))</f>
        <v/>
      </c>
      <c r="L3771" s="6" t="str">
        <f>IF($D3771="","",IF($F3771&lt;&gt;"",$F3771,IF(ISNA(MATCH($D3771,'Paramètres'!$M:$M,0)),"⚠ Type inconnu",IFERROR(INDEX('Paramètres'!$P:$P,MATCH($D3771,'Paramètres'!$M:$M,0))&amp;"",""))))</f>
        <v/>
      </c>
      <c r="M3771" s="6" t="str">
        <f>IF($D3771="","",IF(ISNA(MATCH($D3771,'Paramètres'!$M:$M,0)),"⚠ Type inconnu",IF($L3771="Crédit","",IFERROR(INDEX('Paramètres'!$O:$O,MATCH($D3771,'Paramètres'!$M:$M,0))&amp;"",""))))</f>
        <v/>
      </c>
      <c r="N3771" s="6" t="str">
        <f>IF($D3771="","",IFERROR(INDEX('Paramètres'!$Q:$Q,MATCH($D3771,'Paramètres'!$M:$M,0))&amp;"",""))</f>
        <v/>
      </c>
      <c r="O3771" s="6" t="str">
        <f>IF($A3771="","",IF(OR($J3771&lt;&gt;"x",$A3771&lt;=FinReleve),1,0))</f>
        <v/>
      </c>
      <c r="P3771" s="6" t="str">
        <f>IF($D3771="","",IF(AND($L3771="Crédit",OR(IFERROR(INDEX('Paramètres'!$O:$O,MATCH($D3771,'Paramètres'!$M:$M,0))&amp;"","")&lt;&gt;"",ISNUMBER(SEARCH("remboursement",IFERROR(INDEX('Paramètres'!$N:$N,MATCH($D3771,'Paramètres'!$M:$M,0))&amp;"",""))))),1,0))</f>
        <v/>
      </c>
      <c r="Q3771" s="6" t="str">
        <f>IF($K3771="","",IF(ISNUMBER(SEARCH("transfert-interne",IFERROR(INDEX('Paramètres'!$N:$N,MATCH($D3771,'Paramètres'!$M:$M,0))&amp;"",""))),0,IF($L3771="Débit",$K3771,IF($P3771=1,-$K3771,0))))</f>
        <v/>
      </c>
      <c r="R3771" s="6" t="str">
        <f>IF($K3771="","",IF($L3771="Crédit",$K3771,-$K3771))</f>
        <v/>
      </c>
      <c r="S3771" s="6" t="str">
        <f>IF($C3771="","",IFERROR(INDEX('Paramètres'!$H:$H,MATCH($C3771,'Paramètres'!$D:$D,0))&amp;"",""))</f>
        <v/>
      </c>
      <c r="T3771" s="6" t="str">
        <f>IF($K3771="","",IF($S3771="",0,IF(ISNUMBER(SEARCH("apport-exterieur",IFERROR(INDEX('Paramètres'!$N:$N,MATCH($D3771,'Paramètres'!$M:$M,0))&amp;"",""))),0,IF(OR(IFERROR(INDEX('Paramètres'!$I:$I,MATCH($C3771,'Paramètres'!$D:$D,0))&amp;"","")="Les deux",IFERROR(INDEX('Paramètres'!$I:$I,MATCH($C3771,'Paramètres'!$D:$D,0))&amp;"","")=IF($P3771=1,"Débit",$L3771)),-IF($P3771=1,-$K3771,$K3771),0))))</f>
        <v/>
      </c>
      <c r="U3771" s="6" t="str">
        <f>IF($K3771="","",IF(ISNUMBER(SEARCH("sortie-epargne",IFERROR(INDEX('Paramètres'!$N:$N,MATCH($D3771,'Paramètres'!$M:$M,0))&amp;"",""))),$K3771,0))</f>
        <v/>
      </c>
      <c r="V3771" s="6" t="str">
        <f>IF(AND($A3771&lt;&gt;"",$O3771=1,$L3771="Débit",N($Q3771)&gt;0,$A3771&gt;=Visualisation!$B$1,$A3771&lt;Visualisation!$D$1),MAX($V$1:V3770)+1,"")</f>
        <v/>
      </c>
    </row>
    <row r="3772" spans="1:22" x14ac:dyDescent="0.25">
      <c r="A3772" s="9"/>
      <c r="E3772" s="10"/>
      <c r="K3772" s="11" t="str">
        <f>IF($E3772="","",ROUND($E3772*IF(ISNA(MATCH($C3772,'Paramètres'!$D:$D,0)),1,IF(INDEX('Paramètres'!$J:$J,MATCH($C3772,'Paramètres'!$D:$D,0))="",1,INDEX('Paramètres'!$J:$J,MATCH($C3772,'Paramètres'!$D:$D,0)))),2))</f>
        <v/>
      </c>
      <c r="L3772" s="6" t="str">
        <f>IF($D3772="","",IF($F3772&lt;&gt;"",$F3772,IF(ISNA(MATCH($D3772,'Paramètres'!$M:$M,0)),"⚠ Type inconnu",IFERROR(INDEX('Paramètres'!$P:$P,MATCH($D3772,'Paramètres'!$M:$M,0))&amp;"",""))))</f>
        <v/>
      </c>
      <c r="M3772" s="6" t="str">
        <f>IF($D3772="","",IF(ISNA(MATCH($D3772,'Paramètres'!$M:$M,0)),"⚠ Type inconnu",IF($L3772="Crédit","",IFERROR(INDEX('Paramètres'!$O:$O,MATCH($D3772,'Paramètres'!$M:$M,0))&amp;"",""))))</f>
        <v/>
      </c>
      <c r="N3772" s="6" t="str">
        <f>IF($D3772="","",IFERROR(INDEX('Paramètres'!$Q:$Q,MATCH($D3772,'Paramètres'!$M:$M,0))&amp;"",""))</f>
        <v/>
      </c>
      <c r="O3772" s="6" t="str">
        <f>IF($A3772="","",IF(OR($J3772&lt;&gt;"x",$A3772&lt;=FinReleve),1,0))</f>
        <v/>
      </c>
      <c r="P3772" s="6" t="str">
        <f>IF($D3772="","",IF(AND($L3772="Crédit",OR(IFERROR(INDEX('Paramètres'!$O:$O,MATCH($D3772,'Paramètres'!$M:$M,0))&amp;"","")&lt;&gt;"",ISNUMBER(SEARCH("remboursement",IFERROR(INDEX('Paramètres'!$N:$N,MATCH($D3772,'Paramètres'!$M:$M,0))&amp;"",""))))),1,0))</f>
        <v/>
      </c>
      <c r="Q3772" s="6" t="str">
        <f>IF($K3772="","",IF(ISNUMBER(SEARCH("transfert-interne",IFERROR(INDEX('Paramètres'!$N:$N,MATCH($D3772,'Paramètres'!$M:$M,0))&amp;"",""))),0,IF($L3772="Débit",$K3772,IF($P3772=1,-$K3772,0))))</f>
        <v/>
      </c>
      <c r="R3772" s="6" t="str">
        <f>IF($K3772="","",IF($L3772="Crédit",$K3772,-$K3772))</f>
        <v/>
      </c>
      <c r="S3772" s="6" t="str">
        <f>IF($C3772="","",IFERROR(INDEX('Paramètres'!$H:$H,MATCH($C3772,'Paramètres'!$D:$D,0))&amp;"",""))</f>
        <v/>
      </c>
      <c r="T3772" s="6" t="str">
        <f>IF($K3772="","",IF($S3772="",0,IF(ISNUMBER(SEARCH("apport-exterieur",IFERROR(INDEX('Paramètres'!$N:$N,MATCH($D3772,'Paramètres'!$M:$M,0))&amp;"",""))),0,IF(OR(IFERROR(INDEX('Paramètres'!$I:$I,MATCH($C3772,'Paramètres'!$D:$D,0))&amp;"","")="Les deux",IFERROR(INDEX('Paramètres'!$I:$I,MATCH($C3772,'Paramètres'!$D:$D,0))&amp;"","")=IF($P3772=1,"Débit",$L3772)),-IF($P3772=1,-$K3772,$K3772),0))))</f>
        <v/>
      </c>
      <c r="U3772" s="6" t="str">
        <f>IF($K3772="","",IF(ISNUMBER(SEARCH("sortie-epargne",IFERROR(INDEX('Paramètres'!$N:$N,MATCH($D3772,'Paramètres'!$M:$M,0))&amp;"",""))),$K3772,0))</f>
        <v/>
      </c>
      <c r="V3772" s="6" t="str">
        <f>IF(AND($A3772&lt;&gt;"",$O3772=1,$L3772="Débit",N($Q3772)&gt;0,$A3772&gt;=Visualisation!$B$1,$A3772&lt;Visualisation!$D$1),MAX($V$1:V3771)+1,"")</f>
        <v/>
      </c>
    </row>
    <row r="3773" spans="1:22" x14ac:dyDescent="0.25">
      <c r="A3773" s="9"/>
      <c r="E3773" s="10"/>
      <c r="K3773" s="11" t="str">
        <f>IF($E3773="","",ROUND($E3773*IF(ISNA(MATCH($C3773,'Paramètres'!$D:$D,0)),1,IF(INDEX('Paramètres'!$J:$J,MATCH($C3773,'Paramètres'!$D:$D,0))="",1,INDEX('Paramètres'!$J:$J,MATCH($C3773,'Paramètres'!$D:$D,0)))),2))</f>
        <v/>
      </c>
      <c r="L3773" s="6" t="str">
        <f>IF($D3773="","",IF($F3773&lt;&gt;"",$F3773,IF(ISNA(MATCH($D3773,'Paramètres'!$M:$M,0)),"⚠ Type inconnu",IFERROR(INDEX('Paramètres'!$P:$P,MATCH($D3773,'Paramètres'!$M:$M,0))&amp;"",""))))</f>
        <v/>
      </c>
      <c r="M3773" s="6" t="str">
        <f>IF($D3773="","",IF(ISNA(MATCH($D3773,'Paramètres'!$M:$M,0)),"⚠ Type inconnu",IF($L3773="Crédit","",IFERROR(INDEX('Paramètres'!$O:$O,MATCH($D3773,'Paramètres'!$M:$M,0))&amp;"",""))))</f>
        <v/>
      </c>
      <c r="N3773" s="6" t="str">
        <f>IF($D3773="","",IFERROR(INDEX('Paramètres'!$Q:$Q,MATCH($D3773,'Paramètres'!$M:$M,0))&amp;"",""))</f>
        <v/>
      </c>
      <c r="O3773" s="6" t="str">
        <f>IF($A3773="","",IF(OR($J3773&lt;&gt;"x",$A3773&lt;=FinReleve),1,0))</f>
        <v/>
      </c>
      <c r="P3773" s="6" t="str">
        <f>IF($D3773="","",IF(AND($L3773="Crédit",OR(IFERROR(INDEX('Paramètres'!$O:$O,MATCH($D3773,'Paramètres'!$M:$M,0))&amp;"","")&lt;&gt;"",ISNUMBER(SEARCH("remboursement",IFERROR(INDEX('Paramètres'!$N:$N,MATCH($D3773,'Paramètres'!$M:$M,0))&amp;"",""))))),1,0))</f>
        <v/>
      </c>
      <c r="Q3773" s="6" t="str">
        <f>IF($K3773="","",IF(ISNUMBER(SEARCH("transfert-interne",IFERROR(INDEX('Paramètres'!$N:$N,MATCH($D3773,'Paramètres'!$M:$M,0))&amp;"",""))),0,IF($L3773="Débit",$K3773,IF($P3773=1,-$K3773,0))))</f>
        <v/>
      </c>
      <c r="R3773" s="6" t="str">
        <f>IF($K3773="","",IF($L3773="Crédit",$K3773,-$K3773))</f>
        <v/>
      </c>
      <c r="S3773" s="6" t="str">
        <f>IF($C3773="","",IFERROR(INDEX('Paramètres'!$H:$H,MATCH($C3773,'Paramètres'!$D:$D,0))&amp;"",""))</f>
        <v/>
      </c>
      <c r="T3773" s="6" t="str">
        <f>IF($K3773="","",IF($S3773="",0,IF(ISNUMBER(SEARCH("apport-exterieur",IFERROR(INDEX('Paramètres'!$N:$N,MATCH($D3773,'Paramètres'!$M:$M,0))&amp;"",""))),0,IF(OR(IFERROR(INDEX('Paramètres'!$I:$I,MATCH($C3773,'Paramètres'!$D:$D,0))&amp;"","")="Les deux",IFERROR(INDEX('Paramètres'!$I:$I,MATCH($C3773,'Paramètres'!$D:$D,0))&amp;"","")=IF($P3773=1,"Débit",$L3773)),-IF($P3773=1,-$K3773,$K3773),0))))</f>
        <v/>
      </c>
      <c r="U3773" s="6" t="str">
        <f>IF($K3773="","",IF(ISNUMBER(SEARCH("sortie-epargne",IFERROR(INDEX('Paramètres'!$N:$N,MATCH($D3773,'Paramètres'!$M:$M,0))&amp;"",""))),$K3773,0))</f>
        <v/>
      </c>
      <c r="V3773" s="6" t="str">
        <f>IF(AND($A3773&lt;&gt;"",$O3773=1,$L3773="Débit",N($Q3773)&gt;0,$A3773&gt;=Visualisation!$B$1,$A3773&lt;Visualisation!$D$1),MAX($V$1:V3772)+1,"")</f>
        <v/>
      </c>
    </row>
    <row r="3774" spans="1:22" x14ac:dyDescent="0.25">
      <c r="A3774" s="9"/>
      <c r="E3774" s="10"/>
      <c r="K3774" s="11" t="str">
        <f>IF($E3774="","",ROUND($E3774*IF(ISNA(MATCH($C3774,'Paramètres'!$D:$D,0)),1,IF(INDEX('Paramètres'!$J:$J,MATCH($C3774,'Paramètres'!$D:$D,0))="",1,INDEX('Paramètres'!$J:$J,MATCH($C3774,'Paramètres'!$D:$D,0)))),2))</f>
        <v/>
      </c>
      <c r="L3774" s="6" t="str">
        <f>IF($D3774="","",IF($F3774&lt;&gt;"",$F3774,IF(ISNA(MATCH($D3774,'Paramètres'!$M:$M,0)),"⚠ Type inconnu",IFERROR(INDEX('Paramètres'!$P:$P,MATCH($D3774,'Paramètres'!$M:$M,0))&amp;"",""))))</f>
        <v/>
      </c>
      <c r="M3774" s="6" t="str">
        <f>IF($D3774="","",IF(ISNA(MATCH($D3774,'Paramètres'!$M:$M,0)),"⚠ Type inconnu",IF($L3774="Crédit","",IFERROR(INDEX('Paramètres'!$O:$O,MATCH($D3774,'Paramètres'!$M:$M,0))&amp;"",""))))</f>
        <v/>
      </c>
      <c r="N3774" s="6" t="str">
        <f>IF($D3774="","",IFERROR(INDEX('Paramètres'!$Q:$Q,MATCH($D3774,'Paramètres'!$M:$M,0))&amp;"",""))</f>
        <v/>
      </c>
      <c r="O3774" s="6" t="str">
        <f>IF($A3774="","",IF(OR($J3774&lt;&gt;"x",$A3774&lt;=FinReleve),1,0))</f>
        <v/>
      </c>
      <c r="P3774" s="6" t="str">
        <f>IF($D3774="","",IF(AND($L3774="Crédit",OR(IFERROR(INDEX('Paramètres'!$O:$O,MATCH($D3774,'Paramètres'!$M:$M,0))&amp;"","")&lt;&gt;"",ISNUMBER(SEARCH("remboursement",IFERROR(INDEX('Paramètres'!$N:$N,MATCH($D3774,'Paramètres'!$M:$M,0))&amp;"",""))))),1,0))</f>
        <v/>
      </c>
      <c r="Q3774" s="6" t="str">
        <f>IF($K3774="","",IF(ISNUMBER(SEARCH("transfert-interne",IFERROR(INDEX('Paramètres'!$N:$N,MATCH($D3774,'Paramètres'!$M:$M,0))&amp;"",""))),0,IF($L3774="Débit",$K3774,IF($P3774=1,-$K3774,0))))</f>
        <v/>
      </c>
      <c r="R3774" s="6" t="str">
        <f>IF($K3774="","",IF($L3774="Crédit",$K3774,-$K3774))</f>
        <v/>
      </c>
      <c r="S3774" s="6" t="str">
        <f>IF($C3774="","",IFERROR(INDEX('Paramètres'!$H:$H,MATCH($C3774,'Paramètres'!$D:$D,0))&amp;"",""))</f>
        <v/>
      </c>
      <c r="T3774" s="6" t="str">
        <f>IF($K3774="","",IF($S3774="",0,IF(ISNUMBER(SEARCH("apport-exterieur",IFERROR(INDEX('Paramètres'!$N:$N,MATCH($D3774,'Paramètres'!$M:$M,0))&amp;"",""))),0,IF(OR(IFERROR(INDEX('Paramètres'!$I:$I,MATCH($C3774,'Paramètres'!$D:$D,0))&amp;"","")="Les deux",IFERROR(INDEX('Paramètres'!$I:$I,MATCH($C3774,'Paramètres'!$D:$D,0))&amp;"","")=IF($P3774=1,"Débit",$L3774)),-IF($P3774=1,-$K3774,$K3774),0))))</f>
        <v/>
      </c>
      <c r="U3774" s="6" t="str">
        <f>IF($K3774="","",IF(ISNUMBER(SEARCH("sortie-epargne",IFERROR(INDEX('Paramètres'!$N:$N,MATCH($D3774,'Paramètres'!$M:$M,0))&amp;"",""))),$K3774,0))</f>
        <v/>
      </c>
      <c r="V3774" s="6" t="str">
        <f>IF(AND($A3774&lt;&gt;"",$O3774=1,$L3774="Débit",N($Q3774)&gt;0,$A3774&gt;=Visualisation!$B$1,$A3774&lt;Visualisation!$D$1),MAX($V$1:V3773)+1,"")</f>
        <v/>
      </c>
    </row>
    <row r="3775" spans="1:22" x14ac:dyDescent="0.25">
      <c r="A3775" s="9"/>
      <c r="E3775" s="10"/>
      <c r="K3775" s="11" t="str">
        <f>IF($E3775="","",ROUND($E3775*IF(ISNA(MATCH($C3775,'Paramètres'!$D:$D,0)),1,IF(INDEX('Paramètres'!$J:$J,MATCH($C3775,'Paramètres'!$D:$D,0))="",1,INDEX('Paramètres'!$J:$J,MATCH($C3775,'Paramètres'!$D:$D,0)))),2))</f>
        <v/>
      </c>
      <c r="L3775" s="6" t="str">
        <f>IF($D3775="","",IF($F3775&lt;&gt;"",$F3775,IF(ISNA(MATCH($D3775,'Paramètres'!$M:$M,0)),"⚠ Type inconnu",IFERROR(INDEX('Paramètres'!$P:$P,MATCH($D3775,'Paramètres'!$M:$M,0))&amp;"",""))))</f>
        <v/>
      </c>
      <c r="M3775" s="6" t="str">
        <f>IF($D3775="","",IF(ISNA(MATCH($D3775,'Paramètres'!$M:$M,0)),"⚠ Type inconnu",IF($L3775="Crédit","",IFERROR(INDEX('Paramètres'!$O:$O,MATCH($D3775,'Paramètres'!$M:$M,0))&amp;"",""))))</f>
        <v/>
      </c>
      <c r="N3775" s="6" t="str">
        <f>IF($D3775="","",IFERROR(INDEX('Paramètres'!$Q:$Q,MATCH($D3775,'Paramètres'!$M:$M,0))&amp;"",""))</f>
        <v/>
      </c>
      <c r="O3775" s="6" t="str">
        <f>IF($A3775="","",IF(OR($J3775&lt;&gt;"x",$A3775&lt;=FinReleve),1,0))</f>
        <v/>
      </c>
      <c r="P3775" s="6" t="str">
        <f>IF($D3775="","",IF(AND($L3775="Crédit",OR(IFERROR(INDEX('Paramètres'!$O:$O,MATCH($D3775,'Paramètres'!$M:$M,0))&amp;"","")&lt;&gt;"",ISNUMBER(SEARCH("remboursement",IFERROR(INDEX('Paramètres'!$N:$N,MATCH($D3775,'Paramètres'!$M:$M,0))&amp;"",""))))),1,0))</f>
        <v/>
      </c>
      <c r="Q3775" s="6" t="str">
        <f>IF($K3775="","",IF(ISNUMBER(SEARCH("transfert-interne",IFERROR(INDEX('Paramètres'!$N:$N,MATCH($D3775,'Paramètres'!$M:$M,0))&amp;"",""))),0,IF($L3775="Débit",$K3775,IF($P3775=1,-$K3775,0))))</f>
        <v/>
      </c>
      <c r="R3775" s="6" t="str">
        <f>IF($K3775="","",IF($L3775="Crédit",$K3775,-$K3775))</f>
        <v/>
      </c>
      <c r="S3775" s="6" t="str">
        <f>IF($C3775="","",IFERROR(INDEX('Paramètres'!$H:$H,MATCH($C3775,'Paramètres'!$D:$D,0))&amp;"",""))</f>
        <v/>
      </c>
      <c r="T3775" s="6" t="str">
        <f>IF($K3775="","",IF($S3775="",0,IF(ISNUMBER(SEARCH("apport-exterieur",IFERROR(INDEX('Paramètres'!$N:$N,MATCH($D3775,'Paramètres'!$M:$M,0))&amp;"",""))),0,IF(OR(IFERROR(INDEX('Paramètres'!$I:$I,MATCH($C3775,'Paramètres'!$D:$D,0))&amp;"","")="Les deux",IFERROR(INDEX('Paramètres'!$I:$I,MATCH($C3775,'Paramètres'!$D:$D,0))&amp;"","")=IF($P3775=1,"Débit",$L3775)),-IF($P3775=1,-$K3775,$K3775),0))))</f>
        <v/>
      </c>
      <c r="U3775" s="6" t="str">
        <f>IF($K3775="","",IF(ISNUMBER(SEARCH("sortie-epargne",IFERROR(INDEX('Paramètres'!$N:$N,MATCH($D3775,'Paramètres'!$M:$M,0))&amp;"",""))),$K3775,0))</f>
        <v/>
      </c>
      <c r="V3775" s="6" t="str">
        <f>IF(AND($A3775&lt;&gt;"",$O3775=1,$L3775="Débit",N($Q3775)&gt;0,$A3775&gt;=Visualisation!$B$1,$A3775&lt;Visualisation!$D$1),MAX($V$1:V3774)+1,"")</f>
        <v/>
      </c>
    </row>
    <row r="3776" spans="1:22" x14ac:dyDescent="0.25">
      <c r="A3776" s="9"/>
      <c r="E3776" s="10"/>
      <c r="K3776" s="11" t="str">
        <f>IF($E3776="","",ROUND($E3776*IF(ISNA(MATCH($C3776,'Paramètres'!$D:$D,0)),1,IF(INDEX('Paramètres'!$J:$J,MATCH($C3776,'Paramètres'!$D:$D,0))="",1,INDEX('Paramètres'!$J:$J,MATCH($C3776,'Paramètres'!$D:$D,0)))),2))</f>
        <v/>
      </c>
      <c r="L3776" s="6" t="str">
        <f>IF($D3776="","",IF($F3776&lt;&gt;"",$F3776,IF(ISNA(MATCH($D3776,'Paramètres'!$M:$M,0)),"⚠ Type inconnu",IFERROR(INDEX('Paramètres'!$P:$P,MATCH($D3776,'Paramètres'!$M:$M,0))&amp;"",""))))</f>
        <v/>
      </c>
      <c r="M3776" s="6" t="str">
        <f>IF($D3776="","",IF(ISNA(MATCH($D3776,'Paramètres'!$M:$M,0)),"⚠ Type inconnu",IF($L3776="Crédit","",IFERROR(INDEX('Paramètres'!$O:$O,MATCH($D3776,'Paramètres'!$M:$M,0))&amp;"",""))))</f>
        <v/>
      </c>
      <c r="N3776" s="6" t="str">
        <f>IF($D3776="","",IFERROR(INDEX('Paramètres'!$Q:$Q,MATCH($D3776,'Paramètres'!$M:$M,0))&amp;"",""))</f>
        <v/>
      </c>
      <c r="O3776" s="6" t="str">
        <f>IF($A3776="","",IF(OR($J3776&lt;&gt;"x",$A3776&lt;=FinReleve),1,0))</f>
        <v/>
      </c>
      <c r="P3776" s="6" t="str">
        <f>IF($D3776="","",IF(AND($L3776="Crédit",OR(IFERROR(INDEX('Paramètres'!$O:$O,MATCH($D3776,'Paramètres'!$M:$M,0))&amp;"","")&lt;&gt;"",ISNUMBER(SEARCH("remboursement",IFERROR(INDEX('Paramètres'!$N:$N,MATCH($D3776,'Paramètres'!$M:$M,0))&amp;"",""))))),1,0))</f>
        <v/>
      </c>
      <c r="Q3776" s="6" t="str">
        <f>IF($K3776="","",IF(ISNUMBER(SEARCH("transfert-interne",IFERROR(INDEX('Paramètres'!$N:$N,MATCH($D3776,'Paramètres'!$M:$M,0))&amp;"",""))),0,IF($L3776="Débit",$K3776,IF($P3776=1,-$K3776,0))))</f>
        <v/>
      </c>
      <c r="R3776" s="6" t="str">
        <f>IF($K3776="","",IF($L3776="Crédit",$K3776,-$K3776))</f>
        <v/>
      </c>
      <c r="S3776" s="6" t="str">
        <f>IF($C3776="","",IFERROR(INDEX('Paramètres'!$H:$H,MATCH($C3776,'Paramètres'!$D:$D,0))&amp;"",""))</f>
        <v/>
      </c>
      <c r="T3776" s="6" t="str">
        <f>IF($K3776="","",IF($S3776="",0,IF(ISNUMBER(SEARCH("apport-exterieur",IFERROR(INDEX('Paramètres'!$N:$N,MATCH($D3776,'Paramètres'!$M:$M,0))&amp;"",""))),0,IF(OR(IFERROR(INDEX('Paramètres'!$I:$I,MATCH($C3776,'Paramètres'!$D:$D,0))&amp;"","")="Les deux",IFERROR(INDEX('Paramètres'!$I:$I,MATCH($C3776,'Paramètres'!$D:$D,0))&amp;"","")=IF($P3776=1,"Débit",$L3776)),-IF($P3776=1,-$K3776,$K3776),0))))</f>
        <v/>
      </c>
      <c r="U3776" s="6" t="str">
        <f>IF($K3776="","",IF(ISNUMBER(SEARCH("sortie-epargne",IFERROR(INDEX('Paramètres'!$N:$N,MATCH($D3776,'Paramètres'!$M:$M,0))&amp;"",""))),$K3776,0))</f>
        <v/>
      </c>
      <c r="V3776" s="6" t="str">
        <f>IF(AND($A3776&lt;&gt;"",$O3776=1,$L3776="Débit",N($Q3776)&gt;0,$A3776&gt;=Visualisation!$B$1,$A3776&lt;Visualisation!$D$1),MAX($V$1:V3775)+1,"")</f>
        <v/>
      </c>
    </row>
    <row r="3777" spans="1:22" x14ac:dyDescent="0.25">
      <c r="A3777" s="9"/>
      <c r="E3777" s="10"/>
      <c r="K3777" s="11" t="str">
        <f>IF($E3777="","",ROUND($E3777*IF(ISNA(MATCH($C3777,'Paramètres'!$D:$D,0)),1,IF(INDEX('Paramètres'!$J:$J,MATCH($C3777,'Paramètres'!$D:$D,0))="",1,INDEX('Paramètres'!$J:$J,MATCH($C3777,'Paramètres'!$D:$D,0)))),2))</f>
        <v/>
      </c>
      <c r="L3777" s="6" t="str">
        <f>IF($D3777="","",IF($F3777&lt;&gt;"",$F3777,IF(ISNA(MATCH($D3777,'Paramètres'!$M:$M,0)),"⚠ Type inconnu",IFERROR(INDEX('Paramètres'!$P:$P,MATCH($D3777,'Paramètres'!$M:$M,0))&amp;"",""))))</f>
        <v/>
      </c>
      <c r="M3777" s="6" t="str">
        <f>IF($D3777="","",IF(ISNA(MATCH($D3777,'Paramètres'!$M:$M,0)),"⚠ Type inconnu",IF($L3777="Crédit","",IFERROR(INDEX('Paramètres'!$O:$O,MATCH($D3777,'Paramètres'!$M:$M,0))&amp;"",""))))</f>
        <v/>
      </c>
      <c r="N3777" s="6" t="str">
        <f>IF($D3777="","",IFERROR(INDEX('Paramètres'!$Q:$Q,MATCH($D3777,'Paramètres'!$M:$M,0))&amp;"",""))</f>
        <v/>
      </c>
      <c r="O3777" s="6" t="str">
        <f>IF($A3777="","",IF(OR($J3777&lt;&gt;"x",$A3777&lt;=FinReleve),1,0))</f>
        <v/>
      </c>
      <c r="P3777" s="6" t="str">
        <f>IF($D3777="","",IF(AND($L3777="Crédit",OR(IFERROR(INDEX('Paramètres'!$O:$O,MATCH($D3777,'Paramètres'!$M:$M,0))&amp;"","")&lt;&gt;"",ISNUMBER(SEARCH("remboursement",IFERROR(INDEX('Paramètres'!$N:$N,MATCH($D3777,'Paramètres'!$M:$M,0))&amp;"",""))))),1,0))</f>
        <v/>
      </c>
      <c r="Q3777" s="6" t="str">
        <f>IF($K3777="","",IF(ISNUMBER(SEARCH("transfert-interne",IFERROR(INDEX('Paramètres'!$N:$N,MATCH($D3777,'Paramètres'!$M:$M,0))&amp;"",""))),0,IF($L3777="Débit",$K3777,IF($P3777=1,-$K3777,0))))</f>
        <v/>
      </c>
      <c r="R3777" s="6" t="str">
        <f>IF($K3777="","",IF($L3777="Crédit",$K3777,-$K3777))</f>
        <v/>
      </c>
      <c r="S3777" s="6" t="str">
        <f>IF($C3777="","",IFERROR(INDEX('Paramètres'!$H:$H,MATCH($C3777,'Paramètres'!$D:$D,0))&amp;"",""))</f>
        <v/>
      </c>
      <c r="T3777" s="6" t="str">
        <f>IF($K3777="","",IF($S3777="",0,IF(ISNUMBER(SEARCH("apport-exterieur",IFERROR(INDEX('Paramètres'!$N:$N,MATCH($D3777,'Paramètres'!$M:$M,0))&amp;"",""))),0,IF(OR(IFERROR(INDEX('Paramètres'!$I:$I,MATCH($C3777,'Paramètres'!$D:$D,0))&amp;"","")="Les deux",IFERROR(INDEX('Paramètres'!$I:$I,MATCH($C3777,'Paramètres'!$D:$D,0))&amp;"","")=IF($P3777=1,"Débit",$L3777)),-IF($P3777=1,-$K3777,$K3777),0))))</f>
        <v/>
      </c>
      <c r="U3777" s="6" t="str">
        <f>IF($K3777="","",IF(ISNUMBER(SEARCH("sortie-epargne",IFERROR(INDEX('Paramètres'!$N:$N,MATCH($D3777,'Paramètres'!$M:$M,0))&amp;"",""))),$K3777,0))</f>
        <v/>
      </c>
      <c r="V3777" s="6" t="str">
        <f>IF(AND($A3777&lt;&gt;"",$O3777=1,$L3777="Débit",N($Q3777)&gt;0,$A3777&gt;=Visualisation!$B$1,$A3777&lt;Visualisation!$D$1),MAX($V$1:V3776)+1,"")</f>
        <v/>
      </c>
    </row>
    <row r="3778" spans="1:22" x14ac:dyDescent="0.25">
      <c r="A3778" s="9"/>
      <c r="E3778" s="10"/>
      <c r="K3778" s="11" t="str">
        <f>IF($E3778="","",ROUND($E3778*IF(ISNA(MATCH($C3778,'Paramètres'!$D:$D,0)),1,IF(INDEX('Paramètres'!$J:$J,MATCH($C3778,'Paramètres'!$D:$D,0))="",1,INDEX('Paramètres'!$J:$J,MATCH($C3778,'Paramètres'!$D:$D,0)))),2))</f>
        <v/>
      </c>
      <c r="L3778" s="6" t="str">
        <f>IF($D3778="","",IF($F3778&lt;&gt;"",$F3778,IF(ISNA(MATCH($D3778,'Paramètres'!$M:$M,0)),"⚠ Type inconnu",IFERROR(INDEX('Paramètres'!$P:$P,MATCH($D3778,'Paramètres'!$M:$M,0))&amp;"",""))))</f>
        <v/>
      </c>
      <c r="M3778" s="6" t="str">
        <f>IF($D3778="","",IF(ISNA(MATCH($D3778,'Paramètres'!$M:$M,0)),"⚠ Type inconnu",IF($L3778="Crédit","",IFERROR(INDEX('Paramètres'!$O:$O,MATCH($D3778,'Paramètres'!$M:$M,0))&amp;"",""))))</f>
        <v/>
      </c>
      <c r="N3778" s="6" t="str">
        <f>IF($D3778="","",IFERROR(INDEX('Paramètres'!$Q:$Q,MATCH($D3778,'Paramètres'!$M:$M,0))&amp;"",""))</f>
        <v/>
      </c>
      <c r="O3778" s="6" t="str">
        <f>IF($A3778="","",IF(OR($J3778&lt;&gt;"x",$A3778&lt;=FinReleve),1,0))</f>
        <v/>
      </c>
      <c r="P3778" s="6" t="str">
        <f>IF($D3778="","",IF(AND($L3778="Crédit",OR(IFERROR(INDEX('Paramètres'!$O:$O,MATCH($D3778,'Paramètres'!$M:$M,0))&amp;"","")&lt;&gt;"",ISNUMBER(SEARCH("remboursement",IFERROR(INDEX('Paramètres'!$N:$N,MATCH($D3778,'Paramètres'!$M:$M,0))&amp;"",""))))),1,0))</f>
        <v/>
      </c>
      <c r="Q3778" s="6" t="str">
        <f>IF($K3778="","",IF(ISNUMBER(SEARCH("transfert-interne",IFERROR(INDEX('Paramètres'!$N:$N,MATCH($D3778,'Paramètres'!$M:$M,0))&amp;"",""))),0,IF($L3778="Débit",$K3778,IF($P3778=1,-$K3778,0))))</f>
        <v/>
      </c>
      <c r="R3778" s="6" t="str">
        <f>IF($K3778="","",IF($L3778="Crédit",$K3778,-$K3778))</f>
        <v/>
      </c>
      <c r="S3778" s="6" t="str">
        <f>IF($C3778="","",IFERROR(INDEX('Paramètres'!$H:$H,MATCH($C3778,'Paramètres'!$D:$D,0))&amp;"",""))</f>
        <v/>
      </c>
      <c r="T3778" s="6" t="str">
        <f>IF($K3778="","",IF($S3778="",0,IF(ISNUMBER(SEARCH("apport-exterieur",IFERROR(INDEX('Paramètres'!$N:$N,MATCH($D3778,'Paramètres'!$M:$M,0))&amp;"",""))),0,IF(OR(IFERROR(INDEX('Paramètres'!$I:$I,MATCH($C3778,'Paramètres'!$D:$D,0))&amp;"","")="Les deux",IFERROR(INDEX('Paramètres'!$I:$I,MATCH($C3778,'Paramètres'!$D:$D,0))&amp;"","")=IF($P3778=1,"Débit",$L3778)),-IF($P3778=1,-$K3778,$K3778),0))))</f>
        <v/>
      </c>
      <c r="U3778" s="6" t="str">
        <f>IF($K3778="","",IF(ISNUMBER(SEARCH("sortie-epargne",IFERROR(INDEX('Paramètres'!$N:$N,MATCH($D3778,'Paramètres'!$M:$M,0))&amp;"",""))),$K3778,0))</f>
        <v/>
      </c>
      <c r="V3778" s="6" t="str">
        <f>IF(AND($A3778&lt;&gt;"",$O3778=1,$L3778="Débit",N($Q3778)&gt;0,$A3778&gt;=Visualisation!$B$1,$A3778&lt;Visualisation!$D$1),MAX($V$1:V3777)+1,"")</f>
        <v/>
      </c>
    </row>
    <row r="3779" spans="1:22" x14ac:dyDescent="0.25">
      <c r="A3779" s="9"/>
      <c r="E3779" s="10"/>
      <c r="K3779" s="11" t="str">
        <f>IF($E3779="","",ROUND($E3779*IF(ISNA(MATCH($C3779,'Paramètres'!$D:$D,0)),1,IF(INDEX('Paramètres'!$J:$J,MATCH($C3779,'Paramètres'!$D:$D,0))="",1,INDEX('Paramètres'!$J:$J,MATCH($C3779,'Paramètres'!$D:$D,0)))),2))</f>
        <v/>
      </c>
      <c r="L3779" s="6" t="str">
        <f>IF($D3779="","",IF($F3779&lt;&gt;"",$F3779,IF(ISNA(MATCH($D3779,'Paramètres'!$M:$M,0)),"⚠ Type inconnu",IFERROR(INDEX('Paramètres'!$P:$P,MATCH($D3779,'Paramètres'!$M:$M,0))&amp;"",""))))</f>
        <v/>
      </c>
      <c r="M3779" s="6" t="str">
        <f>IF($D3779="","",IF(ISNA(MATCH($D3779,'Paramètres'!$M:$M,0)),"⚠ Type inconnu",IF($L3779="Crédit","",IFERROR(INDEX('Paramètres'!$O:$O,MATCH($D3779,'Paramètres'!$M:$M,0))&amp;"",""))))</f>
        <v/>
      </c>
      <c r="N3779" s="6" t="str">
        <f>IF($D3779="","",IFERROR(INDEX('Paramètres'!$Q:$Q,MATCH($D3779,'Paramètres'!$M:$M,0))&amp;"",""))</f>
        <v/>
      </c>
      <c r="O3779" s="6" t="str">
        <f>IF($A3779="","",IF(OR($J3779&lt;&gt;"x",$A3779&lt;=FinReleve),1,0))</f>
        <v/>
      </c>
      <c r="P3779" s="6" t="str">
        <f>IF($D3779="","",IF(AND($L3779="Crédit",OR(IFERROR(INDEX('Paramètres'!$O:$O,MATCH($D3779,'Paramètres'!$M:$M,0))&amp;"","")&lt;&gt;"",ISNUMBER(SEARCH("remboursement",IFERROR(INDEX('Paramètres'!$N:$N,MATCH($D3779,'Paramètres'!$M:$M,0))&amp;"",""))))),1,0))</f>
        <v/>
      </c>
      <c r="Q3779" s="6" t="str">
        <f>IF($K3779="","",IF(ISNUMBER(SEARCH("transfert-interne",IFERROR(INDEX('Paramètres'!$N:$N,MATCH($D3779,'Paramètres'!$M:$M,0))&amp;"",""))),0,IF($L3779="Débit",$K3779,IF($P3779=1,-$K3779,0))))</f>
        <v/>
      </c>
      <c r="R3779" s="6" t="str">
        <f>IF($K3779="","",IF($L3779="Crédit",$K3779,-$K3779))</f>
        <v/>
      </c>
      <c r="S3779" s="6" t="str">
        <f>IF($C3779="","",IFERROR(INDEX('Paramètres'!$H:$H,MATCH($C3779,'Paramètres'!$D:$D,0))&amp;"",""))</f>
        <v/>
      </c>
      <c r="T3779" s="6" t="str">
        <f>IF($K3779="","",IF($S3779="",0,IF(ISNUMBER(SEARCH("apport-exterieur",IFERROR(INDEX('Paramètres'!$N:$N,MATCH($D3779,'Paramètres'!$M:$M,0))&amp;"",""))),0,IF(OR(IFERROR(INDEX('Paramètres'!$I:$I,MATCH($C3779,'Paramètres'!$D:$D,0))&amp;"","")="Les deux",IFERROR(INDEX('Paramètres'!$I:$I,MATCH($C3779,'Paramètres'!$D:$D,0))&amp;"","")=IF($P3779=1,"Débit",$L3779)),-IF($P3779=1,-$K3779,$K3779),0))))</f>
        <v/>
      </c>
      <c r="U3779" s="6" t="str">
        <f>IF($K3779="","",IF(ISNUMBER(SEARCH("sortie-epargne",IFERROR(INDEX('Paramètres'!$N:$N,MATCH($D3779,'Paramètres'!$M:$M,0))&amp;"",""))),$K3779,0))</f>
        <v/>
      </c>
      <c r="V3779" s="6" t="str">
        <f>IF(AND($A3779&lt;&gt;"",$O3779=1,$L3779="Débit",N($Q3779)&gt;0,$A3779&gt;=Visualisation!$B$1,$A3779&lt;Visualisation!$D$1),MAX($V$1:V3778)+1,"")</f>
        <v/>
      </c>
    </row>
    <row r="3780" spans="1:22" x14ac:dyDescent="0.25">
      <c r="A3780" s="9"/>
      <c r="E3780" s="10"/>
      <c r="K3780" s="11" t="str">
        <f>IF($E3780="","",ROUND($E3780*IF(ISNA(MATCH($C3780,'Paramètres'!$D:$D,0)),1,IF(INDEX('Paramètres'!$J:$J,MATCH($C3780,'Paramètres'!$D:$D,0))="",1,INDEX('Paramètres'!$J:$J,MATCH($C3780,'Paramètres'!$D:$D,0)))),2))</f>
        <v/>
      </c>
      <c r="L3780" s="6" t="str">
        <f>IF($D3780="","",IF($F3780&lt;&gt;"",$F3780,IF(ISNA(MATCH($D3780,'Paramètres'!$M:$M,0)),"⚠ Type inconnu",IFERROR(INDEX('Paramètres'!$P:$P,MATCH($D3780,'Paramètres'!$M:$M,0))&amp;"",""))))</f>
        <v/>
      </c>
      <c r="M3780" s="6" t="str">
        <f>IF($D3780="","",IF(ISNA(MATCH($D3780,'Paramètres'!$M:$M,0)),"⚠ Type inconnu",IF($L3780="Crédit","",IFERROR(INDEX('Paramètres'!$O:$O,MATCH($D3780,'Paramètres'!$M:$M,0))&amp;"",""))))</f>
        <v/>
      </c>
      <c r="N3780" s="6" t="str">
        <f>IF($D3780="","",IFERROR(INDEX('Paramètres'!$Q:$Q,MATCH($D3780,'Paramètres'!$M:$M,0))&amp;"",""))</f>
        <v/>
      </c>
      <c r="O3780" s="6" t="str">
        <f>IF($A3780="","",IF(OR($J3780&lt;&gt;"x",$A3780&lt;=FinReleve),1,0))</f>
        <v/>
      </c>
      <c r="P3780" s="6" t="str">
        <f>IF($D3780="","",IF(AND($L3780="Crédit",OR(IFERROR(INDEX('Paramètres'!$O:$O,MATCH($D3780,'Paramètres'!$M:$M,0))&amp;"","")&lt;&gt;"",ISNUMBER(SEARCH("remboursement",IFERROR(INDEX('Paramètres'!$N:$N,MATCH($D3780,'Paramètres'!$M:$M,0))&amp;"",""))))),1,0))</f>
        <v/>
      </c>
      <c r="Q3780" s="6" t="str">
        <f>IF($K3780="","",IF(ISNUMBER(SEARCH("transfert-interne",IFERROR(INDEX('Paramètres'!$N:$N,MATCH($D3780,'Paramètres'!$M:$M,0))&amp;"",""))),0,IF($L3780="Débit",$K3780,IF($P3780=1,-$K3780,0))))</f>
        <v/>
      </c>
      <c r="R3780" s="6" t="str">
        <f>IF($K3780="","",IF($L3780="Crédit",$K3780,-$K3780))</f>
        <v/>
      </c>
      <c r="S3780" s="6" t="str">
        <f>IF($C3780="","",IFERROR(INDEX('Paramètres'!$H:$H,MATCH($C3780,'Paramètres'!$D:$D,0))&amp;"",""))</f>
        <v/>
      </c>
      <c r="T3780" s="6" t="str">
        <f>IF($K3780="","",IF($S3780="",0,IF(ISNUMBER(SEARCH("apport-exterieur",IFERROR(INDEX('Paramètres'!$N:$N,MATCH($D3780,'Paramètres'!$M:$M,0))&amp;"",""))),0,IF(OR(IFERROR(INDEX('Paramètres'!$I:$I,MATCH($C3780,'Paramètres'!$D:$D,0))&amp;"","")="Les deux",IFERROR(INDEX('Paramètres'!$I:$I,MATCH($C3780,'Paramètres'!$D:$D,0))&amp;"","")=IF($P3780=1,"Débit",$L3780)),-IF($P3780=1,-$K3780,$K3780),0))))</f>
        <v/>
      </c>
      <c r="U3780" s="6" t="str">
        <f>IF($K3780="","",IF(ISNUMBER(SEARCH("sortie-epargne",IFERROR(INDEX('Paramètres'!$N:$N,MATCH($D3780,'Paramètres'!$M:$M,0))&amp;"",""))),$K3780,0))</f>
        <v/>
      </c>
      <c r="V3780" s="6" t="str">
        <f>IF(AND($A3780&lt;&gt;"",$O3780=1,$L3780="Débit",N($Q3780)&gt;0,$A3780&gt;=Visualisation!$B$1,$A3780&lt;Visualisation!$D$1),MAX($V$1:V3779)+1,"")</f>
        <v/>
      </c>
    </row>
    <row r="3781" spans="1:22" x14ac:dyDescent="0.25">
      <c r="A3781" s="9"/>
      <c r="E3781" s="10"/>
      <c r="K3781" s="11" t="str">
        <f>IF($E3781="","",ROUND($E3781*IF(ISNA(MATCH($C3781,'Paramètres'!$D:$D,0)),1,IF(INDEX('Paramètres'!$J:$J,MATCH($C3781,'Paramètres'!$D:$D,0))="",1,INDEX('Paramètres'!$J:$J,MATCH($C3781,'Paramètres'!$D:$D,0)))),2))</f>
        <v/>
      </c>
      <c r="L3781" s="6" t="str">
        <f>IF($D3781="","",IF($F3781&lt;&gt;"",$F3781,IF(ISNA(MATCH($D3781,'Paramètres'!$M:$M,0)),"⚠ Type inconnu",IFERROR(INDEX('Paramètres'!$P:$P,MATCH($D3781,'Paramètres'!$M:$M,0))&amp;"",""))))</f>
        <v/>
      </c>
      <c r="M3781" s="6" t="str">
        <f>IF($D3781="","",IF(ISNA(MATCH($D3781,'Paramètres'!$M:$M,0)),"⚠ Type inconnu",IF($L3781="Crédit","",IFERROR(INDEX('Paramètres'!$O:$O,MATCH($D3781,'Paramètres'!$M:$M,0))&amp;"",""))))</f>
        <v/>
      </c>
      <c r="N3781" s="6" t="str">
        <f>IF($D3781="","",IFERROR(INDEX('Paramètres'!$Q:$Q,MATCH($D3781,'Paramètres'!$M:$M,0))&amp;"",""))</f>
        <v/>
      </c>
      <c r="O3781" s="6" t="str">
        <f>IF($A3781="","",IF(OR($J3781&lt;&gt;"x",$A3781&lt;=FinReleve),1,0))</f>
        <v/>
      </c>
      <c r="P3781" s="6" t="str">
        <f>IF($D3781="","",IF(AND($L3781="Crédit",OR(IFERROR(INDEX('Paramètres'!$O:$O,MATCH($D3781,'Paramètres'!$M:$M,0))&amp;"","")&lt;&gt;"",ISNUMBER(SEARCH("remboursement",IFERROR(INDEX('Paramètres'!$N:$N,MATCH($D3781,'Paramètres'!$M:$M,0))&amp;"",""))))),1,0))</f>
        <v/>
      </c>
      <c r="Q3781" s="6" t="str">
        <f>IF($K3781="","",IF(ISNUMBER(SEARCH("transfert-interne",IFERROR(INDEX('Paramètres'!$N:$N,MATCH($D3781,'Paramètres'!$M:$M,0))&amp;"",""))),0,IF($L3781="Débit",$K3781,IF($P3781=1,-$K3781,0))))</f>
        <v/>
      </c>
      <c r="R3781" s="6" t="str">
        <f>IF($K3781="","",IF($L3781="Crédit",$K3781,-$K3781))</f>
        <v/>
      </c>
      <c r="S3781" s="6" t="str">
        <f>IF($C3781="","",IFERROR(INDEX('Paramètres'!$H:$H,MATCH($C3781,'Paramètres'!$D:$D,0))&amp;"",""))</f>
        <v/>
      </c>
      <c r="T3781" s="6" t="str">
        <f>IF($K3781="","",IF($S3781="",0,IF(ISNUMBER(SEARCH("apport-exterieur",IFERROR(INDEX('Paramètres'!$N:$N,MATCH($D3781,'Paramètres'!$M:$M,0))&amp;"",""))),0,IF(OR(IFERROR(INDEX('Paramètres'!$I:$I,MATCH($C3781,'Paramètres'!$D:$D,0))&amp;"","")="Les deux",IFERROR(INDEX('Paramètres'!$I:$I,MATCH($C3781,'Paramètres'!$D:$D,0))&amp;"","")=IF($P3781=1,"Débit",$L3781)),-IF($P3781=1,-$K3781,$K3781),0))))</f>
        <v/>
      </c>
      <c r="U3781" s="6" t="str">
        <f>IF($K3781="","",IF(ISNUMBER(SEARCH("sortie-epargne",IFERROR(INDEX('Paramètres'!$N:$N,MATCH($D3781,'Paramètres'!$M:$M,0))&amp;"",""))),$K3781,0))</f>
        <v/>
      </c>
      <c r="V3781" s="6" t="str">
        <f>IF(AND($A3781&lt;&gt;"",$O3781=1,$L3781="Débit",N($Q3781)&gt;0,$A3781&gt;=Visualisation!$B$1,$A3781&lt;Visualisation!$D$1),MAX($V$1:V3780)+1,"")</f>
        <v/>
      </c>
    </row>
    <row r="3782" spans="1:22" x14ac:dyDescent="0.25">
      <c r="A3782" s="9"/>
      <c r="E3782" s="10"/>
      <c r="K3782" s="11" t="str">
        <f>IF($E3782="","",ROUND($E3782*IF(ISNA(MATCH($C3782,'Paramètres'!$D:$D,0)),1,IF(INDEX('Paramètres'!$J:$J,MATCH($C3782,'Paramètres'!$D:$D,0))="",1,INDEX('Paramètres'!$J:$J,MATCH($C3782,'Paramètres'!$D:$D,0)))),2))</f>
        <v/>
      </c>
      <c r="L3782" s="6" t="str">
        <f>IF($D3782="","",IF($F3782&lt;&gt;"",$F3782,IF(ISNA(MATCH($D3782,'Paramètres'!$M:$M,0)),"⚠ Type inconnu",IFERROR(INDEX('Paramètres'!$P:$P,MATCH($D3782,'Paramètres'!$M:$M,0))&amp;"",""))))</f>
        <v/>
      </c>
      <c r="M3782" s="6" t="str">
        <f>IF($D3782="","",IF(ISNA(MATCH($D3782,'Paramètres'!$M:$M,0)),"⚠ Type inconnu",IF($L3782="Crédit","",IFERROR(INDEX('Paramètres'!$O:$O,MATCH($D3782,'Paramètres'!$M:$M,0))&amp;"",""))))</f>
        <v/>
      </c>
      <c r="N3782" s="6" t="str">
        <f>IF($D3782="","",IFERROR(INDEX('Paramètres'!$Q:$Q,MATCH($D3782,'Paramètres'!$M:$M,0))&amp;"",""))</f>
        <v/>
      </c>
      <c r="O3782" s="6" t="str">
        <f>IF($A3782="","",IF(OR($J3782&lt;&gt;"x",$A3782&lt;=FinReleve),1,0))</f>
        <v/>
      </c>
      <c r="P3782" s="6" t="str">
        <f>IF($D3782="","",IF(AND($L3782="Crédit",OR(IFERROR(INDEX('Paramètres'!$O:$O,MATCH($D3782,'Paramètres'!$M:$M,0))&amp;"","")&lt;&gt;"",ISNUMBER(SEARCH("remboursement",IFERROR(INDEX('Paramètres'!$N:$N,MATCH($D3782,'Paramètres'!$M:$M,0))&amp;"",""))))),1,0))</f>
        <v/>
      </c>
      <c r="Q3782" s="6" t="str">
        <f>IF($K3782="","",IF(ISNUMBER(SEARCH("transfert-interne",IFERROR(INDEX('Paramètres'!$N:$N,MATCH($D3782,'Paramètres'!$M:$M,0))&amp;"",""))),0,IF($L3782="Débit",$K3782,IF($P3782=1,-$K3782,0))))</f>
        <v/>
      </c>
      <c r="R3782" s="6" t="str">
        <f>IF($K3782="","",IF($L3782="Crédit",$K3782,-$K3782))</f>
        <v/>
      </c>
      <c r="S3782" s="6" t="str">
        <f>IF($C3782="","",IFERROR(INDEX('Paramètres'!$H:$H,MATCH($C3782,'Paramètres'!$D:$D,0))&amp;"",""))</f>
        <v/>
      </c>
      <c r="T3782" s="6" t="str">
        <f>IF($K3782="","",IF($S3782="",0,IF(ISNUMBER(SEARCH("apport-exterieur",IFERROR(INDEX('Paramètres'!$N:$N,MATCH($D3782,'Paramètres'!$M:$M,0))&amp;"",""))),0,IF(OR(IFERROR(INDEX('Paramètres'!$I:$I,MATCH($C3782,'Paramètres'!$D:$D,0))&amp;"","")="Les deux",IFERROR(INDEX('Paramètres'!$I:$I,MATCH($C3782,'Paramètres'!$D:$D,0))&amp;"","")=IF($P3782=1,"Débit",$L3782)),-IF($P3782=1,-$K3782,$K3782),0))))</f>
        <v/>
      </c>
      <c r="U3782" s="6" t="str">
        <f>IF($K3782="","",IF(ISNUMBER(SEARCH("sortie-epargne",IFERROR(INDEX('Paramètres'!$N:$N,MATCH($D3782,'Paramètres'!$M:$M,0))&amp;"",""))),$K3782,0))</f>
        <v/>
      </c>
      <c r="V3782" s="6" t="str">
        <f>IF(AND($A3782&lt;&gt;"",$O3782=1,$L3782="Débit",N($Q3782)&gt;0,$A3782&gt;=Visualisation!$B$1,$A3782&lt;Visualisation!$D$1),MAX($V$1:V3781)+1,"")</f>
        <v/>
      </c>
    </row>
    <row r="3783" spans="1:22" x14ac:dyDescent="0.25">
      <c r="A3783" s="9"/>
      <c r="E3783" s="10"/>
      <c r="K3783" s="11" t="str">
        <f>IF($E3783="","",ROUND($E3783*IF(ISNA(MATCH($C3783,'Paramètres'!$D:$D,0)),1,IF(INDEX('Paramètres'!$J:$J,MATCH($C3783,'Paramètres'!$D:$D,0))="",1,INDEX('Paramètres'!$J:$J,MATCH($C3783,'Paramètres'!$D:$D,0)))),2))</f>
        <v/>
      </c>
      <c r="L3783" s="6" t="str">
        <f>IF($D3783="","",IF($F3783&lt;&gt;"",$F3783,IF(ISNA(MATCH($D3783,'Paramètres'!$M:$M,0)),"⚠ Type inconnu",IFERROR(INDEX('Paramètres'!$P:$P,MATCH($D3783,'Paramètres'!$M:$M,0))&amp;"",""))))</f>
        <v/>
      </c>
      <c r="M3783" s="6" t="str">
        <f>IF($D3783="","",IF(ISNA(MATCH($D3783,'Paramètres'!$M:$M,0)),"⚠ Type inconnu",IF($L3783="Crédit","",IFERROR(INDEX('Paramètres'!$O:$O,MATCH($D3783,'Paramètres'!$M:$M,0))&amp;"",""))))</f>
        <v/>
      </c>
      <c r="N3783" s="6" t="str">
        <f>IF($D3783="","",IFERROR(INDEX('Paramètres'!$Q:$Q,MATCH($D3783,'Paramètres'!$M:$M,0))&amp;"",""))</f>
        <v/>
      </c>
      <c r="O3783" s="6" t="str">
        <f>IF($A3783="","",IF(OR($J3783&lt;&gt;"x",$A3783&lt;=FinReleve),1,0))</f>
        <v/>
      </c>
      <c r="P3783" s="6" t="str">
        <f>IF($D3783="","",IF(AND($L3783="Crédit",OR(IFERROR(INDEX('Paramètres'!$O:$O,MATCH($D3783,'Paramètres'!$M:$M,0))&amp;"","")&lt;&gt;"",ISNUMBER(SEARCH("remboursement",IFERROR(INDEX('Paramètres'!$N:$N,MATCH($D3783,'Paramètres'!$M:$M,0))&amp;"",""))))),1,0))</f>
        <v/>
      </c>
      <c r="Q3783" s="6" t="str">
        <f>IF($K3783="","",IF(ISNUMBER(SEARCH("transfert-interne",IFERROR(INDEX('Paramètres'!$N:$N,MATCH($D3783,'Paramètres'!$M:$M,0))&amp;"",""))),0,IF($L3783="Débit",$K3783,IF($P3783=1,-$K3783,0))))</f>
        <v/>
      </c>
      <c r="R3783" s="6" t="str">
        <f>IF($K3783="","",IF($L3783="Crédit",$K3783,-$K3783))</f>
        <v/>
      </c>
      <c r="S3783" s="6" t="str">
        <f>IF($C3783="","",IFERROR(INDEX('Paramètres'!$H:$H,MATCH($C3783,'Paramètres'!$D:$D,0))&amp;"",""))</f>
        <v/>
      </c>
      <c r="T3783" s="6" t="str">
        <f>IF($K3783="","",IF($S3783="",0,IF(ISNUMBER(SEARCH("apport-exterieur",IFERROR(INDEX('Paramètres'!$N:$N,MATCH($D3783,'Paramètres'!$M:$M,0))&amp;"",""))),0,IF(OR(IFERROR(INDEX('Paramètres'!$I:$I,MATCH($C3783,'Paramètres'!$D:$D,0))&amp;"","")="Les deux",IFERROR(INDEX('Paramètres'!$I:$I,MATCH($C3783,'Paramètres'!$D:$D,0))&amp;"","")=IF($P3783=1,"Débit",$L3783)),-IF($P3783=1,-$K3783,$K3783),0))))</f>
        <v/>
      </c>
      <c r="U3783" s="6" t="str">
        <f>IF($K3783="","",IF(ISNUMBER(SEARCH("sortie-epargne",IFERROR(INDEX('Paramètres'!$N:$N,MATCH($D3783,'Paramètres'!$M:$M,0))&amp;"",""))),$K3783,0))</f>
        <v/>
      </c>
      <c r="V3783" s="6" t="str">
        <f>IF(AND($A3783&lt;&gt;"",$O3783=1,$L3783="Débit",N($Q3783)&gt;0,$A3783&gt;=Visualisation!$B$1,$A3783&lt;Visualisation!$D$1),MAX($V$1:V3782)+1,"")</f>
        <v/>
      </c>
    </row>
    <row r="3784" spans="1:22" x14ac:dyDescent="0.25">
      <c r="A3784" s="9"/>
      <c r="E3784" s="10"/>
      <c r="K3784" s="11" t="str">
        <f>IF($E3784="","",ROUND($E3784*IF(ISNA(MATCH($C3784,'Paramètres'!$D:$D,0)),1,IF(INDEX('Paramètres'!$J:$J,MATCH($C3784,'Paramètres'!$D:$D,0))="",1,INDEX('Paramètres'!$J:$J,MATCH($C3784,'Paramètres'!$D:$D,0)))),2))</f>
        <v/>
      </c>
      <c r="L3784" s="6" t="str">
        <f>IF($D3784="","",IF($F3784&lt;&gt;"",$F3784,IF(ISNA(MATCH($D3784,'Paramètres'!$M:$M,0)),"⚠ Type inconnu",IFERROR(INDEX('Paramètres'!$P:$P,MATCH($D3784,'Paramètres'!$M:$M,0))&amp;"",""))))</f>
        <v/>
      </c>
      <c r="M3784" s="6" t="str">
        <f>IF($D3784="","",IF(ISNA(MATCH($D3784,'Paramètres'!$M:$M,0)),"⚠ Type inconnu",IF($L3784="Crédit","",IFERROR(INDEX('Paramètres'!$O:$O,MATCH($D3784,'Paramètres'!$M:$M,0))&amp;"",""))))</f>
        <v/>
      </c>
      <c r="N3784" s="6" t="str">
        <f>IF($D3784="","",IFERROR(INDEX('Paramètres'!$Q:$Q,MATCH($D3784,'Paramètres'!$M:$M,0))&amp;"",""))</f>
        <v/>
      </c>
      <c r="O3784" s="6" t="str">
        <f>IF($A3784="","",IF(OR($J3784&lt;&gt;"x",$A3784&lt;=FinReleve),1,0))</f>
        <v/>
      </c>
      <c r="P3784" s="6" t="str">
        <f>IF($D3784="","",IF(AND($L3784="Crédit",OR(IFERROR(INDEX('Paramètres'!$O:$O,MATCH($D3784,'Paramètres'!$M:$M,0))&amp;"","")&lt;&gt;"",ISNUMBER(SEARCH("remboursement",IFERROR(INDEX('Paramètres'!$N:$N,MATCH($D3784,'Paramètres'!$M:$M,0))&amp;"",""))))),1,0))</f>
        <v/>
      </c>
      <c r="Q3784" s="6" t="str">
        <f>IF($K3784="","",IF(ISNUMBER(SEARCH("transfert-interne",IFERROR(INDEX('Paramètres'!$N:$N,MATCH($D3784,'Paramètres'!$M:$M,0))&amp;"",""))),0,IF($L3784="Débit",$K3784,IF($P3784=1,-$K3784,0))))</f>
        <v/>
      </c>
      <c r="R3784" s="6" t="str">
        <f>IF($K3784="","",IF($L3784="Crédit",$K3784,-$K3784))</f>
        <v/>
      </c>
      <c r="S3784" s="6" t="str">
        <f>IF($C3784="","",IFERROR(INDEX('Paramètres'!$H:$H,MATCH($C3784,'Paramètres'!$D:$D,0))&amp;"",""))</f>
        <v/>
      </c>
      <c r="T3784" s="6" t="str">
        <f>IF($K3784="","",IF($S3784="",0,IF(ISNUMBER(SEARCH("apport-exterieur",IFERROR(INDEX('Paramètres'!$N:$N,MATCH($D3784,'Paramètres'!$M:$M,0))&amp;"",""))),0,IF(OR(IFERROR(INDEX('Paramètres'!$I:$I,MATCH($C3784,'Paramètres'!$D:$D,0))&amp;"","")="Les deux",IFERROR(INDEX('Paramètres'!$I:$I,MATCH($C3784,'Paramètres'!$D:$D,0))&amp;"","")=IF($P3784=1,"Débit",$L3784)),-IF($P3784=1,-$K3784,$K3784),0))))</f>
        <v/>
      </c>
      <c r="U3784" s="6" t="str">
        <f>IF($K3784="","",IF(ISNUMBER(SEARCH("sortie-epargne",IFERROR(INDEX('Paramètres'!$N:$N,MATCH($D3784,'Paramètres'!$M:$M,0))&amp;"",""))),$K3784,0))</f>
        <v/>
      </c>
      <c r="V3784" s="6" t="str">
        <f>IF(AND($A3784&lt;&gt;"",$O3784=1,$L3784="Débit",N($Q3784)&gt;0,$A3784&gt;=Visualisation!$B$1,$A3784&lt;Visualisation!$D$1),MAX($V$1:V3783)+1,"")</f>
        <v/>
      </c>
    </row>
    <row r="3785" spans="1:22" x14ac:dyDescent="0.25">
      <c r="A3785" s="9"/>
      <c r="E3785" s="10"/>
      <c r="K3785" s="11" t="str">
        <f>IF($E3785="","",ROUND($E3785*IF(ISNA(MATCH($C3785,'Paramètres'!$D:$D,0)),1,IF(INDEX('Paramètres'!$J:$J,MATCH($C3785,'Paramètres'!$D:$D,0))="",1,INDEX('Paramètres'!$J:$J,MATCH($C3785,'Paramètres'!$D:$D,0)))),2))</f>
        <v/>
      </c>
      <c r="L3785" s="6" t="str">
        <f>IF($D3785="","",IF($F3785&lt;&gt;"",$F3785,IF(ISNA(MATCH($D3785,'Paramètres'!$M:$M,0)),"⚠ Type inconnu",IFERROR(INDEX('Paramètres'!$P:$P,MATCH($D3785,'Paramètres'!$M:$M,0))&amp;"",""))))</f>
        <v/>
      </c>
      <c r="M3785" s="6" t="str">
        <f>IF($D3785="","",IF(ISNA(MATCH($D3785,'Paramètres'!$M:$M,0)),"⚠ Type inconnu",IF($L3785="Crédit","",IFERROR(INDEX('Paramètres'!$O:$O,MATCH($D3785,'Paramètres'!$M:$M,0))&amp;"",""))))</f>
        <v/>
      </c>
      <c r="N3785" s="6" t="str">
        <f>IF($D3785="","",IFERROR(INDEX('Paramètres'!$Q:$Q,MATCH($D3785,'Paramètres'!$M:$M,0))&amp;"",""))</f>
        <v/>
      </c>
      <c r="O3785" s="6" t="str">
        <f>IF($A3785="","",IF(OR($J3785&lt;&gt;"x",$A3785&lt;=FinReleve),1,0))</f>
        <v/>
      </c>
      <c r="P3785" s="6" t="str">
        <f>IF($D3785="","",IF(AND($L3785="Crédit",OR(IFERROR(INDEX('Paramètres'!$O:$O,MATCH($D3785,'Paramètres'!$M:$M,0))&amp;"","")&lt;&gt;"",ISNUMBER(SEARCH("remboursement",IFERROR(INDEX('Paramètres'!$N:$N,MATCH($D3785,'Paramètres'!$M:$M,0))&amp;"",""))))),1,0))</f>
        <v/>
      </c>
      <c r="Q3785" s="6" t="str">
        <f>IF($K3785="","",IF(ISNUMBER(SEARCH("transfert-interne",IFERROR(INDEX('Paramètres'!$N:$N,MATCH($D3785,'Paramètres'!$M:$M,0))&amp;"",""))),0,IF($L3785="Débit",$K3785,IF($P3785=1,-$K3785,0))))</f>
        <v/>
      </c>
      <c r="R3785" s="6" t="str">
        <f>IF($K3785="","",IF($L3785="Crédit",$K3785,-$K3785))</f>
        <v/>
      </c>
      <c r="S3785" s="6" t="str">
        <f>IF($C3785="","",IFERROR(INDEX('Paramètres'!$H:$H,MATCH($C3785,'Paramètres'!$D:$D,0))&amp;"",""))</f>
        <v/>
      </c>
      <c r="T3785" s="6" t="str">
        <f>IF($K3785="","",IF($S3785="",0,IF(ISNUMBER(SEARCH("apport-exterieur",IFERROR(INDEX('Paramètres'!$N:$N,MATCH($D3785,'Paramètres'!$M:$M,0))&amp;"",""))),0,IF(OR(IFERROR(INDEX('Paramètres'!$I:$I,MATCH($C3785,'Paramètres'!$D:$D,0))&amp;"","")="Les deux",IFERROR(INDEX('Paramètres'!$I:$I,MATCH($C3785,'Paramètres'!$D:$D,0))&amp;"","")=IF($P3785=1,"Débit",$L3785)),-IF($P3785=1,-$K3785,$K3785),0))))</f>
        <v/>
      </c>
      <c r="U3785" s="6" t="str">
        <f>IF($K3785="","",IF(ISNUMBER(SEARCH("sortie-epargne",IFERROR(INDEX('Paramètres'!$N:$N,MATCH($D3785,'Paramètres'!$M:$M,0))&amp;"",""))),$K3785,0))</f>
        <v/>
      </c>
      <c r="V3785" s="6" t="str">
        <f>IF(AND($A3785&lt;&gt;"",$O3785=1,$L3785="Débit",N($Q3785)&gt;0,$A3785&gt;=Visualisation!$B$1,$A3785&lt;Visualisation!$D$1),MAX($V$1:V3784)+1,"")</f>
        <v/>
      </c>
    </row>
    <row r="3786" spans="1:22" x14ac:dyDescent="0.25">
      <c r="A3786" s="9"/>
      <c r="E3786" s="10"/>
      <c r="K3786" s="11" t="str">
        <f>IF($E3786="","",ROUND($E3786*IF(ISNA(MATCH($C3786,'Paramètres'!$D:$D,0)),1,IF(INDEX('Paramètres'!$J:$J,MATCH($C3786,'Paramètres'!$D:$D,0))="",1,INDEX('Paramètres'!$J:$J,MATCH($C3786,'Paramètres'!$D:$D,0)))),2))</f>
        <v/>
      </c>
      <c r="L3786" s="6" t="str">
        <f>IF($D3786="","",IF($F3786&lt;&gt;"",$F3786,IF(ISNA(MATCH($D3786,'Paramètres'!$M:$M,0)),"⚠ Type inconnu",IFERROR(INDEX('Paramètres'!$P:$P,MATCH($D3786,'Paramètres'!$M:$M,0))&amp;"",""))))</f>
        <v/>
      </c>
      <c r="M3786" s="6" t="str">
        <f>IF($D3786="","",IF(ISNA(MATCH($D3786,'Paramètres'!$M:$M,0)),"⚠ Type inconnu",IF($L3786="Crédit","",IFERROR(INDEX('Paramètres'!$O:$O,MATCH($D3786,'Paramètres'!$M:$M,0))&amp;"",""))))</f>
        <v/>
      </c>
      <c r="N3786" s="6" t="str">
        <f>IF($D3786="","",IFERROR(INDEX('Paramètres'!$Q:$Q,MATCH($D3786,'Paramètres'!$M:$M,0))&amp;"",""))</f>
        <v/>
      </c>
      <c r="O3786" s="6" t="str">
        <f>IF($A3786="","",IF(OR($J3786&lt;&gt;"x",$A3786&lt;=FinReleve),1,0))</f>
        <v/>
      </c>
      <c r="P3786" s="6" t="str">
        <f>IF($D3786="","",IF(AND($L3786="Crédit",OR(IFERROR(INDEX('Paramètres'!$O:$O,MATCH($D3786,'Paramètres'!$M:$M,0))&amp;"","")&lt;&gt;"",ISNUMBER(SEARCH("remboursement",IFERROR(INDEX('Paramètres'!$N:$N,MATCH($D3786,'Paramètres'!$M:$M,0))&amp;"",""))))),1,0))</f>
        <v/>
      </c>
      <c r="Q3786" s="6" t="str">
        <f>IF($K3786="","",IF(ISNUMBER(SEARCH("transfert-interne",IFERROR(INDEX('Paramètres'!$N:$N,MATCH($D3786,'Paramètres'!$M:$M,0))&amp;"",""))),0,IF($L3786="Débit",$K3786,IF($P3786=1,-$K3786,0))))</f>
        <v/>
      </c>
      <c r="R3786" s="6" t="str">
        <f>IF($K3786="","",IF($L3786="Crédit",$K3786,-$K3786))</f>
        <v/>
      </c>
      <c r="S3786" s="6" t="str">
        <f>IF($C3786="","",IFERROR(INDEX('Paramètres'!$H:$H,MATCH($C3786,'Paramètres'!$D:$D,0))&amp;"",""))</f>
        <v/>
      </c>
      <c r="T3786" s="6" t="str">
        <f>IF($K3786="","",IF($S3786="",0,IF(ISNUMBER(SEARCH("apport-exterieur",IFERROR(INDEX('Paramètres'!$N:$N,MATCH($D3786,'Paramètres'!$M:$M,0))&amp;"",""))),0,IF(OR(IFERROR(INDEX('Paramètres'!$I:$I,MATCH($C3786,'Paramètres'!$D:$D,0))&amp;"","")="Les deux",IFERROR(INDEX('Paramètres'!$I:$I,MATCH($C3786,'Paramètres'!$D:$D,0))&amp;"","")=IF($P3786=1,"Débit",$L3786)),-IF($P3786=1,-$K3786,$K3786),0))))</f>
        <v/>
      </c>
      <c r="U3786" s="6" t="str">
        <f>IF($K3786="","",IF(ISNUMBER(SEARCH("sortie-epargne",IFERROR(INDEX('Paramètres'!$N:$N,MATCH($D3786,'Paramètres'!$M:$M,0))&amp;"",""))),$K3786,0))</f>
        <v/>
      </c>
      <c r="V3786" s="6" t="str">
        <f>IF(AND($A3786&lt;&gt;"",$O3786=1,$L3786="Débit",N($Q3786)&gt;0,$A3786&gt;=Visualisation!$B$1,$A3786&lt;Visualisation!$D$1),MAX($V$1:V3785)+1,"")</f>
        <v/>
      </c>
    </row>
    <row r="3787" spans="1:22" x14ac:dyDescent="0.25">
      <c r="A3787" s="9"/>
      <c r="E3787" s="10"/>
      <c r="K3787" s="11" t="str">
        <f>IF($E3787="","",ROUND($E3787*IF(ISNA(MATCH($C3787,'Paramètres'!$D:$D,0)),1,IF(INDEX('Paramètres'!$J:$J,MATCH($C3787,'Paramètres'!$D:$D,0))="",1,INDEX('Paramètres'!$J:$J,MATCH($C3787,'Paramètres'!$D:$D,0)))),2))</f>
        <v/>
      </c>
      <c r="L3787" s="6" t="str">
        <f>IF($D3787="","",IF($F3787&lt;&gt;"",$F3787,IF(ISNA(MATCH($D3787,'Paramètres'!$M:$M,0)),"⚠ Type inconnu",IFERROR(INDEX('Paramètres'!$P:$P,MATCH($D3787,'Paramètres'!$M:$M,0))&amp;"",""))))</f>
        <v/>
      </c>
      <c r="M3787" s="6" t="str">
        <f>IF($D3787="","",IF(ISNA(MATCH($D3787,'Paramètres'!$M:$M,0)),"⚠ Type inconnu",IF($L3787="Crédit","",IFERROR(INDEX('Paramètres'!$O:$O,MATCH($D3787,'Paramètres'!$M:$M,0))&amp;"",""))))</f>
        <v/>
      </c>
      <c r="N3787" s="6" t="str">
        <f>IF($D3787="","",IFERROR(INDEX('Paramètres'!$Q:$Q,MATCH($D3787,'Paramètres'!$M:$M,0))&amp;"",""))</f>
        <v/>
      </c>
      <c r="O3787" s="6" t="str">
        <f>IF($A3787="","",IF(OR($J3787&lt;&gt;"x",$A3787&lt;=FinReleve),1,0))</f>
        <v/>
      </c>
      <c r="P3787" s="6" t="str">
        <f>IF($D3787="","",IF(AND($L3787="Crédit",OR(IFERROR(INDEX('Paramètres'!$O:$O,MATCH($D3787,'Paramètres'!$M:$M,0))&amp;"","")&lt;&gt;"",ISNUMBER(SEARCH("remboursement",IFERROR(INDEX('Paramètres'!$N:$N,MATCH($D3787,'Paramètres'!$M:$M,0))&amp;"",""))))),1,0))</f>
        <v/>
      </c>
      <c r="Q3787" s="6" t="str">
        <f>IF($K3787="","",IF(ISNUMBER(SEARCH("transfert-interne",IFERROR(INDEX('Paramètres'!$N:$N,MATCH($D3787,'Paramètres'!$M:$M,0))&amp;"",""))),0,IF($L3787="Débit",$K3787,IF($P3787=1,-$K3787,0))))</f>
        <v/>
      </c>
      <c r="R3787" s="6" t="str">
        <f>IF($K3787="","",IF($L3787="Crédit",$K3787,-$K3787))</f>
        <v/>
      </c>
      <c r="S3787" s="6" t="str">
        <f>IF($C3787="","",IFERROR(INDEX('Paramètres'!$H:$H,MATCH($C3787,'Paramètres'!$D:$D,0))&amp;"",""))</f>
        <v/>
      </c>
      <c r="T3787" s="6" t="str">
        <f>IF($K3787="","",IF($S3787="",0,IF(ISNUMBER(SEARCH("apport-exterieur",IFERROR(INDEX('Paramètres'!$N:$N,MATCH($D3787,'Paramètres'!$M:$M,0))&amp;"",""))),0,IF(OR(IFERROR(INDEX('Paramètres'!$I:$I,MATCH($C3787,'Paramètres'!$D:$D,0))&amp;"","")="Les deux",IFERROR(INDEX('Paramètres'!$I:$I,MATCH($C3787,'Paramètres'!$D:$D,0))&amp;"","")=IF($P3787=1,"Débit",$L3787)),-IF($P3787=1,-$K3787,$K3787),0))))</f>
        <v/>
      </c>
      <c r="U3787" s="6" t="str">
        <f>IF($K3787="","",IF(ISNUMBER(SEARCH("sortie-epargne",IFERROR(INDEX('Paramètres'!$N:$N,MATCH($D3787,'Paramètres'!$M:$M,0))&amp;"",""))),$K3787,0))</f>
        <v/>
      </c>
      <c r="V3787" s="6" t="str">
        <f>IF(AND($A3787&lt;&gt;"",$O3787=1,$L3787="Débit",N($Q3787)&gt;0,$A3787&gt;=Visualisation!$B$1,$A3787&lt;Visualisation!$D$1),MAX($V$1:V3786)+1,"")</f>
        <v/>
      </c>
    </row>
    <row r="3788" spans="1:22" x14ac:dyDescent="0.25">
      <c r="A3788" s="9"/>
      <c r="E3788" s="10"/>
      <c r="K3788" s="11" t="str">
        <f>IF($E3788="","",ROUND($E3788*IF(ISNA(MATCH($C3788,'Paramètres'!$D:$D,0)),1,IF(INDEX('Paramètres'!$J:$J,MATCH($C3788,'Paramètres'!$D:$D,0))="",1,INDEX('Paramètres'!$J:$J,MATCH($C3788,'Paramètres'!$D:$D,0)))),2))</f>
        <v/>
      </c>
      <c r="L3788" s="6" t="str">
        <f>IF($D3788="","",IF($F3788&lt;&gt;"",$F3788,IF(ISNA(MATCH($D3788,'Paramètres'!$M:$M,0)),"⚠ Type inconnu",IFERROR(INDEX('Paramètres'!$P:$P,MATCH($D3788,'Paramètres'!$M:$M,0))&amp;"",""))))</f>
        <v/>
      </c>
      <c r="M3788" s="6" t="str">
        <f>IF($D3788="","",IF(ISNA(MATCH($D3788,'Paramètres'!$M:$M,0)),"⚠ Type inconnu",IF($L3788="Crédit","",IFERROR(INDEX('Paramètres'!$O:$O,MATCH($D3788,'Paramètres'!$M:$M,0))&amp;"",""))))</f>
        <v/>
      </c>
      <c r="N3788" s="6" t="str">
        <f>IF($D3788="","",IFERROR(INDEX('Paramètres'!$Q:$Q,MATCH($D3788,'Paramètres'!$M:$M,0))&amp;"",""))</f>
        <v/>
      </c>
      <c r="O3788" s="6" t="str">
        <f>IF($A3788="","",IF(OR($J3788&lt;&gt;"x",$A3788&lt;=FinReleve),1,0))</f>
        <v/>
      </c>
      <c r="P3788" s="6" t="str">
        <f>IF($D3788="","",IF(AND($L3788="Crédit",OR(IFERROR(INDEX('Paramètres'!$O:$O,MATCH($D3788,'Paramètres'!$M:$M,0))&amp;"","")&lt;&gt;"",ISNUMBER(SEARCH("remboursement",IFERROR(INDEX('Paramètres'!$N:$N,MATCH($D3788,'Paramètres'!$M:$M,0))&amp;"",""))))),1,0))</f>
        <v/>
      </c>
      <c r="Q3788" s="6" t="str">
        <f>IF($K3788="","",IF(ISNUMBER(SEARCH("transfert-interne",IFERROR(INDEX('Paramètres'!$N:$N,MATCH($D3788,'Paramètres'!$M:$M,0))&amp;"",""))),0,IF($L3788="Débit",$K3788,IF($P3788=1,-$K3788,0))))</f>
        <v/>
      </c>
      <c r="R3788" s="6" t="str">
        <f>IF($K3788="","",IF($L3788="Crédit",$K3788,-$K3788))</f>
        <v/>
      </c>
      <c r="S3788" s="6" t="str">
        <f>IF($C3788="","",IFERROR(INDEX('Paramètres'!$H:$H,MATCH($C3788,'Paramètres'!$D:$D,0))&amp;"",""))</f>
        <v/>
      </c>
      <c r="T3788" s="6" t="str">
        <f>IF($K3788="","",IF($S3788="",0,IF(ISNUMBER(SEARCH("apport-exterieur",IFERROR(INDEX('Paramètres'!$N:$N,MATCH($D3788,'Paramètres'!$M:$M,0))&amp;"",""))),0,IF(OR(IFERROR(INDEX('Paramètres'!$I:$I,MATCH($C3788,'Paramètres'!$D:$D,0))&amp;"","")="Les deux",IFERROR(INDEX('Paramètres'!$I:$I,MATCH($C3788,'Paramètres'!$D:$D,0))&amp;"","")=IF($P3788=1,"Débit",$L3788)),-IF($P3788=1,-$K3788,$K3788),0))))</f>
        <v/>
      </c>
      <c r="U3788" s="6" t="str">
        <f>IF($K3788="","",IF(ISNUMBER(SEARCH("sortie-epargne",IFERROR(INDEX('Paramètres'!$N:$N,MATCH($D3788,'Paramètres'!$M:$M,0))&amp;"",""))),$K3788,0))</f>
        <v/>
      </c>
      <c r="V3788" s="6" t="str">
        <f>IF(AND($A3788&lt;&gt;"",$O3788=1,$L3788="Débit",N($Q3788)&gt;0,$A3788&gt;=Visualisation!$B$1,$A3788&lt;Visualisation!$D$1),MAX($V$1:V3787)+1,"")</f>
        <v/>
      </c>
    </row>
    <row r="3789" spans="1:22" x14ac:dyDescent="0.25">
      <c r="A3789" s="9"/>
      <c r="E3789" s="10"/>
      <c r="K3789" s="11" t="str">
        <f>IF($E3789="","",ROUND($E3789*IF(ISNA(MATCH($C3789,'Paramètres'!$D:$D,0)),1,IF(INDEX('Paramètres'!$J:$J,MATCH($C3789,'Paramètres'!$D:$D,0))="",1,INDEX('Paramètres'!$J:$J,MATCH($C3789,'Paramètres'!$D:$D,0)))),2))</f>
        <v/>
      </c>
      <c r="L3789" s="6" t="str">
        <f>IF($D3789="","",IF($F3789&lt;&gt;"",$F3789,IF(ISNA(MATCH($D3789,'Paramètres'!$M:$M,0)),"⚠ Type inconnu",IFERROR(INDEX('Paramètres'!$P:$P,MATCH($D3789,'Paramètres'!$M:$M,0))&amp;"",""))))</f>
        <v/>
      </c>
      <c r="M3789" s="6" t="str">
        <f>IF($D3789="","",IF(ISNA(MATCH($D3789,'Paramètres'!$M:$M,0)),"⚠ Type inconnu",IF($L3789="Crédit","",IFERROR(INDEX('Paramètres'!$O:$O,MATCH($D3789,'Paramètres'!$M:$M,0))&amp;"",""))))</f>
        <v/>
      </c>
      <c r="N3789" s="6" t="str">
        <f>IF($D3789="","",IFERROR(INDEX('Paramètres'!$Q:$Q,MATCH($D3789,'Paramètres'!$M:$M,0))&amp;"",""))</f>
        <v/>
      </c>
      <c r="O3789" s="6" t="str">
        <f>IF($A3789="","",IF(OR($J3789&lt;&gt;"x",$A3789&lt;=FinReleve),1,0))</f>
        <v/>
      </c>
      <c r="P3789" s="6" t="str">
        <f>IF($D3789="","",IF(AND($L3789="Crédit",OR(IFERROR(INDEX('Paramètres'!$O:$O,MATCH($D3789,'Paramètres'!$M:$M,0))&amp;"","")&lt;&gt;"",ISNUMBER(SEARCH("remboursement",IFERROR(INDEX('Paramètres'!$N:$N,MATCH($D3789,'Paramètres'!$M:$M,0))&amp;"",""))))),1,0))</f>
        <v/>
      </c>
      <c r="Q3789" s="6" t="str">
        <f>IF($K3789="","",IF(ISNUMBER(SEARCH("transfert-interne",IFERROR(INDEX('Paramètres'!$N:$N,MATCH($D3789,'Paramètres'!$M:$M,0))&amp;"",""))),0,IF($L3789="Débit",$K3789,IF($P3789=1,-$K3789,0))))</f>
        <v/>
      </c>
      <c r="R3789" s="6" t="str">
        <f>IF($K3789="","",IF($L3789="Crédit",$K3789,-$K3789))</f>
        <v/>
      </c>
      <c r="S3789" s="6" t="str">
        <f>IF($C3789="","",IFERROR(INDEX('Paramètres'!$H:$H,MATCH($C3789,'Paramètres'!$D:$D,0))&amp;"",""))</f>
        <v/>
      </c>
      <c r="T3789" s="6" t="str">
        <f>IF($K3789="","",IF($S3789="",0,IF(ISNUMBER(SEARCH("apport-exterieur",IFERROR(INDEX('Paramètres'!$N:$N,MATCH($D3789,'Paramètres'!$M:$M,0))&amp;"",""))),0,IF(OR(IFERROR(INDEX('Paramètres'!$I:$I,MATCH($C3789,'Paramètres'!$D:$D,0))&amp;"","")="Les deux",IFERROR(INDEX('Paramètres'!$I:$I,MATCH($C3789,'Paramètres'!$D:$D,0))&amp;"","")=IF($P3789=1,"Débit",$L3789)),-IF($P3789=1,-$K3789,$K3789),0))))</f>
        <v/>
      </c>
      <c r="U3789" s="6" t="str">
        <f>IF($K3789="","",IF(ISNUMBER(SEARCH("sortie-epargne",IFERROR(INDEX('Paramètres'!$N:$N,MATCH($D3789,'Paramètres'!$M:$M,0))&amp;"",""))),$K3789,0))</f>
        <v/>
      </c>
      <c r="V3789" s="6" t="str">
        <f>IF(AND($A3789&lt;&gt;"",$O3789=1,$L3789="Débit",N($Q3789)&gt;0,$A3789&gt;=Visualisation!$B$1,$A3789&lt;Visualisation!$D$1),MAX($V$1:V3788)+1,"")</f>
        <v/>
      </c>
    </row>
    <row r="3790" spans="1:22" x14ac:dyDescent="0.25">
      <c r="A3790" s="9"/>
      <c r="E3790" s="10"/>
      <c r="K3790" s="11" t="str">
        <f>IF($E3790="","",ROUND($E3790*IF(ISNA(MATCH($C3790,'Paramètres'!$D:$D,0)),1,IF(INDEX('Paramètres'!$J:$J,MATCH($C3790,'Paramètres'!$D:$D,0))="",1,INDEX('Paramètres'!$J:$J,MATCH($C3790,'Paramètres'!$D:$D,0)))),2))</f>
        <v/>
      </c>
      <c r="L3790" s="6" t="str">
        <f>IF($D3790="","",IF($F3790&lt;&gt;"",$F3790,IF(ISNA(MATCH($D3790,'Paramètres'!$M:$M,0)),"⚠ Type inconnu",IFERROR(INDEX('Paramètres'!$P:$P,MATCH($D3790,'Paramètres'!$M:$M,0))&amp;"",""))))</f>
        <v/>
      </c>
      <c r="M3790" s="6" t="str">
        <f>IF($D3790="","",IF(ISNA(MATCH($D3790,'Paramètres'!$M:$M,0)),"⚠ Type inconnu",IF($L3790="Crédit","",IFERROR(INDEX('Paramètres'!$O:$O,MATCH($D3790,'Paramètres'!$M:$M,0))&amp;"",""))))</f>
        <v/>
      </c>
      <c r="N3790" s="6" t="str">
        <f>IF($D3790="","",IFERROR(INDEX('Paramètres'!$Q:$Q,MATCH($D3790,'Paramètres'!$M:$M,0))&amp;"",""))</f>
        <v/>
      </c>
      <c r="O3790" s="6" t="str">
        <f>IF($A3790="","",IF(OR($J3790&lt;&gt;"x",$A3790&lt;=FinReleve),1,0))</f>
        <v/>
      </c>
      <c r="P3790" s="6" t="str">
        <f>IF($D3790="","",IF(AND($L3790="Crédit",OR(IFERROR(INDEX('Paramètres'!$O:$O,MATCH($D3790,'Paramètres'!$M:$M,0))&amp;"","")&lt;&gt;"",ISNUMBER(SEARCH("remboursement",IFERROR(INDEX('Paramètres'!$N:$N,MATCH($D3790,'Paramètres'!$M:$M,0))&amp;"",""))))),1,0))</f>
        <v/>
      </c>
      <c r="Q3790" s="6" t="str">
        <f>IF($K3790="","",IF(ISNUMBER(SEARCH("transfert-interne",IFERROR(INDEX('Paramètres'!$N:$N,MATCH($D3790,'Paramètres'!$M:$M,0))&amp;"",""))),0,IF($L3790="Débit",$K3790,IF($P3790=1,-$K3790,0))))</f>
        <v/>
      </c>
      <c r="R3790" s="6" t="str">
        <f>IF($K3790="","",IF($L3790="Crédit",$K3790,-$K3790))</f>
        <v/>
      </c>
      <c r="S3790" s="6" t="str">
        <f>IF($C3790="","",IFERROR(INDEX('Paramètres'!$H:$H,MATCH($C3790,'Paramètres'!$D:$D,0))&amp;"",""))</f>
        <v/>
      </c>
      <c r="T3790" s="6" t="str">
        <f>IF($K3790="","",IF($S3790="",0,IF(ISNUMBER(SEARCH("apport-exterieur",IFERROR(INDEX('Paramètres'!$N:$N,MATCH($D3790,'Paramètres'!$M:$M,0))&amp;"",""))),0,IF(OR(IFERROR(INDEX('Paramètres'!$I:$I,MATCH($C3790,'Paramètres'!$D:$D,0))&amp;"","")="Les deux",IFERROR(INDEX('Paramètres'!$I:$I,MATCH($C3790,'Paramètres'!$D:$D,0))&amp;"","")=IF($P3790=1,"Débit",$L3790)),-IF($P3790=1,-$K3790,$K3790),0))))</f>
        <v/>
      </c>
      <c r="U3790" s="6" t="str">
        <f>IF($K3790="","",IF(ISNUMBER(SEARCH("sortie-epargne",IFERROR(INDEX('Paramètres'!$N:$N,MATCH($D3790,'Paramètres'!$M:$M,0))&amp;"",""))),$K3790,0))</f>
        <v/>
      </c>
      <c r="V3790" s="6" t="str">
        <f>IF(AND($A3790&lt;&gt;"",$O3790=1,$L3790="Débit",N($Q3790)&gt;0,$A3790&gt;=Visualisation!$B$1,$A3790&lt;Visualisation!$D$1),MAX($V$1:V3789)+1,"")</f>
        <v/>
      </c>
    </row>
    <row r="3791" spans="1:22" x14ac:dyDescent="0.25">
      <c r="A3791" s="9"/>
      <c r="E3791" s="10"/>
      <c r="K3791" s="11" t="str">
        <f>IF($E3791="","",ROUND($E3791*IF(ISNA(MATCH($C3791,'Paramètres'!$D:$D,0)),1,IF(INDEX('Paramètres'!$J:$J,MATCH($C3791,'Paramètres'!$D:$D,0))="",1,INDEX('Paramètres'!$J:$J,MATCH($C3791,'Paramètres'!$D:$D,0)))),2))</f>
        <v/>
      </c>
      <c r="L3791" s="6" t="str">
        <f>IF($D3791="","",IF($F3791&lt;&gt;"",$F3791,IF(ISNA(MATCH($D3791,'Paramètres'!$M:$M,0)),"⚠ Type inconnu",IFERROR(INDEX('Paramètres'!$P:$P,MATCH($D3791,'Paramètres'!$M:$M,0))&amp;"",""))))</f>
        <v/>
      </c>
      <c r="M3791" s="6" t="str">
        <f>IF($D3791="","",IF(ISNA(MATCH($D3791,'Paramètres'!$M:$M,0)),"⚠ Type inconnu",IF($L3791="Crédit","",IFERROR(INDEX('Paramètres'!$O:$O,MATCH($D3791,'Paramètres'!$M:$M,0))&amp;"",""))))</f>
        <v/>
      </c>
      <c r="N3791" s="6" t="str">
        <f>IF($D3791="","",IFERROR(INDEX('Paramètres'!$Q:$Q,MATCH($D3791,'Paramètres'!$M:$M,0))&amp;"",""))</f>
        <v/>
      </c>
      <c r="O3791" s="6" t="str">
        <f>IF($A3791="","",IF(OR($J3791&lt;&gt;"x",$A3791&lt;=FinReleve),1,0))</f>
        <v/>
      </c>
      <c r="P3791" s="6" t="str">
        <f>IF($D3791="","",IF(AND($L3791="Crédit",OR(IFERROR(INDEX('Paramètres'!$O:$O,MATCH($D3791,'Paramètres'!$M:$M,0))&amp;"","")&lt;&gt;"",ISNUMBER(SEARCH("remboursement",IFERROR(INDEX('Paramètres'!$N:$N,MATCH($D3791,'Paramètres'!$M:$M,0))&amp;"",""))))),1,0))</f>
        <v/>
      </c>
      <c r="Q3791" s="6" t="str">
        <f>IF($K3791="","",IF(ISNUMBER(SEARCH("transfert-interne",IFERROR(INDEX('Paramètres'!$N:$N,MATCH($D3791,'Paramètres'!$M:$M,0))&amp;"",""))),0,IF($L3791="Débit",$K3791,IF($P3791=1,-$K3791,0))))</f>
        <v/>
      </c>
      <c r="R3791" s="6" t="str">
        <f>IF($K3791="","",IF($L3791="Crédit",$K3791,-$K3791))</f>
        <v/>
      </c>
      <c r="S3791" s="6" t="str">
        <f>IF($C3791="","",IFERROR(INDEX('Paramètres'!$H:$H,MATCH($C3791,'Paramètres'!$D:$D,0))&amp;"",""))</f>
        <v/>
      </c>
      <c r="T3791" s="6" t="str">
        <f>IF($K3791="","",IF($S3791="",0,IF(ISNUMBER(SEARCH("apport-exterieur",IFERROR(INDEX('Paramètres'!$N:$N,MATCH($D3791,'Paramètres'!$M:$M,0))&amp;"",""))),0,IF(OR(IFERROR(INDEX('Paramètres'!$I:$I,MATCH($C3791,'Paramètres'!$D:$D,0))&amp;"","")="Les deux",IFERROR(INDEX('Paramètres'!$I:$I,MATCH($C3791,'Paramètres'!$D:$D,0))&amp;"","")=IF($P3791=1,"Débit",$L3791)),-IF($P3791=1,-$K3791,$K3791),0))))</f>
        <v/>
      </c>
      <c r="U3791" s="6" t="str">
        <f>IF($K3791="","",IF(ISNUMBER(SEARCH("sortie-epargne",IFERROR(INDEX('Paramètres'!$N:$N,MATCH($D3791,'Paramètres'!$M:$M,0))&amp;"",""))),$K3791,0))</f>
        <v/>
      </c>
      <c r="V3791" s="6" t="str">
        <f>IF(AND($A3791&lt;&gt;"",$O3791=1,$L3791="Débit",N($Q3791)&gt;0,$A3791&gt;=Visualisation!$B$1,$A3791&lt;Visualisation!$D$1),MAX($V$1:V3790)+1,"")</f>
        <v/>
      </c>
    </row>
    <row r="3792" spans="1:22" x14ac:dyDescent="0.25">
      <c r="A3792" s="9"/>
      <c r="E3792" s="10"/>
      <c r="K3792" s="11" t="str">
        <f>IF($E3792="","",ROUND($E3792*IF(ISNA(MATCH($C3792,'Paramètres'!$D:$D,0)),1,IF(INDEX('Paramètres'!$J:$J,MATCH($C3792,'Paramètres'!$D:$D,0))="",1,INDEX('Paramètres'!$J:$J,MATCH($C3792,'Paramètres'!$D:$D,0)))),2))</f>
        <v/>
      </c>
      <c r="L3792" s="6" t="str">
        <f>IF($D3792="","",IF($F3792&lt;&gt;"",$F3792,IF(ISNA(MATCH($D3792,'Paramètres'!$M:$M,0)),"⚠ Type inconnu",IFERROR(INDEX('Paramètres'!$P:$P,MATCH($D3792,'Paramètres'!$M:$M,0))&amp;"",""))))</f>
        <v/>
      </c>
      <c r="M3792" s="6" t="str">
        <f>IF($D3792="","",IF(ISNA(MATCH($D3792,'Paramètres'!$M:$M,0)),"⚠ Type inconnu",IF($L3792="Crédit","",IFERROR(INDEX('Paramètres'!$O:$O,MATCH($D3792,'Paramètres'!$M:$M,0))&amp;"",""))))</f>
        <v/>
      </c>
      <c r="N3792" s="6" t="str">
        <f>IF($D3792="","",IFERROR(INDEX('Paramètres'!$Q:$Q,MATCH($D3792,'Paramètres'!$M:$M,0))&amp;"",""))</f>
        <v/>
      </c>
      <c r="O3792" s="6" t="str">
        <f>IF($A3792="","",IF(OR($J3792&lt;&gt;"x",$A3792&lt;=FinReleve),1,0))</f>
        <v/>
      </c>
      <c r="P3792" s="6" t="str">
        <f>IF($D3792="","",IF(AND($L3792="Crédit",OR(IFERROR(INDEX('Paramètres'!$O:$O,MATCH($D3792,'Paramètres'!$M:$M,0))&amp;"","")&lt;&gt;"",ISNUMBER(SEARCH("remboursement",IFERROR(INDEX('Paramètres'!$N:$N,MATCH($D3792,'Paramètres'!$M:$M,0))&amp;"",""))))),1,0))</f>
        <v/>
      </c>
      <c r="Q3792" s="6" t="str">
        <f>IF($K3792="","",IF(ISNUMBER(SEARCH("transfert-interne",IFERROR(INDEX('Paramètres'!$N:$N,MATCH($D3792,'Paramètres'!$M:$M,0))&amp;"",""))),0,IF($L3792="Débit",$K3792,IF($P3792=1,-$K3792,0))))</f>
        <v/>
      </c>
      <c r="R3792" s="6" t="str">
        <f>IF($K3792="","",IF($L3792="Crédit",$K3792,-$K3792))</f>
        <v/>
      </c>
      <c r="S3792" s="6" t="str">
        <f>IF($C3792="","",IFERROR(INDEX('Paramètres'!$H:$H,MATCH($C3792,'Paramètres'!$D:$D,0))&amp;"",""))</f>
        <v/>
      </c>
      <c r="T3792" s="6" t="str">
        <f>IF($K3792="","",IF($S3792="",0,IF(ISNUMBER(SEARCH("apport-exterieur",IFERROR(INDEX('Paramètres'!$N:$N,MATCH($D3792,'Paramètres'!$M:$M,0))&amp;"",""))),0,IF(OR(IFERROR(INDEX('Paramètres'!$I:$I,MATCH($C3792,'Paramètres'!$D:$D,0))&amp;"","")="Les deux",IFERROR(INDEX('Paramètres'!$I:$I,MATCH($C3792,'Paramètres'!$D:$D,0))&amp;"","")=IF($P3792=1,"Débit",$L3792)),-IF($P3792=1,-$K3792,$K3792),0))))</f>
        <v/>
      </c>
      <c r="U3792" s="6" t="str">
        <f>IF($K3792="","",IF(ISNUMBER(SEARCH("sortie-epargne",IFERROR(INDEX('Paramètres'!$N:$N,MATCH($D3792,'Paramètres'!$M:$M,0))&amp;"",""))),$K3792,0))</f>
        <v/>
      </c>
      <c r="V3792" s="6" t="str">
        <f>IF(AND($A3792&lt;&gt;"",$O3792=1,$L3792="Débit",N($Q3792)&gt;0,$A3792&gt;=Visualisation!$B$1,$A3792&lt;Visualisation!$D$1),MAX($V$1:V3791)+1,"")</f>
        <v/>
      </c>
    </row>
    <row r="3793" spans="1:22" x14ac:dyDescent="0.25">
      <c r="A3793" s="9"/>
      <c r="E3793" s="10"/>
      <c r="K3793" s="11" t="str">
        <f>IF($E3793="","",ROUND($E3793*IF(ISNA(MATCH($C3793,'Paramètres'!$D:$D,0)),1,IF(INDEX('Paramètres'!$J:$J,MATCH($C3793,'Paramètres'!$D:$D,0))="",1,INDEX('Paramètres'!$J:$J,MATCH($C3793,'Paramètres'!$D:$D,0)))),2))</f>
        <v/>
      </c>
      <c r="L3793" s="6" t="str">
        <f>IF($D3793="","",IF($F3793&lt;&gt;"",$F3793,IF(ISNA(MATCH($D3793,'Paramètres'!$M:$M,0)),"⚠ Type inconnu",IFERROR(INDEX('Paramètres'!$P:$P,MATCH($D3793,'Paramètres'!$M:$M,0))&amp;"",""))))</f>
        <v/>
      </c>
      <c r="M3793" s="6" t="str">
        <f>IF($D3793="","",IF(ISNA(MATCH($D3793,'Paramètres'!$M:$M,0)),"⚠ Type inconnu",IF($L3793="Crédit","",IFERROR(INDEX('Paramètres'!$O:$O,MATCH($D3793,'Paramètres'!$M:$M,0))&amp;"",""))))</f>
        <v/>
      </c>
      <c r="N3793" s="6" t="str">
        <f>IF($D3793="","",IFERROR(INDEX('Paramètres'!$Q:$Q,MATCH($D3793,'Paramètres'!$M:$M,0))&amp;"",""))</f>
        <v/>
      </c>
      <c r="O3793" s="6" t="str">
        <f>IF($A3793="","",IF(OR($J3793&lt;&gt;"x",$A3793&lt;=FinReleve),1,0))</f>
        <v/>
      </c>
      <c r="P3793" s="6" t="str">
        <f>IF($D3793="","",IF(AND($L3793="Crédit",OR(IFERROR(INDEX('Paramètres'!$O:$O,MATCH($D3793,'Paramètres'!$M:$M,0))&amp;"","")&lt;&gt;"",ISNUMBER(SEARCH("remboursement",IFERROR(INDEX('Paramètres'!$N:$N,MATCH($D3793,'Paramètres'!$M:$M,0))&amp;"",""))))),1,0))</f>
        <v/>
      </c>
      <c r="Q3793" s="6" t="str">
        <f>IF($K3793="","",IF(ISNUMBER(SEARCH("transfert-interne",IFERROR(INDEX('Paramètres'!$N:$N,MATCH($D3793,'Paramètres'!$M:$M,0))&amp;"",""))),0,IF($L3793="Débit",$K3793,IF($P3793=1,-$K3793,0))))</f>
        <v/>
      </c>
      <c r="R3793" s="6" t="str">
        <f>IF($K3793="","",IF($L3793="Crédit",$K3793,-$K3793))</f>
        <v/>
      </c>
      <c r="S3793" s="6" t="str">
        <f>IF($C3793="","",IFERROR(INDEX('Paramètres'!$H:$H,MATCH($C3793,'Paramètres'!$D:$D,0))&amp;"",""))</f>
        <v/>
      </c>
      <c r="T3793" s="6" t="str">
        <f>IF($K3793="","",IF($S3793="",0,IF(ISNUMBER(SEARCH("apport-exterieur",IFERROR(INDEX('Paramètres'!$N:$N,MATCH($D3793,'Paramètres'!$M:$M,0))&amp;"",""))),0,IF(OR(IFERROR(INDEX('Paramètres'!$I:$I,MATCH($C3793,'Paramètres'!$D:$D,0))&amp;"","")="Les deux",IFERROR(INDEX('Paramètres'!$I:$I,MATCH($C3793,'Paramètres'!$D:$D,0))&amp;"","")=IF($P3793=1,"Débit",$L3793)),-IF($P3793=1,-$K3793,$K3793),0))))</f>
        <v/>
      </c>
      <c r="U3793" s="6" t="str">
        <f>IF($K3793="","",IF(ISNUMBER(SEARCH("sortie-epargne",IFERROR(INDEX('Paramètres'!$N:$N,MATCH($D3793,'Paramètres'!$M:$M,0))&amp;"",""))),$K3793,0))</f>
        <v/>
      </c>
      <c r="V3793" s="6" t="str">
        <f>IF(AND($A3793&lt;&gt;"",$O3793=1,$L3793="Débit",N($Q3793)&gt;0,$A3793&gt;=Visualisation!$B$1,$A3793&lt;Visualisation!$D$1),MAX($V$1:V3792)+1,"")</f>
        <v/>
      </c>
    </row>
    <row r="3794" spans="1:22" x14ac:dyDescent="0.25">
      <c r="A3794" s="9"/>
      <c r="E3794" s="10"/>
      <c r="K3794" s="11" t="str">
        <f>IF($E3794="","",ROUND($E3794*IF(ISNA(MATCH($C3794,'Paramètres'!$D:$D,0)),1,IF(INDEX('Paramètres'!$J:$J,MATCH($C3794,'Paramètres'!$D:$D,0))="",1,INDEX('Paramètres'!$J:$J,MATCH($C3794,'Paramètres'!$D:$D,0)))),2))</f>
        <v/>
      </c>
      <c r="L3794" s="6" t="str">
        <f>IF($D3794="","",IF($F3794&lt;&gt;"",$F3794,IF(ISNA(MATCH($D3794,'Paramètres'!$M:$M,0)),"⚠ Type inconnu",IFERROR(INDEX('Paramètres'!$P:$P,MATCH($D3794,'Paramètres'!$M:$M,0))&amp;"",""))))</f>
        <v/>
      </c>
      <c r="M3794" s="6" t="str">
        <f>IF($D3794="","",IF(ISNA(MATCH($D3794,'Paramètres'!$M:$M,0)),"⚠ Type inconnu",IF($L3794="Crédit","",IFERROR(INDEX('Paramètres'!$O:$O,MATCH($D3794,'Paramètres'!$M:$M,0))&amp;"",""))))</f>
        <v/>
      </c>
      <c r="N3794" s="6" t="str">
        <f>IF($D3794="","",IFERROR(INDEX('Paramètres'!$Q:$Q,MATCH($D3794,'Paramètres'!$M:$M,0))&amp;"",""))</f>
        <v/>
      </c>
      <c r="O3794" s="6" t="str">
        <f>IF($A3794="","",IF(OR($J3794&lt;&gt;"x",$A3794&lt;=FinReleve),1,0))</f>
        <v/>
      </c>
      <c r="P3794" s="6" t="str">
        <f>IF($D3794="","",IF(AND($L3794="Crédit",OR(IFERROR(INDEX('Paramètres'!$O:$O,MATCH($D3794,'Paramètres'!$M:$M,0))&amp;"","")&lt;&gt;"",ISNUMBER(SEARCH("remboursement",IFERROR(INDEX('Paramètres'!$N:$N,MATCH($D3794,'Paramètres'!$M:$M,0))&amp;"",""))))),1,0))</f>
        <v/>
      </c>
      <c r="Q3794" s="6" t="str">
        <f>IF($K3794="","",IF(ISNUMBER(SEARCH("transfert-interne",IFERROR(INDEX('Paramètres'!$N:$N,MATCH($D3794,'Paramètres'!$M:$M,0))&amp;"",""))),0,IF($L3794="Débit",$K3794,IF($P3794=1,-$K3794,0))))</f>
        <v/>
      </c>
      <c r="R3794" s="6" t="str">
        <f>IF($K3794="","",IF($L3794="Crédit",$K3794,-$K3794))</f>
        <v/>
      </c>
      <c r="S3794" s="6" t="str">
        <f>IF($C3794="","",IFERROR(INDEX('Paramètres'!$H:$H,MATCH($C3794,'Paramètres'!$D:$D,0))&amp;"",""))</f>
        <v/>
      </c>
      <c r="T3794" s="6" t="str">
        <f>IF($K3794="","",IF($S3794="",0,IF(ISNUMBER(SEARCH("apport-exterieur",IFERROR(INDEX('Paramètres'!$N:$N,MATCH($D3794,'Paramètres'!$M:$M,0))&amp;"",""))),0,IF(OR(IFERROR(INDEX('Paramètres'!$I:$I,MATCH($C3794,'Paramètres'!$D:$D,0))&amp;"","")="Les deux",IFERROR(INDEX('Paramètres'!$I:$I,MATCH($C3794,'Paramètres'!$D:$D,0))&amp;"","")=IF($P3794=1,"Débit",$L3794)),-IF($P3794=1,-$K3794,$K3794),0))))</f>
        <v/>
      </c>
      <c r="U3794" s="6" t="str">
        <f>IF($K3794="","",IF(ISNUMBER(SEARCH("sortie-epargne",IFERROR(INDEX('Paramètres'!$N:$N,MATCH($D3794,'Paramètres'!$M:$M,0))&amp;"",""))),$K3794,0))</f>
        <v/>
      </c>
      <c r="V3794" s="6" t="str">
        <f>IF(AND($A3794&lt;&gt;"",$O3794=1,$L3794="Débit",N($Q3794)&gt;0,$A3794&gt;=Visualisation!$B$1,$A3794&lt;Visualisation!$D$1),MAX($V$1:V3793)+1,"")</f>
        <v/>
      </c>
    </row>
    <row r="3795" spans="1:22" x14ac:dyDescent="0.25">
      <c r="A3795" s="9"/>
      <c r="E3795" s="10"/>
      <c r="K3795" s="11" t="str">
        <f>IF($E3795="","",ROUND($E3795*IF(ISNA(MATCH($C3795,'Paramètres'!$D:$D,0)),1,IF(INDEX('Paramètres'!$J:$J,MATCH($C3795,'Paramètres'!$D:$D,0))="",1,INDEX('Paramètres'!$J:$J,MATCH($C3795,'Paramètres'!$D:$D,0)))),2))</f>
        <v/>
      </c>
      <c r="L3795" s="6" t="str">
        <f>IF($D3795="","",IF($F3795&lt;&gt;"",$F3795,IF(ISNA(MATCH($D3795,'Paramètres'!$M:$M,0)),"⚠ Type inconnu",IFERROR(INDEX('Paramètres'!$P:$P,MATCH($D3795,'Paramètres'!$M:$M,0))&amp;"",""))))</f>
        <v/>
      </c>
      <c r="M3795" s="6" t="str">
        <f>IF($D3795="","",IF(ISNA(MATCH($D3795,'Paramètres'!$M:$M,0)),"⚠ Type inconnu",IF($L3795="Crédit","",IFERROR(INDEX('Paramètres'!$O:$O,MATCH($D3795,'Paramètres'!$M:$M,0))&amp;"",""))))</f>
        <v/>
      </c>
      <c r="N3795" s="6" t="str">
        <f>IF($D3795="","",IFERROR(INDEX('Paramètres'!$Q:$Q,MATCH($D3795,'Paramètres'!$M:$M,0))&amp;"",""))</f>
        <v/>
      </c>
      <c r="O3795" s="6" t="str">
        <f>IF($A3795="","",IF(OR($J3795&lt;&gt;"x",$A3795&lt;=FinReleve),1,0))</f>
        <v/>
      </c>
      <c r="P3795" s="6" t="str">
        <f>IF($D3795="","",IF(AND($L3795="Crédit",OR(IFERROR(INDEX('Paramètres'!$O:$O,MATCH($D3795,'Paramètres'!$M:$M,0))&amp;"","")&lt;&gt;"",ISNUMBER(SEARCH("remboursement",IFERROR(INDEX('Paramètres'!$N:$N,MATCH($D3795,'Paramètres'!$M:$M,0))&amp;"",""))))),1,0))</f>
        <v/>
      </c>
      <c r="Q3795" s="6" t="str">
        <f>IF($K3795="","",IF(ISNUMBER(SEARCH("transfert-interne",IFERROR(INDEX('Paramètres'!$N:$N,MATCH($D3795,'Paramètres'!$M:$M,0))&amp;"",""))),0,IF($L3795="Débit",$K3795,IF($P3795=1,-$K3795,0))))</f>
        <v/>
      </c>
      <c r="R3795" s="6" t="str">
        <f>IF($K3795="","",IF($L3795="Crédit",$K3795,-$K3795))</f>
        <v/>
      </c>
      <c r="S3795" s="6" t="str">
        <f>IF($C3795="","",IFERROR(INDEX('Paramètres'!$H:$H,MATCH($C3795,'Paramètres'!$D:$D,0))&amp;"",""))</f>
        <v/>
      </c>
      <c r="T3795" s="6" t="str">
        <f>IF($K3795="","",IF($S3795="",0,IF(ISNUMBER(SEARCH("apport-exterieur",IFERROR(INDEX('Paramètres'!$N:$N,MATCH($D3795,'Paramètres'!$M:$M,0))&amp;"",""))),0,IF(OR(IFERROR(INDEX('Paramètres'!$I:$I,MATCH($C3795,'Paramètres'!$D:$D,0))&amp;"","")="Les deux",IFERROR(INDEX('Paramètres'!$I:$I,MATCH($C3795,'Paramètres'!$D:$D,0))&amp;"","")=IF($P3795=1,"Débit",$L3795)),-IF($P3795=1,-$K3795,$K3795),0))))</f>
        <v/>
      </c>
      <c r="U3795" s="6" t="str">
        <f>IF($K3795="","",IF(ISNUMBER(SEARCH("sortie-epargne",IFERROR(INDEX('Paramètres'!$N:$N,MATCH($D3795,'Paramètres'!$M:$M,0))&amp;"",""))),$K3795,0))</f>
        <v/>
      </c>
      <c r="V3795" s="6" t="str">
        <f>IF(AND($A3795&lt;&gt;"",$O3795=1,$L3795="Débit",N($Q3795)&gt;0,$A3795&gt;=Visualisation!$B$1,$A3795&lt;Visualisation!$D$1),MAX($V$1:V3794)+1,"")</f>
        <v/>
      </c>
    </row>
    <row r="3796" spans="1:22" x14ac:dyDescent="0.25">
      <c r="A3796" s="9"/>
      <c r="E3796" s="10"/>
      <c r="K3796" s="11" t="str">
        <f>IF($E3796="","",ROUND($E3796*IF(ISNA(MATCH($C3796,'Paramètres'!$D:$D,0)),1,IF(INDEX('Paramètres'!$J:$J,MATCH($C3796,'Paramètres'!$D:$D,0))="",1,INDEX('Paramètres'!$J:$J,MATCH($C3796,'Paramètres'!$D:$D,0)))),2))</f>
        <v/>
      </c>
      <c r="L3796" s="6" t="str">
        <f>IF($D3796="","",IF($F3796&lt;&gt;"",$F3796,IF(ISNA(MATCH($D3796,'Paramètres'!$M:$M,0)),"⚠ Type inconnu",IFERROR(INDEX('Paramètres'!$P:$P,MATCH($D3796,'Paramètres'!$M:$M,0))&amp;"",""))))</f>
        <v/>
      </c>
      <c r="M3796" s="6" t="str">
        <f>IF($D3796="","",IF(ISNA(MATCH($D3796,'Paramètres'!$M:$M,0)),"⚠ Type inconnu",IF($L3796="Crédit","",IFERROR(INDEX('Paramètres'!$O:$O,MATCH($D3796,'Paramètres'!$M:$M,0))&amp;"",""))))</f>
        <v/>
      </c>
      <c r="N3796" s="6" t="str">
        <f>IF($D3796="","",IFERROR(INDEX('Paramètres'!$Q:$Q,MATCH($D3796,'Paramètres'!$M:$M,0))&amp;"",""))</f>
        <v/>
      </c>
      <c r="O3796" s="6" t="str">
        <f>IF($A3796="","",IF(OR($J3796&lt;&gt;"x",$A3796&lt;=FinReleve),1,0))</f>
        <v/>
      </c>
      <c r="P3796" s="6" t="str">
        <f>IF($D3796="","",IF(AND($L3796="Crédit",OR(IFERROR(INDEX('Paramètres'!$O:$O,MATCH($D3796,'Paramètres'!$M:$M,0))&amp;"","")&lt;&gt;"",ISNUMBER(SEARCH("remboursement",IFERROR(INDEX('Paramètres'!$N:$N,MATCH($D3796,'Paramètres'!$M:$M,0))&amp;"",""))))),1,0))</f>
        <v/>
      </c>
      <c r="Q3796" s="6" t="str">
        <f>IF($K3796="","",IF(ISNUMBER(SEARCH("transfert-interne",IFERROR(INDEX('Paramètres'!$N:$N,MATCH($D3796,'Paramètres'!$M:$M,0))&amp;"",""))),0,IF($L3796="Débit",$K3796,IF($P3796=1,-$K3796,0))))</f>
        <v/>
      </c>
      <c r="R3796" s="6" t="str">
        <f>IF($K3796="","",IF($L3796="Crédit",$K3796,-$K3796))</f>
        <v/>
      </c>
      <c r="S3796" s="6" t="str">
        <f>IF($C3796="","",IFERROR(INDEX('Paramètres'!$H:$H,MATCH($C3796,'Paramètres'!$D:$D,0))&amp;"",""))</f>
        <v/>
      </c>
      <c r="T3796" s="6" t="str">
        <f>IF($K3796="","",IF($S3796="",0,IF(ISNUMBER(SEARCH("apport-exterieur",IFERROR(INDEX('Paramètres'!$N:$N,MATCH($D3796,'Paramètres'!$M:$M,0))&amp;"",""))),0,IF(OR(IFERROR(INDEX('Paramètres'!$I:$I,MATCH($C3796,'Paramètres'!$D:$D,0))&amp;"","")="Les deux",IFERROR(INDEX('Paramètres'!$I:$I,MATCH($C3796,'Paramètres'!$D:$D,0))&amp;"","")=IF($P3796=1,"Débit",$L3796)),-IF($P3796=1,-$K3796,$K3796),0))))</f>
        <v/>
      </c>
      <c r="U3796" s="6" t="str">
        <f>IF($K3796="","",IF(ISNUMBER(SEARCH("sortie-epargne",IFERROR(INDEX('Paramètres'!$N:$N,MATCH($D3796,'Paramètres'!$M:$M,0))&amp;"",""))),$K3796,0))</f>
        <v/>
      </c>
      <c r="V3796" s="6" t="str">
        <f>IF(AND($A3796&lt;&gt;"",$O3796=1,$L3796="Débit",N($Q3796)&gt;0,$A3796&gt;=Visualisation!$B$1,$A3796&lt;Visualisation!$D$1),MAX($V$1:V3795)+1,"")</f>
        <v/>
      </c>
    </row>
    <row r="3797" spans="1:22" x14ac:dyDescent="0.25">
      <c r="A3797" s="9"/>
      <c r="E3797" s="10"/>
      <c r="K3797" s="11" t="str">
        <f>IF($E3797="","",ROUND($E3797*IF(ISNA(MATCH($C3797,'Paramètres'!$D:$D,0)),1,IF(INDEX('Paramètres'!$J:$J,MATCH($C3797,'Paramètres'!$D:$D,0))="",1,INDEX('Paramètres'!$J:$J,MATCH($C3797,'Paramètres'!$D:$D,0)))),2))</f>
        <v/>
      </c>
      <c r="L3797" s="6" t="str">
        <f>IF($D3797="","",IF($F3797&lt;&gt;"",$F3797,IF(ISNA(MATCH($D3797,'Paramètres'!$M:$M,0)),"⚠ Type inconnu",IFERROR(INDEX('Paramètres'!$P:$P,MATCH($D3797,'Paramètres'!$M:$M,0))&amp;"",""))))</f>
        <v/>
      </c>
      <c r="M3797" s="6" t="str">
        <f>IF($D3797="","",IF(ISNA(MATCH($D3797,'Paramètres'!$M:$M,0)),"⚠ Type inconnu",IF($L3797="Crédit","",IFERROR(INDEX('Paramètres'!$O:$O,MATCH($D3797,'Paramètres'!$M:$M,0))&amp;"",""))))</f>
        <v/>
      </c>
      <c r="N3797" s="6" t="str">
        <f>IF($D3797="","",IFERROR(INDEX('Paramètres'!$Q:$Q,MATCH($D3797,'Paramètres'!$M:$M,0))&amp;"",""))</f>
        <v/>
      </c>
      <c r="O3797" s="6" t="str">
        <f>IF($A3797="","",IF(OR($J3797&lt;&gt;"x",$A3797&lt;=FinReleve),1,0))</f>
        <v/>
      </c>
      <c r="P3797" s="6" t="str">
        <f>IF($D3797="","",IF(AND($L3797="Crédit",OR(IFERROR(INDEX('Paramètres'!$O:$O,MATCH($D3797,'Paramètres'!$M:$M,0))&amp;"","")&lt;&gt;"",ISNUMBER(SEARCH("remboursement",IFERROR(INDEX('Paramètres'!$N:$N,MATCH($D3797,'Paramètres'!$M:$M,0))&amp;"",""))))),1,0))</f>
        <v/>
      </c>
      <c r="Q3797" s="6" t="str">
        <f>IF($K3797="","",IF(ISNUMBER(SEARCH("transfert-interne",IFERROR(INDEX('Paramètres'!$N:$N,MATCH($D3797,'Paramètres'!$M:$M,0))&amp;"",""))),0,IF($L3797="Débit",$K3797,IF($P3797=1,-$K3797,0))))</f>
        <v/>
      </c>
      <c r="R3797" s="6" t="str">
        <f>IF($K3797="","",IF($L3797="Crédit",$K3797,-$K3797))</f>
        <v/>
      </c>
      <c r="S3797" s="6" t="str">
        <f>IF($C3797="","",IFERROR(INDEX('Paramètres'!$H:$H,MATCH($C3797,'Paramètres'!$D:$D,0))&amp;"",""))</f>
        <v/>
      </c>
      <c r="T3797" s="6" t="str">
        <f>IF($K3797="","",IF($S3797="",0,IF(ISNUMBER(SEARCH("apport-exterieur",IFERROR(INDEX('Paramètres'!$N:$N,MATCH($D3797,'Paramètres'!$M:$M,0))&amp;"",""))),0,IF(OR(IFERROR(INDEX('Paramètres'!$I:$I,MATCH($C3797,'Paramètres'!$D:$D,0))&amp;"","")="Les deux",IFERROR(INDEX('Paramètres'!$I:$I,MATCH($C3797,'Paramètres'!$D:$D,0))&amp;"","")=IF($P3797=1,"Débit",$L3797)),-IF($P3797=1,-$K3797,$K3797),0))))</f>
        <v/>
      </c>
      <c r="U3797" s="6" t="str">
        <f>IF($K3797="","",IF(ISNUMBER(SEARCH("sortie-epargne",IFERROR(INDEX('Paramètres'!$N:$N,MATCH($D3797,'Paramètres'!$M:$M,0))&amp;"",""))),$K3797,0))</f>
        <v/>
      </c>
      <c r="V3797" s="6" t="str">
        <f>IF(AND($A3797&lt;&gt;"",$O3797=1,$L3797="Débit",N($Q3797)&gt;0,$A3797&gt;=Visualisation!$B$1,$A3797&lt;Visualisation!$D$1),MAX($V$1:V3796)+1,"")</f>
        <v/>
      </c>
    </row>
    <row r="3798" spans="1:22" x14ac:dyDescent="0.25">
      <c r="A3798" s="9"/>
      <c r="E3798" s="10"/>
      <c r="K3798" s="11" t="str">
        <f>IF($E3798="","",ROUND($E3798*IF(ISNA(MATCH($C3798,'Paramètres'!$D:$D,0)),1,IF(INDEX('Paramètres'!$J:$J,MATCH($C3798,'Paramètres'!$D:$D,0))="",1,INDEX('Paramètres'!$J:$J,MATCH($C3798,'Paramètres'!$D:$D,0)))),2))</f>
        <v/>
      </c>
      <c r="L3798" s="6" t="str">
        <f>IF($D3798="","",IF($F3798&lt;&gt;"",$F3798,IF(ISNA(MATCH($D3798,'Paramètres'!$M:$M,0)),"⚠ Type inconnu",IFERROR(INDEX('Paramètres'!$P:$P,MATCH($D3798,'Paramètres'!$M:$M,0))&amp;"",""))))</f>
        <v/>
      </c>
      <c r="M3798" s="6" t="str">
        <f>IF($D3798="","",IF(ISNA(MATCH($D3798,'Paramètres'!$M:$M,0)),"⚠ Type inconnu",IF($L3798="Crédit","",IFERROR(INDEX('Paramètres'!$O:$O,MATCH($D3798,'Paramètres'!$M:$M,0))&amp;"",""))))</f>
        <v/>
      </c>
      <c r="N3798" s="6" t="str">
        <f>IF($D3798="","",IFERROR(INDEX('Paramètres'!$Q:$Q,MATCH($D3798,'Paramètres'!$M:$M,0))&amp;"",""))</f>
        <v/>
      </c>
      <c r="O3798" s="6" t="str">
        <f>IF($A3798="","",IF(OR($J3798&lt;&gt;"x",$A3798&lt;=FinReleve),1,0))</f>
        <v/>
      </c>
      <c r="P3798" s="6" t="str">
        <f>IF($D3798="","",IF(AND($L3798="Crédit",OR(IFERROR(INDEX('Paramètres'!$O:$O,MATCH($D3798,'Paramètres'!$M:$M,0))&amp;"","")&lt;&gt;"",ISNUMBER(SEARCH("remboursement",IFERROR(INDEX('Paramètres'!$N:$N,MATCH($D3798,'Paramètres'!$M:$M,0))&amp;"",""))))),1,0))</f>
        <v/>
      </c>
      <c r="Q3798" s="6" t="str">
        <f>IF($K3798="","",IF(ISNUMBER(SEARCH("transfert-interne",IFERROR(INDEX('Paramètres'!$N:$N,MATCH($D3798,'Paramètres'!$M:$M,0))&amp;"",""))),0,IF($L3798="Débit",$K3798,IF($P3798=1,-$K3798,0))))</f>
        <v/>
      </c>
      <c r="R3798" s="6" t="str">
        <f>IF($K3798="","",IF($L3798="Crédit",$K3798,-$K3798))</f>
        <v/>
      </c>
      <c r="S3798" s="6" t="str">
        <f>IF($C3798="","",IFERROR(INDEX('Paramètres'!$H:$H,MATCH($C3798,'Paramètres'!$D:$D,0))&amp;"",""))</f>
        <v/>
      </c>
      <c r="T3798" s="6" t="str">
        <f>IF($K3798="","",IF($S3798="",0,IF(ISNUMBER(SEARCH("apport-exterieur",IFERROR(INDEX('Paramètres'!$N:$N,MATCH($D3798,'Paramètres'!$M:$M,0))&amp;"",""))),0,IF(OR(IFERROR(INDEX('Paramètres'!$I:$I,MATCH($C3798,'Paramètres'!$D:$D,0))&amp;"","")="Les deux",IFERROR(INDEX('Paramètres'!$I:$I,MATCH($C3798,'Paramètres'!$D:$D,0))&amp;"","")=IF($P3798=1,"Débit",$L3798)),-IF($P3798=1,-$K3798,$K3798),0))))</f>
        <v/>
      </c>
      <c r="U3798" s="6" t="str">
        <f>IF($K3798="","",IF(ISNUMBER(SEARCH("sortie-epargne",IFERROR(INDEX('Paramètres'!$N:$N,MATCH($D3798,'Paramètres'!$M:$M,0))&amp;"",""))),$K3798,0))</f>
        <v/>
      </c>
      <c r="V3798" s="6" t="str">
        <f>IF(AND($A3798&lt;&gt;"",$O3798=1,$L3798="Débit",N($Q3798)&gt;0,$A3798&gt;=Visualisation!$B$1,$A3798&lt;Visualisation!$D$1),MAX($V$1:V3797)+1,"")</f>
        <v/>
      </c>
    </row>
    <row r="3799" spans="1:22" x14ac:dyDescent="0.25">
      <c r="A3799" s="9"/>
      <c r="E3799" s="10"/>
      <c r="K3799" s="11" t="str">
        <f>IF($E3799="","",ROUND($E3799*IF(ISNA(MATCH($C3799,'Paramètres'!$D:$D,0)),1,IF(INDEX('Paramètres'!$J:$J,MATCH($C3799,'Paramètres'!$D:$D,0))="",1,INDEX('Paramètres'!$J:$J,MATCH($C3799,'Paramètres'!$D:$D,0)))),2))</f>
        <v/>
      </c>
      <c r="L3799" s="6" t="str">
        <f>IF($D3799="","",IF($F3799&lt;&gt;"",$F3799,IF(ISNA(MATCH($D3799,'Paramètres'!$M:$M,0)),"⚠ Type inconnu",IFERROR(INDEX('Paramètres'!$P:$P,MATCH($D3799,'Paramètres'!$M:$M,0))&amp;"",""))))</f>
        <v/>
      </c>
      <c r="M3799" s="6" t="str">
        <f>IF($D3799="","",IF(ISNA(MATCH($D3799,'Paramètres'!$M:$M,0)),"⚠ Type inconnu",IF($L3799="Crédit","",IFERROR(INDEX('Paramètres'!$O:$O,MATCH($D3799,'Paramètres'!$M:$M,0))&amp;"",""))))</f>
        <v/>
      </c>
      <c r="N3799" s="6" t="str">
        <f>IF($D3799="","",IFERROR(INDEX('Paramètres'!$Q:$Q,MATCH($D3799,'Paramètres'!$M:$M,0))&amp;"",""))</f>
        <v/>
      </c>
      <c r="O3799" s="6" t="str">
        <f>IF($A3799="","",IF(OR($J3799&lt;&gt;"x",$A3799&lt;=FinReleve),1,0))</f>
        <v/>
      </c>
      <c r="P3799" s="6" t="str">
        <f>IF($D3799="","",IF(AND($L3799="Crédit",OR(IFERROR(INDEX('Paramètres'!$O:$O,MATCH($D3799,'Paramètres'!$M:$M,0))&amp;"","")&lt;&gt;"",ISNUMBER(SEARCH("remboursement",IFERROR(INDEX('Paramètres'!$N:$N,MATCH($D3799,'Paramètres'!$M:$M,0))&amp;"",""))))),1,0))</f>
        <v/>
      </c>
      <c r="Q3799" s="6" t="str">
        <f>IF($K3799="","",IF(ISNUMBER(SEARCH("transfert-interne",IFERROR(INDEX('Paramètres'!$N:$N,MATCH($D3799,'Paramètres'!$M:$M,0))&amp;"",""))),0,IF($L3799="Débit",$K3799,IF($P3799=1,-$K3799,0))))</f>
        <v/>
      </c>
      <c r="R3799" s="6" t="str">
        <f>IF($K3799="","",IF($L3799="Crédit",$K3799,-$K3799))</f>
        <v/>
      </c>
      <c r="S3799" s="6" t="str">
        <f>IF($C3799="","",IFERROR(INDEX('Paramètres'!$H:$H,MATCH($C3799,'Paramètres'!$D:$D,0))&amp;"",""))</f>
        <v/>
      </c>
      <c r="T3799" s="6" t="str">
        <f>IF($K3799="","",IF($S3799="",0,IF(ISNUMBER(SEARCH("apport-exterieur",IFERROR(INDEX('Paramètres'!$N:$N,MATCH($D3799,'Paramètres'!$M:$M,0))&amp;"",""))),0,IF(OR(IFERROR(INDEX('Paramètres'!$I:$I,MATCH($C3799,'Paramètres'!$D:$D,0))&amp;"","")="Les deux",IFERROR(INDEX('Paramètres'!$I:$I,MATCH($C3799,'Paramètres'!$D:$D,0))&amp;"","")=IF($P3799=1,"Débit",$L3799)),-IF($P3799=1,-$K3799,$K3799),0))))</f>
        <v/>
      </c>
      <c r="U3799" s="6" t="str">
        <f>IF($K3799="","",IF(ISNUMBER(SEARCH("sortie-epargne",IFERROR(INDEX('Paramètres'!$N:$N,MATCH($D3799,'Paramètres'!$M:$M,0))&amp;"",""))),$K3799,0))</f>
        <v/>
      </c>
      <c r="V3799" s="6" t="str">
        <f>IF(AND($A3799&lt;&gt;"",$O3799=1,$L3799="Débit",N($Q3799)&gt;0,$A3799&gt;=Visualisation!$B$1,$A3799&lt;Visualisation!$D$1),MAX($V$1:V3798)+1,"")</f>
        <v/>
      </c>
    </row>
    <row r="3800" spans="1:22" x14ac:dyDescent="0.25">
      <c r="A3800" s="9"/>
      <c r="E3800" s="10"/>
      <c r="K3800" s="11" t="str">
        <f>IF($E3800="","",ROUND($E3800*IF(ISNA(MATCH($C3800,'Paramètres'!$D:$D,0)),1,IF(INDEX('Paramètres'!$J:$J,MATCH($C3800,'Paramètres'!$D:$D,0))="",1,INDEX('Paramètres'!$J:$J,MATCH($C3800,'Paramètres'!$D:$D,0)))),2))</f>
        <v/>
      </c>
      <c r="L3800" s="6" t="str">
        <f>IF($D3800="","",IF($F3800&lt;&gt;"",$F3800,IF(ISNA(MATCH($D3800,'Paramètres'!$M:$M,0)),"⚠ Type inconnu",IFERROR(INDEX('Paramètres'!$P:$P,MATCH($D3800,'Paramètres'!$M:$M,0))&amp;"",""))))</f>
        <v/>
      </c>
      <c r="M3800" s="6" t="str">
        <f>IF($D3800="","",IF(ISNA(MATCH($D3800,'Paramètres'!$M:$M,0)),"⚠ Type inconnu",IF($L3800="Crédit","",IFERROR(INDEX('Paramètres'!$O:$O,MATCH($D3800,'Paramètres'!$M:$M,0))&amp;"",""))))</f>
        <v/>
      </c>
      <c r="N3800" s="6" t="str">
        <f>IF($D3800="","",IFERROR(INDEX('Paramètres'!$Q:$Q,MATCH($D3800,'Paramètres'!$M:$M,0))&amp;"",""))</f>
        <v/>
      </c>
      <c r="O3800" s="6" t="str">
        <f>IF($A3800="","",IF(OR($J3800&lt;&gt;"x",$A3800&lt;=FinReleve),1,0))</f>
        <v/>
      </c>
      <c r="P3800" s="6" t="str">
        <f>IF($D3800="","",IF(AND($L3800="Crédit",OR(IFERROR(INDEX('Paramètres'!$O:$O,MATCH($D3800,'Paramètres'!$M:$M,0))&amp;"","")&lt;&gt;"",ISNUMBER(SEARCH("remboursement",IFERROR(INDEX('Paramètres'!$N:$N,MATCH($D3800,'Paramètres'!$M:$M,0))&amp;"",""))))),1,0))</f>
        <v/>
      </c>
      <c r="Q3800" s="6" t="str">
        <f>IF($K3800="","",IF(ISNUMBER(SEARCH("transfert-interne",IFERROR(INDEX('Paramètres'!$N:$N,MATCH($D3800,'Paramètres'!$M:$M,0))&amp;"",""))),0,IF($L3800="Débit",$K3800,IF($P3800=1,-$K3800,0))))</f>
        <v/>
      </c>
      <c r="R3800" s="6" t="str">
        <f>IF($K3800="","",IF($L3800="Crédit",$K3800,-$K3800))</f>
        <v/>
      </c>
      <c r="S3800" s="6" t="str">
        <f>IF($C3800="","",IFERROR(INDEX('Paramètres'!$H:$H,MATCH($C3800,'Paramètres'!$D:$D,0))&amp;"",""))</f>
        <v/>
      </c>
      <c r="T3800" s="6" t="str">
        <f>IF($K3800="","",IF($S3800="",0,IF(ISNUMBER(SEARCH("apport-exterieur",IFERROR(INDEX('Paramètres'!$N:$N,MATCH($D3800,'Paramètres'!$M:$M,0))&amp;"",""))),0,IF(OR(IFERROR(INDEX('Paramètres'!$I:$I,MATCH($C3800,'Paramètres'!$D:$D,0))&amp;"","")="Les deux",IFERROR(INDEX('Paramètres'!$I:$I,MATCH($C3800,'Paramètres'!$D:$D,0))&amp;"","")=IF($P3800=1,"Débit",$L3800)),-IF($P3800=1,-$K3800,$K3800),0))))</f>
        <v/>
      </c>
      <c r="U3800" s="6" t="str">
        <f>IF($K3800="","",IF(ISNUMBER(SEARCH("sortie-epargne",IFERROR(INDEX('Paramètres'!$N:$N,MATCH($D3800,'Paramètres'!$M:$M,0))&amp;"",""))),$K3800,0))</f>
        <v/>
      </c>
      <c r="V3800" s="6" t="str">
        <f>IF(AND($A3800&lt;&gt;"",$O3800=1,$L3800="Débit",N($Q3800)&gt;0,$A3800&gt;=Visualisation!$B$1,$A3800&lt;Visualisation!$D$1),MAX($V$1:V3799)+1,"")</f>
        <v/>
      </c>
    </row>
    <row r="3801" spans="1:22" x14ac:dyDescent="0.25">
      <c r="A3801" s="9"/>
      <c r="E3801" s="10"/>
      <c r="K3801" s="11" t="str">
        <f>IF($E3801="","",ROUND($E3801*IF(ISNA(MATCH($C3801,'Paramètres'!$D:$D,0)),1,IF(INDEX('Paramètres'!$J:$J,MATCH($C3801,'Paramètres'!$D:$D,0))="",1,INDEX('Paramètres'!$J:$J,MATCH($C3801,'Paramètres'!$D:$D,0)))),2))</f>
        <v/>
      </c>
      <c r="L3801" s="6" t="str">
        <f>IF($D3801="","",IF($F3801&lt;&gt;"",$F3801,IF(ISNA(MATCH($D3801,'Paramètres'!$M:$M,0)),"⚠ Type inconnu",IFERROR(INDEX('Paramètres'!$P:$P,MATCH($D3801,'Paramètres'!$M:$M,0))&amp;"",""))))</f>
        <v/>
      </c>
      <c r="M3801" s="6" t="str">
        <f>IF($D3801="","",IF(ISNA(MATCH($D3801,'Paramètres'!$M:$M,0)),"⚠ Type inconnu",IF($L3801="Crédit","",IFERROR(INDEX('Paramètres'!$O:$O,MATCH($D3801,'Paramètres'!$M:$M,0))&amp;"",""))))</f>
        <v/>
      </c>
      <c r="N3801" s="6" t="str">
        <f>IF($D3801="","",IFERROR(INDEX('Paramètres'!$Q:$Q,MATCH($D3801,'Paramètres'!$M:$M,0))&amp;"",""))</f>
        <v/>
      </c>
      <c r="O3801" s="6" t="str">
        <f>IF($A3801="","",IF(OR($J3801&lt;&gt;"x",$A3801&lt;=FinReleve),1,0))</f>
        <v/>
      </c>
      <c r="P3801" s="6" t="str">
        <f>IF($D3801="","",IF(AND($L3801="Crédit",OR(IFERROR(INDEX('Paramètres'!$O:$O,MATCH($D3801,'Paramètres'!$M:$M,0))&amp;"","")&lt;&gt;"",ISNUMBER(SEARCH("remboursement",IFERROR(INDEX('Paramètres'!$N:$N,MATCH($D3801,'Paramètres'!$M:$M,0))&amp;"",""))))),1,0))</f>
        <v/>
      </c>
      <c r="Q3801" s="6" t="str">
        <f>IF($K3801="","",IF(ISNUMBER(SEARCH("transfert-interne",IFERROR(INDEX('Paramètres'!$N:$N,MATCH($D3801,'Paramètres'!$M:$M,0))&amp;"",""))),0,IF($L3801="Débit",$K3801,IF($P3801=1,-$K3801,0))))</f>
        <v/>
      </c>
      <c r="R3801" s="6" t="str">
        <f>IF($K3801="","",IF($L3801="Crédit",$K3801,-$K3801))</f>
        <v/>
      </c>
      <c r="S3801" s="6" t="str">
        <f>IF($C3801="","",IFERROR(INDEX('Paramètres'!$H:$H,MATCH($C3801,'Paramètres'!$D:$D,0))&amp;"",""))</f>
        <v/>
      </c>
      <c r="T3801" s="6" t="str">
        <f>IF($K3801="","",IF($S3801="",0,IF(ISNUMBER(SEARCH("apport-exterieur",IFERROR(INDEX('Paramètres'!$N:$N,MATCH($D3801,'Paramètres'!$M:$M,0))&amp;"",""))),0,IF(OR(IFERROR(INDEX('Paramètres'!$I:$I,MATCH($C3801,'Paramètres'!$D:$D,0))&amp;"","")="Les deux",IFERROR(INDEX('Paramètres'!$I:$I,MATCH($C3801,'Paramètres'!$D:$D,0))&amp;"","")=IF($P3801=1,"Débit",$L3801)),-IF($P3801=1,-$K3801,$K3801),0))))</f>
        <v/>
      </c>
      <c r="U3801" s="6" t="str">
        <f>IF($K3801="","",IF(ISNUMBER(SEARCH("sortie-epargne",IFERROR(INDEX('Paramètres'!$N:$N,MATCH($D3801,'Paramètres'!$M:$M,0))&amp;"",""))),$K3801,0))</f>
        <v/>
      </c>
      <c r="V3801" s="6" t="str">
        <f>IF(AND($A3801&lt;&gt;"",$O3801=1,$L3801="Débit",N($Q3801)&gt;0,$A3801&gt;=Visualisation!$B$1,$A3801&lt;Visualisation!$D$1),MAX($V$1:V3800)+1,"")</f>
        <v/>
      </c>
    </row>
    <row r="3802" spans="1:22" x14ac:dyDescent="0.25">
      <c r="A3802" s="9"/>
      <c r="E3802" s="10"/>
      <c r="K3802" s="11" t="str">
        <f>IF($E3802="","",ROUND($E3802*IF(ISNA(MATCH($C3802,'Paramètres'!$D:$D,0)),1,IF(INDEX('Paramètres'!$J:$J,MATCH($C3802,'Paramètres'!$D:$D,0))="",1,INDEX('Paramètres'!$J:$J,MATCH($C3802,'Paramètres'!$D:$D,0)))),2))</f>
        <v/>
      </c>
      <c r="L3802" s="6" t="str">
        <f>IF($D3802="","",IF($F3802&lt;&gt;"",$F3802,IF(ISNA(MATCH($D3802,'Paramètres'!$M:$M,0)),"⚠ Type inconnu",IFERROR(INDEX('Paramètres'!$P:$P,MATCH($D3802,'Paramètres'!$M:$M,0))&amp;"",""))))</f>
        <v/>
      </c>
      <c r="M3802" s="6" t="str">
        <f>IF($D3802="","",IF(ISNA(MATCH($D3802,'Paramètres'!$M:$M,0)),"⚠ Type inconnu",IF($L3802="Crédit","",IFERROR(INDEX('Paramètres'!$O:$O,MATCH($D3802,'Paramètres'!$M:$M,0))&amp;"",""))))</f>
        <v/>
      </c>
      <c r="N3802" s="6" t="str">
        <f>IF($D3802="","",IFERROR(INDEX('Paramètres'!$Q:$Q,MATCH($D3802,'Paramètres'!$M:$M,0))&amp;"",""))</f>
        <v/>
      </c>
      <c r="O3802" s="6" t="str">
        <f>IF($A3802="","",IF(OR($J3802&lt;&gt;"x",$A3802&lt;=FinReleve),1,0))</f>
        <v/>
      </c>
      <c r="P3802" s="6" t="str">
        <f>IF($D3802="","",IF(AND($L3802="Crédit",OR(IFERROR(INDEX('Paramètres'!$O:$O,MATCH($D3802,'Paramètres'!$M:$M,0))&amp;"","")&lt;&gt;"",ISNUMBER(SEARCH("remboursement",IFERROR(INDEX('Paramètres'!$N:$N,MATCH($D3802,'Paramètres'!$M:$M,0))&amp;"",""))))),1,0))</f>
        <v/>
      </c>
      <c r="Q3802" s="6" t="str">
        <f>IF($K3802="","",IF(ISNUMBER(SEARCH("transfert-interne",IFERROR(INDEX('Paramètres'!$N:$N,MATCH($D3802,'Paramètres'!$M:$M,0))&amp;"",""))),0,IF($L3802="Débit",$K3802,IF($P3802=1,-$K3802,0))))</f>
        <v/>
      </c>
      <c r="R3802" s="6" t="str">
        <f>IF($K3802="","",IF($L3802="Crédit",$K3802,-$K3802))</f>
        <v/>
      </c>
      <c r="S3802" s="6" t="str">
        <f>IF($C3802="","",IFERROR(INDEX('Paramètres'!$H:$H,MATCH($C3802,'Paramètres'!$D:$D,0))&amp;"",""))</f>
        <v/>
      </c>
      <c r="T3802" s="6" t="str">
        <f>IF($K3802="","",IF($S3802="",0,IF(ISNUMBER(SEARCH("apport-exterieur",IFERROR(INDEX('Paramètres'!$N:$N,MATCH($D3802,'Paramètres'!$M:$M,0))&amp;"",""))),0,IF(OR(IFERROR(INDEX('Paramètres'!$I:$I,MATCH($C3802,'Paramètres'!$D:$D,0))&amp;"","")="Les deux",IFERROR(INDEX('Paramètres'!$I:$I,MATCH($C3802,'Paramètres'!$D:$D,0))&amp;"","")=IF($P3802=1,"Débit",$L3802)),-IF($P3802=1,-$K3802,$K3802),0))))</f>
        <v/>
      </c>
      <c r="U3802" s="6" t="str">
        <f>IF($K3802="","",IF(ISNUMBER(SEARCH("sortie-epargne",IFERROR(INDEX('Paramètres'!$N:$N,MATCH($D3802,'Paramètres'!$M:$M,0))&amp;"",""))),$K3802,0))</f>
        <v/>
      </c>
      <c r="V3802" s="6" t="str">
        <f>IF(AND($A3802&lt;&gt;"",$O3802=1,$L3802="Débit",N($Q3802)&gt;0,$A3802&gt;=Visualisation!$B$1,$A3802&lt;Visualisation!$D$1),MAX($V$1:V3801)+1,"")</f>
        <v/>
      </c>
    </row>
    <row r="3803" spans="1:22" x14ac:dyDescent="0.25">
      <c r="A3803" s="9"/>
      <c r="E3803" s="10"/>
      <c r="K3803" s="11" t="str">
        <f>IF($E3803="","",ROUND($E3803*IF(ISNA(MATCH($C3803,'Paramètres'!$D:$D,0)),1,IF(INDEX('Paramètres'!$J:$J,MATCH($C3803,'Paramètres'!$D:$D,0))="",1,INDEX('Paramètres'!$J:$J,MATCH($C3803,'Paramètres'!$D:$D,0)))),2))</f>
        <v/>
      </c>
      <c r="L3803" s="6" t="str">
        <f>IF($D3803="","",IF($F3803&lt;&gt;"",$F3803,IF(ISNA(MATCH($D3803,'Paramètres'!$M:$M,0)),"⚠ Type inconnu",IFERROR(INDEX('Paramètres'!$P:$P,MATCH($D3803,'Paramètres'!$M:$M,0))&amp;"",""))))</f>
        <v/>
      </c>
      <c r="M3803" s="6" t="str">
        <f>IF($D3803="","",IF(ISNA(MATCH($D3803,'Paramètres'!$M:$M,0)),"⚠ Type inconnu",IF($L3803="Crédit","",IFERROR(INDEX('Paramètres'!$O:$O,MATCH($D3803,'Paramètres'!$M:$M,0))&amp;"",""))))</f>
        <v/>
      </c>
      <c r="N3803" s="6" t="str">
        <f>IF($D3803="","",IFERROR(INDEX('Paramètres'!$Q:$Q,MATCH($D3803,'Paramètres'!$M:$M,0))&amp;"",""))</f>
        <v/>
      </c>
      <c r="O3803" s="6" t="str">
        <f>IF($A3803="","",IF(OR($J3803&lt;&gt;"x",$A3803&lt;=FinReleve),1,0))</f>
        <v/>
      </c>
      <c r="P3803" s="6" t="str">
        <f>IF($D3803="","",IF(AND($L3803="Crédit",OR(IFERROR(INDEX('Paramètres'!$O:$O,MATCH($D3803,'Paramètres'!$M:$M,0))&amp;"","")&lt;&gt;"",ISNUMBER(SEARCH("remboursement",IFERROR(INDEX('Paramètres'!$N:$N,MATCH($D3803,'Paramètres'!$M:$M,0))&amp;"",""))))),1,0))</f>
        <v/>
      </c>
      <c r="Q3803" s="6" t="str">
        <f>IF($K3803="","",IF(ISNUMBER(SEARCH("transfert-interne",IFERROR(INDEX('Paramètres'!$N:$N,MATCH($D3803,'Paramètres'!$M:$M,0))&amp;"",""))),0,IF($L3803="Débit",$K3803,IF($P3803=1,-$K3803,0))))</f>
        <v/>
      </c>
      <c r="R3803" s="6" t="str">
        <f>IF($K3803="","",IF($L3803="Crédit",$K3803,-$K3803))</f>
        <v/>
      </c>
      <c r="S3803" s="6" t="str">
        <f>IF($C3803="","",IFERROR(INDEX('Paramètres'!$H:$H,MATCH($C3803,'Paramètres'!$D:$D,0))&amp;"",""))</f>
        <v/>
      </c>
      <c r="T3803" s="6" t="str">
        <f>IF($K3803="","",IF($S3803="",0,IF(ISNUMBER(SEARCH("apport-exterieur",IFERROR(INDEX('Paramètres'!$N:$N,MATCH($D3803,'Paramètres'!$M:$M,0))&amp;"",""))),0,IF(OR(IFERROR(INDEX('Paramètres'!$I:$I,MATCH($C3803,'Paramètres'!$D:$D,0))&amp;"","")="Les deux",IFERROR(INDEX('Paramètres'!$I:$I,MATCH($C3803,'Paramètres'!$D:$D,0))&amp;"","")=IF($P3803=1,"Débit",$L3803)),-IF($P3803=1,-$K3803,$K3803),0))))</f>
        <v/>
      </c>
      <c r="U3803" s="6" t="str">
        <f>IF($K3803="","",IF(ISNUMBER(SEARCH("sortie-epargne",IFERROR(INDEX('Paramètres'!$N:$N,MATCH($D3803,'Paramètres'!$M:$M,0))&amp;"",""))),$K3803,0))</f>
        <v/>
      </c>
      <c r="V3803" s="6" t="str">
        <f>IF(AND($A3803&lt;&gt;"",$O3803=1,$L3803="Débit",N($Q3803)&gt;0,$A3803&gt;=Visualisation!$B$1,$A3803&lt;Visualisation!$D$1),MAX($V$1:V3802)+1,"")</f>
        <v/>
      </c>
    </row>
    <row r="3804" spans="1:22" x14ac:dyDescent="0.25">
      <c r="A3804" s="9"/>
      <c r="E3804" s="10"/>
      <c r="K3804" s="11" t="str">
        <f>IF($E3804="","",ROUND($E3804*IF(ISNA(MATCH($C3804,'Paramètres'!$D:$D,0)),1,IF(INDEX('Paramètres'!$J:$J,MATCH($C3804,'Paramètres'!$D:$D,0))="",1,INDEX('Paramètres'!$J:$J,MATCH($C3804,'Paramètres'!$D:$D,0)))),2))</f>
        <v/>
      </c>
      <c r="L3804" s="6" t="str">
        <f>IF($D3804="","",IF($F3804&lt;&gt;"",$F3804,IF(ISNA(MATCH($D3804,'Paramètres'!$M:$M,0)),"⚠ Type inconnu",IFERROR(INDEX('Paramètres'!$P:$P,MATCH($D3804,'Paramètres'!$M:$M,0))&amp;"",""))))</f>
        <v/>
      </c>
      <c r="M3804" s="6" t="str">
        <f>IF($D3804="","",IF(ISNA(MATCH($D3804,'Paramètres'!$M:$M,0)),"⚠ Type inconnu",IF($L3804="Crédit","",IFERROR(INDEX('Paramètres'!$O:$O,MATCH($D3804,'Paramètres'!$M:$M,0))&amp;"",""))))</f>
        <v/>
      </c>
      <c r="N3804" s="6" t="str">
        <f>IF($D3804="","",IFERROR(INDEX('Paramètres'!$Q:$Q,MATCH($D3804,'Paramètres'!$M:$M,0))&amp;"",""))</f>
        <v/>
      </c>
      <c r="O3804" s="6" t="str">
        <f>IF($A3804="","",IF(OR($J3804&lt;&gt;"x",$A3804&lt;=FinReleve),1,0))</f>
        <v/>
      </c>
      <c r="P3804" s="6" t="str">
        <f>IF($D3804="","",IF(AND($L3804="Crédit",OR(IFERROR(INDEX('Paramètres'!$O:$O,MATCH($D3804,'Paramètres'!$M:$M,0))&amp;"","")&lt;&gt;"",ISNUMBER(SEARCH("remboursement",IFERROR(INDEX('Paramètres'!$N:$N,MATCH($D3804,'Paramètres'!$M:$M,0))&amp;"",""))))),1,0))</f>
        <v/>
      </c>
      <c r="Q3804" s="6" t="str">
        <f>IF($K3804="","",IF(ISNUMBER(SEARCH("transfert-interne",IFERROR(INDEX('Paramètres'!$N:$N,MATCH($D3804,'Paramètres'!$M:$M,0))&amp;"",""))),0,IF($L3804="Débit",$K3804,IF($P3804=1,-$K3804,0))))</f>
        <v/>
      </c>
      <c r="R3804" s="6" t="str">
        <f>IF($K3804="","",IF($L3804="Crédit",$K3804,-$K3804))</f>
        <v/>
      </c>
      <c r="S3804" s="6" t="str">
        <f>IF($C3804="","",IFERROR(INDEX('Paramètres'!$H:$H,MATCH($C3804,'Paramètres'!$D:$D,0))&amp;"",""))</f>
        <v/>
      </c>
      <c r="T3804" s="6" t="str">
        <f>IF($K3804="","",IF($S3804="",0,IF(ISNUMBER(SEARCH("apport-exterieur",IFERROR(INDEX('Paramètres'!$N:$N,MATCH($D3804,'Paramètres'!$M:$M,0))&amp;"",""))),0,IF(OR(IFERROR(INDEX('Paramètres'!$I:$I,MATCH($C3804,'Paramètres'!$D:$D,0))&amp;"","")="Les deux",IFERROR(INDEX('Paramètres'!$I:$I,MATCH($C3804,'Paramètres'!$D:$D,0))&amp;"","")=IF($P3804=1,"Débit",$L3804)),-IF($P3804=1,-$K3804,$K3804),0))))</f>
        <v/>
      </c>
      <c r="U3804" s="6" t="str">
        <f>IF($K3804="","",IF(ISNUMBER(SEARCH("sortie-epargne",IFERROR(INDEX('Paramètres'!$N:$N,MATCH($D3804,'Paramètres'!$M:$M,0))&amp;"",""))),$K3804,0))</f>
        <v/>
      </c>
      <c r="V3804" s="6" t="str">
        <f>IF(AND($A3804&lt;&gt;"",$O3804=1,$L3804="Débit",N($Q3804)&gt;0,$A3804&gt;=Visualisation!$B$1,$A3804&lt;Visualisation!$D$1),MAX($V$1:V3803)+1,"")</f>
        <v/>
      </c>
    </row>
    <row r="3805" spans="1:22" x14ac:dyDescent="0.25">
      <c r="A3805" s="9"/>
      <c r="E3805" s="10"/>
      <c r="K3805" s="11" t="str">
        <f>IF($E3805="","",ROUND($E3805*IF(ISNA(MATCH($C3805,'Paramètres'!$D:$D,0)),1,IF(INDEX('Paramètres'!$J:$J,MATCH($C3805,'Paramètres'!$D:$D,0))="",1,INDEX('Paramètres'!$J:$J,MATCH($C3805,'Paramètres'!$D:$D,0)))),2))</f>
        <v/>
      </c>
      <c r="L3805" s="6" t="str">
        <f>IF($D3805="","",IF($F3805&lt;&gt;"",$F3805,IF(ISNA(MATCH($D3805,'Paramètres'!$M:$M,0)),"⚠ Type inconnu",IFERROR(INDEX('Paramètres'!$P:$P,MATCH($D3805,'Paramètres'!$M:$M,0))&amp;"",""))))</f>
        <v/>
      </c>
      <c r="M3805" s="6" t="str">
        <f>IF($D3805="","",IF(ISNA(MATCH($D3805,'Paramètres'!$M:$M,0)),"⚠ Type inconnu",IF($L3805="Crédit","",IFERROR(INDEX('Paramètres'!$O:$O,MATCH($D3805,'Paramètres'!$M:$M,0))&amp;"",""))))</f>
        <v/>
      </c>
      <c r="N3805" s="6" t="str">
        <f>IF($D3805="","",IFERROR(INDEX('Paramètres'!$Q:$Q,MATCH($D3805,'Paramètres'!$M:$M,0))&amp;"",""))</f>
        <v/>
      </c>
      <c r="O3805" s="6" t="str">
        <f>IF($A3805="","",IF(OR($J3805&lt;&gt;"x",$A3805&lt;=FinReleve),1,0))</f>
        <v/>
      </c>
      <c r="P3805" s="6" t="str">
        <f>IF($D3805="","",IF(AND($L3805="Crédit",OR(IFERROR(INDEX('Paramètres'!$O:$O,MATCH($D3805,'Paramètres'!$M:$M,0))&amp;"","")&lt;&gt;"",ISNUMBER(SEARCH("remboursement",IFERROR(INDEX('Paramètres'!$N:$N,MATCH($D3805,'Paramètres'!$M:$M,0))&amp;"",""))))),1,0))</f>
        <v/>
      </c>
      <c r="Q3805" s="6" t="str">
        <f>IF($K3805="","",IF(ISNUMBER(SEARCH("transfert-interne",IFERROR(INDEX('Paramètres'!$N:$N,MATCH($D3805,'Paramètres'!$M:$M,0))&amp;"",""))),0,IF($L3805="Débit",$K3805,IF($P3805=1,-$K3805,0))))</f>
        <v/>
      </c>
      <c r="R3805" s="6" t="str">
        <f>IF($K3805="","",IF($L3805="Crédit",$K3805,-$K3805))</f>
        <v/>
      </c>
      <c r="S3805" s="6" t="str">
        <f>IF($C3805="","",IFERROR(INDEX('Paramètres'!$H:$H,MATCH($C3805,'Paramètres'!$D:$D,0))&amp;"",""))</f>
        <v/>
      </c>
      <c r="T3805" s="6" t="str">
        <f>IF($K3805="","",IF($S3805="",0,IF(ISNUMBER(SEARCH("apport-exterieur",IFERROR(INDEX('Paramètres'!$N:$N,MATCH($D3805,'Paramètres'!$M:$M,0))&amp;"",""))),0,IF(OR(IFERROR(INDEX('Paramètres'!$I:$I,MATCH($C3805,'Paramètres'!$D:$D,0))&amp;"","")="Les deux",IFERROR(INDEX('Paramètres'!$I:$I,MATCH($C3805,'Paramètres'!$D:$D,0))&amp;"","")=IF($P3805=1,"Débit",$L3805)),-IF($P3805=1,-$K3805,$K3805),0))))</f>
        <v/>
      </c>
      <c r="U3805" s="6" t="str">
        <f>IF($K3805="","",IF(ISNUMBER(SEARCH("sortie-epargne",IFERROR(INDEX('Paramètres'!$N:$N,MATCH($D3805,'Paramètres'!$M:$M,0))&amp;"",""))),$K3805,0))</f>
        <v/>
      </c>
      <c r="V3805" s="6" t="str">
        <f>IF(AND($A3805&lt;&gt;"",$O3805=1,$L3805="Débit",N($Q3805)&gt;0,$A3805&gt;=Visualisation!$B$1,$A3805&lt;Visualisation!$D$1),MAX($V$1:V3804)+1,"")</f>
        <v/>
      </c>
    </row>
    <row r="3806" spans="1:22" x14ac:dyDescent="0.25">
      <c r="A3806" s="9"/>
      <c r="E3806" s="10"/>
      <c r="K3806" s="11" t="str">
        <f>IF($E3806="","",ROUND($E3806*IF(ISNA(MATCH($C3806,'Paramètres'!$D:$D,0)),1,IF(INDEX('Paramètres'!$J:$J,MATCH($C3806,'Paramètres'!$D:$D,0))="",1,INDEX('Paramètres'!$J:$J,MATCH($C3806,'Paramètres'!$D:$D,0)))),2))</f>
        <v/>
      </c>
      <c r="L3806" s="6" t="str">
        <f>IF($D3806="","",IF($F3806&lt;&gt;"",$F3806,IF(ISNA(MATCH($D3806,'Paramètres'!$M:$M,0)),"⚠ Type inconnu",IFERROR(INDEX('Paramètres'!$P:$P,MATCH($D3806,'Paramètres'!$M:$M,0))&amp;"",""))))</f>
        <v/>
      </c>
      <c r="M3806" s="6" t="str">
        <f>IF($D3806="","",IF(ISNA(MATCH($D3806,'Paramètres'!$M:$M,0)),"⚠ Type inconnu",IF($L3806="Crédit","",IFERROR(INDEX('Paramètres'!$O:$O,MATCH($D3806,'Paramètres'!$M:$M,0))&amp;"",""))))</f>
        <v/>
      </c>
      <c r="N3806" s="6" t="str">
        <f>IF($D3806="","",IFERROR(INDEX('Paramètres'!$Q:$Q,MATCH($D3806,'Paramètres'!$M:$M,0))&amp;"",""))</f>
        <v/>
      </c>
      <c r="O3806" s="6" t="str">
        <f>IF($A3806="","",IF(OR($J3806&lt;&gt;"x",$A3806&lt;=FinReleve),1,0))</f>
        <v/>
      </c>
      <c r="P3806" s="6" t="str">
        <f>IF($D3806="","",IF(AND($L3806="Crédit",OR(IFERROR(INDEX('Paramètres'!$O:$O,MATCH($D3806,'Paramètres'!$M:$M,0))&amp;"","")&lt;&gt;"",ISNUMBER(SEARCH("remboursement",IFERROR(INDEX('Paramètres'!$N:$N,MATCH($D3806,'Paramètres'!$M:$M,0))&amp;"",""))))),1,0))</f>
        <v/>
      </c>
      <c r="Q3806" s="6" t="str">
        <f>IF($K3806="","",IF(ISNUMBER(SEARCH("transfert-interne",IFERROR(INDEX('Paramètres'!$N:$N,MATCH($D3806,'Paramètres'!$M:$M,0))&amp;"",""))),0,IF($L3806="Débit",$K3806,IF($P3806=1,-$K3806,0))))</f>
        <v/>
      </c>
      <c r="R3806" s="6" t="str">
        <f>IF($K3806="","",IF($L3806="Crédit",$K3806,-$K3806))</f>
        <v/>
      </c>
      <c r="S3806" s="6" t="str">
        <f>IF($C3806="","",IFERROR(INDEX('Paramètres'!$H:$H,MATCH($C3806,'Paramètres'!$D:$D,0))&amp;"",""))</f>
        <v/>
      </c>
      <c r="T3806" s="6" t="str">
        <f>IF($K3806="","",IF($S3806="",0,IF(ISNUMBER(SEARCH("apport-exterieur",IFERROR(INDEX('Paramètres'!$N:$N,MATCH($D3806,'Paramètres'!$M:$M,0))&amp;"",""))),0,IF(OR(IFERROR(INDEX('Paramètres'!$I:$I,MATCH($C3806,'Paramètres'!$D:$D,0))&amp;"","")="Les deux",IFERROR(INDEX('Paramètres'!$I:$I,MATCH($C3806,'Paramètres'!$D:$D,0))&amp;"","")=IF($P3806=1,"Débit",$L3806)),-IF($P3806=1,-$K3806,$K3806),0))))</f>
        <v/>
      </c>
      <c r="U3806" s="6" t="str">
        <f>IF($K3806="","",IF(ISNUMBER(SEARCH("sortie-epargne",IFERROR(INDEX('Paramètres'!$N:$N,MATCH($D3806,'Paramètres'!$M:$M,0))&amp;"",""))),$K3806,0))</f>
        <v/>
      </c>
      <c r="V3806" s="6" t="str">
        <f>IF(AND($A3806&lt;&gt;"",$O3806=1,$L3806="Débit",N($Q3806)&gt;0,$A3806&gt;=Visualisation!$B$1,$A3806&lt;Visualisation!$D$1),MAX($V$1:V3805)+1,"")</f>
        <v/>
      </c>
    </row>
    <row r="3807" spans="1:22" x14ac:dyDescent="0.25">
      <c r="A3807" s="9"/>
      <c r="E3807" s="10"/>
      <c r="K3807" s="11" t="str">
        <f>IF($E3807="","",ROUND($E3807*IF(ISNA(MATCH($C3807,'Paramètres'!$D:$D,0)),1,IF(INDEX('Paramètres'!$J:$J,MATCH($C3807,'Paramètres'!$D:$D,0))="",1,INDEX('Paramètres'!$J:$J,MATCH($C3807,'Paramètres'!$D:$D,0)))),2))</f>
        <v/>
      </c>
      <c r="L3807" s="6" t="str">
        <f>IF($D3807="","",IF($F3807&lt;&gt;"",$F3807,IF(ISNA(MATCH($D3807,'Paramètres'!$M:$M,0)),"⚠ Type inconnu",IFERROR(INDEX('Paramètres'!$P:$P,MATCH($D3807,'Paramètres'!$M:$M,0))&amp;"",""))))</f>
        <v/>
      </c>
      <c r="M3807" s="6" t="str">
        <f>IF($D3807="","",IF(ISNA(MATCH($D3807,'Paramètres'!$M:$M,0)),"⚠ Type inconnu",IF($L3807="Crédit","",IFERROR(INDEX('Paramètres'!$O:$O,MATCH($D3807,'Paramètres'!$M:$M,0))&amp;"",""))))</f>
        <v/>
      </c>
      <c r="N3807" s="6" t="str">
        <f>IF($D3807="","",IFERROR(INDEX('Paramètres'!$Q:$Q,MATCH($D3807,'Paramètres'!$M:$M,0))&amp;"",""))</f>
        <v/>
      </c>
      <c r="O3807" s="6" t="str">
        <f>IF($A3807="","",IF(OR($J3807&lt;&gt;"x",$A3807&lt;=FinReleve),1,0))</f>
        <v/>
      </c>
      <c r="P3807" s="6" t="str">
        <f>IF($D3807="","",IF(AND($L3807="Crédit",OR(IFERROR(INDEX('Paramètres'!$O:$O,MATCH($D3807,'Paramètres'!$M:$M,0))&amp;"","")&lt;&gt;"",ISNUMBER(SEARCH("remboursement",IFERROR(INDEX('Paramètres'!$N:$N,MATCH($D3807,'Paramètres'!$M:$M,0))&amp;"",""))))),1,0))</f>
        <v/>
      </c>
      <c r="Q3807" s="6" t="str">
        <f>IF($K3807="","",IF(ISNUMBER(SEARCH("transfert-interne",IFERROR(INDEX('Paramètres'!$N:$N,MATCH($D3807,'Paramètres'!$M:$M,0))&amp;"",""))),0,IF($L3807="Débit",$K3807,IF($P3807=1,-$K3807,0))))</f>
        <v/>
      </c>
      <c r="R3807" s="6" t="str">
        <f>IF($K3807="","",IF($L3807="Crédit",$K3807,-$K3807))</f>
        <v/>
      </c>
      <c r="S3807" s="6" t="str">
        <f>IF($C3807="","",IFERROR(INDEX('Paramètres'!$H:$H,MATCH($C3807,'Paramètres'!$D:$D,0))&amp;"",""))</f>
        <v/>
      </c>
      <c r="T3807" s="6" t="str">
        <f>IF($K3807="","",IF($S3807="",0,IF(ISNUMBER(SEARCH("apport-exterieur",IFERROR(INDEX('Paramètres'!$N:$N,MATCH($D3807,'Paramètres'!$M:$M,0))&amp;"",""))),0,IF(OR(IFERROR(INDEX('Paramètres'!$I:$I,MATCH($C3807,'Paramètres'!$D:$D,0))&amp;"","")="Les deux",IFERROR(INDEX('Paramètres'!$I:$I,MATCH($C3807,'Paramètres'!$D:$D,0))&amp;"","")=IF($P3807=1,"Débit",$L3807)),-IF($P3807=1,-$K3807,$K3807),0))))</f>
        <v/>
      </c>
      <c r="U3807" s="6" t="str">
        <f>IF($K3807="","",IF(ISNUMBER(SEARCH("sortie-epargne",IFERROR(INDEX('Paramètres'!$N:$N,MATCH($D3807,'Paramètres'!$M:$M,0))&amp;"",""))),$K3807,0))</f>
        <v/>
      </c>
      <c r="V3807" s="6" t="str">
        <f>IF(AND($A3807&lt;&gt;"",$O3807=1,$L3807="Débit",N($Q3807)&gt;0,$A3807&gt;=Visualisation!$B$1,$A3807&lt;Visualisation!$D$1),MAX($V$1:V3806)+1,"")</f>
        <v/>
      </c>
    </row>
    <row r="3808" spans="1:22" x14ac:dyDescent="0.25">
      <c r="A3808" s="9"/>
      <c r="E3808" s="10"/>
      <c r="K3808" s="11" t="str">
        <f>IF($E3808="","",ROUND($E3808*IF(ISNA(MATCH($C3808,'Paramètres'!$D:$D,0)),1,IF(INDEX('Paramètres'!$J:$J,MATCH($C3808,'Paramètres'!$D:$D,0))="",1,INDEX('Paramètres'!$J:$J,MATCH($C3808,'Paramètres'!$D:$D,0)))),2))</f>
        <v/>
      </c>
      <c r="L3808" s="6" t="str">
        <f>IF($D3808="","",IF($F3808&lt;&gt;"",$F3808,IF(ISNA(MATCH($D3808,'Paramètres'!$M:$M,0)),"⚠ Type inconnu",IFERROR(INDEX('Paramètres'!$P:$P,MATCH($D3808,'Paramètres'!$M:$M,0))&amp;"",""))))</f>
        <v/>
      </c>
      <c r="M3808" s="6" t="str">
        <f>IF($D3808="","",IF(ISNA(MATCH($D3808,'Paramètres'!$M:$M,0)),"⚠ Type inconnu",IF($L3808="Crédit","",IFERROR(INDEX('Paramètres'!$O:$O,MATCH($D3808,'Paramètres'!$M:$M,0))&amp;"",""))))</f>
        <v/>
      </c>
      <c r="N3808" s="6" t="str">
        <f>IF($D3808="","",IFERROR(INDEX('Paramètres'!$Q:$Q,MATCH($D3808,'Paramètres'!$M:$M,0))&amp;"",""))</f>
        <v/>
      </c>
      <c r="O3808" s="6" t="str">
        <f>IF($A3808="","",IF(OR($J3808&lt;&gt;"x",$A3808&lt;=FinReleve),1,0))</f>
        <v/>
      </c>
      <c r="P3808" s="6" t="str">
        <f>IF($D3808="","",IF(AND($L3808="Crédit",OR(IFERROR(INDEX('Paramètres'!$O:$O,MATCH($D3808,'Paramètres'!$M:$M,0))&amp;"","")&lt;&gt;"",ISNUMBER(SEARCH("remboursement",IFERROR(INDEX('Paramètres'!$N:$N,MATCH($D3808,'Paramètres'!$M:$M,0))&amp;"",""))))),1,0))</f>
        <v/>
      </c>
      <c r="Q3808" s="6" t="str">
        <f>IF($K3808="","",IF(ISNUMBER(SEARCH("transfert-interne",IFERROR(INDEX('Paramètres'!$N:$N,MATCH($D3808,'Paramètres'!$M:$M,0))&amp;"",""))),0,IF($L3808="Débit",$K3808,IF($P3808=1,-$K3808,0))))</f>
        <v/>
      </c>
      <c r="R3808" s="6" t="str">
        <f>IF($K3808="","",IF($L3808="Crédit",$K3808,-$K3808))</f>
        <v/>
      </c>
      <c r="S3808" s="6" t="str">
        <f>IF($C3808="","",IFERROR(INDEX('Paramètres'!$H:$H,MATCH($C3808,'Paramètres'!$D:$D,0))&amp;"",""))</f>
        <v/>
      </c>
      <c r="T3808" s="6" t="str">
        <f>IF($K3808="","",IF($S3808="",0,IF(ISNUMBER(SEARCH("apport-exterieur",IFERROR(INDEX('Paramètres'!$N:$N,MATCH($D3808,'Paramètres'!$M:$M,0))&amp;"",""))),0,IF(OR(IFERROR(INDEX('Paramètres'!$I:$I,MATCH($C3808,'Paramètres'!$D:$D,0))&amp;"","")="Les deux",IFERROR(INDEX('Paramètres'!$I:$I,MATCH($C3808,'Paramètres'!$D:$D,0))&amp;"","")=IF($P3808=1,"Débit",$L3808)),-IF($P3808=1,-$K3808,$K3808),0))))</f>
        <v/>
      </c>
      <c r="U3808" s="6" t="str">
        <f>IF($K3808="","",IF(ISNUMBER(SEARCH("sortie-epargne",IFERROR(INDEX('Paramètres'!$N:$N,MATCH($D3808,'Paramètres'!$M:$M,0))&amp;"",""))),$K3808,0))</f>
        <v/>
      </c>
      <c r="V3808" s="6" t="str">
        <f>IF(AND($A3808&lt;&gt;"",$O3808=1,$L3808="Débit",N($Q3808)&gt;0,$A3808&gt;=Visualisation!$B$1,$A3808&lt;Visualisation!$D$1),MAX($V$1:V3807)+1,"")</f>
        <v/>
      </c>
    </row>
    <row r="3809" spans="1:22" x14ac:dyDescent="0.25">
      <c r="A3809" s="9"/>
      <c r="E3809" s="10"/>
      <c r="K3809" s="11" t="str">
        <f>IF($E3809="","",ROUND($E3809*IF(ISNA(MATCH($C3809,'Paramètres'!$D:$D,0)),1,IF(INDEX('Paramètres'!$J:$J,MATCH($C3809,'Paramètres'!$D:$D,0))="",1,INDEX('Paramètres'!$J:$J,MATCH($C3809,'Paramètres'!$D:$D,0)))),2))</f>
        <v/>
      </c>
      <c r="L3809" s="6" t="str">
        <f>IF($D3809="","",IF($F3809&lt;&gt;"",$F3809,IF(ISNA(MATCH($D3809,'Paramètres'!$M:$M,0)),"⚠ Type inconnu",IFERROR(INDEX('Paramètres'!$P:$P,MATCH($D3809,'Paramètres'!$M:$M,0))&amp;"",""))))</f>
        <v/>
      </c>
      <c r="M3809" s="6" t="str">
        <f>IF($D3809="","",IF(ISNA(MATCH($D3809,'Paramètres'!$M:$M,0)),"⚠ Type inconnu",IF($L3809="Crédit","",IFERROR(INDEX('Paramètres'!$O:$O,MATCH($D3809,'Paramètres'!$M:$M,0))&amp;"",""))))</f>
        <v/>
      </c>
      <c r="N3809" s="6" t="str">
        <f>IF($D3809="","",IFERROR(INDEX('Paramètres'!$Q:$Q,MATCH($D3809,'Paramètres'!$M:$M,0))&amp;"",""))</f>
        <v/>
      </c>
      <c r="O3809" s="6" t="str">
        <f>IF($A3809="","",IF(OR($J3809&lt;&gt;"x",$A3809&lt;=FinReleve),1,0))</f>
        <v/>
      </c>
      <c r="P3809" s="6" t="str">
        <f>IF($D3809="","",IF(AND($L3809="Crédit",OR(IFERROR(INDEX('Paramètres'!$O:$O,MATCH($D3809,'Paramètres'!$M:$M,0))&amp;"","")&lt;&gt;"",ISNUMBER(SEARCH("remboursement",IFERROR(INDEX('Paramètres'!$N:$N,MATCH($D3809,'Paramètres'!$M:$M,0))&amp;"",""))))),1,0))</f>
        <v/>
      </c>
      <c r="Q3809" s="6" t="str">
        <f>IF($K3809="","",IF(ISNUMBER(SEARCH("transfert-interne",IFERROR(INDEX('Paramètres'!$N:$N,MATCH($D3809,'Paramètres'!$M:$M,0))&amp;"",""))),0,IF($L3809="Débit",$K3809,IF($P3809=1,-$K3809,0))))</f>
        <v/>
      </c>
      <c r="R3809" s="6" t="str">
        <f>IF($K3809="","",IF($L3809="Crédit",$K3809,-$K3809))</f>
        <v/>
      </c>
      <c r="S3809" s="6" t="str">
        <f>IF($C3809="","",IFERROR(INDEX('Paramètres'!$H:$H,MATCH($C3809,'Paramètres'!$D:$D,0))&amp;"",""))</f>
        <v/>
      </c>
      <c r="T3809" s="6" t="str">
        <f>IF($K3809="","",IF($S3809="",0,IF(ISNUMBER(SEARCH("apport-exterieur",IFERROR(INDEX('Paramètres'!$N:$N,MATCH($D3809,'Paramètres'!$M:$M,0))&amp;"",""))),0,IF(OR(IFERROR(INDEX('Paramètres'!$I:$I,MATCH($C3809,'Paramètres'!$D:$D,0))&amp;"","")="Les deux",IFERROR(INDEX('Paramètres'!$I:$I,MATCH($C3809,'Paramètres'!$D:$D,0))&amp;"","")=IF($P3809=1,"Débit",$L3809)),-IF($P3809=1,-$K3809,$K3809),0))))</f>
        <v/>
      </c>
      <c r="U3809" s="6" t="str">
        <f>IF($K3809="","",IF(ISNUMBER(SEARCH("sortie-epargne",IFERROR(INDEX('Paramètres'!$N:$N,MATCH($D3809,'Paramètres'!$M:$M,0))&amp;"",""))),$K3809,0))</f>
        <v/>
      </c>
      <c r="V3809" s="6" t="str">
        <f>IF(AND($A3809&lt;&gt;"",$O3809=1,$L3809="Débit",N($Q3809)&gt;0,$A3809&gt;=Visualisation!$B$1,$A3809&lt;Visualisation!$D$1),MAX($V$1:V3808)+1,"")</f>
        <v/>
      </c>
    </row>
    <row r="3810" spans="1:22" x14ac:dyDescent="0.25">
      <c r="A3810" s="9"/>
      <c r="E3810" s="10"/>
      <c r="K3810" s="11" t="str">
        <f>IF($E3810="","",ROUND($E3810*IF(ISNA(MATCH($C3810,'Paramètres'!$D:$D,0)),1,IF(INDEX('Paramètres'!$J:$J,MATCH($C3810,'Paramètres'!$D:$D,0))="",1,INDEX('Paramètres'!$J:$J,MATCH($C3810,'Paramètres'!$D:$D,0)))),2))</f>
        <v/>
      </c>
      <c r="L3810" s="6" t="str">
        <f>IF($D3810="","",IF($F3810&lt;&gt;"",$F3810,IF(ISNA(MATCH($D3810,'Paramètres'!$M:$M,0)),"⚠ Type inconnu",IFERROR(INDEX('Paramètres'!$P:$P,MATCH($D3810,'Paramètres'!$M:$M,0))&amp;"",""))))</f>
        <v/>
      </c>
      <c r="M3810" s="6" t="str">
        <f>IF($D3810="","",IF(ISNA(MATCH($D3810,'Paramètres'!$M:$M,0)),"⚠ Type inconnu",IF($L3810="Crédit","",IFERROR(INDEX('Paramètres'!$O:$O,MATCH($D3810,'Paramètres'!$M:$M,0))&amp;"",""))))</f>
        <v/>
      </c>
      <c r="N3810" s="6" t="str">
        <f>IF($D3810="","",IFERROR(INDEX('Paramètres'!$Q:$Q,MATCH($D3810,'Paramètres'!$M:$M,0))&amp;"",""))</f>
        <v/>
      </c>
      <c r="O3810" s="6" t="str">
        <f>IF($A3810="","",IF(OR($J3810&lt;&gt;"x",$A3810&lt;=FinReleve),1,0))</f>
        <v/>
      </c>
      <c r="P3810" s="6" t="str">
        <f>IF($D3810="","",IF(AND($L3810="Crédit",OR(IFERROR(INDEX('Paramètres'!$O:$O,MATCH($D3810,'Paramètres'!$M:$M,0))&amp;"","")&lt;&gt;"",ISNUMBER(SEARCH("remboursement",IFERROR(INDEX('Paramètres'!$N:$N,MATCH($D3810,'Paramètres'!$M:$M,0))&amp;"",""))))),1,0))</f>
        <v/>
      </c>
      <c r="Q3810" s="6" t="str">
        <f>IF($K3810="","",IF(ISNUMBER(SEARCH("transfert-interne",IFERROR(INDEX('Paramètres'!$N:$N,MATCH($D3810,'Paramètres'!$M:$M,0))&amp;"",""))),0,IF($L3810="Débit",$K3810,IF($P3810=1,-$K3810,0))))</f>
        <v/>
      </c>
      <c r="R3810" s="6" t="str">
        <f>IF($K3810="","",IF($L3810="Crédit",$K3810,-$K3810))</f>
        <v/>
      </c>
      <c r="S3810" s="6" t="str">
        <f>IF($C3810="","",IFERROR(INDEX('Paramètres'!$H:$H,MATCH($C3810,'Paramètres'!$D:$D,0))&amp;"",""))</f>
        <v/>
      </c>
      <c r="T3810" s="6" t="str">
        <f>IF($K3810="","",IF($S3810="",0,IF(ISNUMBER(SEARCH("apport-exterieur",IFERROR(INDEX('Paramètres'!$N:$N,MATCH($D3810,'Paramètres'!$M:$M,0))&amp;"",""))),0,IF(OR(IFERROR(INDEX('Paramètres'!$I:$I,MATCH($C3810,'Paramètres'!$D:$D,0))&amp;"","")="Les deux",IFERROR(INDEX('Paramètres'!$I:$I,MATCH($C3810,'Paramètres'!$D:$D,0))&amp;"","")=IF($P3810=1,"Débit",$L3810)),-IF($P3810=1,-$K3810,$K3810),0))))</f>
        <v/>
      </c>
      <c r="U3810" s="6" t="str">
        <f>IF($K3810="","",IF(ISNUMBER(SEARCH("sortie-epargne",IFERROR(INDEX('Paramètres'!$N:$N,MATCH($D3810,'Paramètres'!$M:$M,0))&amp;"",""))),$K3810,0))</f>
        <v/>
      </c>
      <c r="V3810" s="6" t="str">
        <f>IF(AND($A3810&lt;&gt;"",$O3810=1,$L3810="Débit",N($Q3810)&gt;0,$A3810&gt;=Visualisation!$B$1,$A3810&lt;Visualisation!$D$1),MAX($V$1:V3809)+1,"")</f>
        <v/>
      </c>
    </row>
    <row r="3811" spans="1:22" x14ac:dyDescent="0.25">
      <c r="A3811" s="9"/>
      <c r="E3811" s="10"/>
      <c r="K3811" s="11" t="str">
        <f>IF($E3811="","",ROUND($E3811*IF(ISNA(MATCH($C3811,'Paramètres'!$D:$D,0)),1,IF(INDEX('Paramètres'!$J:$J,MATCH($C3811,'Paramètres'!$D:$D,0))="",1,INDEX('Paramètres'!$J:$J,MATCH($C3811,'Paramètres'!$D:$D,0)))),2))</f>
        <v/>
      </c>
      <c r="L3811" s="6" t="str">
        <f>IF($D3811="","",IF($F3811&lt;&gt;"",$F3811,IF(ISNA(MATCH($D3811,'Paramètres'!$M:$M,0)),"⚠ Type inconnu",IFERROR(INDEX('Paramètres'!$P:$P,MATCH($D3811,'Paramètres'!$M:$M,0))&amp;"",""))))</f>
        <v/>
      </c>
      <c r="M3811" s="6" t="str">
        <f>IF($D3811="","",IF(ISNA(MATCH($D3811,'Paramètres'!$M:$M,0)),"⚠ Type inconnu",IF($L3811="Crédit","",IFERROR(INDEX('Paramètres'!$O:$O,MATCH($D3811,'Paramètres'!$M:$M,0))&amp;"",""))))</f>
        <v/>
      </c>
      <c r="N3811" s="6" t="str">
        <f>IF($D3811="","",IFERROR(INDEX('Paramètres'!$Q:$Q,MATCH($D3811,'Paramètres'!$M:$M,0))&amp;"",""))</f>
        <v/>
      </c>
      <c r="O3811" s="6" t="str">
        <f>IF($A3811="","",IF(OR($J3811&lt;&gt;"x",$A3811&lt;=FinReleve),1,0))</f>
        <v/>
      </c>
      <c r="P3811" s="6" t="str">
        <f>IF($D3811="","",IF(AND($L3811="Crédit",OR(IFERROR(INDEX('Paramètres'!$O:$O,MATCH($D3811,'Paramètres'!$M:$M,0))&amp;"","")&lt;&gt;"",ISNUMBER(SEARCH("remboursement",IFERROR(INDEX('Paramètres'!$N:$N,MATCH($D3811,'Paramètres'!$M:$M,0))&amp;"",""))))),1,0))</f>
        <v/>
      </c>
      <c r="Q3811" s="6" t="str">
        <f>IF($K3811="","",IF(ISNUMBER(SEARCH("transfert-interne",IFERROR(INDEX('Paramètres'!$N:$N,MATCH($D3811,'Paramètres'!$M:$M,0))&amp;"",""))),0,IF($L3811="Débit",$K3811,IF($P3811=1,-$K3811,0))))</f>
        <v/>
      </c>
      <c r="R3811" s="6" t="str">
        <f>IF($K3811="","",IF($L3811="Crédit",$K3811,-$K3811))</f>
        <v/>
      </c>
      <c r="S3811" s="6" t="str">
        <f>IF($C3811="","",IFERROR(INDEX('Paramètres'!$H:$H,MATCH($C3811,'Paramètres'!$D:$D,0))&amp;"",""))</f>
        <v/>
      </c>
      <c r="T3811" s="6" t="str">
        <f>IF($K3811="","",IF($S3811="",0,IF(ISNUMBER(SEARCH("apport-exterieur",IFERROR(INDEX('Paramètres'!$N:$N,MATCH($D3811,'Paramètres'!$M:$M,0))&amp;"",""))),0,IF(OR(IFERROR(INDEX('Paramètres'!$I:$I,MATCH($C3811,'Paramètres'!$D:$D,0))&amp;"","")="Les deux",IFERROR(INDEX('Paramètres'!$I:$I,MATCH($C3811,'Paramètres'!$D:$D,0))&amp;"","")=IF($P3811=1,"Débit",$L3811)),-IF($P3811=1,-$K3811,$K3811),0))))</f>
        <v/>
      </c>
      <c r="U3811" s="6" t="str">
        <f>IF($K3811="","",IF(ISNUMBER(SEARCH("sortie-epargne",IFERROR(INDEX('Paramètres'!$N:$N,MATCH($D3811,'Paramètres'!$M:$M,0))&amp;"",""))),$K3811,0))</f>
        <v/>
      </c>
      <c r="V3811" s="6" t="str">
        <f>IF(AND($A3811&lt;&gt;"",$O3811=1,$L3811="Débit",N($Q3811)&gt;0,$A3811&gt;=Visualisation!$B$1,$A3811&lt;Visualisation!$D$1),MAX($V$1:V3810)+1,"")</f>
        <v/>
      </c>
    </row>
    <row r="3812" spans="1:22" x14ac:dyDescent="0.25">
      <c r="A3812" s="9"/>
      <c r="E3812" s="10"/>
      <c r="K3812" s="11" t="str">
        <f>IF($E3812="","",ROUND($E3812*IF(ISNA(MATCH($C3812,'Paramètres'!$D:$D,0)),1,IF(INDEX('Paramètres'!$J:$J,MATCH($C3812,'Paramètres'!$D:$D,0))="",1,INDEX('Paramètres'!$J:$J,MATCH($C3812,'Paramètres'!$D:$D,0)))),2))</f>
        <v/>
      </c>
      <c r="L3812" s="6" t="str">
        <f>IF($D3812="","",IF($F3812&lt;&gt;"",$F3812,IF(ISNA(MATCH($D3812,'Paramètres'!$M:$M,0)),"⚠ Type inconnu",IFERROR(INDEX('Paramètres'!$P:$P,MATCH($D3812,'Paramètres'!$M:$M,0))&amp;"",""))))</f>
        <v/>
      </c>
      <c r="M3812" s="6" t="str">
        <f>IF($D3812="","",IF(ISNA(MATCH($D3812,'Paramètres'!$M:$M,0)),"⚠ Type inconnu",IF($L3812="Crédit","",IFERROR(INDEX('Paramètres'!$O:$O,MATCH($D3812,'Paramètres'!$M:$M,0))&amp;"",""))))</f>
        <v/>
      </c>
      <c r="N3812" s="6" t="str">
        <f>IF($D3812="","",IFERROR(INDEX('Paramètres'!$Q:$Q,MATCH($D3812,'Paramètres'!$M:$M,0))&amp;"",""))</f>
        <v/>
      </c>
      <c r="O3812" s="6" t="str">
        <f>IF($A3812="","",IF(OR($J3812&lt;&gt;"x",$A3812&lt;=FinReleve),1,0))</f>
        <v/>
      </c>
      <c r="P3812" s="6" t="str">
        <f>IF($D3812="","",IF(AND($L3812="Crédit",OR(IFERROR(INDEX('Paramètres'!$O:$O,MATCH($D3812,'Paramètres'!$M:$M,0))&amp;"","")&lt;&gt;"",ISNUMBER(SEARCH("remboursement",IFERROR(INDEX('Paramètres'!$N:$N,MATCH($D3812,'Paramètres'!$M:$M,0))&amp;"",""))))),1,0))</f>
        <v/>
      </c>
      <c r="Q3812" s="6" t="str">
        <f>IF($K3812="","",IF(ISNUMBER(SEARCH("transfert-interne",IFERROR(INDEX('Paramètres'!$N:$N,MATCH($D3812,'Paramètres'!$M:$M,0))&amp;"",""))),0,IF($L3812="Débit",$K3812,IF($P3812=1,-$K3812,0))))</f>
        <v/>
      </c>
      <c r="R3812" s="6" t="str">
        <f>IF($K3812="","",IF($L3812="Crédit",$K3812,-$K3812))</f>
        <v/>
      </c>
      <c r="S3812" s="6" t="str">
        <f>IF($C3812="","",IFERROR(INDEX('Paramètres'!$H:$H,MATCH($C3812,'Paramètres'!$D:$D,0))&amp;"",""))</f>
        <v/>
      </c>
      <c r="T3812" s="6" t="str">
        <f>IF($K3812="","",IF($S3812="",0,IF(ISNUMBER(SEARCH("apport-exterieur",IFERROR(INDEX('Paramètres'!$N:$N,MATCH($D3812,'Paramètres'!$M:$M,0))&amp;"",""))),0,IF(OR(IFERROR(INDEX('Paramètres'!$I:$I,MATCH($C3812,'Paramètres'!$D:$D,0))&amp;"","")="Les deux",IFERROR(INDEX('Paramètres'!$I:$I,MATCH($C3812,'Paramètres'!$D:$D,0))&amp;"","")=IF($P3812=1,"Débit",$L3812)),-IF($P3812=1,-$K3812,$K3812),0))))</f>
        <v/>
      </c>
      <c r="U3812" s="6" t="str">
        <f>IF($K3812="","",IF(ISNUMBER(SEARCH("sortie-epargne",IFERROR(INDEX('Paramètres'!$N:$N,MATCH($D3812,'Paramètres'!$M:$M,0))&amp;"",""))),$K3812,0))</f>
        <v/>
      </c>
      <c r="V3812" s="6" t="str">
        <f>IF(AND($A3812&lt;&gt;"",$O3812=1,$L3812="Débit",N($Q3812)&gt;0,$A3812&gt;=Visualisation!$B$1,$A3812&lt;Visualisation!$D$1),MAX($V$1:V3811)+1,"")</f>
        <v/>
      </c>
    </row>
    <row r="3813" spans="1:22" x14ac:dyDescent="0.25">
      <c r="A3813" s="9"/>
      <c r="E3813" s="10"/>
      <c r="K3813" s="11" t="str">
        <f>IF($E3813="","",ROUND($E3813*IF(ISNA(MATCH($C3813,'Paramètres'!$D:$D,0)),1,IF(INDEX('Paramètres'!$J:$J,MATCH($C3813,'Paramètres'!$D:$D,0))="",1,INDEX('Paramètres'!$J:$J,MATCH($C3813,'Paramètres'!$D:$D,0)))),2))</f>
        <v/>
      </c>
      <c r="L3813" s="6" t="str">
        <f>IF($D3813="","",IF($F3813&lt;&gt;"",$F3813,IF(ISNA(MATCH($D3813,'Paramètres'!$M:$M,0)),"⚠ Type inconnu",IFERROR(INDEX('Paramètres'!$P:$P,MATCH($D3813,'Paramètres'!$M:$M,0))&amp;"",""))))</f>
        <v/>
      </c>
      <c r="M3813" s="6" t="str">
        <f>IF($D3813="","",IF(ISNA(MATCH($D3813,'Paramètres'!$M:$M,0)),"⚠ Type inconnu",IF($L3813="Crédit","",IFERROR(INDEX('Paramètres'!$O:$O,MATCH($D3813,'Paramètres'!$M:$M,0))&amp;"",""))))</f>
        <v/>
      </c>
      <c r="N3813" s="6" t="str">
        <f>IF($D3813="","",IFERROR(INDEX('Paramètres'!$Q:$Q,MATCH($D3813,'Paramètres'!$M:$M,0))&amp;"",""))</f>
        <v/>
      </c>
      <c r="O3813" s="6" t="str">
        <f>IF($A3813="","",IF(OR($J3813&lt;&gt;"x",$A3813&lt;=FinReleve),1,0))</f>
        <v/>
      </c>
      <c r="P3813" s="6" t="str">
        <f>IF($D3813="","",IF(AND($L3813="Crédit",OR(IFERROR(INDEX('Paramètres'!$O:$O,MATCH($D3813,'Paramètres'!$M:$M,0))&amp;"","")&lt;&gt;"",ISNUMBER(SEARCH("remboursement",IFERROR(INDEX('Paramètres'!$N:$N,MATCH($D3813,'Paramètres'!$M:$M,0))&amp;"",""))))),1,0))</f>
        <v/>
      </c>
      <c r="Q3813" s="6" t="str">
        <f>IF($K3813="","",IF(ISNUMBER(SEARCH("transfert-interne",IFERROR(INDEX('Paramètres'!$N:$N,MATCH($D3813,'Paramètres'!$M:$M,0))&amp;"",""))),0,IF($L3813="Débit",$K3813,IF($P3813=1,-$K3813,0))))</f>
        <v/>
      </c>
      <c r="R3813" s="6" t="str">
        <f>IF($K3813="","",IF($L3813="Crédit",$K3813,-$K3813))</f>
        <v/>
      </c>
      <c r="S3813" s="6" t="str">
        <f>IF($C3813="","",IFERROR(INDEX('Paramètres'!$H:$H,MATCH($C3813,'Paramètres'!$D:$D,0))&amp;"",""))</f>
        <v/>
      </c>
      <c r="T3813" s="6" t="str">
        <f>IF($K3813="","",IF($S3813="",0,IF(ISNUMBER(SEARCH("apport-exterieur",IFERROR(INDEX('Paramètres'!$N:$N,MATCH($D3813,'Paramètres'!$M:$M,0))&amp;"",""))),0,IF(OR(IFERROR(INDEX('Paramètres'!$I:$I,MATCH($C3813,'Paramètres'!$D:$D,0))&amp;"","")="Les deux",IFERROR(INDEX('Paramètres'!$I:$I,MATCH($C3813,'Paramètres'!$D:$D,0))&amp;"","")=IF($P3813=1,"Débit",$L3813)),-IF($P3813=1,-$K3813,$K3813),0))))</f>
        <v/>
      </c>
      <c r="U3813" s="6" t="str">
        <f>IF($K3813="","",IF(ISNUMBER(SEARCH("sortie-epargne",IFERROR(INDEX('Paramètres'!$N:$N,MATCH($D3813,'Paramètres'!$M:$M,0))&amp;"",""))),$K3813,0))</f>
        <v/>
      </c>
      <c r="V3813" s="6" t="str">
        <f>IF(AND($A3813&lt;&gt;"",$O3813=1,$L3813="Débit",N($Q3813)&gt;0,$A3813&gt;=Visualisation!$B$1,$A3813&lt;Visualisation!$D$1),MAX($V$1:V3812)+1,"")</f>
        <v/>
      </c>
    </row>
    <row r="3814" spans="1:22" x14ac:dyDescent="0.25">
      <c r="A3814" s="9"/>
      <c r="E3814" s="10"/>
      <c r="K3814" s="11" t="str">
        <f>IF($E3814="","",ROUND($E3814*IF(ISNA(MATCH($C3814,'Paramètres'!$D:$D,0)),1,IF(INDEX('Paramètres'!$J:$J,MATCH($C3814,'Paramètres'!$D:$D,0))="",1,INDEX('Paramètres'!$J:$J,MATCH($C3814,'Paramètres'!$D:$D,0)))),2))</f>
        <v/>
      </c>
      <c r="L3814" s="6" t="str">
        <f>IF($D3814="","",IF($F3814&lt;&gt;"",$F3814,IF(ISNA(MATCH($D3814,'Paramètres'!$M:$M,0)),"⚠ Type inconnu",IFERROR(INDEX('Paramètres'!$P:$P,MATCH($D3814,'Paramètres'!$M:$M,0))&amp;"",""))))</f>
        <v/>
      </c>
      <c r="M3814" s="6" t="str">
        <f>IF($D3814="","",IF(ISNA(MATCH($D3814,'Paramètres'!$M:$M,0)),"⚠ Type inconnu",IF($L3814="Crédit","",IFERROR(INDEX('Paramètres'!$O:$O,MATCH($D3814,'Paramètres'!$M:$M,0))&amp;"",""))))</f>
        <v/>
      </c>
      <c r="N3814" s="6" t="str">
        <f>IF($D3814="","",IFERROR(INDEX('Paramètres'!$Q:$Q,MATCH($D3814,'Paramètres'!$M:$M,0))&amp;"",""))</f>
        <v/>
      </c>
      <c r="O3814" s="6" t="str">
        <f>IF($A3814="","",IF(OR($J3814&lt;&gt;"x",$A3814&lt;=FinReleve),1,0))</f>
        <v/>
      </c>
      <c r="P3814" s="6" t="str">
        <f>IF($D3814="","",IF(AND($L3814="Crédit",OR(IFERROR(INDEX('Paramètres'!$O:$O,MATCH($D3814,'Paramètres'!$M:$M,0))&amp;"","")&lt;&gt;"",ISNUMBER(SEARCH("remboursement",IFERROR(INDEX('Paramètres'!$N:$N,MATCH($D3814,'Paramètres'!$M:$M,0))&amp;"",""))))),1,0))</f>
        <v/>
      </c>
      <c r="Q3814" s="6" t="str">
        <f>IF($K3814="","",IF(ISNUMBER(SEARCH("transfert-interne",IFERROR(INDEX('Paramètres'!$N:$N,MATCH($D3814,'Paramètres'!$M:$M,0))&amp;"",""))),0,IF($L3814="Débit",$K3814,IF($P3814=1,-$K3814,0))))</f>
        <v/>
      </c>
      <c r="R3814" s="6" t="str">
        <f>IF($K3814="","",IF($L3814="Crédit",$K3814,-$K3814))</f>
        <v/>
      </c>
      <c r="S3814" s="6" t="str">
        <f>IF($C3814="","",IFERROR(INDEX('Paramètres'!$H:$H,MATCH($C3814,'Paramètres'!$D:$D,0))&amp;"",""))</f>
        <v/>
      </c>
      <c r="T3814" s="6" t="str">
        <f>IF($K3814="","",IF($S3814="",0,IF(ISNUMBER(SEARCH("apport-exterieur",IFERROR(INDEX('Paramètres'!$N:$N,MATCH($D3814,'Paramètres'!$M:$M,0))&amp;"",""))),0,IF(OR(IFERROR(INDEX('Paramètres'!$I:$I,MATCH($C3814,'Paramètres'!$D:$D,0))&amp;"","")="Les deux",IFERROR(INDEX('Paramètres'!$I:$I,MATCH($C3814,'Paramètres'!$D:$D,0))&amp;"","")=IF($P3814=1,"Débit",$L3814)),-IF($P3814=1,-$K3814,$K3814),0))))</f>
        <v/>
      </c>
      <c r="U3814" s="6" t="str">
        <f>IF($K3814="","",IF(ISNUMBER(SEARCH("sortie-epargne",IFERROR(INDEX('Paramètres'!$N:$N,MATCH($D3814,'Paramètres'!$M:$M,0))&amp;"",""))),$K3814,0))</f>
        <v/>
      </c>
      <c r="V3814" s="6" t="str">
        <f>IF(AND($A3814&lt;&gt;"",$O3814=1,$L3814="Débit",N($Q3814)&gt;0,$A3814&gt;=Visualisation!$B$1,$A3814&lt;Visualisation!$D$1),MAX($V$1:V3813)+1,"")</f>
        <v/>
      </c>
    </row>
    <row r="3815" spans="1:22" x14ac:dyDescent="0.25">
      <c r="A3815" s="9"/>
      <c r="E3815" s="10"/>
      <c r="K3815" s="11" t="str">
        <f>IF($E3815="","",ROUND($E3815*IF(ISNA(MATCH($C3815,'Paramètres'!$D:$D,0)),1,IF(INDEX('Paramètres'!$J:$J,MATCH($C3815,'Paramètres'!$D:$D,0))="",1,INDEX('Paramètres'!$J:$J,MATCH($C3815,'Paramètres'!$D:$D,0)))),2))</f>
        <v/>
      </c>
      <c r="L3815" s="6" t="str">
        <f>IF($D3815="","",IF($F3815&lt;&gt;"",$F3815,IF(ISNA(MATCH($D3815,'Paramètres'!$M:$M,0)),"⚠ Type inconnu",IFERROR(INDEX('Paramètres'!$P:$P,MATCH($D3815,'Paramètres'!$M:$M,0))&amp;"",""))))</f>
        <v/>
      </c>
      <c r="M3815" s="6" t="str">
        <f>IF($D3815="","",IF(ISNA(MATCH($D3815,'Paramètres'!$M:$M,0)),"⚠ Type inconnu",IF($L3815="Crédit","",IFERROR(INDEX('Paramètres'!$O:$O,MATCH($D3815,'Paramètres'!$M:$M,0))&amp;"",""))))</f>
        <v/>
      </c>
      <c r="N3815" s="6" t="str">
        <f>IF($D3815="","",IFERROR(INDEX('Paramètres'!$Q:$Q,MATCH($D3815,'Paramètres'!$M:$M,0))&amp;"",""))</f>
        <v/>
      </c>
      <c r="O3815" s="6" t="str">
        <f>IF($A3815="","",IF(OR($J3815&lt;&gt;"x",$A3815&lt;=FinReleve),1,0))</f>
        <v/>
      </c>
      <c r="P3815" s="6" t="str">
        <f>IF($D3815="","",IF(AND($L3815="Crédit",OR(IFERROR(INDEX('Paramètres'!$O:$O,MATCH($D3815,'Paramètres'!$M:$M,0))&amp;"","")&lt;&gt;"",ISNUMBER(SEARCH("remboursement",IFERROR(INDEX('Paramètres'!$N:$N,MATCH($D3815,'Paramètres'!$M:$M,0))&amp;"",""))))),1,0))</f>
        <v/>
      </c>
      <c r="Q3815" s="6" t="str">
        <f>IF($K3815="","",IF(ISNUMBER(SEARCH("transfert-interne",IFERROR(INDEX('Paramètres'!$N:$N,MATCH($D3815,'Paramètres'!$M:$M,0))&amp;"",""))),0,IF($L3815="Débit",$K3815,IF($P3815=1,-$K3815,0))))</f>
        <v/>
      </c>
      <c r="R3815" s="6" t="str">
        <f>IF($K3815="","",IF($L3815="Crédit",$K3815,-$K3815))</f>
        <v/>
      </c>
      <c r="S3815" s="6" t="str">
        <f>IF($C3815="","",IFERROR(INDEX('Paramètres'!$H:$H,MATCH($C3815,'Paramètres'!$D:$D,0))&amp;"",""))</f>
        <v/>
      </c>
      <c r="T3815" s="6" t="str">
        <f>IF($K3815="","",IF($S3815="",0,IF(ISNUMBER(SEARCH("apport-exterieur",IFERROR(INDEX('Paramètres'!$N:$N,MATCH($D3815,'Paramètres'!$M:$M,0))&amp;"",""))),0,IF(OR(IFERROR(INDEX('Paramètres'!$I:$I,MATCH($C3815,'Paramètres'!$D:$D,0))&amp;"","")="Les deux",IFERROR(INDEX('Paramètres'!$I:$I,MATCH($C3815,'Paramètres'!$D:$D,0))&amp;"","")=IF($P3815=1,"Débit",$L3815)),-IF($P3815=1,-$K3815,$K3815),0))))</f>
        <v/>
      </c>
      <c r="U3815" s="6" t="str">
        <f>IF($K3815="","",IF(ISNUMBER(SEARCH("sortie-epargne",IFERROR(INDEX('Paramètres'!$N:$N,MATCH($D3815,'Paramètres'!$M:$M,0))&amp;"",""))),$K3815,0))</f>
        <v/>
      </c>
      <c r="V3815" s="6" t="str">
        <f>IF(AND($A3815&lt;&gt;"",$O3815=1,$L3815="Débit",N($Q3815)&gt;0,$A3815&gt;=Visualisation!$B$1,$A3815&lt;Visualisation!$D$1),MAX($V$1:V3814)+1,"")</f>
        <v/>
      </c>
    </row>
    <row r="3816" spans="1:22" x14ac:dyDescent="0.25">
      <c r="A3816" s="9"/>
      <c r="E3816" s="10"/>
      <c r="K3816" s="11" t="str">
        <f>IF($E3816="","",ROUND($E3816*IF(ISNA(MATCH($C3816,'Paramètres'!$D:$D,0)),1,IF(INDEX('Paramètres'!$J:$J,MATCH($C3816,'Paramètres'!$D:$D,0))="",1,INDEX('Paramètres'!$J:$J,MATCH($C3816,'Paramètres'!$D:$D,0)))),2))</f>
        <v/>
      </c>
      <c r="L3816" s="6" t="str">
        <f>IF($D3816="","",IF($F3816&lt;&gt;"",$F3816,IF(ISNA(MATCH($D3816,'Paramètres'!$M:$M,0)),"⚠ Type inconnu",IFERROR(INDEX('Paramètres'!$P:$P,MATCH($D3816,'Paramètres'!$M:$M,0))&amp;"",""))))</f>
        <v/>
      </c>
      <c r="M3816" s="6" t="str">
        <f>IF($D3816="","",IF(ISNA(MATCH($D3816,'Paramètres'!$M:$M,0)),"⚠ Type inconnu",IF($L3816="Crédit","",IFERROR(INDEX('Paramètres'!$O:$O,MATCH($D3816,'Paramètres'!$M:$M,0))&amp;"",""))))</f>
        <v/>
      </c>
      <c r="N3816" s="6" t="str">
        <f>IF($D3816="","",IFERROR(INDEX('Paramètres'!$Q:$Q,MATCH($D3816,'Paramètres'!$M:$M,0))&amp;"",""))</f>
        <v/>
      </c>
      <c r="O3816" s="6" t="str">
        <f>IF($A3816="","",IF(OR($J3816&lt;&gt;"x",$A3816&lt;=FinReleve),1,0))</f>
        <v/>
      </c>
      <c r="P3816" s="6" t="str">
        <f>IF($D3816="","",IF(AND($L3816="Crédit",OR(IFERROR(INDEX('Paramètres'!$O:$O,MATCH($D3816,'Paramètres'!$M:$M,0))&amp;"","")&lt;&gt;"",ISNUMBER(SEARCH("remboursement",IFERROR(INDEX('Paramètres'!$N:$N,MATCH($D3816,'Paramètres'!$M:$M,0))&amp;"",""))))),1,0))</f>
        <v/>
      </c>
      <c r="Q3816" s="6" t="str">
        <f>IF($K3816="","",IF(ISNUMBER(SEARCH("transfert-interne",IFERROR(INDEX('Paramètres'!$N:$N,MATCH($D3816,'Paramètres'!$M:$M,0))&amp;"",""))),0,IF($L3816="Débit",$K3816,IF($P3816=1,-$K3816,0))))</f>
        <v/>
      </c>
      <c r="R3816" s="6" t="str">
        <f>IF($K3816="","",IF($L3816="Crédit",$K3816,-$K3816))</f>
        <v/>
      </c>
      <c r="S3816" s="6" t="str">
        <f>IF($C3816="","",IFERROR(INDEX('Paramètres'!$H:$H,MATCH($C3816,'Paramètres'!$D:$D,0))&amp;"",""))</f>
        <v/>
      </c>
      <c r="T3816" s="6" t="str">
        <f>IF($K3816="","",IF($S3816="",0,IF(ISNUMBER(SEARCH("apport-exterieur",IFERROR(INDEX('Paramètres'!$N:$N,MATCH($D3816,'Paramètres'!$M:$M,0))&amp;"",""))),0,IF(OR(IFERROR(INDEX('Paramètres'!$I:$I,MATCH($C3816,'Paramètres'!$D:$D,0))&amp;"","")="Les deux",IFERROR(INDEX('Paramètres'!$I:$I,MATCH($C3816,'Paramètres'!$D:$D,0))&amp;"","")=IF($P3816=1,"Débit",$L3816)),-IF($P3816=1,-$K3816,$K3816),0))))</f>
        <v/>
      </c>
      <c r="U3816" s="6" t="str">
        <f>IF($K3816="","",IF(ISNUMBER(SEARCH("sortie-epargne",IFERROR(INDEX('Paramètres'!$N:$N,MATCH($D3816,'Paramètres'!$M:$M,0))&amp;"",""))),$K3816,0))</f>
        <v/>
      </c>
      <c r="V3816" s="6" t="str">
        <f>IF(AND($A3816&lt;&gt;"",$O3816=1,$L3816="Débit",N($Q3816)&gt;0,$A3816&gt;=Visualisation!$B$1,$A3816&lt;Visualisation!$D$1),MAX($V$1:V3815)+1,"")</f>
        <v/>
      </c>
    </row>
    <row r="3817" spans="1:22" x14ac:dyDescent="0.25">
      <c r="A3817" s="9"/>
      <c r="E3817" s="10"/>
      <c r="K3817" s="11" t="str">
        <f>IF($E3817="","",ROUND($E3817*IF(ISNA(MATCH($C3817,'Paramètres'!$D:$D,0)),1,IF(INDEX('Paramètres'!$J:$J,MATCH($C3817,'Paramètres'!$D:$D,0))="",1,INDEX('Paramètres'!$J:$J,MATCH($C3817,'Paramètres'!$D:$D,0)))),2))</f>
        <v/>
      </c>
      <c r="L3817" s="6" t="str">
        <f>IF($D3817="","",IF($F3817&lt;&gt;"",$F3817,IF(ISNA(MATCH($D3817,'Paramètres'!$M:$M,0)),"⚠ Type inconnu",IFERROR(INDEX('Paramètres'!$P:$P,MATCH($D3817,'Paramètres'!$M:$M,0))&amp;"",""))))</f>
        <v/>
      </c>
      <c r="M3817" s="6" t="str">
        <f>IF($D3817="","",IF(ISNA(MATCH($D3817,'Paramètres'!$M:$M,0)),"⚠ Type inconnu",IF($L3817="Crédit","",IFERROR(INDEX('Paramètres'!$O:$O,MATCH($D3817,'Paramètres'!$M:$M,0))&amp;"",""))))</f>
        <v/>
      </c>
      <c r="N3817" s="6" t="str">
        <f>IF($D3817="","",IFERROR(INDEX('Paramètres'!$Q:$Q,MATCH($D3817,'Paramètres'!$M:$M,0))&amp;"",""))</f>
        <v/>
      </c>
      <c r="O3817" s="6" t="str">
        <f>IF($A3817="","",IF(OR($J3817&lt;&gt;"x",$A3817&lt;=FinReleve),1,0))</f>
        <v/>
      </c>
      <c r="P3817" s="6" t="str">
        <f>IF($D3817="","",IF(AND($L3817="Crédit",OR(IFERROR(INDEX('Paramètres'!$O:$O,MATCH($D3817,'Paramètres'!$M:$M,0))&amp;"","")&lt;&gt;"",ISNUMBER(SEARCH("remboursement",IFERROR(INDEX('Paramètres'!$N:$N,MATCH($D3817,'Paramètres'!$M:$M,0))&amp;"",""))))),1,0))</f>
        <v/>
      </c>
      <c r="Q3817" s="6" t="str">
        <f>IF($K3817="","",IF(ISNUMBER(SEARCH("transfert-interne",IFERROR(INDEX('Paramètres'!$N:$N,MATCH($D3817,'Paramètres'!$M:$M,0))&amp;"",""))),0,IF($L3817="Débit",$K3817,IF($P3817=1,-$K3817,0))))</f>
        <v/>
      </c>
      <c r="R3817" s="6" t="str">
        <f>IF($K3817="","",IF($L3817="Crédit",$K3817,-$K3817))</f>
        <v/>
      </c>
      <c r="S3817" s="6" t="str">
        <f>IF($C3817="","",IFERROR(INDEX('Paramètres'!$H:$H,MATCH($C3817,'Paramètres'!$D:$D,0))&amp;"",""))</f>
        <v/>
      </c>
      <c r="T3817" s="6" t="str">
        <f>IF($K3817="","",IF($S3817="",0,IF(ISNUMBER(SEARCH("apport-exterieur",IFERROR(INDEX('Paramètres'!$N:$N,MATCH($D3817,'Paramètres'!$M:$M,0))&amp;"",""))),0,IF(OR(IFERROR(INDEX('Paramètres'!$I:$I,MATCH($C3817,'Paramètres'!$D:$D,0))&amp;"","")="Les deux",IFERROR(INDEX('Paramètres'!$I:$I,MATCH($C3817,'Paramètres'!$D:$D,0))&amp;"","")=IF($P3817=1,"Débit",$L3817)),-IF($P3817=1,-$K3817,$K3817),0))))</f>
        <v/>
      </c>
      <c r="U3817" s="6" t="str">
        <f>IF($K3817="","",IF(ISNUMBER(SEARCH("sortie-epargne",IFERROR(INDEX('Paramètres'!$N:$N,MATCH($D3817,'Paramètres'!$M:$M,0))&amp;"",""))),$K3817,0))</f>
        <v/>
      </c>
      <c r="V3817" s="6" t="str">
        <f>IF(AND($A3817&lt;&gt;"",$O3817=1,$L3817="Débit",N($Q3817)&gt;0,$A3817&gt;=Visualisation!$B$1,$A3817&lt;Visualisation!$D$1),MAX($V$1:V3816)+1,"")</f>
        <v/>
      </c>
    </row>
    <row r="3818" spans="1:22" x14ac:dyDescent="0.25">
      <c r="A3818" s="9"/>
      <c r="E3818" s="10"/>
      <c r="K3818" s="11" t="str">
        <f>IF($E3818="","",ROUND($E3818*IF(ISNA(MATCH($C3818,'Paramètres'!$D:$D,0)),1,IF(INDEX('Paramètres'!$J:$J,MATCH($C3818,'Paramètres'!$D:$D,0))="",1,INDEX('Paramètres'!$J:$J,MATCH($C3818,'Paramètres'!$D:$D,0)))),2))</f>
        <v/>
      </c>
      <c r="L3818" s="6" t="str">
        <f>IF($D3818="","",IF($F3818&lt;&gt;"",$F3818,IF(ISNA(MATCH($D3818,'Paramètres'!$M:$M,0)),"⚠ Type inconnu",IFERROR(INDEX('Paramètres'!$P:$P,MATCH($D3818,'Paramètres'!$M:$M,0))&amp;"",""))))</f>
        <v/>
      </c>
      <c r="M3818" s="6" t="str">
        <f>IF($D3818="","",IF(ISNA(MATCH($D3818,'Paramètres'!$M:$M,0)),"⚠ Type inconnu",IF($L3818="Crédit","",IFERROR(INDEX('Paramètres'!$O:$O,MATCH($D3818,'Paramètres'!$M:$M,0))&amp;"",""))))</f>
        <v/>
      </c>
      <c r="N3818" s="6" t="str">
        <f>IF($D3818="","",IFERROR(INDEX('Paramètres'!$Q:$Q,MATCH($D3818,'Paramètres'!$M:$M,0))&amp;"",""))</f>
        <v/>
      </c>
      <c r="O3818" s="6" t="str">
        <f>IF($A3818="","",IF(OR($J3818&lt;&gt;"x",$A3818&lt;=FinReleve),1,0))</f>
        <v/>
      </c>
      <c r="P3818" s="6" t="str">
        <f>IF($D3818="","",IF(AND($L3818="Crédit",OR(IFERROR(INDEX('Paramètres'!$O:$O,MATCH($D3818,'Paramètres'!$M:$M,0))&amp;"","")&lt;&gt;"",ISNUMBER(SEARCH("remboursement",IFERROR(INDEX('Paramètres'!$N:$N,MATCH($D3818,'Paramètres'!$M:$M,0))&amp;"",""))))),1,0))</f>
        <v/>
      </c>
      <c r="Q3818" s="6" t="str">
        <f>IF($K3818="","",IF(ISNUMBER(SEARCH("transfert-interne",IFERROR(INDEX('Paramètres'!$N:$N,MATCH($D3818,'Paramètres'!$M:$M,0))&amp;"",""))),0,IF($L3818="Débit",$K3818,IF($P3818=1,-$K3818,0))))</f>
        <v/>
      </c>
      <c r="R3818" s="6" t="str">
        <f>IF($K3818="","",IF($L3818="Crédit",$K3818,-$K3818))</f>
        <v/>
      </c>
      <c r="S3818" s="6" t="str">
        <f>IF($C3818="","",IFERROR(INDEX('Paramètres'!$H:$H,MATCH($C3818,'Paramètres'!$D:$D,0))&amp;"",""))</f>
        <v/>
      </c>
      <c r="T3818" s="6" t="str">
        <f>IF($K3818="","",IF($S3818="",0,IF(ISNUMBER(SEARCH("apport-exterieur",IFERROR(INDEX('Paramètres'!$N:$N,MATCH($D3818,'Paramètres'!$M:$M,0))&amp;"",""))),0,IF(OR(IFERROR(INDEX('Paramètres'!$I:$I,MATCH($C3818,'Paramètres'!$D:$D,0))&amp;"","")="Les deux",IFERROR(INDEX('Paramètres'!$I:$I,MATCH($C3818,'Paramètres'!$D:$D,0))&amp;"","")=IF($P3818=1,"Débit",$L3818)),-IF($P3818=1,-$K3818,$K3818),0))))</f>
        <v/>
      </c>
      <c r="U3818" s="6" t="str">
        <f>IF($K3818="","",IF(ISNUMBER(SEARCH("sortie-epargne",IFERROR(INDEX('Paramètres'!$N:$N,MATCH($D3818,'Paramètres'!$M:$M,0))&amp;"",""))),$K3818,0))</f>
        <v/>
      </c>
      <c r="V3818" s="6" t="str">
        <f>IF(AND($A3818&lt;&gt;"",$O3818=1,$L3818="Débit",N($Q3818)&gt;0,$A3818&gt;=Visualisation!$B$1,$A3818&lt;Visualisation!$D$1),MAX($V$1:V3817)+1,"")</f>
        <v/>
      </c>
    </row>
    <row r="3819" spans="1:22" x14ac:dyDescent="0.25">
      <c r="A3819" s="9"/>
      <c r="E3819" s="10"/>
      <c r="K3819" s="11" t="str">
        <f>IF($E3819="","",ROUND($E3819*IF(ISNA(MATCH($C3819,'Paramètres'!$D:$D,0)),1,IF(INDEX('Paramètres'!$J:$J,MATCH($C3819,'Paramètres'!$D:$D,0))="",1,INDEX('Paramètres'!$J:$J,MATCH($C3819,'Paramètres'!$D:$D,0)))),2))</f>
        <v/>
      </c>
      <c r="L3819" s="6" t="str">
        <f>IF($D3819="","",IF($F3819&lt;&gt;"",$F3819,IF(ISNA(MATCH($D3819,'Paramètres'!$M:$M,0)),"⚠ Type inconnu",IFERROR(INDEX('Paramètres'!$P:$P,MATCH($D3819,'Paramètres'!$M:$M,0))&amp;"",""))))</f>
        <v/>
      </c>
      <c r="M3819" s="6" t="str">
        <f>IF($D3819="","",IF(ISNA(MATCH($D3819,'Paramètres'!$M:$M,0)),"⚠ Type inconnu",IF($L3819="Crédit","",IFERROR(INDEX('Paramètres'!$O:$O,MATCH($D3819,'Paramètres'!$M:$M,0))&amp;"",""))))</f>
        <v/>
      </c>
      <c r="N3819" s="6" t="str">
        <f>IF($D3819="","",IFERROR(INDEX('Paramètres'!$Q:$Q,MATCH($D3819,'Paramètres'!$M:$M,0))&amp;"",""))</f>
        <v/>
      </c>
      <c r="O3819" s="6" t="str">
        <f>IF($A3819="","",IF(OR($J3819&lt;&gt;"x",$A3819&lt;=FinReleve),1,0))</f>
        <v/>
      </c>
      <c r="P3819" s="6" t="str">
        <f>IF($D3819="","",IF(AND($L3819="Crédit",OR(IFERROR(INDEX('Paramètres'!$O:$O,MATCH($D3819,'Paramètres'!$M:$M,0))&amp;"","")&lt;&gt;"",ISNUMBER(SEARCH("remboursement",IFERROR(INDEX('Paramètres'!$N:$N,MATCH($D3819,'Paramètres'!$M:$M,0))&amp;"",""))))),1,0))</f>
        <v/>
      </c>
      <c r="Q3819" s="6" t="str">
        <f>IF($K3819="","",IF(ISNUMBER(SEARCH("transfert-interne",IFERROR(INDEX('Paramètres'!$N:$N,MATCH($D3819,'Paramètres'!$M:$M,0))&amp;"",""))),0,IF($L3819="Débit",$K3819,IF($P3819=1,-$K3819,0))))</f>
        <v/>
      </c>
      <c r="R3819" s="6" t="str">
        <f>IF($K3819="","",IF($L3819="Crédit",$K3819,-$K3819))</f>
        <v/>
      </c>
      <c r="S3819" s="6" t="str">
        <f>IF($C3819="","",IFERROR(INDEX('Paramètres'!$H:$H,MATCH($C3819,'Paramètres'!$D:$D,0))&amp;"",""))</f>
        <v/>
      </c>
      <c r="T3819" s="6" t="str">
        <f>IF($K3819="","",IF($S3819="",0,IF(ISNUMBER(SEARCH("apport-exterieur",IFERROR(INDEX('Paramètres'!$N:$N,MATCH($D3819,'Paramètres'!$M:$M,0))&amp;"",""))),0,IF(OR(IFERROR(INDEX('Paramètres'!$I:$I,MATCH($C3819,'Paramètres'!$D:$D,0))&amp;"","")="Les deux",IFERROR(INDEX('Paramètres'!$I:$I,MATCH($C3819,'Paramètres'!$D:$D,0))&amp;"","")=IF($P3819=1,"Débit",$L3819)),-IF($P3819=1,-$K3819,$K3819),0))))</f>
        <v/>
      </c>
      <c r="U3819" s="6" t="str">
        <f>IF($K3819="","",IF(ISNUMBER(SEARCH("sortie-epargne",IFERROR(INDEX('Paramètres'!$N:$N,MATCH($D3819,'Paramètres'!$M:$M,0))&amp;"",""))),$K3819,0))</f>
        <v/>
      </c>
      <c r="V3819" s="6" t="str">
        <f>IF(AND($A3819&lt;&gt;"",$O3819=1,$L3819="Débit",N($Q3819)&gt;0,$A3819&gt;=Visualisation!$B$1,$A3819&lt;Visualisation!$D$1),MAX($V$1:V3818)+1,"")</f>
        <v/>
      </c>
    </row>
    <row r="3820" spans="1:22" x14ac:dyDescent="0.25">
      <c r="A3820" s="9"/>
      <c r="E3820" s="10"/>
      <c r="K3820" s="11" t="str">
        <f>IF($E3820="","",ROUND($E3820*IF(ISNA(MATCH($C3820,'Paramètres'!$D:$D,0)),1,IF(INDEX('Paramètres'!$J:$J,MATCH($C3820,'Paramètres'!$D:$D,0))="",1,INDEX('Paramètres'!$J:$J,MATCH($C3820,'Paramètres'!$D:$D,0)))),2))</f>
        <v/>
      </c>
      <c r="L3820" s="6" t="str">
        <f>IF($D3820="","",IF($F3820&lt;&gt;"",$F3820,IF(ISNA(MATCH($D3820,'Paramètres'!$M:$M,0)),"⚠ Type inconnu",IFERROR(INDEX('Paramètres'!$P:$P,MATCH($D3820,'Paramètres'!$M:$M,0))&amp;"",""))))</f>
        <v/>
      </c>
      <c r="M3820" s="6" t="str">
        <f>IF($D3820="","",IF(ISNA(MATCH($D3820,'Paramètres'!$M:$M,0)),"⚠ Type inconnu",IF($L3820="Crédit","",IFERROR(INDEX('Paramètres'!$O:$O,MATCH($D3820,'Paramètres'!$M:$M,0))&amp;"",""))))</f>
        <v/>
      </c>
      <c r="N3820" s="6" t="str">
        <f>IF($D3820="","",IFERROR(INDEX('Paramètres'!$Q:$Q,MATCH($D3820,'Paramètres'!$M:$M,0))&amp;"",""))</f>
        <v/>
      </c>
      <c r="O3820" s="6" t="str">
        <f>IF($A3820="","",IF(OR($J3820&lt;&gt;"x",$A3820&lt;=FinReleve),1,0))</f>
        <v/>
      </c>
      <c r="P3820" s="6" t="str">
        <f>IF($D3820="","",IF(AND($L3820="Crédit",OR(IFERROR(INDEX('Paramètres'!$O:$O,MATCH($D3820,'Paramètres'!$M:$M,0))&amp;"","")&lt;&gt;"",ISNUMBER(SEARCH("remboursement",IFERROR(INDEX('Paramètres'!$N:$N,MATCH($D3820,'Paramètres'!$M:$M,0))&amp;"",""))))),1,0))</f>
        <v/>
      </c>
      <c r="Q3820" s="6" t="str">
        <f>IF($K3820="","",IF(ISNUMBER(SEARCH("transfert-interne",IFERROR(INDEX('Paramètres'!$N:$N,MATCH($D3820,'Paramètres'!$M:$M,0))&amp;"",""))),0,IF($L3820="Débit",$K3820,IF($P3820=1,-$K3820,0))))</f>
        <v/>
      </c>
      <c r="R3820" s="6" t="str">
        <f>IF($K3820="","",IF($L3820="Crédit",$K3820,-$K3820))</f>
        <v/>
      </c>
      <c r="S3820" s="6" t="str">
        <f>IF($C3820="","",IFERROR(INDEX('Paramètres'!$H:$H,MATCH($C3820,'Paramètres'!$D:$D,0))&amp;"",""))</f>
        <v/>
      </c>
      <c r="T3820" s="6" t="str">
        <f>IF($K3820="","",IF($S3820="",0,IF(ISNUMBER(SEARCH("apport-exterieur",IFERROR(INDEX('Paramètres'!$N:$N,MATCH($D3820,'Paramètres'!$M:$M,0))&amp;"",""))),0,IF(OR(IFERROR(INDEX('Paramètres'!$I:$I,MATCH($C3820,'Paramètres'!$D:$D,0))&amp;"","")="Les deux",IFERROR(INDEX('Paramètres'!$I:$I,MATCH($C3820,'Paramètres'!$D:$D,0))&amp;"","")=IF($P3820=1,"Débit",$L3820)),-IF($P3820=1,-$K3820,$K3820),0))))</f>
        <v/>
      </c>
      <c r="U3820" s="6" t="str">
        <f>IF($K3820="","",IF(ISNUMBER(SEARCH("sortie-epargne",IFERROR(INDEX('Paramètres'!$N:$N,MATCH($D3820,'Paramètres'!$M:$M,0))&amp;"",""))),$K3820,0))</f>
        <v/>
      </c>
      <c r="V3820" s="6" t="str">
        <f>IF(AND($A3820&lt;&gt;"",$O3820=1,$L3820="Débit",N($Q3820)&gt;0,$A3820&gt;=Visualisation!$B$1,$A3820&lt;Visualisation!$D$1),MAX($V$1:V3819)+1,"")</f>
        <v/>
      </c>
    </row>
    <row r="3821" spans="1:22" x14ac:dyDescent="0.25">
      <c r="A3821" s="9"/>
      <c r="E3821" s="10"/>
      <c r="K3821" s="11" t="str">
        <f>IF($E3821="","",ROUND($E3821*IF(ISNA(MATCH($C3821,'Paramètres'!$D:$D,0)),1,IF(INDEX('Paramètres'!$J:$J,MATCH($C3821,'Paramètres'!$D:$D,0))="",1,INDEX('Paramètres'!$J:$J,MATCH($C3821,'Paramètres'!$D:$D,0)))),2))</f>
        <v/>
      </c>
      <c r="L3821" s="6" t="str">
        <f>IF($D3821="","",IF($F3821&lt;&gt;"",$F3821,IF(ISNA(MATCH($D3821,'Paramètres'!$M:$M,0)),"⚠ Type inconnu",IFERROR(INDEX('Paramètres'!$P:$P,MATCH($D3821,'Paramètres'!$M:$M,0))&amp;"",""))))</f>
        <v/>
      </c>
      <c r="M3821" s="6" t="str">
        <f>IF($D3821="","",IF(ISNA(MATCH($D3821,'Paramètres'!$M:$M,0)),"⚠ Type inconnu",IF($L3821="Crédit","",IFERROR(INDEX('Paramètres'!$O:$O,MATCH($D3821,'Paramètres'!$M:$M,0))&amp;"",""))))</f>
        <v/>
      </c>
      <c r="N3821" s="6" t="str">
        <f>IF($D3821="","",IFERROR(INDEX('Paramètres'!$Q:$Q,MATCH($D3821,'Paramètres'!$M:$M,0))&amp;"",""))</f>
        <v/>
      </c>
      <c r="O3821" s="6" t="str">
        <f>IF($A3821="","",IF(OR($J3821&lt;&gt;"x",$A3821&lt;=FinReleve),1,0))</f>
        <v/>
      </c>
      <c r="P3821" s="6" t="str">
        <f>IF($D3821="","",IF(AND($L3821="Crédit",OR(IFERROR(INDEX('Paramètres'!$O:$O,MATCH($D3821,'Paramètres'!$M:$M,0))&amp;"","")&lt;&gt;"",ISNUMBER(SEARCH("remboursement",IFERROR(INDEX('Paramètres'!$N:$N,MATCH($D3821,'Paramètres'!$M:$M,0))&amp;"",""))))),1,0))</f>
        <v/>
      </c>
      <c r="Q3821" s="6" t="str">
        <f>IF($K3821="","",IF(ISNUMBER(SEARCH("transfert-interne",IFERROR(INDEX('Paramètres'!$N:$N,MATCH($D3821,'Paramètres'!$M:$M,0))&amp;"",""))),0,IF($L3821="Débit",$K3821,IF($P3821=1,-$K3821,0))))</f>
        <v/>
      </c>
      <c r="R3821" s="6" t="str">
        <f>IF($K3821="","",IF($L3821="Crédit",$K3821,-$K3821))</f>
        <v/>
      </c>
      <c r="S3821" s="6" t="str">
        <f>IF($C3821="","",IFERROR(INDEX('Paramètres'!$H:$H,MATCH($C3821,'Paramètres'!$D:$D,0))&amp;"",""))</f>
        <v/>
      </c>
      <c r="T3821" s="6" t="str">
        <f>IF($K3821="","",IF($S3821="",0,IF(ISNUMBER(SEARCH("apport-exterieur",IFERROR(INDEX('Paramètres'!$N:$N,MATCH($D3821,'Paramètres'!$M:$M,0))&amp;"",""))),0,IF(OR(IFERROR(INDEX('Paramètres'!$I:$I,MATCH($C3821,'Paramètres'!$D:$D,0))&amp;"","")="Les deux",IFERROR(INDEX('Paramètres'!$I:$I,MATCH($C3821,'Paramètres'!$D:$D,0))&amp;"","")=IF($P3821=1,"Débit",$L3821)),-IF($P3821=1,-$K3821,$K3821),0))))</f>
        <v/>
      </c>
      <c r="U3821" s="6" t="str">
        <f>IF($K3821="","",IF(ISNUMBER(SEARCH("sortie-epargne",IFERROR(INDEX('Paramètres'!$N:$N,MATCH($D3821,'Paramètres'!$M:$M,0))&amp;"",""))),$K3821,0))</f>
        <v/>
      </c>
      <c r="V3821" s="6" t="str">
        <f>IF(AND($A3821&lt;&gt;"",$O3821=1,$L3821="Débit",N($Q3821)&gt;0,$A3821&gt;=Visualisation!$B$1,$A3821&lt;Visualisation!$D$1),MAX($V$1:V3820)+1,"")</f>
        <v/>
      </c>
    </row>
    <row r="3822" spans="1:22" x14ac:dyDescent="0.25">
      <c r="A3822" s="9"/>
      <c r="E3822" s="10"/>
      <c r="K3822" s="11" t="str">
        <f>IF($E3822="","",ROUND($E3822*IF(ISNA(MATCH($C3822,'Paramètres'!$D:$D,0)),1,IF(INDEX('Paramètres'!$J:$J,MATCH($C3822,'Paramètres'!$D:$D,0))="",1,INDEX('Paramètres'!$J:$J,MATCH($C3822,'Paramètres'!$D:$D,0)))),2))</f>
        <v/>
      </c>
      <c r="L3822" s="6" t="str">
        <f>IF($D3822="","",IF($F3822&lt;&gt;"",$F3822,IF(ISNA(MATCH($D3822,'Paramètres'!$M:$M,0)),"⚠ Type inconnu",IFERROR(INDEX('Paramètres'!$P:$P,MATCH($D3822,'Paramètres'!$M:$M,0))&amp;"",""))))</f>
        <v/>
      </c>
      <c r="M3822" s="6" t="str">
        <f>IF($D3822="","",IF(ISNA(MATCH($D3822,'Paramètres'!$M:$M,0)),"⚠ Type inconnu",IF($L3822="Crédit","",IFERROR(INDEX('Paramètres'!$O:$O,MATCH($D3822,'Paramètres'!$M:$M,0))&amp;"",""))))</f>
        <v/>
      </c>
      <c r="N3822" s="6" t="str">
        <f>IF($D3822="","",IFERROR(INDEX('Paramètres'!$Q:$Q,MATCH($D3822,'Paramètres'!$M:$M,0))&amp;"",""))</f>
        <v/>
      </c>
      <c r="O3822" s="6" t="str">
        <f>IF($A3822="","",IF(OR($J3822&lt;&gt;"x",$A3822&lt;=FinReleve),1,0))</f>
        <v/>
      </c>
      <c r="P3822" s="6" t="str">
        <f>IF($D3822="","",IF(AND($L3822="Crédit",OR(IFERROR(INDEX('Paramètres'!$O:$O,MATCH($D3822,'Paramètres'!$M:$M,0))&amp;"","")&lt;&gt;"",ISNUMBER(SEARCH("remboursement",IFERROR(INDEX('Paramètres'!$N:$N,MATCH($D3822,'Paramètres'!$M:$M,0))&amp;"",""))))),1,0))</f>
        <v/>
      </c>
      <c r="Q3822" s="6" t="str">
        <f>IF($K3822="","",IF(ISNUMBER(SEARCH("transfert-interne",IFERROR(INDEX('Paramètres'!$N:$N,MATCH($D3822,'Paramètres'!$M:$M,0))&amp;"",""))),0,IF($L3822="Débit",$K3822,IF($P3822=1,-$K3822,0))))</f>
        <v/>
      </c>
      <c r="R3822" s="6" t="str">
        <f>IF($K3822="","",IF($L3822="Crédit",$K3822,-$K3822))</f>
        <v/>
      </c>
      <c r="S3822" s="6" t="str">
        <f>IF($C3822="","",IFERROR(INDEX('Paramètres'!$H:$H,MATCH($C3822,'Paramètres'!$D:$D,0))&amp;"",""))</f>
        <v/>
      </c>
      <c r="T3822" s="6" t="str">
        <f>IF($K3822="","",IF($S3822="",0,IF(ISNUMBER(SEARCH("apport-exterieur",IFERROR(INDEX('Paramètres'!$N:$N,MATCH($D3822,'Paramètres'!$M:$M,0))&amp;"",""))),0,IF(OR(IFERROR(INDEX('Paramètres'!$I:$I,MATCH($C3822,'Paramètres'!$D:$D,0))&amp;"","")="Les deux",IFERROR(INDEX('Paramètres'!$I:$I,MATCH($C3822,'Paramètres'!$D:$D,0))&amp;"","")=IF($P3822=1,"Débit",$L3822)),-IF($P3822=1,-$K3822,$K3822),0))))</f>
        <v/>
      </c>
      <c r="U3822" s="6" t="str">
        <f>IF($K3822="","",IF(ISNUMBER(SEARCH("sortie-epargne",IFERROR(INDEX('Paramètres'!$N:$N,MATCH($D3822,'Paramètres'!$M:$M,0))&amp;"",""))),$K3822,0))</f>
        <v/>
      </c>
      <c r="V3822" s="6" t="str">
        <f>IF(AND($A3822&lt;&gt;"",$O3822=1,$L3822="Débit",N($Q3822)&gt;0,$A3822&gt;=Visualisation!$B$1,$A3822&lt;Visualisation!$D$1),MAX($V$1:V3821)+1,"")</f>
        <v/>
      </c>
    </row>
    <row r="3823" spans="1:22" x14ac:dyDescent="0.25">
      <c r="A3823" s="9"/>
      <c r="E3823" s="10"/>
      <c r="K3823" s="11" t="str">
        <f>IF($E3823="","",ROUND($E3823*IF(ISNA(MATCH($C3823,'Paramètres'!$D:$D,0)),1,IF(INDEX('Paramètres'!$J:$J,MATCH($C3823,'Paramètres'!$D:$D,0))="",1,INDEX('Paramètres'!$J:$J,MATCH($C3823,'Paramètres'!$D:$D,0)))),2))</f>
        <v/>
      </c>
      <c r="L3823" s="6" t="str">
        <f>IF($D3823="","",IF($F3823&lt;&gt;"",$F3823,IF(ISNA(MATCH($D3823,'Paramètres'!$M:$M,0)),"⚠ Type inconnu",IFERROR(INDEX('Paramètres'!$P:$P,MATCH($D3823,'Paramètres'!$M:$M,0))&amp;"",""))))</f>
        <v/>
      </c>
      <c r="M3823" s="6" t="str">
        <f>IF($D3823="","",IF(ISNA(MATCH($D3823,'Paramètres'!$M:$M,0)),"⚠ Type inconnu",IF($L3823="Crédit","",IFERROR(INDEX('Paramètres'!$O:$O,MATCH($D3823,'Paramètres'!$M:$M,0))&amp;"",""))))</f>
        <v/>
      </c>
      <c r="N3823" s="6" t="str">
        <f>IF($D3823="","",IFERROR(INDEX('Paramètres'!$Q:$Q,MATCH($D3823,'Paramètres'!$M:$M,0))&amp;"",""))</f>
        <v/>
      </c>
      <c r="O3823" s="6" t="str">
        <f>IF($A3823="","",IF(OR($J3823&lt;&gt;"x",$A3823&lt;=FinReleve),1,0))</f>
        <v/>
      </c>
      <c r="P3823" s="6" t="str">
        <f>IF($D3823="","",IF(AND($L3823="Crédit",OR(IFERROR(INDEX('Paramètres'!$O:$O,MATCH($D3823,'Paramètres'!$M:$M,0))&amp;"","")&lt;&gt;"",ISNUMBER(SEARCH("remboursement",IFERROR(INDEX('Paramètres'!$N:$N,MATCH($D3823,'Paramètres'!$M:$M,0))&amp;"",""))))),1,0))</f>
        <v/>
      </c>
      <c r="Q3823" s="6" t="str">
        <f>IF($K3823="","",IF(ISNUMBER(SEARCH("transfert-interne",IFERROR(INDEX('Paramètres'!$N:$N,MATCH($D3823,'Paramètres'!$M:$M,0))&amp;"",""))),0,IF($L3823="Débit",$K3823,IF($P3823=1,-$K3823,0))))</f>
        <v/>
      </c>
      <c r="R3823" s="6" t="str">
        <f>IF($K3823="","",IF($L3823="Crédit",$K3823,-$K3823))</f>
        <v/>
      </c>
      <c r="S3823" s="6" t="str">
        <f>IF($C3823="","",IFERROR(INDEX('Paramètres'!$H:$H,MATCH($C3823,'Paramètres'!$D:$D,0))&amp;"",""))</f>
        <v/>
      </c>
      <c r="T3823" s="6" t="str">
        <f>IF($K3823="","",IF($S3823="",0,IF(ISNUMBER(SEARCH("apport-exterieur",IFERROR(INDEX('Paramètres'!$N:$N,MATCH($D3823,'Paramètres'!$M:$M,0))&amp;"",""))),0,IF(OR(IFERROR(INDEX('Paramètres'!$I:$I,MATCH($C3823,'Paramètres'!$D:$D,0))&amp;"","")="Les deux",IFERROR(INDEX('Paramètres'!$I:$I,MATCH($C3823,'Paramètres'!$D:$D,0))&amp;"","")=IF($P3823=1,"Débit",$L3823)),-IF($P3823=1,-$K3823,$K3823),0))))</f>
        <v/>
      </c>
      <c r="U3823" s="6" t="str">
        <f>IF($K3823="","",IF(ISNUMBER(SEARCH("sortie-epargne",IFERROR(INDEX('Paramètres'!$N:$N,MATCH($D3823,'Paramètres'!$M:$M,0))&amp;"",""))),$K3823,0))</f>
        <v/>
      </c>
      <c r="V3823" s="6" t="str">
        <f>IF(AND($A3823&lt;&gt;"",$O3823=1,$L3823="Débit",N($Q3823)&gt;0,$A3823&gt;=Visualisation!$B$1,$A3823&lt;Visualisation!$D$1),MAX($V$1:V3822)+1,"")</f>
        <v/>
      </c>
    </row>
    <row r="3824" spans="1:22" x14ac:dyDescent="0.25">
      <c r="A3824" s="9"/>
      <c r="E3824" s="10"/>
      <c r="K3824" s="11" t="str">
        <f>IF($E3824="","",ROUND($E3824*IF(ISNA(MATCH($C3824,'Paramètres'!$D:$D,0)),1,IF(INDEX('Paramètres'!$J:$J,MATCH($C3824,'Paramètres'!$D:$D,0))="",1,INDEX('Paramètres'!$J:$J,MATCH($C3824,'Paramètres'!$D:$D,0)))),2))</f>
        <v/>
      </c>
      <c r="L3824" s="6" t="str">
        <f>IF($D3824="","",IF($F3824&lt;&gt;"",$F3824,IF(ISNA(MATCH($D3824,'Paramètres'!$M:$M,0)),"⚠ Type inconnu",IFERROR(INDEX('Paramètres'!$P:$P,MATCH($D3824,'Paramètres'!$M:$M,0))&amp;"",""))))</f>
        <v/>
      </c>
      <c r="M3824" s="6" t="str">
        <f>IF($D3824="","",IF(ISNA(MATCH($D3824,'Paramètres'!$M:$M,0)),"⚠ Type inconnu",IF($L3824="Crédit","",IFERROR(INDEX('Paramètres'!$O:$O,MATCH($D3824,'Paramètres'!$M:$M,0))&amp;"",""))))</f>
        <v/>
      </c>
      <c r="N3824" s="6" t="str">
        <f>IF($D3824="","",IFERROR(INDEX('Paramètres'!$Q:$Q,MATCH($D3824,'Paramètres'!$M:$M,0))&amp;"",""))</f>
        <v/>
      </c>
      <c r="O3824" s="6" t="str">
        <f>IF($A3824="","",IF(OR($J3824&lt;&gt;"x",$A3824&lt;=FinReleve),1,0))</f>
        <v/>
      </c>
      <c r="P3824" s="6" t="str">
        <f>IF($D3824="","",IF(AND($L3824="Crédit",OR(IFERROR(INDEX('Paramètres'!$O:$O,MATCH($D3824,'Paramètres'!$M:$M,0))&amp;"","")&lt;&gt;"",ISNUMBER(SEARCH("remboursement",IFERROR(INDEX('Paramètres'!$N:$N,MATCH($D3824,'Paramètres'!$M:$M,0))&amp;"",""))))),1,0))</f>
        <v/>
      </c>
      <c r="Q3824" s="6" t="str">
        <f>IF($K3824="","",IF(ISNUMBER(SEARCH("transfert-interne",IFERROR(INDEX('Paramètres'!$N:$N,MATCH($D3824,'Paramètres'!$M:$M,0))&amp;"",""))),0,IF($L3824="Débit",$K3824,IF($P3824=1,-$K3824,0))))</f>
        <v/>
      </c>
      <c r="R3824" s="6" t="str">
        <f>IF($K3824="","",IF($L3824="Crédit",$K3824,-$K3824))</f>
        <v/>
      </c>
      <c r="S3824" s="6" t="str">
        <f>IF($C3824="","",IFERROR(INDEX('Paramètres'!$H:$H,MATCH($C3824,'Paramètres'!$D:$D,0))&amp;"",""))</f>
        <v/>
      </c>
      <c r="T3824" s="6" t="str">
        <f>IF($K3824="","",IF($S3824="",0,IF(ISNUMBER(SEARCH("apport-exterieur",IFERROR(INDEX('Paramètres'!$N:$N,MATCH($D3824,'Paramètres'!$M:$M,0))&amp;"",""))),0,IF(OR(IFERROR(INDEX('Paramètres'!$I:$I,MATCH($C3824,'Paramètres'!$D:$D,0))&amp;"","")="Les deux",IFERROR(INDEX('Paramètres'!$I:$I,MATCH($C3824,'Paramètres'!$D:$D,0))&amp;"","")=IF($P3824=1,"Débit",$L3824)),-IF($P3824=1,-$K3824,$K3824),0))))</f>
        <v/>
      </c>
      <c r="U3824" s="6" t="str">
        <f>IF($K3824="","",IF(ISNUMBER(SEARCH("sortie-epargne",IFERROR(INDEX('Paramètres'!$N:$N,MATCH($D3824,'Paramètres'!$M:$M,0))&amp;"",""))),$K3824,0))</f>
        <v/>
      </c>
      <c r="V3824" s="6" t="str">
        <f>IF(AND($A3824&lt;&gt;"",$O3824=1,$L3824="Débit",N($Q3824)&gt;0,$A3824&gt;=Visualisation!$B$1,$A3824&lt;Visualisation!$D$1),MAX($V$1:V3823)+1,"")</f>
        <v/>
      </c>
    </row>
    <row r="3825" spans="1:22" x14ac:dyDescent="0.25">
      <c r="A3825" s="9"/>
      <c r="E3825" s="10"/>
      <c r="K3825" s="11" t="str">
        <f>IF($E3825="","",ROUND($E3825*IF(ISNA(MATCH($C3825,'Paramètres'!$D:$D,0)),1,IF(INDEX('Paramètres'!$J:$J,MATCH($C3825,'Paramètres'!$D:$D,0))="",1,INDEX('Paramètres'!$J:$J,MATCH($C3825,'Paramètres'!$D:$D,0)))),2))</f>
        <v/>
      </c>
      <c r="L3825" s="6" t="str">
        <f>IF($D3825="","",IF($F3825&lt;&gt;"",$F3825,IF(ISNA(MATCH($D3825,'Paramètres'!$M:$M,0)),"⚠ Type inconnu",IFERROR(INDEX('Paramètres'!$P:$P,MATCH($D3825,'Paramètres'!$M:$M,0))&amp;"",""))))</f>
        <v/>
      </c>
      <c r="M3825" s="6" t="str">
        <f>IF($D3825="","",IF(ISNA(MATCH($D3825,'Paramètres'!$M:$M,0)),"⚠ Type inconnu",IF($L3825="Crédit","",IFERROR(INDEX('Paramètres'!$O:$O,MATCH($D3825,'Paramètres'!$M:$M,0))&amp;"",""))))</f>
        <v/>
      </c>
      <c r="N3825" s="6" t="str">
        <f>IF($D3825="","",IFERROR(INDEX('Paramètres'!$Q:$Q,MATCH($D3825,'Paramètres'!$M:$M,0))&amp;"",""))</f>
        <v/>
      </c>
      <c r="O3825" s="6" t="str">
        <f>IF($A3825="","",IF(OR($J3825&lt;&gt;"x",$A3825&lt;=FinReleve),1,0))</f>
        <v/>
      </c>
      <c r="P3825" s="6" t="str">
        <f>IF($D3825="","",IF(AND($L3825="Crédit",OR(IFERROR(INDEX('Paramètres'!$O:$O,MATCH($D3825,'Paramètres'!$M:$M,0))&amp;"","")&lt;&gt;"",ISNUMBER(SEARCH("remboursement",IFERROR(INDEX('Paramètres'!$N:$N,MATCH($D3825,'Paramètres'!$M:$M,0))&amp;"",""))))),1,0))</f>
        <v/>
      </c>
      <c r="Q3825" s="6" t="str">
        <f>IF($K3825="","",IF(ISNUMBER(SEARCH("transfert-interne",IFERROR(INDEX('Paramètres'!$N:$N,MATCH($D3825,'Paramètres'!$M:$M,0))&amp;"",""))),0,IF($L3825="Débit",$K3825,IF($P3825=1,-$K3825,0))))</f>
        <v/>
      </c>
      <c r="R3825" s="6" t="str">
        <f>IF($K3825="","",IF($L3825="Crédit",$K3825,-$K3825))</f>
        <v/>
      </c>
      <c r="S3825" s="6" t="str">
        <f>IF($C3825="","",IFERROR(INDEX('Paramètres'!$H:$H,MATCH($C3825,'Paramètres'!$D:$D,0))&amp;"",""))</f>
        <v/>
      </c>
      <c r="T3825" s="6" t="str">
        <f>IF($K3825="","",IF($S3825="",0,IF(ISNUMBER(SEARCH("apport-exterieur",IFERROR(INDEX('Paramètres'!$N:$N,MATCH($D3825,'Paramètres'!$M:$M,0))&amp;"",""))),0,IF(OR(IFERROR(INDEX('Paramètres'!$I:$I,MATCH($C3825,'Paramètres'!$D:$D,0))&amp;"","")="Les deux",IFERROR(INDEX('Paramètres'!$I:$I,MATCH($C3825,'Paramètres'!$D:$D,0))&amp;"","")=IF($P3825=1,"Débit",$L3825)),-IF($P3825=1,-$K3825,$K3825),0))))</f>
        <v/>
      </c>
      <c r="U3825" s="6" t="str">
        <f>IF($K3825="","",IF(ISNUMBER(SEARCH("sortie-epargne",IFERROR(INDEX('Paramètres'!$N:$N,MATCH($D3825,'Paramètres'!$M:$M,0))&amp;"",""))),$K3825,0))</f>
        <v/>
      </c>
      <c r="V3825" s="6" t="str">
        <f>IF(AND($A3825&lt;&gt;"",$O3825=1,$L3825="Débit",N($Q3825)&gt;0,$A3825&gt;=Visualisation!$B$1,$A3825&lt;Visualisation!$D$1),MAX($V$1:V3824)+1,"")</f>
        <v/>
      </c>
    </row>
    <row r="3826" spans="1:22" x14ac:dyDescent="0.25">
      <c r="A3826" s="9"/>
      <c r="E3826" s="10"/>
      <c r="K3826" s="11" t="str">
        <f>IF($E3826="","",ROUND($E3826*IF(ISNA(MATCH($C3826,'Paramètres'!$D:$D,0)),1,IF(INDEX('Paramètres'!$J:$J,MATCH($C3826,'Paramètres'!$D:$D,0))="",1,INDEX('Paramètres'!$J:$J,MATCH($C3826,'Paramètres'!$D:$D,0)))),2))</f>
        <v/>
      </c>
      <c r="L3826" s="6" t="str">
        <f>IF($D3826="","",IF($F3826&lt;&gt;"",$F3826,IF(ISNA(MATCH($D3826,'Paramètres'!$M:$M,0)),"⚠ Type inconnu",IFERROR(INDEX('Paramètres'!$P:$P,MATCH($D3826,'Paramètres'!$M:$M,0))&amp;"",""))))</f>
        <v/>
      </c>
      <c r="M3826" s="6" t="str">
        <f>IF($D3826="","",IF(ISNA(MATCH($D3826,'Paramètres'!$M:$M,0)),"⚠ Type inconnu",IF($L3826="Crédit","",IFERROR(INDEX('Paramètres'!$O:$O,MATCH($D3826,'Paramètres'!$M:$M,0))&amp;"",""))))</f>
        <v/>
      </c>
      <c r="N3826" s="6" t="str">
        <f>IF($D3826="","",IFERROR(INDEX('Paramètres'!$Q:$Q,MATCH($D3826,'Paramètres'!$M:$M,0))&amp;"",""))</f>
        <v/>
      </c>
      <c r="O3826" s="6" t="str">
        <f>IF($A3826="","",IF(OR($J3826&lt;&gt;"x",$A3826&lt;=FinReleve),1,0))</f>
        <v/>
      </c>
      <c r="P3826" s="6" t="str">
        <f>IF($D3826="","",IF(AND($L3826="Crédit",OR(IFERROR(INDEX('Paramètres'!$O:$O,MATCH($D3826,'Paramètres'!$M:$M,0))&amp;"","")&lt;&gt;"",ISNUMBER(SEARCH("remboursement",IFERROR(INDEX('Paramètres'!$N:$N,MATCH($D3826,'Paramètres'!$M:$M,0))&amp;"",""))))),1,0))</f>
        <v/>
      </c>
      <c r="Q3826" s="6" t="str">
        <f>IF($K3826="","",IF(ISNUMBER(SEARCH("transfert-interne",IFERROR(INDEX('Paramètres'!$N:$N,MATCH($D3826,'Paramètres'!$M:$M,0))&amp;"",""))),0,IF($L3826="Débit",$K3826,IF($P3826=1,-$K3826,0))))</f>
        <v/>
      </c>
      <c r="R3826" s="6" t="str">
        <f>IF($K3826="","",IF($L3826="Crédit",$K3826,-$K3826))</f>
        <v/>
      </c>
      <c r="S3826" s="6" t="str">
        <f>IF($C3826="","",IFERROR(INDEX('Paramètres'!$H:$H,MATCH($C3826,'Paramètres'!$D:$D,0))&amp;"",""))</f>
        <v/>
      </c>
      <c r="T3826" s="6" t="str">
        <f>IF($K3826="","",IF($S3826="",0,IF(ISNUMBER(SEARCH("apport-exterieur",IFERROR(INDEX('Paramètres'!$N:$N,MATCH($D3826,'Paramètres'!$M:$M,0))&amp;"",""))),0,IF(OR(IFERROR(INDEX('Paramètres'!$I:$I,MATCH($C3826,'Paramètres'!$D:$D,0))&amp;"","")="Les deux",IFERROR(INDEX('Paramètres'!$I:$I,MATCH($C3826,'Paramètres'!$D:$D,0))&amp;"","")=IF($P3826=1,"Débit",$L3826)),-IF($P3826=1,-$K3826,$K3826),0))))</f>
        <v/>
      </c>
      <c r="U3826" s="6" t="str">
        <f>IF($K3826="","",IF(ISNUMBER(SEARCH("sortie-epargne",IFERROR(INDEX('Paramètres'!$N:$N,MATCH($D3826,'Paramètres'!$M:$M,0))&amp;"",""))),$K3826,0))</f>
        <v/>
      </c>
      <c r="V3826" s="6" t="str">
        <f>IF(AND($A3826&lt;&gt;"",$O3826=1,$L3826="Débit",N($Q3826)&gt;0,$A3826&gt;=Visualisation!$B$1,$A3826&lt;Visualisation!$D$1),MAX($V$1:V3825)+1,"")</f>
        <v/>
      </c>
    </row>
    <row r="3827" spans="1:22" x14ac:dyDescent="0.25">
      <c r="A3827" s="9"/>
      <c r="E3827" s="10"/>
      <c r="K3827" s="11" t="str">
        <f>IF($E3827="","",ROUND($E3827*IF(ISNA(MATCH($C3827,'Paramètres'!$D:$D,0)),1,IF(INDEX('Paramètres'!$J:$J,MATCH($C3827,'Paramètres'!$D:$D,0))="",1,INDEX('Paramètres'!$J:$J,MATCH($C3827,'Paramètres'!$D:$D,0)))),2))</f>
        <v/>
      </c>
      <c r="L3827" s="6" t="str">
        <f>IF($D3827="","",IF($F3827&lt;&gt;"",$F3827,IF(ISNA(MATCH($D3827,'Paramètres'!$M:$M,0)),"⚠ Type inconnu",IFERROR(INDEX('Paramètres'!$P:$P,MATCH($D3827,'Paramètres'!$M:$M,0))&amp;"",""))))</f>
        <v/>
      </c>
      <c r="M3827" s="6" t="str">
        <f>IF($D3827="","",IF(ISNA(MATCH($D3827,'Paramètres'!$M:$M,0)),"⚠ Type inconnu",IF($L3827="Crédit","",IFERROR(INDEX('Paramètres'!$O:$O,MATCH($D3827,'Paramètres'!$M:$M,0))&amp;"",""))))</f>
        <v/>
      </c>
      <c r="N3827" s="6" t="str">
        <f>IF($D3827="","",IFERROR(INDEX('Paramètres'!$Q:$Q,MATCH($D3827,'Paramètres'!$M:$M,0))&amp;"",""))</f>
        <v/>
      </c>
      <c r="O3827" s="6" t="str">
        <f>IF($A3827="","",IF(OR($J3827&lt;&gt;"x",$A3827&lt;=FinReleve),1,0))</f>
        <v/>
      </c>
      <c r="P3827" s="6" t="str">
        <f>IF($D3827="","",IF(AND($L3827="Crédit",OR(IFERROR(INDEX('Paramètres'!$O:$O,MATCH($D3827,'Paramètres'!$M:$M,0))&amp;"","")&lt;&gt;"",ISNUMBER(SEARCH("remboursement",IFERROR(INDEX('Paramètres'!$N:$N,MATCH($D3827,'Paramètres'!$M:$M,0))&amp;"",""))))),1,0))</f>
        <v/>
      </c>
      <c r="Q3827" s="6" t="str">
        <f>IF($K3827="","",IF(ISNUMBER(SEARCH("transfert-interne",IFERROR(INDEX('Paramètres'!$N:$N,MATCH($D3827,'Paramètres'!$M:$M,0))&amp;"",""))),0,IF($L3827="Débit",$K3827,IF($P3827=1,-$K3827,0))))</f>
        <v/>
      </c>
      <c r="R3827" s="6" t="str">
        <f>IF($K3827="","",IF($L3827="Crédit",$K3827,-$K3827))</f>
        <v/>
      </c>
      <c r="S3827" s="6" t="str">
        <f>IF($C3827="","",IFERROR(INDEX('Paramètres'!$H:$H,MATCH($C3827,'Paramètres'!$D:$D,0))&amp;"",""))</f>
        <v/>
      </c>
      <c r="T3827" s="6" t="str">
        <f>IF($K3827="","",IF($S3827="",0,IF(ISNUMBER(SEARCH("apport-exterieur",IFERROR(INDEX('Paramètres'!$N:$N,MATCH($D3827,'Paramètres'!$M:$M,0))&amp;"",""))),0,IF(OR(IFERROR(INDEX('Paramètres'!$I:$I,MATCH($C3827,'Paramètres'!$D:$D,0))&amp;"","")="Les deux",IFERROR(INDEX('Paramètres'!$I:$I,MATCH($C3827,'Paramètres'!$D:$D,0))&amp;"","")=IF($P3827=1,"Débit",$L3827)),-IF($P3827=1,-$K3827,$K3827),0))))</f>
        <v/>
      </c>
      <c r="U3827" s="6" t="str">
        <f>IF($K3827="","",IF(ISNUMBER(SEARCH("sortie-epargne",IFERROR(INDEX('Paramètres'!$N:$N,MATCH($D3827,'Paramètres'!$M:$M,0))&amp;"",""))),$K3827,0))</f>
        <v/>
      </c>
      <c r="V3827" s="6" t="str">
        <f>IF(AND($A3827&lt;&gt;"",$O3827=1,$L3827="Débit",N($Q3827)&gt;0,$A3827&gt;=Visualisation!$B$1,$A3827&lt;Visualisation!$D$1),MAX($V$1:V3826)+1,"")</f>
        <v/>
      </c>
    </row>
    <row r="3828" spans="1:22" x14ac:dyDescent="0.25">
      <c r="A3828" s="9"/>
      <c r="E3828" s="10"/>
      <c r="K3828" s="11" t="str">
        <f>IF($E3828="","",ROUND($E3828*IF(ISNA(MATCH($C3828,'Paramètres'!$D:$D,0)),1,IF(INDEX('Paramètres'!$J:$J,MATCH($C3828,'Paramètres'!$D:$D,0))="",1,INDEX('Paramètres'!$J:$J,MATCH($C3828,'Paramètres'!$D:$D,0)))),2))</f>
        <v/>
      </c>
      <c r="L3828" s="6" t="str">
        <f>IF($D3828="","",IF($F3828&lt;&gt;"",$F3828,IF(ISNA(MATCH($D3828,'Paramètres'!$M:$M,0)),"⚠ Type inconnu",IFERROR(INDEX('Paramètres'!$P:$P,MATCH($D3828,'Paramètres'!$M:$M,0))&amp;"",""))))</f>
        <v/>
      </c>
      <c r="M3828" s="6" t="str">
        <f>IF($D3828="","",IF(ISNA(MATCH($D3828,'Paramètres'!$M:$M,0)),"⚠ Type inconnu",IF($L3828="Crédit","",IFERROR(INDEX('Paramètres'!$O:$O,MATCH($D3828,'Paramètres'!$M:$M,0))&amp;"",""))))</f>
        <v/>
      </c>
      <c r="N3828" s="6" t="str">
        <f>IF($D3828="","",IFERROR(INDEX('Paramètres'!$Q:$Q,MATCH($D3828,'Paramètres'!$M:$M,0))&amp;"",""))</f>
        <v/>
      </c>
      <c r="O3828" s="6" t="str">
        <f>IF($A3828="","",IF(OR($J3828&lt;&gt;"x",$A3828&lt;=FinReleve),1,0))</f>
        <v/>
      </c>
      <c r="P3828" s="6" t="str">
        <f>IF($D3828="","",IF(AND($L3828="Crédit",OR(IFERROR(INDEX('Paramètres'!$O:$O,MATCH($D3828,'Paramètres'!$M:$M,0))&amp;"","")&lt;&gt;"",ISNUMBER(SEARCH("remboursement",IFERROR(INDEX('Paramètres'!$N:$N,MATCH($D3828,'Paramètres'!$M:$M,0))&amp;"",""))))),1,0))</f>
        <v/>
      </c>
      <c r="Q3828" s="6" t="str">
        <f>IF($K3828="","",IF(ISNUMBER(SEARCH("transfert-interne",IFERROR(INDEX('Paramètres'!$N:$N,MATCH($D3828,'Paramètres'!$M:$M,0))&amp;"",""))),0,IF($L3828="Débit",$K3828,IF($P3828=1,-$K3828,0))))</f>
        <v/>
      </c>
      <c r="R3828" s="6" t="str">
        <f>IF($K3828="","",IF($L3828="Crédit",$K3828,-$K3828))</f>
        <v/>
      </c>
      <c r="S3828" s="6" t="str">
        <f>IF($C3828="","",IFERROR(INDEX('Paramètres'!$H:$H,MATCH($C3828,'Paramètres'!$D:$D,0))&amp;"",""))</f>
        <v/>
      </c>
      <c r="T3828" s="6" t="str">
        <f>IF($K3828="","",IF($S3828="",0,IF(ISNUMBER(SEARCH("apport-exterieur",IFERROR(INDEX('Paramètres'!$N:$N,MATCH($D3828,'Paramètres'!$M:$M,0))&amp;"",""))),0,IF(OR(IFERROR(INDEX('Paramètres'!$I:$I,MATCH($C3828,'Paramètres'!$D:$D,0))&amp;"","")="Les deux",IFERROR(INDEX('Paramètres'!$I:$I,MATCH($C3828,'Paramètres'!$D:$D,0))&amp;"","")=IF($P3828=1,"Débit",$L3828)),-IF($P3828=1,-$K3828,$K3828),0))))</f>
        <v/>
      </c>
      <c r="U3828" s="6" t="str">
        <f>IF($K3828="","",IF(ISNUMBER(SEARCH("sortie-epargne",IFERROR(INDEX('Paramètres'!$N:$N,MATCH($D3828,'Paramètres'!$M:$M,0))&amp;"",""))),$K3828,0))</f>
        <v/>
      </c>
      <c r="V3828" s="6" t="str">
        <f>IF(AND($A3828&lt;&gt;"",$O3828=1,$L3828="Débit",N($Q3828)&gt;0,$A3828&gt;=Visualisation!$B$1,$A3828&lt;Visualisation!$D$1),MAX($V$1:V3827)+1,"")</f>
        <v/>
      </c>
    </row>
    <row r="3829" spans="1:22" x14ac:dyDescent="0.25">
      <c r="A3829" s="9"/>
      <c r="E3829" s="10"/>
      <c r="K3829" s="11" t="str">
        <f>IF($E3829="","",ROUND($E3829*IF(ISNA(MATCH($C3829,'Paramètres'!$D:$D,0)),1,IF(INDEX('Paramètres'!$J:$J,MATCH($C3829,'Paramètres'!$D:$D,0))="",1,INDEX('Paramètres'!$J:$J,MATCH($C3829,'Paramètres'!$D:$D,0)))),2))</f>
        <v/>
      </c>
      <c r="L3829" s="6" t="str">
        <f>IF($D3829="","",IF($F3829&lt;&gt;"",$F3829,IF(ISNA(MATCH($D3829,'Paramètres'!$M:$M,0)),"⚠ Type inconnu",IFERROR(INDEX('Paramètres'!$P:$P,MATCH($D3829,'Paramètres'!$M:$M,0))&amp;"",""))))</f>
        <v/>
      </c>
      <c r="M3829" s="6" t="str">
        <f>IF($D3829="","",IF(ISNA(MATCH($D3829,'Paramètres'!$M:$M,0)),"⚠ Type inconnu",IF($L3829="Crédit","",IFERROR(INDEX('Paramètres'!$O:$O,MATCH($D3829,'Paramètres'!$M:$M,0))&amp;"",""))))</f>
        <v/>
      </c>
      <c r="N3829" s="6" t="str">
        <f>IF($D3829="","",IFERROR(INDEX('Paramètres'!$Q:$Q,MATCH($D3829,'Paramètres'!$M:$M,0))&amp;"",""))</f>
        <v/>
      </c>
      <c r="O3829" s="6" t="str">
        <f>IF($A3829="","",IF(OR($J3829&lt;&gt;"x",$A3829&lt;=FinReleve),1,0))</f>
        <v/>
      </c>
      <c r="P3829" s="6" t="str">
        <f>IF($D3829="","",IF(AND($L3829="Crédit",OR(IFERROR(INDEX('Paramètres'!$O:$O,MATCH($D3829,'Paramètres'!$M:$M,0))&amp;"","")&lt;&gt;"",ISNUMBER(SEARCH("remboursement",IFERROR(INDEX('Paramètres'!$N:$N,MATCH($D3829,'Paramètres'!$M:$M,0))&amp;"",""))))),1,0))</f>
        <v/>
      </c>
      <c r="Q3829" s="6" t="str">
        <f>IF($K3829="","",IF(ISNUMBER(SEARCH("transfert-interne",IFERROR(INDEX('Paramètres'!$N:$N,MATCH($D3829,'Paramètres'!$M:$M,0))&amp;"",""))),0,IF($L3829="Débit",$K3829,IF($P3829=1,-$K3829,0))))</f>
        <v/>
      </c>
      <c r="R3829" s="6" t="str">
        <f>IF($K3829="","",IF($L3829="Crédit",$K3829,-$K3829))</f>
        <v/>
      </c>
      <c r="S3829" s="6" t="str">
        <f>IF($C3829="","",IFERROR(INDEX('Paramètres'!$H:$H,MATCH($C3829,'Paramètres'!$D:$D,0))&amp;"",""))</f>
        <v/>
      </c>
      <c r="T3829" s="6" t="str">
        <f>IF($K3829="","",IF($S3829="",0,IF(ISNUMBER(SEARCH("apport-exterieur",IFERROR(INDEX('Paramètres'!$N:$N,MATCH($D3829,'Paramètres'!$M:$M,0))&amp;"",""))),0,IF(OR(IFERROR(INDEX('Paramètres'!$I:$I,MATCH($C3829,'Paramètres'!$D:$D,0))&amp;"","")="Les deux",IFERROR(INDEX('Paramètres'!$I:$I,MATCH($C3829,'Paramètres'!$D:$D,0))&amp;"","")=IF($P3829=1,"Débit",$L3829)),-IF($P3829=1,-$K3829,$K3829),0))))</f>
        <v/>
      </c>
      <c r="U3829" s="6" t="str">
        <f>IF($K3829="","",IF(ISNUMBER(SEARCH("sortie-epargne",IFERROR(INDEX('Paramètres'!$N:$N,MATCH($D3829,'Paramètres'!$M:$M,0))&amp;"",""))),$K3829,0))</f>
        <v/>
      </c>
      <c r="V3829" s="6" t="str">
        <f>IF(AND($A3829&lt;&gt;"",$O3829=1,$L3829="Débit",N($Q3829)&gt;0,$A3829&gt;=Visualisation!$B$1,$A3829&lt;Visualisation!$D$1),MAX($V$1:V3828)+1,"")</f>
        <v/>
      </c>
    </row>
    <row r="3830" spans="1:22" x14ac:dyDescent="0.25">
      <c r="A3830" s="9"/>
      <c r="E3830" s="10"/>
      <c r="K3830" s="11" t="str">
        <f>IF($E3830="","",ROUND($E3830*IF(ISNA(MATCH($C3830,'Paramètres'!$D:$D,0)),1,IF(INDEX('Paramètres'!$J:$J,MATCH($C3830,'Paramètres'!$D:$D,0))="",1,INDEX('Paramètres'!$J:$J,MATCH($C3830,'Paramètres'!$D:$D,0)))),2))</f>
        <v/>
      </c>
      <c r="L3830" s="6" t="str">
        <f>IF($D3830="","",IF($F3830&lt;&gt;"",$F3830,IF(ISNA(MATCH($D3830,'Paramètres'!$M:$M,0)),"⚠ Type inconnu",IFERROR(INDEX('Paramètres'!$P:$P,MATCH($D3830,'Paramètres'!$M:$M,0))&amp;"",""))))</f>
        <v/>
      </c>
      <c r="M3830" s="6" t="str">
        <f>IF($D3830="","",IF(ISNA(MATCH($D3830,'Paramètres'!$M:$M,0)),"⚠ Type inconnu",IF($L3830="Crédit","",IFERROR(INDEX('Paramètres'!$O:$O,MATCH($D3830,'Paramètres'!$M:$M,0))&amp;"",""))))</f>
        <v/>
      </c>
      <c r="N3830" s="6" t="str">
        <f>IF($D3830="","",IFERROR(INDEX('Paramètres'!$Q:$Q,MATCH($D3830,'Paramètres'!$M:$M,0))&amp;"",""))</f>
        <v/>
      </c>
      <c r="O3830" s="6" t="str">
        <f>IF($A3830="","",IF(OR($J3830&lt;&gt;"x",$A3830&lt;=FinReleve),1,0))</f>
        <v/>
      </c>
      <c r="P3830" s="6" t="str">
        <f>IF($D3830="","",IF(AND($L3830="Crédit",OR(IFERROR(INDEX('Paramètres'!$O:$O,MATCH($D3830,'Paramètres'!$M:$M,0))&amp;"","")&lt;&gt;"",ISNUMBER(SEARCH("remboursement",IFERROR(INDEX('Paramètres'!$N:$N,MATCH($D3830,'Paramètres'!$M:$M,0))&amp;"",""))))),1,0))</f>
        <v/>
      </c>
      <c r="Q3830" s="6" t="str">
        <f>IF($K3830="","",IF(ISNUMBER(SEARCH("transfert-interne",IFERROR(INDEX('Paramètres'!$N:$N,MATCH($D3830,'Paramètres'!$M:$M,0))&amp;"",""))),0,IF($L3830="Débit",$K3830,IF($P3830=1,-$K3830,0))))</f>
        <v/>
      </c>
      <c r="R3830" s="6" t="str">
        <f>IF($K3830="","",IF($L3830="Crédit",$K3830,-$K3830))</f>
        <v/>
      </c>
      <c r="S3830" s="6" t="str">
        <f>IF($C3830="","",IFERROR(INDEX('Paramètres'!$H:$H,MATCH($C3830,'Paramètres'!$D:$D,0))&amp;"",""))</f>
        <v/>
      </c>
      <c r="T3830" s="6" t="str">
        <f>IF($K3830="","",IF($S3830="",0,IF(ISNUMBER(SEARCH("apport-exterieur",IFERROR(INDEX('Paramètres'!$N:$N,MATCH($D3830,'Paramètres'!$M:$M,0))&amp;"",""))),0,IF(OR(IFERROR(INDEX('Paramètres'!$I:$I,MATCH($C3830,'Paramètres'!$D:$D,0))&amp;"","")="Les deux",IFERROR(INDEX('Paramètres'!$I:$I,MATCH($C3830,'Paramètres'!$D:$D,0))&amp;"","")=IF($P3830=1,"Débit",$L3830)),-IF($P3830=1,-$K3830,$K3830),0))))</f>
        <v/>
      </c>
      <c r="U3830" s="6" t="str">
        <f>IF($K3830="","",IF(ISNUMBER(SEARCH("sortie-epargne",IFERROR(INDEX('Paramètres'!$N:$N,MATCH($D3830,'Paramètres'!$M:$M,0))&amp;"",""))),$K3830,0))</f>
        <v/>
      </c>
      <c r="V3830" s="6" t="str">
        <f>IF(AND($A3830&lt;&gt;"",$O3830=1,$L3830="Débit",N($Q3830)&gt;0,$A3830&gt;=Visualisation!$B$1,$A3830&lt;Visualisation!$D$1),MAX($V$1:V3829)+1,"")</f>
        <v/>
      </c>
    </row>
    <row r="3831" spans="1:22" x14ac:dyDescent="0.25">
      <c r="A3831" s="9"/>
      <c r="E3831" s="10"/>
      <c r="K3831" s="11" t="str">
        <f>IF($E3831="","",ROUND($E3831*IF(ISNA(MATCH($C3831,'Paramètres'!$D:$D,0)),1,IF(INDEX('Paramètres'!$J:$J,MATCH($C3831,'Paramètres'!$D:$D,0))="",1,INDEX('Paramètres'!$J:$J,MATCH($C3831,'Paramètres'!$D:$D,0)))),2))</f>
        <v/>
      </c>
      <c r="L3831" s="6" t="str">
        <f>IF($D3831="","",IF($F3831&lt;&gt;"",$F3831,IF(ISNA(MATCH($D3831,'Paramètres'!$M:$M,0)),"⚠ Type inconnu",IFERROR(INDEX('Paramètres'!$P:$P,MATCH($D3831,'Paramètres'!$M:$M,0))&amp;"",""))))</f>
        <v/>
      </c>
      <c r="M3831" s="6" t="str">
        <f>IF($D3831="","",IF(ISNA(MATCH($D3831,'Paramètres'!$M:$M,0)),"⚠ Type inconnu",IF($L3831="Crédit","",IFERROR(INDEX('Paramètres'!$O:$O,MATCH($D3831,'Paramètres'!$M:$M,0))&amp;"",""))))</f>
        <v/>
      </c>
      <c r="N3831" s="6" t="str">
        <f>IF($D3831="","",IFERROR(INDEX('Paramètres'!$Q:$Q,MATCH($D3831,'Paramètres'!$M:$M,0))&amp;"",""))</f>
        <v/>
      </c>
      <c r="O3831" s="6" t="str">
        <f>IF($A3831="","",IF(OR($J3831&lt;&gt;"x",$A3831&lt;=FinReleve),1,0))</f>
        <v/>
      </c>
      <c r="P3831" s="6" t="str">
        <f>IF($D3831="","",IF(AND($L3831="Crédit",OR(IFERROR(INDEX('Paramètres'!$O:$O,MATCH($D3831,'Paramètres'!$M:$M,0))&amp;"","")&lt;&gt;"",ISNUMBER(SEARCH("remboursement",IFERROR(INDEX('Paramètres'!$N:$N,MATCH($D3831,'Paramètres'!$M:$M,0))&amp;"",""))))),1,0))</f>
        <v/>
      </c>
      <c r="Q3831" s="6" t="str">
        <f>IF($K3831="","",IF(ISNUMBER(SEARCH("transfert-interne",IFERROR(INDEX('Paramètres'!$N:$N,MATCH($D3831,'Paramètres'!$M:$M,0))&amp;"",""))),0,IF($L3831="Débit",$K3831,IF($P3831=1,-$K3831,0))))</f>
        <v/>
      </c>
      <c r="R3831" s="6" t="str">
        <f>IF($K3831="","",IF($L3831="Crédit",$K3831,-$K3831))</f>
        <v/>
      </c>
      <c r="S3831" s="6" t="str">
        <f>IF($C3831="","",IFERROR(INDEX('Paramètres'!$H:$H,MATCH($C3831,'Paramètres'!$D:$D,0))&amp;"",""))</f>
        <v/>
      </c>
      <c r="T3831" s="6" t="str">
        <f>IF($K3831="","",IF($S3831="",0,IF(ISNUMBER(SEARCH("apport-exterieur",IFERROR(INDEX('Paramètres'!$N:$N,MATCH($D3831,'Paramètres'!$M:$M,0))&amp;"",""))),0,IF(OR(IFERROR(INDEX('Paramètres'!$I:$I,MATCH($C3831,'Paramètres'!$D:$D,0))&amp;"","")="Les deux",IFERROR(INDEX('Paramètres'!$I:$I,MATCH($C3831,'Paramètres'!$D:$D,0))&amp;"","")=IF($P3831=1,"Débit",$L3831)),-IF($P3831=1,-$K3831,$K3831),0))))</f>
        <v/>
      </c>
      <c r="U3831" s="6" t="str">
        <f>IF($K3831="","",IF(ISNUMBER(SEARCH("sortie-epargne",IFERROR(INDEX('Paramètres'!$N:$N,MATCH($D3831,'Paramètres'!$M:$M,0))&amp;"",""))),$K3831,0))</f>
        <v/>
      </c>
      <c r="V3831" s="6" t="str">
        <f>IF(AND($A3831&lt;&gt;"",$O3831=1,$L3831="Débit",N($Q3831)&gt;0,$A3831&gt;=Visualisation!$B$1,$A3831&lt;Visualisation!$D$1),MAX($V$1:V3830)+1,"")</f>
        <v/>
      </c>
    </row>
    <row r="3832" spans="1:22" x14ac:dyDescent="0.25">
      <c r="A3832" s="9"/>
      <c r="E3832" s="10"/>
      <c r="K3832" s="11" t="str">
        <f>IF($E3832="","",ROUND($E3832*IF(ISNA(MATCH($C3832,'Paramètres'!$D:$D,0)),1,IF(INDEX('Paramètres'!$J:$J,MATCH($C3832,'Paramètres'!$D:$D,0))="",1,INDEX('Paramètres'!$J:$J,MATCH($C3832,'Paramètres'!$D:$D,0)))),2))</f>
        <v/>
      </c>
      <c r="L3832" s="6" t="str">
        <f>IF($D3832="","",IF($F3832&lt;&gt;"",$F3832,IF(ISNA(MATCH($D3832,'Paramètres'!$M:$M,0)),"⚠ Type inconnu",IFERROR(INDEX('Paramètres'!$P:$P,MATCH($D3832,'Paramètres'!$M:$M,0))&amp;"",""))))</f>
        <v/>
      </c>
      <c r="M3832" s="6" t="str">
        <f>IF($D3832="","",IF(ISNA(MATCH($D3832,'Paramètres'!$M:$M,0)),"⚠ Type inconnu",IF($L3832="Crédit","",IFERROR(INDEX('Paramètres'!$O:$O,MATCH($D3832,'Paramètres'!$M:$M,0))&amp;"",""))))</f>
        <v/>
      </c>
      <c r="N3832" s="6" t="str">
        <f>IF($D3832="","",IFERROR(INDEX('Paramètres'!$Q:$Q,MATCH($D3832,'Paramètres'!$M:$M,0))&amp;"",""))</f>
        <v/>
      </c>
      <c r="O3832" s="6" t="str">
        <f>IF($A3832="","",IF(OR($J3832&lt;&gt;"x",$A3832&lt;=FinReleve),1,0))</f>
        <v/>
      </c>
      <c r="P3832" s="6" t="str">
        <f>IF($D3832="","",IF(AND($L3832="Crédit",OR(IFERROR(INDEX('Paramètres'!$O:$O,MATCH($D3832,'Paramètres'!$M:$M,0))&amp;"","")&lt;&gt;"",ISNUMBER(SEARCH("remboursement",IFERROR(INDEX('Paramètres'!$N:$N,MATCH($D3832,'Paramètres'!$M:$M,0))&amp;"",""))))),1,0))</f>
        <v/>
      </c>
      <c r="Q3832" s="6" t="str">
        <f>IF($K3832="","",IF(ISNUMBER(SEARCH("transfert-interne",IFERROR(INDEX('Paramètres'!$N:$N,MATCH($D3832,'Paramètres'!$M:$M,0))&amp;"",""))),0,IF($L3832="Débit",$K3832,IF($P3832=1,-$K3832,0))))</f>
        <v/>
      </c>
      <c r="R3832" s="6" t="str">
        <f>IF($K3832="","",IF($L3832="Crédit",$K3832,-$K3832))</f>
        <v/>
      </c>
      <c r="S3832" s="6" t="str">
        <f>IF($C3832="","",IFERROR(INDEX('Paramètres'!$H:$H,MATCH($C3832,'Paramètres'!$D:$D,0))&amp;"",""))</f>
        <v/>
      </c>
      <c r="T3832" s="6" t="str">
        <f>IF($K3832="","",IF($S3832="",0,IF(ISNUMBER(SEARCH("apport-exterieur",IFERROR(INDEX('Paramètres'!$N:$N,MATCH($D3832,'Paramètres'!$M:$M,0))&amp;"",""))),0,IF(OR(IFERROR(INDEX('Paramètres'!$I:$I,MATCH($C3832,'Paramètres'!$D:$D,0))&amp;"","")="Les deux",IFERROR(INDEX('Paramètres'!$I:$I,MATCH($C3832,'Paramètres'!$D:$D,0))&amp;"","")=IF($P3832=1,"Débit",$L3832)),-IF($P3832=1,-$K3832,$K3832),0))))</f>
        <v/>
      </c>
      <c r="U3832" s="6" t="str">
        <f>IF($K3832="","",IF(ISNUMBER(SEARCH("sortie-epargne",IFERROR(INDEX('Paramètres'!$N:$N,MATCH($D3832,'Paramètres'!$M:$M,0))&amp;"",""))),$K3832,0))</f>
        <v/>
      </c>
      <c r="V3832" s="6" t="str">
        <f>IF(AND($A3832&lt;&gt;"",$O3832=1,$L3832="Débit",N($Q3832)&gt;0,$A3832&gt;=Visualisation!$B$1,$A3832&lt;Visualisation!$D$1),MAX($V$1:V3831)+1,"")</f>
        <v/>
      </c>
    </row>
    <row r="3833" spans="1:22" x14ac:dyDescent="0.25">
      <c r="A3833" s="9"/>
      <c r="E3833" s="10"/>
      <c r="K3833" s="11" t="str">
        <f>IF($E3833="","",ROUND($E3833*IF(ISNA(MATCH($C3833,'Paramètres'!$D:$D,0)),1,IF(INDEX('Paramètres'!$J:$J,MATCH($C3833,'Paramètres'!$D:$D,0))="",1,INDEX('Paramètres'!$J:$J,MATCH($C3833,'Paramètres'!$D:$D,0)))),2))</f>
        <v/>
      </c>
      <c r="L3833" s="6" t="str">
        <f>IF($D3833="","",IF($F3833&lt;&gt;"",$F3833,IF(ISNA(MATCH($D3833,'Paramètres'!$M:$M,0)),"⚠ Type inconnu",IFERROR(INDEX('Paramètres'!$P:$P,MATCH($D3833,'Paramètres'!$M:$M,0))&amp;"",""))))</f>
        <v/>
      </c>
      <c r="M3833" s="6" t="str">
        <f>IF($D3833="","",IF(ISNA(MATCH($D3833,'Paramètres'!$M:$M,0)),"⚠ Type inconnu",IF($L3833="Crédit","",IFERROR(INDEX('Paramètres'!$O:$O,MATCH($D3833,'Paramètres'!$M:$M,0))&amp;"",""))))</f>
        <v/>
      </c>
      <c r="N3833" s="6" t="str">
        <f>IF($D3833="","",IFERROR(INDEX('Paramètres'!$Q:$Q,MATCH($D3833,'Paramètres'!$M:$M,0))&amp;"",""))</f>
        <v/>
      </c>
      <c r="O3833" s="6" t="str">
        <f>IF($A3833="","",IF(OR($J3833&lt;&gt;"x",$A3833&lt;=FinReleve),1,0))</f>
        <v/>
      </c>
      <c r="P3833" s="6" t="str">
        <f>IF($D3833="","",IF(AND($L3833="Crédit",OR(IFERROR(INDEX('Paramètres'!$O:$O,MATCH($D3833,'Paramètres'!$M:$M,0))&amp;"","")&lt;&gt;"",ISNUMBER(SEARCH("remboursement",IFERROR(INDEX('Paramètres'!$N:$N,MATCH($D3833,'Paramètres'!$M:$M,0))&amp;"",""))))),1,0))</f>
        <v/>
      </c>
      <c r="Q3833" s="6" t="str">
        <f>IF($K3833="","",IF(ISNUMBER(SEARCH("transfert-interne",IFERROR(INDEX('Paramètres'!$N:$N,MATCH($D3833,'Paramètres'!$M:$M,0))&amp;"",""))),0,IF($L3833="Débit",$K3833,IF($P3833=1,-$K3833,0))))</f>
        <v/>
      </c>
      <c r="R3833" s="6" t="str">
        <f>IF($K3833="","",IF($L3833="Crédit",$K3833,-$K3833))</f>
        <v/>
      </c>
      <c r="S3833" s="6" t="str">
        <f>IF($C3833="","",IFERROR(INDEX('Paramètres'!$H:$H,MATCH($C3833,'Paramètres'!$D:$D,0))&amp;"",""))</f>
        <v/>
      </c>
      <c r="T3833" s="6" t="str">
        <f>IF($K3833="","",IF($S3833="",0,IF(ISNUMBER(SEARCH("apport-exterieur",IFERROR(INDEX('Paramètres'!$N:$N,MATCH($D3833,'Paramètres'!$M:$M,0))&amp;"",""))),0,IF(OR(IFERROR(INDEX('Paramètres'!$I:$I,MATCH($C3833,'Paramètres'!$D:$D,0))&amp;"","")="Les deux",IFERROR(INDEX('Paramètres'!$I:$I,MATCH($C3833,'Paramètres'!$D:$D,0))&amp;"","")=IF($P3833=1,"Débit",$L3833)),-IF($P3833=1,-$K3833,$K3833),0))))</f>
        <v/>
      </c>
      <c r="U3833" s="6" t="str">
        <f>IF($K3833="","",IF(ISNUMBER(SEARCH("sortie-epargne",IFERROR(INDEX('Paramètres'!$N:$N,MATCH($D3833,'Paramètres'!$M:$M,0))&amp;"",""))),$K3833,0))</f>
        <v/>
      </c>
      <c r="V3833" s="6" t="str">
        <f>IF(AND($A3833&lt;&gt;"",$O3833=1,$L3833="Débit",N($Q3833)&gt;0,$A3833&gt;=Visualisation!$B$1,$A3833&lt;Visualisation!$D$1),MAX($V$1:V3832)+1,"")</f>
        <v/>
      </c>
    </row>
    <row r="3834" spans="1:22" x14ac:dyDescent="0.25">
      <c r="A3834" s="9"/>
      <c r="E3834" s="10"/>
      <c r="K3834" s="11" t="str">
        <f>IF($E3834="","",ROUND($E3834*IF(ISNA(MATCH($C3834,'Paramètres'!$D:$D,0)),1,IF(INDEX('Paramètres'!$J:$J,MATCH($C3834,'Paramètres'!$D:$D,0))="",1,INDEX('Paramètres'!$J:$J,MATCH($C3834,'Paramètres'!$D:$D,0)))),2))</f>
        <v/>
      </c>
      <c r="L3834" s="6" t="str">
        <f>IF($D3834="","",IF($F3834&lt;&gt;"",$F3834,IF(ISNA(MATCH($D3834,'Paramètres'!$M:$M,0)),"⚠ Type inconnu",IFERROR(INDEX('Paramètres'!$P:$P,MATCH($D3834,'Paramètres'!$M:$M,0))&amp;"",""))))</f>
        <v/>
      </c>
      <c r="M3834" s="6" t="str">
        <f>IF($D3834="","",IF(ISNA(MATCH($D3834,'Paramètres'!$M:$M,0)),"⚠ Type inconnu",IF($L3834="Crédit","",IFERROR(INDEX('Paramètres'!$O:$O,MATCH($D3834,'Paramètres'!$M:$M,0))&amp;"",""))))</f>
        <v/>
      </c>
      <c r="N3834" s="6" t="str">
        <f>IF($D3834="","",IFERROR(INDEX('Paramètres'!$Q:$Q,MATCH($D3834,'Paramètres'!$M:$M,0))&amp;"",""))</f>
        <v/>
      </c>
      <c r="O3834" s="6" t="str">
        <f>IF($A3834="","",IF(OR($J3834&lt;&gt;"x",$A3834&lt;=FinReleve),1,0))</f>
        <v/>
      </c>
      <c r="P3834" s="6" t="str">
        <f>IF($D3834="","",IF(AND($L3834="Crédit",OR(IFERROR(INDEX('Paramètres'!$O:$O,MATCH($D3834,'Paramètres'!$M:$M,0))&amp;"","")&lt;&gt;"",ISNUMBER(SEARCH("remboursement",IFERROR(INDEX('Paramètres'!$N:$N,MATCH($D3834,'Paramètres'!$M:$M,0))&amp;"",""))))),1,0))</f>
        <v/>
      </c>
      <c r="Q3834" s="6" t="str">
        <f>IF($K3834="","",IF(ISNUMBER(SEARCH("transfert-interne",IFERROR(INDEX('Paramètres'!$N:$N,MATCH($D3834,'Paramètres'!$M:$M,0))&amp;"",""))),0,IF($L3834="Débit",$K3834,IF($P3834=1,-$K3834,0))))</f>
        <v/>
      </c>
      <c r="R3834" s="6" t="str">
        <f>IF($K3834="","",IF($L3834="Crédit",$K3834,-$K3834))</f>
        <v/>
      </c>
      <c r="S3834" s="6" t="str">
        <f>IF($C3834="","",IFERROR(INDEX('Paramètres'!$H:$H,MATCH($C3834,'Paramètres'!$D:$D,0))&amp;"",""))</f>
        <v/>
      </c>
      <c r="T3834" s="6" t="str">
        <f>IF($K3834="","",IF($S3834="",0,IF(ISNUMBER(SEARCH("apport-exterieur",IFERROR(INDEX('Paramètres'!$N:$N,MATCH($D3834,'Paramètres'!$M:$M,0))&amp;"",""))),0,IF(OR(IFERROR(INDEX('Paramètres'!$I:$I,MATCH($C3834,'Paramètres'!$D:$D,0))&amp;"","")="Les deux",IFERROR(INDEX('Paramètres'!$I:$I,MATCH($C3834,'Paramètres'!$D:$D,0))&amp;"","")=IF($P3834=1,"Débit",$L3834)),-IF($P3834=1,-$K3834,$K3834),0))))</f>
        <v/>
      </c>
      <c r="U3834" s="6" t="str">
        <f>IF($K3834="","",IF(ISNUMBER(SEARCH("sortie-epargne",IFERROR(INDEX('Paramètres'!$N:$N,MATCH($D3834,'Paramètres'!$M:$M,0))&amp;"",""))),$K3834,0))</f>
        <v/>
      </c>
      <c r="V3834" s="6" t="str">
        <f>IF(AND($A3834&lt;&gt;"",$O3834=1,$L3834="Débit",N($Q3834)&gt;0,$A3834&gt;=Visualisation!$B$1,$A3834&lt;Visualisation!$D$1),MAX($V$1:V3833)+1,"")</f>
        <v/>
      </c>
    </row>
    <row r="3835" spans="1:22" x14ac:dyDescent="0.25">
      <c r="A3835" s="9"/>
      <c r="E3835" s="10"/>
      <c r="K3835" s="11" t="str">
        <f>IF($E3835="","",ROUND($E3835*IF(ISNA(MATCH($C3835,'Paramètres'!$D:$D,0)),1,IF(INDEX('Paramètres'!$J:$J,MATCH($C3835,'Paramètres'!$D:$D,0))="",1,INDEX('Paramètres'!$J:$J,MATCH($C3835,'Paramètres'!$D:$D,0)))),2))</f>
        <v/>
      </c>
      <c r="L3835" s="6" t="str">
        <f>IF($D3835="","",IF($F3835&lt;&gt;"",$F3835,IF(ISNA(MATCH($D3835,'Paramètres'!$M:$M,0)),"⚠ Type inconnu",IFERROR(INDEX('Paramètres'!$P:$P,MATCH($D3835,'Paramètres'!$M:$M,0))&amp;"",""))))</f>
        <v/>
      </c>
      <c r="M3835" s="6" t="str">
        <f>IF($D3835="","",IF(ISNA(MATCH($D3835,'Paramètres'!$M:$M,0)),"⚠ Type inconnu",IF($L3835="Crédit","",IFERROR(INDEX('Paramètres'!$O:$O,MATCH($D3835,'Paramètres'!$M:$M,0))&amp;"",""))))</f>
        <v/>
      </c>
      <c r="N3835" s="6" t="str">
        <f>IF($D3835="","",IFERROR(INDEX('Paramètres'!$Q:$Q,MATCH($D3835,'Paramètres'!$M:$M,0))&amp;"",""))</f>
        <v/>
      </c>
      <c r="O3835" s="6" t="str">
        <f>IF($A3835="","",IF(OR($J3835&lt;&gt;"x",$A3835&lt;=FinReleve),1,0))</f>
        <v/>
      </c>
      <c r="P3835" s="6" t="str">
        <f>IF($D3835="","",IF(AND($L3835="Crédit",OR(IFERROR(INDEX('Paramètres'!$O:$O,MATCH($D3835,'Paramètres'!$M:$M,0))&amp;"","")&lt;&gt;"",ISNUMBER(SEARCH("remboursement",IFERROR(INDEX('Paramètres'!$N:$N,MATCH($D3835,'Paramètres'!$M:$M,0))&amp;"",""))))),1,0))</f>
        <v/>
      </c>
      <c r="Q3835" s="6" t="str">
        <f>IF($K3835="","",IF(ISNUMBER(SEARCH("transfert-interne",IFERROR(INDEX('Paramètres'!$N:$N,MATCH($D3835,'Paramètres'!$M:$M,0))&amp;"",""))),0,IF($L3835="Débit",$K3835,IF($P3835=1,-$K3835,0))))</f>
        <v/>
      </c>
      <c r="R3835" s="6" t="str">
        <f>IF($K3835="","",IF($L3835="Crédit",$K3835,-$K3835))</f>
        <v/>
      </c>
      <c r="S3835" s="6" t="str">
        <f>IF($C3835="","",IFERROR(INDEX('Paramètres'!$H:$H,MATCH($C3835,'Paramètres'!$D:$D,0))&amp;"",""))</f>
        <v/>
      </c>
      <c r="T3835" s="6" t="str">
        <f>IF($K3835="","",IF($S3835="",0,IF(ISNUMBER(SEARCH("apport-exterieur",IFERROR(INDEX('Paramètres'!$N:$N,MATCH($D3835,'Paramètres'!$M:$M,0))&amp;"",""))),0,IF(OR(IFERROR(INDEX('Paramètres'!$I:$I,MATCH($C3835,'Paramètres'!$D:$D,0))&amp;"","")="Les deux",IFERROR(INDEX('Paramètres'!$I:$I,MATCH($C3835,'Paramètres'!$D:$D,0))&amp;"","")=IF($P3835=1,"Débit",$L3835)),-IF($P3835=1,-$K3835,$K3835),0))))</f>
        <v/>
      </c>
      <c r="U3835" s="6" t="str">
        <f>IF($K3835="","",IF(ISNUMBER(SEARCH("sortie-epargne",IFERROR(INDEX('Paramètres'!$N:$N,MATCH($D3835,'Paramètres'!$M:$M,0))&amp;"",""))),$K3835,0))</f>
        <v/>
      </c>
      <c r="V3835" s="6" t="str">
        <f>IF(AND($A3835&lt;&gt;"",$O3835=1,$L3835="Débit",N($Q3835)&gt;0,$A3835&gt;=Visualisation!$B$1,$A3835&lt;Visualisation!$D$1),MAX($V$1:V3834)+1,"")</f>
        <v/>
      </c>
    </row>
    <row r="3836" spans="1:22" x14ac:dyDescent="0.25">
      <c r="A3836" s="9"/>
      <c r="E3836" s="10"/>
      <c r="K3836" s="11" t="str">
        <f>IF($E3836="","",ROUND($E3836*IF(ISNA(MATCH($C3836,'Paramètres'!$D:$D,0)),1,IF(INDEX('Paramètres'!$J:$J,MATCH($C3836,'Paramètres'!$D:$D,0))="",1,INDEX('Paramètres'!$J:$J,MATCH($C3836,'Paramètres'!$D:$D,0)))),2))</f>
        <v/>
      </c>
      <c r="L3836" s="6" t="str">
        <f>IF($D3836="","",IF($F3836&lt;&gt;"",$F3836,IF(ISNA(MATCH($D3836,'Paramètres'!$M:$M,0)),"⚠ Type inconnu",IFERROR(INDEX('Paramètres'!$P:$P,MATCH($D3836,'Paramètres'!$M:$M,0))&amp;"",""))))</f>
        <v/>
      </c>
      <c r="M3836" s="6" t="str">
        <f>IF($D3836="","",IF(ISNA(MATCH($D3836,'Paramètres'!$M:$M,0)),"⚠ Type inconnu",IF($L3836="Crédit","",IFERROR(INDEX('Paramètres'!$O:$O,MATCH($D3836,'Paramètres'!$M:$M,0))&amp;"",""))))</f>
        <v/>
      </c>
      <c r="N3836" s="6" t="str">
        <f>IF($D3836="","",IFERROR(INDEX('Paramètres'!$Q:$Q,MATCH($D3836,'Paramètres'!$M:$M,0))&amp;"",""))</f>
        <v/>
      </c>
      <c r="O3836" s="6" t="str">
        <f>IF($A3836="","",IF(OR($J3836&lt;&gt;"x",$A3836&lt;=FinReleve),1,0))</f>
        <v/>
      </c>
      <c r="P3836" s="6" t="str">
        <f>IF($D3836="","",IF(AND($L3836="Crédit",OR(IFERROR(INDEX('Paramètres'!$O:$O,MATCH($D3836,'Paramètres'!$M:$M,0))&amp;"","")&lt;&gt;"",ISNUMBER(SEARCH("remboursement",IFERROR(INDEX('Paramètres'!$N:$N,MATCH($D3836,'Paramètres'!$M:$M,0))&amp;"",""))))),1,0))</f>
        <v/>
      </c>
      <c r="Q3836" s="6" t="str">
        <f>IF($K3836="","",IF(ISNUMBER(SEARCH("transfert-interne",IFERROR(INDEX('Paramètres'!$N:$N,MATCH($D3836,'Paramètres'!$M:$M,0))&amp;"",""))),0,IF($L3836="Débit",$K3836,IF($P3836=1,-$K3836,0))))</f>
        <v/>
      </c>
      <c r="R3836" s="6" t="str">
        <f>IF($K3836="","",IF($L3836="Crédit",$K3836,-$K3836))</f>
        <v/>
      </c>
      <c r="S3836" s="6" t="str">
        <f>IF($C3836="","",IFERROR(INDEX('Paramètres'!$H:$H,MATCH($C3836,'Paramètres'!$D:$D,0))&amp;"",""))</f>
        <v/>
      </c>
      <c r="T3836" s="6" t="str">
        <f>IF($K3836="","",IF($S3836="",0,IF(ISNUMBER(SEARCH("apport-exterieur",IFERROR(INDEX('Paramètres'!$N:$N,MATCH($D3836,'Paramètres'!$M:$M,0))&amp;"",""))),0,IF(OR(IFERROR(INDEX('Paramètres'!$I:$I,MATCH($C3836,'Paramètres'!$D:$D,0))&amp;"","")="Les deux",IFERROR(INDEX('Paramètres'!$I:$I,MATCH($C3836,'Paramètres'!$D:$D,0))&amp;"","")=IF($P3836=1,"Débit",$L3836)),-IF($P3836=1,-$K3836,$K3836),0))))</f>
        <v/>
      </c>
      <c r="U3836" s="6" t="str">
        <f>IF($K3836="","",IF(ISNUMBER(SEARCH("sortie-epargne",IFERROR(INDEX('Paramètres'!$N:$N,MATCH($D3836,'Paramètres'!$M:$M,0))&amp;"",""))),$K3836,0))</f>
        <v/>
      </c>
      <c r="V3836" s="6" t="str">
        <f>IF(AND($A3836&lt;&gt;"",$O3836=1,$L3836="Débit",N($Q3836)&gt;0,$A3836&gt;=Visualisation!$B$1,$A3836&lt;Visualisation!$D$1),MAX($V$1:V3835)+1,"")</f>
        <v/>
      </c>
    </row>
    <row r="3837" spans="1:22" x14ac:dyDescent="0.25">
      <c r="A3837" s="9"/>
      <c r="E3837" s="10"/>
      <c r="K3837" s="11" t="str">
        <f>IF($E3837="","",ROUND($E3837*IF(ISNA(MATCH($C3837,'Paramètres'!$D:$D,0)),1,IF(INDEX('Paramètres'!$J:$J,MATCH($C3837,'Paramètres'!$D:$D,0))="",1,INDEX('Paramètres'!$J:$J,MATCH($C3837,'Paramètres'!$D:$D,0)))),2))</f>
        <v/>
      </c>
      <c r="L3837" s="6" t="str">
        <f>IF($D3837="","",IF($F3837&lt;&gt;"",$F3837,IF(ISNA(MATCH($D3837,'Paramètres'!$M:$M,0)),"⚠ Type inconnu",IFERROR(INDEX('Paramètres'!$P:$P,MATCH($D3837,'Paramètres'!$M:$M,0))&amp;"",""))))</f>
        <v/>
      </c>
      <c r="M3837" s="6" t="str">
        <f>IF($D3837="","",IF(ISNA(MATCH($D3837,'Paramètres'!$M:$M,0)),"⚠ Type inconnu",IF($L3837="Crédit","",IFERROR(INDEX('Paramètres'!$O:$O,MATCH($D3837,'Paramètres'!$M:$M,0))&amp;"",""))))</f>
        <v/>
      </c>
      <c r="N3837" s="6" t="str">
        <f>IF($D3837="","",IFERROR(INDEX('Paramètres'!$Q:$Q,MATCH($D3837,'Paramètres'!$M:$M,0))&amp;"",""))</f>
        <v/>
      </c>
      <c r="O3837" s="6" t="str">
        <f>IF($A3837="","",IF(OR($J3837&lt;&gt;"x",$A3837&lt;=FinReleve),1,0))</f>
        <v/>
      </c>
      <c r="P3837" s="6" t="str">
        <f>IF($D3837="","",IF(AND($L3837="Crédit",OR(IFERROR(INDEX('Paramètres'!$O:$O,MATCH($D3837,'Paramètres'!$M:$M,0))&amp;"","")&lt;&gt;"",ISNUMBER(SEARCH("remboursement",IFERROR(INDEX('Paramètres'!$N:$N,MATCH($D3837,'Paramètres'!$M:$M,0))&amp;"",""))))),1,0))</f>
        <v/>
      </c>
      <c r="Q3837" s="6" t="str">
        <f>IF($K3837="","",IF(ISNUMBER(SEARCH("transfert-interne",IFERROR(INDEX('Paramètres'!$N:$N,MATCH($D3837,'Paramètres'!$M:$M,0))&amp;"",""))),0,IF($L3837="Débit",$K3837,IF($P3837=1,-$K3837,0))))</f>
        <v/>
      </c>
      <c r="R3837" s="6" t="str">
        <f>IF($K3837="","",IF($L3837="Crédit",$K3837,-$K3837))</f>
        <v/>
      </c>
      <c r="S3837" s="6" t="str">
        <f>IF($C3837="","",IFERROR(INDEX('Paramètres'!$H:$H,MATCH($C3837,'Paramètres'!$D:$D,0))&amp;"",""))</f>
        <v/>
      </c>
      <c r="T3837" s="6" t="str">
        <f>IF($K3837="","",IF($S3837="",0,IF(ISNUMBER(SEARCH("apport-exterieur",IFERROR(INDEX('Paramètres'!$N:$N,MATCH($D3837,'Paramètres'!$M:$M,0))&amp;"",""))),0,IF(OR(IFERROR(INDEX('Paramètres'!$I:$I,MATCH($C3837,'Paramètres'!$D:$D,0))&amp;"","")="Les deux",IFERROR(INDEX('Paramètres'!$I:$I,MATCH($C3837,'Paramètres'!$D:$D,0))&amp;"","")=IF($P3837=1,"Débit",$L3837)),-IF($P3837=1,-$K3837,$K3837),0))))</f>
        <v/>
      </c>
      <c r="U3837" s="6" t="str">
        <f>IF($K3837="","",IF(ISNUMBER(SEARCH("sortie-epargne",IFERROR(INDEX('Paramètres'!$N:$N,MATCH($D3837,'Paramètres'!$M:$M,0))&amp;"",""))),$K3837,0))</f>
        <v/>
      </c>
      <c r="V3837" s="6" t="str">
        <f>IF(AND($A3837&lt;&gt;"",$O3837=1,$L3837="Débit",N($Q3837)&gt;0,$A3837&gt;=Visualisation!$B$1,$A3837&lt;Visualisation!$D$1),MAX($V$1:V3836)+1,"")</f>
        <v/>
      </c>
    </row>
    <row r="3838" spans="1:22" x14ac:dyDescent="0.25">
      <c r="A3838" s="9"/>
      <c r="E3838" s="10"/>
      <c r="K3838" s="11" t="str">
        <f>IF($E3838="","",ROUND($E3838*IF(ISNA(MATCH($C3838,'Paramètres'!$D:$D,0)),1,IF(INDEX('Paramètres'!$J:$J,MATCH($C3838,'Paramètres'!$D:$D,0))="",1,INDEX('Paramètres'!$J:$J,MATCH($C3838,'Paramètres'!$D:$D,0)))),2))</f>
        <v/>
      </c>
      <c r="L3838" s="6" t="str">
        <f>IF($D3838="","",IF($F3838&lt;&gt;"",$F3838,IF(ISNA(MATCH($D3838,'Paramètres'!$M:$M,0)),"⚠ Type inconnu",IFERROR(INDEX('Paramètres'!$P:$P,MATCH($D3838,'Paramètres'!$M:$M,0))&amp;"",""))))</f>
        <v/>
      </c>
      <c r="M3838" s="6" t="str">
        <f>IF($D3838="","",IF(ISNA(MATCH($D3838,'Paramètres'!$M:$M,0)),"⚠ Type inconnu",IF($L3838="Crédit","",IFERROR(INDEX('Paramètres'!$O:$O,MATCH($D3838,'Paramètres'!$M:$M,0))&amp;"",""))))</f>
        <v/>
      </c>
      <c r="N3838" s="6" t="str">
        <f>IF($D3838="","",IFERROR(INDEX('Paramètres'!$Q:$Q,MATCH($D3838,'Paramètres'!$M:$M,0))&amp;"",""))</f>
        <v/>
      </c>
      <c r="O3838" s="6" t="str">
        <f>IF($A3838="","",IF(OR($J3838&lt;&gt;"x",$A3838&lt;=FinReleve),1,0))</f>
        <v/>
      </c>
      <c r="P3838" s="6" t="str">
        <f>IF($D3838="","",IF(AND($L3838="Crédit",OR(IFERROR(INDEX('Paramètres'!$O:$O,MATCH($D3838,'Paramètres'!$M:$M,0))&amp;"","")&lt;&gt;"",ISNUMBER(SEARCH("remboursement",IFERROR(INDEX('Paramètres'!$N:$N,MATCH($D3838,'Paramètres'!$M:$M,0))&amp;"",""))))),1,0))</f>
        <v/>
      </c>
      <c r="Q3838" s="6" t="str">
        <f>IF($K3838="","",IF(ISNUMBER(SEARCH("transfert-interne",IFERROR(INDEX('Paramètres'!$N:$N,MATCH($D3838,'Paramètres'!$M:$M,0))&amp;"",""))),0,IF($L3838="Débit",$K3838,IF($P3838=1,-$K3838,0))))</f>
        <v/>
      </c>
      <c r="R3838" s="6" t="str">
        <f>IF($K3838="","",IF($L3838="Crédit",$K3838,-$K3838))</f>
        <v/>
      </c>
      <c r="S3838" s="6" t="str">
        <f>IF($C3838="","",IFERROR(INDEX('Paramètres'!$H:$H,MATCH($C3838,'Paramètres'!$D:$D,0))&amp;"",""))</f>
        <v/>
      </c>
      <c r="T3838" s="6" t="str">
        <f>IF($K3838="","",IF($S3838="",0,IF(ISNUMBER(SEARCH("apport-exterieur",IFERROR(INDEX('Paramètres'!$N:$N,MATCH($D3838,'Paramètres'!$M:$M,0))&amp;"",""))),0,IF(OR(IFERROR(INDEX('Paramètres'!$I:$I,MATCH($C3838,'Paramètres'!$D:$D,0))&amp;"","")="Les deux",IFERROR(INDEX('Paramètres'!$I:$I,MATCH($C3838,'Paramètres'!$D:$D,0))&amp;"","")=IF($P3838=1,"Débit",$L3838)),-IF($P3838=1,-$K3838,$K3838),0))))</f>
        <v/>
      </c>
      <c r="U3838" s="6" t="str">
        <f>IF($K3838="","",IF(ISNUMBER(SEARCH("sortie-epargne",IFERROR(INDEX('Paramètres'!$N:$N,MATCH($D3838,'Paramètres'!$M:$M,0))&amp;"",""))),$K3838,0))</f>
        <v/>
      </c>
      <c r="V3838" s="6" t="str">
        <f>IF(AND($A3838&lt;&gt;"",$O3838=1,$L3838="Débit",N($Q3838)&gt;0,$A3838&gt;=Visualisation!$B$1,$A3838&lt;Visualisation!$D$1),MAX($V$1:V3837)+1,"")</f>
        <v/>
      </c>
    </row>
    <row r="3839" spans="1:22" x14ac:dyDescent="0.25">
      <c r="A3839" s="9"/>
      <c r="E3839" s="10"/>
      <c r="K3839" s="11" t="str">
        <f>IF($E3839="","",ROUND($E3839*IF(ISNA(MATCH($C3839,'Paramètres'!$D:$D,0)),1,IF(INDEX('Paramètres'!$J:$J,MATCH($C3839,'Paramètres'!$D:$D,0))="",1,INDEX('Paramètres'!$J:$J,MATCH($C3839,'Paramètres'!$D:$D,0)))),2))</f>
        <v/>
      </c>
      <c r="L3839" s="6" t="str">
        <f>IF($D3839="","",IF($F3839&lt;&gt;"",$F3839,IF(ISNA(MATCH($D3839,'Paramètres'!$M:$M,0)),"⚠ Type inconnu",IFERROR(INDEX('Paramètres'!$P:$P,MATCH($D3839,'Paramètres'!$M:$M,0))&amp;"",""))))</f>
        <v/>
      </c>
      <c r="M3839" s="6" t="str">
        <f>IF($D3839="","",IF(ISNA(MATCH($D3839,'Paramètres'!$M:$M,0)),"⚠ Type inconnu",IF($L3839="Crédit","",IFERROR(INDEX('Paramètres'!$O:$O,MATCH($D3839,'Paramètres'!$M:$M,0))&amp;"",""))))</f>
        <v/>
      </c>
      <c r="N3839" s="6" t="str">
        <f>IF($D3839="","",IFERROR(INDEX('Paramètres'!$Q:$Q,MATCH($D3839,'Paramètres'!$M:$M,0))&amp;"",""))</f>
        <v/>
      </c>
      <c r="O3839" s="6" t="str">
        <f>IF($A3839="","",IF(OR($J3839&lt;&gt;"x",$A3839&lt;=FinReleve),1,0))</f>
        <v/>
      </c>
      <c r="P3839" s="6" t="str">
        <f>IF($D3839="","",IF(AND($L3839="Crédit",OR(IFERROR(INDEX('Paramètres'!$O:$O,MATCH($D3839,'Paramètres'!$M:$M,0))&amp;"","")&lt;&gt;"",ISNUMBER(SEARCH("remboursement",IFERROR(INDEX('Paramètres'!$N:$N,MATCH($D3839,'Paramètres'!$M:$M,0))&amp;"",""))))),1,0))</f>
        <v/>
      </c>
      <c r="Q3839" s="6" t="str">
        <f>IF($K3839="","",IF(ISNUMBER(SEARCH("transfert-interne",IFERROR(INDEX('Paramètres'!$N:$N,MATCH($D3839,'Paramètres'!$M:$M,0))&amp;"",""))),0,IF($L3839="Débit",$K3839,IF($P3839=1,-$K3839,0))))</f>
        <v/>
      </c>
      <c r="R3839" s="6" t="str">
        <f>IF($K3839="","",IF($L3839="Crédit",$K3839,-$K3839))</f>
        <v/>
      </c>
      <c r="S3839" s="6" t="str">
        <f>IF($C3839="","",IFERROR(INDEX('Paramètres'!$H:$H,MATCH($C3839,'Paramètres'!$D:$D,0))&amp;"",""))</f>
        <v/>
      </c>
      <c r="T3839" s="6" t="str">
        <f>IF($K3839="","",IF($S3839="",0,IF(ISNUMBER(SEARCH("apport-exterieur",IFERROR(INDEX('Paramètres'!$N:$N,MATCH($D3839,'Paramètres'!$M:$M,0))&amp;"",""))),0,IF(OR(IFERROR(INDEX('Paramètres'!$I:$I,MATCH($C3839,'Paramètres'!$D:$D,0))&amp;"","")="Les deux",IFERROR(INDEX('Paramètres'!$I:$I,MATCH($C3839,'Paramètres'!$D:$D,0))&amp;"","")=IF($P3839=1,"Débit",$L3839)),-IF($P3839=1,-$K3839,$K3839),0))))</f>
        <v/>
      </c>
      <c r="U3839" s="6" t="str">
        <f>IF($K3839="","",IF(ISNUMBER(SEARCH("sortie-epargne",IFERROR(INDEX('Paramètres'!$N:$N,MATCH($D3839,'Paramètres'!$M:$M,0))&amp;"",""))),$K3839,0))</f>
        <v/>
      </c>
      <c r="V3839" s="6" t="str">
        <f>IF(AND($A3839&lt;&gt;"",$O3839=1,$L3839="Débit",N($Q3839)&gt;0,$A3839&gt;=Visualisation!$B$1,$A3839&lt;Visualisation!$D$1),MAX($V$1:V3838)+1,"")</f>
        <v/>
      </c>
    </row>
    <row r="3840" spans="1:22" x14ac:dyDescent="0.25">
      <c r="A3840" s="9"/>
      <c r="E3840" s="10"/>
      <c r="K3840" s="11" t="str">
        <f>IF($E3840="","",ROUND($E3840*IF(ISNA(MATCH($C3840,'Paramètres'!$D:$D,0)),1,IF(INDEX('Paramètres'!$J:$J,MATCH($C3840,'Paramètres'!$D:$D,0))="",1,INDEX('Paramètres'!$J:$J,MATCH($C3840,'Paramètres'!$D:$D,0)))),2))</f>
        <v/>
      </c>
      <c r="L3840" s="6" t="str">
        <f>IF($D3840="","",IF($F3840&lt;&gt;"",$F3840,IF(ISNA(MATCH($D3840,'Paramètres'!$M:$M,0)),"⚠ Type inconnu",IFERROR(INDEX('Paramètres'!$P:$P,MATCH($D3840,'Paramètres'!$M:$M,0))&amp;"",""))))</f>
        <v/>
      </c>
      <c r="M3840" s="6" t="str">
        <f>IF($D3840="","",IF(ISNA(MATCH($D3840,'Paramètres'!$M:$M,0)),"⚠ Type inconnu",IF($L3840="Crédit","",IFERROR(INDEX('Paramètres'!$O:$O,MATCH($D3840,'Paramètres'!$M:$M,0))&amp;"",""))))</f>
        <v/>
      </c>
      <c r="N3840" s="6" t="str">
        <f>IF($D3840="","",IFERROR(INDEX('Paramètres'!$Q:$Q,MATCH($D3840,'Paramètres'!$M:$M,0))&amp;"",""))</f>
        <v/>
      </c>
      <c r="O3840" s="6" t="str">
        <f>IF($A3840="","",IF(OR($J3840&lt;&gt;"x",$A3840&lt;=FinReleve),1,0))</f>
        <v/>
      </c>
      <c r="P3840" s="6" t="str">
        <f>IF($D3840="","",IF(AND($L3840="Crédit",OR(IFERROR(INDEX('Paramètres'!$O:$O,MATCH($D3840,'Paramètres'!$M:$M,0))&amp;"","")&lt;&gt;"",ISNUMBER(SEARCH("remboursement",IFERROR(INDEX('Paramètres'!$N:$N,MATCH($D3840,'Paramètres'!$M:$M,0))&amp;"",""))))),1,0))</f>
        <v/>
      </c>
      <c r="Q3840" s="6" t="str">
        <f>IF($K3840="","",IF(ISNUMBER(SEARCH("transfert-interne",IFERROR(INDEX('Paramètres'!$N:$N,MATCH($D3840,'Paramètres'!$M:$M,0))&amp;"",""))),0,IF($L3840="Débit",$K3840,IF($P3840=1,-$K3840,0))))</f>
        <v/>
      </c>
      <c r="R3840" s="6" t="str">
        <f>IF($K3840="","",IF($L3840="Crédit",$K3840,-$K3840))</f>
        <v/>
      </c>
      <c r="S3840" s="6" t="str">
        <f>IF($C3840="","",IFERROR(INDEX('Paramètres'!$H:$H,MATCH($C3840,'Paramètres'!$D:$D,0))&amp;"",""))</f>
        <v/>
      </c>
      <c r="T3840" s="6" t="str">
        <f>IF($K3840="","",IF($S3840="",0,IF(ISNUMBER(SEARCH("apport-exterieur",IFERROR(INDEX('Paramètres'!$N:$N,MATCH($D3840,'Paramètres'!$M:$M,0))&amp;"",""))),0,IF(OR(IFERROR(INDEX('Paramètres'!$I:$I,MATCH($C3840,'Paramètres'!$D:$D,0))&amp;"","")="Les deux",IFERROR(INDEX('Paramètres'!$I:$I,MATCH($C3840,'Paramètres'!$D:$D,0))&amp;"","")=IF($P3840=1,"Débit",$L3840)),-IF($P3840=1,-$K3840,$K3840),0))))</f>
        <v/>
      </c>
      <c r="U3840" s="6" t="str">
        <f>IF($K3840="","",IF(ISNUMBER(SEARCH("sortie-epargne",IFERROR(INDEX('Paramètres'!$N:$N,MATCH($D3840,'Paramètres'!$M:$M,0))&amp;"",""))),$K3840,0))</f>
        <v/>
      </c>
      <c r="V3840" s="6" t="str">
        <f>IF(AND($A3840&lt;&gt;"",$O3840=1,$L3840="Débit",N($Q3840)&gt;0,$A3840&gt;=Visualisation!$B$1,$A3840&lt;Visualisation!$D$1),MAX($V$1:V3839)+1,"")</f>
        <v/>
      </c>
    </row>
    <row r="3841" spans="1:22" x14ac:dyDescent="0.25">
      <c r="A3841" s="9"/>
      <c r="E3841" s="10"/>
      <c r="K3841" s="11" t="str">
        <f>IF($E3841="","",ROUND($E3841*IF(ISNA(MATCH($C3841,'Paramètres'!$D:$D,0)),1,IF(INDEX('Paramètres'!$J:$J,MATCH($C3841,'Paramètres'!$D:$D,0))="",1,INDEX('Paramètres'!$J:$J,MATCH($C3841,'Paramètres'!$D:$D,0)))),2))</f>
        <v/>
      </c>
      <c r="L3841" s="6" t="str">
        <f>IF($D3841="","",IF($F3841&lt;&gt;"",$F3841,IF(ISNA(MATCH($D3841,'Paramètres'!$M:$M,0)),"⚠ Type inconnu",IFERROR(INDEX('Paramètres'!$P:$P,MATCH($D3841,'Paramètres'!$M:$M,0))&amp;"",""))))</f>
        <v/>
      </c>
      <c r="M3841" s="6" t="str">
        <f>IF($D3841="","",IF(ISNA(MATCH($D3841,'Paramètres'!$M:$M,0)),"⚠ Type inconnu",IF($L3841="Crédit","",IFERROR(INDEX('Paramètres'!$O:$O,MATCH($D3841,'Paramètres'!$M:$M,0))&amp;"",""))))</f>
        <v/>
      </c>
      <c r="N3841" s="6" t="str">
        <f>IF($D3841="","",IFERROR(INDEX('Paramètres'!$Q:$Q,MATCH($D3841,'Paramètres'!$M:$M,0))&amp;"",""))</f>
        <v/>
      </c>
      <c r="O3841" s="6" t="str">
        <f>IF($A3841="","",IF(OR($J3841&lt;&gt;"x",$A3841&lt;=FinReleve),1,0))</f>
        <v/>
      </c>
      <c r="P3841" s="6" t="str">
        <f>IF($D3841="","",IF(AND($L3841="Crédit",OR(IFERROR(INDEX('Paramètres'!$O:$O,MATCH($D3841,'Paramètres'!$M:$M,0))&amp;"","")&lt;&gt;"",ISNUMBER(SEARCH("remboursement",IFERROR(INDEX('Paramètres'!$N:$N,MATCH($D3841,'Paramètres'!$M:$M,0))&amp;"",""))))),1,0))</f>
        <v/>
      </c>
      <c r="Q3841" s="6" t="str">
        <f>IF($K3841="","",IF(ISNUMBER(SEARCH("transfert-interne",IFERROR(INDEX('Paramètres'!$N:$N,MATCH($D3841,'Paramètres'!$M:$M,0))&amp;"",""))),0,IF($L3841="Débit",$K3841,IF($P3841=1,-$K3841,0))))</f>
        <v/>
      </c>
      <c r="R3841" s="6" t="str">
        <f>IF($K3841="","",IF($L3841="Crédit",$K3841,-$K3841))</f>
        <v/>
      </c>
      <c r="S3841" s="6" t="str">
        <f>IF($C3841="","",IFERROR(INDEX('Paramètres'!$H:$H,MATCH($C3841,'Paramètres'!$D:$D,0))&amp;"",""))</f>
        <v/>
      </c>
      <c r="T3841" s="6" t="str">
        <f>IF($K3841="","",IF($S3841="",0,IF(ISNUMBER(SEARCH("apport-exterieur",IFERROR(INDEX('Paramètres'!$N:$N,MATCH($D3841,'Paramètres'!$M:$M,0))&amp;"",""))),0,IF(OR(IFERROR(INDEX('Paramètres'!$I:$I,MATCH($C3841,'Paramètres'!$D:$D,0))&amp;"","")="Les deux",IFERROR(INDEX('Paramètres'!$I:$I,MATCH($C3841,'Paramètres'!$D:$D,0))&amp;"","")=IF($P3841=1,"Débit",$L3841)),-IF($P3841=1,-$K3841,$K3841),0))))</f>
        <v/>
      </c>
      <c r="U3841" s="6" t="str">
        <f>IF($K3841="","",IF(ISNUMBER(SEARCH("sortie-epargne",IFERROR(INDEX('Paramètres'!$N:$N,MATCH($D3841,'Paramètres'!$M:$M,0))&amp;"",""))),$K3841,0))</f>
        <v/>
      </c>
      <c r="V3841" s="6" t="str">
        <f>IF(AND($A3841&lt;&gt;"",$O3841=1,$L3841="Débit",N($Q3841)&gt;0,$A3841&gt;=Visualisation!$B$1,$A3841&lt;Visualisation!$D$1),MAX($V$1:V3840)+1,"")</f>
        <v/>
      </c>
    </row>
    <row r="3842" spans="1:22" x14ac:dyDescent="0.25">
      <c r="A3842" s="9"/>
      <c r="E3842" s="10"/>
      <c r="K3842" s="11" t="str">
        <f>IF($E3842="","",ROUND($E3842*IF(ISNA(MATCH($C3842,'Paramètres'!$D:$D,0)),1,IF(INDEX('Paramètres'!$J:$J,MATCH($C3842,'Paramètres'!$D:$D,0))="",1,INDEX('Paramètres'!$J:$J,MATCH($C3842,'Paramètres'!$D:$D,0)))),2))</f>
        <v/>
      </c>
      <c r="L3842" s="6" t="str">
        <f>IF($D3842="","",IF($F3842&lt;&gt;"",$F3842,IF(ISNA(MATCH($D3842,'Paramètres'!$M:$M,0)),"⚠ Type inconnu",IFERROR(INDEX('Paramètres'!$P:$P,MATCH($D3842,'Paramètres'!$M:$M,0))&amp;"",""))))</f>
        <v/>
      </c>
      <c r="M3842" s="6" t="str">
        <f>IF($D3842="","",IF(ISNA(MATCH($D3842,'Paramètres'!$M:$M,0)),"⚠ Type inconnu",IF($L3842="Crédit","",IFERROR(INDEX('Paramètres'!$O:$O,MATCH($D3842,'Paramètres'!$M:$M,0))&amp;"",""))))</f>
        <v/>
      </c>
      <c r="N3842" s="6" t="str">
        <f>IF($D3842="","",IFERROR(INDEX('Paramètres'!$Q:$Q,MATCH($D3842,'Paramètres'!$M:$M,0))&amp;"",""))</f>
        <v/>
      </c>
      <c r="O3842" s="6" t="str">
        <f>IF($A3842="","",IF(OR($J3842&lt;&gt;"x",$A3842&lt;=FinReleve),1,0))</f>
        <v/>
      </c>
      <c r="P3842" s="6" t="str">
        <f>IF($D3842="","",IF(AND($L3842="Crédit",OR(IFERROR(INDEX('Paramètres'!$O:$O,MATCH($D3842,'Paramètres'!$M:$M,0))&amp;"","")&lt;&gt;"",ISNUMBER(SEARCH("remboursement",IFERROR(INDEX('Paramètres'!$N:$N,MATCH($D3842,'Paramètres'!$M:$M,0))&amp;"",""))))),1,0))</f>
        <v/>
      </c>
      <c r="Q3842" s="6" t="str">
        <f>IF($K3842="","",IF(ISNUMBER(SEARCH("transfert-interne",IFERROR(INDEX('Paramètres'!$N:$N,MATCH($D3842,'Paramètres'!$M:$M,0))&amp;"",""))),0,IF($L3842="Débit",$K3842,IF($P3842=1,-$K3842,0))))</f>
        <v/>
      </c>
      <c r="R3842" s="6" t="str">
        <f>IF($K3842="","",IF($L3842="Crédit",$K3842,-$K3842))</f>
        <v/>
      </c>
      <c r="S3842" s="6" t="str">
        <f>IF($C3842="","",IFERROR(INDEX('Paramètres'!$H:$H,MATCH($C3842,'Paramètres'!$D:$D,0))&amp;"",""))</f>
        <v/>
      </c>
      <c r="T3842" s="6" t="str">
        <f>IF($K3842="","",IF($S3842="",0,IF(ISNUMBER(SEARCH("apport-exterieur",IFERROR(INDEX('Paramètres'!$N:$N,MATCH($D3842,'Paramètres'!$M:$M,0))&amp;"",""))),0,IF(OR(IFERROR(INDEX('Paramètres'!$I:$I,MATCH($C3842,'Paramètres'!$D:$D,0))&amp;"","")="Les deux",IFERROR(INDEX('Paramètres'!$I:$I,MATCH($C3842,'Paramètres'!$D:$D,0))&amp;"","")=IF($P3842=1,"Débit",$L3842)),-IF($P3842=1,-$K3842,$K3842),0))))</f>
        <v/>
      </c>
      <c r="U3842" s="6" t="str">
        <f>IF($K3842="","",IF(ISNUMBER(SEARCH("sortie-epargne",IFERROR(INDEX('Paramètres'!$N:$N,MATCH($D3842,'Paramètres'!$M:$M,0))&amp;"",""))),$K3842,0))</f>
        <v/>
      </c>
      <c r="V3842" s="6" t="str">
        <f>IF(AND($A3842&lt;&gt;"",$O3842=1,$L3842="Débit",N($Q3842)&gt;0,$A3842&gt;=Visualisation!$B$1,$A3842&lt;Visualisation!$D$1),MAX($V$1:V3841)+1,"")</f>
        <v/>
      </c>
    </row>
    <row r="3843" spans="1:22" x14ac:dyDescent="0.25">
      <c r="A3843" s="9"/>
      <c r="E3843" s="10"/>
      <c r="K3843" s="11" t="str">
        <f>IF($E3843="","",ROUND($E3843*IF(ISNA(MATCH($C3843,'Paramètres'!$D:$D,0)),1,IF(INDEX('Paramètres'!$J:$J,MATCH($C3843,'Paramètres'!$D:$D,0))="",1,INDEX('Paramètres'!$J:$J,MATCH($C3843,'Paramètres'!$D:$D,0)))),2))</f>
        <v/>
      </c>
      <c r="L3843" s="6" t="str">
        <f>IF($D3843="","",IF($F3843&lt;&gt;"",$F3843,IF(ISNA(MATCH($D3843,'Paramètres'!$M:$M,0)),"⚠ Type inconnu",IFERROR(INDEX('Paramètres'!$P:$P,MATCH($D3843,'Paramètres'!$M:$M,0))&amp;"",""))))</f>
        <v/>
      </c>
      <c r="M3843" s="6" t="str">
        <f>IF($D3843="","",IF(ISNA(MATCH($D3843,'Paramètres'!$M:$M,0)),"⚠ Type inconnu",IF($L3843="Crédit","",IFERROR(INDEX('Paramètres'!$O:$O,MATCH($D3843,'Paramètres'!$M:$M,0))&amp;"",""))))</f>
        <v/>
      </c>
      <c r="N3843" s="6" t="str">
        <f>IF($D3843="","",IFERROR(INDEX('Paramètres'!$Q:$Q,MATCH($D3843,'Paramètres'!$M:$M,0))&amp;"",""))</f>
        <v/>
      </c>
      <c r="O3843" s="6" t="str">
        <f>IF($A3843="","",IF(OR($J3843&lt;&gt;"x",$A3843&lt;=FinReleve),1,0))</f>
        <v/>
      </c>
      <c r="P3843" s="6" t="str">
        <f>IF($D3843="","",IF(AND($L3843="Crédit",OR(IFERROR(INDEX('Paramètres'!$O:$O,MATCH($D3843,'Paramètres'!$M:$M,0))&amp;"","")&lt;&gt;"",ISNUMBER(SEARCH("remboursement",IFERROR(INDEX('Paramètres'!$N:$N,MATCH($D3843,'Paramètres'!$M:$M,0))&amp;"",""))))),1,0))</f>
        <v/>
      </c>
      <c r="Q3843" s="6" t="str">
        <f>IF($K3843="","",IF(ISNUMBER(SEARCH("transfert-interne",IFERROR(INDEX('Paramètres'!$N:$N,MATCH($D3843,'Paramètres'!$M:$M,0))&amp;"",""))),0,IF($L3843="Débit",$K3843,IF($P3843=1,-$K3843,0))))</f>
        <v/>
      </c>
      <c r="R3843" s="6" t="str">
        <f>IF($K3843="","",IF($L3843="Crédit",$K3843,-$K3843))</f>
        <v/>
      </c>
      <c r="S3843" s="6" t="str">
        <f>IF($C3843="","",IFERROR(INDEX('Paramètres'!$H:$H,MATCH($C3843,'Paramètres'!$D:$D,0))&amp;"",""))</f>
        <v/>
      </c>
      <c r="T3843" s="6" t="str">
        <f>IF($K3843="","",IF($S3843="",0,IF(ISNUMBER(SEARCH("apport-exterieur",IFERROR(INDEX('Paramètres'!$N:$N,MATCH($D3843,'Paramètres'!$M:$M,0))&amp;"",""))),0,IF(OR(IFERROR(INDEX('Paramètres'!$I:$I,MATCH($C3843,'Paramètres'!$D:$D,0))&amp;"","")="Les deux",IFERROR(INDEX('Paramètres'!$I:$I,MATCH($C3843,'Paramètres'!$D:$D,0))&amp;"","")=IF($P3843=1,"Débit",$L3843)),-IF($P3843=1,-$K3843,$K3843),0))))</f>
        <v/>
      </c>
      <c r="U3843" s="6" t="str">
        <f>IF($K3843="","",IF(ISNUMBER(SEARCH("sortie-epargne",IFERROR(INDEX('Paramètres'!$N:$N,MATCH($D3843,'Paramètres'!$M:$M,0))&amp;"",""))),$K3843,0))</f>
        <v/>
      </c>
      <c r="V3843" s="6" t="str">
        <f>IF(AND($A3843&lt;&gt;"",$O3843=1,$L3843="Débit",N($Q3843)&gt;0,$A3843&gt;=Visualisation!$B$1,$A3843&lt;Visualisation!$D$1),MAX($V$1:V3842)+1,"")</f>
        <v/>
      </c>
    </row>
    <row r="3844" spans="1:22" x14ac:dyDescent="0.25">
      <c r="A3844" s="9"/>
      <c r="E3844" s="10"/>
      <c r="K3844" s="11" t="str">
        <f>IF($E3844="","",ROUND($E3844*IF(ISNA(MATCH($C3844,'Paramètres'!$D:$D,0)),1,IF(INDEX('Paramètres'!$J:$J,MATCH($C3844,'Paramètres'!$D:$D,0))="",1,INDEX('Paramètres'!$J:$J,MATCH($C3844,'Paramètres'!$D:$D,0)))),2))</f>
        <v/>
      </c>
      <c r="L3844" s="6" t="str">
        <f>IF($D3844="","",IF($F3844&lt;&gt;"",$F3844,IF(ISNA(MATCH($D3844,'Paramètres'!$M:$M,0)),"⚠ Type inconnu",IFERROR(INDEX('Paramètres'!$P:$P,MATCH($D3844,'Paramètres'!$M:$M,0))&amp;"",""))))</f>
        <v/>
      </c>
      <c r="M3844" s="6" t="str">
        <f>IF($D3844="","",IF(ISNA(MATCH($D3844,'Paramètres'!$M:$M,0)),"⚠ Type inconnu",IF($L3844="Crédit","",IFERROR(INDEX('Paramètres'!$O:$O,MATCH($D3844,'Paramètres'!$M:$M,0))&amp;"",""))))</f>
        <v/>
      </c>
      <c r="N3844" s="6" t="str">
        <f>IF($D3844="","",IFERROR(INDEX('Paramètres'!$Q:$Q,MATCH($D3844,'Paramètres'!$M:$M,0))&amp;"",""))</f>
        <v/>
      </c>
      <c r="O3844" s="6" t="str">
        <f>IF($A3844="","",IF(OR($J3844&lt;&gt;"x",$A3844&lt;=FinReleve),1,0))</f>
        <v/>
      </c>
      <c r="P3844" s="6" t="str">
        <f>IF($D3844="","",IF(AND($L3844="Crédit",OR(IFERROR(INDEX('Paramètres'!$O:$O,MATCH($D3844,'Paramètres'!$M:$M,0))&amp;"","")&lt;&gt;"",ISNUMBER(SEARCH("remboursement",IFERROR(INDEX('Paramètres'!$N:$N,MATCH($D3844,'Paramètres'!$M:$M,0))&amp;"",""))))),1,0))</f>
        <v/>
      </c>
      <c r="Q3844" s="6" t="str">
        <f>IF($K3844="","",IF(ISNUMBER(SEARCH("transfert-interne",IFERROR(INDEX('Paramètres'!$N:$N,MATCH($D3844,'Paramètres'!$M:$M,0))&amp;"",""))),0,IF($L3844="Débit",$K3844,IF($P3844=1,-$K3844,0))))</f>
        <v/>
      </c>
      <c r="R3844" s="6" t="str">
        <f>IF($K3844="","",IF($L3844="Crédit",$K3844,-$K3844))</f>
        <v/>
      </c>
      <c r="S3844" s="6" t="str">
        <f>IF($C3844="","",IFERROR(INDEX('Paramètres'!$H:$H,MATCH($C3844,'Paramètres'!$D:$D,0))&amp;"",""))</f>
        <v/>
      </c>
      <c r="T3844" s="6" t="str">
        <f>IF($K3844="","",IF($S3844="",0,IF(ISNUMBER(SEARCH("apport-exterieur",IFERROR(INDEX('Paramètres'!$N:$N,MATCH($D3844,'Paramètres'!$M:$M,0))&amp;"",""))),0,IF(OR(IFERROR(INDEX('Paramètres'!$I:$I,MATCH($C3844,'Paramètres'!$D:$D,0))&amp;"","")="Les deux",IFERROR(INDEX('Paramètres'!$I:$I,MATCH($C3844,'Paramètres'!$D:$D,0))&amp;"","")=IF($P3844=1,"Débit",$L3844)),-IF($P3844=1,-$K3844,$K3844),0))))</f>
        <v/>
      </c>
      <c r="U3844" s="6" t="str">
        <f>IF($K3844="","",IF(ISNUMBER(SEARCH("sortie-epargne",IFERROR(INDEX('Paramètres'!$N:$N,MATCH($D3844,'Paramètres'!$M:$M,0))&amp;"",""))),$K3844,0))</f>
        <v/>
      </c>
      <c r="V3844" s="6" t="str">
        <f>IF(AND($A3844&lt;&gt;"",$O3844=1,$L3844="Débit",N($Q3844)&gt;0,$A3844&gt;=Visualisation!$B$1,$A3844&lt;Visualisation!$D$1),MAX($V$1:V3843)+1,"")</f>
        <v/>
      </c>
    </row>
    <row r="3845" spans="1:22" x14ac:dyDescent="0.25">
      <c r="A3845" s="9"/>
      <c r="E3845" s="10"/>
      <c r="K3845" s="11" t="str">
        <f>IF($E3845="","",ROUND($E3845*IF(ISNA(MATCH($C3845,'Paramètres'!$D:$D,0)),1,IF(INDEX('Paramètres'!$J:$J,MATCH($C3845,'Paramètres'!$D:$D,0))="",1,INDEX('Paramètres'!$J:$J,MATCH($C3845,'Paramètres'!$D:$D,0)))),2))</f>
        <v/>
      </c>
      <c r="L3845" s="6" t="str">
        <f>IF($D3845="","",IF($F3845&lt;&gt;"",$F3845,IF(ISNA(MATCH($D3845,'Paramètres'!$M:$M,0)),"⚠ Type inconnu",IFERROR(INDEX('Paramètres'!$P:$P,MATCH($D3845,'Paramètres'!$M:$M,0))&amp;"",""))))</f>
        <v/>
      </c>
      <c r="M3845" s="6" t="str">
        <f>IF($D3845="","",IF(ISNA(MATCH($D3845,'Paramètres'!$M:$M,0)),"⚠ Type inconnu",IF($L3845="Crédit","",IFERROR(INDEX('Paramètres'!$O:$O,MATCH($D3845,'Paramètres'!$M:$M,0))&amp;"",""))))</f>
        <v/>
      </c>
      <c r="N3845" s="6" t="str">
        <f>IF($D3845="","",IFERROR(INDEX('Paramètres'!$Q:$Q,MATCH($D3845,'Paramètres'!$M:$M,0))&amp;"",""))</f>
        <v/>
      </c>
      <c r="O3845" s="6" t="str">
        <f>IF($A3845="","",IF(OR($J3845&lt;&gt;"x",$A3845&lt;=FinReleve),1,0))</f>
        <v/>
      </c>
      <c r="P3845" s="6" t="str">
        <f>IF($D3845="","",IF(AND($L3845="Crédit",OR(IFERROR(INDEX('Paramètres'!$O:$O,MATCH($D3845,'Paramètres'!$M:$M,0))&amp;"","")&lt;&gt;"",ISNUMBER(SEARCH("remboursement",IFERROR(INDEX('Paramètres'!$N:$N,MATCH($D3845,'Paramètres'!$M:$M,0))&amp;"",""))))),1,0))</f>
        <v/>
      </c>
      <c r="Q3845" s="6" t="str">
        <f>IF($K3845="","",IF(ISNUMBER(SEARCH("transfert-interne",IFERROR(INDEX('Paramètres'!$N:$N,MATCH($D3845,'Paramètres'!$M:$M,0))&amp;"",""))),0,IF($L3845="Débit",$K3845,IF($P3845=1,-$K3845,0))))</f>
        <v/>
      </c>
      <c r="R3845" s="6" t="str">
        <f>IF($K3845="","",IF($L3845="Crédit",$K3845,-$K3845))</f>
        <v/>
      </c>
      <c r="S3845" s="6" t="str">
        <f>IF($C3845="","",IFERROR(INDEX('Paramètres'!$H:$H,MATCH($C3845,'Paramètres'!$D:$D,0))&amp;"",""))</f>
        <v/>
      </c>
      <c r="T3845" s="6" t="str">
        <f>IF($K3845="","",IF($S3845="",0,IF(ISNUMBER(SEARCH("apport-exterieur",IFERROR(INDEX('Paramètres'!$N:$N,MATCH($D3845,'Paramètres'!$M:$M,0))&amp;"",""))),0,IF(OR(IFERROR(INDEX('Paramètres'!$I:$I,MATCH($C3845,'Paramètres'!$D:$D,0))&amp;"","")="Les deux",IFERROR(INDEX('Paramètres'!$I:$I,MATCH($C3845,'Paramètres'!$D:$D,0))&amp;"","")=IF($P3845=1,"Débit",$L3845)),-IF($P3845=1,-$K3845,$K3845),0))))</f>
        <v/>
      </c>
      <c r="U3845" s="6" t="str">
        <f>IF($K3845="","",IF(ISNUMBER(SEARCH("sortie-epargne",IFERROR(INDEX('Paramètres'!$N:$N,MATCH($D3845,'Paramètres'!$M:$M,0))&amp;"",""))),$K3845,0))</f>
        <v/>
      </c>
      <c r="V3845" s="6" t="str">
        <f>IF(AND($A3845&lt;&gt;"",$O3845=1,$L3845="Débit",N($Q3845)&gt;0,$A3845&gt;=Visualisation!$B$1,$A3845&lt;Visualisation!$D$1),MAX($V$1:V3844)+1,"")</f>
        <v/>
      </c>
    </row>
    <row r="3846" spans="1:22" x14ac:dyDescent="0.25">
      <c r="A3846" s="9"/>
      <c r="E3846" s="10"/>
      <c r="K3846" s="11" t="str">
        <f>IF($E3846="","",ROUND($E3846*IF(ISNA(MATCH($C3846,'Paramètres'!$D:$D,0)),1,IF(INDEX('Paramètres'!$J:$J,MATCH($C3846,'Paramètres'!$D:$D,0))="",1,INDEX('Paramètres'!$J:$J,MATCH($C3846,'Paramètres'!$D:$D,0)))),2))</f>
        <v/>
      </c>
      <c r="L3846" s="6" t="str">
        <f>IF($D3846="","",IF($F3846&lt;&gt;"",$F3846,IF(ISNA(MATCH($D3846,'Paramètres'!$M:$M,0)),"⚠ Type inconnu",IFERROR(INDEX('Paramètres'!$P:$P,MATCH($D3846,'Paramètres'!$M:$M,0))&amp;"",""))))</f>
        <v/>
      </c>
      <c r="M3846" s="6" t="str">
        <f>IF($D3846="","",IF(ISNA(MATCH($D3846,'Paramètres'!$M:$M,0)),"⚠ Type inconnu",IF($L3846="Crédit","",IFERROR(INDEX('Paramètres'!$O:$O,MATCH($D3846,'Paramètres'!$M:$M,0))&amp;"",""))))</f>
        <v/>
      </c>
      <c r="N3846" s="6" t="str">
        <f>IF($D3846="","",IFERROR(INDEX('Paramètres'!$Q:$Q,MATCH($D3846,'Paramètres'!$M:$M,0))&amp;"",""))</f>
        <v/>
      </c>
      <c r="O3846" s="6" t="str">
        <f>IF($A3846="","",IF(OR($J3846&lt;&gt;"x",$A3846&lt;=FinReleve),1,0))</f>
        <v/>
      </c>
      <c r="P3846" s="6" t="str">
        <f>IF($D3846="","",IF(AND($L3846="Crédit",OR(IFERROR(INDEX('Paramètres'!$O:$O,MATCH($D3846,'Paramètres'!$M:$M,0))&amp;"","")&lt;&gt;"",ISNUMBER(SEARCH("remboursement",IFERROR(INDEX('Paramètres'!$N:$N,MATCH($D3846,'Paramètres'!$M:$M,0))&amp;"",""))))),1,0))</f>
        <v/>
      </c>
      <c r="Q3846" s="6" t="str">
        <f>IF($K3846="","",IF(ISNUMBER(SEARCH("transfert-interne",IFERROR(INDEX('Paramètres'!$N:$N,MATCH($D3846,'Paramètres'!$M:$M,0))&amp;"",""))),0,IF($L3846="Débit",$K3846,IF($P3846=1,-$K3846,0))))</f>
        <v/>
      </c>
      <c r="R3846" s="6" t="str">
        <f>IF($K3846="","",IF($L3846="Crédit",$K3846,-$K3846))</f>
        <v/>
      </c>
      <c r="S3846" s="6" t="str">
        <f>IF($C3846="","",IFERROR(INDEX('Paramètres'!$H:$H,MATCH($C3846,'Paramètres'!$D:$D,0))&amp;"",""))</f>
        <v/>
      </c>
      <c r="T3846" s="6" t="str">
        <f>IF($K3846="","",IF($S3846="",0,IF(ISNUMBER(SEARCH("apport-exterieur",IFERROR(INDEX('Paramètres'!$N:$N,MATCH($D3846,'Paramètres'!$M:$M,0))&amp;"",""))),0,IF(OR(IFERROR(INDEX('Paramètres'!$I:$I,MATCH($C3846,'Paramètres'!$D:$D,0))&amp;"","")="Les deux",IFERROR(INDEX('Paramètres'!$I:$I,MATCH($C3846,'Paramètres'!$D:$D,0))&amp;"","")=IF($P3846=1,"Débit",$L3846)),-IF($P3846=1,-$K3846,$K3846),0))))</f>
        <v/>
      </c>
      <c r="U3846" s="6" t="str">
        <f>IF($K3846="","",IF(ISNUMBER(SEARCH("sortie-epargne",IFERROR(INDEX('Paramètres'!$N:$N,MATCH($D3846,'Paramètres'!$M:$M,0))&amp;"",""))),$K3846,0))</f>
        <v/>
      </c>
      <c r="V3846" s="6" t="str">
        <f>IF(AND($A3846&lt;&gt;"",$O3846=1,$L3846="Débit",N($Q3846)&gt;0,$A3846&gt;=Visualisation!$B$1,$A3846&lt;Visualisation!$D$1),MAX($V$1:V3845)+1,"")</f>
        <v/>
      </c>
    </row>
    <row r="3847" spans="1:22" x14ac:dyDescent="0.25">
      <c r="A3847" s="9"/>
      <c r="E3847" s="10"/>
      <c r="K3847" s="11" t="str">
        <f>IF($E3847="","",ROUND($E3847*IF(ISNA(MATCH($C3847,'Paramètres'!$D:$D,0)),1,IF(INDEX('Paramètres'!$J:$J,MATCH($C3847,'Paramètres'!$D:$D,0))="",1,INDEX('Paramètres'!$J:$J,MATCH($C3847,'Paramètres'!$D:$D,0)))),2))</f>
        <v/>
      </c>
      <c r="L3847" s="6" t="str">
        <f>IF($D3847="","",IF($F3847&lt;&gt;"",$F3847,IF(ISNA(MATCH($D3847,'Paramètres'!$M:$M,0)),"⚠ Type inconnu",IFERROR(INDEX('Paramètres'!$P:$P,MATCH($D3847,'Paramètres'!$M:$M,0))&amp;"",""))))</f>
        <v/>
      </c>
      <c r="M3847" s="6" t="str">
        <f>IF($D3847="","",IF(ISNA(MATCH($D3847,'Paramètres'!$M:$M,0)),"⚠ Type inconnu",IF($L3847="Crédit","",IFERROR(INDEX('Paramètres'!$O:$O,MATCH($D3847,'Paramètres'!$M:$M,0))&amp;"",""))))</f>
        <v/>
      </c>
      <c r="N3847" s="6" t="str">
        <f>IF($D3847="","",IFERROR(INDEX('Paramètres'!$Q:$Q,MATCH($D3847,'Paramètres'!$M:$M,0))&amp;"",""))</f>
        <v/>
      </c>
      <c r="O3847" s="6" t="str">
        <f>IF($A3847="","",IF(OR($J3847&lt;&gt;"x",$A3847&lt;=FinReleve),1,0))</f>
        <v/>
      </c>
      <c r="P3847" s="6" t="str">
        <f>IF($D3847="","",IF(AND($L3847="Crédit",OR(IFERROR(INDEX('Paramètres'!$O:$O,MATCH($D3847,'Paramètres'!$M:$M,0))&amp;"","")&lt;&gt;"",ISNUMBER(SEARCH("remboursement",IFERROR(INDEX('Paramètres'!$N:$N,MATCH($D3847,'Paramètres'!$M:$M,0))&amp;"",""))))),1,0))</f>
        <v/>
      </c>
      <c r="Q3847" s="6" t="str">
        <f>IF($K3847="","",IF(ISNUMBER(SEARCH("transfert-interne",IFERROR(INDEX('Paramètres'!$N:$N,MATCH($D3847,'Paramètres'!$M:$M,0))&amp;"",""))),0,IF($L3847="Débit",$K3847,IF($P3847=1,-$K3847,0))))</f>
        <v/>
      </c>
      <c r="R3847" s="6" t="str">
        <f>IF($K3847="","",IF($L3847="Crédit",$K3847,-$K3847))</f>
        <v/>
      </c>
      <c r="S3847" s="6" t="str">
        <f>IF($C3847="","",IFERROR(INDEX('Paramètres'!$H:$H,MATCH($C3847,'Paramètres'!$D:$D,0))&amp;"",""))</f>
        <v/>
      </c>
      <c r="T3847" s="6" t="str">
        <f>IF($K3847="","",IF($S3847="",0,IF(ISNUMBER(SEARCH("apport-exterieur",IFERROR(INDEX('Paramètres'!$N:$N,MATCH($D3847,'Paramètres'!$M:$M,0))&amp;"",""))),0,IF(OR(IFERROR(INDEX('Paramètres'!$I:$I,MATCH($C3847,'Paramètres'!$D:$D,0))&amp;"","")="Les deux",IFERROR(INDEX('Paramètres'!$I:$I,MATCH($C3847,'Paramètres'!$D:$D,0))&amp;"","")=IF($P3847=1,"Débit",$L3847)),-IF($P3847=1,-$K3847,$K3847),0))))</f>
        <v/>
      </c>
      <c r="U3847" s="6" t="str">
        <f>IF($K3847="","",IF(ISNUMBER(SEARCH("sortie-epargne",IFERROR(INDEX('Paramètres'!$N:$N,MATCH($D3847,'Paramètres'!$M:$M,0))&amp;"",""))),$K3847,0))</f>
        <v/>
      </c>
      <c r="V3847" s="6" t="str">
        <f>IF(AND($A3847&lt;&gt;"",$O3847=1,$L3847="Débit",N($Q3847)&gt;0,$A3847&gt;=Visualisation!$B$1,$A3847&lt;Visualisation!$D$1),MAX($V$1:V3846)+1,"")</f>
        <v/>
      </c>
    </row>
    <row r="3848" spans="1:22" x14ac:dyDescent="0.25">
      <c r="A3848" s="9"/>
      <c r="E3848" s="10"/>
      <c r="K3848" s="11" t="str">
        <f>IF($E3848="","",ROUND($E3848*IF(ISNA(MATCH($C3848,'Paramètres'!$D:$D,0)),1,IF(INDEX('Paramètres'!$J:$J,MATCH($C3848,'Paramètres'!$D:$D,0))="",1,INDEX('Paramètres'!$J:$J,MATCH($C3848,'Paramètres'!$D:$D,0)))),2))</f>
        <v/>
      </c>
      <c r="L3848" s="6" t="str">
        <f>IF($D3848="","",IF($F3848&lt;&gt;"",$F3848,IF(ISNA(MATCH($D3848,'Paramètres'!$M:$M,0)),"⚠ Type inconnu",IFERROR(INDEX('Paramètres'!$P:$P,MATCH($D3848,'Paramètres'!$M:$M,0))&amp;"",""))))</f>
        <v/>
      </c>
      <c r="M3848" s="6" t="str">
        <f>IF($D3848="","",IF(ISNA(MATCH($D3848,'Paramètres'!$M:$M,0)),"⚠ Type inconnu",IF($L3848="Crédit","",IFERROR(INDEX('Paramètres'!$O:$O,MATCH($D3848,'Paramètres'!$M:$M,0))&amp;"",""))))</f>
        <v/>
      </c>
      <c r="N3848" s="6" t="str">
        <f>IF($D3848="","",IFERROR(INDEX('Paramètres'!$Q:$Q,MATCH($D3848,'Paramètres'!$M:$M,0))&amp;"",""))</f>
        <v/>
      </c>
      <c r="O3848" s="6" t="str">
        <f>IF($A3848="","",IF(OR($J3848&lt;&gt;"x",$A3848&lt;=FinReleve),1,0))</f>
        <v/>
      </c>
      <c r="P3848" s="6" t="str">
        <f>IF($D3848="","",IF(AND($L3848="Crédit",OR(IFERROR(INDEX('Paramètres'!$O:$O,MATCH($D3848,'Paramètres'!$M:$M,0))&amp;"","")&lt;&gt;"",ISNUMBER(SEARCH("remboursement",IFERROR(INDEX('Paramètres'!$N:$N,MATCH($D3848,'Paramètres'!$M:$M,0))&amp;"",""))))),1,0))</f>
        <v/>
      </c>
      <c r="Q3848" s="6" t="str">
        <f>IF($K3848="","",IF(ISNUMBER(SEARCH("transfert-interne",IFERROR(INDEX('Paramètres'!$N:$N,MATCH($D3848,'Paramètres'!$M:$M,0))&amp;"",""))),0,IF($L3848="Débit",$K3848,IF($P3848=1,-$K3848,0))))</f>
        <v/>
      </c>
      <c r="R3848" s="6" t="str">
        <f>IF($K3848="","",IF($L3848="Crédit",$K3848,-$K3848))</f>
        <v/>
      </c>
      <c r="S3848" s="6" t="str">
        <f>IF($C3848="","",IFERROR(INDEX('Paramètres'!$H:$H,MATCH($C3848,'Paramètres'!$D:$D,0))&amp;"",""))</f>
        <v/>
      </c>
      <c r="T3848" s="6" t="str">
        <f>IF($K3848="","",IF($S3848="",0,IF(ISNUMBER(SEARCH("apport-exterieur",IFERROR(INDEX('Paramètres'!$N:$N,MATCH($D3848,'Paramètres'!$M:$M,0))&amp;"",""))),0,IF(OR(IFERROR(INDEX('Paramètres'!$I:$I,MATCH($C3848,'Paramètres'!$D:$D,0))&amp;"","")="Les deux",IFERROR(INDEX('Paramètres'!$I:$I,MATCH($C3848,'Paramètres'!$D:$D,0))&amp;"","")=IF($P3848=1,"Débit",$L3848)),-IF($P3848=1,-$K3848,$K3848),0))))</f>
        <v/>
      </c>
      <c r="U3848" s="6" t="str">
        <f>IF($K3848="","",IF(ISNUMBER(SEARCH("sortie-epargne",IFERROR(INDEX('Paramètres'!$N:$N,MATCH($D3848,'Paramètres'!$M:$M,0))&amp;"",""))),$K3848,0))</f>
        <v/>
      </c>
      <c r="V3848" s="6" t="str">
        <f>IF(AND($A3848&lt;&gt;"",$O3848=1,$L3848="Débit",N($Q3848)&gt;0,$A3848&gt;=Visualisation!$B$1,$A3848&lt;Visualisation!$D$1),MAX($V$1:V3847)+1,"")</f>
        <v/>
      </c>
    </row>
    <row r="3849" spans="1:22" x14ac:dyDescent="0.25">
      <c r="A3849" s="9"/>
      <c r="E3849" s="10"/>
      <c r="K3849" s="11" t="str">
        <f>IF($E3849="","",ROUND($E3849*IF(ISNA(MATCH($C3849,'Paramètres'!$D:$D,0)),1,IF(INDEX('Paramètres'!$J:$J,MATCH($C3849,'Paramètres'!$D:$D,0))="",1,INDEX('Paramètres'!$J:$J,MATCH($C3849,'Paramètres'!$D:$D,0)))),2))</f>
        <v/>
      </c>
      <c r="L3849" s="6" t="str">
        <f>IF($D3849="","",IF($F3849&lt;&gt;"",$F3849,IF(ISNA(MATCH($D3849,'Paramètres'!$M:$M,0)),"⚠ Type inconnu",IFERROR(INDEX('Paramètres'!$P:$P,MATCH($D3849,'Paramètres'!$M:$M,0))&amp;"",""))))</f>
        <v/>
      </c>
      <c r="M3849" s="6" t="str">
        <f>IF($D3849="","",IF(ISNA(MATCH($D3849,'Paramètres'!$M:$M,0)),"⚠ Type inconnu",IF($L3849="Crédit","",IFERROR(INDEX('Paramètres'!$O:$O,MATCH($D3849,'Paramètres'!$M:$M,0))&amp;"",""))))</f>
        <v/>
      </c>
      <c r="N3849" s="6" t="str">
        <f>IF($D3849="","",IFERROR(INDEX('Paramètres'!$Q:$Q,MATCH($D3849,'Paramètres'!$M:$M,0))&amp;"",""))</f>
        <v/>
      </c>
      <c r="O3849" s="6" t="str">
        <f>IF($A3849="","",IF(OR($J3849&lt;&gt;"x",$A3849&lt;=FinReleve),1,0))</f>
        <v/>
      </c>
      <c r="P3849" s="6" t="str">
        <f>IF($D3849="","",IF(AND($L3849="Crédit",OR(IFERROR(INDEX('Paramètres'!$O:$O,MATCH($D3849,'Paramètres'!$M:$M,0))&amp;"","")&lt;&gt;"",ISNUMBER(SEARCH("remboursement",IFERROR(INDEX('Paramètres'!$N:$N,MATCH($D3849,'Paramètres'!$M:$M,0))&amp;"",""))))),1,0))</f>
        <v/>
      </c>
      <c r="Q3849" s="6" t="str">
        <f>IF($K3849="","",IF(ISNUMBER(SEARCH("transfert-interne",IFERROR(INDEX('Paramètres'!$N:$N,MATCH($D3849,'Paramètres'!$M:$M,0))&amp;"",""))),0,IF($L3849="Débit",$K3849,IF($P3849=1,-$K3849,0))))</f>
        <v/>
      </c>
      <c r="R3849" s="6" t="str">
        <f>IF($K3849="","",IF($L3849="Crédit",$K3849,-$K3849))</f>
        <v/>
      </c>
      <c r="S3849" s="6" t="str">
        <f>IF($C3849="","",IFERROR(INDEX('Paramètres'!$H:$H,MATCH($C3849,'Paramètres'!$D:$D,0))&amp;"",""))</f>
        <v/>
      </c>
      <c r="T3849" s="6" t="str">
        <f>IF($K3849="","",IF($S3849="",0,IF(ISNUMBER(SEARCH("apport-exterieur",IFERROR(INDEX('Paramètres'!$N:$N,MATCH($D3849,'Paramètres'!$M:$M,0))&amp;"",""))),0,IF(OR(IFERROR(INDEX('Paramètres'!$I:$I,MATCH($C3849,'Paramètres'!$D:$D,0))&amp;"","")="Les deux",IFERROR(INDEX('Paramètres'!$I:$I,MATCH($C3849,'Paramètres'!$D:$D,0))&amp;"","")=IF($P3849=1,"Débit",$L3849)),-IF($P3849=1,-$K3849,$K3849),0))))</f>
        <v/>
      </c>
      <c r="U3849" s="6" t="str">
        <f>IF($K3849="","",IF(ISNUMBER(SEARCH("sortie-epargne",IFERROR(INDEX('Paramètres'!$N:$N,MATCH($D3849,'Paramètres'!$M:$M,0))&amp;"",""))),$K3849,0))</f>
        <v/>
      </c>
      <c r="V3849" s="6" t="str">
        <f>IF(AND($A3849&lt;&gt;"",$O3849=1,$L3849="Débit",N($Q3849)&gt;0,$A3849&gt;=Visualisation!$B$1,$A3849&lt;Visualisation!$D$1),MAX($V$1:V3848)+1,"")</f>
        <v/>
      </c>
    </row>
    <row r="3850" spans="1:22" x14ac:dyDescent="0.25">
      <c r="A3850" s="9"/>
      <c r="E3850" s="10"/>
      <c r="K3850" s="11" t="str">
        <f>IF($E3850="","",ROUND($E3850*IF(ISNA(MATCH($C3850,'Paramètres'!$D:$D,0)),1,IF(INDEX('Paramètres'!$J:$J,MATCH($C3850,'Paramètres'!$D:$D,0))="",1,INDEX('Paramètres'!$J:$J,MATCH($C3850,'Paramètres'!$D:$D,0)))),2))</f>
        <v/>
      </c>
      <c r="L3850" s="6" t="str">
        <f>IF($D3850="","",IF($F3850&lt;&gt;"",$F3850,IF(ISNA(MATCH($D3850,'Paramètres'!$M:$M,0)),"⚠ Type inconnu",IFERROR(INDEX('Paramètres'!$P:$P,MATCH($D3850,'Paramètres'!$M:$M,0))&amp;"",""))))</f>
        <v/>
      </c>
      <c r="M3850" s="6" t="str">
        <f>IF($D3850="","",IF(ISNA(MATCH($D3850,'Paramètres'!$M:$M,0)),"⚠ Type inconnu",IF($L3850="Crédit","",IFERROR(INDEX('Paramètres'!$O:$O,MATCH($D3850,'Paramètres'!$M:$M,0))&amp;"",""))))</f>
        <v/>
      </c>
      <c r="N3850" s="6" t="str">
        <f>IF($D3850="","",IFERROR(INDEX('Paramètres'!$Q:$Q,MATCH($D3850,'Paramètres'!$M:$M,0))&amp;"",""))</f>
        <v/>
      </c>
      <c r="O3850" s="6" t="str">
        <f>IF($A3850="","",IF(OR($J3850&lt;&gt;"x",$A3850&lt;=FinReleve),1,0))</f>
        <v/>
      </c>
      <c r="P3850" s="6" t="str">
        <f>IF($D3850="","",IF(AND($L3850="Crédit",OR(IFERROR(INDEX('Paramètres'!$O:$O,MATCH($D3850,'Paramètres'!$M:$M,0))&amp;"","")&lt;&gt;"",ISNUMBER(SEARCH("remboursement",IFERROR(INDEX('Paramètres'!$N:$N,MATCH($D3850,'Paramètres'!$M:$M,0))&amp;"",""))))),1,0))</f>
        <v/>
      </c>
      <c r="Q3850" s="6" t="str">
        <f>IF($K3850="","",IF(ISNUMBER(SEARCH("transfert-interne",IFERROR(INDEX('Paramètres'!$N:$N,MATCH($D3850,'Paramètres'!$M:$M,0))&amp;"",""))),0,IF($L3850="Débit",$K3850,IF($P3850=1,-$K3850,0))))</f>
        <v/>
      </c>
      <c r="R3850" s="6" t="str">
        <f>IF($K3850="","",IF($L3850="Crédit",$K3850,-$K3850))</f>
        <v/>
      </c>
      <c r="S3850" s="6" t="str">
        <f>IF($C3850="","",IFERROR(INDEX('Paramètres'!$H:$H,MATCH($C3850,'Paramètres'!$D:$D,0))&amp;"",""))</f>
        <v/>
      </c>
      <c r="T3850" s="6" t="str">
        <f>IF($K3850="","",IF($S3850="",0,IF(ISNUMBER(SEARCH("apport-exterieur",IFERROR(INDEX('Paramètres'!$N:$N,MATCH($D3850,'Paramètres'!$M:$M,0))&amp;"",""))),0,IF(OR(IFERROR(INDEX('Paramètres'!$I:$I,MATCH($C3850,'Paramètres'!$D:$D,0))&amp;"","")="Les deux",IFERROR(INDEX('Paramètres'!$I:$I,MATCH($C3850,'Paramètres'!$D:$D,0))&amp;"","")=IF($P3850=1,"Débit",$L3850)),-IF($P3850=1,-$K3850,$K3850),0))))</f>
        <v/>
      </c>
      <c r="U3850" s="6" t="str">
        <f>IF($K3850="","",IF(ISNUMBER(SEARCH("sortie-epargne",IFERROR(INDEX('Paramètres'!$N:$N,MATCH($D3850,'Paramètres'!$M:$M,0))&amp;"",""))),$K3850,0))</f>
        <v/>
      </c>
      <c r="V3850" s="6" t="str">
        <f>IF(AND($A3850&lt;&gt;"",$O3850=1,$L3850="Débit",N($Q3850)&gt;0,$A3850&gt;=Visualisation!$B$1,$A3850&lt;Visualisation!$D$1),MAX($V$1:V3849)+1,"")</f>
        <v/>
      </c>
    </row>
    <row r="3851" spans="1:22" x14ac:dyDescent="0.25">
      <c r="A3851" s="9"/>
      <c r="E3851" s="10"/>
      <c r="K3851" s="11" t="str">
        <f>IF($E3851="","",ROUND($E3851*IF(ISNA(MATCH($C3851,'Paramètres'!$D:$D,0)),1,IF(INDEX('Paramètres'!$J:$J,MATCH($C3851,'Paramètres'!$D:$D,0))="",1,INDEX('Paramètres'!$J:$J,MATCH($C3851,'Paramètres'!$D:$D,0)))),2))</f>
        <v/>
      </c>
      <c r="L3851" s="6" t="str">
        <f>IF($D3851="","",IF($F3851&lt;&gt;"",$F3851,IF(ISNA(MATCH($D3851,'Paramètres'!$M:$M,0)),"⚠ Type inconnu",IFERROR(INDEX('Paramètres'!$P:$P,MATCH($D3851,'Paramètres'!$M:$M,0))&amp;"",""))))</f>
        <v/>
      </c>
      <c r="M3851" s="6" t="str">
        <f>IF($D3851="","",IF(ISNA(MATCH($D3851,'Paramètres'!$M:$M,0)),"⚠ Type inconnu",IF($L3851="Crédit","",IFERROR(INDEX('Paramètres'!$O:$O,MATCH($D3851,'Paramètres'!$M:$M,0))&amp;"",""))))</f>
        <v/>
      </c>
      <c r="N3851" s="6" t="str">
        <f>IF($D3851="","",IFERROR(INDEX('Paramètres'!$Q:$Q,MATCH($D3851,'Paramètres'!$M:$M,0))&amp;"",""))</f>
        <v/>
      </c>
      <c r="O3851" s="6" t="str">
        <f>IF($A3851="","",IF(OR($J3851&lt;&gt;"x",$A3851&lt;=FinReleve),1,0))</f>
        <v/>
      </c>
      <c r="P3851" s="6" t="str">
        <f>IF($D3851="","",IF(AND($L3851="Crédit",OR(IFERROR(INDEX('Paramètres'!$O:$O,MATCH($D3851,'Paramètres'!$M:$M,0))&amp;"","")&lt;&gt;"",ISNUMBER(SEARCH("remboursement",IFERROR(INDEX('Paramètres'!$N:$N,MATCH($D3851,'Paramètres'!$M:$M,0))&amp;"",""))))),1,0))</f>
        <v/>
      </c>
      <c r="Q3851" s="6" t="str">
        <f>IF($K3851="","",IF(ISNUMBER(SEARCH("transfert-interne",IFERROR(INDEX('Paramètres'!$N:$N,MATCH($D3851,'Paramètres'!$M:$M,0))&amp;"",""))),0,IF($L3851="Débit",$K3851,IF($P3851=1,-$K3851,0))))</f>
        <v/>
      </c>
      <c r="R3851" s="6" t="str">
        <f>IF($K3851="","",IF($L3851="Crédit",$K3851,-$K3851))</f>
        <v/>
      </c>
      <c r="S3851" s="6" t="str">
        <f>IF($C3851="","",IFERROR(INDEX('Paramètres'!$H:$H,MATCH($C3851,'Paramètres'!$D:$D,0))&amp;"",""))</f>
        <v/>
      </c>
      <c r="T3851" s="6" t="str">
        <f>IF($K3851="","",IF($S3851="",0,IF(ISNUMBER(SEARCH("apport-exterieur",IFERROR(INDEX('Paramètres'!$N:$N,MATCH($D3851,'Paramètres'!$M:$M,0))&amp;"",""))),0,IF(OR(IFERROR(INDEX('Paramètres'!$I:$I,MATCH($C3851,'Paramètres'!$D:$D,0))&amp;"","")="Les deux",IFERROR(INDEX('Paramètres'!$I:$I,MATCH($C3851,'Paramètres'!$D:$D,0))&amp;"","")=IF($P3851=1,"Débit",$L3851)),-IF($P3851=1,-$K3851,$K3851),0))))</f>
        <v/>
      </c>
      <c r="U3851" s="6" t="str">
        <f>IF($K3851="","",IF(ISNUMBER(SEARCH("sortie-epargne",IFERROR(INDEX('Paramètres'!$N:$N,MATCH($D3851,'Paramètres'!$M:$M,0))&amp;"",""))),$K3851,0))</f>
        <v/>
      </c>
      <c r="V3851" s="6" t="str">
        <f>IF(AND($A3851&lt;&gt;"",$O3851=1,$L3851="Débit",N($Q3851)&gt;0,$A3851&gt;=Visualisation!$B$1,$A3851&lt;Visualisation!$D$1),MAX($V$1:V3850)+1,"")</f>
        <v/>
      </c>
    </row>
    <row r="3852" spans="1:22" x14ac:dyDescent="0.25">
      <c r="A3852" s="9"/>
      <c r="E3852" s="10"/>
      <c r="K3852" s="11" t="str">
        <f>IF($E3852="","",ROUND($E3852*IF(ISNA(MATCH($C3852,'Paramètres'!$D:$D,0)),1,IF(INDEX('Paramètres'!$J:$J,MATCH($C3852,'Paramètres'!$D:$D,0))="",1,INDEX('Paramètres'!$J:$J,MATCH($C3852,'Paramètres'!$D:$D,0)))),2))</f>
        <v/>
      </c>
      <c r="L3852" s="6" t="str">
        <f>IF($D3852="","",IF($F3852&lt;&gt;"",$F3852,IF(ISNA(MATCH($D3852,'Paramètres'!$M:$M,0)),"⚠ Type inconnu",IFERROR(INDEX('Paramètres'!$P:$P,MATCH($D3852,'Paramètres'!$M:$M,0))&amp;"",""))))</f>
        <v/>
      </c>
      <c r="M3852" s="6" t="str">
        <f>IF($D3852="","",IF(ISNA(MATCH($D3852,'Paramètres'!$M:$M,0)),"⚠ Type inconnu",IF($L3852="Crédit","",IFERROR(INDEX('Paramètres'!$O:$O,MATCH($D3852,'Paramètres'!$M:$M,0))&amp;"",""))))</f>
        <v/>
      </c>
      <c r="N3852" s="6" t="str">
        <f>IF($D3852="","",IFERROR(INDEX('Paramètres'!$Q:$Q,MATCH($D3852,'Paramètres'!$M:$M,0))&amp;"",""))</f>
        <v/>
      </c>
      <c r="O3852" s="6" t="str">
        <f>IF($A3852="","",IF(OR($J3852&lt;&gt;"x",$A3852&lt;=FinReleve),1,0))</f>
        <v/>
      </c>
      <c r="P3852" s="6" t="str">
        <f>IF($D3852="","",IF(AND($L3852="Crédit",OR(IFERROR(INDEX('Paramètres'!$O:$O,MATCH($D3852,'Paramètres'!$M:$M,0))&amp;"","")&lt;&gt;"",ISNUMBER(SEARCH("remboursement",IFERROR(INDEX('Paramètres'!$N:$N,MATCH($D3852,'Paramètres'!$M:$M,0))&amp;"",""))))),1,0))</f>
        <v/>
      </c>
      <c r="Q3852" s="6" t="str">
        <f>IF($K3852="","",IF(ISNUMBER(SEARCH("transfert-interne",IFERROR(INDEX('Paramètres'!$N:$N,MATCH($D3852,'Paramètres'!$M:$M,0))&amp;"",""))),0,IF($L3852="Débit",$K3852,IF($P3852=1,-$K3852,0))))</f>
        <v/>
      </c>
      <c r="R3852" s="6" t="str">
        <f>IF($K3852="","",IF($L3852="Crédit",$K3852,-$K3852))</f>
        <v/>
      </c>
      <c r="S3852" s="6" t="str">
        <f>IF($C3852="","",IFERROR(INDEX('Paramètres'!$H:$H,MATCH($C3852,'Paramètres'!$D:$D,0))&amp;"",""))</f>
        <v/>
      </c>
      <c r="T3852" s="6" t="str">
        <f>IF($K3852="","",IF($S3852="",0,IF(ISNUMBER(SEARCH("apport-exterieur",IFERROR(INDEX('Paramètres'!$N:$N,MATCH($D3852,'Paramètres'!$M:$M,0))&amp;"",""))),0,IF(OR(IFERROR(INDEX('Paramètres'!$I:$I,MATCH($C3852,'Paramètres'!$D:$D,0))&amp;"","")="Les deux",IFERROR(INDEX('Paramètres'!$I:$I,MATCH($C3852,'Paramètres'!$D:$D,0))&amp;"","")=IF($P3852=1,"Débit",$L3852)),-IF($P3852=1,-$K3852,$K3852),0))))</f>
        <v/>
      </c>
      <c r="U3852" s="6" t="str">
        <f>IF($K3852="","",IF(ISNUMBER(SEARCH("sortie-epargne",IFERROR(INDEX('Paramètres'!$N:$N,MATCH($D3852,'Paramètres'!$M:$M,0))&amp;"",""))),$K3852,0))</f>
        <v/>
      </c>
      <c r="V3852" s="6" t="str">
        <f>IF(AND($A3852&lt;&gt;"",$O3852=1,$L3852="Débit",N($Q3852)&gt;0,$A3852&gt;=Visualisation!$B$1,$A3852&lt;Visualisation!$D$1),MAX($V$1:V3851)+1,"")</f>
        <v/>
      </c>
    </row>
    <row r="3853" spans="1:22" x14ac:dyDescent="0.25">
      <c r="A3853" s="9"/>
      <c r="E3853" s="10"/>
      <c r="K3853" s="11" t="str">
        <f>IF($E3853="","",ROUND($E3853*IF(ISNA(MATCH($C3853,'Paramètres'!$D:$D,0)),1,IF(INDEX('Paramètres'!$J:$J,MATCH($C3853,'Paramètres'!$D:$D,0))="",1,INDEX('Paramètres'!$J:$J,MATCH($C3853,'Paramètres'!$D:$D,0)))),2))</f>
        <v/>
      </c>
      <c r="L3853" s="6" t="str">
        <f>IF($D3853="","",IF($F3853&lt;&gt;"",$F3853,IF(ISNA(MATCH($D3853,'Paramètres'!$M:$M,0)),"⚠ Type inconnu",IFERROR(INDEX('Paramètres'!$P:$P,MATCH($D3853,'Paramètres'!$M:$M,0))&amp;"",""))))</f>
        <v/>
      </c>
      <c r="M3853" s="6" t="str">
        <f>IF($D3853="","",IF(ISNA(MATCH($D3853,'Paramètres'!$M:$M,0)),"⚠ Type inconnu",IF($L3853="Crédit","",IFERROR(INDEX('Paramètres'!$O:$O,MATCH($D3853,'Paramètres'!$M:$M,0))&amp;"",""))))</f>
        <v/>
      </c>
      <c r="N3853" s="6" t="str">
        <f>IF($D3853="","",IFERROR(INDEX('Paramètres'!$Q:$Q,MATCH($D3853,'Paramètres'!$M:$M,0))&amp;"",""))</f>
        <v/>
      </c>
      <c r="O3853" s="6" t="str">
        <f>IF($A3853="","",IF(OR($J3853&lt;&gt;"x",$A3853&lt;=FinReleve),1,0))</f>
        <v/>
      </c>
      <c r="P3853" s="6" t="str">
        <f>IF($D3853="","",IF(AND($L3853="Crédit",OR(IFERROR(INDEX('Paramètres'!$O:$O,MATCH($D3853,'Paramètres'!$M:$M,0))&amp;"","")&lt;&gt;"",ISNUMBER(SEARCH("remboursement",IFERROR(INDEX('Paramètres'!$N:$N,MATCH($D3853,'Paramètres'!$M:$M,0))&amp;"",""))))),1,0))</f>
        <v/>
      </c>
      <c r="Q3853" s="6" t="str">
        <f>IF($K3853="","",IF(ISNUMBER(SEARCH("transfert-interne",IFERROR(INDEX('Paramètres'!$N:$N,MATCH($D3853,'Paramètres'!$M:$M,0))&amp;"",""))),0,IF($L3853="Débit",$K3853,IF($P3853=1,-$K3853,0))))</f>
        <v/>
      </c>
      <c r="R3853" s="6" t="str">
        <f>IF($K3853="","",IF($L3853="Crédit",$K3853,-$K3853))</f>
        <v/>
      </c>
      <c r="S3853" s="6" t="str">
        <f>IF($C3853="","",IFERROR(INDEX('Paramètres'!$H:$H,MATCH($C3853,'Paramètres'!$D:$D,0))&amp;"",""))</f>
        <v/>
      </c>
      <c r="T3853" s="6" t="str">
        <f>IF($K3853="","",IF($S3853="",0,IF(ISNUMBER(SEARCH("apport-exterieur",IFERROR(INDEX('Paramètres'!$N:$N,MATCH($D3853,'Paramètres'!$M:$M,0))&amp;"",""))),0,IF(OR(IFERROR(INDEX('Paramètres'!$I:$I,MATCH($C3853,'Paramètres'!$D:$D,0))&amp;"","")="Les deux",IFERROR(INDEX('Paramètres'!$I:$I,MATCH($C3853,'Paramètres'!$D:$D,0))&amp;"","")=IF($P3853=1,"Débit",$L3853)),-IF($P3853=1,-$K3853,$K3853),0))))</f>
        <v/>
      </c>
      <c r="U3853" s="6" t="str">
        <f>IF($K3853="","",IF(ISNUMBER(SEARCH("sortie-epargne",IFERROR(INDEX('Paramètres'!$N:$N,MATCH($D3853,'Paramètres'!$M:$M,0))&amp;"",""))),$K3853,0))</f>
        <v/>
      </c>
      <c r="V3853" s="6" t="str">
        <f>IF(AND($A3853&lt;&gt;"",$O3853=1,$L3853="Débit",N($Q3853)&gt;0,$A3853&gt;=Visualisation!$B$1,$A3853&lt;Visualisation!$D$1),MAX($V$1:V3852)+1,"")</f>
        <v/>
      </c>
    </row>
    <row r="3854" spans="1:22" x14ac:dyDescent="0.25">
      <c r="A3854" s="9"/>
      <c r="E3854" s="10"/>
      <c r="K3854" s="11" t="str">
        <f>IF($E3854="","",ROUND($E3854*IF(ISNA(MATCH($C3854,'Paramètres'!$D:$D,0)),1,IF(INDEX('Paramètres'!$J:$J,MATCH($C3854,'Paramètres'!$D:$D,0))="",1,INDEX('Paramètres'!$J:$J,MATCH($C3854,'Paramètres'!$D:$D,0)))),2))</f>
        <v/>
      </c>
      <c r="L3854" s="6" t="str">
        <f>IF($D3854="","",IF($F3854&lt;&gt;"",$F3854,IF(ISNA(MATCH($D3854,'Paramètres'!$M:$M,0)),"⚠ Type inconnu",IFERROR(INDEX('Paramètres'!$P:$P,MATCH($D3854,'Paramètres'!$M:$M,0))&amp;"",""))))</f>
        <v/>
      </c>
      <c r="M3854" s="6" t="str">
        <f>IF($D3854="","",IF(ISNA(MATCH($D3854,'Paramètres'!$M:$M,0)),"⚠ Type inconnu",IF($L3854="Crédit","",IFERROR(INDEX('Paramètres'!$O:$O,MATCH($D3854,'Paramètres'!$M:$M,0))&amp;"",""))))</f>
        <v/>
      </c>
      <c r="N3854" s="6" t="str">
        <f>IF($D3854="","",IFERROR(INDEX('Paramètres'!$Q:$Q,MATCH($D3854,'Paramètres'!$M:$M,0))&amp;"",""))</f>
        <v/>
      </c>
      <c r="O3854" s="6" t="str">
        <f>IF($A3854="","",IF(OR($J3854&lt;&gt;"x",$A3854&lt;=FinReleve),1,0))</f>
        <v/>
      </c>
      <c r="P3854" s="6" t="str">
        <f>IF($D3854="","",IF(AND($L3854="Crédit",OR(IFERROR(INDEX('Paramètres'!$O:$O,MATCH($D3854,'Paramètres'!$M:$M,0))&amp;"","")&lt;&gt;"",ISNUMBER(SEARCH("remboursement",IFERROR(INDEX('Paramètres'!$N:$N,MATCH($D3854,'Paramètres'!$M:$M,0))&amp;"",""))))),1,0))</f>
        <v/>
      </c>
      <c r="Q3854" s="6" t="str">
        <f>IF($K3854="","",IF(ISNUMBER(SEARCH("transfert-interne",IFERROR(INDEX('Paramètres'!$N:$N,MATCH($D3854,'Paramètres'!$M:$M,0))&amp;"",""))),0,IF($L3854="Débit",$K3854,IF($P3854=1,-$K3854,0))))</f>
        <v/>
      </c>
      <c r="R3854" s="6" t="str">
        <f>IF($K3854="","",IF($L3854="Crédit",$K3854,-$K3854))</f>
        <v/>
      </c>
      <c r="S3854" s="6" t="str">
        <f>IF($C3854="","",IFERROR(INDEX('Paramètres'!$H:$H,MATCH($C3854,'Paramètres'!$D:$D,0))&amp;"",""))</f>
        <v/>
      </c>
      <c r="T3854" s="6" t="str">
        <f>IF($K3854="","",IF($S3854="",0,IF(ISNUMBER(SEARCH("apport-exterieur",IFERROR(INDEX('Paramètres'!$N:$N,MATCH($D3854,'Paramètres'!$M:$M,0))&amp;"",""))),0,IF(OR(IFERROR(INDEX('Paramètres'!$I:$I,MATCH($C3854,'Paramètres'!$D:$D,0))&amp;"","")="Les deux",IFERROR(INDEX('Paramètres'!$I:$I,MATCH($C3854,'Paramètres'!$D:$D,0))&amp;"","")=IF($P3854=1,"Débit",$L3854)),-IF($P3854=1,-$K3854,$K3854),0))))</f>
        <v/>
      </c>
      <c r="U3854" s="6" t="str">
        <f>IF($K3854="","",IF(ISNUMBER(SEARCH("sortie-epargne",IFERROR(INDEX('Paramètres'!$N:$N,MATCH($D3854,'Paramètres'!$M:$M,0))&amp;"",""))),$K3854,0))</f>
        <v/>
      </c>
      <c r="V3854" s="6" t="str">
        <f>IF(AND($A3854&lt;&gt;"",$O3854=1,$L3854="Débit",N($Q3854)&gt;0,$A3854&gt;=Visualisation!$B$1,$A3854&lt;Visualisation!$D$1),MAX($V$1:V3853)+1,"")</f>
        <v/>
      </c>
    </row>
    <row r="3855" spans="1:22" x14ac:dyDescent="0.25">
      <c r="A3855" s="9"/>
      <c r="E3855" s="10"/>
      <c r="K3855" s="11" t="str">
        <f>IF($E3855="","",ROUND($E3855*IF(ISNA(MATCH($C3855,'Paramètres'!$D:$D,0)),1,IF(INDEX('Paramètres'!$J:$J,MATCH($C3855,'Paramètres'!$D:$D,0))="",1,INDEX('Paramètres'!$J:$J,MATCH($C3855,'Paramètres'!$D:$D,0)))),2))</f>
        <v/>
      </c>
      <c r="L3855" s="6" t="str">
        <f>IF($D3855="","",IF($F3855&lt;&gt;"",$F3855,IF(ISNA(MATCH($D3855,'Paramètres'!$M:$M,0)),"⚠ Type inconnu",IFERROR(INDEX('Paramètres'!$P:$P,MATCH($D3855,'Paramètres'!$M:$M,0))&amp;"",""))))</f>
        <v/>
      </c>
      <c r="M3855" s="6" t="str">
        <f>IF($D3855="","",IF(ISNA(MATCH($D3855,'Paramètres'!$M:$M,0)),"⚠ Type inconnu",IF($L3855="Crédit","",IFERROR(INDEX('Paramètres'!$O:$O,MATCH($D3855,'Paramètres'!$M:$M,0))&amp;"",""))))</f>
        <v/>
      </c>
      <c r="N3855" s="6" t="str">
        <f>IF($D3855="","",IFERROR(INDEX('Paramètres'!$Q:$Q,MATCH($D3855,'Paramètres'!$M:$M,0))&amp;"",""))</f>
        <v/>
      </c>
      <c r="O3855" s="6" t="str">
        <f>IF($A3855="","",IF(OR($J3855&lt;&gt;"x",$A3855&lt;=FinReleve),1,0))</f>
        <v/>
      </c>
      <c r="P3855" s="6" t="str">
        <f>IF($D3855="","",IF(AND($L3855="Crédit",OR(IFERROR(INDEX('Paramètres'!$O:$O,MATCH($D3855,'Paramètres'!$M:$M,0))&amp;"","")&lt;&gt;"",ISNUMBER(SEARCH("remboursement",IFERROR(INDEX('Paramètres'!$N:$N,MATCH($D3855,'Paramètres'!$M:$M,0))&amp;"",""))))),1,0))</f>
        <v/>
      </c>
      <c r="Q3855" s="6" t="str">
        <f>IF($K3855="","",IF(ISNUMBER(SEARCH("transfert-interne",IFERROR(INDEX('Paramètres'!$N:$N,MATCH($D3855,'Paramètres'!$M:$M,0))&amp;"",""))),0,IF($L3855="Débit",$K3855,IF($P3855=1,-$K3855,0))))</f>
        <v/>
      </c>
      <c r="R3855" s="6" t="str">
        <f>IF($K3855="","",IF($L3855="Crédit",$K3855,-$K3855))</f>
        <v/>
      </c>
      <c r="S3855" s="6" t="str">
        <f>IF($C3855="","",IFERROR(INDEX('Paramètres'!$H:$H,MATCH($C3855,'Paramètres'!$D:$D,0))&amp;"",""))</f>
        <v/>
      </c>
      <c r="T3855" s="6" t="str">
        <f>IF($K3855="","",IF($S3855="",0,IF(ISNUMBER(SEARCH("apport-exterieur",IFERROR(INDEX('Paramètres'!$N:$N,MATCH($D3855,'Paramètres'!$M:$M,0))&amp;"",""))),0,IF(OR(IFERROR(INDEX('Paramètres'!$I:$I,MATCH($C3855,'Paramètres'!$D:$D,0))&amp;"","")="Les deux",IFERROR(INDEX('Paramètres'!$I:$I,MATCH($C3855,'Paramètres'!$D:$D,0))&amp;"","")=IF($P3855=1,"Débit",$L3855)),-IF($P3855=1,-$K3855,$K3855),0))))</f>
        <v/>
      </c>
      <c r="U3855" s="6" t="str">
        <f>IF($K3855="","",IF(ISNUMBER(SEARCH("sortie-epargne",IFERROR(INDEX('Paramètres'!$N:$N,MATCH($D3855,'Paramètres'!$M:$M,0))&amp;"",""))),$K3855,0))</f>
        <v/>
      </c>
      <c r="V3855" s="6" t="str">
        <f>IF(AND($A3855&lt;&gt;"",$O3855=1,$L3855="Débit",N($Q3855)&gt;0,$A3855&gt;=Visualisation!$B$1,$A3855&lt;Visualisation!$D$1),MAX($V$1:V3854)+1,"")</f>
        <v/>
      </c>
    </row>
    <row r="3856" spans="1:22" x14ac:dyDescent="0.25">
      <c r="A3856" s="9"/>
      <c r="E3856" s="10"/>
      <c r="K3856" s="11" t="str">
        <f>IF($E3856="","",ROUND($E3856*IF(ISNA(MATCH($C3856,'Paramètres'!$D:$D,0)),1,IF(INDEX('Paramètres'!$J:$J,MATCH($C3856,'Paramètres'!$D:$D,0))="",1,INDEX('Paramètres'!$J:$J,MATCH($C3856,'Paramètres'!$D:$D,0)))),2))</f>
        <v/>
      </c>
      <c r="L3856" s="6" t="str">
        <f>IF($D3856="","",IF($F3856&lt;&gt;"",$F3856,IF(ISNA(MATCH($D3856,'Paramètres'!$M:$M,0)),"⚠ Type inconnu",IFERROR(INDEX('Paramètres'!$P:$P,MATCH($D3856,'Paramètres'!$M:$M,0))&amp;"",""))))</f>
        <v/>
      </c>
      <c r="M3856" s="6" t="str">
        <f>IF($D3856="","",IF(ISNA(MATCH($D3856,'Paramètres'!$M:$M,0)),"⚠ Type inconnu",IF($L3856="Crédit","",IFERROR(INDEX('Paramètres'!$O:$O,MATCH($D3856,'Paramètres'!$M:$M,0))&amp;"",""))))</f>
        <v/>
      </c>
      <c r="N3856" s="6" t="str">
        <f>IF($D3856="","",IFERROR(INDEX('Paramètres'!$Q:$Q,MATCH($D3856,'Paramètres'!$M:$M,0))&amp;"",""))</f>
        <v/>
      </c>
      <c r="O3856" s="6" t="str">
        <f>IF($A3856="","",IF(OR($J3856&lt;&gt;"x",$A3856&lt;=FinReleve),1,0))</f>
        <v/>
      </c>
      <c r="P3856" s="6" t="str">
        <f>IF($D3856="","",IF(AND($L3856="Crédit",OR(IFERROR(INDEX('Paramètres'!$O:$O,MATCH($D3856,'Paramètres'!$M:$M,0))&amp;"","")&lt;&gt;"",ISNUMBER(SEARCH("remboursement",IFERROR(INDEX('Paramètres'!$N:$N,MATCH($D3856,'Paramètres'!$M:$M,0))&amp;"",""))))),1,0))</f>
        <v/>
      </c>
      <c r="Q3856" s="6" t="str">
        <f>IF($K3856="","",IF(ISNUMBER(SEARCH("transfert-interne",IFERROR(INDEX('Paramètres'!$N:$N,MATCH($D3856,'Paramètres'!$M:$M,0))&amp;"",""))),0,IF($L3856="Débit",$K3856,IF($P3856=1,-$K3856,0))))</f>
        <v/>
      </c>
      <c r="R3856" s="6" t="str">
        <f>IF($K3856="","",IF($L3856="Crédit",$K3856,-$K3856))</f>
        <v/>
      </c>
      <c r="S3856" s="6" t="str">
        <f>IF($C3856="","",IFERROR(INDEX('Paramètres'!$H:$H,MATCH($C3856,'Paramètres'!$D:$D,0))&amp;"",""))</f>
        <v/>
      </c>
      <c r="T3856" s="6" t="str">
        <f>IF($K3856="","",IF($S3856="",0,IF(ISNUMBER(SEARCH("apport-exterieur",IFERROR(INDEX('Paramètres'!$N:$N,MATCH($D3856,'Paramètres'!$M:$M,0))&amp;"",""))),0,IF(OR(IFERROR(INDEX('Paramètres'!$I:$I,MATCH($C3856,'Paramètres'!$D:$D,0))&amp;"","")="Les deux",IFERROR(INDEX('Paramètres'!$I:$I,MATCH($C3856,'Paramètres'!$D:$D,0))&amp;"","")=IF($P3856=1,"Débit",$L3856)),-IF($P3856=1,-$K3856,$K3856),0))))</f>
        <v/>
      </c>
      <c r="U3856" s="6" t="str">
        <f>IF($K3856="","",IF(ISNUMBER(SEARCH("sortie-epargne",IFERROR(INDEX('Paramètres'!$N:$N,MATCH($D3856,'Paramètres'!$M:$M,0))&amp;"",""))),$K3856,0))</f>
        <v/>
      </c>
      <c r="V3856" s="6" t="str">
        <f>IF(AND($A3856&lt;&gt;"",$O3856=1,$L3856="Débit",N($Q3856)&gt;0,$A3856&gt;=Visualisation!$B$1,$A3856&lt;Visualisation!$D$1),MAX($V$1:V3855)+1,"")</f>
        <v/>
      </c>
    </row>
    <row r="3857" spans="1:22" x14ac:dyDescent="0.25">
      <c r="A3857" s="9"/>
      <c r="E3857" s="10"/>
      <c r="K3857" s="11" t="str">
        <f>IF($E3857="","",ROUND($E3857*IF(ISNA(MATCH($C3857,'Paramètres'!$D:$D,0)),1,IF(INDEX('Paramètres'!$J:$J,MATCH($C3857,'Paramètres'!$D:$D,0))="",1,INDEX('Paramètres'!$J:$J,MATCH($C3857,'Paramètres'!$D:$D,0)))),2))</f>
        <v/>
      </c>
      <c r="L3857" s="6" t="str">
        <f>IF($D3857="","",IF($F3857&lt;&gt;"",$F3857,IF(ISNA(MATCH($D3857,'Paramètres'!$M:$M,0)),"⚠ Type inconnu",IFERROR(INDEX('Paramètres'!$P:$P,MATCH($D3857,'Paramètres'!$M:$M,0))&amp;"",""))))</f>
        <v/>
      </c>
      <c r="M3857" s="6" t="str">
        <f>IF($D3857="","",IF(ISNA(MATCH($D3857,'Paramètres'!$M:$M,0)),"⚠ Type inconnu",IF($L3857="Crédit","",IFERROR(INDEX('Paramètres'!$O:$O,MATCH($D3857,'Paramètres'!$M:$M,0))&amp;"",""))))</f>
        <v/>
      </c>
      <c r="N3857" s="6" t="str">
        <f>IF($D3857="","",IFERROR(INDEX('Paramètres'!$Q:$Q,MATCH($D3857,'Paramètres'!$M:$M,0))&amp;"",""))</f>
        <v/>
      </c>
      <c r="O3857" s="6" t="str">
        <f>IF($A3857="","",IF(OR($J3857&lt;&gt;"x",$A3857&lt;=FinReleve),1,0))</f>
        <v/>
      </c>
      <c r="P3857" s="6" t="str">
        <f>IF($D3857="","",IF(AND($L3857="Crédit",OR(IFERROR(INDEX('Paramètres'!$O:$O,MATCH($D3857,'Paramètres'!$M:$M,0))&amp;"","")&lt;&gt;"",ISNUMBER(SEARCH("remboursement",IFERROR(INDEX('Paramètres'!$N:$N,MATCH($D3857,'Paramètres'!$M:$M,0))&amp;"",""))))),1,0))</f>
        <v/>
      </c>
      <c r="Q3857" s="6" t="str">
        <f>IF($K3857="","",IF(ISNUMBER(SEARCH("transfert-interne",IFERROR(INDEX('Paramètres'!$N:$N,MATCH($D3857,'Paramètres'!$M:$M,0))&amp;"",""))),0,IF($L3857="Débit",$K3857,IF($P3857=1,-$K3857,0))))</f>
        <v/>
      </c>
      <c r="R3857" s="6" t="str">
        <f>IF($K3857="","",IF($L3857="Crédit",$K3857,-$K3857))</f>
        <v/>
      </c>
      <c r="S3857" s="6" t="str">
        <f>IF($C3857="","",IFERROR(INDEX('Paramètres'!$H:$H,MATCH($C3857,'Paramètres'!$D:$D,0))&amp;"",""))</f>
        <v/>
      </c>
      <c r="T3857" s="6" t="str">
        <f>IF($K3857="","",IF($S3857="",0,IF(ISNUMBER(SEARCH("apport-exterieur",IFERROR(INDEX('Paramètres'!$N:$N,MATCH($D3857,'Paramètres'!$M:$M,0))&amp;"",""))),0,IF(OR(IFERROR(INDEX('Paramètres'!$I:$I,MATCH($C3857,'Paramètres'!$D:$D,0))&amp;"","")="Les deux",IFERROR(INDEX('Paramètres'!$I:$I,MATCH($C3857,'Paramètres'!$D:$D,0))&amp;"","")=IF($P3857=1,"Débit",$L3857)),-IF($P3857=1,-$K3857,$K3857),0))))</f>
        <v/>
      </c>
      <c r="U3857" s="6" t="str">
        <f>IF($K3857="","",IF(ISNUMBER(SEARCH("sortie-epargne",IFERROR(INDEX('Paramètres'!$N:$N,MATCH($D3857,'Paramètres'!$M:$M,0))&amp;"",""))),$K3857,0))</f>
        <v/>
      </c>
      <c r="V3857" s="6" t="str">
        <f>IF(AND($A3857&lt;&gt;"",$O3857=1,$L3857="Débit",N($Q3857)&gt;0,$A3857&gt;=Visualisation!$B$1,$A3857&lt;Visualisation!$D$1),MAX($V$1:V3856)+1,"")</f>
        <v/>
      </c>
    </row>
    <row r="3858" spans="1:22" x14ac:dyDescent="0.25">
      <c r="A3858" s="9"/>
      <c r="E3858" s="10"/>
      <c r="K3858" s="11" t="str">
        <f>IF($E3858="","",ROUND($E3858*IF(ISNA(MATCH($C3858,'Paramètres'!$D:$D,0)),1,IF(INDEX('Paramètres'!$J:$J,MATCH($C3858,'Paramètres'!$D:$D,0))="",1,INDEX('Paramètres'!$J:$J,MATCH($C3858,'Paramètres'!$D:$D,0)))),2))</f>
        <v/>
      </c>
      <c r="L3858" s="6" t="str">
        <f>IF($D3858="","",IF($F3858&lt;&gt;"",$F3858,IF(ISNA(MATCH($D3858,'Paramètres'!$M:$M,0)),"⚠ Type inconnu",IFERROR(INDEX('Paramètres'!$P:$P,MATCH($D3858,'Paramètres'!$M:$M,0))&amp;"",""))))</f>
        <v/>
      </c>
      <c r="M3858" s="6" t="str">
        <f>IF($D3858="","",IF(ISNA(MATCH($D3858,'Paramètres'!$M:$M,0)),"⚠ Type inconnu",IF($L3858="Crédit","",IFERROR(INDEX('Paramètres'!$O:$O,MATCH($D3858,'Paramètres'!$M:$M,0))&amp;"",""))))</f>
        <v/>
      </c>
      <c r="N3858" s="6" t="str">
        <f>IF($D3858="","",IFERROR(INDEX('Paramètres'!$Q:$Q,MATCH($D3858,'Paramètres'!$M:$M,0))&amp;"",""))</f>
        <v/>
      </c>
      <c r="O3858" s="6" t="str">
        <f>IF($A3858="","",IF(OR($J3858&lt;&gt;"x",$A3858&lt;=FinReleve),1,0))</f>
        <v/>
      </c>
      <c r="P3858" s="6" t="str">
        <f>IF($D3858="","",IF(AND($L3858="Crédit",OR(IFERROR(INDEX('Paramètres'!$O:$O,MATCH($D3858,'Paramètres'!$M:$M,0))&amp;"","")&lt;&gt;"",ISNUMBER(SEARCH("remboursement",IFERROR(INDEX('Paramètres'!$N:$N,MATCH($D3858,'Paramètres'!$M:$M,0))&amp;"",""))))),1,0))</f>
        <v/>
      </c>
      <c r="Q3858" s="6" t="str">
        <f>IF($K3858="","",IF(ISNUMBER(SEARCH("transfert-interne",IFERROR(INDEX('Paramètres'!$N:$N,MATCH($D3858,'Paramètres'!$M:$M,0))&amp;"",""))),0,IF($L3858="Débit",$K3858,IF($P3858=1,-$K3858,0))))</f>
        <v/>
      </c>
      <c r="R3858" s="6" t="str">
        <f>IF($K3858="","",IF($L3858="Crédit",$K3858,-$K3858))</f>
        <v/>
      </c>
      <c r="S3858" s="6" t="str">
        <f>IF($C3858="","",IFERROR(INDEX('Paramètres'!$H:$H,MATCH($C3858,'Paramètres'!$D:$D,0))&amp;"",""))</f>
        <v/>
      </c>
      <c r="T3858" s="6" t="str">
        <f>IF($K3858="","",IF($S3858="",0,IF(ISNUMBER(SEARCH("apport-exterieur",IFERROR(INDEX('Paramètres'!$N:$N,MATCH($D3858,'Paramètres'!$M:$M,0))&amp;"",""))),0,IF(OR(IFERROR(INDEX('Paramètres'!$I:$I,MATCH($C3858,'Paramètres'!$D:$D,0))&amp;"","")="Les deux",IFERROR(INDEX('Paramètres'!$I:$I,MATCH($C3858,'Paramètres'!$D:$D,0))&amp;"","")=IF($P3858=1,"Débit",$L3858)),-IF($P3858=1,-$K3858,$K3858),0))))</f>
        <v/>
      </c>
      <c r="U3858" s="6" t="str">
        <f>IF($K3858="","",IF(ISNUMBER(SEARCH("sortie-epargne",IFERROR(INDEX('Paramètres'!$N:$N,MATCH($D3858,'Paramètres'!$M:$M,0))&amp;"",""))),$K3858,0))</f>
        <v/>
      </c>
      <c r="V3858" s="6" t="str">
        <f>IF(AND($A3858&lt;&gt;"",$O3858=1,$L3858="Débit",N($Q3858)&gt;0,$A3858&gt;=Visualisation!$B$1,$A3858&lt;Visualisation!$D$1),MAX($V$1:V3857)+1,"")</f>
        <v/>
      </c>
    </row>
    <row r="3859" spans="1:22" x14ac:dyDescent="0.25">
      <c r="A3859" s="9"/>
      <c r="E3859" s="10"/>
      <c r="K3859" s="11" t="str">
        <f>IF($E3859="","",ROUND($E3859*IF(ISNA(MATCH($C3859,'Paramètres'!$D:$D,0)),1,IF(INDEX('Paramètres'!$J:$J,MATCH($C3859,'Paramètres'!$D:$D,0))="",1,INDEX('Paramètres'!$J:$J,MATCH($C3859,'Paramètres'!$D:$D,0)))),2))</f>
        <v/>
      </c>
      <c r="L3859" s="6" t="str">
        <f>IF($D3859="","",IF($F3859&lt;&gt;"",$F3859,IF(ISNA(MATCH($D3859,'Paramètres'!$M:$M,0)),"⚠ Type inconnu",IFERROR(INDEX('Paramètres'!$P:$P,MATCH($D3859,'Paramètres'!$M:$M,0))&amp;"",""))))</f>
        <v/>
      </c>
      <c r="M3859" s="6" t="str">
        <f>IF($D3859="","",IF(ISNA(MATCH($D3859,'Paramètres'!$M:$M,0)),"⚠ Type inconnu",IF($L3859="Crédit","",IFERROR(INDEX('Paramètres'!$O:$O,MATCH($D3859,'Paramètres'!$M:$M,0))&amp;"",""))))</f>
        <v/>
      </c>
      <c r="N3859" s="6" t="str">
        <f>IF($D3859="","",IFERROR(INDEX('Paramètres'!$Q:$Q,MATCH($D3859,'Paramètres'!$M:$M,0))&amp;"",""))</f>
        <v/>
      </c>
      <c r="O3859" s="6" t="str">
        <f>IF($A3859="","",IF(OR($J3859&lt;&gt;"x",$A3859&lt;=FinReleve),1,0))</f>
        <v/>
      </c>
      <c r="P3859" s="6" t="str">
        <f>IF($D3859="","",IF(AND($L3859="Crédit",OR(IFERROR(INDEX('Paramètres'!$O:$O,MATCH($D3859,'Paramètres'!$M:$M,0))&amp;"","")&lt;&gt;"",ISNUMBER(SEARCH("remboursement",IFERROR(INDEX('Paramètres'!$N:$N,MATCH($D3859,'Paramètres'!$M:$M,0))&amp;"",""))))),1,0))</f>
        <v/>
      </c>
      <c r="Q3859" s="6" t="str">
        <f>IF($K3859="","",IF(ISNUMBER(SEARCH("transfert-interne",IFERROR(INDEX('Paramètres'!$N:$N,MATCH($D3859,'Paramètres'!$M:$M,0))&amp;"",""))),0,IF($L3859="Débit",$K3859,IF($P3859=1,-$K3859,0))))</f>
        <v/>
      </c>
      <c r="R3859" s="6" t="str">
        <f>IF($K3859="","",IF($L3859="Crédit",$K3859,-$K3859))</f>
        <v/>
      </c>
      <c r="S3859" s="6" t="str">
        <f>IF($C3859="","",IFERROR(INDEX('Paramètres'!$H:$H,MATCH($C3859,'Paramètres'!$D:$D,0))&amp;"",""))</f>
        <v/>
      </c>
      <c r="T3859" s="6" t="str">
        <f>IF($K3859="","",IF($S3859="",0,IF(ISNUMBER(SEARCH("apport-exterieur",IFERROR(INDEX('Paramètres'!$N:$N,MATCH($D3859,'Paramètres'!$M:$M,0))&amp;"",""))),0,IF(OR(IFERROR(INDEX('Paramètres'!$I:$I,MATCH($C3859,'Paramètres'!$D:$D,0))&amp;"","")="Les deux",IFERROR(INDEX('Paramètres'!$I:$I,MATCH($C3859,'Paramètres'!$D:$D,0))&amp;"","")=IF($P3859=1,"Débit",$L3859)),-IF($P3859=1,-$K3859,$K3859),0))))</f>
        <v/>
      </c>
      <c r="U3859" s="6" t="str">
        <f>IF($K3859="","",IF(ISNUMBER(SEARCH("sortie-epargne",IFERROR(INDEX('Paramètres'!$N:$N,MATCH($D3859,'Paramètres'!$M:$M,0))&amp;"",""))),$K3859,0))</f>
        <v/>
      </c>
      <c r="V3859" s="6" t="str">
        <f>IF(AND($A3859&lt;&gt;"",$O3859=1,$L3859="Débit",N($Q3859)&gt;0,$A3859&gt;=Visualisation!$B$1,$A3859&lt;Visualisation!$D$1),MAX($V$1:V3858)+1,"")</f>
        <v/>
      </c>
    </row>
    <row r="3860" spans="1:22" x14ac:dyDescent="0.25">
      <c r="A3860" s="9"/>
      <c r="E3860" s="10"/>
      <c r="K3860" s="11" t="str">
        <f>IF($E3860="","",ROUND($E3860*IF(ISNA(MATCH($C3860,'Paramètres'!$D:$D,0)),1,IF(INDEX('Paramètres'!$J:$J,MATCH($C3860,'Paramètres'!$D:$D,0))="",1,INDEX('Paramètres'!$J:$J,MATCH($C3860,'Paramètres'!$D:$D,0)))),2))</f>
        <v/>
      </c>
      <c r="L3860" s="6" t="str">
        <f>IF($D3860="","",IF($F3860&lt;&gt;"",$F3860,IF(ISNA(MATCH($D3860,'Paramètres'!$M:$M,0)),"⚠ Type inconnu",IFERROR(INDEX('Paramètres'!$P:$P,MATCH($D3860,'Paramètres'!$M:$M,0))&amp;"",""))))</f>
        <v/>
      </c>
      <c r="M3860" s="6" t="str">
        <f>IF($D3860="","",IF(ISNA(MATCH($D3860,'Paramètres'!$M:$M,0)),"⚠ Type inconnu",IF($L3860="Crédit","",IFERROR(INDEX('Paramètres'!$O:$O,MATCH($D3860,'Paramètres'!$M:$M,0))&amp;"",""))))</f>
        <v/>
      </c>
      <c r="N3860" s="6" t="str">
        <f>IF($D3860="","",IFERROR(INDEX('Paramètres'!$Q:$Q,MATCH($D3860,'Paramètres'!$M:$M,0))&amp;"",""))</f>
        <v/>
      </c>
      <c r="O3860" s="6" t="str">
        <f>IF($A3860="","",IF(OR($J3860&lt;&gt;"x",$A3860&lt;=FinReleve),1,0))</f>
        <v/>
      </c>
      <c r="P3860" s="6" t="str">
        <f>IF($D3860="","",IF(AND($L3860="Crédit",OR(IFERROR(INDEX('Paramètres'!$O:$O,MATCH($D3860,'Paramètres'!$M:$M,0))&amp;"","")&lt;&gt;"",ISNUMBER(SEARCH("remboursement",IFERROR(INDEX('Paramètres'!$N:$N,MATCH($D3860,'Paramètres'!$M:$M,0))&amp;"",""))))),1,0))</f>
        <v/>
      </c>
      <c r="Q3860" s="6" t="str">
        <f>IF($K3860="","",IF(ISNUMBER(SEARCH("transfert-interne",IFERROR(INDEX('Paramètres'!$N:$N,MATCH($D3860,'Paramètres'!$M:$M,0))&amp;"",""))),0,IF($L3860="Débit",$K3860,IF($P3860=1,-$K3860,0))))</f>
        <v/>
      </c>
      <c r="R3860" s="6" t="str">
        <f>IF($K3860="","",IF($L3860="Crédit",$K3860,-$K3860))</f>
        <v/>
      </c>
      <c r="S3860" s="6" t="str">
        <f>IF($C3860="","",IFERROR(INDEX('Paramètres'!$H:$H,MATCH($C3860,'Paramètres'!$D:$D,0))&amp;"",""))</f>
        <v/>
      </c>
      <c r="T3860" s="6" t="str">
        <f>IF($K3860="","",IF($S3860="",0,IF(ISNUMBER(SEARCH("apport-exterieur",IFERROR(INDEX('Paramètres'!$N:$N,MATCH($D3860,'Paramètres'!$M:$M,0))&amp;"",""))),0,IF(OR(IFERROR(INDEX('Paramètres'!$I:$I,MATCH($C3860,'Paramètres'!$D:$D,0))&amp;"","")="Les deux",IFERROR(INDEX('Paramètres'!$I:$I,MATCH($C3860,'Paramètres'!$D:$D,0))&amp;"","")=IF($P3860=1,"Débit",$L3860)),-IF($P3860=1,-$K3860,$K3860),0))))</f>
        <v/>
      </c>
      <c r="U3860" s="6" t="str">
        <f>IF($K3860="","",IF(ISNUMBER(SEARCH("sortie-epargne",IFERROR(INDEX('Paramètres'!$N:$N,MATCH($D3860,'Paramètres'!$M:$M,0))&amp;"",""))),$K3860,0))</f>
        <v/>
      </c>
      <c r="V3860" s="6" t="str">
        <f>IF(AND($A3860&lt;&gt;"",$O3860=1,$L3860="Débit",N($Q3860)&gt;0,$A3860&gt;=Visualisation!$B$1,$A3860&lt;Visualisation!$D$1),MAX($V$1:V3859)+1,"")</f>
        <v/>
      </c>
    </row>
    <row r="3861" spans="1:22" x14ac:dyDescent="0.25">
      <c r="A3861" s="9"/>
      <c r="E3861" s="10"/>
      <c r="K3861" s="11" t="str">
        <f>IF($E3861="","",ROUND($E3861*IF(ISNA(MATCH($C3861,'Paramètres'!$D:$D,0)),1,IF(INDEX('Paramètres'!$J:$J,MATCH($C3861,'Paramètres'!$D:$D,0))="",1,INDEX('Paramètres'!$J:$J,MATCH($C3861,'Paramètres'!$D:$D,0)))),2))</f>
        <v/>
      </c>
      <c r="L3861" s="6" t="str">
        <f>IF($D3861="","",IF($F3861&lt;&gt;"",$F3861,IF(ISNA(MATCH($D3861,'Paramètres'!$M:$M,0)),"⚠ Type inconnu",IFERROR(INDEX('Paramètres'!$P:$P,MATCH($D3861,'Paramètres'!$M:$M,0))&amp;"",""))))</f>
        <v/>
      </c>
      <c r="M3861" s="6" t="str">
        <f>IF($D3861="","",IF(ISNA(MATCH($D3861,'Paramètres'!$M:$M,0)),"⚠ Type inconnu",IF($L3861="Crédit","",IFERROR(INDEX('Paramètres'!$O:$O,MATCH($D3861,'Paramètres'!$M:$M,0))&amp;"",""))))</f>
        <v/>
      </c>
      <c r="N3861" s="6" t="str">
        <f>IF($D3861="","",IFERROR(INDEX('Paramètres'!$Q:$Q,MATCH($D3861,'Paramètres'!$M:$M,0))&amp;"",""))</f>
        <v/>
      </c>
      <c r="O3861" s="6" t="str">
        <f>IF($A3861="","",IF(OR($J3861&lt;&gt;"x",$A3861&lt;=FinReleve),1,0))</f>
        <v/>
      </c>
      <c r="P3861" s="6" t="str">
        <f>IF($D3861="","",IF(AND($L3861="Crédit",OR(IFERROR(INDEX('Paramètres'!$O:$O,MATCH($D3861,'Paramètres'!$M:$M,0))&amp;"","")&lt;&gt;"",ISNUMBER(SEARCH("remboursement",IFERROR(INDEX('Paramètres'!$N:$N,MATCH($D3861,'Paramètres'!$M:$M,0))&amp;"",""))))),1,0))</f>
        <v/>
      </c>
      <c r="Q3861" s="6" t="str">
        <f>IF($K3861="","",IF(ISNUMBER(SEARCH("transfert-interne",IFERROR(INDEX('Paramètres'!$N:$N,MATCH($D3861,'Paramètres'!$M:$M,0))&amp;"",""))),0,IF($L3861="Débit",$K3861,IF($P3861=1,-$K3861,0))))</f>
        <v/>
      </c>
      <c r="R3861" s="6" t="str">
        <f>IF($K3861="","",IF($L3861="Crédit",$K3861,-$K3861))</f>
        <v/>
      </c>
      <c r="S3861" s="6" t="str">
        <f>IF($C3861="","",IFERROR(INDEX('Paramètres'!$H:$H,MATCH($C3861,'Paramètres'!$D:$D,0))&amp;"",""))</f>
        <v/>
      </c>
      <c r="T3861" s="6" t="str">
        <f>IF($K3861="","",IF($S3861="",0,IF(ISNUMBER(SEARCH("apport-exterieur",IFERROR(INDEX('Paramètres'!$N:$N,MATCH($D3861,'Paramètres'!$M:$M,0))&amp;"",""))),0,IF(OR(IFERROR(INDEX('Paramètres'!$I:$I,MATCH($C3861,'Paramètres'!$D:$D,0))&amp;"","")="Les deux",IFERROR(INDEX('Paramètres'!$I:$I,MATCH($C3861,'Paramètres'!$D:$D,0))&amp;"","")=IF($P3861=1,"Débit",$L3861)),-IF($P3861=1,-$K3861,$K3861),0))))</f>
        <v/>
      </c>
      <c r="U3861" s="6" t="str">
        <f>IF($K3861="","",IF(ISNUMBER(SEARCH("sortie-epargne",IFERROR(INDEX('Paramètres'!$N:$N,MATCH($D3861,'Paramètres'!$M:$M,0))&amp;"",""))),$K3861,0))</f>
        <v/>
      </c>
      <c r="V3861" s="6" t="str">
        <f>IF(AND($A3861&lt;&gt;"",$O3861=1,$L3861="Débit",N($Q3861)&gt;0,$A3861&gt;=Visualisation!$B$1,$A3861&lt;Visualisation!$D$1),MAX($V$1:V3860)+1,"")</f>
        <v/>
      </c>
    </row>
    <row r="3862" spans="1:22" x14ac:dyDescent="0.25">
      <c r="A3862" s="9"/>
      <c r="E3862" s="10"/>
      <c r="K3862" s="11" t="str">
        <f>IF($E3862="","",ROUND($E3862*IF(ISNA(MATCH($C3862,'Paramètres'!$D:$D,0)),1,IF(INDEX('Paramètres'!$J:$J,MATCH($C3862,'Paramètres'!$D:$D,0))="",1,INDEX('Paramètres'!$J:$J,MATCH($C3862,'Paramètres'!$D:$D,0)))),2))</f>
        <v/>
      </c>
      <c r="L3862" s="6" t="str">
        <f>IF($D3862="","",IF($F3862&lt;&gt;"",$F3862,IF(ISNA(MATCH($D3862,'Paramètres'!$M:$M,0)),"⚠ Type inconnu",IFERROR(INDEX('Paramètres'!$P:$P,MATCH($D3862,'Paramètres'!$M:$M,0))&amp;"",""))))</f>
        <v/>
      </c>
      <c r="M3862" s="6" t="str">
        <f>IF($D3862="","",IF(ISNA(MATCH($D3862,'Paramètres'!$M:$M,0)),"⚠ Type inconnu",IF($L3862="Crédit","",IFERROR(INDEX('Paramètres'!$O:$O,MATCH($D3862,'Paramètres'!$M:$M,0))&amp;"",""))))</f>
        <v/>
      </c>
      <c r="N3862" s="6" t="str">
        <f>IF($D3862="","",IFERROR(INDEX('Paramètres'!$Q:$Q,MATCH($D3862,'Paramètres'!$M:$M,0))&amp;"",""))</f>
        <v/>
      </c>
      <c r="O3862" s="6" t="str">
        <f>IF($A3862="","",IF(OR($J3862&lt;&gt;"x",$A3862&lt;=FinReleve),1,0))</f>
        <v/>
      </c>
      <c r="P3862" s="6" t="str">
        <f>IF($D3862="","",IF(AND($L3862="Crédit",OR(IFERROR(INDEX('Paramètres'!$O:$O,MATCH($D3862,'Paramètres'!$M:$M,0))&amp;"","")&lt;&gt;"",ISNUMBER(SEARCH("remboursement",IFERROR(INDEX('Paramètres'!$N:$N,MATCH($D3862,'Paramètres'!$M:$M,0))&amp;"",""))))),1,0))</f>
        <v/>
      </c>
      <c r="Q3862" s="6" t="str">
        <f>IF($K3862="","",IF(ISNUMBER(SEARCH("transfert-interne",IFERROR(INDEX('Paramètres'!$N:$N,MATCH($D3862,'Paramètres'!$M:$M,0))&amp;"",""))),0,IF($L3862="Débit",$K3862,IF($P3862=1,-$K3862,0))))</f>
        <v/>
      </c>
      <c r="R3862" s="6" t="str">
        <f>IF($K3862="","",IF($L3862="Crédit",$K3862,-$K3862))</f>
        <v/>
      </c>
      <c r="S3862" s="6" t="str">
        <f>IF($C3862="","",IFERROR(INDEX('Paramètres'!$H:$H,MATCH($C3862,'Paramètres'!$D:$D,0))&amp;"",""))</f>
        <v/>
      </c>
      <c r="T3862" s="6" t="str">
        <f>IF($K3862="","",IF($S3862="",0,IF(ISNUMBER(SEARCH("apport-exterieur",IFERROR(INDEX('Paramètres'!$N:$N,MATCH($D3862,'Paramètres'!$M:$M,0))&amp;"",""))),0,IF(OR(IFERROR(INDEX('Paramètres'!$I:$I,MATCH($C3862,'Paramètres'!$D:$D,0))&amp;"","")="Les deux",IFERROR(INDEX('Paramètres'!$I:$I,MATCH($C3862,'Paramètres'!$D:$D,0))&amp;"","")=IF($P3862=1,"Débit",$L3862)),-IF($P3862=1,-$K3862,$K3862),0))))</f>
        <v/>
      </c>
      <c r="U3862" s="6" t="str">
        <f>IF($K3862="","",IF(ISNUMBER(SEARCH("sortie-epargne",IFERROR(INDEX('Paramètres'!$N:$N,MATCH($D3862,'Paramètres'!$M:$M,0))&amp;"",""))),$K3862,0))</f>
        <v/>
      </c>
      <c r="V3862" s="6" t="str">
        <f>IF(AND($A3862&lt;&gt;"",$O3862=1,$L3862="Débit",N($Q3862)&gt;0,$A3862&gt;=Visualisation!$B$1,$A3862&lt;Visualisation!$D$1),MAX($V$1:V3861)+1,"")</f>
        <v/>
      </c>
    </row>
    <row r="3863" spans="1:22" x14ac:dyDescent="0.25">
      <c r="A3863" s="9"/>
      <c r="E3863" s="10"/>
      <c r="K3863" s="11" t="str">
        <f>IF($E3863="","",ROUND($E3863*IF(ISNA(MATCH($C3863,'Paramètres'!$D:$D,0)),1,IF(INDEX('Paramètres'!$J:$J,MATCH($C3863,'Paramètres'!$D:$D,0))="",1,INDEX('Paramètres'!$J:$J,MATCH($C3863,'Paramètres'!$D:$D,0)))),2))</f>
        <v/>
      </c>
      <c r="L3863" s="6" t="str">
        <f>IF($D3863="","",IF($F3863&lt;&gt;"",$F3863,IF(ISNA(MATCH($D3863,'Paramètres'!$M:$M,0)),"⚠ Type inconnu",IFERROR(INDEX('Paramètres'!$P:$P,MATCH($D3863,'Paramètres'!$M:$M,0))&amp;"",""))))</f>
        <v/>
      </c>
      <c r="M3863" s="6" t="str">
        <f>IF($D3863="","",IF(ISNA(MATCH($D3863,'Paramètres'!$M:$M,0)),"⚠ Type inconnu",IF($L3863="Crédit","",IFERROR(INDEX('Paramètres'!$O:$O,MATCH($D3863,'Paramètres'!$M:$M,0))&amp;"",""))))</f>
        <v/>
      </c>
      <c r="N3863" s="6" t="str">
        <f>IF($D3863="","",IFERROR(INDEX('Paramètres'!$Q:$Q,MATCH($D3863,'Paramètres'!$M:$M,0))&amp;"",""))</f>
        <v/>
      </c>
      <c r="O3863" s="6" t="str">
        <f>IF($A3863="","",IF(OR($J3863&lt;&gt;"x",$A3863&lt;=FinReleve),1,0))</f>
        <v/>
      </c>
      <c r="P3863" s="6" t="str">
        <f>IF($D3863="","",IF(AND($L3863="Crédit",OR(IFERROR(INDEX('Paramètres'!$O:$O,MATCH($D3863,'Paramètres'!$M:$M,0))&amp;"","")&lt;&gt;"",ISNUMBER(SEARCH("remboursement",IFERROR(INDEX('Paramètres'!$N:$N,MATCH($D3863,'Paramètres'!$M:$M,0))&amp;"",""))))),1,0))</f>
        <v/>
      </c>
      <c r="Q3863" s="6" t="str">
        <f>IF($K3863="","",IF(ISNUMBER(SEARCH("transfert-interne",IFERROR(INDEX('Paramètres'!$N:$N,MATCH($D3863,'Paramètres'!$M:$M,0))&amp;"",""))),0,IF($L3863="Débit",$K3863,IF($P3863=1,-$K3863,0))))</f>
        <v/>
      </c>
      <c r="R3863" s="6" t="str">
        <f>IF($K3863="","",IF($L3863="Crédit",$K3863,-$K3863))</f>
        <v/>
      </c>
      <c r="S3863" s="6" t="str">
        <f>IF($C3863="","",IFERROR(INDEX('Paramètres'!$H:$H,MATCH($C3863,'Paramètres'!$D:$D,0))&amp;"",""))</f>
        <v/>
      </c>
      <c r="T3863" s="6" t="str">
        <f>IF($K3863="","",IF($S3863="",0,IF(ISNUMBER(SEARCH("apport-exterieur",IFERROR(INDEX('Paramètres'!$N:$N,MATCH($D3863,'Paramètres'!$M:$M,0))&amp;"",""))),0,IF(OR(IFERROR(INDEX('Paramètres'!$I:$I,MATCH($C3863,'Paramètres'!$D:$D,0))&amp;"","")="Les deux",IFERROR(INDEX('Paramètres'!$I:$I,MATCH($C3863,'Paramètres'!$D:$D,0))&amp;"","")=IF($P3863=1,"Débit",$L3863)),-IF($P3863=1,-$K3863,$K3863),0))))</f>
        <v/>
      </c>
      <c r="U3863" s="6" t="str">
        <f>IF($K3863="","",IF(ISNUMBER(SEARCH("sortie-epargne",IFERROR(INDEX('Paramètres'!$N:$N,MATCH($D3863,'Paramètres'!$M:$M,0))&amp;"",""))),$K3863,0))</f>
        <v/>
      </c>
      <c r="V3863" s="6" t="str">
        <f>IF(AND($A3863&lt;&gt;"",$O3863=1,$L3863="Débit",N($Q3863)&gt;0,$A3863&gt;=Visualisation!$B$1,$A3863&lt;Visualisation!$D$1),MAX($V$1:V3862)+1,"")</f>
        <v/>
      </c>
    </row>
    <row r="3864" spans="1:22" x14ac:dyDescent="0.25">
      <c r="A3864" s="9"/>
      <c r="E3864" s="10"/>
      <c r="K3864" s="11" t="str">
        <f>IF($E3864="","",ROUND($E3864*IF(ISNA(MATCH($C3864,'Paramètres'!$D:$D,0)),1,IF(INDEX('Paramètres'!$J:$J,MATCH($C3864,'Paramètres'!$D:$D,0))="",1,INDEX('Paramètres'!$J:$J,MATCH($C3864,'Paramètres'!$D:$D,0)))),2))</f>
        <v/>
      </c>
      <c r="L3864" s="6" t="str">
        <f>IF($D3864="","",IF($F3864&lt;&gt;"",$F3864,IF(ISNA(MATCH($D3864,'Paramètres'!$M:$M,0)),"⚠ Type inconnu",IFERROR(INDEX('Paramètres'!$P:$P,MATCH($D3864,'Paramètres'!$M:$M,0))&amp;"",""))))</f>
        <v/>
      </c>
      <c r="M3864" s="6" t="str">
        <f>IF($D3864="","",IF(ISNA(MATCH($D3864,'Paramètres'!$M:$M,0)),"⚠ Type inconnu",IF($L3864="Crédit","",IFERROR(INDEX('Paramètres'!$O:$O,MATCH($D3864,'Paramètres'!$M:$M,0))&amp;"",""))))</f>
        <v/>
      </c>
      <c r="N3864" s="6" t="str">
        <f>IF($D3864="","",IFERROR(INDEX('Paramètres'!$Q:$Q,MATCH($D3864,'Paramètres'!$M:$M,0))&amp;"",""))</f>
        <v/>
      </c>
      <c r="O3864" s="6" t="str">
        <f>IF($A3864="","",IF(OR($J3864&lt;&gt;"x",$A3864&lt;=FinReleve),1,0))</f>
        <v/>
      </c>
      <c r="P3864" s="6" t="str">
        <f>IF($D3864="","",IF(AND($L3864="Crédit",OR(IFERROR(INDEX('Paramètres'!$O:$O,MATCH($D3864,'Paramètres'!$M:$M,0))&amp;"","")&lt;&gt;"",ISNUMBER(SEARCH("remboursement",IFERROR(INDEX('Paramètres'!$N:$N,MATCH($D3864,'Paramètres'!$M:$M,0))&amp;"",""))))),1,0))</f>
        <v/>
      </c>
      <c r="Q3864" s="6" t="str">
        <f>IF($K3864="","",IF(ISNUMBER(SEARCH("transfert-interne",IFERROR(INDEX('Paramètres'!$N:$N,MATCH($D3864,'Paramètres'!$M:$M,0))&amp;"",""))),0,IF($L3864="Débit",$K3864,IF($P3864=1,-$K3864,0))))</f>
        <v/>
      </c>
      <c r="R3864" s="6" t="str">
        <f>IF($K3864="","",IF($L3864="Crédit",$K3864,-$K3864))</f>
        <v/>
      </c>
      <c r="S3864" s="6" t="str">
        <f>IF($C3864="","",IFERROR(INDEX('Paramètres'!$H:$H,MATCH($C3864,'Paramètres'!$D:$D,0))&amp;"",""))</f>
        <v/>
      </c>
      <c r="T3864" s="6" t="str">
        <f>IF($K3864="","",IF($S3864="",0,IF(ISNUMBER(SEARCH("apport-exterieur",IFERROR(INDEX('Paramètres'!$N:$N,MATCH($D3864,'Paramètres'!$M:$M,0))&amp;"",""))),0,IF(OR(IFERROR(INDEX('Paramètres'!$I:$I,MATCH($C3864,'Paramètres'!$D:$D,0))&amp;"","")="Les deux",IFERROR(INDEX('Paramètres'!$I:$I,MATCH($C3864,'Paramètres'!$D:$D,0))&amp;"","")=IF($P3864=1,"Débit",$L3864)),-IF($P3864=1,-$K3864,$K3864),0))))</f>
        <v/>
      </c>
      <c r="U3864" s="6" t="str">
        <f>IF($K3864="","",IF(ISNUMBER(SEARCH("sortie-epargne",IFERROR(INDEX('Paramètres'!$N:$N,MATCH($D3864,'Paramètres'!$M:$M,0))&amp;"",""))),$K3864,0))</f>
        <v/>
      </c>
      <c r="V3864" s="6" t="str">
        <f>IF(AND($A3864&lt;&gt;"",$O3864=1,$L3864="Débit",N($Q3864)&gt;0,$A3864&gt;=Visualisation!$B$1,$A3864&lt;Visualisation!$D$1),MAX($V$1:V3863)+1,"")</f>
        <v/>
      </c>
    </row>
    <row r="3865" spans="1:22" x14ac:dyDescent="0.25">
      <c r="A3865" s="9"/>
      <c r="E3865" s="10"/>
      <c r="K3865" s="11" t="str">
        <f>IF($E3865="","",ROUND($E3865*IF(ISNA(MATCH($C3865,'Paramètres'!$D:$D,0)),1,IF(INDEX('Paramètres'!$J:$J,MATCH($C3865,'Paramètres'!$D:$D,0))="",1,INDEX('Paramètres'!$J:$J,MATCH($C3865,'Paramètres'!$D:$D,0)))),2))</f>
        <v/>
      </c>
      <c r="L3865" s="6" t="str">
        <f>IF($D3865="","",IF($F3865&lt;&gt;"",$F3865,IF(ISNA(MATCH($D3865,'Paramètres'!$M:$M,0)),"⚠ Type inconnu",IFERROR(INDEX('Paramètres'!$P:$P,MATCH($D3865,'Paramètres'!$M:$M,0))&amp;"",""))))</f>
        <v/>
      </c>
      <c r="M3865" s="6" t="str">
        <f>IF($D3865="","",IF(ISNA(MATCH($D3865,'Paramètres'!$M:$M,0)),"⚠ Type inconnu",IF($L3865="Crédit","",IFERROR(INDEX('Paramètres'!$O:$O,MATCH($D3865,'Paramètres'!$M:$M,0))&amp;"",""))))</f>
        <v/>
      </c>
      <c r="N3865" s="6" t="str">
        <f>IF($D3865="","",IFERROR(INDEX('Paramètres'!$Q:$Q,MATCH($D3865,'Paramètres'!$M:$M,0))&amp;"",""))</f>
        <v/>
      </c>
      <c r="O3865" s="6" t="str">
        <f>IF($A3865="","",IF(OR($J3865&lt;&gt;"x",$A3865&lt;=FinReleve),1,0))</f>
        <v/>
      </c>
      <c r="P3865" s="6" t="str">
        <f>IF($D3865="","",IF(AND($L3865="Crédit",OR(IFERROR(INDEX('Paramètres'!$O:$O,MATCH($D3865,'Paramètres'!$M:$M,0))&amp;"","")&lt;&gt;"",ISNUMBER(SEARCH("remboursement",IFERROR(INDEX('Paramètres'!$N:$N,MATCH($D3865,'Paramètres'!$M:$M,0))&amp;"",""))))),1,0))</f>
        <v/>
      </c>
      <c r="Q3865" s="6" t="str">
        <f>IF($K3865="","",IF(ISNUMBER(SEARCH("transfert-interne",IFERROR(INDEX('Paramètres'!$N:$N,MATCH($D3865,'Paramètres'!$M:$M,0))&amp;"",""))),0,IF($L3865="Débit",$K3865,IF($P3865=1,-$K3865,0))))</f>
        <v/>
      </c>
      <c r="R3865" s="6" t="str">
        <f>IF($K3865="","",IF($L3865="Crédit",$K3865,-$K3865))</f>
        <v/>
      </c>
      <c r="S3865" s="6" t="str">
        <f>IF($C3865="","",IFERROR(INDEX('Paramètres'!$H:$H,MATCH($C3865,'Paramètres'!$D:$D,0))&amp;"",""))</f>
        <v/>
      </c>
      <c r="T3865" s="6" t="str">
        <f>IF($K3865="","",IF($S3865="",0,IF(ISNUMBER(SEARCH("apport-exterieur",IFERROR(INDEX('Paramètres'!$N:$N,MATCH($D3865,'Paramètres'!$M:$M,0))&amp;"",""))),0,IF(OR(IFERROR(INDEX('Paramètres'!$I:$I,MATCH($C3865,'Paramètres'!$D:$D,0))&amp;"","")="Les deux",IFERROR(INDEX('Paramètres'!$I:$I,MATCH($C3865,'Paramètres'!$D:$D,0))&amp;"","")=IF($P3865=1,"Débit",$L3865)),-IF($P3865=1,-$K3865,$K3865),0))))</f>
        <v/>
      </c>
      <c r="U3865" s="6" t="str">
        <f>IF($K3865="","",IF(ISNUMBER(SEARCH("sortie-epargne",IFERROR(INDEX('Paramètres'!$N:$N,MATCH($D3865,'Paramètres'!$M:$M,0))&amp;"",""))),$K3865,0))</f>
        <v/>
      </c>
      <c r="V3865" s="6" t="str">
        <f>IF(AND($A3865&lt;&gt;"",$O3865=1,$L3865="Débit",N($Q3865)&gt;0,$A3865&gt;=Visualisation!$B$1,$A3865&lt;Visualisation!$D$1),MAX($V$1:V3864)+1,"")</f>
        <v/>
      </c>
    </row>
    <row r="3866" spans="1:22" x14ac:dyDescent="0.25">
      <c r="A3866" s="9"/>
      <c r="E3866" s="10"/>
      <c r="K3866" s="11" t="str">
        <f>IF($E3866="","",ROUND($E3866*IF(ISNA(MATCH($C3866,'Paramètres'!$D:$D,0)),1,IF(INDEX('Paramètres'!$J:$J,MATCH($C3866,'Paramètres'!$D:$D,0))="",1,INDEX('Paramètres'!$J:$J,MATCH($C3866,'Paramètres'!$D:$D,0)))),2))</f>
        <v/>
      </c>
      <c r="L3866" s="6" t="str">
        <f>IF($D3866="","",IF($F3866&lt;&gt;"",$F3866,IF(ISNA(MATCH($D3866,'Paramètres'!$M:$M,0)),"⚠ Type inconnu",IFERROR(INDEX('Paramètres'!$P:$P,MATCH($D3866,'Paramètres'!$M:$M,0))&amp;"",""))))</f>
        <v/>
      </c>
      <c r="M3866" s="6" t="str">
        <f>IF($D3866="","",IF(ISNA(MATCH($D3866,'Paramètres'!$M:$M,0)),"⚠ Type inconnu",IF($L3866="Crédit","",IFERROR(INDEX('Paramètres'!$O:$O,MATCH($D3866,'Paramètres'!$M:$M,0))&amp;"",""))))</f>
        <v/>
      </c>
      <c r="N3866" s="6" t="str">
        <f>IF($D3866="","",IFERROR(INDEX('Paramètres'!$Q:$Q,MATCH($D3866,'Paramètres'!$M:$M,0))&amp;"",""))</f>
        <v/>
      </c>
      <c r="O3866" s="6" t="str">
        <f>IF($A3866="","",IF(OR($J3866&lt;&gt;"x",$A3866&lt;=FinReleve),1,0))</f>
        <v/>
      </c>
      <c r="P3866" s="6" t="str">
        <f>IF($D3866="","",IF(AND($L3866="Crédit",OR(IFERROR(INDEX('Paramètres'!$O:$O,MATCH($D3866,'Paramètres'!$M:$M,0))&amp;"","")&lt;&gt;"",ISNUMBER(SEARCH("remboursement",IFERROR(INDEX('Paramètres'!$N:$N,MATCH($D3866,'Paramètres'!$M:$M,0))&amp;"",""))))),1,0))</f>
        <v/>
      </c>
      <c r="Q3866" s="6" t="str">
        <f>IF($K3866="","",IF(ISNUMBER(SEARCH("transfert-interne",IFERROR(INDEX('Paramètres'!$N:$N,MATCH($D3866,'Paramètres'!$M:$M,0))&amp;"",""))),0,IF($L3866="Débit",$K3866,IF($P3866=1,-$K3866,0))))</f>
        <v/>
      </c>
      <c r="R3866" s="6" t="str">
        <f>IF($K3866="","",IF($L3866="Crédit",$K3866,-$K3866))</f>
        <v/>
      </c>
      <c r="S3866" s="6" t="str">
        <f>IF($C3866="","",IFERROR(INDEX('Paramètres'!$H:$H,MATCH($C3866,'Paramètres'!$D:$D,0))&amp;"",""))</f>
        <v/>
      </c>
      <c r="T3866" s="6" t="str">
        <f>IF($K3866="","",IF($S3866="",0,IF(ISNUMBER(SEARCH("apport-exterieur",IFERROR(INDEX('Paramètres'!$N:$N,MATCH($D3866,'Paramètres'!$M:$M,0))&amp;"",""))),0,IF(OR(IFERROR(INDEX('Paramètres'!$I:$I,MATCH($C3866,'Paramètres'!$D:$D,0))&amp;"","")="Les deux",IFERROR(INDEX('Paramètres'!$I:$I,MATCH($C3866,'Paramètres'!$D:$D,0))&amp;"","")=IF($P3866=1,"Débit",$L3866)),-IF($P3866=1,-$K3866,$K3866),0))))</f>
        <v/>
      </c>
      <c r="U3866" s="6" t="str">
        <f>IF($K3866="","",IF(ISNUMBER(SEARCH("sortie-epargne",IFERROR(INDEX('Paramètres'!$N:$N,MATCH($D3866,'Paramètres'!$M:$M,0))&amp;"",""))),$K3866,0))</f>
        <v/>
      </c>
      <c r="V3866" s="6" t="str">
        <f>IF(AND($A3866&lt;&gt;"",$O3866=1,$L3866="Débit",N($Q3866)&gt;0,$A3866&gt;=Visualisation!$B$1,$A3866&lt;Visualisation!$D$1),MAX($V$1:V3865)+1,"")</f>
        <v/>
      </c>
    </row>
    <row r="3867" spans="1:22" x14ac:dyDescent="0.25">
      <c r="A3867" s="9"/>
      <c r="E3867" s="10"/>
      <c r="K3867" s="11" t="str">
        <f>IF($E3867="","",ROUND($E3867*IF(ISNA(MATCH($C3867,'Paramètres'!$D:$D,0)),1,IF(INDEX('Paramètres'!$J:$J,MATCH($C3867,'Paramètres'!$D:$D,0))="",1,INDEX('Paramètres'!$J:$J,MATCH($C3867,'Paramètres'!$D:$D,0)))),2))</f>
        <v/>
      </c>
      <c r="L3867" s="6" t="str">
        <f>IF($D3867="","",IF($F3867&lt;&gt;"",$F3867,IF(ISNA(MATCH($D3867,'Paramètres'!$M:$M,0)),"⚠ Type inconnu",IFERROR(INDEX('Paramètres'!$P:$P,MATCH($D3867,'Paramètres'!$M:$M,0))&amp;"",""))))</f>
        <v/>
      </c>
      <c r="M3867" s="6" t="str">
        <f>IF($D3867="","",IF(ISNA(MATCH($D3867,'Paramètres'!$M:$M,0)),"⚠ Type inconnu",IF($L3867="Crédit","",IFERROR(INDEX('Paramètres'!$O:$O,MATCH($D3867,'Paramètres'!$M:$M,0))&amp;"",""))))</f>
        <v/>
      </c>
      <c r="N3867" s="6" t="str">
        <f>IF($D3867="","",IFERROR(INDEX('Paramètres'!$Q:$Q,MATCH($D3867,'Paramètres'!$M:$M,0))&amp;"",""))</f>
        <v/>
      </c>
      <c r="O3867" s="6" t="str">
        <f>IF($A3867="","",IF(OR($J3867&lt;&gt;"x",$A3867&lt;=FinReleve),1,0))</f>
        <v/>
      </c>
      <c r="P3867" s="6" t="str">
        <f>IF($D3867="","",IF(AND($L3867="Crédit",OR(IFERROR(INDEX('Paramètres'!$O:$O,MATCH($D3867,'Paramètres'!$M:$M,0))&amp;"","")&lt;&gt;"",ISNUMBER(SEARCH("remboursement",IFERROR(INDEX('Paramètres'!$N:$N,MATCH($D3867,'Paramètres'!$M:$M,0))&amp;"",""))))),1,0))</f>
        <v/>
      </c>
      <c r="Q3867" s="6" t="str">
        <f>IF($K3867="","",IF(ISNUMBER(SEARCH("transfert-interne",IFERROR(INDEX('Paramètres'!$N:$N,MATCH($D3867,'Paramètres'!$M:$M,0))&amp;"",""))),0,IF($L3867="Débit",$K3867,IF($P3867=1,-$K3867,0))))</f>
        <v/>
      </c>
      <c r="R3867" s="6" t="str">
        <f>IF($K3867="","",IF($L3867="Crédit",$K3867,-$K3867))</f>
        <v/>
      </c>
      <c r="S3867" s="6" t="str">
        <f>IF($C3867="","",IFERROR(INDEX('Paramètres'!$H:$H,MATCH($C3867,'Paramètres'!$D:$D,0))&amp;"",""))</f>
        <v/>
      </c>
      <c r="T3867" s="6" t="str">
        <f>IF($K3867="","",IF($S3867="",0,IF(ISNUMBER(SEARCH("apport-exterieur",IFERROR(INDEX('Paramètres'!$N:$N,MATCH($D3867,'Paramètres'!$M:$M,0))&amp;"",""))),0,IF(OR(IFERROR(INDEX('Paramètres'!$I:$I,MATCH($C3867,'Paramètres'!$D:$D,0))&amp;"","")="Les deux",IFERROR(INDEX('Paramètres'!$I:$I,MATCH($C3867,'Paramètres'!$D:$D,0))&amp;"","")=IF($P3867=1,"Débit",$L3867)),-IF($P3867=1,-$K3867,$K3867),0))))</f>
        <v/>
      </c>
      <c r="U3867" s="6" t="str">
        <f>IF($K3867="","",IF(ISNUMBER(SEARCH("sortie-epargne",IFERROR(INDEX('Paramètres'!$N:$N,MATCH($D3867,'Paramètres'!$M:$M,0))&amp;"",""))),$K3867,0))</f>
        <v/>
      </c>
      <c r="V3867" s="6" t="str">
        <f>IF(AND($A3867&lt;&gt;"",$O3867=1,$L3867="Débit",N($Q3867)&gt;0,$A3867&gt;=Visualisation!$B$1,$A3867&lt;Visualisation!$D$1),MAX($V$1:V3866)+1,"")</f>
        <v/>
      </c>
    </row>
    <row r="3868" spans="1:22" x14ac:dyDescent="0.25">
      <c r="A3868" s="9"/>
      <c r="E3868" s="10"/>
      <c r="K3868" s="11" t="str">
        <f>IF($E3868="","",ROUND($E3868*IF(ISNA(MATCH($C3868,'Paramètres'!$D:$D,0)),1,IF(INDEX('Paramètres'!$J:$J,MATCH($C3868,'Paramètres'!$D:$D,0))="",1,INDEX('Paramètres'!$J:$J,MATCH($C3868,'Paramètres'!$D:$D,0)))),2))</f>
        <v/>
      </c>
      <c r="L3868" s="6" t="str">
        <f>IF($D3868="","",IF($F3868&lt;&gt;"",$F3868,IF(ISNA(MATCH($D3868,'Paramètres'!$M:$M,0)),"⚠ Type inconnu",IFERROR(INDEX('Paramètres'!$P:$P,MATCH($D3868,'Paramètres'!$M:$M,0))&amp;"",""))))</f>
        <v/>
      </c>
      <c r="M3868" s="6" t="str">
        <f>IF($D3868="","",IF(ISNA(MATCH($D3868,'Paramètres'!$M:$M,0)),"⚠ Type inconnu",IF($L3868="Crédit","",IFERROR(INDEX('Paramètres'!$O:$O,MATCH($D3868,'Paramètres'!$M:$M,0))&amp;"",""))))</f>
        <v/>
      </c>
      <c r="N3868" s="6" t="str">
        <f>IF($D3868="","",IFERROR(INDEX('Paramètres'!$Q:$Q,MATCH($D3868,'Paramètres'!$M:$M,0))&amp;"",""))</f>
        <v/>
      </c>
      <c r="O3868" s="6" t="str">
        <f>IF($A3868="","",IF(OR($J3868&lt;&gt;"x",$A3868&lt;=FinReleve),1,0))</f>
        <v/>
      </c>
      <c r="P3868" s="6" t="str">
        <f>IF($D3868="","",IF(AND($L3868="Crédit",OR(IFERROR(INDEX('Paramètres'!$O:$O,MATCH($D3868,'Paramètres'!$M:$M,0))&amp;"","")&lt;&gt;"",ISNUMBER(SEARCH("remboursement",IFERROR(INDEX('Paramètres'!$N:$N,MATCH($D3868,'Paramètres'!$M:$M,0))&amp;"",""))))),1,0))</f>
        <v/>
      </c>
      <c r="Q3868" s="6" t="str">
        <f>IF($K3868="","",IF(ISNUMBER(SEARCH("transfert-interne",IFERROR(INDEX('Paramètres'!$N:$N,MATCH($D3868,'Paramètres'!$M:$M,0))&amp;"",""))),0,IF($L3868="Débit",$K3868,IF($P3868=1,-$K3868,0))))</f>
        <v/>
      </c>
      <c r="R3868" s="6" t="str">
        <f>IF($K3868="","",IF($L3868="Crédit",$K3868,-$K3868))</f>
        <v/>
      </c>
      <c r="S3868" s="6" t="str">
        <f>IF($C3868="","",IFERROR(INDEX('Paramètres'!$H:$H,MATCH($C3868,'Paramètres'!$D:$D,0))&amp;"",""))</f>
        <v/>
      </c>
      <c r="T3868" s="6" t="str">
        <f>IF($K3868="","",IF($S3868="",0,IF(ISNUMBER(SEARCH("apport-exterieur",IFERROR(INDEX('Paramètres'!$N:$N,MATCH($D3868,'Paramètres'!$M:$M,0))&amp;"",""))),0,IF(OR(IFERROR(INDEX('Paramètres'!$I:$I,MATCH($C3868,'Paramètres'!$D:$D,0))&amp;"","")="Les deux",IFERROR(INDEX('Paramètres'!$I:$I,MATCH($C3868,'Paramètres'!$D:$D,0))&amp;"","")=IF($P3868=1,"Débit",$L3868)),-IF($P3868=1,-$K3868,$K3868),0))))</f>
        <v/>
      </c>
      <c r="U3868" s="6" t="str">
        <f>IF($K3868="","",IF(ISNUMBER(SEARCH("sortie-epargne",IFERROR(INDEX('Paramètres'!$N:$N,MATCH($D3868,'Paramètres'!$M:$M,0))&amp;"",""))),$K3868,0))</f>
        <v/>
      </c>
      <c r="V3868" s="6" t="str">
        <f>IF(AND($A3868&lt;&gt;"",$O3868=1,$L3868="Débit",N($Q3868)&gt;0,$A3868&gt;=Visualisation!$B$1,$A3868&lt;Visualisation!$D$1),MAX($V$1:V3867)+1,"")</f>
        <v/>
      </c>
    </row>
    <row r="3869" spans="1:22" x14ac:dyDescent="0.25">
      <c r="A3869" s="9"/>
      <c r="E3869" s="10"/>
      <c r="K3869" s="11" t="str">
        <f>IF($E3869="","",ROUND($E3869*IF(ISNA(MATCH($C3869,'Paramètres'!$D:$D,0)),1,IF(INDEX('Paramètres'!$J:$J,MATCH($C3869,'Paramètres'!$D:$D,0))="",1,INDEX('Paramètres'!$J:$J,MATCH($C3869,'Paramètres'!$D:$D,0)))),2))</f>
        <v/>
      </c>
      <c r="L3869" s="6" t="str">
        <f>IF($D3869="","",IF($F3869&lt;&gt;"",$F3869,IF(ISNA(MATCH($D3869,'Paramètres'!$M:$M,0)),"⚠ Type inconnu",IFERROR(INDEX('Paramètres'!$P:$P,MATCH($D3869,'Paramètres'!$M:$M,0))&amp;"",""))))</f>
        <v/>
      </c>
      <c r="M3869" s="6" t="str">
        <f>IF($D3869="","",IF(ISNA(MATCH($D3869,'Paramètres'!$M:$M,0)),"⚠ Type inconnu",IF($L3869="Crédit","",IFERROR(INDEX('Paramètres'!$O:$O,MATCH($D3869,'Paramètres'!$M:$M,0))&amp;"",""))))</f>
        <v/>
      </c>
      <c r="N3869" s="6" t="str">
        <f>IF($D3869="","",IFERROR(INDEX('Paramètres'!$Q:$Q,MATCH($D3869,'Paramètres'!$M:$M,0))&amp;"",""))</f>
        <v/>
      </c>
      <c r="O3869" s="6" t="str">
        <f>IF($A3869="","",IF(OR($J3869&lt;&gt;"x",$A3869&lt;=FinReleve),1,0))</f>
        <v/>
      </c>
      <c r="P3869" s="6" t="str">
        <f>IF($D3869="","",IF(AND($L3869="Crédit",OR(IFERROR(INDEX('Paramètres'!$O:$O,MATCH($D3869,'Paramètres'!$M:$M,0))&amp;"","")&lt;&gt;"",ISNUMBER(SEARCH("remboursement",IFERROR(INDEX('Paramètres'!$N:$N,MATCH($D3869,'Paramètres'!$M:$M,0))&amp;"",""))))),1,0))</f>
        <v/>
      </c>
      <c r="Q3869" s="6" t="str">
        <f>IF($K3869="","",IF(ISNUMBER(SEARCH("transfert-interne",IFERROR(INDEX('Paramètres'!$N:$N,MATCH($D3869,'Paramètres'!$M:$M,0))&amp;"",""))),0,IF($L3869="Débit",$K3869,IF($P3869=1,-$K3869,0))))</f>
        <v/>
      </c>
      <c r="R3869" s="6" t="str">
        <f>IF($K3869="","",IF($L3869="Crédit",$K3869,-$K3869))</f>
        <v/>
      </c>
      <c r="S3869" s="6" t="str">
        <f>IF($C3869="","",IFERROR(INDEX('Paramètres'!$H:$H,MATCH($C3869,'Paramètres'!$D:$D,0))&amp;"",""))</f>
        <v/>
      </c>
      <c r="T3869" s="6" t="str">
        <f>IF($K3869="","",IF($S3869="",0,IF(ISNUMBER(SEARCH("apport-exterieur",IFERROR(INDEX('Paramètres'!$N:$N,MATCH($D3869,'Paramètres'!$M:$M,0))&amp;"",""))),0,IF(OR(IFERROR(INDEX('Paramètres'!$I:$I,MATCH($C3869,'Paramètres'!$D:$D,0))&amp;"","")="Les deux",IFERROR(INDEX('Paramètres'!$I:$I,MATCH($C3869,'Paramètres'!$D:$D,0))&amp;"","")=IF($P3869=1,"Débit",$L3869)),-IF($P3869=1,-$K3869,$K3869),0))))</f>
        <v/>
      </c>
      <c r="U3869" s="6" t="str">
        <f>IF($K3869="","",IF(ISNUMBER(SEARCH("sortie-epargne",IFERROR(INDEX('Paramètres'!$N:$N,MATCH($D3869,'Paramètres'!$M:$M,0))&amp;"",""))),$K3869,0))</f>
        <v/>
      </c>
      <c r="V3869" s="6" t="str">
        <f>IF(AND($A3869&lt;&gt;"",$O3869=1,$L3869="Débit",N($Q3869)&gt;0,$A3869&gt;=Visualisation!$B$1,$A3869&lt;Visualisation!$D$1),MAX($V$1:V3868)+1,"")</f>
        <v/>
      </c>
    </row>
    <row r="3870" spans="1:22" x14ac:dyDescent="0.25">
      <c r="A3870" s="9"/>
      <c r="E3870" s="10"/>
      <c r="K3870" s="11" t="str">
        <f>IF($E3870="","",ROUND($E3870*IF(ISNA(MATCH($C3870,'Paramètres'!$D:$D,0)),1,IF(INDEX('Paramètres'!$J:$J,MATCH($C3870,'Paramètres'!$D:$D,0))="",1,INDEX('Paramètres'!$J:$J,MATCH($C3870,'Paramètres'!$D:$D,0)))),2))</f>
        <v/>
      </c>
      <c r="L3870" s="6" t="str">
        <f>IF($D3870="","",IF($F3870&lt;&gt;"",$F3870,IF(ISNA(MATCH($D3870,'Paramètres'!$M:$M,0)),"⚠ Type inconnu",IFERROR(INDEX('Paramètres'!$P:$P,MATCH($D3870,'Paramètres'!$M:$M,0))&amp;"",""))))</f>
        <v/>
      </c>
      <c r="M3870" s="6" t="str">
        <f>IF($D3870="","",IF(ISNA(MATCH($D3870,'Paramètres'!$M:$M,0)),"⚠ Type inconnu",IF($L3870="Crédit","",IFERROR(INDEX('Paramètres'!$O:$O,MATCH($D3870,'Paramètres'!$M:$M,0))&amp;"",""))))</f>
        <v/>
      </c>
      <c r="N3870" s="6" t="str">
        <f>IF($D3870="","",IFERROR(INDEX('Paramètres'!$Q:$Q,MATCH($D3870,'Paramètres'!$M:$M,0))&amp;"",""))</f>
        <v/>
      </c>
      <c r="O3870" s="6" t="str">
        <f>IF($A3870="","",IF(OR($J3870&lt;&gt;"x",$A3870&lt;=FinReleve),1,0))</f>
        <v/>
      </c>
      <c r="P3870" s="6" t="str">
        <f>IF($D3870="","",IF(AND($L3870="Crédit",OR(IFERROR(INDEX('Paramètres'!$O:$O,MATCH($D3870,'Paramètres'!$M:$M,0))&amp;"","")&lt;&gt;"",ISNUMBER(SEARCH("remboursement",IFERROR(INDEX('Paramètres'!$N:$N,MATCH($D3870,'Paramètres'!$M:$M,0))&amp;"",""))))),1,0))</f>
        <v/>
      </c>
      <c r="Q3870" s="6" t="str">
        <f>IF($K3870="","",IF(ISNUMBER(SEARCH("transfert-interne",IFERROR(INDEX('Paramètres'!$N:$N,MATCH($D3870,'Paramètres'!$M:$M,0))&amp;"",""))),0,IF($L3870="Débit",$K3870,IF($P3870=1,-$K3870,0))))</f>
        <v/>
      </c>
      <c r="R3870" s="6" t="str">
        <f>IF($K3870="","",IF($L3870="Crédit",$K3870,-$K3870))</f>
        <v/>
      </c>
      <c r="S3870" s="6" t="str">
        <f>IF($C3870="","",IFERROR(INDEX('Paramètres'!$H:$H,MATCH($C3870,'Paramètres'!$D:$D,0))&amp;"",""))</f>
        <v/>
      </c>
      <c r="T3870" s="6" t="str">
        <f>IF($K3870="","",IF($S3870="",0,IF(ISNUMBER(SEARCH("apport-exterieur",IFERROR(INDEX('Paramètres'!$N:$N,MATCH($D3870,'Paramètres'!$M:$M,0))&amp;"",""))),0,IF(OR(IFERROR(INDEX('Paramètres'!$I:$I,MATCH($C3870,'Paramètres'!$D:$D,0))&amp;"","")="Les deux",IFERROR(INDEX('Paramètres'!$I:$I,MATCH($C3870,'Paramètres'!$D:$D,0))&amp;"","")=IF($P3870=1,"Débit",$L3870)),-IF($P3870=1,-$K3870,$K3870),0))))</f>
        <v/>
      </c>
      <c r="U3870" s="6" t="str">
        <f>IF($K3870="","",IF(ISNUMBER(SEARCH("sortie-epargne",IFERROR(INDEX('Paramètres'!$N:$N,MATCH($D3870,'Paramètres'!$M:$M,0))&amp;"",""))),$K3870,0))</f>
        <v/>
      </c>
      <c r="V3870" s="6" t="str">
        <f>IF(AND($A3870&lt;&gt;"",$O3870=1,$L3870="Débit",N($Q3870)&gt;0,$A3870&gt;=Visualisation!$B$1,$A3870&lt;Visualisation!$D$1),MAX($V$1:V3869)+1,"")</f>
        <v/>
      </c>
    </row>
    <row r="3871" spans="1:22" x14ac:dyDescent="0.25">
      <c r="A3871" s="9"/>
      <c r="E3871" s="10"/>
      <c r="K3871" s="11" t="str">
        <f>IF($E3871="","",ROUND($E3871*IF(ISNA(MATCH($C3871,'Paramètres'!$D:$D,0)),1,IF(INDEX('Paramètres'!$J:$J,MATCH($C3871,'Paramètres'!$D:$D,0))="",1,INDEX('Paramètres'!$J:$J,MATCH($C3871,'Paramètres'!$D:$D,0)))),2))</f>
        <v/>
      </c>
      <c r="L3871" s="6" t="str">
        <f>IF($D3871="","",IF($F3871&lt;&gt;"",$F3871,IF(ISNA(MATCH($D3871,'Paramètres'!$M:$M,0)),"⚠ Type inconnu",IFERROR(INDEX('Paramètres'!$P:$P,MATCH($D3871,'Paramètres'!$M:$M,0))&amp;"",""))))</f>
        <v/>
      </c>
      <c r="M3871" s="6" t="str">
        <f>IF($D3871="","",IF(ISNA(MATCH($D3871,'Paramètres'!$M:$M,0)),"⚠ Type inconnu",IF($L3871="Crédit","",IFERROR(INDEX('Paramètres'!$O:$O,MATCH($D3871,'Paramètres'!$M:$M,0))&amp;"",""))))</f>
        <v/>
      </c>
      <c r="N3871" s="6" t="str">
        <f>IF($D3871="","",IFERROR(INDEX('Paramètres'!$Q:$Q,MATCH($D3871,'Paramètres'!$M:$M,0))&amp;"",""))</f>
        <v/>
      </c>
      <c r="O3871" s="6" t="str">
        <f>IF($A3871="","",IF(OR($J3871&lt;&gt;"x",$A3871&lt;=FinReleve),1,0))</f>
        <v/>
      </c>
      <c r="P3871" s="6" t="str">
        <f>IF($D3871="","",IF(AND($L3871="Crédit",OR(IFERROR(INDEX('Paramètres'!$O:$O,MATCH($D3871,'Paramètres'!$M:$M,0))&amp;"","")&lt;&gt;"",ISNUMBER(SEARCH("remboursement",IFERROR(INDEX('Paramètres'!$N:$N,MATCH($D3871,'Paramètres'!$M:$M,0))&amp;"",""))))),1,0))</f>
        <v/>
      </c>
      <c r="Q3871" s="6" t="str">
        <f>IF($K3871="","",IF(ISNUMBER(SEARCH("transfert-interne",IFERROR(INDEX('Paramètres'!$N:$N,MATCH($D3871,'Paramètres'!$M:$M,0))&amp;"",""))),0,IF($L3871="Débit",$K3871,IF($P3871=1,-$K3871,0))))</f>
        <v/>
      </c>
      <c r="R3871" s="6" t="str">
        <f>IF($K3871="","",IF($L3871="Crédit",$K3871,-$K3871))</f>
        <v/>
      </c>
      <c r="S3871" s="6" t="str">
        <f>IF($C3871="","",IFERROR(INDEX('Paramètres'!$H:$H,MATCH($C3871,'Paramètres'!$D:$D,0))&amp;"",""))</f>
        <v/>
      </c>
      <c r="T3871" s="6" t="str">
        <f>IF($K3871="","",IF($S3871="",0,IF(ISNUMBER(SEARCH("apport-exterieur",IFERROR(INDEX('Paramètres'!$N:$N,MATCH($D3871,'Paramètres'!$M:$M,0))&amp;"",""))),0,IF(OR(IFERROR(INDEX('Paramètres'!$I:$I,MATCH($C3871,'Paramètres'!$D:$D,0))&amp;"","")="Les deux",IFERROR(INDEX('Paramètres'!$I:$I,MATCH($C3871,'Paramètres'!$D:$D,0))&amp;"","")=IF($P3871=1,"Débit",$L3871)),-IF($P3871=1,-$K3871,$K3871),0))))</f>
        <v/>
      </c>
      <c r="U3871" s="6" t="str">
        <f>IF($K3871="","",IF(ISNUMBER(SEARCH("sortie-epargne",IFERROR(INDEX('Paramètres'!$N:$N,MATCH($D3871,'Paramètres'!$M:$M,0))&amp;"",""))),$K3871,0))</f>
        <v/>
      </c>
      <c r="V3871" s="6" t="str">
        <f>IF(AND($A3871&lt;&gt;"",$O3871=1,$L3871="Débit",N($Q3871)&gt;0,$A3871&gt;=Visualisation!$B$1,$A3871&lt;Visualisation!$D$1),MAX($V$1:V3870)+1,"")</f>
        <v/>
      </c>
    </row>
    <row r="3872" spans="1:22" x14ac:dyDescent="0.25">
      <c r="A3872" s="9"/>
      <c r="E3872" s="10"/>
      <c r="K3872" s="11" t="str">
        <f>IF($E3872="","",ROUND($E3872*IF(ISNA(MATCH($C3872,'Paramètres'!$D:$D,0)),1,IF(INDEX('Paramètres'!$J:$J,MATCH($C3872,'Paramètres'!$D:$D,0))="",1,INDEX('Paramètres'!$J:$J,MATCH($C3872,'Paramètres'!$D:$D,0)))),2))</f>
        <v/>
      </c>
      <c r="L3872" s="6" t="str">
        <f>IF($D3872="","",IF($F3872&lt;&gt;"",$F3872,IF(ISNA(MATCH($D3872,'Paramètres'!$M:$M,0)),"⚠ Type inconnu",IFERROR(INDEX('Paramètres'!$P:$P,MATCH($D3872,'Paramètres'!$M:$M,0))&amp;"",""))))</f>
        <v/>
      </c>
      <c r="M3872" s="6" t="str">
        <f>IF($D3872="","",IF(ISNA(MATCH($D3872,'Paramètres'!$M:$M,0)),"⚠ Type inconnu",IF($L3872="Crédit","",IFERROR(INDEX('Paramètres'!$O:$O,MATCH($D3872,'Paramètres'!$M:$M,0))&amp;"",""))))</f>
        <v/>
      </c>
      <c r="N3872" s="6" t="str">
        <f>IF($D3872="","",IFERROR(INDEX('Paramètres'!$Q:$Q,MATCH($D3872,'Paramètres'!$M:$M,0))&amp;"",""))</f>
        <v/>
      </c>
      <c r="O3872" s="6" t="str">
        <f>IF($A3872="","",IF(OR($J3872&lt;&gt;"x",$A3872&lt;=FinReleve),1,0))</f>
        <v/>
      </c>
      <c r="P3872" s="6" t="str">
        <f>IF($D3872="","",IF(AND($L3872="Crédit",OR(IFERROR(INDEX('Paramètres'!$O:$O,MATCH($D3872,'Paramètres'!$M:$M,0))&amp;"","")&lt;&gt;"",ISNUMBER(SEARCH("remboursement",IFERROR(INDEX('Paramètres'!$N:$N,MATCH($D3872,'Paramètres'!$M:$M,0))&amp;"",""))))),1,0))</f>
        <v/>
      </c>
      <c r="Q3872" s="6" t="str">
        <f>IF($K3872="","",IF(ISNUMBER(SEARCH("transfert-interne",IFERROR(INDEX('Paramètres'!$N:$N,MATCH($D3872,'Paramètres'!$M:$M,0))&amp;"",""))),0,IF($L3872="Débit",$K3872,IF($P3872=1,-$K3872,0))))</f>
        <v/>
      </c>
      <c r="R3872" s="6" t="str">
        <f>IF($K3872="","",IF($L3872="Crédit",$K3872,-$K3872))</f>
        <v/>
      </c>
      <c r="S3872" s="6" t="str">
        <f>IF($C3872="","",IFERROR(INDEX('Paramètres'!$H:$H,MATCH($C3872,'Paramètres'!$D:$D,0))&amp;"",""))</f>
        <v/>
      </c>
      <c r="T3872" s="6" t="str">
        <f>IF($K3872="","",IF($S3872="",0,IF(ISNUMBER(SEARCH("apport-exterieur",IFERROR(INDEX('Paramètres'!$N:$N,MATCH($D3872,'Paramètres'!$M:$M,0))&amp;"",""))),0,IF(OR(IFERROR(INDEX('Paramètres'!$I:$I,MATCH($C3872,'Paramètres'!$D:$D,0))&amp;"","")="Les deux",IFERROR(INDEX('Paramètres'!$I:$I,MATCH($C3872,'Paramètres'!$D:$D,0))&amp;"","")=IF($P3872=1,"Débit",$L3872)),-IF($P3872=1,-$K3872,$K3872),0))))</f>
        <v/>
      </c>
      <c r="U3872" s="6" t="str">
        <f>IF($K3872="","",IF(ISNUMBER(SEARCH("sortie-epargne",IFERROR(INDEX('Paramètres'!$N:$N,MATCH($D3872,'Paramètres'!$M:$M,0))&amp;"",""))),$K3872,0))</f>
        <v/>
      </c>
      <c r="V3872" s="6" t="str">
        <f>IF(AND($A3872&lt;&gt;"",$O3872=1,$L3872="Débit",N($Q3872)&gt;0,$A3872&gt;=Visualisation!$B$1,$A3872&lt;Visualisation!$D$1),MAX($V$1:V3871)+1,"")</f>
        <v/>
      </c>
    </row>
    <row r="3873" spans="1:22" x14ac:dyDescent="0.25">
      <c r="A3873" s="9"/>
      <c r="E3873" s="10"/>
      <c r="K3873" s="11" t="str">
        <f>IF($E3873="","",ROUND($E3873*IF(ISNA(MATCH($C3873,'Paramètres'!$D:$D,0)),1,IF(INDEX('Paramètres'!$J:$J,MATCH($C3873,'Paramètres'!$D:$D,0))="",1,INDEX('Paramètres'!$J:$J,MATCH($C3873,'Paramètres'!$D:$D,0)))),2))</f>
        <v/>
      </c>
      <c r="L3873" s="6" t="str">
        <f>IF($D3873="","",IF($F3873&lt;&gt;"",$F3873,IF(ISNA(MATCH($D3873,'Paramètres'!$M:$M,0)),"⚠ Type inconnu",IFERROR(INDEX('Paramètres'!$P:$P,MATCH($D3873,'Paramètres'!$M:$M,0))&amp;"",""))))</f>
        <v/>
      </c>
      <c r="M3873" s="6" t="str">
        <f>IF($D3873="","",IF(ISNA(MATCH($D3873,'Paramètres'!$M:$M,0)),"⚠ Type inconnu",IF($L3873="Crédit","",IFERROR(INDEX('Paramètres'!$O:$O,MATCH($D3873,'Paramètres'!$M:$M,0))&amp;"",""))))</f>
        <v/>
      </c>
      <c r="N3873" s="6" t="str">
        <f>IF($D3873="","",IFERROR(INDEX('Paramètres'!$Q:$Q,MATCH($D3873,'Paramètres'!$M:$M,0))&amp;"",""))</f>
        <v/>
      </c>
      <c r="O3873" s="6" t="str">
        <f>IF($A3873="","",IF(OR($J3873&lt;&gt;"x",$A3873&lt;=FinReleve),1,0))</f>
        <v/>
      </c>
      <c r="P3873" s="6" t="str">
        <f>IF($D3873="","",IF(AND($L3873="Crédit",OR(IFERROR(INDEX('Paramètres'!$O:$O,MATCH($D3873,'Paramètres'!$M:$M,0))&amp;"","")&lt;&gt;"",ISNUMBER(SEARCH("remboursement",IFERROR(INDEX('Paramètres'!$N:$N,MATCH($D3873,'Paramètres'!$M:$M,0))&amp;"",""))))),1,0))</f>
        <v/>
      </c>
      <c r="Q3873" s="6" t="str">
        <f>IF($K3873="","",IF(ISNUMBER(SEARCH("transfert-interne",IFERROR(INDEX('Paramètres'!$N:$N,MATCH($D3873,'Paramètres'!$M:$M,0))&amp;"",""))),0,IF($L3873="Débit",$K3873,IF($P3873=1,-$K3873,0))))</f>
        <v/>
      </c>
      <c r="R3873" s="6" t="str">
        <f>IF($K3873="","",IF($L3873="Crédit",$K3873,-$K3873))</f>
        <v/>
      </c>
      <c r="S3873" s="6" t="str">
        <f>IF($C3873="","",IFERROR(INDEX('Paramètres'!$H:$H,MATCH($C3873,'Paramètres'!$D:$D,0))&amp;"",""))</f>
        <v/>
      </c>
      <c r="T3873" s="6" t="str">
        <f>IF($K3873="","",IF($S3873="",0,IF(ISNUMBER(SEARCH("apport-exterieur",IFERROR(INDEX('Paramètres'!$N:$N,MATCH($D3873,'Paramètres'!$M:$M,0))&amp;"",""))),0,IF(OR(IFERROR(INDEX('Paramètres'!$I:$I,MATCH($C3873,'Paramètres'!$D:$D,0))&amp;"","")="Les deux",IFERROR(INDEX('Paramètres'!$I:$I,MATCH($C3873,'Paramètres'!$D:$D,0))&amp;"","")=IF($P3873=1,"Débit",$L3873)),-IF($P3873=1,-$K3873,$K3873),0))))</f>
        <v/>
      </c>
      <c r="U3873" s="6" t="str">
        <f>IF($K3873="","",IF(ISNUMBER(SEARCH("sortie-epargne",IFERROR(INDEX('Paramètres'!$N:$N,MATCH($D3873,'Paramètres'!$M:$M,0))&amp;"",""))),$K3873,0))</f>
        <v/>
      </c>
      <c r="V3873" s="6" t="str">
        <f>IF(AND($A3873&lt;&gt;"",$O3873=1,$L3873="Débit",N($Q3873)&gt;0,$A3873&gt;=Visualisation!$B$1,$A3873&lt;Visualisation!$D$1),MAX($V$1:V3872)+1,"")</f>
        <v/>
      </c>
    </row>
    <row r="3874" spans="1:22" x14ac:dyDescent="0.25">
      <c r="A3874" s="9"/>
      <c r="E3874" s="10"/>
      <c r="K3874" s="11" t="str">
        <f>IF($E3874="","",ROUND($E3874*IF(ISNA(MATCH($C3874,'Paramètres'!$D:$D,0)),1,IF(INDEX('Paramètres'!$J:$J,MATCH($C3874,'Paramètres'!$D:$D,0))="",1,INDEX('Paramètres'!$J:$J,MATCH($C3874,'Paramètres'!$D:$D,0)))),2))</f>
        <v/>
      </c>
      <c r="L3874" s="6" t="str">
        <f>IF($D3874="","",IF($F3874&lt;&gt;"",$F3874,IF(ISNA(MATCH($D3874,'Paramètres'!$M:$M,0)),"⚠ Type inconnu",IFERROR(INDEX('Paramètres'!$P:$P,MATCH($D3874,'Paramètres'!$M:$M,0))&amp;"",""))))</f>
        <v/>
      </c>
      <c r="M3874" s="6" t="str">
        <f>IF($D3874="","",IF(ISNA(MATCH($D3874,'Paramètres'!$M:$M,0)),"⚠ Type inconnu",IF($L3874="Crédit","",IFERROR(INDEX('Paramètres'!$O:$O,MATCH($D3874,'Paramètres'!$M:$M,0))&amp;"",""))))</f>
        <v/>
      </c>
      <c r="N3874" s="6" t="str">
        <f>IF($D3874="","",IFERROR(INDEX('Paramètres'!$Q:$Q,MATCH($D3874,'Paramètres'!$M:$M,0))&amp;"",""))</f>
        <v/>
      </c>
      <c r="O3874" s="6" t="str">
        <f>IF($A3874="","",IF(OR($J3874&lt;&gt;"x",$A3874&lt;=FinReleve),1,0))</f>
        <v/>
      </c>
      <c r="P3874" s="6" t="str">
        <f>IF($D3874="","",IF(AND($L3874="Crédit",OR(IFERROR(INDEX('Paramètres'!$O:$O,MATCH($D3874,'Paramètres'!$M:$M,0))&amp;"","")&lt;&gt;"",ISNUMBER(SEARCH("remboursement",IFERROR(INDEX('Paramètres'!$N:$N,MATCH($D3874,'Paramètres'!$M:$M,0))&amp;"",""))))),1,0))</f>
        <v/>
      </c>
      <c r="Q3874" s="6" t="str">
        <f>IF($K3874="","",IF(ISNUMBER(SEARCH("transfert-interne",IFERROR(INDEX('Paramètres'!$N:$N,MATCH($D3874,'Paramètres'!$M:$M,0))&amp;"",""))),0,IF($L3874="Débit",$K3874,IF($P3874=1,-$K3874,0))))</f>
        <v/>
      </c>
      <c r="R3874" s="6" t="str">
        <f>IF($K3874="","",IF($L3874="Crédit",$K3874,-$K3874))</f>
        <v/>
      </c>
      <c r="S3874" s="6" t="str">
        <f>IF($C3874="","",IFERROR(INDEX('Paramètres'!$H:$H,MATCH($C3874,'Paramètres'!$D:$D,0))&amp;"",""))</f>
        <v/>
      </c>
      <c r="T3874" s="6" t="str">
        <f>IF($K3874="","",IF($S3874="",0,IF(ISNUMBER(SEARCH("apport-exterieur",IFERROR(INDEX('Paramètres'!$N:$N,MATCH($D3874,'Paramètres'!$M:$M,0))&amp;"",""))),0,IF(OR(IFERROR(INDEX('Paramètres'!$I:$I,MATCH($C3874,'Paramètres'!$D:$D,0))&amp;"","")="Les deux",IFERROR(INDEX('Paramètres'!$I:$I,MATCH($C3874,'Paramètres'!$D:$D,0))&amp;"","")=IF($P3874=1,"Débit",$L3874)),-IF($P3874=1,-$K3874,$K3874),0))))</f>
        <v/>
      </c>
      <c r="U3874" s="6" t="str">
        <f>IF($K3874="","",IF(ISNUMBER(SEARCH("sortie-epargne",IFERROR(INDEX('Paramètres'!$N:$N,MATCH($D3874,'Paramètres'!$M:$M,0))&amp;"",""))),$K3874,0))</f>
        <v/>
      </c>
      <c r="V3874" s="6" t="str">
        <f>IF(AND($A3874&lt;&gt;"",$O3874=1,$L3874="Débit",N($Q3874)&gt;0,$A3874&gt;=Visualisation!$B$1,$A3874&lt;Visualisation!$D$1),MAX($V$1:V3873)+1,"")</f>
        <v/>
      </c>
    </row>
    <row r="3875" spans="1:22" x14ac:dyDescent="0.25">
      <c r="A3875" s="9"/>
      <c r="E3875" s="10"/>
      <c r="K3875" s="11" t="str">
        <f>IF($E3875="","",ROUND($E3875*IF(ISNA(MATCH($C3875,'Paramètres'!$D:$D,0)),1,IF(INDEX('Paramètres'!$J:$J,MATCH($C3875,'Paramètres'!$D:$D,0))="",1,INDEX('Paramètres'!$J:$J,MATCH($C3875,'Paramètres'!$D:$D,0)))),2))</f>
        <v/>
      </c>
      <c r="L3875" s="6" t="str">
        <f>IF($D3875="","",IF($F3875&lt;&gt;"",$F3875,IF(ISNA(MATCH($D3875,'Paramètres'!$M:$M,0)),"⚠ Type inconnu",IFERROR(INDEX('Paramètres'!$P:$P,MATCH($D3875,'Paramètres'!$M:$M,0))&amp;"",""))))</f>
        <v/>
      </c>
      <c r="M3875" s="6" t="str">
        <f>IF($D3875="","",IF(ISNA(MATCH($D3875,'Paramètres'!$M:$M,0)),"⚠ Type inconnu",IF($L3875="Crédit","",IFERROR(INDEX('Paramètres'!$O:$O,MATCH($D3875,'Paramètres'!$M:$M,0))&amp;"",""))))</f>
        <v/>
      </c>
      <c r="N3875" s="6" t="str">
        <f>IF($D3875="","",IFERROR(INDEX('Paramètres'!$Q:$Q,MATCH($D3875,'Paramètres'!$M:$M,0))&amp;"",""))</f>
        <v/>
      </c>
      <c r="O3875" s="6" t="str">
        <f>IF($A3875="","",IF(OR($J3875&lt;&gt;"x",$A3875&lt;=FinReleve),1,0))</f>
        <v/>
      </c>
      <c r="P3875" s="6" t="str">
        <f>IF($D3875="","",IF(AND($L3875="Crédit",OR(IFERROR(INDEX('Paramètres'!$O:$O,MATCH($D3875,'Paramètres'!$M:$M,0))&amp;"","")&lt;&gt;"",ISNUMBER(SEARCH("remboursement",IFERROR(INDEX('Paramètres'!$N:$N,MATCH($D3875,'Paramètres'!$M:$M,0))&amp;"",""))))),1,0))</f>
        <v/>
      </c>
      <c r="Q3875" s="6" t="str">
        <f>IF($K3875="","",IF(ISNUMBER(SEARCH("transfert-interne",IFERROR(INDEX('Paramètres'!$N:$N,MATCH($D3875,'Paramètres'!$M:$M,0))&amp;"",""))),0,IF($L3875="Débit",$K3875,IF($P3875=1,-$K3875,0))))</f>
        <v/>
      </c>
      <c r="R3875" s="6" t="str">
        <f>IF($K3875="","",IF($L3875="Crédit",$K3875,-$K3875))</f>
        <v/>
      </c>
      <c r="S3875" s="6" t="str">
        <f>IF($C3875="","",IFERROR(INDEX('Paramètres'!$H:$H,MATCH($C3875,'Paramètres'!$D:$D,0))&amp;"",""))</f>
        <v/>
      </c>
      <c r="T3875" s="6" t="str">
        <f>IF($K3875="","",IF($S3875="",0,IF(ISNUMBER(SEARCH("apport-exterieur",IFERROR(INDEX('Paramètres'!$N:$N,MATCH($D3875,'Paramètres'!$M:$M,0))&amp;"",""))),0,IF(OR(IFERROR(INDEX('Paramètres'!$I:$I,MATCH($C3875,'Paramètres'!$D:$D,0))&amp;"","")="Les deux",IFERROR(INDEX('Paramètres'!$I:$I,MATCH($C3875,'Paramètres'!$D:$D,0))&amp;"","")=IF($P3875=1,"Débit",$L3875)),-IF($P3875=1,-$K3875,$K3875),0))))</f>
        <v/>
      </c>
      <c r="U3875" s="6" t="str">
        <f>IF($K3875="","",IF(ISNUMBER(SEARCH("sortie-epargne",IFERROR(INDEX('Paramètres'!$N:$N,MATCH($D3875,'Paramètres'!$M:$M,0))&amp;"",""))),$K3875,0))</f>
        <v/>
      </c>
      <c r="V3875" s="6" t="str">
        <f>IF(AND($A3875&lt;&gt;"",$O3875=1,$L3875="Débit",N($Q3875)&gt;0,$A3875&gt;=Visualisation!$B$1,$A3875&lt;Visualisation!$D$1),MAX($V$1:V3874)+1,"")</f>
        <v/>
      </c>
    </row>
    <row r="3876" spans="1:22" x14ac:dyDescent="0.25">
      <c r="A3876" s="9"/>
      <c r="E3876" s="10"/>
      <c r="K3876" s="11" t="str">
        <f>IF($E3876="","",ROUND($E3876*IF(ISNA(MATCH($C3876,'Paramètres'!$D:$D,0)),1,IF(INDEX('Paramètres'!$J:$J,MATCH($C3876,'Paramètres'!$D:$D,0))="",1,INDEX('Paramètres'!$J:$J,MATCH($C3876,'Paramètres'!$D:$D,0)))),2))</f>
        <v/>
      </c>
      <c r="L3876" s="6" t="str">
        <f>IF($D3876="","",IF($F3876&lt;&gt;"",$F3876,IF(ISNA(MATCH($D3876,'Paramètres'!$M:$M,0)),"⚠ Type inconnu",IFERROR(INDEX('Paramètres'!$P:$P,MATCH($D3876,'Paramètres'!$M:$M,0))&amp;"",""))))</f>
        <v/>
      </c>
      <c r="M3876" s="6" t="str">
        <f>IF($D3876="","",IF(ISNA(MATCH($D3876,'Paramètres'!$M:$M,0)),"⚠ Type inconnu",IF($L3876="Crédit","",IFERROR(INDEX('Paramètres'!$O:$O,MATCH($D3876,'Paramètres'!$M:$M,0))&amp;"",""))))</f>
        <v/>
      </c>
      <c r="N3876" s="6" t="str">
        <f>IF($D3876="","",IFERROR(INDEX('Paramètres'!$Q:$Q,MATCH($D3876,'Paramètres'!$M:$M,0))&amp;"",""))</f>
        <v/>
      </c>
      <c r="O3876" s="6" t="str">
        <f>IF($A3876="","",IF(OR($J3876&lt;&gt;"x",$A3876&lt;=FinReleve),1,0))</f>
        <v/>
      </c>
      <c r="P3876" s="6" t="str">
        <f>IF($D3876="","",IF(AND($L3876="Crédit",OR(IFERROR(INDEX('Paramètres'!$O:$O,MATCH($D3876,'Paramètres'!$M:$M,0))&amp;"","")&lt;&gt;"",ISNUMBER(SEARCH("remboursement",IFERROR(INDEX('Paramètres'!$N:$N,MATCH($D3876,'Paramètres'!$M:$M,0))&amp;"",""))))),1,0))</f>
        <v/>
      </c>
      <c r="Q3876" s="6" t="str">
        <f>IF($K3876="","",IF(ISNUMBER(SEARCH("transfert-interne",IFERROR(INDEX('Paramètres'!$N:$N,MATCH($D3876,'Paramètres'!$M:$M,0))&amp;"",""))),0,IF($L3876="Débit",$K3876,IF($P3876=1,-$K3876,0))))</f>
        <v/>
      </c>
      <c r="R3876" s="6" t="str">
        <f>IF($K3876="","",IF($L3876="Crédit",$K3876,-$K3876))</f>
        <v/>
      </c>
      <c r="S3876" s="6" t="str">
        <f>IF($C3876="","",IFERROR(INDEX('Paramètres'!$H:$H,MATCH($C3876,'Paramètres'!$D:$D,0))&amp;"",""))</f>
        <v/>
      </c>
      <c r="T3876" s="6" t="str">
        <f>IF($K3876="","",IF($S3876="",0,IF(ISNUMBER(SEARCH("apport-exterieur",IFERROR(INDEX('Paramètres'!$N:$N,MATCH($D3876,'Paramètres'!$M:$M,0))&amp;"",""))),0,IF(OR(IFERROR(INDEX('Paramètres'!$I:$I,MATCH($C3876,'Paramètres'!$D:$D,0))&amp;"","")="Les deux",IFERROR(INDEX('Paramètres'!$I:$I,MATCH($C3876,'Paramètres'!$D:$D,0))&amp;"","")=IF($P3876=1,"Débit",$L3876)),-IF($P3876=1,-$K3876,$K3876),0))))</f>
        <v/>
      </c>
      <c r="U3876" s="6" t="str">
        <f>IF($K3876="","",IF(ISNUMBER(SEARCH("sortie-epargne",IFERROR(INDEX('Paramètres'!$N:$N,MATCH($D3876,'Paramètres'!$M:$M,0))&amp;"",""))),$K3876,0))</f>
        <v/>
      </c>
      <c r="V3876" s="6" t="str">
        <f>IF(AND($A3876&lt;&gt;"",$O3876=1,$L3876="Débit",N($Q3876)&gt;0,$A3876&gt;=Visualisation!$B$1,$A3876&lt;Visualisation!$D$1),MAX($V$1:V3875)+1,"")</f>
        <v/>
      </c>
    </row>
    <row r="3877" spans="1:22" x14ac:dyDescent="0.25">
      <c r="A3877" s="9"/>
      <c r="E3877" s="10"/>
      <c r="K3877" s="11" t="str">
        <f>IF($E3877="","",ROUND($E3877*IF(ISNA(MATCH($C3877,'Paramètres'!$D:$D,0)),1,IF(INDEX('Paramètres'!$J:$J,MATCH($C3877,'Paramètres'!$D:$D,0))="",1,INDEX('Paramètres'!$J:$J,MATCH($C3877,'Paramètres'!$D:$D,0)))),2))</f>
        <v/>
      </c>
      <c r="L3877" s="6" t="str">
        <f>IF($D3877="","",IF($F3877&lt;&gt;"",$F3877,IF(ISNA(MATCH($D3877,'Paramètres'!$M:$M,0)),"⚠ Type inconnu",IFERROR(INDEX('Paramètres'!$P:$P,MATCH($D3877,'Paramètres'!$M:$M,0))&amp;"",""))))</f>
        <v/>
      </c>
      <c r="M3877" s="6" t="str">
        <f>IF($D3877="","",IF(ISNA(MATCH($D3877,'Paramètres'!$M:$M,0)),"⚠ Type inconnu",IF($L3877="Crédit","",IFERROR(INDEX('Paramètres'!$O:$O,MATCH($D3877,'Paramètres'!$M:$M,0))&amp;"",""))))</f>
        <v/>
      </c>
      <c r="N3877" s="6" t="str">
        <f>IF($D3877="","",IFERROR(INDEX('Paramètres'!$Q:$Q,MATCH($D3877,'Paramètres'!$M:$M,0))&amp;"",""))</f>
        <v/>
      </c>
      <c r="O3877" s="6" t="str">
        <f>IF($A3877="","",IF(OR($J3877&lt;&gt;"x",$A3877&lt;=FinReleve),1,0))</f>
        <v/>
      </c>
      <c r="P3877" s="6" t="str">
        <f>IF($D3877="","",IF(AND($L3877="Crédit",OR(IFERROR(INDEX('Paramètres'!$O:$O,MATCH($D3877,'Paramètres'!$M:$M,0))&amp;"","")&lt;&gt;"",ISNUMBER(SEARCH("remboursement",IFERROR(INDEX('Paramètres'!$N:$N,MATCH($D3877,'Paramètres'!$M:$M,0))&amp;"",""))))),1,0))</f>
        <v/>
      </c>
      <c r="Q3877" s="6" t="str">
        <f>IF($K3877="","",IF(ISNUMBER(SEARCH("transfert-interne",IFERROR(INDEX('Paramètres'!$N:$N,MATCH($D3877,'Paramètres'!$M:$M,0))&amp;"",""))),0,IF($L3877="Débit",$K3877,IF($P3877=1,-$K3877,0))))</f>
        <v/>
      </c>
      <c r="R3877" s="6" t="str">
        <f>IF($K3877="","",IF($L3877="Crédit",$K3877,-$K3877))</f>
        <v/>
      </c>
      <c r="S3877" s="6" t="str">
        <f>IF($C3877="","",IFERROR(INDEX('Paramètres'!$H:$H,MATCH($C3877,'Paramètres'!$D:$D,0))&amp;"",""))</f>
        <v/>
      </c>
      <c r="T3877" s="6" t="str">
        <f>IF($K3877="","",IF($S3877="",0,IF(ISNUMBER(SEARCH("apport-exterieur",IFERROR(INDEX('Paramètres'!$N:$N,MATCH($D3877,'Paramètres'!$M:$M,0))&amp;"",""))),0,IF(OR(IFERROR(INDEX('Paramètres'!$I:$I,MATCH($C3877,'Paramètres'!$D:$D,0))&amp;"","")="Les deux",IFERROR(INDEX('Paramètres'!$I:$I,MATCH($C3877,'Paramètres'!$D:$D,0))&amp;"","")=IF($P3877=1,"Débit",$L3877)),-IF($P3877=1,-$K3877,$K3877),0))))</f>
        <v/>
      </c>
      <c r="U3877" s="6" t="str">
        <f>IF($K3877="","",IF(ISNUMBER(SEARCH("sortie-epargne",IFERROR(INDEX('Paramètres'!$N:$N,MATCH($D3877,'Paramètres'!$M:$M,0))&amp;"",""))),$K3877,0))</f>
        <v/>
      </c>
      <c r="V3877" s="6" t="str">
        <f>IF(AND($A3877&lt;&gt;"",$O3877=1,$L3877="Débit",N($Q3877)&gt;0,$A3877&gt;=Visualisation!$B$1,$A3877&lt;Visualisation!$D$1),MAX($V$1:V3876)+1,"")</f>
        <v/>
      </c>
    </row>
    <row r="3878" spans="1:22" x14ac:dyDescent="0.25">
      <c r="A3878" s="9"/>
      <c r="E3878" s="10"/>
      <c r="K3878" s="11" t="str">
        <f>IF($E3878="","",ROUND($E3878*IF(ISNA(MATCH($C3878,'Paramètres'!$D:$D,0)),1,IF(INDEX('Paramètres'!$J:$J,MATCH($C3878,'Paramètres'!$D:$D,0))="",1,INDEX('Paramètres'!$J:$J,MATCH($C3878,'Paramètres'!$D:$D,0)))),2))</f>
        <v/>
      </c>
      <c r="L3878" s="6" t="str">
        <f>IF($D3878="","",IF($F3878&lt;&gt;"",$F3878,IF(ISNA(MATCH($D3878,'Paramètres'!$M:$M,0)),"⚠ Type inconnu",IFERROR(INDEX('Paramètres'!$P:$P,MATCH($D3878,'Paramètres'!$M:$M,0))&amp;"",""))))</f>
        <v/>
      </c>
      <c r="M3878" s="6" t="str">
        <f>IF($D3878="","",IF(ISNA(MATCH($D3878,'Paramètres'!$M:$M,0)),"⚠ Type inconnu",IF($L3878="Crédit","",IFERROR(INDEX('Paramètres'!$O:$O,MATCH($D3878,'Paramètres'!$M:$M,0))&amp;"",""))))</f>
        <v/>
      </c>
      <c r="N3878" s="6" t="str">
        <f>IF($D3878="","",IFERROR(INDEX('Paramètres'!$Q:$Q,MATCH($D3878,'Paramètres'!$M:$M,0))&amp;"",""))</f>
        <v/>
      </c>
      <c r="O3878" s="6" t="str">
        <f>IF($A3878="","",IF(OR($J3878&lt;&gt;"x",$A3878&lt;=FinReleve),1,0))</f>
        <v/>
      </c>
      <c r="P3878" s="6" t="str">
        <f>IF($D3878="","",IF(AND($L3878="Crédit",OR(IFERROR(INDEX('Paramètres'!$O:$O,MATCH($D3878,'Paramètres'!$M:$M,0))&amp;"","")&lt;&gt;"",ISNUMBER(SEARCH("remboursement",IFERROR(INDEX('Paramètres'!$N:$N,MATCH($D3878,'Paramètres'!$M:$M,0))&amp;"",""))))),1,0))</f>
        <v/>
      </c>
      <c r="Q3878" s="6" t="str">
        <f>IF($K3878="","",IF(ISNUMBER(SEARCH("transfert-interne",IFERROR(INDEX('Paramètres'!$N:$N,MATCH($D3878,'Paramètres'!$M:$M,0))&amp;"",""))),0,IF($L3878="Débit",$K3878,IF($P3878=1,-$K3878,0))))</f>
        <v/>
      </c>
      <c r="R3878" s="6" t="str">
        <f>IF($K3878="","",IF($L3878="Crédit",$K3878,-$K3878))</f>
        <v/>
      </c>
      <c r="S3878" s="6" t="str">
        <f>IF($C3878="","",IFERROR(INDEX('Paramètres'!$H:$H,MATCH($C3878,'Paramètres'!$D:$D,0))&amp;"",""))</f>
        <v/>
      </c>
      <c r="T3878" s="6" t="str">
        <f>IF($K3878="","",IF($S3878="",0,IF(ISNUMBER(SEARCH("apport-exterieur",IFERROR(INDEX('Paramètres'!$N:$N,MATCH($D3878,'Paramètres'!$M:$M,0))&amp;"",""))),0,IF(OR(IFERROR(INDEX('Paramètres'!$I:$I,MATCH($C3878,'Paramètres'!$D:$D,0))&amp;"","")="Les deux",IFERROR(INDEX('Paramètres'!$I:$I,MATCH($C3878,'Paramètres'!$D:$D,0))&amp;"","")=IF($P3878=1,"Débit",$L3878)),-IF($P3878=1,-$K3878,$K3878),0))))</f>
        <v/>
      </c>
      <c r="U3878" s="6" t="str">
        <f>IF($K3878="","",IF(ISNUMBER(SEARCH("sortie-epargne",IFERROR(INDEX('Paramètres'!$N:$N,MATCH($D3878,'Paramètres'!$M:$M,0))&amp;"",""))),$K3878,0))</f>
        <v/>
      </c>
      <c r="V3878" s="6" t="str">
        <f>IF(AND($A3878&lt;&gt;"",$O3878=1,$L3878="Débit",N($Q3878)&gt;0,$A3878&gt;=Visualisation!$B$1,$A3878&lt;Visualisation!$D$1),MAX($V$1:V3877)+1,"")</f>
        <v/>
      </c>
    </row>
    <row r="3879" spans="1:22" x14ac:dyDescent="0.25">
      <c r="A3879" s="9"/>
      <c r="E3879" s="10"/>
      <c r="K3879" s="11" t="str">
        <f>IF($E3879="","",ROUND($E3879*IF(ISNA(MATCH($C3879,'Paramètres'!$D:$D,0)),1,IF(INDEX('Paramètres'!$J:$J,MATCH($C3879,'Paramètres'!$D:$D,0))="",1,INDEX('Paramètres'!$J:$J,MATCH($C3879,'Paramètres'!$D:$D,0)))),2))</f>
        <v/>
      </c>
      <c r="L3879" s="6" t="str">
        <f>IF($D3879="","",IF($F3879&lt;&gt;"",$F3879,IF(ISNA(MATCH($D3879,'Paramètres'!$M:$M,0)),"⚠ Type inconnu",IFERROR(INDEX('Paramètres'!$P:$P,MATCH($D3879,'Paramètres'!$M:$M,0))&amp;"",""))))</f>
        <v/>
      </c>
      <c r="M3879" s="6" t="str">
        <f>IF($D3879="","",IF(ISNA(MATCH($D3879,'Paramètres'!$M:$M,0)),"⚠ Type inconnu",IF($L3879="Crédit","",IFERROR(INDEX('Paramètres'!$O:$O,MATCH($D3879,'Paramètres'!$M:$M,0))&amp;"",""))))</f>
        <v/>
      </c>
      <c r="N3879" s="6" t="str">
        <f>IF($D3879="","",IFERROR(INDEX('Paramètres'!$Q:$Q,MATCH($D3879,'Paramètres'!$M:$M,0))&amp;"",""))</f>
        <v/>
      </c>
      <c r="O3879" s="6" t="str">
        <f>IF($A3879="","",IF(OR($J3879&lt;&gt;"x",$A3879&lt;=FinReleve),1,0))</f>
        <v/>
      </c>
      <c r="P3879" s="6" t="str">
        <f>IF($D3879="","",IF(AND($L3879="Crédit",OR(IFERROR(INDEX('Paramètres'!$O:$O,MATCH($D3879,'Paramètres'!$M:$M,0))&amp;"","")&lt;&gt;"",ISNUMBER(SEARCH("remboursement",IFERROR(INDEX('Paramètres'!$N:$N,MATCH($D3879,'Paramètres'!$M:$M,0))&amp;"",""))))),1,0))</f>
        <v/>
      </c>
      <c r="Q3879" s="6" t="str">
        <f>IF($K3879="","",IF(ISNUMBER(SEARCH("transfert-interne",IFERROR(INDEX('Paramètres'!$N:$N,MATCH($D3879,'Paramètres'!$M:$M,0))&amp;"",""))),0,IF($L3879="Débit",$K3879,IF($P3879=1,-$K3879,0))))</f>
        <v/>
      </c>
      <c r="R3879" s="6" t="str">
        <f>IF($K3879="","",IF($L3879="Crédit",$K3879,-$K3879))</f>
        <v/>
      </c>
      <c r="S3879" s="6" t="str">
        <f>IF($C3879="","",IFERROR(INDEX('Paramètres'!$H:$H,MATCH($C3879,'Paramètres'!$D:$D,0))&amp;"",""))</f>
        <v/>
      </c>
      <c r="T3879" s="6" t="str">
        <f>IF($K3879="","",IF($S3879="",0,IF(ISNUMBER(SEARCH("apport-exterieur",IFERROR(INDEX('Paramètres'!$N:$N,MATCH($D3879,'Paramètres'!$M:$M,0))&amp;"",""))),0,IF(OR(IFERROR(INDEX('Paramètres'!$I:$I,MATCH($C3879,'Paramètres'!$D:$D,0))&amp;"","")="Les deux",IFERROR(INDEX('Paramètres'!$I:$I,MATCH($C3879,'Paramètres'!$D:$D,0))&amp;"","")=IF($P3879=1,"Débit",$L3879)),-IF($P3879=1,-$K3879,$K3879),0))))</f>
        <v/>
      </c>
      <c r="U3879" s="6" t="str">
        <f>IF($K3879="","",IF(ISNUMBER(SEARCH("sortie-epargne",IFERROR(INDEX('Paramètres'!$N:$N,MATCH($D3879,'Paramètres'!$M:$M,0))&amp;"",""))),$K3879,0))</f>
        <v/>
      </c>
      <c r="V3879" s="6" t="str">
        <f>IF(AND($A3879&lt;&gt;"",$O3879=1,$L3879="Débit",N($Q3879)&gt;0,$A3879&gt;=Visualisation!$B$1,$A3879&lt;Visualisation!$D$1),MAX($V$1:V3878)+1,"")</f>
        <v/>
      </c>
    </row>
    <row r="3880" spans="1:22" x14ac:dyDescent="0.25">
      <c r="A3880" s="9"/>
      <c r="E3880" s="10"/>
      <c r="K3880" s="11" t="str">
        <f>IF($E3880="","",ROUND($E3880*IF(ISNA(MATCH($C3880,'Paramètres'!$D:$D,0)),1,IF(INDEX('Paramètres'!$J:$J,MATCH($C3880,'Paramètres'!$D:$D,0))="",1,INDEX('Paramètres'!$J:$J,MATCH($C3880,'Paramètres'!$D:$D,0)))),2))</f>
        <v/>
      </c>
      <c r="L3880" s="6" t="str">
        <f>IF($D3880="","",IF($F3880&lt;&gt;"",$F3880,IF(ISNA(MATCH($D3880,'Paramètres'!$M:$M,0)),"⚠ Type inconnu",IFERROR(INDEX('Paramètres'!$P:$P,MATCH($D3880,'Paramètres'!$M:$M,0))&amp;"",""))))</f>
        <v/>
      </c>
      <c r="M3880" s="6" t="str">
        <f>IF($D3880="","",IF(ISNA(MATCH($D3880,'Paramètres'!$M:$M,0)),"⚠ Type inconnu",IF($L3880="Crédit","",IFERROR(INDEX('Paramètres'!$O:$O,MATCH($D3880,'Paramètres'!$M:$M,0))&amp;"",""))))</f>
        <v/>
      </c>
      <c r="N3880" s="6" t="str">
        <f>IF($D3880="","",IFERROR(INDEX('Paramètres'!$Q:$Q,MATCH($D3880,'Paramètres'!$M:$M,0))&amp;"",""))</f>
        <v/>
      </c>
      <c r="O3880" s="6" t="str">
        <f>IF($A3880="","",IF(OR($J3880&lt;&gt;"x",$A3880&lt;=FinReleve),1,0))</f>
        <v/>
      </c>
      <c r="P3880" s="6" t="str">
        <f>IF($D3880="","",IF(AND($L3880="Crédit",OR(IFERROR(INDEX('Paramètres'!$O:$O,MATCH($D3880,'Paramètres'!$M:$M,0))&amp;"","")&lt;&gt;"",ISNUMBER(SEARCH("remboursement",IFERROR(INDEX('Paramètres'!$N:$N,MATCH($D3880,'Paramètres'!$M:$M,0))&amp;"",""))))),1,0))</f>
        <v/>
      </c>
      <c r="Q3880" s="6" t="str">
        <f>IF($K3880="","",IF(ISNUMBER(SEARCH("transfert-interne",IFERROR(INDEX('Paramètres'!$N:$N,MATCH($D3880,'Paramètres'!$M:$M,0))&amp;"",""))),0,IF($L3880="Débit",$K3880,IF($P3880=1,-$K3880,0))))</f>
        <v/>
      </c>
      <c r="R3880" s="6" t="str">
        <f>IF($K3880="","",IF($L3880="Crédit",$K3880,-$K3880))</f>
        <v/>
      </c>
      <c r="S3880" s="6" t="str">
        <f>IF($C3880="","",IFERROR(INDEX('Paramètres'!$H:$H,MATCH($C3880,'Paramètres'!$D:$D,0))&amp;"",""))</f>
        <v/>
      </c>
      <c r="T3880" s="6" t="str">
        <f>IF($K3880="","",IF($S3880="",0,IF(ISNUMBER(SEARCH("apport-exterieur",IFERROR(INDEX('Paramètres'!$N:$N,MATCH($D3880,'Paramètres'!$M:$M,0))&amp;"",""))),0,IF(OR(IFERROR(INDEX('Paramètres'!$I:$I,MATCH($C3880,'Paramètres'!$D:$D,0))&amp;"","")="Les deux",IFERROR(INDEX('Paramètres'!$I:$I,MATCH($C3880,'Paramètres'!$D:$D,0))&amp;"","")=IF($P3880=1,"Débit",$L3880)),-IF($P3880=1,-$K3880,$K3880),0))))</f>
        <v/>
      </c>
      <c r="U3880" s="6" t="str">
        <f>IF($K3880="","",IF(ISNUMBER(SEARCH("sortie-epargne",IFERROR(INDEX('Paramètres'!$N:$N,MATCH($D3880,'Paramètres'!$M:$M,0))&amp;"",""))),$K3880,0))</f>
        <v/>
      </c>
      <c r="V3880" s="6" t="str">
        <f>IF(AND($A3880&lt;&gt;"",$O3880=1,$L3880="Débit",N($Q3880)&gt;0,$A3880&gt;=Visualisation!$B$1,$A3880&lt;Visualisation!$D$1),MAX($V$1:V3879)+1,"")</f>
        <v/>
      </c>
    </row>
    <row r="3881" spans="1:22" x14ac:dyDescent="0.25">
      <c r="A3881" s="9"/>
      <c r="E3881" s="10"/>
      <c r="K3881" s="11" t="str">
        <f>IF($E3881="","",ROUND($E3881*IF(ISNA(MATCH($C3881,'Paramètres'!$D:$D,0)),1,IF(INDEX('Paramètres'!$J:$J,MATCH($C3881,'Paramètres'!$D:$D,0))="",1,INDEX('Paramètres'!$J:$J,MATCH($C3881,'Paramètres'!$D:$D,0)))),2))</f>
        <v/>
      </c>
      <c r="L3881" s="6" t="str">
        <f>IF($D3881="","",IF($F3881&lt;&gt;"",$F3881,IF(ISNA(MATCH($D3881,'Paramètres'!$M:$M,0)),"⚠ Type inconnu",IFERROR(INDEX('Paramètres'!$P:$P,MATCH($D3881,'Paramètres'!$M:$M,0))&amp;"",""))))</f>
        <v/>
      </c>
      <c r="M3881" s="6" t="str">
        <f>IF($D3881="","",IF(ISNA(MATCH($D3881,'Paramètres'!$M:$M,0)),"⚠ Type inconnu",IF($L3881="Crédit","",IFERROR(INDEX('Paramètres'!$O:$O,MATCH($D3881,'Paramètres'!$M:$M,0))&amp;"",""))))</f>
        <v/>
      </c>
      <c r="N3881" s="6" t="str">
        <f>IF($D3881="","",IFERROR(INDEX('Paramètres'!$Q:$Q,MATCH($D3881,'Paramètres'!$M:$M,0))&amp;"",""))</f>
        <v/>
      </c>
      <c r="O3881" s="6" t="str">
        <f>IF($A3881="","",IF(OR($J3881&lt;&gt;"x",$A3881&lt;=FinReleve),1,0))</f>
        <v/>
      </c>
      <c r="P3881" s="6" t="str">
        <f>IF($D3881="","",IF(AND($L3881="Crédit",OR(IFERROR(INDEX('Paramètres'!$O:$O,MATCH($D3881,'Paramètres'!$M:$M,0))&amp;"","")&lt;&gt;"",ISNUMBER(SEARCH("remboursement",IFERROR(INDEX('Paramètres'!$N:$N,MATCH($D3881,'Paramètres'!$M:$M,0))&amp;"",""))))),1,0))</f>
        <v/>
      </c>
      <c r="Q3881" s="6" t="str">
        <f>IF($K3881="","",IF(ISNUMBER(SEARCH("transfert-interne",IFERROR(INDEX('Paramètres'!$N:$N,MATCH($D3881,'Paramètres'!$M:$M,0))&amp;"",""))),0,IF($L3881="Débit",$K3881,IF($P3881=1,-$K3881,0))))</f>
        <v/>
      </c>
      <c r="R3881" s="6" t="str">
        <f>IF($K3881="","",IF($L3881="Crédit",$K3881,-$K3881))</f>
        <v/>
      </c>
      <c r="S3881" s="6" t="str">
        <f>IF($C3881="","",IFERROR(INDEX('Paramètres'!$H:$H,MATCH($C3881,'Paramètres'!$D:$D,0))&amp;"",""))</f>
        <v/>
      </c>
      <c r="T3881" s="6" t="str">
        <f>IF($K3881="","",IF($S3881="",0,IF(ISNUMBER(SEARCH("apport-exterieur",IFERROR(INDEX('Paramètres'!$N:$N,MATCH($D3881,'Paramètres'!$M:$M,0))&amp;"",""))),0,IF(OR(IFERROR(INDEX('Paramètres'!$I:$I,MATCH($C3881,'Paramètres'!$D:$D,0))&amp;"","")="Les deux",IFERROR(INDEX('Paramètres'!$I:$I,MATCH($C3881,'Paramètres'!$D:$D,0))&amp;"","")=IF($P3881=1,"Débit",$L3881)),-IF($P3881=1,-$K3881,$K3881),0))))</f>
        <v/>
      </c>
      <c r="U3881" s="6" t="str">
        <f>IF($K3881="","",IF(ISNUMBER(SEARCH("sortie-epargne",IFERROR(INDEX('Paramètres'!$N:$N,MATCH($D3881,'Paramètres'!$M:$M,0))&amp;"",""))),$K3881,0))</f>
        <v/>
      </c>
      <c r="V3881" s="6" t="str">
        <f>IF(AND($A3881&lt;&gt;"",$O3881=1,$L3881="Débit",N($Q3881)&gt;0,$A3881&gt;=Visualisation!$B$1,$A3881&lt;Visualisation!$D$1),MAX($V$1:V3880)+1,"")</f>
        <v/>
      </c>
    </row>
    <row r="3882" spans="1:22" x14ac:dyDescent="0.25">
      <c r="A3882" s="9"/>
      <c r="E3882" s="10"/>
      <c r="K3882" s="11" t="str">
        <f>IF($E3882="","",ROUND($E3882*IF(ISNA(MATCH($C3882,'Paramètres'!$D:$D,0)),1,IF(INDEX('Paramètres'!$J:$J,MATCH($C3882,'Paramètres'!$D:$D,0))="",1,INDEX('Paramètres'!$J:$J,MATCH($C3882,'Paramètres'!$D:$D,0)))),2))</f>
        <v/>
      </c>
      <c r="L3882" s="6" t="str">
        <f>IF($D3882="","",IF($F3882&lt;&gt;"",$F3882,IF(ISNA(MATCH($D3882,'Paramètres'!$M:$M,0)),"⚠ Type inconnu",IFERROR(INDEX('Paramètres'!$P:$P,MATCH($D3882,'Paramètres'!$M:$M,0))&amp;"",""))))</f>
        <v/>
      </c>
      <c r="M3882" s="6" t="str">
        <f>IF($D3882="","",IF(ISNA(MATCH($D3882,'Paramètres'!$M:$M,0)),"⚠ Type inconnu",IF($L3882="Crédit","",IFERROR(INDEX('Paramètres'!$O:$O,MATCH($D3882,'Paramètres'!$M:$M,0))&amp;"",""))))</f>
        <v/>
      </c>
      <c r="N3882" s="6" t="str">
        <f>IF($D3882="","",IFERROR(INDEX('Paramètres'!$Q:$Q,MATCH($D3882,'Paramètres'!$M:$M,0))&amp;"",""))</f>
        <v/>
      </c>
      <c r="O3882" s="6" t="str">
        <f>IF($A3882="","",IF(OR($J3882&lt;&gt;"x",$A3882&lt;=FinReleve),1,0))</f>
        <v/>
      </c>
      <c r="P3882" s="6" t="str">
        <f>IF($D3882="","",IF(AND($L3882="Crédit",OR(IFERROR(INDEX('Paramètres'!$O:$O,MATCH($D3882,'Paramètres'!$M:$M,0))&amp;"","")&lt;&gt;"",ISNUMBER(SEARCH("remboursement",IFERROR(INDEX('Paramètres'!$N:$N,MATCH($D3882,'Paramètres'!$M:$M,0))&amp;"",""))))),1,0))</f>
        <v/>
      </c>
      <c r="Q3882" s="6" t="str">
        <f>IF($K3882="","",IF(ISNUMBER(SEARCH("transfert-interne",IFERROR(INDEX('Paramètres'!$N:$N,MATCH($D3882,'Paramètres'!$M:$M,0))&amp;"",""))),0,IF($L3882="Débit",$K3882,IF($P3882=1,-$K3882,0))))</f>
        <v/>
      </c>
      <c r="R3882" s="6" t="str">
        <f>IF($K3882="","",IF($L3882="Crédit",$K3882,-$K3882))</f>
        <v/>
      </c>
      <c r="S3882" s="6" t="str">
        <f>IF($C3882="","",IFERROR(INDEX('Paramètres'!$H:$H,MATCH($C3882,'Paramètres'!$D:$D,0))&amp;"",""))</f>
        <v/>
      </c>
      <c r="T3882" s="6" t="str">
        <f>IF($K3882="","",IF($S3882="",0,IF(ISNUMBER(SEARCH("apport-exterieur",IFERROR(INDEX('Paramètres'!$N:$N,MATCH($D3882,'Paramètres'!$M:$M,0))&amp;"",""))),0,IF(OR(IFERROR(INDEX('Paramètres'!$I:$I,MATCH($C3882,'Paramètres'!$D:$D,0))&amp;"","")="Les deux",IFERROR(INDEX('Paramètres'!$I:$I,MATCH($C3882,'Paramètres'!$D:$D,0))&amp;"","")=IF($P3882=1,"Débit",$L3882)),-IF($P3882=1,-$K3882,$K3882),0))))</f>
        <v/>
      </c>
      <c r="U3882" s="6" t="str">
        <f>IF($K3882="","",IF(ISNUMBER(SEARCH("sortie-epargne",IFERROR(INDEX('Paramètres'!$N:$N,MATCH($D3882,'Paramètres'!$M:$M,0))&amp;"",""))),$K3882,0))</f>
        <v/>
      </c>
      <c r="V3882" s="6" t="str">
        <f>IF(AND($A3882&lt;&gt;"",$O3882=1,$L3882="Débit",N($Q3882)&gt;0,$A3882&gt;=Visualisation!$B$1,$A3882&lt;Visualisation!$D$1),MAX($V$1:V3881)+1,"")</f>
        <v/>
      </c>
    </row>
    <row r="3883" spans="1:22" x14ac:dyDescent="0.25">
      <c r="A3883" s="9"/>
      <c r="E3883" s="10"/>
      <c r="K3883" s="11" t="str">
        <f>IF($E3883="","",ROUND($E3883*IF(ISNA(MATCH($C3883,'Paramètres'!$D:$D,0)),1,IF(INDEX('Paramètres'!$J:$J,MATCH($C3883,'Paramètres'!$D:$D,0))="",1,INDEX('Paramètres'!$J:$J,MATCH($C3883,'Paramètres'!$D:$D,0)))),2))</f>
        <v/>
      </c>
      <c r="L3883" s="6" t="str">
        <f>IF($D3883="","",IF($F3883&lt;&gt;"",$F3883,IF(ISNA(MATCH($D3883,'Paramètres'!$M:$M,0)),"⚠ Type inconnu",IFERROR(INDEX('Paramètres'!$P:$P,MATCH($D3883,'Paramètres'!$M:$M,0))&amp;"",""))))</f>
        <v/>
      </c>
      <c r="M3883" s="6" t="str">
        <f>IF($D3883="","",IF(ISNA(MATCH($D3883,'Paramètres'!$M:$M,0)),"⚠ Type inconnu",IF($L3883="Crédit","",IFERROR(INDEX('Paramètres'!$O:$O,MATCH($D3883,'Paramètres'!$M:$M,0))&amp;"",""))))</f>
        <v/>
      </c>
      <c r="N3883" s="6" t="str">
        <f>IF($D3883="","",IFERROR(INDEX('Paramètres'!$Q:$Q,MATCH($D3883,'Paramètres'!$M:$M,0))&amp;"",""))</f>
        <v/>
      </c>
      <c r="O3883" s="6" t="str">
        <f>IF($A3883="","",IF(OR($J3883&lt;&gt;"x",$A3883&lt;=FinReleve),1,0))</f>
        <v/>
      </c>
      <c r="P3883" s="6" t="str">
        <f>IF($D3883="","",IF(AND($L3883="Crédit",OR(IFERROR(INDEX('Paramètres'!$O:$O,MATCH($D3883,'Paramètres'!$M:$M,0))&amp;"","")&lt;&gt;"",ISNUMBER(SEARCH("remboursement",IFERROR(INDEX('Paramètres'!$N:$N,MATCH($D3883,'Paramètres'!$M:$M,0))&amp;"",""))))),1,0))</f>
        <v/>
      </c>
      <c r="Q3883" s="6" t="str">
        <f>IF($K3883="","",IF(ISNUMBER(SEARCH("transfert-interne",IFERROR(INDEX('Paramètres'!$N:$N,MATCH($D3883,'Paramètres'!$M:$M,0))&amp;"",""))),0,IF($L3883="Débit",$K3883,IF($P3883=1,-$K3883,0))))</f>
        <v/>
      </c>
      <c r="R3883" s="6" t="str">
        <f>IF($K3883="","",IF($L3883="Crédit",$K3883,-$K3883))</f>
        <v/>
      </c>
      <c r="S3883" s="6" t="str">
        <f>IF($C3883="","",IFERROR(INDEX('Paramètres'!$H:$H,MATCH($C3883,'Paramètres'!$D:$D,0))&amp;"",""))</f>
        <v/>
      </c>
      <c r="T3883" s="6" t="str">
        <f>IF($K3883="","",IF($S3883="",0,IF(ISNUMBER(SEARCH("apport-exterieur",IFERROR(INDEX('Paramètres'!$N:$N,MATCH($D3883,'Paramètres'!$M:$M,0))&amp;"",""))),0,IF(OR(IFERROR(INDEX('Paramètres'!$I:$I,MATCH($C3883,'Paramètres'!$D:$D,0))&amp;"","")="Les deux",IFERROR(INDEX('Paramètres'!$I:$I,MATCH($C3883,'Paramètres'!$D:$D,0))&amp;"","")=IF($P3883=1,"Débit",$L3883)),-IF($P3883=1,-$K3883,$K3883),0))))</f>
        <v/>
      </c>
      <c r="U3883" s="6" t="str">
        <f>IF($K3883="","",IF(ISNUMBER(SEARCH("sortie-epargne",IFERROR(INDEX('Paramètres'!$N:$N,MATCH($D3883,'Paramètres'!$M:$M,0))&amp;"",""))),$K3883,0))</f>
        <v/>
      </c>
      <c r="V3883" s="6" t="str">
        <f>IF(AND($A3883&lt;&gt;"",$O3883=1,$L3883="Débit",N($Q3883)&gt;0,$A3883&gt;=Visualisation!$B$1,$A3883&lt;Visualisation!$D$1),MAX($V$1:V3882)+1,"")</f>
        <v/>
      </c>
    </row>
    <row r="3884" spans="1:22" x14ac:dyDescent="0.25">
      <c r="A3884" s="9"/>
      <c r="E3884" s="10"/>
      <c r="K3884" s="11" t="str">
        <f>IF($E3884="","",ROUND($E3884*IF(ISNA(MATCH($C3884,'Paramètres'!$D:$D,0)),1,IF(INDEX('Paramètres'!$J:$J,MATCH($C3884,'Paramètres'!$D:$D,0))="",1,INDEX('Paramètres'!$J:$J,MATCH($C3884,'Paramètres'!$D:$D,0)))),2))</f>
        <v/>
      </c>
      <c r="L3884" s="6" t="str">
        <f>IF($D3884="","",IF($F3884&lt;&gt;"",$F3884,IF(ISNA(MATCH($D3884,'Paramètres'!$M:$M,0)),"⚠ Type inconnu",IFERROR(INDEX('Paramètres'!$P:$P,MATCH($D3884,'Paramètres'!$M:$M,0))&amp;"",""))))</f>
        <v/>
      </c>
      <c r="M3884" s="6" t="str">
        <f>IF($D3884="","",IF(ISNA(MATCH($D3884,'Paramètres'!$M:$M,0)),"⚠ Type inconnu",IF($L3884="Crédit","",IFERROR(INDEX('Paramètres'!$O:$O,MATCH($D3884,'Paramètres'!$M:$M,0))&amp;"",""))))</f>
        <v/>
      </c>
      <c r="N3884" s="6" t="str">
        <f>IF($D3884="","",IFERROR(INDEX('Paramètres'!$Q:$Q,MATCH($D3884,'Paramètres'!$M:$M,0))&amp;"",""))</f>
        <v/>
      </c>
      <c r="O3884" s="6" t="str">
        <f>IF($A3884="","",IF(OR($J3884&lt;&gt;"x",$A3884&lt;=FinReleve),1,0))</f>
        <v/>
      </c>
      <c r="P3884" s="6" t="str">
        <f>IF($D3884="","",IF(AND($L3884="Crédit",OR(IFERROR(INDEX('Paramètres'!$O:$O,MATCH($D3884,'Paramètres'!$M:$M,0))&amp;"","")&lt;&gt;"",ISNUMBER(SEARCH("remboursement",IFERROR(INDEX('Paramètres'!$N:$N,MATCH($D3884,'Paramètres'!$M:$M,0))&amp;"",""))))),1,0))</f>
        <v/>
      </c>
      <c r="Q3884" s="6" t="str">
        <f>IF($K3884="","",IF(ISNUMBER(SEARCH("transfert-interne",IFERROR(INDEX('Paramètres'!$N:$N,MATCH($D3884,'Paramètres'!$M:$M,0))&amp;"",""))),0,IF($L3884="Débit",$K3884,IF($P3884=1,-$K3884,0))))</f>
        <v/>
      </c>
      <c r="R3884" s="6" t="str">
        <f>IF($K3884="","",IF($L3884="Crédit",$K3884,-$K3884))</f>
        <v/>
      </c>
      <c r="S3884" s="6" t="str">
        <f>IF($C3884="","",IFERROR(INDEX('Paramètres'!$H:$H,MATCH($C3884,'Paramètres'!$D:$D,0))&amp;"",""))</f>
        <v/>
      </c>
      <c r="T3884" s="6" t="str">
        <f>IF($K3884="","",IF($S3884="",0,IF(ISNUMBER(SEARCH("apport-exterieur",IFERROR(INDEX('Paramètres'!$N:$N,MATCH($D3884,'Paramètres'!$M:$M,0))&amp;"",""))),0,IF(OR(IFERROR(INDEX('Paramètres'!$I:$I,MATCH($C3884,'Paramètres'!$D:$D,0))&amp;"","")="Les deux",IFERROR(INDEX('Paramètres'!$I:$I,MATCH($C3884,'Paramètres'!$D:$D,0))&amp;"","")=IF($P3884=1,"Débit",$L3884)),-IF($P3884=1,-$K3884,$K3884),0))))</f>
        <v/>
      </c>
      <c r="U3884" s="6" t="str">
        <f>IF($K3884="","",IF(ISNUMBER(SEARCH("sortie-epargne",IFERROR(INDEX('Paramètres'!$N:$N,MATCH($D3884,'Paramètres'!$M:$M,0))&amp;"",""))),$K3884,0))</f>
        <v/>
      </c>
      <c r="V3884" s="6" t="str">
        <f>IF(AND($A3884&lt;&gt;"",$O3884=1,$L3884="Débit",N($Q3884)&gt;0,$A3884&gt;=Visualisation!$B$1,$A3884&lt;Visualisation!$D$1),MAX($V$1:V3883)+1,"")</f>
        <v/>
      </c>
    </row>
    <row r="3885" spans="1:22" x14ac:dyDescent="0.25">
      <c r="A3885" s="9"/>
      <c r="E3885" s="10"/>
      <c r="K3885" s="11" t="str">
        <f>IF($E3885="","",ROUND($E3885*IF(ISNA(MATCH($C3885,'Paramètres'!$D:$D,0)),1,IF(INDEX('Paramètres'!$J:$J,MATCH($C3885,'Paramètres'!$D:$D,0))="",1,INDEX('Paramètres'!$J:$J,MATCH($C3885,'Paramètres'!$D:$D,0)))),2))</f>
        <v/>
      </c>
      <c r="L3885" s="6" t="str">
        <f>IF($D3885="","",IF($F3885&lt;&gt;"",$F3885,IF(ISNA(MATCH($D3885,'Paramètres'!$M:$M,0)),"⚠ Type inconnu",IFERROR(INDEX('Paramètres'!$P:$P,MATCH($D3885,'Paramètres'!$M:$M,0))&amp;"",""))))</f>
        <v/>
      </c>
      <c r="M3885" s="6" t="str">
        <f>IF($D3885="","",IF(ISNA(MATCH($D3885,'Paramètres'!$M:$M,0)),"⚠ Type inconnu",IF($L3885="Crédit","",IFERROR(INDEX('Paramètres'!$O:$O,MATCH($D3885,'Paramètres'!$M:$M,0))&amp;"",""))))</f>
        <v/>
      </c>
      <c r="N3885" s="6" t="str">
        <f>IF($D3885="","",IFERROR(INDEX('Paramètres'!$Q:$Q,MATCH($D3885,'Paramètres'!$M:$M,0))&amp;"",""))</f>
        <v/>
      </c>
      <c r="O3885" s="6" t="str">
        <f>IF($A3885="","",IF(OR($J3885&lt;&gt;"x",$A3885&lt;=FinReleve),1,0))</f>
        <v/>
      </c>
      <c r="P3885" s="6" t="str">
        <f>IF($D3885="","",IF(AND($L3885="Crédit",OR(IFERROR(INDEX('Paramètres'!$O:$O,MATCH($D3885,'Paramètres'!$M:$M,0))&amp;"","")&lt;&gt;"",ISNUMBER(SEARCH("remboursement",IFERROR(INDEX('Paramètres'!$N:$N,MATCH($D3885,'Paramètres'!$M:$M,0))&amp;"",""))))),1,0))</f>
        <v/>
      </c>
      <c r="Q3885" s="6" t="str">
        <f>IF($K3885="","",IF(ISNUMBER(SEARCH("transfert-interne",IFERROR(INDEX('Paramètres'!$N:$N,MATCH($D3885,'Paramètres'!$M:$M,0))&amp;"",""))),0,IF($L3885="Débit",$K3885,IF($P3885=1,-$K3885,0))))</f>
        <v/>
      </c>
      <c r="R3885" s="6" t="str">
        <f>IF($K3885="","",IF($L3885="Crédit",$K3885,-$K3885))</f>
        <v/>
      </c>
      <c r="S3885" s="6" t="str">
        <f>IF($C3885="","",IFERROR(INDEX('Paramètres'!$H:$H,MATCH($C3885,'Paramètres'!$D:$D,0))&amp;"",""))</f>
        <v/>
      </c>
      <c r="T3885" s="6" t="str">
        <f>IF($K3885="","",IF($S3885="",0,IF(ISNUMBER(SEARCH("apport-exterieur",IFERROR(INDEX('Paramètres'!$N:$N,MATCH($D3885,'Paramètres'!$M:$M,0))&amp;"",""))),0,IF(OR(IFERROR(INDEX('Paramètres'!$I:$I,MATCH($C3885,'Paramètres'!$D:$D,0))&amp;"","")="Les deux",IFERROR(INDEX('Paramètres'!$I:$I,MATCH($C3885,'Paramètres'!$D:$D,0))&amp;"","")=IF($P3885=1,"Débit",$L3885)),-IF($P3885=1,-$K3885,$K3885),0))))</f>
        <v/>
      </c>
      <c r="U3885" s="6" t="str">
        <f>IF($K3885="","",IF(ISNUMBER(SEARCH("sortie-epargne",IFERROR(INDEX('Paramètres'!$N:$N,MATCH($D3885,'Paramètres'!$M:$M,0))&amp;"",""))),$K3885,0))</f>
        <v/>
      </c>
      <c r="V3885" s="6" t="str">
        <f>IF(AND($A3885&lt;&gt;"",$O3885=1,$L3885="Débit",N($Q3885)&gt;0,$A3885&gt;=Visualisation!$B$1,$A3885&lt;Visualisation!$D$1),MAX($V$1:V3884)+1,"")</f>
        <v/>
      </c>
    </row>
    <row r="3886" spans="1:22" x14ac:dyDescent="0.25">
      <c r="A3886" s="9"/>
      <c r="E3886" s="10"/>
      <c r="K3886" s="11" t="str">
        <f>IF($E3886="","",ROUND($E3886*IF(ISNA(MATCH($C3886,'Paramètres'!$D:$D,0)),1,IF(INDEX('Paramètres'!$J:$J,MATCH($C3886,'Paramètres'!$D:$D,0))="",1,INDEX('Paramètres'!$J:$J,MATCH($C3886,'Paramètres'!$D:$D,0)))),2))</f>
        <v/>
      </c>
      <c r="L3886" s="6" t="str">
        <f>IF($D3886="","",IF($F3886&lt;&gt;"",$F3886,IF(ISNA(MATCH($D3886,'Paramètres'!$M:$M,0)),"⚠ Type inconnu",IFERROR(INDEX('Paramètres'!$P:$P,MATCH($D3886,'Paramètres'!$M:$M,0))&amp;"",""))))</f>
        <v/>
      </c>
      <c r="M3886" s="6" t="str">
        <f>IF($D3886="","",IF(ISNA(MATCH($D3886,'Paramètres'!$M:$M,0)),"⚠ Type inconnu",IF($L3886="Crédit","",IFERROR(INDEX('Paramètres'!$O:$O,MATCH($D3886,'Paramètres'!$M:$M,0))&amp;"",""))))</f>
        <v/>
      </c>
      <c r="N3886" s="6" t="str">
        <f>IF($D3886="","",IFERROR(INDEX('Paramètres'!$Q:$Q,MATCH($D3886,'Paramètres'!$M:$M,0))&amp;"",""))</f>
        <v/>
      </c>
      <c r="O3886" s="6" t="str">
        <f>IF($A3886="","",IF(OR($J3886&lt;&gt;"x",$A3886&lt;=FinReleve),1,0))</f>
        <v/>
      </c>
      <c r="P3886" s="6" t="str">
        <f>IF($D3886="","",IF(AND($L3886="Crédit",OR(IFERROR(INDEX('Paramètres'!$O:$O,MATCH($D3886,'Paramètres'!$M:$M,0))&amp;"","")&lt;&gt;"",ISNUMBER(SEARCH("remboursement",IFERROR(INDEX('Paramètres'!$N:$N,MATCH($D3886,'Paramètres'!$M:$M,0))&amp;"",""))))),1,0))</f>
        <v/>
      </c>
      <c r="Q3886" s="6" t="str">
        <f>IF($K3886="","",IF(ISNUMBER(SEARCH("transfert-interne",IFERROR(INDEX('Paramètres'!$N:$N,MATCH($D3886,'Paramètres'!$M:$M,0))&amp;"",""))),0,IF($L3886="Débit",$K3886,IF($P3886=1,-$K3886,0))))</f>
        <v/>
      </c>
      <c r="R3886" s="6" t="str">
        <f>IF($K3886="","",IF($L3886="Crédit",$K3886,-$K3886))</f>
        <v/>
      </c>
      <c r="S3886" s="6" t="str">
        <f>IF($C3886="","",IFERROR(INDEX('Paramètres'!$H:$H,MATCH($C3886,'Paramètres'!$D:$D,0))&amp;"",""))</f>
        <v/>
      </c>
      <c r="T3886" s="6" t="str">
        <f>IF($K3886="","",IF($S3886="",0,IF(ISNUMBER(SEARCH("apport-exterieur",IFERROR(INDEX('Paramètres'!$N:$N,MATCH($D3886,'Paramètres'!$M:$M,0))&amp;"",""))),0,IF(OR(IFERROR(INDEX('Paramètres'!$I:$I,MATCH($C3886,'Paramètres'!$D:$D,0))&amp;"","")="Les deux",IFERROR(INDEX('Paramètres'!$I:$I,MATCH($C3886,'Paramètres'!$D:$D,0))&amp;"","")=IF($P3886=1,"Débit",$L3886)),-IF($P3886=1,-$K3886,$K3886),0))))</f>
        <v/>
      </c>
      <c r="U3886" s="6" t="str">
        <f>IF($K3886="","",IF(ISNUMBER(SEARCH("sortie-epargne",IFERROR(INDEX('Paramètres'!$N:$N,MATCH($D3886,'Paramètres'!$M:$M,0))&amp;"",""))),$K3886,0))</f>
        <v/>
      </c>
      <c r="V3886" s="6" t="str">
        <f>IF(AND($A3886&lt;&gt;"",$O3886=1,$L3886="Débit",N($Q3886)&gt;0,$A3886&gt;=Visualisation!$B$1,$A3886&lt;Visualisation!$D$1),MAX($V$1:V3885)+1,"")</f>
        <v/>
      </c>
    </row>
    <row r="3887" spans="1:22" x14ac:dyDescent="0.25">
      <c r="A3887" s="9"/>
      <c r="E3887" s="10"/>
      <c r="K3887" s="11" t="str">
        <f>IF($E3887="","",ROUND($E3887*IF(ISNA(MATCH($C3887,'Paramètres'!$D:$D,0)),1,IF(INDEX('Paramètres'!$J:$J,MATCH($C3887,'Paramètres'!$D:$D,0))="",1,INDEX('Paramètres'!$J:$J,MATCH($C3887,'Paramètres'!$D:$D,0)))),2))</f>
        <v/>
      </c>
      <c r="L3887" s="6" t="str">
        <f>IF($D3887="","",IF($F3887&lt;&gt;"",$F3887,IF(ISNA(MATCH($D3887,'Paramètres'!$M:$M,0)),"⚠ Type inconnu",IFERROR(INDEX('Paramètres'!$P:$P,MATCH($D3887,'Paramètres'!$M:$M,0))&amp;"",""))))</f>
        <v/>
      </c>
      <c r="M3887" s="6" t="str">
        <f>IF($D3887="","",IF(ISNA(MATCH($D3887,'Paramètres'!$M:$M,0)),"⚠ Type inconnu",IF($L3887="Crédit","",IFERROR(INDEX('Paramètres'!$O:$O,MATCH($D3887,'Paramètres'!$M:$M,0))&amp;"",""))))</f>
        <v/>
      </c>
      <c r="N3887" s="6" t="str">
        <f>IF($D3887="","",IFERROR(INDEX('Paramètres'!$Q:$Q,MATCH($D3887,'Paramètres'!$M:$M,0))&amp;"",""))</f>
        <v/>
      </c>
      <c r="O3887" s="6" t="str">
        <f>IF($A3887="","",IF(OR($J3887&lt;&gt;"x",$A3887&lt;=FinReleve),1,0))</f>
        <v/>
      </c>
      <c r="P3887" s="6" t="str">
        <f>IF($D3887="","",IF(AND($L3887="Crédit",OR(IFERROR(INDEX('Paramètres'!$O:$O,MATCH($D3887,'Paramètres'!$M:$M,0))&amp;"","")&lt;&gt;"",ISNUMBER(SEARCH("remboursement",IFERROR(INDEX('Paramètres'!$N:$N,MATCH($D3887,'Paramètres'!$M:$M,0))&amp;"",""))))),1,0))</f>
        <v/>
      </c>
      <c r="Q3887" s="6" t="str">
        <f>IF($K3887="","",IF(ISNUMBER(SEARCH("transfert-interne",IFERROR(INDEX('Paramètres'!$N:$N,MATCH($D3887,'Paramètres'!$M:$M,0))&amp;"",""))),0,IF($L3887="Débit",$K3887,IF($P3887=1,-$K3887,0))))</f>
        <v/>
      </c>
      <c r="R3887" s="6" t="str">
        <f>IF($K3887="","",IF($L3887="Crédit",$K3887,-$K3887))</f>
        <v/>
      </c>
      <c r="S3887" s="6" t="str">
        <f>IF($C3887="","",IFERROR(INDEX('Paramètres'!$H:$H,MATCH($C3887,'Paramètres'!$D:$D,0))&amp;"",""))</f>
        <v/>
      </c>
      <c r="T3887" s="6" t="str">
        <f>IF($K3887="","",IF($S3887="",0,IF(ISNUMBER(SEARCH("apport-exterieur",IFERROR(INDEX('Paramètres'!$N:$N,MATCH($D3887,'Paramètres'!$M:$M,0))&amp;"",""))),0,IF(OR(IFERROR(INDEX('Paramètres'!$I:$I,MATCH($C3887,'Paramètres'!$D:$D,0))&amp;"","")="Les deux",IFERROR(INDEX('Paramètres'!$I:$I,MATCH($C3887,'Paramètres'!$D:$D,0))&amp;"","")=IF($P3887=1,"Débit",$L3887)),-IF($P3887=1,-$K3887,$K3887),0))))</f>
        <v/>
      </c>
      <c r="U3887" s="6" t="str">
        <f>IF($K3887="","",IF(ISNUMBER(SEARCH("sortie-epargne",IFERROR(INDEX('Paramètres'!$N:$N,MATCH($D3887,'Paramètres'!$M:$M,0))&amp;"",""))),$K3887,0))</f>
        <v/>
      </c>
      <c r="V3887" s="6" t="str">
        <f>IF(AND($A3887&lt;&gt;"",$O3887=1,$L3887="Débit",N($Q3887)&gt;0,$A3887&gt;=Visualisation!$B$1,$A3887&lt;Visualisation!$D$1),MAX($V$1:V3886)+1,"")</f>
        <v/>
      </c>
    </row>
    <row r="3888" spans="1:22" x14ac:dyDescent="0.25">
      <c r="A3888" s="9"/>
      <c r="E3888" s="10"/>
      <c r="K3888" s="11" t="str">
        <f>IF($E3888="","",ROUND($E3888*IF(ISNA(MATCH($C3888,'Paramètres'!$D:$D,0)),1,IF(INDEX('Paramètres'!$J:$J,MATCH($C3888,'Paramètres'!$D:$D,0))="",1,INDEX('Paramètres'!$J:$J,MATCH($C3888,'Paramètres'!$D:$D,0)))),2))</f>
        <v/>
      </c>
      <c r="L3888" s="6" t="str">
        <f>IF($D3888="","",IF($F3888&lt;&gt;"",$F3888,IF(ISNA(MATCH($D3888,'Paramètres'!$M:$M,0)),"⚠ Type inconnu",IFERROR(INDEX('Paramètres'!$P:$P,MATCH($D3888,'Paramètres'!$M:$M,0))&amp;"",""))))</f>
        <v/>
      </c>
      <c r="M3888" s="6" t="str">
        <f>IF($D3888="","",IF(ISNA(MATCH($D3888,'Paramètres'!$M:$M,0)),"⚠ Type inconnu",IF($L3888="Crédit","",IFERROR(INDEX('Paramètres'!$O:$O,MATCH($D3888,'Paramètres'!$M:$M,0))&amp;"",""))))</f>
        <v/>
      </c>
      <c r="N3888" s="6" t="str">
        <f>IF($D3888="","",IFERROR(INDEX('Paramètres'!$Q:$Q,MATCH($D3888,'Paramètres'!$M:$M,0))&amp;"",""))</f>
        <v/>
      </c>
      <c r="O3888" s="6" t="str">
        <f>IF($A3888="","",IF(OR($J3888&lt;&gt;"x",$A3888&lt;=FinReleve),1,0))</f>
        <v/>
      </c>
      <c r="P3888" s="6" t="str">
        <f>IF($D3888="","",IF(AND($L3888="Crédit",OR(IFERROR(INDEX('Paramètres'!$O:$O,MATCH($D3888,'Paramètres'!$M:$M,0))&amp;"","")&lt;&gt;"",ISNUMBER(SEARCH("remboursement",IFERROR(INDEX('Paramètres'!$N:$N,MATCH($D3888,'Paramètres'!$M:$M,0))&amp;"",""))))),1,0))</f>
        <v/>
      </c>
      <c r="Q3888" s="6" t="str">
        <f>IF($K3888="","",IF(ISNUMBER(SEARCH("transfert-interne",IFERROR(INDEX('Paramètres'!$N:$N,MATCH($D3888,'Paramètres'!$M:$M,0))&amp;"",""))),0,IF($L3888="Débit",$K3888,IF($P3888=1,-$K3888,0))))</f>
        <v/>
      </c>
      <c r="R3888" s="6" t="str">
        <f>IF($K3888="","",IF($L3888="Crédit",$K3888,-$K3888))</f>
        <v/>
      </c>
      <c r="S3888" s="6" t="str">
        <f>IF($C3888="","",IFERROR(INDEX('Paramètres'!$H:$H,MATCH($C3888,'Paramètres'!$D:$D,0))&amp;"",""))</f>
        <v/>
      </c>
      <c r="T3888" s="6" t="str">
        <f>IF($K3888="","",IF($S3888="",0,IF(ISNUMBER(SEARCH("apport-exterieur",IFERROR(INDEX('Paramètres'!$N:$N,MATCH($D3888,'Paramètres'!$M:$M,0))&amp;"",""))),0,IF(OR(IFERROR(INDEX('Paramètres'!$I:$I,MATCH($C3888,'Paramètres'!$D:$D,0))&amp;"","")="Les deux",IFERROR(INDEX('Paramètres'!$I:$I,MATCH($C3888,'Paramètres'!$D:$D,0))&amp;"","")=IF($P3888=1,"Débit",$L3888)),-IF($P3888=1,-$K3888,$K3888),0))))</f>
        <v/>
      </c>
      <c r="U3888" s="6" t="str">
        <f>IF($K3888="","",IF(ISNUMBER(SEARCH("sortie-epargne",IFERROR(INDEX('Paramètres'!$N:$N,MATCH($D3888,'Paramètres'!$M:$M,0))&amp;"",""))),$K3888,0))</f>
        <v/>
      </c>
      <c r="V3888" s="6" t="str">
        <f>IF(AND($A3888&lt;&gt;"",$O3888=1,$L3888="Débit",N($Q3888)&gt;0,$A3888&gt;=Visualisation!$B$1,$A3888&lt;Visualisation!$D$1),MAX($V$1:V3887)+1,"")</f>
        <v/>
      </c>
    </row>
    <row r="3889" spans="1:22" x14ac:dyDescent="0.25">
      <c r="A3889" s="9"/>
      <c r="E3889" s="10"/>
      <c r="K3889" s="11" t="str">
        <f>IF($E3889="","",ROUND($E3889*IF(ISNA(MATCH($C3889,'Paramètres'!$D:$D,0)),1,IF(INDEX('Paramètres'!$J:$J,MATCH($C3889,'Paramètres'!$D:$D,0))="",1,INDEX('Paramètres'!$J:$J,MATCH($C3889,'Paramètres'!$D:$D,0)))),2))</f>
        <v/>
      </c>
      <c r="L3889" s="6" t="str">
        <f>IF($D3889="","",IF($F3889&lt;&gt;"",$F3889,IF(ISNA(MATCH($D3889,'Paramètres'!$M:$M,0)),"⚠ Type inconnu",IFERROR(INDEX('Paramètres'!$P:$P,MATCH($D3889,'Paramètres'!$M:$M,0))&amp;"",""))))</f>
        <v/>
      </c>
      <c r="M3889" s="6" t="str">
        <f>IF($D3889="","",IF(ISNA(MATCH($D3889,'Paramètres'!$M:$M,0)),"⚠ Type inconnu",IF($L3889="Crédit","",IFERROR(INDEX('Paramètres'!$O:$O,MATCH($D3889,'Paramètres'!$M:$M,0))&amp;"",""))))</f>
        <v/>
      </c>
      <c r="N3889" s="6" t="str">
        <f>IF($D3889="","",IFERROR(INDEX('Paramètres'!$Q:$Q,MATCH($D3889,'Paramètres'!$M:$M,0))&amp;"",""))</f>
        <v/>
      </c>
      <c r="O3889" s="6" t="str">
        <f>IF($A3889="","",IF(OR($J3889&lt;&gt;"x",$A3889&lt;=FinReleve),1,0))</f>
        <v/>
      </c>
      <c r="P3889" s="6" t="str">
        <f>IF($D3889="","",IF(AND($L3889="Crédit",OR(IFERROR(INDEX('Paramètres'!$O:$O,MATCH($D3889,'Paramètres'!$M:$M,0))&amp;"","")&lt;&gt;"",ISNUMBER(SEARCH("remboursement",IFERROR(INDEX('Paramètres'!$N:$N,MATCH($D3889,'Paramètres'!$M:$M,0))&amp;"",""))))),1,0))</f>
        <v/>
      </c>
      <c r="Q3889" s="6" t="str">
        <f>IF($K3889="","",IF(ISNUMBER(SEARCH("transfert-interne",IFERROR(INDEX('Paramètres'!$N:$N,MATCH($D3889,'Paramètres'!$M:$M,0))&amp;"",""))),0,IF($L3889="Débit",$K3889,IF($P3889=1,-$K3889,0))))</f>
        <v/>
      </c>
      <c r="R3889" s="6" t="str">
        <f>IF($K3889="","",IF($L3889="Crédit",$K3889,-$K3889))</f>
        <v/>
      </c>
      <c r="S3889" s="6" t="str">
        <f>IF($C3889="","",IFERROR(INDEX('Paramètres'!$H:$H,MATCH($C3889,'Paramètres'!$D:$D,0))&amp;"",""))</f>
        <v/>
      </c>
      <c r="T3889" s="6" t="str">
        <f>IF($K3889="","",IF($S3889="",0,IF(ISNUMBER(SEARCH("apport-exterieur",IFERROR(INDEX('Paramètres'!$N:$N,MATCH($D3889,'Paramètres'!$M:$M,0))&amp;"",""))),0,IF(OR(IFERROR(INDEX('Paramètres'!$I:$I,MATCH($C3889,'Paramètres'!$D:$D,0))&amp;"","")="Les deux",IFERROR(INDEX('Paramètres'!$I:$I,MATCH($C3889,'Paramètres'!$D:$D,0))&amp;"","")=IF($P3889=1,"Débit",$L3889)),-IF($P3889=1,-$K3889,$K3889),0))))</f>
        <v/>
      </c>
      <c r="U3889" s="6" t="str">
        <f>IF($K3889="","",IF(ISNUMBER(SEARCH("sortie-epargne",IFERROR(INDEX('Paramètres'!$N:$N,MATCH($D3889,'Paramètres'!$M:$M,0))&amp;"",""))),$K3889,0))</f>
        <v/>
      </c>
      <c r="V3889" s="6" t="str">
        <f>IF(AND($A3889&lt;&gt;"",$O3889=1,$L3889="Débit",N($Q3889)&gt;0,$A3889&gt;=Visualisation!$B$1,$A3889&lt;Visualisation!$D$1),MAX($V$1:V3888)+1,"")</f>
        <v/>
      </c>
    </row>
    <row r="3890" spans="1:22" x14ac:dyDescent="0.25">
      <c r="A3890" s="9"/>
      <c r="E3890" s="10"/>
      <c r="K3890" s="11" t="str">
        <f>IF($E3890="","",ROUND($E3890*IF(ISNA(MATCH($C3890,'Paramètres'!$D:$D,0)),1,IF(INDEX('Paramètres'!$J:$J,MATCH($C3890,'Paramètres'!$D:$D,0))="",1,INDEX('Paramètres'!$J:$J,MATCH($C3890,'Paramètres'!$D:$D,0)))),2))</f>
        <v/>
      </c>
      <c r="L3890" s="6" t="str">
        <f>IF($D3890="","",IF($F3890&lt;&gt;"",$F3890,IF(ISNA(MATCH($D3890,'Paramètres'!$M:$M,0)),"⚠ Type inconnu",IFERROR(INDEX('Paramètres'!$P:$P,MATCH($D3890,'Paramètres'!$M:$M,0))&amp;"",""))))</f>
        <v/>
      </c>
      <c r="M3890" s="6" t="str">
        <f>IF($D3890="","",IF(ISNA(MATCH($D3890,'Paramètres'!$M:$M,0)),"⚠ Type inconnu",IF($L3890="Crédit","",IFERROR(INDEX('Paramètres'!$O:$O,MATCH($D3890,'Paramètres'!$M:$M,0))&amp;"",""))))</f>
        <v/>
      </c>
      <c r="N3890" s="6" t="str">
        <f>IF($D3890="","",IFERROR(INDEX('Paramètres'!$Q:$Q,MATCH($D3890,'Paramètres'!$M:$M,0))&amp;"",""))</f>
        <v/>
      </c>
      <c r="O3890" s="6" t="str">
        <f>IF($A3890="","",IF(OR($J3890&lt;&gt;"x",$A3890&lt;=FinReleve),1,0))</f>
        <v/>
      </c>
      <c r="P3890" s="6" t="str">
        <f>IF($D3890="","",IF(AND($L3890="Crédit",OR(IFERROR(INDEX('Paramètres'!$O:$O,MATCH($D3890,'Paramètres'!$M:$M,0))&amp;"","")&lt;&gt;"",ISNUMBER(SEARCH("remboursement",IFERROR(INDEX('Paramètres'!$N:$N,MATCH($D3890,'Paramètres'!$M:$M,0))&amp;"",""))))),1,0))</f>
        <v/>
      </c>
      <c r="Q3890" s="6" t="str">
        <f>IF($K3890="","",IF(ISNUMBER(SEARCH("transfert-interne",IFERROR(INDEX('Paramètres'!$N:$N,MATCH($D3890,'Paramètres'!$M:$M,0))&amp;"",""))),0,IF($L3890="Débit",$K3890,IF($P3890=1,-$K3890,0))))</f>
        <v/>
      </c>
      <c r="R3890" s="6" t="str">
        <f>IF($K3890="","",IF($L3890="Crédit",$K3890,-$K3890))</f>
        <v/>
      </c>
      <c r="S3890" s="6" t="str">
        <f>IF($C3890="","",IFERROR(INDEX('Paramètres'!$H:$H,MATCH($C3890,'Paramètres'!$D:$D,0))&amp;"",""))</f>
        <v/>
      </c>
      <c r="T3890" s="6" t="str">
        <f>IF($K3890="","",IF($S3890="",0,IF(ISNUMBER(SEARCH("apport-exterieur",IFERROR(INDEX('Paramètres'!$N:$N,MATCH($D3890,'Paramètres'!$M:$M,0))&amp;"",""))),0,IF(OR(IFERROR(INDEX('Paramètres'!$I:$I,MATCH($C3890,'Paramètres'!$D:$D,0))&amp;"","")="Les deux",IFERROR(INDEX('Paramètres'!$I:$I,MATCH($C3890,'Paramètres'!$D:$D,0))&amp;"","")=IF($P3890=1,"Débit",$L3890)),-IF($P3890=1,-$K3890,$K3890),0))))</f>
        <v/>
      </c>
      <c r="U3890" s="6" t="str">
        <f>IF($K3890="","",IF(ISNUMBER(SEARCH("sortie-epargne",IFERROR(INDEX('Paramètres'!$N:$N,MATCH($D3890,'Paramètres'!$M:$M,0))&amp;"",""))),$K3890,0))</f>
        <v/>
      </c>
      <c r="V3890" s="6" t="str">
        <f>IF(AND($A3890&lt;&gt;"",$O3890=1,$L3890="Débit",N($Q3890)&gt;0,$A3890&gt;=Visualisation!$B$1,$A3890&lt;Visualisation!$D$1),MAX($V$1:V3889)+1,"")</f>
        <v/>
      </c>
    </row>
    <row r="3891" spans="1:22" x14ac:dyDescent="0.25">
      <c r="A3891" s="9"/>
      <c r="E3891" s="10"/>
      <c r="K3891" s="11" t="str">
        <f>IF($E3891="","",ROUND($E3891*IF(ISNA(MATCH($C3891,'Paramètres'!$D:$D,0)),1,IF(INDEX('Paramètres'!$J:$J,MATCH($C3891,'Paramètres'!$D:$D,0))="",1,INDEX('Paramètres'!$J:$J,MATCH($C3891,'Paramètres'!$D:$D,0)))),2))</f>
        <v/>
      </c>
      <c r="L3891" s="6" t="str">
        <f>IF($D3891="","",IF($F3891&lt;&gt;"",$F3891,IF(ISNA(MATCH($D3891,'Paramètres'!$M:$M,0)),"⚠ Type inconnu",IFERROR(INDEX('Paramètres'!$P:$P,MATCH($D3891,'Paramètres'!$M:$M,0))&amp;"",""))))</f>
        <v/>
      </c>
      <c r="M3891" s="6" t="str">
        <f>IF($D3891="","",IF(ISNA(MATCH($D3891,'Paramètres'!$M:$M,0)),"⚠ Type inconnu",IF($L3891="Crédit","",IFERROR(INDEX('Paramètres'!$O:$O,MATCH($D3891,'Paramètres'!$M:$M,0))&amp;"",""))))</f>
        <v/>
      </c>
      <c r="N3891" s="6" t="str">
        <f>IF($D3891="","",IFERROR(INDEX('Paramètres'!$Q:$Q,MATCH($D3891,'Paramètres'!$M:$M,0))&amp;"",""))</f>
        <v/>
      </c>
      <c r="O3891" s="6" t="str">
        <f>IF($A3891="","",IF(OR($J3891&lt;&gt;"x",$A3891&lt;=FinReleve),1,0))</f>
        <v/>
      </c>
      <c r="P3891" s="6" t="str">
        <f>IF($D3891="","",IF(AND($L3891="Crédit",OR(IFERROR(INDEX('Paramètres'!$O:$O,MATCH($D3891,'Paramètres'!$M:$M,0))&amp;"","")&lt;&gt;"",ISNUMBER(SEARCH("remboursement",IFERROR(INDEX('Paramètres'!$N:$N,MATCH($D3891,'Paramètres'!$M:$M,0))&amp;"",""))))),1,0))</f>
        <v/>
      </c>
      <c r="Q3891" s="6" t="str">
        <f>IF($K3891="","",IF(ISNUMBER(SEARCH("transfert-interne",IFERROR(INDEX('Paramètres'!$N:$N,MATCH($D3891,'Paramètres'!$M:$M,0))&amp;"",""))),0,IF($L3891="Débit",$K3891,IF($P3891=1,-$K3891,0))))</f>
        <v/>
      </c>
      <c r="R3891" s="6" t="str">
        <f>IF($K3891="","",IF($L3891="Crédit",$K3891,-$K3891))</f>
        <v/>
      </c>
      <c r="S3891" s="6" t="str">
        <f>IF($C3891="","",IFERROR(INDEX('Paramètres'!$H:$H,MATCH($C3891,'Paramètres'!$D:$D,0))&amp;"",""))</f>
        <v/>
      </c>
      <c r="T3891" s="6" t="str">
        <f>IF($K3891="","",IF($S3891="",0,IF(ISNUMBER(SEARCH("apport-exterieur",IFERROR(INDEX('Paramètres'!$N:$N,MATCH($D3891,'Paramètres'!$M:$M,0))&amp;"",""))),0,IF(OR(IFERROR(INDEX('Paramètres'!$I:$I,MATCH($C3891,'Paramètres'!$D:$D,0))&amp;"","")="Les deux",IFERROR(INDEX('Paramètres'!$I:$I,MATCH($C3891,'Paramètres'!$D:$D,0))&amp;"","")=IF($P3891=1,"Débit",$L3891)),-IF($P3891=1,-$K3891,$K3891),0))))</f>
        <v/>
      </c>
      <c r="U3891" s="6" t="str">
        <f>IF($K3891="","",IF(ISNUMBER(SEARCH("sortie-epargne",IFERROR(INDEX('Paramètres'!$N:$N,MATCH($D3891,'Paramètres'!$M:$M,0))&amp;"",""))),$K3891,0))</f>
        <v/>
      </c>
      <c r="V3891" s="6" t="str">
        <f>IF(AND($A3891&lt;&gt;"",$O3891=1,$L3891="Débit",N($Q3891)&gt;0,$A3891&gt;=Visualisation!$B$1,$A3891&lt;Visualisation!$D$1),MAX($V$1:V3890)+1,"")</f>
        <v/>
      </c>
    </row>
    <row r="3892" spans="1:22" x14ac:dyDescent="0.25">
      <c r="A3892" s="9"/>
      <c r="E3892" s="10"/>
      <c r="K3892" s="11" t="str">
        <f>IF($E3892="","",ROUND($E3892*IF(ISNA(MATCH($C3892,'Paramètres'!$D:$D,0)),1,IF(INDEX('Paramètres'!$J:$J,MATCH($C3892,'Paramètres'!$D:$D,0))="",1,INDEX('Paramètres'!$J:$J,MATCH($C3892,'Paramètres'!$D:$D,0)))),2))</f>
        <v/>
      </c>
      <c r="L3892" s="6" t="str">
        <f>IF($D3892="","",IF($F3892&lt;&gt;"",$F3892,IF(ISNA(MATCH($D3892,'Paramètres'!$M:$M,0)),"⚠ Type inconnu",IFERROR(INDEX('Paramètres'!$P:$P,MATCH($D3892,'Paramètres'!$M:$M,0))&amp;"",""))))</f>
        <v/>
      </c>
      <c r="M3892" s="6" t="str">
        <f>IF($D3892="","",IF(ISNA(MATCH($D3892,'Paramètres'!$M:$M,0)),"⚠ Type inconnu",IF($L3892="Crédit","",IFERROR(INDEX('Paramètres'!$O:$O,MATCH($D3892,'Paramètres'!$M:$M,0))&amp;"",""))))</f>
        <v/>
      </c>
      <c r="N3892" s="6" t="str">
        <f>IF($D3892="","",IFERROR(INDEX('Paramètres'!$Q:$Q,MATCH($D3892,'Paramètres'!$M:$M,0))&amp;"",""))</f>
        <v/>
      </c>
      <c r="O3892" s="6" t="str">
        <f>IF($A3892="","",IF(OR($J3892&lt;&gt;"x",$A3892&lt;=FinReleve),1,0))</f>
        <v/>
      </c>
      <c r="P3892" s="6" t="str">
        <f>IF($D3892="","",IF(AND($L3892="Crédit",OR(IFERROR(INDEX('Paramètres'!$O:$O,MATCH($D3892,'Paramètres'!$M:$M,0))&amp;"","")&lt;&gt;"",ISNUMBER(SEARCH("remboursement",IFERROR(INDEX('Paramètres'!$N:$N,MATCH($D3892,'Paramètres'!$M:$M,0))&amp;"",""))))),1,0))</f>
        <v/>
      </c>
      <c r="Q3892" s="6" t="str">
        <f>IF($K3892="","",IF(ISNUMBER(SEARCH("transfert-interne",IFERROR(INDEX('Paramètres'!$N:$N,MATCH($D3892,'Paramètres'!$M:$M,0))&amp;"",""))),0,IF($L3892="Débit",$K3892,IF($P3892=1,-$K3892,0))))</f>
        <v/>
      </c>
      <c r="R3892" s="6" t="str">
        <f>IF($K3892="","",IF($L3892="Crédit",$K3892,-$K3892))</f>
        <v/>
      </c>
      <c r="S3892" s="6" t="str">
        <f>IF($C3892="","",IFERROR(INDEX('Paramètres'!$H:$H,MATCH($C3892,'Paramètres'!$D:$D,0))&amp;"",""))</f>
        <v/>
      </c>
      <c r="T3892" s="6" t="str">
        <f>IF($K3892="","",IF($S3892="",0,IF(ISNUMBER(SEARCH("apport-exterieur",IFERROR(INDEX('Paramètres'!$N:$N,MATCH($D3892,'Paramètres'!$M:$M,0))&amp;"",""))),0,IF(OR(IFERROR(INDEX('Paramètres'!$I:$I,MATCH($C3892,'Paramètres'!$D:$D,0))&amp;"","")="Les deux",IFERROR(INDEX('Paramètres'!$I:$I,MATCH($C3892,'Paramètres'!$D:$D,0))&amp;"","")=IF($P3892=1,"Débit",$L3892)),-IF($P3892=1,-$K3892,$K3892),0))))</f>
        <v/>
      </c>
      <c r="U3892" s="6" t="str">
        <f>IF($K3892="","",IF(ISNUMBER(SEARCH("sortie-epargne",IFERROR(INDEX('Paramètres'!$N:$N,MATCH($D3892,'Paramètres'!$M:$M,0))&amp;"",""))),$K3892,0))</f>
        <v/>
      </c>
      <c r="V3892" s="6" t="str">
        <f>IF(AND($A3892&lt;&gt;"",$O3892=1,$L3892="Débit",N($Q3892)&gt;0,$A3892&gt;=Visualisation!$B$1,$A3892&lt;Visualisation!$D$1),MAX($V$1:V3891)+1,"")</f>
        <v/>
      </c>
    </row>
    <row r="3893" spans="1:22" x14ac:dyDescent="0.25">
      <c r="A3893" s="9"/>
      <c r="E3893" s="10"/>
      <c r="K3893" s="11" t="str">
        <f>IF($E3893="","",ROUND($E3893*IF(ISNA(MATCH($C3893,'Paramètres'!$D:$D,0)),1,IF(INDEX('Paramètres'!$J:$J,MATCH($C3893,'Paramètres'!$D:$D,0))="",1,INDEX('Paramètres'!$J:$J,MATCH($C3893,'Paramètres'!$D:$D,0)))),2))</f>
        <v/>
      </c>
      <c r="L3893" s="6" t="str">
        <f>IF($D3893="","",IF($F3893&lt;&gt;"",$F3893,IF(ISNA(MATCH($D3893,'Paramètres'!$M:$M,0)),"⚠ Type inconnu",IFERROR(INDEX('Paramètres'!$P:$P,MATCH($D3893,'Paramètres'!$M:$M,0))&amp;"",""))))</f>
        <v/>
      </c>
      <c r="M3893" s="6" t="str">
        <f>IF($D3893="","",IF(ISNA(MATCH($D3893,'Paramètres'!$M:$M,0)),"⚠ Type inconnu",IF($L3893="Crédit","",IFERROR(INDEX('Paramètres'!$O:$O,MATCH($D3893,'Paramètres'!$M:$M,0))&amp;"",""))))</f>
        <v/>
      </c>
      <c r="N3893" s="6" t="str">
        <f>IF($D3893="","",IFERROR(INDEX('Paramètres'!$Q:$Q,MATCH($D3893,'Paramètres'!$M:$M,0))&amp;"",""))</f>
        <v/>
      </c>
      <c r="O3893" s="6" t="str">
        <f>IF($A3893="","",IF(OR($J3893&lt;&gt;"x",$A3893&lt;=FinReleve),1,0))</f>
        <v/>
      </c>
      <c r="P3893" s="6" t="str">
        <f>IF($D3893="","",IF(AND($L3893="Crédit",OR(IFERROR(INDEX('Paramètres'!$O:$O,MATCH($D3893,'Paramètres'!$M:$M,0))&amp;"","")&lt;&gt;"",ISNUMBER(SEARCH("remboursement",IFERROR(INDEX('Paramètres'!$N:$N,MATCH($D3893,'Paramètres'!$M:$M,0))&amp;"",""))))),1,0))</f>
        <v/>
      </c>
      <c r="Q3893" s="6" t="str">
        <f>IF($K3893="","",IF(ISNUMBER(SEARCH("transfert-interne",IFERROR(INDEX('Paramètres'!$N:$N,MATCH($D3893,'Paramètres'!$M:$M,0))&amp;"",""))),0,IF($L3893="Débit",$K3893,IF($P3893=1,-$K3893,0))))</f>
        <v/>
      </c>
      <c r="R3893" s="6" t="str">
        <f>IF($K3893="","",IF($L3893="Crédit",$K3893,-$K3893))</f>
        <v/>
      </c>
      <c r="S3893" s="6" t="str">
        <f>IF($C3893="","",IFERROR(INDEX('Paramètres'!$H:$H,MATCH($C3893,'Paramètres'!$D:$D,0))&amp;"",""))</f>
        <v/>
      </c>
      <c r="T3893" s="6" t="str">
        <f>IF($K3893="","",IF($S3893="",0,IF(ISNUMBER(SEARCH("apport-exterieur",IFERROR(INDEX('Paramètres'!$N:$N,MATCH($D3893,'Paramètres'!$M:$M,0))&amp;"",""))),0,IF(OR(IFERROR(INDEX('Paramètres'!$I:$I,MATCH($C3893,'Paramètres'!$D:$D,0))&amp;"","")="Les deux",IFERROR(INDEX('Paramètres'!$I:$I,MATCH($C3893,'Paramètres'!$D:$D,0))&amp;"","")=IF($P3893=1,"Débit",$L3893)),-IF($P3893=1,-$K3893,$K3893),0))))</f>
        <v/>
      </c>
      <c r="U3893" s="6" t="str">
        <f>IF($K3893="","",IF(ISNUMBER(SEARCH("sortie-epargne",IFERROR(INDEX('Paramètres'!$N:$N,MATCH($D3893,'Paramètres'!$M:$M,0))&amp;"",""))),$K3893,0))</f>
        <v/>
      </c>
      <c r="V3893" s="6" t="str">
        <f>IF(AND($A3893&lt;&gt;"",$O3893=1,$L3893="Débit",N($Q3893)&gt;0,$A3893&gt;=Visualisation!$B$1,$A3893&lt;Visualisation!$D$1),MAX($V$1:V3892)+1,"")</f>
        <v/>
      </c>
    </row>
    <row r="3894" spans="1:22" x14ac:dyDescent="0.25">
      <c r="A3894" s="9"/>
      <c r="E3894" s="10"/>
      <c r="K3894" s="11" t="str">
        <f>IF($E3894="","",ROUND($E3894*IF(ISNA(MATCH($C3894,'Paramètres'!$D:$D,0)),1,IF(INDEX('Paramètres'!$J:$J,MATCH($C3894,'Paramètres'!$D:$D,0))="",1,INDEX('Paramètres'!$J:$J,MATCH($C3894,'Paramètres'!$D:$D,0)))),2))</f>
        <v/>
      </c>
      <c r="L3894" s="6" t="str">
        <f>IF($D3894="","",IF($F3894&lt;&gt;"",$F3894,IF(ISNA(MATCH($D3894,'Paramètres'!$M:$M,0)),"⚠ Type inconnu",IFERROR(INDEX('Paramètres'!$P:$P,MATCH($D3894,'Paramètres'!$M:$M,0))&amp;"",""))))</f>
        <v/>
      </c>
      <c r="M3894" s="6" t="str">
        <f>IF($D3894="","",IF(ISNA(MATCH($D3894,'Paramètres'!$M:$M,0)),"⚠ Type inconnu",IF($L3894="Crédit","",IFERROR(INDEX('Paramètres'!$O:$O,MATCH($D3894,'Paramètres'!$M:$M,0))&amp;"",""))))</f>
        <v/>
      </c>
      <c r="N3894" s="6" t="str">
        <f>IF($D3894="","",IFERROR(INDEX('Paramètres'!$Q:$Q,MATCH($D3894,'Paramètres'!$M:$M,0))&amp;"",""))</f>
        <v/>
      </c>
      <c r="O3894" s="6" t="str">
        <f>IF($A3894="","",IF(OR($J3894&lt;&gt;"x",$A3894&lt;=FinReleve),1,0))</f>
        <v/>
      </c>
      <c r="P3894" s="6" t="str">
        <f>IF($D3894="","",IF(AND($L3894="Crédit",OR(IFERROR(INDEX('Paramètres'!$O:$O,MATCH($D3894,'Paramètres'!$M:$M,0))&amp;"","")&lt;&gt;"",ISNUMBER(SEARCH("remboursement",IFERROR(INDEX('Paramètres'!$N:$N,MATCH($D3894,'Paramètres'!$M:$M,0))&amp;"",""))))),1,0))</f>
        <v/>
      </c>
      <c r="Q3894" s="6" t="str">
        <f>IF($K3894="","",IF(ISNUMBER(SEARCH("transfert-interne",IFERROR(INDEX('Paramètres'!$N:$N,MATCH($D3894,'Paramètres'!$M:$M,0))&amp;"",""))),0,IF($L3894="Débit",$K3894,IF($P3894=1,-$K3894,0))))</f>
        <v/>
      </c>
      <c r="R3894" s="6" t="str">
        <f>IF($K3894="","",IF($L3894="Crédit",$K3894,-$K3894))</f>
        <v/>
      </c>
      <c r="S3894" s="6" t="str">
        <f>IF($C3894="","",IFERROR(INDEX('Paramètres'!$H:$H,MATCH($C3894,'Paramètres'!$D:$D,0))&amp;"",""))</f>
        <v/>
      </c>
      <c r="T3894" s="6" t="str">
        <f>IF($K3894="","",IF($S3894="",0,IF(ISNUMBER(SEARCH("apport-exterieur",IFERROR(INDEX('Paramètres'!$N:$N,MATCH($D3894,'Paramètres'!$M:$M,0))&amp;"",""))),0,IF(OR(IFERROR(INDEX('Paramètres'!$I:$I,MATCH($C3894,'Paramètres'!$D:$D,0))&amp;"","")="Les deux",IFERROR(INDEX('Paramètres'!$I:$I,MATCH($C3894,'Paramètres'!$D:$D,0))&amp;"","")=IF($P3894=1,"Débit",$L3894)),-IF($P3894=1,-$K3894,$K3894),0))))</f>
        <v/>
      </c>
      <c r="U3894" s="6" t="str">
        <f>IF($K3894="","",IF(ISNUMBER(SEARCH("sortie-epargne",IFERROR(INDEX('Paramètres'!$N:$N,MATCH($D3894,'Paramètres'!$M:$M,0))&amp;"",""))),$K3894,0))</f>
        <v/>
      </c>
      <c r="V3894" s="6" t="str">
        <f>IF(AND($A3894&lt;&gt;"",$O3894=1,$L3894="Débit",N($Q3894)&gt;0,$A3894&gt;=Visualisation!$B$1,$A3894&lt;Visualisation!$D$1),MAX($V$1:V3893)+1,"")</f>
        <v/>
      </c>
    </row>
    <row r="3895" spans="1:22" x14ac:dyDescent="0.25">
      <c r="A3895" s="9"/>
      <c r="E3895" s="10"/>
      <c r="K3895" s="11" t="str">
        <f>IF($E3895="","",ROUND($E3895*IF(ISNA(MATCH($C3895,'Paramètres'!$D:$D,0)),1,IF(INDEX('Paramètres'!$J:$J,MATCH($C3895,'Paramètres'!$D:$D,0))="",1,INDEX('Paramètres'!$J:$J,MATCH($C3895,'Paramètres'!$D:$D,0)))),2))</f>
        <v/>
      </c>
      <c r="L3895" s="6" t="str">
        <f>IF($D3895="","",IF($F3895&lt;&gt;"",$F3895,IF(ISNA(MATCH($D3895,'Paramètres'!$M:$M,0)),"⚠ Type inconnu",IFERROR(INDEX('Paramètres'!$P:$P,MATCH($D3895,'Paramètres'!$M:$M,0))&amp;"",""))))</f>
        <v/>
      </c>
      <c r="M3895" s="6" t="str">
        <f>IF($D3895="","",IF(ISNA(MATCH($D3895,'Paramètres'!$M:$M,0)),"⚠ Type inconnu",IF($L3895="Crédit","",IFERROR(INDEX('Paramètres'!$O:$O,MATCH($D3895,'Paramètres'!$M:$M,0))&amp;"",""))))</f>
        <v/>
      </c>
      <c r="N3895" s="6" t="str">
        <f>IF($D3895="","",IFERROR(INDEX('Paramètres'!$Q:$Q,MATCH($D3895,'Paramètres'!$M:$M,0))&amp;"",""))</f>
        <v/>
      </c>
      <c r="O3895" s="6" t="str">
        <f>IF($A3895="","",IF(OR($J3895&lt;&gt;"x",$A3895&lt;=FinReleve),1,0))</f>
        <v/>
      </c>
      <c r="P3895" s="6" t="str">
        <f>IF($D3895="","",IF(AND($L3895="Crédit",OR(IFERROR(INDEX('Paramètres'!$O:$O,MATCH($D3895,'Paramètres'!$M:$M,0))&amp;"","")&lt;&gt;"",ISNUMBER(SEARCH("remboursement",IFERROR(INDEX('Paramètres'!$N:$N,MATCH($D3895,'Paramètres'!$M:$M,0))&amp;"",""))))),1,0))</f>
        <v/>
      </c>
      <c r="Q3895" s="6" t="str">
        <f>IF($K3895="","",IF(ISNUMBER(SEARCH("transfert-interne",IFERROR(INDEX('Paramètres'!$N:$N,MATCH($D3895,'Paramètres'!$M:$M,0))&amp;"",""))),0,IF($L3895="Débit",$K3895,IF($P3895=1,-$K3895,0))))</f>
        <v/>
      </c>
      <c r="R3895" s="6" t="str">
        <f>IF($K3895="","",IF($L3895="Crédit",$K3895,-$K3895))</f>
        <v/>
      </c>
      <c r="S3895" s="6" t="str">
        <f>IF($C3895="","",IFERROR(INDEX('Paramètres'!$H:$H,MATCH($C3895,'Paramètres'!$D:$D,0))&amp;"",""))</f>
        <v/>
      </c>
      <c r="T3895" s="6" t="str">
        <f>IF($K3895="","",IF($S3895="",0,IF(ISNUMBER(SEARCH("apport-exterieur",IFERROR(INDEX('Paramètres'!$N:$N,MATCH($D3895,'Paramètres'!$M:$M,0))&amp;"",""))),0,IF(OR(IFERROR(INDEX('Paramètres'!$I:$I,MATCH($C3895,'Paramètres'!$D:$D,0))&amp;"","")="Les deux",IFERROR(INDEX('Paramètres'!$I:$I,MATCH($C3895,'Paramètres'!$D:$D,0))&amp;"","")=IF($P3895=1,"Débit",$L3895)),-IF($P3895=1,-$K3895,$K3895),0))))</f>
        <v/>
      </c>
      <c r="U3895" s="6" t="str">
        <f>IF($K3895="","",IF(ISNUMBER(SEARCH("sortie-epargne",IFERROR(INDEX('Paramètres'!$N:$N,MATCH($D3895,'Paramètres'!$M:$M,0))&amp;"",""))),$K3895,0))</f>
        <v/>
      </c>
      <c r="V3895" s="6" t="str">
        <f>IF(AND($A3895&lt;&gt;"",$O3895=1,$L3895="Débit",N($Q3895)&gt;0,$A3895&gt;=Visualisation!$B$1,$A3895&lt;Visualisation!$D$1),MAX($V$1:V3894)+1,"")</f>
        <v/>
      </c>
    </row>
    <row r="3896" spans="1:22" x14ac:dyDescent="0.25">
      <c r="A3896" s="9"/>
      <c r="E3896" s="10"/>
      <c r="K3896" s="11" t="str">
        <f>IF($E3896="","",ROUND($E3896*IF(ISNA(MATCH($C3896,'Paramètres'!$D:$D,0)),1,IF(INDEX('Paramètres'!$J:$J,MATCH($C3896,'Paramètres'!$D:$D,0))="",1,INDEX('Paramètres'!$J:$J,MATCH($C3896,'Paramètres'!$D:$D,0)))),2))</f>
        <v/>
      </c>
      <c r="L3896" s="6" t="str">
        <f>IF($D3896="","",IF($F3896&lt;&gt;"",$F3896,IF(ISNA(MATCH($D3896,'Paramètres'!$M:$M,0)),"⚠ Type inconnu",IFERROR(INDEX('Paramètres'!$P:$P,MATCH($D3896,'Paramètres'!$M:$M,0))&amp;"",""))))</f>
        <v/>
      </c>
      <c r="M3896" s="6" t="str">
        <f>IF($D3896="","",IF(ISNA(MATCH($D3896,'Paramètres'!$M:$M,0)),"⚠ Type inconnu",IF($L3896="Crédit","",IFERROR(INDEX('Paramètres'!$O:$O,MATCH($D3896,'Paramètres'!$M:$M,0))&amp;"",""))))</f>
        <v/>
      </c>
      <c r="N3896" s="6" t="str">
        <f>IF($D3896="","",IFERROR(INDEX('Paramètres'!$Q:$Q,MATCH($D3896,'Paramètres'!$M:$M,0))&amp;"",""))</f>
        <v/>
      </c>
      <c r="O3896" s="6" t="str">
        <f>IF($A3896="","",IF(OR($J3896&lt;&gt;"x",$A3896&lt;=FinReleve),1,0))</f>
        <v/>
      </c>
      <c r="P3896" s="6" t="str">
        <f>IF($D3896="","",IF(AND($L3896="Crédit",OR(IFERROR(INDEX('Paramètres'!$O:$O,MATCH($D3896,'Paramètres'!$M:$M,0))&amp;"","")&lt;&gt;"",ISNUMBER(SEARCH("remboursement",IFERROR(INDEX('Paramètres'!$N:$N,MATCH($D3896,'Paramètres'!$M:$M,0))&amp;"",""))))),1,0))</f>
        <v/>
      </c>
      <c r="Q3896" s="6" t="str">
        <f>IF($K3896="","",IF(ISNUMBER(SEARCH("transfert-interne",IFERROR(INDEX('Paramètres'!$N:$N,MATCH($D3896,'Paramètres'!$M:$M,0))&amp;"",""))),0,IF($L3896="Débit",$K3896,IF($P3896=1,-$K3896,0))))</f>
        <v/>
      </c>
      <c r="R3896" s="6" t="str">
        <f>IF($K3896="","",IF($L3896="Crédit",$K3896,-$K3896))</f>
        <v/>
      </c>
      <c r="S3896" s="6" t="str">
        <f>IF($C3896="","",IFERROR(INDEX('Paramètres'!$H:$H,MATCH($C3896,'Paramètres'!$D:$D,0))&amp;"",""))</f>
        <v/>
      </c>
      <c r="T3896" s="6" t="str">
        <f>IF($K3896="","",IF($S3896="",0,IF(ISNUMBER(SEARCH("apport-exterieur",IFERROR(INDEX('Paramètres'!$N:$N,MATCH($D3896,'Paramètres'!$M:$M,0))&amp;"",""))),0,IF(OR(IFERROR(INDEX('Paramètres'!$I:$I,MATCH($C3896,'Paramètres'!$D:$D,0))&amp;"","")="Les deux",IFERROR(INDEX('Paramètres'!$I:$I,MATCH($C3896,'Paramètres'!$D:$D,0))&amp;"","")=IF($P3896=1,"Débit",$L3896)),-IF($P3896=1,-$K3896,$K3896),0))))</f>
        <v/>
      </c>
      <c r="U3896" s="6" t="str">
        <f>IF($K3896="","",IF(ISNUMBER(SEARCH("sortie-epargne",IFERROR(INDEX('Paramètres'!$N:$N,MATCH($D3896,'Paramètres'!$M:$M,0))&amp;"",""))),$K3896,0))</f>
        <v/>
      </c>
      <c r="V3896" s="6" t="str">
        <f>IF(AND($A3896&lt;&gt;"",$O3896=1,$L3896="Débit",N($Q3896)&gt;0,$A3896&gt;=Visualisation!$B$1,$A3896&lt;Visualisation!$D$1),MAX($V$1:V3895)+1,"")</f>
        <v/>
      </c>
    </row>
    <row r="3897" spans="1:22" x14ac:dyDescent="0.25">
      <c r="A3897" s="9"/>
      <c r="E3897" s="10"/>
      <c r="K3897" s="11" t="str">
        <f>IF($E3897="","",ROUND($E3897*IF(ISNA(MATCH($C3897,'Paramètres'!$D:$D,0)),1,IF(INDEX('Paramètres'!$J:$J,MATCH($C3897,'Paramètres'!$D:$D,0))="",1,INDEX('Paramètres'!$J:$J,MATCH($C3897,'Paramètres'!$D:$D,0)))),2))</f>
        <v/>
      </c>
      <c r="L3897" s="6" t="str">
        <f>IF($D3897="","",IF($F3897&lt;&gt;"",$F3897,IF(ISNA(MATCH($D3897,'Paramètres'!$M:$M,0)),"⚠ Type inconnu",IFERROR(INDEX('Paramètres'!$P:$P,MATCH($D3897,'Paramètres'!$M:$M,0))&amp;"",""))))</f>
        <v/>
      </c>
      <c r="M3897" s="6" t="str">
        <f>IF($D3897="","",IF(ISNA(MATCH($D3897,'Paramètres'!$M:$M,0)),"⚠ Type inconnu",IF($L3897="Crédit","",IFERROR(INDEX('Paramètres'!$O:$O,MATCH($D3897,'Paramètres'!$M:$M,0))&amp;"",""))))</f>
        <v/>
      </c>
      <c r="N3897" s="6" t="str">
        <f>IF($D3897="","",IFERROR(INDEX('Paramètres'!$Q:$Q,MATCH($D3897,'Paramètres'!$M:$M,0))&amp;"",""))</f>
        <v/>
      </c>
      <c r="O3897" s="6" t="str">
        <f>IF($A3897="","",IF(OR($J3897&lt;&gt;"x",$A3897&lt;=FinReleve),1,0))</f>
        <v/>
      </c>
      <c r="P3897" s="6" t="str">
        <f>IF($D3897="","",IF(AND($L3897="Crédit",OR(IFERROR(INDEX('Paramètres'!$O:$O,MATCH($D3897,'Paramètres'!$M:$M,0))&amp;"","")&lt;&gt;"",ISNUMBER(SEARCH("remboursement",IFERROR(INDEX('Paramètres'!$N:$N,MATCH($D3897,'Paramètres'!$M:$M,0))&amp;"",""))))),1,0))</f>
        <v/>
      </c>
      <c r="Q3897" s="6" t="str">
        <f>IF($K3897="","",IF(ISNUMBER(SEARCH("transfert-interne",IFERROR(INDEX('Paramètres'!$N:$N,MATCH($D3897,'Paramètres'!$M:$M,0))&amp;"",""))),0,IF($L3897="Débit",$K3897,IF($P3897=1,-$K3897,0))))</f>
        <v/>
      </c>
      <c r="R3897" s="6" t="str">
        <f>IF($K3897="","",IF($L3897="Crédit",$K3897,-$K3897))</f>
        <v/>
      </c>
      <c r="S3897" s="6" t="str">
        <f>IF($C3897="","",IFERROR(INDEX('Paramètres'!$H:$H,MATCH($C3897,'Paramètres'!$D:$D,0))&amp;"",""))</f>
        <v/>
      </c>
      <c r="T3897" s="6" t="str">
        <f>IF($K3897="","",IF($S3897="",0,IF(ISNUMBER(SEARCH("apport-exterieur",IFERROR(INDEX('Paramètres'!$N:$N,MATCH($D3897,'Paramètres'!$M:$M,0))&amp;"",""))),0,IF(OR(IFERROR(INDEX('Paramètres'!$I:$I,MATCH($C3897,'Paramètres'!$D:$D,0))&amp;"","")="Les deux",IFERROR(INDEX('Paramètres'!$I:$I,MATCH($C3897,'Paramètres'!$D:$D,0))&amp;"","")=IF($P3897=1,"Débit",$L3897)),-IF($P3897=1,-$K3897,$K3897),0))))</f>
        <v/>
      </c>
      <c r="U3897" s="6" t="str">
        <f>IF($K3897="","",IF(ISNUMBER(SEARCH("sortie-epargne",IFERROR(INDEX('Paramètres'!$N:$N,MATCH($D3897,'Paramètres'!$M:$M,0))&amp;"",""))),$K3897,0))</f>
        <v/>
      </c>
      <c r="V3897" s="6" t="str">
        <f>IF(AND($A3897&lt;&gt;"",$O3897=1,$L3897="Débit",N($Q3897)&gt;0,$A3897&gt;=Visualisation!$B$1,$A3897&lt;Visualisation!$D$1),MAX($V$1:V3896)+1,"")</f>
        <v/>
      </c>
    </row>
    <row r="3898" spans="1:22" x14ac:dyDescent="0.25">
      <c r="A3898" s="9"/>
      <c r="E3898" s="10"/>
      <c r="K3898" s="11" t="str">
        <f>IF($E3898="","",ROUND($E3898*IF(ISNA(MATCH($C3898,'Paramètres'!$D:$D,0)),1,IF(INDEX('Paramètres'!$J:$J,MATCH($C3898,'Paramètres'!$D:$D,0))="",1,INDEX('Paramètres'!$J:$J,MATCH($C3898,'Paramètres'!$D:$D,0)))),2))</f>
        <v/>
      </c>
      <c r="L3898" s="6" t="str">
        <f>IF($D3898="","",IF($F3898&lt;&gt;"",$F3898,IF(ISNA(MATCH($D3898,'Paramètres'!$M:$M,0)),"⚠ Type inconnu",IFERROR(INDEX('Paramètres'!$P:$P,MATCH($D3898,'Paramètres'!$M:$M,0))&amp;"",""))))</f>
        <v/>
      </c>
      <c r="M3898" s="6" t="str">
        <f>IF($D3898="","",IF(ISNA(MATCH($D3898,'Paramètres'!$M:$M,0)),"⚠ Type inconnu",IF($L3898="Crédit","",IFERROR(INDEX('Paramètres'!$O:$O,MATCH($D3898,'Paramètres'!$M:$M,0))&amp;"",""))))</f>
        <v/>
      </c>
      <c r="N3898" s="6" t="str">
        <f>IF($D3898="","",IFERROR(INDEX('Paramètres'!$Q:$Q,MATCH($D3898,'Paramètres'!$M:$M,0))&amp;"",""))</f>
        <v/>
      </c>
      <c r="O3898" s="6" t="str">
        <f>IF($A3898="","",IF(OR($J3898&lt;&gt;"x",$A3898&lt;=FinReleve),1,0))</f>
        <v/>
      </c>
      <c r="P3898" s="6" t="str">
        <f>IF($D3898="","",IF(AND($L3898="Crédit",OR(IFERROR(INDEX('Paramètres'!$O:$O,MATCH($D3898,'Paramètres'!$M:$M,0))&amp;"","")&lt;&gt;"",ISNUMBER(SEARCH("remboursement",IFERROR(INDEX('Paramètres'!$N:$N,MATCH($D3898,'Paramètres'!$M:$M,0))&amp;"",""))))),1,0))</f>
        <v/>
      </c>
      <c r="Q3898" s="6" t="str">
        <f>IF($K3898="","",IF(ISNUMBER(SEARCH("transfert-interne",IFERROR(INDEX('Paramètres'!$N:$N,MATCH($D3898,'Paramètres'!$M:$M,0))&amp;"",""))),0,IF($L3898="Débit",$K3898,IF($P3898=1,-$K3898,0))))</f>
        <v/>
      </c>
      <c r="R3898" s="6" t="str">
        <f>IF($K3898="","",IF($L3898="Crédit",$K3898,-$K3898))</f>
        <v/>
      </c>
      <c r="S3898" s="6" t="str">
        <f>IF($C3898="","",IFERROR(INDEX('Paramètres'!$H:$H,MATCH($C3898,'Paramètres'!$D:$D,0))&amp;"",""))</f>
        <v/>
      </c>
      <c r="T3898" s="6" t="str">
        <f>IF($K3898="","",IF($S3898="",0,IF(ISNUMBER(SEARCH("apport-exterieur",IFERROR(INDEX('Paramètres'!$N:$N,MATCH($D3898,'Paramètres'!$M:$M,0))&amp;"",""))),0,IF(OR(IFERROR(INDEX('Paramètres'!$I:$I,MATCH($C3898,'Paramètres'!$D:$D,0))&amp;"","")="Les deux",IFERROR(INDEX('Paramètres'!$I:$I,MATCH($C3898,'Paramètres'!$D:$D,0))&amp;"","")=IF($P3898=1,"Débit",$L3898)),-IF($P3898=1,-$K3898,$K3898),0))))</f>
        <v/>
      </c>
      <c r="U3898" s="6" t="str">
        <f>IF($K3898="","",IF(ISNUMBER(SEARCH("sortie-epargne",IFERROR(INDEX('Paramètres'!$N:$N,MATCH($D3898,'Paramètres'!$M:$M,0))&amp;"",""))),$K3898,0))</f>
        <v/>
      </c>
      <c r="V3898" s="6" t="str">
        <f>IF(AND($A3898&lt;&gt;"",$O3898=1,$L3898="Débit",N($Q3898)&gt;0,$A3898&gt;=Visualisation!$B$1,$A3898&lt;Visualisation!$D$1),MAX($V$1:V3897)+1,"")</f>
        <v/>
      </c>
    </row>
    <row r="3899" spans="1:22" x14ac:dyDescent="0.25">
      <c r="A3899" s="9"/>
      <c r="E3899" s="10"/>
      <c r="K3899" s="11" t="str">
        <f>IF($E3899="","",ROUND($E3899*IF(ISNA(MATCH($C3899,'Paramètres'!$D:$D,0)),1,IF(INDEX('Paramètres'!$J:$J,MATCH($C3899,'Paramètres'!$D:$D,0))="",1,INDEX('Paramètres'!$J:$J,MATCH($C3899,'Paramètres'!$D:$D,0)))),2))</f>
        <v/>
      </c>
      <c r="L3899" s="6" t="str">
        <f>IF($D3899="","",IF($F3899&lt;&gt;"",$F3899,IF(ISNA(MATCH($D3899,'Paramètres'!$M:$M,0)),"⚠ Type inconnu",IFERROR(INDEX('Paramètres'!$P:$P,MATCH($D3899,'Paramètres'!$M:$M,0))&amp;"",""))))</f>
        <v/>
      </c>
      <c r="M3899" s="6" t="str">
        <f>IF($D3899="","",IF(ISNA(MATCH($D3899,'Paramètres'!$M:$M,0)),"⚠ Type inconnu",IF($L3899="Crédit","",IFERROR(INDEX('Paramètres'!$O:$O,MATCH($D3899,'Paramètres'!$M:$M,0))&amp;"",""))))</f>
        <v/>
      </c>
      <c r="N3899" s="6" t="str">
        <f>IF($D3899="","",IFERROR(INDEX('Paramètres'!$Q:$Q,MATCH($D3899,'Paramètres'!$M:$M,0))&amp;"",""))</f>
        <v/>
      </c>
      <c r="O3899" s="6" t="str">
        <f>IF($A3899="","",IF(OR($J3899&lt;&gt;"x",$A3899&lt;=FinReleve),1,0))</f>
        <v/>
      </c>
      <c r="P3899" s="6" t="str">
        <f>IF($D3899="","",IF(AND($L3899="Crédit",OR(IFERROR(INDEX('Paramètres'!$O:$O,MATCH($D3899,'Paramètres'!$M:$M,0))&amp;"","")&lt;&gt;"",ISNUMBER(SEARCH("remboursement",IFERROR(INDEX('Paramètres'!$N:$N,MATCH($D3899,'Paramètres'!$M:$M,0))&amp;"",""))))),1,0))</f>
        <v/>
      </c>
      <c r="Q3899" s="6" t="str">
        <f>IF($K3899="","",IF(ISNUMBER(SEARCH("transfert-interne",IFERROR(INDEX('Paramètres'!$N:$N,MATCH($D3899,'Paramètres'!$M:$M,0))&amp;"",""))),0,IF($L3899="Débit",$K3899,IF($P3899=1,-$K3899,0))))</f>
        <v/>
      </c>
      <c r="R3899" s="6" t="str">
        <f>IF($K3899="","",IF($L3899="Crédit",$K3899,-$K3899))</f>
        <v/>
      </c>
      <c r="S3899" s="6" t="str">
        <f>IF($C3899="","",IFERROR(INDEX('Paramètres'!$H:$H,MATCH($C3899,'Paramètres'!$D:$D,0))&amp;"",""))</f>
        <v/>
      </c>
      <c r="T3899" s="6" t="str">
        <f>IF($K3899="","",IF($S3899="",0,IF(ISNUMBER(SEARCH("apport-exterieur",IFERROR(INDEX('Paramètres'!$N:$N,MATCH($D3899,'Paramètres'!$M:$M,0))&amp;"",""))),0,IF(OR(IFERROR(INDEX('Paramètres'!$I:$I,MATCH($C3899,'Paramètres'!$D:$D,0))&amp;"","")="Les deux",IFERROR(INDEX('Paramètres'!$I:$I,MATCH($C3899,'Paramètres'!$D:$D,0))&amp;"","")=IF($P3899=1,"Débit",$L3899)),-IF($P3899=1,-$K3899,$K3899),0))))</f>
        <v/>
      </c>
      <c r="U3899" s="6" t="str">
        <f>IF($K3899="","",IF(ISNUMBER(SEARCH("sortie-epargne",IFERROR(INDEX('Paramètres'!$N:$N,MATCH($D3899,'Paramètres'!$M:$M,0))&amp;"",""))),$K3899,0))</f>
        <v/>
      </c>
      <c r="V3899" s="6" t="str">
        <f>IF(AND($A3899&lt;&gt;"",$O3899=1,$L3899="Débit",N($Q3899)&gt;0,$A3899&gt;=Visualisation!$B$1,$A3899&lt;Visualisation!$D$1),MAX($V$1:V3898)+1,"")</f>
        <v/>
      </c>
    </row>
    <row r="3900" spans="1:22" x14ac:dyDescent="0.25">
      <c r="A3900" s="9"/>
      <c r="E3900" s="10"/>
      <c r="K3900" s="11" t="str">
        <f>IF($E3900="","",ROUND($E3900*IF(ISNA(MATCH($C3900,'Paramètres'!$D:$D,0)),1,IF(INDEX('Paramètres'!$J:$J,MATCH($C3900,'Paramètres'!$D:$D,0))="",1,INDEX('Paramètres'!$J:$J,MATCH($C3900,'Paramètres'!$D:$D,0)))),2))</f>
        <v/>
      </c>
      <c r="L3900" s="6" t="str">
        <f>IF($D3900="","",IF($F3900&lt;&gt;"",$F3900,IF(ISNA(MATCH($D3900,'Paramètres'!$M:$M,0)),"⚠ Type inconnu",IFERROR(INDEX('Paramètres'!$P:$P,MATCH($D3900,'Paramètres'!$M:$M,0))&amp;"",""))))</f>
        <v/>
      </c>
      <c r="M3900" s="6" t="str">
        <f>IF($D3900="","",IF(ISNA(MATCH($D3900,'Paramètres'!$M:$M,0)),"⚠ Type inconnu",IF($L3900="Crédit","",IFERROR(INDEX('Paramètres'!$O:$O,MATCH($D3900,'Paramètres'!$M:$M,0))&amp;"",""))))</f>
        <v/>
      </c>
      <c r="N3900" s="6" t="str">
        <f>IF($D3900="","",IFERROR(INDEX('Paramètres'!$Q:$Q,MATCH($D3900,'Paramètres'!$M:$M,0))&amp;"",""))</f>
        <v/>
      </c>
      <c r="O3900" s="6" t="str">
        <f>IF($A3900="","",IF(OR($J3900&lt;&gt;"x",$A3900&lt;=FinReleve),1,0))</f>
        <v/>
      </c>
      <c r="P3900" s="6" t="str">
        <f>IF($D3900="","",IF(AND($L3900="Crédit",OR(IFERROR(INDEX('Paramètres'!$O:$O,MATCH($D3900,'Paramètres'!$M:$M,0))&amp;"","")&lt;&gt;"",ISNUMBER(SEARCH("remboursement",IFERROR(INDEX('Paramètres'!$N:$N,MATCH($D3900,'Paramètres'!$M:$M,0))&amp;"",""))))),1,0))</f>
        <v/>
      </c>
      <c r="Q3900" s="6" t="str">
        <f>IF($K3900="","",IF(ISNUMBER(SEARCH("transfert-interne",IFERROR(INDEX('Paramètres'!$N:$N,MATCH($D3900,'Paramètres'!$M:$M,0))&amp;"",""))),0,IF($L3900="Débit",$K3900,IF($P3900=1,-$K3900,0))))</f>
        <v/>
      </c>
      <c r="R3900" s="6" t="str">
        <f>IF($K3900="","",IF($L3900="Crédit",$K3900,-$K3900))</f>
        <v/>
      </c>
      <c r="S3900" s="6" t="str">
        <f>IF($C3900="","",IFERROR(INDEX('Paramètres'!$H:$H,MATCH($C3900,'Paramètres'!$D:$D,0))&amp;"",""))</f>
        <v/>
      </c>
      <c r="T3900" s="6" t="str">
        <f>IF($K3900="","",IF($S3900="",0,IF(ISNUMBER(SEARCH("apport-exterieur",IFERROR(INDEX('Paramètres'!$N:$N,MATCH($D3900,'Paramètres'!$M:$M,0))&amp;"",""))),0,IF(OR(IFERROR(INDEX('Paramètres'!$I:$I,MATCH($C3900,'Paramètres'!$D:$D,0))&amp;"","")="Les deux",IFERROR(INDEX('Paramètres'!$I:$I,MATCH($C3900,'Paramètres'!$D:$D,0))&amp;"","")=IF($P3900=1,"Débit",$L3900)),-IF($P3900=1,-$K3900,$K3900),0))))</f>
        <v/>
      </c>
      <c r="U3900" s="6" t="str">
        <f>IF($K3900="","",IF(ISNUMBER(SEARCH("sortie-epargne",IFERROR(INDEX('Paramètres'!$N:$N,MATCH($D3900,'Paramètres'!$M:$M,0))&amp;"",""))),$K3900,0))</f>
        <v/>
      </c>
      <c r="V3900" s="6" t="str">
        <f>IF(AND($A3900&lt;&gt;"",$O3900=1,$L3900="Débit",N($Q3900)&gt;0,$A3900&gt;=Visualisation!$B$1,$A3900&lt;Visualisation!$D$1),MAX($V$1:V3899)+1,"")</f>
        <v/>
      </c>
    </row>
    <row r="3901" spans="1:22" x14ac:dyDescent="0.25">
      <c r="A3901" s="9"/>
      <c r="E3901" s="10"/>
      <c r="K3901" s="11" t="str">
        <f>IF($E3901="","",ROUND($E3901*IF(ISNA(MATCH($C3901,'Paramètres'!$D:$D,0)),1,IF(INDEX('Paramètres'!$J:$J,MATCH($C3901,'Paramètres'!$D:$D,0))="",1,INDEX('Paramètres'!$J:$J,MATCH($C3901,'Paramètres'!$D:$D,0)))),2))</f>
        <v/>
      </c>
      <c r="L3901" s="6" t="str">
        <f>IF($D3901="","",IF($F3901&lt;&gt;"",$F3901,IF(ISNA(MATCH($D3901,'Paramètres'!$M:$M,0)),"⚠ Type inconnu",IFERROR(INDEX('Paramètres'!$P:$P,MATCH($D3901,'Paramètres'!$M:$M,0))&amp;"",""))))</f>
        <v/>
      </c>
      <c r="M3901" s="6" t="str">
        <f>IF($D3901="","",IF(ISNA(MATCH($D3901,'Paramètres'!$M:$M,0)),"⚠ Type inconnu",IF($L3901="Crédit","",IFERROR(INDEX('Paramètres'!$O:$O,MATCH($D3901,'Paramètres'!$M:$M,0))&amp;"",""))))</f>
        <v/>
      </c>
      <c r="N3901" s="6" t="str">
        <f>IF($D3901="","",IFERROR(INDEX('Paramètres'!$Q:$Q,MATCH($D3901,'Paramètres'!$M:$M,0))&amp;"",""))</f>
        <v/>
      </c>
      <c r="O3901" s="6" t="str">
        <f>IF($A3901="","",IF(OR($J3901&lt;&gt;"x",$A3901&lt;=FinReleve),1,0))</f>
        <v/>
      </c>
      <c r="P3901" s="6" t="str">
        <f>IF($D3901="","",IF(AND($L3901="Crédit",OR(IFERROR(INDEX('Paramètres'!$O:$O,MATCH($D3901,'Paramètres'!$M:$M,0))&amp;"","")&lt;&gt;"",ISNUMBER(SEARCH("remboursement",IFERROR(INDEX('Paramètres'!$N:$N,MATCH($D3901,'Paramètres'!$M:$M,0))&amp;"",""))))),1,0))</f>
        <v/>
      </c>
      <c r="Q3901" s="6" t="str">
        <f>IF($K3901="","",IF(ISNUMBER(SEARCH("transfert-interne",IFERROR(INDEX('Paramètres'!$N:$N,MATCH($D3901,'Paramètres'!$M:$M,0))&amp;"",""))),0,IF($L3901="Débit",$K3901,IF($P3901=1,-$K3901,0))))</f>
        <v/>
      </c>
      <c r="R3901" s="6" t="str">
        <f>IF($K3901="","",IF($L3901="Crédit",$K3901,-$K3901))</f>
        <v/>
      </c>
      <c r="S3901" s="6" t="str">
        <f>IF($C3901="","",IFERROR(INDEX('Paramètres'!$H:$H,MATCH($C3901,'Paramètres'!$D:$D,0))&amp;"",""))</f>
        <v/>
      </c>
      <c r="T3901" s="6" t="str">
        <f>IF($K3901="","",IF($S3901="",0,IF(ISNUMBER(SEARCH("apport-exterieur",IFERROR(INDEX('Paramètres'!$N:$N,MATCH($D3901,'Paramètres'!$M:$M,0))&amp;"",""))),0,IF(OR(IFERROR(INDEX('Paramètres'!$I:$I,MATCH($C3901,'Paramètres'!$D:$D,0))&amp;"","")="Les deux",IFERROR(INDEX('Paramètres'!$I:$I,MATCH($C3901,'Paramètres'!$D:$D,0))&amp;"","")=IF($P3901=1,"Débit",$L3901)),-IF($P3901=1,-$K3901,$K3901),0))))</f>
        <v/>
      </c>
      <c r="U3901" s="6" t="str">
        <f>IF($K3901="","",IF(ISNUMBER(SEARCH("sortie-epargne",IFERROR(INDEX('Paramètres'!$N:$N,MATCH($D3901,'Paramètres'!$M:$M,0))&amp;"",""))),$K3901,0))</f>
        <v/>
      </c>
      <c r="V3901" s="6" t="str">
        <f>IF(AND($A3901&lt;&gt;"",$O3901=1,$L3901="Débit",N($Q3901)&gt;0,$A3901&gt;=Visualisation!$B$1,$A3901&lt;Visualisation!$D$1),MAX($V$1:V3900)+1,"")</f>
        <v/>
      </c>
    </row>
    <row r="3902" spans="1:22" x14ac:dyDescent="0.25">
      <c r="A3902" s="9"/>
      <c r="E3902" s="10"/>
      <c r="K3902" s="11" t="str">
        <f>IF($E3902="","",ROUND($E3902*IF(ISNA(MATCH($C3902,'Paramètres'!$D:$D,0)),1,IF(INDEX('Paramètres'!$J:$J,MATCH($C3902,'Paramètres'!$D:$D,0))="",1,INDEX('Paramètres'!$J:$J,MATCH($C3902,'Paramètres'!$D:$D,0)))),2))</f>
        <v/>
      </c>
      <c r="L3902" s="6" t="str">
        <f>IF($D3902="","",IF($F3902&lt;&gt;"",$F3902,IF(ISNA(MATCH($D3902,'Paramètres'!$M:$M,0)),"⚠ Type inconnu",IFERROR(INDEX('Paramètres'!$P:$P,MATCH($D3902,'Paramètres'!$M:$M,0))&amp;"",""))))</f>
        <v/>
      </c>
      <c r="M3902" s="6" t="str">
        <f>IF($D3902="","",IF(ISNA(MATCH($D3902,'Paramètres'!$M:$M,0)),"⚠ Type inconnu",IF($L3902="Crédit","",IFERROR(INDEX('Paramètres'!$O:$O,MATCH($D3902,'Paramètres'!$M:$M,0))&amp;"",""))))</f>
        <v/>
      </c>
      <c r="N3902" s="6" t="str">
        <f>IF($D3902="","",IFERROR(INDEX('Paramètres'!$Q:$Q,MATCH($D3902,'Paramètres'!$M:$M,0))&amp;"",""))</f>
        <v/>
      </c>
      <c r="O3902" s="6" t="str">
        <f>IF($A3902="","",IF(OR($J3902&lt;&gt;"x",$A3902&lt;=FinReleve),1,0))</f>
        <v/>
      </c>
      <c r="P3902" s="6" t="str">
        <f>IF($D3902="","",IF(AND($L3902="Crédit",OR(IFERROR(INDEX('Paramètres'!$O:$O,MATCH($D3902,'Paramètres'!$M:$M,0))&amp;"","")&lt;&gt;"",ISNUMBER(SEARCH("remboursement",IFERROR(INDEX('Paramètres'!$N:$N,MATCH($D3902,'Paramètres'!$M:$M,0))&amp;"",""))))),1,0))</f>
        <v/>
      </c>
      <c r="Q3902" s="6" t="str">
        <f>IF($K3902="","",IF(ISNUMBER(SEARCH("transfert-interne",IFERROR(INDEX('Paramètres'!$N:$N,MATCH($D3902,'Paramètres'!$M:$M,0))&amp;"",""))),0,IF($L3902="Débit",$K3902,IF($P3902=1,-$K3902,0))))</f>
        <v/>
      </c>
      <c r="R3902" s="6" t="str">
        <f>IF($K3902="","",IF($L3902="Crédit",$K3902,-$K3902))</f>
        <v/>
      </c>
      <c r="S3902" s="6" t="str">
        <f>IF($C3902="","",IFERROR(INDEX('Paramètres'!$H:$H,MATCH($C3902,'Paramètres'!$D:$D,0))&amp;"",""))</f>
        <v/>
      </c>
      <c r="T3902" s="6" t="str">
        <f>IF($K3902="","",IF($S3902="",0,IF(ISNUMBER(SEARCH("apport-exterieur",IFERROR(INDEX('Paramètres'!$N:$N,MATCH($D3902,'Paramètres'!$M:$M,0))&amp;"",""))),0,IF(OR(IFERROR(INDEX('Paramètres'!$I:$I,MATCH($C3902,'Paramètres'!$D:$D,0))&amp;"","")="Les deux",IFERROR(INDEX('Paramètres'!$I:$I,MATCH($C3902,'Paramètres'!$D:$D,0))&amp;"","")=IF($P3902=1,"Débit",$L3902)),-IF($P3902=1,-$K3902,$K3902),0))))</f>
        <v/>
      </c>
      <c r="U3902" s="6" t="str">
        <f>IF($K3902="","",IF(ISNUMBER(SEARCH("sortie-epargne",IFERROR(INDEX('Paramètres'!$N:$N,MATCH($D3902,'Paramètres'!$M:$M,0))&amp;"",""))),$K3902,0))</f>
        <v/>
      </c>
      <c r="V3902" s="6" t="str">
        <f>IF(AND($A3902&lt;&gt;"",$O3902=1,$L3902="Débit",N($Q3902)&gt;0,$A3902&gt;=Visualisation!$B$1,$A3902&lt;Visualisation!$D$1),MAX($V$1:V3901)+1,"")</f>
        <v/>
      </c>
    </row>
    <row r="3903" spans="1:22" x14ac:dyDescent="0.25">
      <c r="A3903" s="9"/>
      <c r="E3903" s="10"/>
      <c r="K3903" s="11" t="str">
        <f>IF($E3903="","",ROUND($E3903*IF(ISNA(MATCH($C3903,'Paramètres'!$D:$D,0)),1,IF(INDEX('Paramètres'!$J:$J,MATCH($C3903,'Paramètres'!$D:$D,0))="",1,INDEX('Paramètres'!$J:$J,MATCH($C3903,'Paramètres'!$D:$D,0)))),2))</f>
        <v/>
      </c>
      <c r="L3903" s="6" t="str">
        <f>IF($D3903="","",IF($F3903&lt;&gt;"",$F3903,IF(ISNA(MATCH($D3903,'Paramètres'!$M:$M,0)),"⚠ Type inconnu",IFERROR(INDEX('Paramètres'!$P:$P,MATCH($D3903,'Paramètres'!$M:$M,0))&amp;"",""))))</f>
        <v/>
      </c>
      <c r="M3903" s="6" t="str">
        <f>IF($D3903="","",IF(ISNA(MATCH($D3903,'Paramètres'!$M:$M,0)),"⚠ Type inconnu",IF($L3903="Crédit","",IFERROR(INDEX('Paramètres'!$O:$O,MATCH($D3903,'Paramètres'!$M:$M,0))&amp;"",""))))</f>
        <v/>
      </c>
      <c r="N3903" s="6" t="str">
        <f>IF($D3903="","",IFERROR(INDEX('Paramètres'!$Q:$Q,MATCH($D3903,'Paramètres'!$M:$M,0))&amp;"",""))</f>
        <v/>
      </c>
      <c r="O3903" s="6" t="str">
        <f>IF($A3903="","",IF(OR($J3903&lt;&gt;"x",$A3903&lt;=FinReleve),1,0))</f>
        <v/>
      </c>
      <c r="P3903" s="6" t="str">
        <f>IF($D3903="","",IF(AND($L3903="Crédit",OR(IFERROR(INDEX('Paramètres'!$O:$O,MATCH($D3903,'Paramètres'!$M:$M,0))&amp;"","")&lt;&gt;"",ISNUMBER(SEARCH("remboursement",IFERROR(INDEX('Paramètres'!$N:$N,MATCH($D3903,'Paramètres'!$M:$M,0))&amp;"",""))))),1,0))</f>
        <v/>
      </c>
      <c r="Q3903" s="6" t="str">
        <f>IF($K3903="","",IF(ISNUMBER(SEARCH("transfert-interne",IFERROR(INDEX('Paramètres'!$N:$N,MATCH($D3903,'Paramètres'!$M:$M,0))&amp;"",""))),0,IF($L3903="Débit",$K3903,IF($P3903=1,-$K3903,0))))</f>
        <v/>
      </c>
      <c r="R3903" s="6" t="str">
        <f>IF($K3903="","",IF($L3903="Crédit",$K3903,-$K3903))</f>
        <v/>
      </c>
      <c r="S3903" s="6" t="str">
        <f>IF($C3903="","",IFERROR(INDEX('Paramètres'!$H:$H,MATCH($C3903,'Paramètres'!$D:$D,0))&amp;"",""))</f>
        <v/>
      </c>
      <c r="T3903" s="6" t="str">
        <f>IF($K3903="","",IF($S3903="",0,IF(ISNUMBER(SEARCH("apport-exterieur",IFERROR(INDEX('Paramètres'!$N:$N,MATCH($D3903,'Paramètres'!$M:$M,0))&amp;"",""))),0,IF(OR(IFERROR(INDEX('Paramètres'!$I:$I,MATCH($C3903,'Paramètres'!$D:$D,0))&amp;"","")="Les deux",IFERROR(INDEX('Paramètres'!$I:$I,MATCH($C3903,'Paramètres'!$D:$D,0))&amp;"","")=IF($P3903=1,"Débit",$L3903)),-IF($P3903=1,-$K3903,$K3903),0))))</f>
        <v/>
      </c>
      <c r="U3903" s="6" t="str">
        <f>IF($K3903="","",IF(ISNUMBER(SEARCH("sortie-epargne",IFERROR(INDEX('Paramètres'!$N:$N,MATCH($D3903,'Paramètres'!$M:$M,0))&amp;"",""))),$K3903,0))</f>
        <v/>
      </c>
      <c r="V3903" s="6" t="str">
        <f>IF(AND($A3903&lt;&gt;"",$O3903=1,$L3903="Débit",N($Q3903)&gt;0,$A3903&gt;=Visualisation!$B$1,$A3903&lt;Visualisation!$D$1),MAX($V$1:V3902)+1,"")</f>
        <v/>
      </c>
    </row>
    <row r="3904" spans="1:22" x14ac:dyDescent="0.25">
      <c r="A3904" s="9"/>
      <c r="E3904" s="10"/>
      <c r="K3904" s="11" t="str">
        <f>IF($E3904="","",ROUND($E3904*IF(ISNA(MATCH($C3904,'Paramètres'!$D:$D,0)),1,IF(INDEX('Paramètres'!$J:$J,MATCH($C3904,'Paramètres'!$D:$D,0))="",1,INDEX('Paramètres'!$J:$J,MATCH($C3904,'Paramètres'!$D:$D,0)))),2))</f>
        <v/>
      </c>
      <c r="L3904" s="6" t="str">
        <f>IF($D3904="","",IF($F3904&lt;&gt;"",$F3904,IF(ISNA(MATCH($D3904,'Paramètres'!$M:$M,0)),"⚠ Type inconnu",IFERROR(INDEX('Paramètres'!$P:$P,MATCH($D3904,'Paramètres'!$M:$M,0))&amp;"",""))))</f>
        <v/>
      </c>
      <c r="M3904" s="6" t="str">
        <f>IF($D3904="","",IF(ISNA(MATCH($D3904,'Paramètres'!$M:$M,0)),"⚠ Type inconnu",IF($L3904="Crédit","",IFERROR(INDEX('Paramètres'!$O:$O,MATCH($D3904,'Paramètres'!$M:$M,0))&amp;"",""))))</f>
        <v/>
      </c>
      <c r="N3904" s="6" t="str">
        <f>IF($D3904="","",IFERROR(INDEX('Paramètres'!$Q:$Q,MATCH($D3904,'Paramètres'!$M:$M,0))&amp;"",""))</f>
        <v/>
      </c>
      <c r="O3904" s="6" t="str">
        <f>IF($A3904="","",IF(OR($J3904&lt;&gt;"x",$A3904&lt;=FinReleve),1,0))</f>
        <v/>
      </c>
      <c r="P3904" s="6" t="str">
        <f>IF($D3904="","",IF(AND($L3904="Crédit",OR(IFERROR(INDEX('Paramètres'!$O:$O,MATCH($D3904,'Paramètres'!$M:$M,0))&amp;"","")&lt;&gt;"",ISNUMBER(SEARCH("remboursement",IFERROR(INDEX('Paramètres'!$N:$N,MATCH($D3904,'Paramètres'!$M:$M,0))&amp;"",""))))),1,0))</f>
        <v/>
      </c>
      <c r="Q3904" s="6" t="str">
        <f>IF($K3904="","",IF(ISNUMBER(SEARCH("transfert-interne",IFERROR(INDEX('Paramètres'!$N:$N,MATCH($D3904,'Paramètres'!$M:$M,0))&amp;"",""))),0,IF($L3904="Débit",$K3904,IF($P3904=1,-$K3904,0))))</f>
        <v/>
      </c>
      <c r="R3904" s="6" t="str">
        <f>IF($K3904="","",IF($L3904="Crédit",$K3904,-$K3904))</f>
        <v/>
      </c>
      <c r="S3904" s="6" t="str">
        <f>IF($C3904="","",IFERROR(INDEX('Paramètres'!$H:$H,MATCH($C3904,'Paramètres'!$D:$D,0))&amp;"",""))</f>
        <v/>
      </c>
      <c r="T3904" s="6" t="str">
        <f>IF($K3904="","",IF($S3904="",0,IF(ISNUMBER(SEARCH("apport-exterieur",IFERROR(INDEX('Paramètres'!$N:$N,MATCH($D3904,'Paramètres'!$M:$M,0))&amp;"",""))),0,IF(OR(IFERROR(INDEX('Paramètres'!$I:$I,MATCH($C3904,'Paramètres'!$D:$D,0))&amp;"","")="Les deux",IFERROR(INDEX('Paramètres'!$I:$I,MATCH($C3904,'Paramètres'!$D:$D,0))&amp;"","")=IF($P3904=1,"Débit",$L3904)),-IF($P3904=1,-$K3904,$K3904),0))))</f>
        <v/>
      </c>
      <c r="U3904" s="6" t="str">
        <f>IF($K3904="","",IF(ISNUMBER(SEARCH("sortie-epargne",IFERROR(INDEX('Paramètres'!$N:$N,MATCH($D3904,'Paramètres'!$M:$M,0))&amp;"",""))),$K3904,0))</f>
        <v/>
      </c>
      <c r="V3904" s="6" t="str">
        <f>IF(AND($A3904&lt;&gt;"",$O3904=1,$L3904="Débit",N($Q3904)&gt;0,$A3904&gt;=Visualisation!$B$1,$A3904&lt;Visualisation!$D$1),MAX($V$1:V3903)+1,"")</f>
        <v/>
      </c>
    </row>
    <row r="3905" spans="1:22" x14ac:dyDescent="0.25">
      <c r="A3905" s="9"/>
      <c r="E3905" s="10"/>
      <c r="K3905" s="11" t="str">
        <f>IF($E3905="","",ROUND($E3905*IF(ISNA(MATCH($C3905,'Paramètres'!$D:$D,0)),1,IF(INDEX('Paramètres'!$J:$J,MATCH($C3905,'Paramètres'!$D:$D,0))="",1,INDEX('Paramètres'!$J:$J,MATCH($C3905,'Paramètres'!$D:$D,0)))),2))</f>
        <v/>
      </c>
      <c r="L3905" s="6" t="str">
        <f>IF($D3905="","",IF($F3905&lt;&gt;"",$F3905,IF(ISNA(MATCH($D3905,'Paramètres'!$M:$M,0)),"⚠ Type inconnu",IFERROR(INDEX('Paramètres'!$P:$P,MATCH($D3905,'Paramètres'!$M:$M,0))&amp;"",""))))</f>
        <v/>
      </c>
      <c r="M3905" s="6" t="str">
        <f>IF($D3905="","",IF(ISNA(MATCH($D3905,'Paramètres'!$M:$M,0)),"⚠ Type inconnu",IF($L3905="Crédit","",IFERROR(INDEX('Paramètres'!$O:$O,MATCH($D3905,'Paramètres'!$M:$M,0))&amp;"",""))))</f>
        <v/>
      </c>
      <c r="N3905" s="6" t="str">
        <f>IF($D3905="","",IFERROR(INDEX('Paramètres'!$Q:$Q,MATCH($D3905,'Paramètres'!$M:$M,0))&amp;"",""))</f>
        <v/>
      </c>
      <c r="O3905" s="6" t="str">
        <f>IF($A3905="","",IF(OR($J3905&lt;&gt;"x",$A3905&lt;=FinReleve),1,0))</f>
        <v/>
      </c>
      <c r="P3905" s="6" t="str">
        <f>IF($D3905="","",IF(AND($L3905="Crédit",OR(IFERROR(INDEX('Paramètres'!$O:$O,MATCH($D3905,'Paramètres'!$M:$M,0))&amp;"","")&lt;&gt;"",ISNUMBER(SEARCH("remboursement",IFERROR(INDEX('Paramètres'!$N:$N,MATCH($D3905,'Paramètres'!$M:$M,0))&amp;"",""))))),1,0))</f>
        <v/>
      </c>
      <c r="Q3905" s="6" t="str">
        <f>IF($K3905="","",IF(ISNUMBER(SEARCH("transfert-interne",IFERROR(INDEX('Paramètres'!$N:$N,MATCH($D3905,'Paramètres'!$M:$M,0))&amp;"",""))),0,IF($L3905="Débit",$K3905,IF($P3905=1,-$K3905,0))))</f>
        <v/>
      </c>
      <c r="R3905" s="6" t="str">
        <f>IF($K3905="","",IF($L3905="Crédit",$K3905,-$K3905))</f>
        <v/>
      </c>
      <c r="S3905" s="6" t="str">
        <f>IF($C3905="","",IFERROR(INDEX('Paramètres'!$H:$H,MATCH($C3905,'Paramètres'!$D:$D,0))&amp;"",""))</f>
        <v/>
      </c>
      <c r="T3905" s="6" t="str">
        <f>IF($K3905="","",IF($S3905="",0,IF(ISNUMBER(SEARCH("apport-exterieur",IFERROR(INDEX('Paramètres'!$N:$N,MATCH($D3905,'Paramètres'!$M:$M,0))&amp;"",""))),0,IF(OR(IFERROR(INDEX('Paramètres'!$I:$I,MATCH($C3905,'Paramètres'!$D:$D,0))&amp;"","")="Les deux",IFERROR(INDEX('Paramètres'!$I:$I,MATCH($C3905,'Paramètres'!$D:$D,0))&amp;"","")=IF($P3905=1,"Débit",$L3905)),-IF($P3905=1,-$K3905,$K3905),0))))</f>
        <v/>
      </c>
      <c r="U3905" s="6" t="str">
        <f>IF($K3905="","",IF(ISNUMBER(SEARCH("sortie-epargne",IFERROR(INDEX('Paramètres'!$N:$N,MATCH($D3905,'Paramètres'!$M:$M,0))&amp;"",""))),$K3905,0))</f>
        <v/>
      </c>
      <c r="V3905" s="6" t="str">
        <f>IF(AND($A3905&lt;&gt;"",$O3905=1,$L3905="Débit",N($Q3905)&gt;0,$A3905&gt;=Visualisation!$B$1,$A3905&lt;Visualisation!$D$1),MAX($V$1:V3904)+1,"")</f>
        <v/>
      </c>
    </row>
    <row r="3906" spans="1:22" x14ac:dyDescent="0.25">
      <c r="A3906" s="9"/>
      <c r="E3906" s="10"/>
      <c r="K3906" s="11" t="str">
        <f>IF($E3906="","",ROUND($E3906*IF(ISNA(MATCH($C3906,'Paramètres'!$D:$D,0)),1,IF(INDEX('Paramètres'!$J:$J,MATCH($C3906,'Paramètres'!$D:$D,0))="",1,INDEX('Paramètres'!$J:$J,MATCH($C3906,'Paramètres'!$D:$D,0)))),2))</f>
        <v/>
      </c>
      <c r="L3906" s="6" t="str">
        <f>IF($D3906="","",IF($F3906&lt;&gt;"",$F3906,IF(ISNA(MATCH($D3906,'Paramètres'!$M:$M,0)),"⚠ Type inconnu",IFERROR(INDEX('Paramètres'!$P:$P,MATCH($D3906,'Paramètres'!$M:$M,0))&amp;"",""))))</f>
        <v/>
      </c>
      <c r="M3906" s="6" t="str">
        <f>IF($D3906="","",IF(ISNA(MATCH($D3906,'Paramètres'!$M:$M,0)),"⚠ Type inconnu",IF($L3906="Crédit","",IFERROR(INDEX('Paramètres'!$O:$O,MATCH($D3906,'Paramètres'!$M:$M,0))&amp;"",""))))</f>
        <v/>
      </c>
      <c r="N3906" s="6" t="str">
        <f>IF($D3906="","",IFERROR(INDEX('Paramètres'!$Q:$Q,MATCH($D3906,'Paramètres'!$M:$M,0))&amp;"",""))</f>
        <v/>
      </c>
      <c r="O3906" s="6" t="str">
        <f>IF($A3906="","",IF(OR($J3906&lt;&gt;"x",$A3906&lt;=FinReleve),1,0))</f>
        <v/>
      </c>
      <c r="P3906" s="6" t="str">
        <f>IF($D3906="","",IF(AND($L3906="Crédit",OR(IFERROR(INDEX('Paramètres'!$O:$O,MATCH($D3906,'Paramètres'!$M:$M,0))&amp;"","")&lt;&gt;"",ISNUMBER(SEARCH("remboursement",IFERROR(INDEX('Paramètres'!$N:$N,MATCH($D3906,'Paramètres'!$M:$M,0))&amp;"",""))))),1,0))</f>
        <v/>
      </c>
      <c r="Q3906" s="6" t="str">
        <f>IF($K3906="","",IF(ISNUMBER(SEARCH("transfert-interne",IFERROR(INDEX('Paramètres'!$N:$N,MATCH($D3906,'Paramètres'!$M:$M,0))&amp;"",""))),0,IF($L3906="Débit",$K3906,IF($P3906=1,-$K3906,0))))</f>
        <v/>
      </c>
      <c r="R3906" s="6" t="str">
        <f>IF($K3906="","",IF($L3906="Crédit",$K3906,-$K3906))</f>
        <v/>
      </c>
      <c r="S3906" s="6" t="str">
        <f>IF($C3906="","",IFERROR(INDEX('Paramètres'!$H:$H,MATCH($C3906,'Paramètres'!$D:$D,0))&amp;"",""))</f>
        <v/>
      </c>
      <c r="T3906" s="6" t="str">
        <f>IF($K3906="","",IF($S3906="",0,IF(ISNUMBER(SEARCH("apport-exterieur",IFERROR(INDEX('Paramètres'!$N:$N,MATCH($D3906,'Paramètres'!$M:$M,0))&amp;"",""))),0,IF(OR(IFERROR(INDEX('Paramètres'!$I:$I,MATCH($C3906,'Paramètres'!$D:$D,0))&amp;"","")="Les deux",IFERROR(INDEX('Paramètres'!$I:$I,MATCH($C3906,'Paramètres'!$D:$D,0))&amp;"","")=IF($P3906=1,"Débit",$L3906)),-IF($P3906=1,-$K3906,$K3906),0))))</f>
        <v/>
      </c>
      <c r="U3906" s="6" t="str">
        <f>IF($K3906="","",IF(ISNUMBER(SEARCH("sortie-epargne",IFERROR(INDEX('Paramètres'!$N:$N,MATCH($D3906,'Paramètres'!$M:$M,0))&amp;"",""))),$K3906,0))</f>
        <v/>
      </c>
      <c r="V3906" s="6" t="str">
        <f>IF(AND($A3906&lt;&gt;"",$O3906=1,$L3906="Débit",N($Q3906)&gt;0,$A3906&gt;=Visualisation!$B$1,$A3906&lt;Visualisation!$D$1),MAX($V$1:V3905)+1,"")</f>
        <v/>
      </c>
    </row>
    <row r="3907" spans="1:22" x14ac:dyDescent="0.25">
      <c r="A3907" s="9"/>
      <c r="E3907" s="10"/>
      <c r="K3907" s="11" t="str">
        <f>IF($E3907="","",ROUND($E3907*IF(ISNA(MATCH($C3907,'Paramètres'!$D:$D,0)),1,IF(INDEX('Paramètres'!$J:$J,MATCH($C3907,'Paramètres'!$D:$D,0))="",1,INDEX('Paramètres'!$J:$J,MATCH($C3907,'Paramètres'!$D:$D,0)))),2))</f>
        <v/>
      </c>
      <c r="L3907" s="6" t="str">
        <f>IF($D3907="","",IF($F3907&lt;&gt;"",$F3907,IF(ISNA(MATCH($D3907,'Paramètres'!$M:$M,0)),"⚠ Type inconnu",IFERROR(INDEX('Paramètres'!$P:$P,MATCH($D3907,'Paramètres'!$M:$M,0))&amp;"",""))))</f>
        <v/>
      </c>
      <c r="M3907" s="6" t="str">
        <f>IF($D3907="","",IF(ISNA(MATCH($D3907,'Paramètres'!$M:$M,0)),"⚠ Type inconnu",IF($L3907="Crédit","",IFERROR(INDEX('Paramètres'!$O:$O,MATCH($D3907,'Paramètres'!$M:$M,0))&amp;"",""))))</f>
        <v/>
      </c>
      <c r="N3907" s="6" t="str">
        <f>IF($D3907="","",IFERROR(INDEX('Paramètres'!$Q:$Q,MATCH($D3907,'Paramètres'!$M:$M,0))&amp;"",""))</f>
        <v/>
      </c>
      <c r="O3907" s="6" t="str">
        <f>IF($A3907="","",IF(OR($J3907&lt;&gt;"x",$A3907&lt;=FinReleve),1,0))</f>
        <v/>
      </c>
      <c r="P3907" s="6" t="str">
        <f>IF($D3907="","",IF(AND($L3907="Crédit",OR(IFERROR(INDEX('Paramètres'!$O:$O,MATCH($D3907,'Paramètres'!$M:$M,0))&amp;"","")&lt;&gt;"",ISNUMBER(SEARCH("remboursement",IFERROR(INDEX('Paramètres'!$N:$N,MATCH($D3907,'Paramètres'!$M:$M,0))&amp;"",""))))),1,0))</f>
        <v/>
      </c>
      <c r="Q3907" s="6" t="str">
        <f>IF($K3907="","",IF(ISNUMBER(SEARCH("transfert-interne",IFERROR(INDEX('Paramètres'!$N:$N,MATCH($D3907,'Paramètres'!$M:$M,0))&amp;"",""))),0,IF($L3907="Débit",$K3907,IF($P3907=1,-$K3907,0))))</f>
        <v/>
      </c>
      <c r="R3907" s="6" t="str">
        <f>IF($K3907="","",IF($L3907="Crédit",$K3907,-$K3907))</f>
        <v/>
      </c>
      <c r="S3907" s="6" t="str">
        <f>IF($C3907="","",IFERROR(INDEX('Paramètres'!$H:$H,MATCH($C3907,'Paramètres'!$D:$D,0))&amp;"",""))</f>
        <v/>
      </c>
      <c r="T3907" s="6" t="str">
        <f>IF($K3907="","",IF($S3907="",0,IF(ISNUMBER(SEARCH("apport-exterieur",IFERROR(INDEX('Paramètres'!$N:$N,MATCH($D3907,'Paramètres'!$M:$M,0))&amp;"",""))),0,IF(OR(IFERROR(INDEX('Paramètres'!$I:$I,MATCH($C3907,'Paramètres'!$D:$D,0))&amp;"","")="Les deux",IFERROR(INDEX('Paramètres'!$I:$I,MATCH($C3907,'Paramètres'!$D:$D,0))&amp;"","")=IF($P3907=1,"Débit",$L3907)),-IF($P3907=1,-$K3907,$K3907),0))))</f>
        <v/>
      </c>
      <c r="U3907" s="6" t="str">
        <f>IF($K3907="","",IF(ISNUMBER(SEARCH("sortie-epargne",IFERROR(INDEX('Paramètres'!$N:$N,MATCH($D3907,'Paramètres'!$M:$M,0))&amp;"",""))),$K3907,0))</f>
        <v/>
      </c>
      <c r="V3907" s="6" t="str">
        <f>IF(AND($A3907&lt;&gt;"",$O3907=1,$L3907="Débit",N($Q3907)&gt;0,$A3907&gt;=Visualisation!$B$1,$A3907&lt;Visualisation!$D$1),MAX($V$1:V3906)+1,"")</f>
        <v/>
      </c>
    </row>
    <row r="3908" spans="1:22" x14ac:dyDescent="0.25">
      <c r="A3908" s="9"/>
      <c r="E3908" s="10"/>
      <c r="K3908" s="11" t="str">
        <f>IF($E3908="","",ROUND($E3908*IF(ISNA(MATCH($C3908,'Paramètres'!$D:$D,0)),1,IF(INDEX('Paramètres'!$J:$J,MATCH($C3908,'Paramètres'!$D:$D,0))="",1,INDEX('Paramètres'!$J:$J,MATCH($C3908,'Paramètres'!$D:$D,0)))),2))</f>
        <v/>
      </c>
      <c r="L3908" s="6" t="str">
        <f>IF($D3908="","",IF($F3908&lt;&gt;"",$F3908,IF(ISNA(MATCH($D3908,'Paramètres'!$M:$M,0)),"⚠ Type inconnu",IFERROR(INDEX('Paramètres'!$P:$P,MATCH($D3908,'Paramètres'!$M:$M,0))&amp;"",""))))</f>
        <v/>
      </c>
      <c r="M3908" s="6" t="str">
        <f>IF($D3908="","",IF(ISNA(MATCH($D3908,'Paramètres'!$M:$M,0)),"⚠ Type inconnu",IF($L3908="Crédit","",IFERROR(INDEX('Paramètres'!$O:$O,MATCH($D3908,'Paramètres'!$M:$M,0))&amp;"",""))))</f>
        <v/>
      </c>
      <c r="N3908" s="6" t="str">
        <f>IF($D3908="","",IFERROR(INDEX('Paramètres'!$Q:$Q,MATCH($D3908,'Paramètres'!$M:$M,0))&amp;"",""))</f>
        <v/>
      </c>
      <c r="O3908" s="6" t="str">
        <f>IF($A3908="","",IF(OR($J3908&lt;&gt;"x",$A3908&lt;=FinReleve),1,0))</f>
        <v/>
      </c>
      <c r="P3908" s="6" t="str">
        <f>IF($D3908="","",IF(AND($L3908="Crédit",OR(IFERROR(INDEX('Paramètres'!$O:$O,MATCH($D3908,'Paramètres'!$M:$M,0))&amp;"","")&lt;&gt;"",ISNUMBER(SEARCH("remboursement",IFERROR(INDEX('Paramètres'!$N:$N,MATCH($D3908,'Paramètres'!$M:$M,0))&amp;"",""))))),1,0))</f>
        <v/>
      </c>
      <c r="Q3908" s="6" t="str">
        <f>IF($K3908="","",IF(ISNUMBER(SEARCH("transfert-interne",IFERROR(INDEX('Paramètres'!$N:$N,MATCH($D3908,'Paramètres'!$M:$M,0))&amp;"",""))),0,IF($L3908="Débit",$K3908,IF($P3908=1,-$K3908,0))))</f>
        <v/>
      </c>
      <c r="R3908" s="6" t="str">
        <f>IF($K3908="","",IF($L3908="Crédit",$K3908,-$K3908))</f>
        <v/>
      </c>
      <c r="S3908" s="6" t="str">
        <f>IF($C3908="","",IFERROR(INDEX('Paramètres'!$H:$H,MATCH($C3908,'Paramètres'!$D:$D,0))&amp;"",""))</f>
        <v/>
      </c>
      <c r="T3908" s="6" t="str">
        <f>IF($K3908="","",IF($S3908="",0,IF(ISNUMBER(SEARCH("apport-exterieur",IFERROR(INDEX('Paramètres'!$N:$N,MATCH($D3908,'Paramètres'!$M:$M,0))&amp;"",""))),0,IF(OR(IFERROR(INDEX('Paramètres'!$I:$I,MATCH($C3908,'Paramètres'!$D:$D,0))&amp;"","")="Les deux",IFERROR(INDEX('Paramètres'!$I:$I,MATCH($C3908,'Paramètres'!$D:$D,0))&amp;"","")=IF($P3908=1,"Débit",$L3908)),-IF($P3908=1,-$K3908,$K3908),0))))</f>
        <v/>
      </c>
      <c r="U3908" s="6" t="str">
        <f>IF($K3908="","",IF(ISNUMBER(SEARCH("sortie-epargne",IFERROR(INDEX('Paramètres'!$N:$N,MATCH($D3908,'Paramètres'!$M:$M,0))&amp;"",""))),$K3908,0))</f>
        <v/>
      </c>
      <c r="V3908" s="6" t="str">
        <f>IF(AND($A3908&lt;&gt;"",$O3908=1,$L3908="Débit",N($Q3908)&gt;0,$A3908&gt;=Visualisation!$B$1,$A3908&lt;Visualisation!$D$1),MAX($V$1:V3907)+1,"")</f>
        <v/>
      </c>
    </row>
    <row r="3909" spans="1:22" x14ac:dyDescent="0.25">
      <c r="A3909" s="9"/>
      <c r="E3909" s="10"/>
      <c r="K3909" s="11" t="str">
        <f>IF($E3909="","",ROUND($E3909*IF(ISNA(MATCH($C3909,'Paramètres'!$D:$D,0)),1,IF(INDEX('Paramètres'!$J:$J,MATCH($C3909,'Paramètres'!$D:$D,0))="",1,INDEX('Paramètres'!$J:$J,MATCH($C3909,'Paramètres'!$D:$D,0)))),2))</f>
        <v/>
      </c>
      <c r="L3909" s="6" t="str">
        <f>IF($D3909="","",IF($F3909&lt;&gt;"",$F3909,IF(ISNA(MATCH($D3909,'Paramètres'!$M:$M,0)),"⚠ Type inconnu",IFERROR(INDEX('Paramètres'!$P:$P,MATCH($D3909,'Paramètres'!$M:$M,0))&amp;"",""))))</f>
        <v/>
      </c>
      <c r="M3909" s="6" t="str">
        <f>IF($D3909="","",IF(ISNA(MATCH($D3909,'Paramètres'!$M:$M,0)),"⚠ Type inconnu",IF($L3909="Crédit","",IFERROR(INDEX('Paramètres'!$O:$O,MATCH($D3909,'Paramètres'!$M:$M,0))&amp;"",""))))</f>
        <v/>
      </c>
      <c r="N3909" s="6" t="str">
        <f>IF($D3909="","",IFERROR(INDEX('Paramètres'!$Q:$Q,MATCH($D3909,'Paramètres'!$M:$M,0))&amp;"",""))</f>
        <v/>
      </c>
      <c r="O3909" s="6" t="str">
        <f>IF($A3909="","",IF(OR($J3909&lt;&gt;"x",$A3909&lt;=FinReleve),1,0))</f>
        <v/>
      </c>
      <c r="P3909" s="6" t="str">
        <f>IF($D3909="","",IF(AND($L3909="Crédit",OR(IFERROR(INDEX('Paramètres'!$O:$O,MATCH($D3909,'Paramètres'!$M:$M,0))&amp;"","")&lt;&gt;"",ISNUMBER(SEARCH("remboursement",IFERROR(INDEX('Paramètres'!$N:$N,MATCH($D3909,'Paramètres'!$M:$M,0))&amp;"",""))))),1,0))</f>
        <v/>
      </c>
      <c r="Q3909" s="6" t="str">
        <f>IF($K3909="","",IF(ISNUMBER(SEARCH("transfert-interne",IFERROR(INDEX('Paramètres'!$N:$N,MATCH($D3909,'Paramètres'!$M:$M,0))&amp;"",""))),0,IF($L3909="Débit",$K3909,IF($P3909=1,-$K3909,0))))</f>
        <v/>
      </c>
      <c r="R3909" s="6" t="str">
        <f>IF($K3909="","",IF($L3909="Crédit",$K3909,-$K3909))</f>
        <v/>
      </c>
      <c r="S3909" s="6" t="str">
        <f>IF($C3909="","",IFERROR(INDEX('Paramètres'!$H:$H,MATCH($C3909,'Paramètres'!$D:$D,0))&amp;"",""))</f>
        <v/>
      </c>
      <c r="T3909" s="6" t="str">
        <f>IF($K3909="","",IF($S3909="",0,IF(ISNUMBER(SEARCH("apport-exterieur",IFERROR(INDEX('Paramètres'!$N:$N,MATCH($D3909,'Paramètres'!$M:$M,0))&amp;"",""))),0,IF(OR(IFERROR(INDEX('Paramètres'!$I:$I,MATCH($C3909,'Paramètres'!$D:$D,0))&amp;"","")="Les deux",IFERROR(INDEX('Paramètres'!$I:$I,MATCH($C3909,'Paramètres'!$D:$D,0))&amp;"","")=IF($P3909=1,"Débit",$L3909)),-IF($P3909=1,-$K3909,$K3909),0))))</f>
        <v/>
      </c>
      <c r="U3909" s="6" t="str">
        <f>IF($K3909="","",IF(ISNUMBER(SEARCH("sortie-epargne",IFERROR(INDEX('Paramètres'!$N:$N,MATCH($D3909,'Paramètres'!$M:$M,0))&amp;"",""))),$K3909,0))</f>
        <v/>
      </c>
      <c r="V3909" s="6" t="str">
        <f>IF(AND($A3909&lt;&gt;"",$O3909=1,$L3909="Débit",N($Q3909)&gt;0,$A3909&gt;=Visualisation!$B$1,$A3909&lt;Visualisation!$D$1),MAX($V$1:V3908)+1,"")</f>
        <v/>
      </c>
    </row>
    <row r="3910" spans="1:22" x14ac:dyDescent="0.25">
      <c r="A3910" s="9"/>
      <c r="E3910" s="10"/>
      <c r="K3910" s="11" t="str">
        <f>IF($E3910="","",ROUND($E3910*IF(ISNA(MATCH($C3910,'Paramètres'!$D:$D,0)),1,IF(INDEX('Paramètres'!$J:$J,MATCH($C3910,'Paramètres'!$D:$D,0))="",1,INDEX('Paramètres'!$J:$J,MATCH($C3910,'Paramètres'!$D:$D,0)))),2))</f>
        <v/>
      </c>
      <c r="L3910" s="6" t="str">
        <f>IF($D3910="","",IF($F3910&lt;&gt;"",$F3910,IF(ISNA(MATCH($D3910,'Paramètres'!$M:$M,0)),"⚠ Type inconnu",IFERROR(INDEX('Paramètres'!$P:$P,MATCH($D3910,'Paramètres'!$M:$M,0))&amp;"",""))))</f>
        <v/>
      </c>
      <c r="M3910" s="6" t="str">
        <f>IF($D3910="","",IF(ISNA(MATCH($D3910,'Paramètres'!$M:$M,0)),"⚠ Type inconnu",IF($L3910="Crédit","",IFERROR(INDEX('Paramètres'!$O:$O,MATCH($D3910,'Paramètres'!$M:$M,0))&amp;"",""))))</f>
        <v/>
      </c>
      <c r="N3910" s="6" t="str">
        <f>IF($D3910="","",IFERROR(INDEX('Paramètres'!$Q:$Q,MATCH($D3910,'Paramètres'!$M:$M,0))&amp;"",""))</f>
        <v/>
      </c>
      <c r="O3910" s="6" t="str">
        <f>IF($A3910="","",IF(OR($J3910&lt;&gt;"x",$A3910&lt;=FinReleve),1,0))</f>
        <v/>
      </c>
      <c r="P3910" s="6" t="str">
        <f>IF($D3910="","",IF(AND($L3910="Crédit",OR(IFERROR(INDEX('Paramètres'!$O:$O,MATCH($D3910,'Paramètres'!$M:$M,0))&amp;"","")&lt;&gt;"",ISNUMBER(SEARCH("remboursement",IFERROR(INDEX('Paramètres'!$N:$N,MATCH($D3910,'Paramètres'!$M:$M,0))&amp;"",""))))),1,0))</f>
        <v/>
      </c>
      <c r="Q3910" s="6" t="str">
        <f>IF($K3910="","",IF(ISNUMBER(SEARCH("transfert-interne",IFERROR(INDEX('Paramètres'!$N:$N,MATCH($D3910,'Paramètres'!$M:$M,0))&amp;"",""))),0,IF($L3910="Débit",$K3910,IF($P3910=1,-$K3910,0))))</f>
        <v/>
      </c>
      <c r="R3910" s="6" t="str">
        <f>IF($K3910="","",IF($L3910="Crédit",$K3910,-$K3910))</f>
        <v/>
      </c>
      <c r="S3910" s="6" t="str">
        <f>IF($C3910="","",IFERROR(INDEX('Paramètres'!$H:$H,MATCH($C3910,'Paramètres'!$D:$D,0))&amp;"",""))</f>
        <v/>
      </c>
      <c r="T3910" s="6" t="str">
        <f>IF($K3910="","",IF($S3910="",0,IF(ISNUMBER(SEARCH("apport-exterieur",IFERROR(INDEX('Paramètres'!$N:$N,MATCH($D3910,'Paramètres'!$M:$M,0))&amp;"",""))),0,IF(OR(IFERROR(INDEX('Paramètres'!$I:$I,MATCH($C3910,'Paramètres'!$D:$D,0))&amp;"","")="Les deux",IFERROR(INDEX('Paramètres'!$I:$I,MATCH($C3910,'Paramètres'!$D:$D,0))&amp;"","")=IF($P3910=1,"Débit",$L3910)),-IF($P3910=1,-$K3910,$K3910),0))))</f>
        <v/>
      </c>
      <c r="U3910" s="6" t="str">
        <f>IF($K3910="","",IF(ISNUMBER(SEARCH("sortie-epargne",IFERROR(INDEX('Paramètres'!$N:$N,MATCH($D3910,'Paramètres'!$M:$M,0))&amp;"",""))),$K3910,0))</f>
        <v/>
      </c>
      <c r="V3910" s="6" t="str">
        <f>IF(AND($A3910&lt;&gt;"",$O3910=1,$L3910="Débit",N($Q3910)&gt;0,$A3910&gt;=Visualisation!$B$1,$A3910&lt;Visualisation!$D$1),MAX($V$1:V3909)+1,"")</f>
        <v/>
      </c>
    </row>
    <row r="3911" spans="1:22" x14ac:dyDescent="0.25">
      <c r="A3911" s="9"/>
      <c r="E3911" s="10"/>
      <c r="K3911" s="11" t="str">
        <f>IF($E3911="","",ROUND($E3911*IF(ISNA(MATCH($C3911,'Paramètres'!$D:$D,0)),1,IF(INDEX('Paramètres'!$J:$J,MATCH($C3911,'Paramètres'!$D:$D,0))="",1,INDEX('Paramètres'!$J:$J,MATCH($C3911,'Paramètres'!$D:$D,0)))),2))</f>
        <v/>
      </c>
      <c r="L3911" s="6" t="str">
        <f>IF($D3911="","",IF($F3911&lt;&gt;"",$F3911,IF(ISNA(MATCH($D3911,'Paramètres'!$M:$M,0)),"⚠ Type inconnu",IFERROR(INDEX('Paramètres'!$P:$P,MATCH($D3911,'Paramètres'!$M:$M,0))&amp;"",""))))</f>
        <v/>
      </c>
      <c r="M3911" s="6" t="str">
        <f>IF($D3911="","",IF(ISNA(MATCH($D3911,'Paramètres'!$M:$M,0)),"⚠ Type inconnu",IF($L3911="Crédit","",IFERROR(INDEX('Paramètres'!$O:$O,MATCH($D3911,'Paramètres'!$M:$M,0))&amp;"",""))))</f>
        <v/>
      </c>
      <c r="N3911" s="6" t="str">
        <f>IF($D3911="","",IFERROR(INDEX('Paramètres'!$Q:$Q,MATCH($D3911,'Paramètres'!$M:$M,0))&amp;"",""))</f>
        <v/>
      </c>
      <c r="O3911" s="6" t="str">
        <f>IF($A3911="","",IF(OR($J3911&lt;&gt;"x",$A3911&lt;=FinReleve),1,0))</f>
        <v/>
      </c>
      <c r="P3911" s="6" t="str">
        <f>IF($D3911="","",IF(AND($L3911="Crédit",OR(IFERROR(INDEX('Paramètres'!$O:$O,MATCH($D3911,'Paramètres'!$M:$M,0))&amp;"","")&lt;&gt;"",ISNUMBER(SEARCH("remboursement",IFERROR(INDEX('Paramètres'!$N:$N,MATCH($D3911,'Paramètres'!$M:$M,0))&amp;"",""))))),1,0))</f>
        <v/>
      </c>
      <c r="Q3911" s="6" t="str">
        <f>IF($K3911="","",IF(ISNUMBER(SEARCH("transfert-interne",IFERROR(INDEX('Paramètres'!$N:$N,MATCH($D3911,'Paramètres'!$M:$M,0))&amp;"",""))),0,IF($L3911="Débit",$K3911,IF($P3911=1,-$K3911,0))))</f>
        <v/>
      </c>
      <c r="R3911" s="6" t="str">
        <f>IF($K3911="","",IF($L3911="Crédit",$K3911,-$K3911))</f>
        <v/>
      </c>
      <c r="S3911" s="6" t="str">
        <f>IF($C3911="","",IFERROR(INDEX('Paramètres'!$H:$H,MATCH($C3911,'Paramètres'!$D:$D,0))&amp;"",""))</f>
        <v/>
      </c>
      <c r="T3911" s="6" t="str">
        <f>IF($K3911="","",IF($S3911="",0,IF(ISNUMBER(SEARCH("apport-exterieur",IFERROR(INDEX('Paramètres'!$N:$N,MATCH($D3911,'Paramètres'!$M:$M,0))&amp;"",""))),0,IF(OR(IFERROR(INDEX('Paramètres'!$I:$I,MATCH($C3911,'Paramètres'!$D:$D,0))&amp;"","")="Les deux",IFERROR(INDEX('Paramètres'!$I:$I,MATCH($C3911,'Paramètres'!$D:$D,0))&amp;"","")=IF($P3911=1,"Débit",$L3911)),-IF($P3911=1,-$K3911,$K3911),0))))</f>
        <v/>
      </c>
      <c r="U3911" s="6" t="str">
        <f>IF($K3911="","",IF(ISNUMBER(SEARCH("sortie-epargne",IFERROR(INDEX('Paramètres'!$N:$N,MATCH($D3911,'Paramètres'!$M:$M,0))&amp;"",""))),$K3911,0))</f>
        <v/>
      </c>
      <c r="V3911" s="6" t="str">
        <f>IF(AND($A3911&lt;&gt;"",$O3911=1,$L3911="Débit",N($Q3911)&gt;0,$A3911&gt;=Visualisation!$B$1,$A3911&lt;Visualisation!$D$1),MAX($V$1:V3910)+1,"")</f>
        <v/>
      </c>
    </row>
    <row r="3912" spans="1:22" x14ac:dyDescent="0.25">
      <c r="A3912" s="9"/>
      <c r="E3912" s="10"/>
      <c r="K3912" s="11" t="str">
        <f>IF($E3912="","",ROUND($E3912*IF(ISNA(MATCH($C3912,'Paramètres'!$D:$D,0)),1,IF(INDEX('Paramètres'!$J:$J,MATCH($C3912,'Paramètres'!$D:$D,0))="",1,INDEX('Paramètres'!$J:$J,MATCH($C3912,'Paramètres'!$D:$D,0)))),2))</f>
        <v/>
      </c>
      <c r="L3912" s="6" t="str">
        <f>IF($D3912="","",IF($F3912&lt;&gt;"",$F3912,IF(ISNA(MATCH($D3912,'Paramètres'!$M:$M,0)),"⚠ Type inconnu",IFERROR(INDEX('Paramètres'!$P:$P,MATCH($D3912,'Paramètres'!$M:$M,0))&amp;"",""))))</f>
        <v/>
      </c>
      <c r="M3912" s="6" t="str">
        <f>IF($D3912="","",IF(ISNA(MATCH($D3912,'Paramètres'!$M:$M,0)),"⚠ Type inconnu",IF($L3912="Crédit","",IFERROR(INDEX('Paramètres'!$O:$O,MATCH($D3912,'Paramètres'!$M:$M,0))&amp;"",""))))</f>
        <v/>
      </c>
      <c r="N3912" s="6" t="str">
        <f>IF($D3912="","",IFERROR(INDEX('Paramètres'!$Q:$Q,MATCH($D3912,'Paramètres'!$M:$M,0))&amp;"",""))</f>
        <v/>
      </c>
      <c r="O3912" s="6" t="str">
        <f>IF($A3912="","",IF(OR($J3912&lt;&gt;"x",$A3912&lt;=FinReleve),1,0))</f>
        <v/>
      </c>
      <c r="P3912" s="6" t="str">
        <f>IF($D3912="","",IF(AND($L3912="Crédit",OR(IFERROR(INDEX('Paramètres'!$O:$O,MATCH($D3912,'Paramètres'!$M:$M,0))&amp;"","")&lt;&gt;"",ISNUMBER(SEARCH("remboursement",IFERROR(INDEX('Paramètres'!$N:$N,MATCH($D3912,'Paramètres'!$M:$M,0))&amp;"",""))))),1,0))</f>
        <v/>
      </c>
      <c r="Q3912" s="6" t="str">
        <f>IF($K3912="","",IF(ISNUMBER(SEARCH("transfert-interne",IFERROR(INDEX('Paramètres'!$N:$N,MATCH($D3912,'Paramètres'!$M:$M,0))&amp;"",""))),0,IF($L3912="Débit",$K3912,IF($P3912=1,-$K3912,0))))</f>
        <v/>
      </c>
      <c r="R3912" s="6" t="str">
        <f>IF($K3912="","",IF($L3912="Crédit",$K3912,-$K3912))</f>
        <v/>
      </c>
      <c r="S3912" s="6" t="str">
        <f>IF($C3912="","",IFERROR(INDEX('Paramètres'!$H:$H,MATCH($C3912,'Paramètres'!$D:$D,0))&amp;"",""))</f>
        <v/>
      </c>
      <c r="T3912" s="6" t="str">
        <f>IF($K3912="","",IF($S3912="",0,IF(ISNUMBER(SEARCH("apport-exterieur",IFERROR(INDEX('Paramètres'!$N:$N,MATCH($D3912,'Paramètres'!$M:$M,0))&amp;"",""))),0,IF(OR(IFERROR(INDEX('Paramètres'!$I:$I,MATCH($C3912,'Paramètres'!$D:$D,0))&amp;"","")="Les deux",IFERROR(INDEX('Paramètres'!$I:$I,MATCH($C3912,'Paramètres'!$D:$D,0))&amp;"","")=IF($P3912=1,"Débit",$L3912)),-IF($P3912=1,-$K3912,$K3912),0))))</f>
        <v/>
      </c>
      <c r="U3912" s="6" t="str">
        <f>IF($K3912="","",IF(ISNUMBER(SEARCH("sortie-epargne",IFERROR(INDEX('Paramètres'!$N:$N,MATCH($D3912,'Paramètres'!$M:$M,0))&amp;"",""))),$K3912,0))</f>
        <v/>
      </c>
      <c r="V3912" s="6" t="str">
        <f>IF(AND($A3912&lt;&gt;"",$O3912=1,$L3912="Débit",N($Q3912)&gt;0,$A3912&gt;=Visualisation!$B$1,$A3912&lt;Visualisation!$D$1),MAX($V$1:V3911)+1,"")</f>
        <v/>
      </c>
    </row>
    <row r="3913" spans="1:22" x14ac:dyDescent="0.25">
      <c r="A3913" s="9"/>
      <c r="E3913" s="10"/>
      <c r="K3913" s="11" t="str">
        <f>IF($E3913="","",ROUND($E3913*IF(ISNA(MATCH($C3913,'Paramètres'!$D:$D,0)),1,IF(INDEX('Paramètres'!$J:$J,MATCH($C3913,'Paramètres'!$D:$D,0))="",1,INDEX('Paramètres'!$J:$J,MATCH($C3913,'Paramètres'!$D:$D,0)))),2))</f>
        <v/>
      </c>
      <c r="L3913" s="6" t="str">
        <f>IF($D3913="","",IF($F3913&lt;&gt;"",$F3913,IF(ISNA(MATCH($D3913,'Paramètres'!$M:$M,0)),"⚠ Type inconnu",IFERROR(INDEX('Paramètres'!$P:$P,MATCH($D3913,'Paramètres'!$M:$M,0))&amp;"",""))))</f>
        <v/>
      </c>
      <c r="M3913" s="6" t="str">
        <f>IF($D3913="","",IF(ISNA(MATCH($D3913,'Paramètres'!$M:$M,0)),"⚠ Type inconnu",IF($L3913="Crédit","",IFERROR(INDEX('Paramètres'!$O:$O,MATCH($D3913,'Paramètres'!$M:$M,0))&amp;"",""))))</f>
        <v/>
      </c>
      <c r="N3913" s="6" t="str">
        <f>IF($D3913="","",IFERROR(INDEX('Paramètres'!$Q:$Q,MATCH($D3913,'Paramètres'!$M:$M,0))&amp;"",""))</f>
        <v/>
      </c>
      <c r="O3913" s="6" t="str">
        <f>IF($A3913="","",IF(OR($J3913&lt;&gt;"x",$A3913&lt;=FinReleve),1,0))</f>
        <v/>
      </c>
      <c r="P3913" s="6" t="str">
        <f>IF($D3913="","",IF(AND($L3913="Crédit",OR(IFERROR(INDEX('Paramètres'!$O:$O,MATCH($D3913,'Paramètres'!$M:$M,0))&amp;"","")&lt;&gt;"",ISNUMBER(SEARCH("remboursement",IFERROR(INDEX('Paramètres'!$N:$N,MATCH($D3913,'Paramètres'!$M:$M,0))&amp;"",""))))),1,0))</f>
        <v/>
      </c>
      <c r="Q3913" s="6" t="str">
        <f>IF($K3913="","",IF(ISNUMBER(SEARCH("transfert-interne",IFERROR(INDEX('Paramètres'!$N:$N,MATCH($D3913,'Paramètres'!$M:$M,0))&amp;"",""))),0,IF($L3913="Débit",$K3913,IF($P3913=1,-$K3913,0))))</f>
        <v/>
      </c>
      <c r="R3913" s="6" t="str">
        <f>IF($K3913="","",IF($L3913="Crédit",$K3913,-$K3913))</f>
        <v/>
      </c>
      <c r="S3913" s="6" t="str">
        <f>IF($C3913="","",IFERROR(INDEX('Paramètres'!$H:$H,MATCH($C3913,'Paramètres'!$D:$D,0))&amp;"",""))</f>
        <v/>
      </c>
      <c r="T3913" s="6" t="str">
        <f>IF($K3913="","",IF($S3913="",0,IF(ISNUMBER(SEARCH("apport-exterieur",IFERROR(INDEX('Paramètres'!$N:$N,MATCH($D3913,'Paramètres'!$M:$M,0))&amp;"",""))),0,IF(OR(IFERROR(INDEX('Paramètres'!$I:$I,MATCH($C3913,'Paramètres'!$D:$D,0))&amp;"","")="Les deux",IFERROR(INDEX('Paramètres'!$I:$I,MATCH($C3913,'Paramètres'!$D:$D,0))&amp;"","")=IF($P3913=1,"Débit",$L3913)),-IF($P3913=1,-$K3913,$K3913),0))))</f>
        <v/>
      </c>
      <c r="U3913" s="6" t="str">
        <f>IF($K3913="","",IF(ISNUMBER(SEARCH("sortie-epargne",IFERROR(INDEX('Paramètres'!$N:$N,MATCH($D3913,'Paramètres'!$M:$M,0))&amp;"",""))),$K3913,0))</f>
        <v/>
      </c>
      <c r="V3913" s="6" t="str">
        <f>IF(AND($A3913&lt;&gt;"",$O3913=1,$L3913="Débit",N($Q3913)&gt;0,$A3913&gt;=Visualisation!$B$1,$A3913&lt;Visualisation!$D$1),MAX($V$1:V3912)+1,"")</f>
        <v/>
      </c>
    </row>
    <row r="3914" spans="1:22" x14ac:dyDescent="0.25">
      <c r="A3914" s="9"/>
      <c r="E3914" s="10"/>
      <c r="K3914" s="11" t="str">
        <f>IF($E3914="","",ROUND($E3914*IF(ISNA(MATCH($C3914,'Paramètres'!$D:$D,0)),1,IF(INDEX('Paramètres'!$J:$J,MATCH($C3914,'Paramètres'!$D:$D,0))="",1,INDEX('Paramètres'!$J:$J,MATCH($C3914,'Paramètres'!$D:$D,0)))),2))</f>
        <v/>
      </c>
      <c r="L3914" s="6" t="str">
        <f>IF($D3914="","",IF($F3914&lt;&gt;"",$F3914,IF(ISNA(MATCH($D3914,'Paramètres'!$M:$M,0)),"⚠ Type inconnu",IFERROR(INDEX('Paramètres'!$P:$P,MATCH($D3914,'Paramètres'!$M:$M,0))&amp;"",""))))</f>
        <v/>
      </c>
      <c r="M3914" s="6" t="str">
        <f>IF($D3914="","",IF(ISNA(MATCH($D3914,'Paramètres'!$M:$M,0)),"⚠ Type inconnu",IF($L3914="Crédit","",IFERROR(INDEX('Paramètres'!$O:$O,MATCH($D3914,'Paramètres'!$M:$M,0))&amp;"",""))))</f>
        <v/>
      </c>
      <c r="N3914" s="6" t="str">
        <f>IF($D3914="","",IFERROR(INDEX('Paramètres'!$Q:$Q,MATCH($D3914,'Paramètres'!$M:$M,0))&amp;"",""))</f>
        <v/>
      </c>
      <c r="O3914" s="6" t="str">
        <f>IF($A3914="","",IF(OR($J3914&lt;&gt;"x",$A3914&lt;=FinReleve),1,0))</f>
        <v/>
      </c>
      <c r="P3914" s="6" t="str">
        <f>IF($D3914="","",IF(AND($L3914="Crédit",OR(IFERROR(INDEX('Paramètres'!$O:$O,MATCH($D3914,'Paramètres'!$M:$M,0))&amp;"","")&lt;&gt;"",ISNUMBER(SEARCH("remboursement",IFERROR(INDEX('Paramètres'!$N:$N,MATCH($D3914,'Paramètres'!$M:$M,0))&amp;"",""))))),1,0))</f>
        <v/>
      </c>
      <c r="Q3914" s="6" t="str">
        <f>IF($K3914="","",IF(ISNUMBER(SEARCH("transfert-interne",IFERROR(INDEX('Paramètres'!$N:$N,MATCH($D3914,'Paramètres'!$M:$M,0))&amp;"",""))),0,IF($L3914="Débit",$K3914,IF($P3914=1,-$K3914,0))))</f>
        <v/>
      </c>
      <c r="R3914" s="6" t="str">
        <f>IF($K3914="","",IF($L3914="Crédit",$K3914,-$K3914))</f>
        <v/>
      </c>
      <c r="S3914" s="6" t="str">
        <f>IF($C3914="","",IFERROR(INDEX('Paramètres'!$H:$H,MATCH($C3914,'Paramètres'!$D:$D,0))&amp;"",""))</f>
        <v/>
      </c>
      <c r="T3914" s="6" t="str">
        <f>IF($K3914="","",IF($S3914="",0,IF(ISNUMBER(SEARCH("apport-exterieur",IFERROR(INDEX('Paramètres'!$N:$N,MATCH($D3914,'Paramètres'!$M:$M,0))&amp;"",""))),0,IF(OR(IFERROR(INDEX('Paramètres'!$I:$I,MATCH($C3914,'Paramètres'!$D:$D,0))&amp;"","")="Les deux",IFERROR(INDEX('Paramètres'!$I:$I,MATCH($C3914,'Paramètres'!$D:$D,0))&amp;"","")=IF($P3914=1,"Débit",$L3914)),-IF($P3914=1,-$K3914,$K3914),0))))</f>
        <v/>
      </c>
      <c r="U3914" s="6" t="str">
        <f>IF($K3914="","",IF(ISNUMBER(SEARCH("sortie-epargne",IFERROR(INDEX('Paramètres'!$N:$N,MATCH($D3914,'Paramètres'!$M:$M,0))&amp;"",""))),$K3914,0))</f>
        <v/>
      </c>
      <c r="V3914" s="6" t="str">
        <f>IF(AND($A3914&lt;&gt;"",$O3914=1,$L3914="Débit",N($Q3914)&gt;0,$A3914&gt;=Visualisation!$B$1,$A3914&lt;Visualisation!$D$1),MAX($V$1:V3913)+1,"")</f>
        <v/>
      </c>
    </row>
    <row r="3915" spans="1:22" x14ac:dyDescent="0.25">
      <c r="A3915" s="9"/>
      <c r="E3915" s="10"/>
      <c r="K3915" s="11" t="str">
        <f>IF($E3915="","",ROUND($E3915*IF(ISNA(MATCH($C3915,'Paramètres'!$D:$D,0)),1,IF(INDEX('Paramètres'!$J:$J,MATCH($C3915,'Paramètres'!$D:$D,0))="",1,INDEX('Paramètres'!$J:$J,MATCH($C3915,'Paramètres'!$D:$D,0)))),2))</f>
        <v/>
      </c>
      <c r="L3915" s="6" t="str">
        <f>IF($D3915="","",IF($F3915&lt;&gt;"",$F3915,IF(ISNA(MATCH($D3915,'Paramètres'!$M:$M,0)),"⚠ Type inconnu",IFERROR(INDEX('Paramètres'!$P:$P,MATCH($D3915,'Paramètres'!$M:$M,0))&amp;"",""))))</f>
        <v/>
      </c>
      <c r="M3915" s="6" t="str">
        <f>IF($D3915="","",IF(ISNA(MATCH($D3915,'Paramètres'!$M:$M,0)),"⚠ Type inconnu",IF($L3915="Crédit","",IFERROR(INDEX('Paramètres'!$O:$O,MATCH($D3915,'Paramètres'!$M:$M,0))&amp;"",""))))</f>
        <v/>
      </c>
      <c r="N3915" s="6" t="str">
        <f>IF($D3915="","",IFERROR(INDEX('Paramètres'!$Q:$Q,MATCH($D3915,'Paramètres'!$M:$M,0))&amp;"",""))</f>
        <v/>
      </c>
      <c r="O3915" s="6" t="str">
        <f>IF($A3915="","",IF(OR($J3915&lt;&gt;"x",$A3915&lt;=FinReleve),1,0))</f>
        <v/>
      </c>
      <c r="P3915" s="6" t="str">
        <f>IF($D3915="","",IF(AND($L3915="Crédit",OR(IFERROR(INDEX('Paramètres'!$O:$O,MATCH($D3915,'Paramètres'!$M:$M,0))&amp;"","")&lt;&gt;"",ISNUMBER(SEARCH("remboursement",IFERROR(INDEX('Paramètres'!$N:$N,MATCH($D3915,'Paramètres'!$M:$M,0))&amp;"",""))))),1,0))</f>
        <v/>
      </c>
      <c r="Q3915" s="6" t="str">
        <f>IF($K3915="","",IF(ISNUMBER(SEARCH("transfert-interne",IFERROR(INDEX('Paramètres'!$N:$N,MATCH($D3915,'Paramètres'!$M:$M,0))&amp;"",""))),0,IF($L3915="Débit",$K3915,IF($P3915=1,-$K3915,0))))</f>
        <v/>
      </c>
      <c r="R3915" s="6" t="str">
        <f>IF($K3915="","",IF($L3915="Crédit",$K3915,-$K3915))</f>
        <v/>
      </c>
      <c r="S3915" s="6" t="str">
        <f>IF($C3915="","",IFERROR(INDEX('Paramètres'!$H:$H,MATCH($C3915,'Paramètres'!$D:$D,0))&amp;"",""))</f>
        <v/>
      </c>
      <c r="T3915" s="6" t="str">
        <f>IF($K3915="","",IF($S3915="",0,IF(ISNUMBER(SEARCH("apport-exterieur",IFERROR(INDEX('Paramètres'!$N:$N,MATCH($D3915,'Paramètres'!$M:$M,0))&amp;"",""))),0,IF(OR(IFERROR(INDEX('Paramètres'!$I:$I,MATCH($C3915,'Paramètres'!$D:$D,0))&amp;"","")="Les deux",IFERROR(INDEX('Paramètres'!$I:$I,MATCH($C3915,'Paramètres'!$D:$D,0))&amp;"","")=IF($P3915=1,"Débit",$L3915)),-IF($P3915=1,-$K3915,$K3915),0))))</f>
        <v/>
      </c>
      <c r="U3915" s="6" t="str">
        <f>IF($K3915="","",IF(ISNUMBER(SEARCH("sortie-epargne",IFERROR(INDEX('Paramètres'!$N:$N,MATCH($D3915,'Paramètres'!$M:$M,0))&amp;"",""))),$K3915,0))</f>
        <v/>
      </c>
      <c r="V3915" s="6" t="str">
        <f>IF(AND($A3915&lt;&gt;"",$O3915=1,$L3915="Débit",N($Q3915)&gt;0,$A3915&gt;=Visualisation!$B$1,$A3915&lt;Visualisation!$D$1),MAX($V$1:V3914)+1,"")</f>
        <v/>
      </c>
    </row>
    <row r="3916" spans="1:22" x14ac:dyDescent="0.25">
      <c r="A3916" s="9"/>
      <c r="E3916" s="10"/>
      <c r="K3916" s="11" t="str">
        <f>IF($E3916="","",ROUND($E3916*IF(ISNA(MATCH($C3916,'Paramètres'!$D:$D,0)),1,IF(INDEX('Paramètres'!$J:$J,MATCH($C3916,'Paramètres'!$D:$D,0))="",1,INDEX('Paramètres'!$J:$J,MATCH($C3916,'Paramètres'!$D:$D,0)))),2))</f>
        <v/>
      </c>
      <c r="L3916" s="6" t="str">
        <f>IF($D3916="","",IF($F3916&lt;&gt;"",$F3916,IF(ISNA(MATCH($D3916,'Paramètres'!$M:$M,0)),"⚠ Type inconnu",IFERROR(INDEX('Paramètres'!$P:$P,MATCH($D3916,'Paramètres'!$M:$M,0))&amp;"",""))))</f>
        <v/>
      </c>
      <c r="M3916" s="6" t="str">
        <f>IF($D3916="","",IF(ISNA(MATCH($D3916,'Paramètres'!$M:$M,0)),"⚠ Type inconnu",IF($L3916="Crédit","",IFERROR(INDEX('Paramètres'!$O:$O,MATCH($D3916,'Paramètres'!$M:$M,0))&amp;"",""))))</f>
        <v/>
      </c>
      <c r="N3916" s="6" t="str">
        <f>IF($D3916="","",IFERROR(INDEX('Paramètres'!$Q:$Q,MATCH($D3916,'Paramètres'!$M:$M,0))&amp;"",""))</f>
        <v/>
      </c>
      <c r="O3916" s="6" t="str">
        <f>IF($A3916="","",IF(OR($J3916&lt;&gt;"x",$A3916&lt;=FinReleve),1,0))</f>
        <v/>
      </c>
      <c r="P3916" s="6" t="str">
        <f>IF($D3916="","",IF(AND($L3916="Crédit",OR(IFERROR(INDEX('Paramètres'!$O:$O,MATCH($D3916,'Paramètres'!$M:$M,0))&amp;"","")&lt;&gt;"",ISNUMBER(SEARCH("remboursement",IFERROR(INDEX('Paramètres'!$N:$N,MATCH($D3916,'Paramètres'!$M:$M,0))&amp;"",""))))),1,0))</f>
        <v/>
      </c>
      <c r="Q3916" s="6" t="str">
        <f>IF($K3916="","",IF(ISNUMBER(SEARCH("transfert-interne",IFERROR(INDEX('Paramètres'!$N:$N,MATCH($D3916,'Paramètres'!$M:$M,0))&amp;"",""))),0,IF($L3916="Débit",$K3916,IF($P3916=1,-$K3916,0))))</f>
        <v/>
      </c>
      <c r="R3916" s="6" t="str">
        <f>IF($K3916="","",IF($L3916="Crédit",$K3916,-$K3916))</f>
        <v/>
      </c>
      <c r="S3916" s="6" t="str">
        <f>IF($C3916="","",IFERROR(INDEX('Paramètres'!$H:$H,MATCH($C3916,'Paramètres'!$D:$D,0))&amp;"",""))</f>
        <v/>
      </c>
      <c r="T3916" s="6" t="str">
        <f>IF($K3916="","",IF($S3916="",0,IF(ISNUMBER(SEARCH("apport-exterieur",IFERROR(INDEX('Paramètres'!$N:$N,MATCH($D3916,'Paramètres'!$M:$M,0))&amp;"",""))),0,IF(OR(IFERROR(INDEX('Paramètres'!$I:$I,MATCH($C3916,'Paramètres'!$D:$D,0))&amp;"","")="Les deux",IFERROR(INDEX('Paramètres'!$I:$I,MATCH($C3916,'Paramètres'!$D:$D,0))&amp;"","")=IF($P3916=1,"Débit",$L3916)),-IF($P3916=1,-$K3916,$K3916),0))))</f>
        <v/>
      </c>
      <c r="U3916" s="6" t="str">
        <f>IF($K3916="","",IF(ISNUMBER(SEARCH("sortie-epargne",IFERROR(INDEX('Paramètres'!$N:$N,MATCH($D3916,'Paramètres'!$M:$M,0))&amp;"",""))),$K3916,0))</f>
        <v/>
      </c>
      <c r="V3916" s="6" t="str">
        <f>IF(AND($A3916&lt;&gt;"",$O3916=1,$L3916="Débit",N($Q3916)&gt;0,$A3916&gt;=Visualisation!$B$1,$A3916&lt;Visualisation!$D$1),MAX($V$1:V3915)+1,"")</f>
        <v/>
      </c>
    </row>
    <row r="3917" spans="1:22" x14ac:dyDescent="0.25">
      <c r="A3917" s="9"/>
      <c r="E3917" s="10"/>
      <c r="K3917" s="11" t="str">
        <f>IF($E3917="","",ROUND($E3917*IF(ISNA(MATCH($C3917,'Paramètres'!$D:$D,0)),1,IF(INDEX('Paramètres'!$J:$J,MATCH($C3917,'Paramètres'!$D:$D,0))="",1,INDEX('Paramètres'!$J:$J,MATCH($C3917,'Paramètres'!$D:$D,0)))),2))</f>
        <v/>
      </c>
      <c r="L3917" s="6" t="str">
        <f>IF($D3917="","",IF($F3917&lt;&gt;"",$F3917,IF(ISNA(MATCH($D3917,'Paramètres'!$M:$M,0)),"⚠ Type inconnu",IFERROR(INDEX('Paramètres'!$P:$P,MATCH($D3917,'Paramètres'!$M:$M,0))&amp;"",""))))</f>
        <v/>
      </c>
      <c r="M3917" s="6" t="str">
        <f>IF($D3917="","",IF(ISNA(MATCH($D3917,'Paramètres'!$M:$M,0)),"⚠ Type inconnu",IF($L3917="Crédit","",IFERROR(INDEX('Paramètres'!$O:$O,MATCH($D3917,'Paramètres'!$M:$M,0))&amp;"",""))))</f>
        <v/>
      </c>
      <c r="N3917" s="6" t="str">
        <f>IF($D3917="","",IFERROR(INDEX('Paramètres'!$Q:$Q,MATCH($D3917,'Paramètres'!$M:$M,0))&amp;"",""))</f>
        <v/>
      </c>
      <c r="O3917" s="6" t="str">
        <f>IF($A3917="","",IF(OR($J3917&lt;&gt;"x",$A3917&lt;=FinReleve),1,0))</f>
        <v/>
      </c>
      <c r="P3917" s="6" t="str">
        <f>IF($D3917="","",IF(AND($L3917="Crédit",OR(IFERROR(INDEX('Paramètres'!$O:$O,MATCH($D3917,'Paramètres'!$M:$M,0))&amp;"","")&lt;&gt;"",ISNUMBER(SEARCH("remboursement",IFERROR(INDEX('Paramètres'!$N:$N,MATCH($D3917,'Paramètres'!$M:$M,0))&amp;"",""))))),1,0))</f>
        <v/>
      </c>
      <c r="Q3917" s="6" t="str">
        <f>IF($K3917="","",IF(ISNUMBER(SEARCH("transfert-interne",IFERROR(INDEX('Paramètres'!$N:$N,MATCH($D3917,'Paramètres'!$M:$M,0))&amp;"",""))),0,IF($L3917="Débit",$K3917,IF($P3917=1,-$K3917,0))))</f>
        <v/>
      </c>
      <c r="R3917" s="6" t="str">
        <f>IF($K3917="","",IF($L3917="Crédit",$K3917,-$K3917))</f>
        <v/>
      </c>
      <c r="S3917" s="6" t="str">
        <f>IF($C3917="","",IFERROR(INDEX('Paramètres'!$H:$H,MATCH($C3917,'Paramètres'!$D:$D,0))&amp;"",""))</f>
        <v/>
      </c>
      <c r="T3917" s="6" t="str">
        <f>IF($K3917="","",IF($S3917="",0,IF(ISNUMBER(SEARCH("apport-exterieur",IFERROR(INDEX('Paramètres'!$N:$N,MATCH($D3917,'Paramètres'!$M:$M,0))&amp;"",""))),0,IF(OR(IFERROR(INDEX('Paramètres'!$I:$I,MATCH($C3917,'Paramètres'!$D:$D,0))&amp;"","")="Les deux",IFERROR(INDEX('Paramètres'!$I:$I,MATCH($C3917,'Paramètres'!$D:$D,0))&amp;"","")=IF($P3917=1,"Débit",$L3917)),-IF($P3917=1,-$K3917,$K3917),0))))</f>
        <v/>
      </c>
      <c r="U3917" s="6" t="str">
        <f>IF($K3917="","",IF(ISNUMBER(SEARCH("sortie-epargne",IFERROR(INDEX('Paramètres'!$N:$N,MATCH($D3917,'Paramètres'!$M:$M,0))&amp;"",""))),$K3917,0))</f>
        <v/>
      </c>
      <c r="V3917" s="6" t="str">
        <f>IF(AND($A3917&lt;&gt;"",$O3917=1,$L3917="Débit",N($Q3917)&gt;0,$A3917&gt;=Visualisation!$B$1,$A3917&lt;Visualisation!$D$1),MAX($V$1:V3916)+1,"")</f>
        <v/>
      </c>
    </row>
    <row r="3918" spans="1:22" x14ac:dyDescent="0.25">
      <c r="A3918" s="9"/>
      <c r="E3918" s="10"/>
      <c r="K3918" s="11" t="str">
        <f>IF($E3918="","",ROUND($E3918*IF(ISNA(MATCH($C3918,'Paramètres'!$D:$D,0)),1,IF(INDEX('Paramètres'!$J:$J,MATCH($C3918,'Paramètres'!$D:$D,0))="",1,INDEX('Paramètres'!$J:$J,MATCH($C3918,'Paramètres'!$D:$D,0)))),2))</f>
        <v/>
      </c>
      <c r="L3918" s="6" t="str">
        <f>IF($D3918="","",IF($F3918&lt;&gt;"",$F3918,IF(ISNA(MATCH($D3918,'Paramètres'!$M:$M,0)),"⚠ Type inconnu",IFERROR(INDEX('Paramètres'!$P:$P,MATCH($D3918,'Paramètres'!$M:$M,0))&amp;"",""))))</f>
        <v/>
      </c>
      <c r="M3918" s="6" t="str">
        <f>IF($D3918="","",IF(ISNA(MATCH($D3918,'Paramètres'!$M:$M,0)),"⚠ Type inconnu",IF($L3918="Crédit","",IFERROR(INDEX('Paramètres'!$O:$O,MATCH($D3918,'Paramètres'!$M:$M,0))&amp;"",""))))</f>
        <v/>
      </c>
      <c r="N3918" s="6" t="str">
        <f>IF($D3918="","",IFERROR(INDEX('Paramètres'!$Q:$Q,MATCH($D3918,'Paramètres'!$M:$M,0))&amp;"",""))</f>
        <v/>
      </c>
      <c r="O3918" s="6" t="str">
        <f>IF($A3918="","",IF(OR($J3918&lt;&gt;"x",$A3918&lt;=FinReleve),1,0))</f>
        <v/>
      </c>
      <c r="P3918" s="6" t="str">
        <f>IF($D3918="","",IF(AND($L3918="Crédit",OR(IFERROR(INDEX('Paramètres'!$O:$O,MATCH($D3918,'Paramètres'!$M:$M,0))&amp;"","")&lt;&gt;"",ISNUMBER(SEARCH("remboursement",IFERROR(INDEX('Paramètres'!$N:$N,MATCH($D3918,'Paramètres'!$M:$M,0))&amp;"",""))))),1,0))</f>
        <v/>
      </c>
      <c r="Q3918" s="6" t="str">
        <f>IF($K3918="","",IF(ISNUMBER(SEARCH("transfert-interne",IFERROR(INDEX('Paramètres'!$N:$N,MATCH($D3918,'Paramètres'!$M:$M,0))&amp;"",""))),0,IF($L3918="Débit",$K3918,IF($P3918=1,-$K3918,0))))</f>
        <v/>
      </c>
      <c r="R3918" s="6" t="str">
        <f>IF($K3918="","",IF($L3918="Crédit",$K3918,-$K3918))</f>
        <v/>
      </c>
      <c r="S3918" s="6" t="str">
        <f>IF($C3918="","",IFERROR(INDEX('Paramètres'!$H:$H,MATCH($C3918,'Paramètres'!$D:$D,0))&amp;"",""))</f>
        <v/>
      </c>
      <c r="T3918" s="6" t="str">
        <f>IF($K3918="","",IF($S3918="",0,IF(ISNUMBER(SEARCH("apport-exterieur",IFERROR(INDEX('Paramètres'!$N:$N,MATCH($D3918,'Paramètres'!$M:$M,0))&amp;"",""))),0,IF(OR(IFERROR(INDEX('Paramètres'!$I:$I,MATCH($C3918,'Paramètres'!$D:$D,0))&amp;"","")="Les deux",IFERROR(INDEX('Paramètres'!$I:$I,MATCH($C3918,'Paramètres'!$D:$D,0))&amp;"","")=IF($P3918=1,"Débit",$L3918)),-IF($P3918=1,-$K3918,$K3918),0))))</f>
        <v/>
      </c>
      <c r="U3918" s="6" t="str">
        <f>IF($K3918="","",IF(ISNUMBER(SEARCH("sortie-epargne",IFERROR(INDEX('Paramètres'!$N:$N,MATCH($D3918,'Paramètres'!$M:$M,0))&amp;"",""))),$K3918,0))</f>
        <v/>
      </c>
      <c r="V3918" s="6" t="str">
        <f>IF(AND($A3918&lt;&gt;"",$O3918=1,$L3918="Débit",N($Q3918)&gt;0,$A3918&gt;=Visualisation!$B$1,$A3918&lt;Visualisation!$D$1),MAX($V$1:V3917)+1,"")</f>
        <v/>
      </c>
    </row>
    <row r="3919" spans="1:22" x14ac:dyDescent="0.25">
      <c r="A3919" s="9"/>
      <c r="E3919" s="10"/>
      <c r="K3919" s="11" t="str">
        <f>IF($E3919="","",ROUND($E3919*IF(ISNA(MATCH($C3919,'Paramètres'!$D:$D,0)),1,IF(INDEX('Paramètres'!$J:$J,MATCH($C3919,'Paramètres'!$D:$D,0))="",1,INDEX('Paramètres'!$J:$J,MATCH($C3919,'Paramètres'!$D:$D,0)))),2))</f>
        <v/>
      </c>
      <c r="L3919" s="6" t="str">
        <f>IF($D3919="","",IF($F3919&lt;&gt;"",$F3919,IF(ISNA(MATCH($D3919,'Paramètres'!$M:$M,0)),"⚠ Type inconnu",IFERROR(INDEX('Paramètres'!$P:$P,MATCH($D3919,'Paramètres'!$M:$M,0))&amp;"",""))))</f>
        <v/>
      </c>
      <c r="M3919" s="6" t="str">
        <f>IF($D3919="","",IF(ISNA(MATCH($D3919,'Paramètres'!$M:$M,0)),"⚠ Type inconnu",IF($L3919="Crédit","",IFERROR(INDEX('Paramètres'!$O:$O,MATCH($D3919,'Paramètres'!$M:$M,0))&amp;"",""))))</f>
        <v/>
      </c>
      <c r="N3919" s="6" t="str">
        <f>IF($D3919="","",IFERROR(INDEX('Paramètres'!$Q:$Q,MATCH($D3919,'Paramètres'!$M:$M,0))&amp;"",""))</f>
        <v/>
      </c>
      <c r="O3919" s="6" t="str">
        <f>IF($A3919="","",IF(OR($J3919&lt;&gt;"x",$A3919&lt;=FinReleve),1,0))</f>
        <v/>
      </c>
      <c r="P3919" s="6" t="str">
        <f>IF($D3919="","",IF(AND($L3919="Crédit",OR(IFERROR(INDEX('Paramètres'!$O:$O,MATCH($D3919,'Paramètres'!$M:$M,0))&amp;"","")&lt;&gt;"",ISNUMBER(SEARCH("remboursement",IFERROR(INDEX('Paramètres'!$N:$N,MATCH($D3919,'Paramètres'!$M:$M,0))&amp;"",""))))),1,0))</f>
        <v/>
      </c>
      <c r="Q3919" s="6" t="str">
        <f>IF($K3919="","",IF(ISNUMBER(SEARCH("transfert-interne",IFERROR(INDEX('Paramètres'!$N:$N,MATCH($D3919,'Paramètres'!$M:$M,0))&amp;"",""))),0,IF($L3919="Débit",$K3919,IF($P3919=1,-$K3919,0))))</f>
        <v/>
      </c>
      <c r="R3919" s="6" t="str">
        <f>IF($K3919="","",IF($L3919="Crédit",$K3919,-$K3919))</f>
        <v/>
      </c>
      <c r="S3919" s="6" t="str">
        <f>IF($C3919="","",IFERROR(INDEX('Paramètres'!$H:$H,MATCH($C3919,'Paramètres'!$D:$D,0))&amp;"",""))</f>
        <v/>
      </c>
      <c r="T3919" s="6" t="str">
        <f>IF($K3919="","",IF($S3919="",0,IF(ISNUMBER(SEARCH("apport-exterieur",IFERROR(INDEX('Paramètres'!$N:$N,MATCH($D3919,'Paramètres'!$M:$M,0))&amp;"",""))),0,IF(OR(IFERROR(INDEX('Paramètres'!$I:$I,MATCH($C3919,'Paramètres'!$D:$D,0))&amp;"","")="Les deux",IFERROR(INDEX('Paramètres'!$I:$I,MATCH($C3919,'Paramètres'!$D:$D,0))&amp;"","")=IF($P3919=1,"Débit",$L3919)),-IF($P3919=1,-$K3919,$K3919),0))))</f>
        <v/>
      </c>
      <c r="U3919" s="6" t="str">
        <f>IF($K3919="","",IF(ISNUMBER(SEARCH("sortie-epargne",IFERROR(INDEX('Paramètres'!$N:$N,MATCH($D3919,'Paramètres'!$M:$M,0))&amp;"",""))),$K3919,0))</f>
        <v/>
      </c>
      <c r="V3919" s="6" t="str">
        <f>IF(AND($A3919&lt;&gt;"",$O3919=1,$L3919="Débit",N($Q3919)&gt;0,$A3919&gt;=Visualisation!$B$1,$A3919&lt;Visualisation!$D$1),MAX($V$1:V3918)+1,"")</f>
        <v/>
      </c>
    </row>
    <row r="3920" spans="1:22" x14ac:dyDescent="0.25">
      <c r="A3920" s="9"/>
      <c r="E3920" s="10"/>
      <c r="K3920" s="11" t="str">
        <f>IF($E3920="","",ROUND($E3920*IF(ISNA(MATCH($C3920,'Paramètres'!$D:$D,0)),1,IF(INDEX('Paramètres'!$J:$J,MATCH($C3920,'Paramètres'!$D:$D,0))="",1,INDEX('Paramètres'!$J:$J,MATCH($C3920,'Paramètres'!$D:$D,0)))),2))</f>
        <v/>
      </c>
      <c r="L3920" s="6" t="str">
        <f>IF($D3920="","",IF($F3920&lt;&gt;"",$F3920,IF(ISNA(MATCH($D3920,'Paramètres'!$M:$M,0)),"⚠ Type inconnu",IFERROR(INDEX('Paramètres'!$P:$P,MATCH($D3920,'Paramètres'!$M:$M,0))&amp;"",""))))</f>
        <v/>
      </c>
      <c r="M3920" s="6" t="str">
        <f>IF($D3920="","",IF(ISNA(MATCH($D3920,'Paramètres'!$M:$M,0)),"⚠ Type inconnu",IF($L3920="Crédit","",IFERROR(INDEX('Paramètres'!$O:$O,MATCH($D3920,'Paramètres'!$M:$M,0))&amp;"",""))))</f>
        <v/>
      </c>
      <c r="N3920" s="6" t="str">
        <f>IF($D3920="","",IFERROR(INDEX('Paramètres'!$Q:$Q,MATCH($D3920,'Paramètres'!$M:$M,0))&amp;"",""))</f>
        <v/>
      </c>
      <c r="O3920" s="6" t="str">
        <f>IF($A3920="","",IF(OR($J3920&lt;&gt;"x",$A3920&lt;=FinReleve),1,0))</f>
        <v/>
      </c>
      <c r="P3920" s="6" t="str">
        <f>IF($D3920="","",IF(AND($L3920="Crédit",OR(IFERROR(INDEX('Paramètres'!$O:$O,MATCH($D3920,'Paramètres'!$M:$M,0))&amp;"","")&lt;&gt;"",ISNUMBER(SEARCH("remboursement",IFERROR(INDEX('Paramètres'!$N:$N,MATCH($D3920,'Paramètres'!$M:$M,0))&amp;"",""))))),1,0))</f>
        <v/>
      </c>
      <c r="Q3920" s="6" t="str">
        <f>IF($K3920="","",IF(ISNUMBER(SEARCH("transfert-interne",IFERROR(INDEX('Paramètres'!$N:$N,MATCH($D3920,'Paramètres'!$M:$M,0))&amp;"",""))),0,IF($L3920="Débit",$K3920,IF($P3920=1,-$K3920,0))))</f>
        <v/>
      </c>
      <c r="R3920" s="6" t="str">
        <f>IF($K3920="","",IF($L3920="Crédit",$K3920,-$K3920))</f>
        <v/>
      </c>
      <c r="S3920" s="6" t="str">
        <f>IF($C3920="","",IFERROR(INDEX('Paramètres'!$H:$H,MATCH($C3920,'Paramètres'!$D:$D,0))&amp;"",""))</f>
        <v/>
      </c>
      <c r="T3920" s="6" t="str">
        <f>IF($K3920="","",IF($S3920="",0,IF(ISNUMBER(SEARCH("apport-exterieur",IFERROR(INDEX('Paramètres'!$N:$N,MATCH($D3920,'Paramètres'!$M:$M,0))&amp;"",""))),0,IF(OR(IFERROR(INDEX('Paramètres'!$I:$I,MATCH($C3920,'Paramètres'!$D:$D,0))&amp;"","")="Les deux",IFERROR(INDEX('Paramètres'!$I:$I,MATCH($C3920,'Paramètres'!$D:$D,0))&amp;"","")=IF($P3920=1,"Débit",$L3920)),-IF($P3920=1,-$K3920,$K3920),0))))</f>
        <v/>
      </c>
      <c r="U3920" s="6" t="str">
        <f>IF($K3920="","",IF(ISNUMBER(SEARCH("sortie-epargne",IFERROR(INDEX('Paramètres'!$N:$N,MATCH($D3920,'Paramètres'!$M:$M,0))&amp;"",""))),$K3920,0))</f>
        <v/>
      </c>
      <c r="V3920" s="6" t="str">
        <f>IF(AND($A3920&lt;&gt;"",$O3920=1,$L3920="Débit",N($Q3920)&gt;0,$A3920&gt;=Visualisation!$B$1,$A3920&lt;Visualisation!$D$1),MAX($V$1:V3919)+1,"")</f>
        <v/>
      </c>
    </row>
    <row r="3921" spans="1:22" x14ac:dyDescent="0.25">
      <c r="A3921" s="9"/>
      <c r="E3921" s="10"/>
      <c r="K3921" s="11" t="str">
        <f>IF($E3921="","",ROUND($E3921*IF(ISNA(MATCH($C3921,'Paramètres'!$D:$D,0)),1,IF(INDEX('Paramètres'!$J:$J,MATCH($C3921,'Paramètres'!$D:$D,0))="",1,INDEX('Paramètres'!$J:$J,MATCH($C3921,'Paramètres'!$D:$D,0)))),2))</f>
        <v/>
      </c>
      <c r="L3921" s="6" t="str">
        <f>IF($D3921="","",IF($F3921&lt;&gt;"",$F3921,IF(ISNA(MATCH($D3921,'Paramètres'!$M:$M,0)),"⚠ Type inconnu",IFERROR(INDEX('Paramètres'!$P:$P,MATCH($D3921,'Paramètres'!$M:$M,0))&amp;"",""))))</f>
        <v/>
      </c>
      <c r="M3921" s="6" t="str">
        <f>IF($D3921="","",IF(ISNA(MATCH($D3921,'Paramètres'!$M:$M,0)),"⚠ Type inconnu",IF($L3921="Crédit","",IFERROR(INDEX('Paramètres'!$O:$O,MATCH($D3921,'Paramètres'!$M:$M,0))&amp;"",""))))</f>
        <v/>
      </c>
      <c r="N3921" s="6" t="str">
        <f>IF($D3921="","",IFERROR(INDEX('Paramètres'!$Q:$Q,MATCH($D3921,'Paramètres'!$M:$M,0))&amp;"",""))</f>
        <v/>
      </c>
      <c r="O3921" s="6" t="str">
        <f>IF($A3921="","",IF(OR($J3921&lt;&gt;"x",$A3921&lt;=FinReleve),1,0))</f>
        <v/>
      </c>
      <c r="P3921" s="6" t="str">
        <f>IF($D3921="","",IF(AND($L3921="Crédit",OR(IFERROR(INDEX('Paramètres'!$O:$O,MATCH($D3921,'Paramètres'!$M:$M,0))&amp;"","")&lt;&gt;"",ISNUMBER(SEARCH("remboursement",IFERROR(INDEX('Paramètres'!$N:$N,MATCH($D3921,'Paramètres'!$M:$M,0))&amp;"",""))))),1,0))</f>
        <v/>
      </c>
      <c r="Q3921" s="6" t="str">
        <f>IF($K3921="","",IF(ISNUMBER(SEARCH("transfert-interne",IFERROR(INDEX('Paramètres'!$N:$N,MATCH($D3921,'Paramètres'!$M:$M,0))&amp;"",""))),0,IF($L3921="Débit",$K3921,IF($P3921=1,-$K3921,0))))</f>
        <v/>
      </c>
      <c r="R3921" s="6" t="str">
        <f>IF($K3921="","",IF($L3921="Crédit",$K3921,-$K3921))</f>
        <v/>
      </c>
      <c r="S3921" s="6" t="str">
        <f>IF($C3921="","",IFERROR(INDEX('Paramètres'!$H:$H,MATCH($C3921,'Paramètres'!$D:$D,0))&amp;"",""))</f>
        <v/>
      </c>
      <c r="T3921" s="6" t="str">
        <f>IF($K3921="","",IF($S3921="",0,IF(ISNUMBER(SEARCH("apport-exterieur",IFERROR(INDEX('Paramètres'!$N:$N,MATCH($D3921,'Paramètres'!$M:$M,0))&amp;"",""))),0,IF(OR(IFERROR(INDEX('Paramètres'!$I:$I,MATCH($C3921,'Paramètres'!$D:$D,0))&amp;"","")="Les deux",IFERROR(INDEX('Paramètres'!$I:$I,MATCH($C3921,'Paramètres'!$D:$D,0))&amp;"","")=IF($P3921=1,"Débit",$L3921)),-IF($P3921=1,-$K3921,$K3921),0))))</f>
        <v/>
      </c>
      <c r="U3921" s="6" t="str">
        <f>IF($K3921="","",IF(ISNUMBER(SEARCH("sortie-epargne",IFERROR(INDEX('Paramètres'!$N:$N,MATCH($D3921,'Paramètres'!$M:$M,0))&amp;"",""))),$K3921,0))</f>
        <v/>
      </c>
      <c r="V3921" s="6" t="str">
        <f>IF(AND($A3921&lt;&gt;"",$O3921=1,$L3921="Débit",N($Q3921)&gt;0,$A3921&gt;=Visualisation!$B$1,$A3921&lt;Visualisation!$D$1),MAX($V$1:V3920)+1,"")</f>
        <v/>
      </c>
    </row>
    <row r="3922" spans="1:22" x14ac:dyDescent="0.25">
      <c r="A3922" s="9"/>
      <c r="E3922" s="10"/>
      <c r="K3922" s="11" t="str">
        <f>IF($E3922="","",ROUND($E3922*IF(ISNA(MATCH($C3922,'Paramètres'!$D:$D,0)),1,IF(INDEX('Paramètres'!$J:$J,MATCH($C3922,'Paramètres'!$D:$D,0))="",1,INDEX('Paramètres'!$J:$J,MATCH($C3922,'Paramètres'!$D:$D,0)))),2))</f>
        <v/>
      </c>
      <c r="L3922" s="6" t="str">
        <f>IF($D3922="","",IF($F3922&lt;&gt;"",$F3922,IF(ISNA(MATCH($D3922,'Paramètres'!$M:$M,0)),"⚠ Type inconnu",IFERROR(INDEX('Paramètres'!$P:$P,MATCH($D3922,'Paramètres'!$M:$M,0))&amp;"",""))))</f>
        <v/>
      </c>
      <c r="M3922" s="6" t="str">
        <f>IF($D3922="","",IF(ISNA(MATCH($D3922,'Paramètres'!$M:$M,0)),"⚠ Type inconnu",IF($L3922="Crédit","",IFERROR(INDEX('Paramètres'!$O:$O,MATCH($D3922,'Paramètres'!$M:$M,0))&amp;"",""))))</f>
        <v/>
      </c>
      <c r="N3922" s="6" t="str">
        <f>IF($D3922="","",IFERROR(INDEX('Paramètres'!$Q:$Q,MATCH($D3922,'Paramètres'!$M:$M,0))&amp;"",""))</f>
        <v/>
      </c>
      <c r="O3922" s="6" t="str">
        <f>IF($A3922="","",IF(OR($J3922&lt;&gt;"x",$A3922&lt;=FinReleve),1,0))</f>
        <v/>
      </c>
      <c r="P3922" s="6" t="str">
        <f>IF($D3922="","",IF(AND($L3922="Crédit",OR(IFERROR(INDEX('Paramètres'!$O:$O,MATCH($D3922,'Paramètres'!$M:$M,0))&amp;"","")&lt;&gt;"",ISNUMBER(SEARCH("remboursement",IFERROR(INDEX('Paramètres'!$N:$N,MATCH($D3922,'Paramètres'!$M:$M,0))&amp;"",""))))),1,0))</f>
        <v/>
      </c>
      <c r="Q3922" s="6" t="str">
        <f>IF($K3922="","",IF(ISNUMBER(SEARCH("transfert-interne",IFERROR(INDEX('Paramètres'!$N:$N,MATCH($D3922,'Paramètres'!$M:$M,0))&amp;"",""))),0,IF($L3922="Débit",$K3922,IF($P3922=1,-$K3922,0))))</f>
        <v/>
      </c>
      <c r="R3922" s="6" t="str">
        <f>IF($K3922="","",IF($L3922="Crédit",$K3922,-$K3922))</f>
        <v/>
      </c>
      <c r="S3922" s="6" t="str">
        <f>IF($C3922="","",IFERROR(INDEX('Paramètres'!$H:$H,MATCH($C3922,'Paramètres'!$D:$D,0))&amp;"",""))</f>
        <v/>
      </c>
      <c r="T3922" s="6" t="str">
        <f>IF($K3922="","",IF($S3922="",0,IF(ISNUMBER(SEARCH("apport-exterieur",IFERROR(INDEX('Paramètres'!$N:$N,MATCH($D3922,'Paramètres'!$M:$M,0))&amp;"",""))),0,IF(OR(IFERROR(INDEX('Paramètres'!$I:$I,MATCH($C3922,'Paramètres'!$D:$D,0))&amp;"","")="Les deux",IFERROR(INDEX('Paramètres'!$I:$I,MATCH($C3922,'Paramètres'!$D:$D,0))&amp;"","")=IF($P3922=1,"Débit",$L3922)),-IF($P3922=1,-$K3922,$K3922),0))))</f>
        <v/>
      </c>
      <c r="U3922" s="6" t="str">
        <f>IF($K3922="","",IF(ISNUMBER(SEARCH("sortie-epargne",IFERROR(INDEX('Paramètres'!$N:$N,MATCH($D3922,'Paramètres'!$M:$M,0))&amp;"",""))),$K3922,0))</f>
        <v/>
      </c>
      <c r="V3922" s="6" t="str">
        <f>IF(AND($A3922&lt;&gt;"",$O3922=1,$L3922="Débit",N($Q3922)&gt;0,$A3922&gt;=Visualisation!$B$1,$A3922&lt;Visualisation!$D$1),MAX($V$1:V3921)+1,"")</f>
        <v/>
      </c>
    </row>
    <row r="3923" spans="1:22" x14ac:dyDescent="0.25">
      <c r="A3923" s="9"/>
      <c r="E3923" s="10"/>
      <c r="K3923" s="11" t="str">
        <f>IF($E3923="","",ROUND($E3923*IF(ISNA(MATCH($C3923,'Paramètres'!$D:$D,0)),1,IF(INDEX('Paramètres'!$J:$J,MATCH($C3923,'Paramètres'!$D:$D,0))="",1,INDEX('Paramètres'!$J:$J,MATCH($C3923,'Paramètres'!$D:$D,0)))),2))</f>
        <v/>
      </c>
      <c r="L3923" s="6" t="str">
        <f>IF($D3923="","",IF($F3923&lt;&gt;"",$F3923,IF(ISNA(MATCH($D3923,'Paramètres'!$M:$M,0)),"⚠ Type inconnu",IFERROR(INDEX('Paramètres'!$P:$P,MATCH($D3923,'Paramètres'!$M:$M,0))&amp;"",""))))</f>
        <v/>
      </c>
      <c r="M3923" s="6" t="str">
        <f>IF($D3923="","",IF(ISNA(MATCH($D3923,'Paramètres'!$M:$M,0)),"⚠ Type inconnu",IF($L3923="Crédit","",IFERROR(INDEX('Paramètres'!$O:$O,MATCH($D3923,'Paramètres'!$M:$M,0))&amp;"",""))))</f>
        <v/>
      </c>
      <c r="N3923" s="6" t="str">
        <f>IF($D3923="","",IFERROR(INDEX('Paramètres'!$Q:$Q,MATCH($D3923,'Paramètres'!$M:$M,0))&amp;"",""))</f>
        <v/>
      </c>
      <c r="O3923" s="6" t="str">
        <f>IF($A3923="","",IF(OR($J3923&lt;&gt;"x",$A3923&lt;=FinReleve),1,0))</f>
        <v/>
      </c>
      <c r="P3923" s="6" t="str">
        <f>IF($D3923="","",IF(AND($L3923="Crédit",OR(IFERROR(INDEX('Paramètres'!$O:$O,MATCH($D3923,'Paramètres'!$M:$M,0))&amp;"","")&lt;&gt;"",ISNUMBER(SEARCH("remboursement",IFERROR(INDEX('Paramètres'!$N:$N,MATCH($D3923,'Paramètres'!$M:$M,0))&amp;"",""))))),1,0))</f>
        <v/>
      </c>
      <c r="Q3923" s="6" t="str">
        <f>IF($K3923="","",IF(ISNUMBER(SEARCH("transfert-interne",IFERROR(INDEX('Paramètres'!$N:$N,MATCH($D3923,'Paramètres'!$M:$M,0))&amp;"",""))),0,IF($L3923="Débit",$K3923,IF($P3923=1,-$K3923,0))))</f>
        <v/>
      </c>
      <c r="R3923" s="6" t="str">
        <f>IF($K3923="","",IF($L3923="Crédit",$K3923,-$K3923))</f>
        <v/>
      </c>
      <c r="S3923" s="6" t="str">
        <f>IF($C3923="","",IFERROR(INDEX('Paramètres'!$H:$H,MATCH($C3923,'Paramètres'!$D:$D,0))&amp;"",""))</f>
        <v/>
      </c>
      <c r="T3923" s="6" t="str">
        <f>IF($K3923="","",IF($S3923="",0,IF(ISNUMBER(SEARCH("apport-exterieur",IFERROR(INDEX('Paramètres'!$N:$N,MATCH($D3923,'Paramètres'!$M:$M,0))&amp;"",""))),0,IF(OR(IFERROR(INDEX('Paramètres'!$I:$I,MATCH($C3923,'Paramètres'!$D:$D,0))&amp;"","")="Les deux",IFERROR(INDEX('Paramètres'!$I:$I,MATCH($C3923,'Paramètres'!$D:$D,0))&amp;"","")=IF($P3923=1,"Débit",$L3923)),-IF($P3923=1,-$K3923,$K3923),0))))</f>
        <v/>
      </c>
      <c r="U3923" s="6" t="str">
        <f>IF($K3923="","",IF(ISNUMBER(SEARCH("sortie-epargne",IFERROR(INDEX('Paramètres'!$N:$N,MATCH($D3923,'Paramètres'!$M:$M,0))&amp;"",""))),$K3923,0))</f>
        <v/>
      </c>
      <c r="V3923" s="6" t="str">
        <f>IF(AND($A3923&lt;&gt;"",$O3923=1,$L3923="Débit",N($Q3923)&gt;0,$A3923&gt;=Visualisation!$B$1,$A3923&lt;Visualisation!$D$1),MAX($V$1:V3922)+1,"")</f>
        <v/>
      </c>
    </row>
    <row r="3924" spans="1:22" x14ac:dyDescent="0.25">
      <c r="A3924" s="9"/>
      <c r="E3924" s="10"/>
      <c r="K3924" s="11" t="str">
        <f>IF($E3924="","",ROUND($E3924*IF(ISNA(MATCH($C3924,'Paramètres'!$D:$D,0)),1,IF(INDEX('Paramètres'!$J:$J,MATCH($C3924,'Paramètres'!$D:$D,0))="",1,INDEX('Paramètres'!$J:$J,MATCH($C3924,'Paramètres'!$D:$D,0)))),2))</f>
        <v/>
      </c>
      <c r="L3924" s="6" t="str">
        <f>IF($D3924="","",IF($F3924&lt;&gt;"",$F3924,IF(ISNA(MATCH($D3924,'Paramètres'!$M:$M,0)),"⚠ Type inconnu",IFERROR(INDEX('Paramètres'!$P:$P,MATCH($D3924,'Paramètres'!$M:$M,0))&amp;"",""))))</f>
        <v/>
      </c>
      <c r="M3924" s="6" t="str">
        <f>IF($D3924="","",IF(ISNA(MATCH($D3924,'Paramètres'!$M:$M,0)),"⚠ Type inconnu",IF($L3924="Crédit","",IFERROR(INDEX('Paramètres'!$O:$O,MATCH($D3924,'Paramètres'!$M:$M,0))&amp;"",""))))</f>
        <v/>
      </c>
      <c r="N3924" s="6" t="str">
        <f>IF($D3924="","",IFERROR(INDEX('Paramètres'!$Q:$Q,MATCH($D3924,'Paramètres'!$M:$M,0))&amp;"",""))</f>
        <v/>
      </c>
      <c r="O3924" s="6" t="str">
        <f>IF($A3924="","",IF(OR($J3924&lt;&gt;"x",$A3924&lt;=FinReleve),1,0))</f>
        <v/>
      </c>
      <c r="P3924" s="6" t="str">
        <f>IF($D3924="","",IF(AND($L3924="Crédit",OR(IFERROR(INDEX('Paramètres'!$O:$O,MATCH($D3924,'Paramètres'!$M:$M,0))&amp;"","")&lt;&gt;"",ISNUMBER(SEARCH("remboursement",IFERROR(INDEX('Paramètres'!$N:$N,MATCH($D3924,'Paramètres'!$M:$M,0))&amp;"",""))))),1,0))</f>
        <v/>
      </c>
      <c r="Q3924" s="6" t="str">
        <f>IF($K3924="","",IF(ISNUMBER(SEARCH("transfert-interne",IFERROR(INDEX('Paramètres'!$N:$N,MATCH($D3924,'Paramètres'!$M:$M,0))&amp;"",""))),0,IF($L3924="Débit",$K3924,IF($P3924=1,-$K3924,0))))</f>
        <v/>
      </c>
      <c r="R3924" s="6" t="str">
        <f>IF($K3924="","",IF($L3924="Crédit",$K3924,-$K3924))</f>
        <v/>
      </c>
      <c r="S3924" s="6" t="str">
        <f>IF($C3924="","",IFERROR(INDEX('Paramètres'!$H:$H,MATCH($C3924,'Paramètres'!$D:$D,0))&amp;"",""))</f>
        <v/>
      </c>
      <c r="T3924" s="6" t="str">
        <f>IF($K3924="","",IF($S3924="",0,IF(ISNUMBER(SEARCH("apport-exterieur",IFERROR(INDEX('Paramètres'!$N:$N,MATCH($D3924,'Paramètres'!$M:$M,0))&amp;"",""))),0,IF(OR(IFERROR(INDEX('Paramètres'!$I:$I,MATCH($C3924,'Paramètres'!$D:$D,0))&amp;"","")="Les deux",IFERROR(INDEX('Paramètres'!$I:$I,MATCH($C3924,'Paramètres'!$D:$D,0))&amp;"","")=IF($P3924=1,"Débit",$L3924)),-IF($P3924=1,-$K3924,$K3924),0))))</f>
        <v/>
      </c>
      <c r="U3924" s="6" t="str">
        <f>IF($K3924="","",IF(ISNUMBER(SEARCH("sortie-epargne",IFERROR(INDEX('Paramètres'!$N:$N,MATCH($D3924,'Paramètres'!$M:$M,0))&amp;"",""))),$K3924,0))</f>
        <v/>
      </c>
      <c r="V3924" s="6" t="str">
        <f>IF(AND($A3924&lt;&gt;"",$O3924=1,$L3924="Débit",N($Q3924)&gt;0,$A3924&gt;=Visualisation!$B$1,$A3924&lt;Visualisation!$D$1),MAX($V$1:V3923)+1,"")</f>
        <v/>
      </c>
    </row>
    <row r="3925" spans="1:22" x14ac:dyDescent="0.25">
      <c r="A3925" s="9"/>
      <c r="E3925" s="10"/>
      <c r="K3925" s="11" t="str">
        <f>IF($E3925="","",ROUND($E3925*IF(ISNA(MATCH($C3925,'Paramètres'!$D:$D,0)),1,IF(INDEX('Paramètres'!$J:$J,MATCH($C3925,'Paramètres'!$D:$D,0))="",1,INDEX('Paramètres'!$J:$J,MATCH($C3925,'Paramètres'!$D:$D,0)))),2))</f>
        <v/>
      </c>
      <c r="L3925" s="6" t="str">
        <f>IF($D3925="","",IF($F3925&lt;&gt;"",$F3925,IF(ISNA(MATCH($D3925,'Paramètres'!$M:$M,0)),"⚠ Type inconnu",IFERROR(INDEX('Paramètres'!$P:$P,MATCH($D3925,'Paramètres'!$M:$M,0))&amp;"",""))))</f>
        <v/>
      </c>
      <c r="M3925" s="6" t="str">
        <f>IF($D3925="","",IF(ISNA(MATCH($D3925,'Paramètres'!$M:$M,0)),"⚠ Type inconnu",IF($L3925="Crédit","",IFERROR(INDEX('Paramètres'!$O:$O,MATCH($D3925,'Paramètres'!$M:$M,0))&amp;"",""))))</f>
        <v/>
      </c>
      <c r="N3925" s="6" t="str">
        <f>IF($D3925="","",IFERROR(INDEX('Paramètres'!$Q:$Q,MATCH($D3925,'Paramètres'!$M:$M,0))&amp;"",""))</f>
        <v/>
      </c>
      <c r="O3925" s="6" t="str">
        <f>IF($A3925="","",IF(OR($J3925&lt;&gt;"x",$A3925&lt;=FinReleve),1,0))</f>
        <v/>
      </c>
      <c r="P3925" s="6" t="str">
        <f>IF($D3925="","",IF(AND($L3925="Crédit",OR(IFERROR(INDEX('Paramètres'!$O:$O,MATCH($D3925,'Paramètres'!$M:$M,0))&amp;"","")&lt;&gt;"",ISNUMBER(SEARCH("remboursement",IFERROR(INDEX('Paramètres'!$N:$N,MATCH($D3925,'Paramètres'!$M:$M,0))&amp;"",""))))),1,0))</f>
        <v/>
      </c>
      <c r="Q3925" s="6" t="str">
        <f>IF($K3925="","",IF(ISNUMBER(SEARCH("transfert-interne",IFERROR(INDEX('Paramètres'!$N:$N,MATCH($D3925,'Paramètres'!$M:$M,0))&amp;"",""))),0,IF($L3925="Débit",$K3925,IF($P3925=1,-$K3925,0))))</f>
        <v/>
      </c>
      <c r="R3925" s="6" t="str">
        <f>IF($K3925="","",IF($L3925="Crédit",$K3925,-$K3925))</f>
        <v/>
      </c>
      <c r="S3925" s="6" t="str">
        <f>IF($C3925="","",IFERROR(INDEX('Paramètres'!$H:$H,MATCH($C3925,'Paramètres'!$D:$D,0))&amp;"",""))</f>
        <v/>
      </c>
      <c r="T3925" s="6" t="str">
        <f>IF($K3925="","",IF($S3925="",0,IF(ISNUMBER(SEARCH("apport-exterieur",IFERROR(INDEX('Paramètres'!$N:$N,MATCH($D3925,'Paramètres'!$M:$M,0))&amp;"",""))),0,IF(OR(IFERROR(INDEX('Paramètres'!$I:$I,MATCH($C3925,'Paramètres'!$D:$D,0))&amp;"","")="Les deux",IFERROR(INDEX('Paramètres'!$I:$I,MATCH($C3925,'Paramètres'!$D:$D,0))&amp;"","")=IF($P3925=1,"Débit",$L3925)),-IF($P3925=1,-$K3925,$K3925),0))))</f>
        <v/>
      </c>
      <c r="U3925" s="6" t="str">
        <f>IF($K3925="","",IF(ISNUMBER(SEARCH("sortie-epargne",IFERROR(INDEX('Paramètres'!$N:$N,MATCH($D3925,'Paramètres'!$M:$M,0))&amp;"",""))),$K3925,0))</f>
        <v/>
      </c>
      <c r="V3925" s="6" t="str">
        <f>IF(AND($A3925&lt;&gt;"",$O3925=1,$L3925="Débit",N($Q3925)&gt;0,$A3925&gt;=Visualisation!$B$1,$A3925&lt;Visualisation!$D$1),MAX($V$1:V3924)+1,"")</f>
        <v/>
      </c>
    </row>
    <row r="3926" spans="1:22" x14ac:dyDescent="0.25">
      <c r="A3926" s="9"/>
      <c r="E3926" s="10"/>
      <c r="K3926" s="11" t="str">
        <f>IF($E3926="","",ROUND($E3926*IF(ISNA(MATCH($C3926,'Paramètres'!$D:$D,0)),1,IF(INDEX('Paramètres'!$J:$J,MATCH($C3926,'Paramètres'!$D:$D,0))="",1,INDEX('Paramètres'!$J:$J,MATCH($C3926,'Paramètres'!$D:$D,0)))),2))</f>
        <v/>
      </c>
      <c r="L3926" s="6" t="str">
        <f>IF($D3926="","",IF($F3926&lt;&gt;"",$F3926,IF(ISNA(MATCH($D3926,'Paramètres'!$M:$M,0)),"⚠ Type inconnu",IFERROR(INDEX('Paramètres'!$P:$P,MATCH($D3926,'Paramètres'!$M:$M,0))&amp;"",""))))</f>
        <v/>
      </c>
      <c r="M3926" s="6" t="str">
        <f>IF($D3926="","",IF(ISNA(MATCH($D3926,'Paramètres'!$M:$M,0)),"⚠ Type inconnu",IF($L3926="Crédit","",IFERROR(INDEX('Paramètres'!$O:$O,MATCH($D3926,'Paramètres'!$M:$M,0))&amp;"",""))))</f>
        <v/>
      </c>
      <c r="N3926" s="6" t="str">
        <f>IF($D3926="","",IFERROR(INDEX('Paramètres'!$Q:$Q,MATCH($D3926,'Paramètres'!$M:$M,0))&amp;"",""))</f>
        <v/>
      </c>
      <c r="O3926" s="6" t="str">
        <f>IF($A3926="","",IF(OR($J3926&lt;&gt;"x",$A3926&lt;=FinReleve),1,0))</f>
        <v/>
      </c>
      <c r="P3926" s="6" t="str">
        <f>IF($D3926="","",IF(AND($L3926="Crédit",OR(IFERROR(INDEX('Paramètres'!$O:$O,MATCH($D3926,'Paramètres'!$M:$M,0))&amp;"","")&lt;&gt;"",ISNUMBER(SEARCH("remboursement",IFERROR(INDEX('Paramètres'!$N:$N,MATCH($D3926,'Paramètres'!$M:$M,0))&amp;"",""))))),1,0))</f>
        <v/>
      </c>
      <c r="Q3926" s="6" t="str">
        <f>IF($K3926="","",IF(ISNUMBER(SEARCH("transfert-interne",IFERROR(INDEX('Paramètres'!$N:$N,MATCH($D3926,'Paramètres'!$M:$M,0))&amp;"",""))),0,IF($L3926="Débit",$K3926,IF($P3926=1,-$K3926,0))))</f>
        <v/>
      </c>
      <c r="R3926" s="6" t="str">
        <f>IF($K3926="","",IF($L3926="Crédit",$K3926,-$K3926))</f>
        <v/>
      </c>
      <c r="S3926" s="6" t="str">
        <f>IF($C3926="","",IFERROR(INDEX('Paramètres'!$H:$H,MATCH($C3926,'Paramètres'!$D:$D,0))&amp;"",""))</f>
        <v/>
      </c>
      <c r="T3926" s="6" t="str">
        <f>IF($K3926="","",IF($S3926="",0,IF(ISNUMBER(SEARCH("apport-exterieur",IFERROR(INDEX('Paramètres'!$N:$N,MATCH($D3926,'Paramètres'!$M:$M,0))&amp;"",""))),0,IF(OR(IFERROR(INDEX('Paramètres'!$I:$I,MATCH($C3926,'Paramètres'!$D:$D,0))&amp;"","")="Les deux",IFERROR(INDEX('Paramètres'!$I:$I,MATCH($C3926,'Paramètres'!$D:$D,0))&amp;"","")=IF($P3926=1,"Débit",$L3926)),-IF($P3926=1,-$K3926,$K3926),0))))</f>
        <v/>
      </c>
      <c r="U3926" s="6" t="str">
        <f>IF($K3926="","",IF(ISNUMBER(SEARCH("sortie-epargne",IFERROR(INDEX('Paramètres'!$N:$N,MATCH($D3926,'Paramètres'!$M:$M,0))&amp;"",""))),$K3926,0))</f>
        <v/>
      </c>
      <c r="V3926" s="6" t="str">
        <f>IF(AND($A3926&lt;&gt;"",$O3926=1,$L3926="Débit",N($Q3926)&gt;0,$A3926&gt;=Visualisation!$B$1,$A3926&lt;Visualisation!$D$1),MAX($V$1:V3925)+1,"")</f>
        <v/>
      </c>
    </row>
    <row r="3927" spans="1:22" x14ac:dyDescent="0.25">
      <c r="A3927" s="9"/>
      <c r="E3927" s="10"/>
      <c r="K3927" s="11" t="str">
        <f>IF($E3927="","",ROUND($E3927*IF(ISNA(MATCH($C3927,'Paramètres'!$D:$D,0)),1,IF(INDEX('Paramètres'!$J:$J,MATCH($C3927,'Paramètres'!$D:$D,0))="",1,INDEX('Paramètres'!$J:$J,MATCH($C3927,'Paramètres'!$D:$D,0)))),2))</f>
        <v/>
      </c>
      <c r="L3927" s="6" t="str">
        <f>IF($D3927="","",IF($F3927&lt;&gt;"",$F3927,IF(ISNA(MATCH($D3927,'Paramètres'!$M:$M,0)),"⚠ Type inconnu",IFERROR(INDEX('Paramètres'!$P:$P,MATCH($D3927,'Paramètres'!$M:$M,0))&amp;"",""))))</f>
        <v/>
      </c>
      <c r="M3927" s="6" t="str">
        <f>IF($D3927="","",IF(ISNA(MATCH($D3927,'Paramètres'!$M:$M,0)),"⚠ Type inconnu",IF($L3927="Crédit","",IFERROR(INDEX('Paramètres'!$O:$O,MATCH($D3927,'Paramètres'!$M:$M,0))&amp;"",""))))</f>
        <v/>
      </c>
      <c r="N3927" s="6" t="str">
        <f>IF($D3927="","",IFERROR(INDEX('Paramètres'!$Q:$Q,MATCH($D3927,'Paramètres'!$M:$M,0))&amp;"",""))</f>
        <v/>
      </c>
      <c r="O3927" s="6" t="str">
        <f>IF($A3927="","",IF(OR($J3927&lt;&gt;"x",$A3927&lt;=FinReleve),1,0))</f>
        <v/>
      </c>
      <c r="P3927" s="6" t="str">
        <f>IF($D3927="","",IF(AND($L3927="Crédit",OR(IFERROR(INDEX('Paramètres'!$O:$O,MATCH($D3927,'Paramètres'!$M:$M,0))&amp;"","")&lt;&gt;"",ISNUMBER(SEARCH("remboursement",IFERROR(INDEX('Paramètres'!$N:$N,MATCH($D3927,'Paramètres'!$M:$M,0))&amp;"",""))))),1,0))</f>
        <v/>
      </c>
      <c r="Q3927" s="6" t="str">
        <f>IF($K3927="","",IF(ISNUMBER(SEARCH("transfert-interne",IFERROR(INDEX('Paramètres'!$N:$N,MATCH($D3927,'Paramètres'!$M:$M,0))&amp;"",""))),0,IF($L3927="Débit",$K3927,IF($P3927=1,-$K3927,0))))</f>
        <v/>
      </c>
      <c r="R3927" s="6" t="str">
        <f>IF($K3927="","",IF($L3927="Crédit",$K3927,-$K3927))</f>
        <v/>
      </c>
      <c r="S3927" s="6" t="str">
        <f>IF($C3927="","",IFERROR(INDEX('Paramètres'!$H:$H,MATCH($C3927,'Paramètres'!$D:$D,0))&amp;"",""))</f>
        <v/>
      </c>
      <c r="T3927" s="6" t="str">
        <f>IF($K3927="","",IF($S3927="",0,IF(ISNUMBER(SEARCH("apport-exterieur",IFERROR(INDEX('Paramètres'!$N:$N,MATCH($D3927,'Paramètres'!$M:$M,0))&amp;"",""))),0,IF(OR(IFERROR(INDEX('Paramètres'!$I:$I,MATCH($C3927,'Paramètres'!$D:$D,0))&amp;"","")="Les deux",IFERROR(INDEX('Paramètres'!$I:$I,MATCH($C3927,'Paramètres'!$D:$D,0))&amp;"","")=IF($P3927=1,"Débit",$L3927)),-IF($P3927=1,-$K3927,$K3927),0))))</f>
        <v/>
      </c>
      <c r="U3927" s="6" t="str">
        <f>IF($K3927="","",IF(ISNUMBER(SEARCH("sortie-epargne",IFERROR(INDEX('Paramètres'!$N:$N,MATCH($D3927,'Paramètres'!$M:$M,0))&amp;"",""))),$K3927,0))</f>
        <v/>
      </c>
      <c r="V3927" s="6" t="str">
        <f>IF(AND($A3927&lt;&gt;"",$O3927=1,$L3927="Débit",N($Q3927)&gt;0,$A3927&gt;=Visualisation!$B$1,$A3927&lt;Visualisation!$D$1),MAX($V$1:V3926)+1,"")</f>
        <v/>
      </c>
    </row>
    <row r="3928" spans="1:22" x14ac:dyDescent="0.25">
      <c r="A3928" s="9"/>
      <c r="E3928" s="10"/>
      <c r="K3928" s="11" t="str">
        <f>IF($E3928="","",ROUND($E3928*IF(ISNA(MATCH($C3928,'Paramètres'!$D:$D,0)),1,IF(INDEX('Paramètres'!$J:$J,MATCH($C3928,'Paramètres'!$D:$D,0))="",1,INDEX('Paramètres'!$J:$J,MATCH($C3928,'Paramètres'!$D:$D,0)))),2))</f>
        <v/>
      </c>
      <c r="L3928" s="6" t="str">
        <f>IF($D3928="","",IF($F3928&lt;&gt;"",$F3928,IF(ISNA(MATCH($D3928,'Paramètres'!$M:$M,0)),"⚠ Type inconnu",IFERROR(INDEX('Paramètres'!$P:$P,MATCH($D3928,'Paramètres'!$M:$M,0))&amp;"",""))))</f>
        <v/>
      </c>
      <c r="M3928" s="6" t="str">
        <f>IF($D3928="","",IF(ISNA(MATCH($D3928,'Paramètres'!$M:$M,0)),"⚠ Type inconnu",IF($L3928="Crédit","",IFERROR(INDEX('Paramètres'!$O:$O,MATCH($D3928,'Paramètres'!$M:$M,0))&amp;"",""))))</f>
        <v/>
      </c>
      <c r="N3928" s="6" t="str">
        <f>IF($D3928="","",IFERROR(INDEX('Paramètres'!$Q:$Q,MATCH($D3928,'Paramètres'!$M:$M,0))&amp;"",""))</f>
        <v/>
      </c>
      <c r="O3928" s="6" t="str">
        <f>IF($A3928="","",IF(OR($J3928&lt;&gt;"x",$A3928&lt;=FinReleve),1,0))</f>
        <v/>
      </c>
      <c r="P3928" s="6" t="str">
        <f>IF($D3928="","",IF(AND($L3928="Crédit",OR(IFERROR(INDEX('Paramètres'!$O:$O,MATCH($D3928,'Paramètres'!$M:$M,0))&amp;"","")&lt;&gt;"",ISNUMBER(SEARCH("remboursement",IFERROR(INDEX('Paramètres'!$N:$N,MATCH($D3928,'Paramètres'!$M:$M,0))&amp;"",""))))),1,0))</f>
        <v/>
      </c>
      <c r="Q3928" s="6" t="str">
        <f>IF($K3928="","",IF(ISNUMBER(SEARCH("transfert-interne",IFERROR(INDEX('Paramètres'!$N:$N,MATCH($D3928,'Paramètres'!$M:$M,0))&amp;"",""))),0,IF($L3928="Débit",$K3928,IF($P3928=1,-$K3928,0))))</f>
        <v/>
      </c>
      <c r="R3928" s="6" t="str">
        <f>IF($K3928="","",IF($L3928="Crédit",$K3928,-$K3928))</f>
        <v/>
      </c>
      <c r="S3928" s="6" t="str">
        <f>IF($C3928="","",IFERROR(INDEX('Paramètres'!$H:$H,MATCH($C3928,'Paramètres'!$D:$D,0))&amp;"",""))</f>
        <v/>
      </c>
      <c r="T3928" s="6" t="str">
        <f>IF($K3928="","",IF($S3928="",0,IF(ISNUMBER(SEARCH("apport-exterieur",IFERROR(INDEX('Paramètres'!$N:$N,MATCH($D3928,'Paramètres'!$M:$M,0))&amp;"",""))),0,IF(OR(IFERROR(INDEX('Paramètres'!$I:$I,MATCH($C3928,'Paramètres'!$D:$D,0))&amp;"","")="Les deux",IFERROR(INDEX('Paramètres'!$I:$I,MATCH($C3928,'Paramètres'!$D:$D,0))&amp;"","")=IF($P3928=1,"Débit",$L3928)),-IF($P3928=1,-$K3928,$K3928),0))))</f>
        <v/>
      </c>
      <c r="U3928" s="6" t="str">
        <f>IF($K3928="","",IF(ISNUMBER(SEARCH("sortie-epargne",IFERROR(INDEX('Paramètres'!$N:$N,MATCH($D3928,'Paramètres'!$M:$M,0))&amp;"",""))),$K3928,0))</f>
        <v/>
      </c>
      <c r="V3928" s="6" t="str">
        <f>IF(AND($A3928&lt;&gt;"",$O3928=1,$L3928="Débit",N($Q3928)&gt;0,$A3928&gt;=Visualisation!$B$1,$A3928&lt;Visualisation!$D$1),MAX($V$1:V3927)+1,"")</f>
        <v/>
      </c>
    </row>
    <row r="3929" spans="1:22" x14ac:dyDescent="0.25">
      <c r="A3929" s="9"/>
      <c r="E3929" s="10"/>
      <c r="K3929" s="11" t="str">
        <f>IF($E3929="","",ROUND($E3929*IF(ISNA(MATCH($C3929,'Paramètres'!$D:$D,0)),1,IF(INDEX('Paramètres'!$J:$J,MATCH($C3929,'Paramètres'!$D:$D,0))="",1,INDEX('Paramètres'!$J:$J,MATCH($C3929,'Paramètres'!$D:$D,0)))),2))</f>
        <v/>
      </c>
      <c r="L3929" s="6" t="str">
        <f>IF($D3929="","",IF($F3929&lt;&gt;"",$F3929,IF(ISNA(MATCH($D3929,'Paramètres'!$M:$M,0)),"⚠ Type inconnu",IFERROR(INDEX('Paramètres'!$P:$P,MATCH($D3929,'Paramètres'!$M:$M,0))&amp;"",""))))</f>
        <v/>
      </c>
      <c r="M3929" s="6" t="str">
        <f>IF($D3929="","",IF(ISNA(MATCH($D3929,'Paramètres'!$M:$M,0)),"⚠ Type inconnu",IF($L3929="Crédit","",IFERROR(INDEX('Paramètres'!$O:$O,MATCH($D3929,'Paramètres'!$M:$M,0))&amp;"",""))))</f>
        <v/>
      </c>
      <c r="N3929" s="6" t="str">
        <f>IF($D3929="","",IFERROR(INDEX('Paramètres'!$Q:$Q,MATCH($D3929,'Paramètres'!$M:$M,0))&amp;"",""))</f>
        <v/>
      </c>
      <c r="O3929" s="6" t="str">
        <f>IF($A3929="","",IF(OR($J3929&lt;&gt;"x",$A3929&lt;=FinReleve),1,0))</f>
        <v/>
      </c>
      <c r="P3929" s="6" t="str">
        <f>IF($D3929="","",IF(AND($L3929="Crédit",OR(IFERROR(INDEX('Paramètres'!$O:$O,MATCH($D3929,'Paramètres'!$M:$M,0))&amp;"","")&lt;&gt;"",ISNUMBER(SEARCH("remboursement",IFERROR(INDEX('Paramètres'!$N:$N,MATCH($D3929,'Paramètres'!$M:$M,0))&amp;"",""))))),1,0))</f>
        <v/>
      </c>
      <c r="Q3929" s="6" t="str">
        <f>IF($K3929="","",IF(ISNUMBER(SEARCH("transfert-interne",IFERROR(INDEX('Paramètres'!$N:$N,MATCH($D3929,'Paramètres'!$M:$M,0))&amp;"",""))),0,IF($L3929="Débit",$K3929,IF($P3929=1,-$K3929,0))))</f>
        <v/>
      </c>
      <c r="R3929" s="6" t="str">
        <f>IF($K3929="","",IF($L3929="Crédit",$K3929,-$K3929))</f>
        <v/>
      </c>
      <c r="S3929" s="6" t="str">
        <f>IF($C3929="","",IFERROR(INDEX('Paramètres'!$H:$H,MATCH($C3929,'Paramètres'!$D:$D,0))&amp;"",""))</f>
        <v/>
      </c>
      <c r="T3929" s="6" t="str">
        <f>IF($K3929="","",IF($S3929="",0,IF(ISNUMBER(SEARCH("apport-exterieur",IFERROR(INDEX('Paramètres'!$N:$N,MATCH($D3929,'Paramètres'!$M:$M,0))&amp;"",""))),0,IF(OR(IFERROR(INDEX('Paramètres'!$I:$I,MATCH($C3929,'Paramètres'!$D:$D,0))&amp;"","")="Les deux",IFERROR(INDEX('Paramètres'!$I:$I,MATCH($C3929,'Paramètres'!$D:$D,0))&amp;"","")=IF($P3929=1,"Débit",$L3929)),-IF($P3929=1,-$K3929,$K3929),0))))</f>
        <v/>
      </c>
      <c r="U3929" s="6" t="str">
        <f>IF($K3929="","",IF(ISNUMBER(SEARCH("sortie-epargne",IFERROR(INDEX('Paramètres'!$N:$N,MATCH($D3929,'Paramètres'!$M:$M,0))&amp;"",""))),$K3929,0))</f>
        <v/>
      </c>
      <c r="V3929" s="6" t="str">
        <f>IF(AND($A3929&lt;&gt;"",$O3929=1,$L3929="Débit",N($Q3929)&gt;0,$A3929&gt;=Visualisation!$B$1,$A3929&lt;Visualisation!$D$1),MAX($V$1:V3928)+1,"")</f>
        <v/>
      </c>
    </row>
    <row r="3930" spans="1:22" x14ac:dyDescent="0.25">
      <c r="A3930" s="9"/>
      <c r="E3930" s="10"/>
      <c r="K3930" s="11" t="str">
        <f>IF($E3930="","",ROUND($E3930*IF(ISNA(MATCH($C3930,'Paramètres'!$D:$D,0)),1,IF(INDEX('Paramètres'!$J:$J,MATCH($C3930,'Paramètres'!$D:$D,0))="",1,INDEX('Paramètres'!$J:$J,MATCH($C3930,'Paramètres'!$D:$D,0)))),2))</f>
        <v/>
      </c>
      <c r="L3930" s="6" t="str">
        <f>IF($D3930="","",IF($F3930&lt;&gt;"",$F3930,IF(ISNA(MATCH($D3930,'Paramètres'!$M:$M,0)),"⚠ Type inconnu",IFERROR(INDEX('Paramètres'!$P:$P,MATCH($D3930,'Paramètres'!$M:$M,0))&amp;"",""))))</f>
        <v/>
      </c>
      <c r="M3930" s="6" t="str">
        <f>IF($D3930="","",IF(ISNA(MATCH($D3930,'Paramètres'!$M:$M,0)),"⚠ Type inconnu",IF($L3930="Crédit","",IFERROR(INDEX('Paramètres'!$O:$O,MATCH($D3930,'Paramètres'!$M:$M,0))&amp;"",""))))</f>
        <v/>
      </c>
      <c r="N3930" s="6" t="str">
        <f>IF($D3930="","",IFERROR(INDEX('Paramètres'!$Q:$Q,MATCH($D3930,'Paramètres'!$M:$M,0))&amp;"",""))</f>
        <v/>
      </c>
      <c r="O3930" s="6" t="str">
        <f>IF($A3930="","",IF(OR($J3930&lt;&gt;"x",$A3930&lt;=FinReleve),1,0))</f>
        <v/>
      </c>
      <c r="P3930" s="6" t="str">
        <f>IF($D3930="","",IF(AND($L3930="Crédit",OR(IFERROR(INDEX('Paramètres'!$O:$O,MATCH($D3930,'Paramètres'!$M:$M,0))&amp;"","")&lt;&gt;"",ISNUMBER(SEARCH("remboursement",IFERROR(INDEX('Paramètres'!$N:$N,MATCH($D3930,'Paramètres'!$M:$M,0))&amp;"",""))))),1,0))</f>
        <v/>
      </c>
      <c r="Q3930" s="6" t="str">
        <f>IF($K3930="","",IF(ISNUMBER(SEARCH("transfert-interne",IFERROR(INDEX('Paramètres'!$N:$N,MATCH($D3930,'Paramètres'!$M:$M,0))&amp;"",""))),0,IF($L3930="Débit",$K3930,IF($P3930=1,-$K3930,0))))</f>
        <v/>
      </c>
      <c r="R3930" s="6" t="str">
        <f>IF($K3930="","",IF($L3930="Crédit",$K3930,-$K3930))</f>
        <v/>
      </c>
      <c r="S3930" s="6" t="str">
        <f>IF($C3930="","",IFERROR(INDEX('Paramètres'!$H:$H,MATCH($C3930,'Paramètres'!$D:$D,0))&amp;"",""))</f>
        <v/>
      </c>
      <c r="T3930" s="6" t="str">
        <f>IF($K3930="","",IF($S3930="",0,IF(ISNUMBER(SEARCH("apport-exterieur",IFERROR(INDEX('Paramètres'!$N:$N,MATCH($D3930,'Paramètres'!$M:$M,0))&amp;"",""))),0,IF(OR(IFERROR(INDEX('Paramètres'!$I:$I,MATCH($C3930,'Paramètres'!$D:$D,0))&amp;"","")="Les deux",IFERROR(INDEX('Paramètres'!$I:$I,MATCH($C3930,'Paramètres'!$D:$D,0))&amp;"","")=IF($P3930=1,"Débit",$L3930)),-IF($P3930=1,-$K3930,$K3930),0))))</f>
        <v/>
      </c>
      <c r="U3930" s="6" t="str">
        <f>IF($K3930="","",IF(ISNUMBER(SEARCH("sortie-epargne",IFERROR(INDEX('Paramètres'!$N:$N,MATCH($D3930,'Paramètres'!$M:$M,0))&amp;"",""))),$K3930,0))</f>
        <v/>
      </c>
      <c r="V3930" s="6" t="str">
        <f>IF(AND($A3930&lt;&gt;"",$O3930=1,$L3930="Débit",N($Q3930)&gt;0,$A3930&gt;=Visualisation!$B$1,$A3930&lt;Visualisation!$D$1),MAX($V$1:V3929)+1,"")</f>
        <v/>
      </c>
    </row>
    <row r="3931" spans="1:22" x14ac:dyDescent="0.25">
      <c r="A3931" s="9"/>
      <c r="E3931" s="10"/>
      <c r="K3931" s="11" t="str">
        <f>IF($E3931="","",ROUND($E3931*IF(ISNA(MATCH($C3931,'Paramètres'!$D:$D,0)),1,IF(INDEX('Paramètres'!$J:$J,MATCH($C3931,'Paramètres'!$D:$D,0))="",1,INDEX('Paramètres'!$J:$J,MATCH($C3931,'Paramètres'!$D:$D,0)))),2))</f>
        <v/>
      </c>
      <c r="L3931" s="6" t="str">
        <f>IF($D3931="","",IF($F3931&lt;&gt;"",$F3931,IF(ISNA(MATCH($D3931,'Paramètres'!$M:$M,0)),"⚠ Type inconnu",IFERROR(INDEX('Paramètres'!$P:$P,MATCH($D3931,'Paramètres'!$M:$M,0))&amp;"",""))))</f>
        <v/>
      </c>
      <c r="M3931" s="6" t="str">
        <f>IF($D3931="","",IF(ISNA(MATCH($D3931,'Paramètres'!$M:$M,0)),"⚠ Type inconnu",IF($L3931="Crédit","",IFERROR(INDEX('Paramètres'!$O:$O,MATCH($D3931,'Paramètres'!$M:$M,0))&amp;"",""))))</f>
        <v/>
      </c>
      <c r="N3931" s="6" t="str">
        <f>IF($D3931="","",IFERROR(INDEX('Paramètres'!$Q:$Q,MATCH($D3931,'Paramètres'!$M:$M,0))&amp;"",""))</f>
        <v/>
      </c>
      <c r="O3931" s="6" t="str">
        <f>IF($A3931="","",IF(OR($J3931&lt;&gt;"x",$A3931&lt;=FinReleve),1,0))</f>
        <v/>
      </c>
      <c r="P3931" s="6" t="str">
        <f>IF($D3931="","",IF(AND($L3931="Crédit",OR(IFERROR(INDEX('Paramètres'!$O:$O,MATCH($D3931,'Paramètres'!$M:$M,0))&amp;"","")&lt;&gt;"",ISNUMBER(SEARCH("remboursement",IFERROR(INDEX('Paramètres'!$N:$N,MATCH($D3931,'Paramètres'!$M:$M,0))&amp;"",""))))),1,0))</f>
        <v/>
      </c>
      <c r="Q3931" s="6" t="str">
        <f>IF($K3931="","",IF(ISNUMBER(SEARCH("transfert-interne",IFERROR(INDEX('Paramètres'!$N:$N,MATCH($D3931,'Paramètres'!$M:$M,0))&amp;"",""))),0,IF($L3931="Débit",$K3931,IF($P3931=1,-$K3931,0))))</f>
        <v/>
      </c>
      <c r="R3931" s="6" t="str">
        <f>IF($K3931="","",IF($L3931="Crédit",$K3931,-$K3931))</f>
        <v/>
      </c>
      <c r="S3931" s="6" t="str">
        <f>IF($C3931="","",IFERROR(INDEX('Paramètres'!$H:$H,MATCH($C3931,'Paramètres'!$D:$D,0))&amp;"",""))</f>
        <v/>
      </c>
      <c r="T3931" s="6" t="str">
        <f>IF($K3931="","",IF($S3931="",0,IF(ISNUMBER(SEARCH("apport-exterieur",IFERROR(INDEX('Paramètres'!$N:$N,MATCH($D3931,'Paramètres'!$M:$M,0))&amp;"",""))),0,IF(OR(IFERROR(INDEX('Paramètres'!$I:$I,MATCH($C3931,'Paramètres'!$D:$D,0))&amp;"","")="Les deux",IFERROR(INDEX('Paramètres'!$I:$I,MATCH($C3931,'Paramètres'!$D:$D,0))&amp;"","")=IF($P3931=1,"Débit",$L3931)),-IF($P3931=1,-$K3931,$K3931),0))))</f>
        <v/>
      </c>
      <c r="U3931" s="6" t="str">
        <f>IF($K3931="","",IF(ISNUMBER(SEARCH("sortie-epargne",IFERROR(INDEX('Paramètres'!$N:$N,MATCH($D3931,'Paramètres'!$M:$M,0))&amp;"",""))),$K3931,0))</f>
        <v/>
      </c>
      <c r="V3931" s="6" t="str">
        <f>IF(AND($A3931&lt;&gt;"",$O3931=1,$L3931="Débit",N($Q3931)&gt;0,$A3931&gt;=Visualisation!$B$1,$A3931&lt;Visualisation!$D$1),MAX($V$1:V3930)+1,"")</f>
        <v/>
      </c>
    </row>
    <row r="3932" spans="1:22" x14ac:dyDescent="0.25">
      <c r="A3932" s="9"/>
      <c r="E3932" s="10"/>
      <c r="K3932" s="11" t="str">
        <f>IF($E3932="","",ROUND($E3932*IF(ISNA(MATCH($C3932,'Paramètres'!$D:$D,0)),1,IF(INDEX('Paramètres'!$J:$J,MATCH($C3932,'Paramètres'!$D:$D,0))="",1,INDEX('Paramètres'!$J:$J,MATCH($C3932,'Paramètres'!$D:$D,0)))),2))</f>
        <v/>
      </c>
      <c r="L3932" s="6" t="str">
        <f>IF($D3932="","",IF($F3932&lt;&gt;"",$F3932,IF(ISNA(MATCH($D3932,'Paramètres'!$M:$M,0)),"⚠ Type inconnu",IFERROR(INDEX('Paramètres'!$P:$P,MATCH($D3932,'Paramètres'!$M:$M,0))&amp;"",""))))</f>
        <v/>
      </c>
      <c r="M3932" s="6" t="str">
        <f>IF($D3932="","",IF(ISNA(MATCH($D3932,'Paramètres'!$M:$M,0)),"⚠ Type inconnu",IF($L3932="Crédit","",IFERROR(INDEX('Paramètres'!$O:$O,MATCH($D3932,'Paramètres'!$M:$M,0))&amp;"",""))))</f>
        <v/>
      </c>
      <c r="N3932" s="6" t="str">
        <f>IF($D3932="","",IFERROR(INDEX('Paramètres'!$Q:$Q,MATCH($D3932,'Paramètres'!$M:$M,0))&amp;"",""))</f>
        <v/>
      </c>
      <c r="O3932" s="6" t="str">
        <f>IF($A3932="","",IF(OR($J3932&lt;&gt;"x",$A3932&lt;=FinReleve),1,0))</f>
        <v/>
      </c>
      <c r="P3932" s="6" t="str">
        <f>IF($D3932="","",IF(AND($L3932="Crédit",OR(IFERROR(INDEX('Paramètres'!$O:$O,MATCH($D3932,'Paramètres'!$M:$M,0))&amp;"","")&lt;&gt;"",ISNUMBER(SEARCH("remboursement",IFERROR(INDEX('Paramètres'!$N:$N,MATCH($D3932,'Paramètres'!$M:$M,0))&amp;"",""))))),1,0))</f>
        <v/>
      </c>
      <c r="Q3932" s="6" t="str">
        <f>IF($K3932="","",IF(ISNUMBER(SEARCH("transfert-interne",IFERROR(INDEX('Paramètres'!$N:$N,MATCH($D3932,'Paramètres'!$M:$M,0))&amp;"",""))),0,IF($L3932="Débit",$K3932,IF($P3932=1,-$K3932,0))))</f>
        <v/>
      </c>
      <c r="R3932" s="6" t="str">
        <f>IF($K3932="","",IF($L3932="Crédit",$K3932,-$K3932))</f>
        <v/>
      </c>
      <c r="S3932" s="6" t="str">
        <f>IF($C3932="","",IFERROR(INDEX('Paramètres'!$H:$H,MATCH($C3932,'Paramètres'!$D:$D,0))&amp;"",""))</f>
        <v/>
      </c>
      <c r="T3932" s="6" t="str">
        <f>IF($K3932="","",IF($S3932="",0,IF(ISNUMBER(SEARCH("apport-exterieur",IFERROR(INDEX('Paramètres'!$N:$N,MATCH($D3932,'Paramètres'!$M:$M,0))&amp;"",""))),0,IF(OR(IFERROR(INDEX('Paramètres'!$I:$I,MATCH($C3932,'Paramètres'!$D:$D,0))&amp;"","")="Les deux",IFERROR(INDEX('Paramètres'!$I:$I,MATCH($C3932,'Paramètres'!$D:$D,0))&amp;"","")=IF($P3932=1,"Débit",$L3932)),-IF($P3932=1,-$K3932,$K3932),0))))</f>
        <v/>
      </c>
      <c r="U3932" s="6" t="str">
        <f>IF($K3932="","",IF(ISNUMBER(SEARCH("sortie-epargne",IFERROR(INDEX('Paramètres'!$N:$N,MATCH($D3932,'Paramètres'!$M:$M,0))&amp;"",""))),$K3932,0))</f>
        <v/>
      </c>
      <c r="V3932" s="6" t="str">
        <f>IF(AND($A3932&lt;&gt;"",$O3932=1,$L3932="Débit",N($Q3932)&gt;0,$A3932&gt;=Visualisation!$B$1,$A3932&lt;Visualisation!$D$1),MAX($V$1:V3931)+1,"")</f>
        <v/>
      </c>
    </row>
    <row r="3933" spans="1:22" x14ac:dyDescent="0.25">
      <c r="A3933" s="9"/>
      <c r="E3933" s="10"/>
      <c r="K3933" s="11" t="str">
        <f>IF($E3933="","",ROUND($E3933*IF(ISNA(MATCH($C3933,'Paramètres'!$D:$D,0)),1,IF(INDEX('Paramètres'!$J:$J,MATCH($C3933,'Paramètres'!$D:$D,0))="",1,INDEX('Paramètres'!$J:$J,MATCH($C3933,'Paramètres'!$D:$D,0)))),2))</f>
        <v/>
      </c>
      <c r="L3933" s="6" t="str">
        <f>IF($D3933="","",IF($F3933&lt;&gt;"",$F3933,IF(ISNA(MATCH($D3933,'Paramètres'!$M:$M,0)),"⚠ Type inconnu",IFERROR(INDEX('Paramètres'!$P:$P,MATCH($D3933,'Paramètres'!$M:$M,0))&amp;"",""))))</f>
        <v/>
      </c>
      <c r="M3933" s="6" t="str">
        <f>IF($D3933="","",IF(ISNA(MATCH($D3933,'Paramètres'!$M:$M,0)),"⚠ Type inconnu",IF($L3933="Crédit","",IFERROR(INDEX('Paramètres'!$O:$O,MATCH($D3933,'Paramètres'!$M:$M,0))&amp;"",""))))</f>
        <v/>
      </c>
      <c r="N3933" s="6" t="str">
        <f>IF($D3933="","",IFERROR(INDEX('Paramètres'!$Q:$Q,MATCH($D3933,'Paramètres'!$M:$M,0))&amp;"",""))</f>
        <v/>
      </c>
      <c r="O3933" s="6" t="str">
        <f>IF($A3933="","",IF(OR($J3933&lt;&gt;"x",$A3933&lt;=FinReleve),1,0))</f>
        <v/>
      </c>
      <c r="P3933" s="6" t="str">
        <f>IF($D3933="","",IF(AND($L3933="Crédit",OR(IFERROR(INDEX('Paramètres'!$O:$O,MATCH($D3933,'Paramètres'!$M:$M,0))&amp;"","")&lt;&gt;"",ISNUMBER(SEARCH("remboursement",IFERROR(INDEX('Paramètres'!$N:$N,MATCH($D3933,'Paramètres'!$M:$M,0))&amp;"",""))))),1,0))</f>
        <v/>
      </c>
      <c r="Q3933" s="6" t="str">
        <f>IF($K3933="","",IF(ISNUMBER(SEARCH("transfert-interne",IFERROR(INDEX('Paramètres'!$N:$N,MATCH($D3933,'Paramètres'!$M:$M,0))&amp;"",""))),0,IF($L3933="Débit",$K3933,IF($P3933=1,-$K3933,0))))</f>
        <v/>
      </c>
      <c r="R3933" s="6" t="str">
        <f>IF($K3933="","",IF($L3933="Crédit",$K3933,-$K3933))</f>
        <v/>
      </c>
      <c r="S3933" s="6" t="str">
        <f>IF($C3933="","",IFERROR(INDEX('Paramètres'!$H:$H,MATCH($C3933,'Paramètres'!$D:$D,0))&amp;"",""))</f>
        <v/>
      </c>
      <c r="T3933" s="6" t="str">
        <f>IF($K3933="","",IF($S3933="",0,IF(ISNUMBER(SEARCH("apport-exterieur",IFERROR(INDEX('Paramètres'!$N:$N,MATCH($D3933,'Paramètres'!$M:$M,0))&amp;"",""))),0,IF(OR(IFERROR(INDEX('Paramètres'!$I:$I,MATCH($C3933,'Paramètres'!$D:$D,0))&amp;"","")="Les deux",IFERROR(INDEX('Paramètres'!$I:$I,MATCH($C3933,'Paramètres'!$D:$D,0))&amp;"","")=IF($P3933=1,"Débit",$L3933)),-IF($P3933=1,-$K3933,$K3933),0))))</f>
        <v/>
      </c>
      <c r="U3933" s="6" t="str">
        <f>IF($K3933="","",IF(ISNUMBER(SEARCH("sortie-epargne",IFERROR(INDEX('Paramètres'!$N:$N,MATCH($D3933,'Paramètres'!$M:$M,0))&amp;"",""))),$K3933,0))</f>
        <v/>
      </c>
      <c r="V3933" s="6" t="str">
        <f>IF(AND($A3933&lt;&gt;"",$O3933=1,$L3933="Débit",N($Q3933)&gt;0,$A3933&gt;=Visualisation!$B$1,$A3933&lt;Visualisation!$D$1),MAX($V$1:V3932)+1,"")</f>
        <v/>
      </c>
    </row>
    <row r="3934" spans="1:22" x14ac:dyDescent="0.25">
      <c r="A3934" s="9"/>
      <c r="E3934" s="10"/>
      <c r="K3934" s="11" t="str">
        <f>IF($E3934="","",ROUND($E3934*IF(ISNA(MATCH($C3934,'Paramètres'!$D:$D,0)),1,IF(INDEX('Paramètres'!$J:$J,MATCH($C3934,'Paramètres'!$D:$D,0))="",1,INDEX('Paramètres'!$J:$J,MATCH($C3934,'Paramètres'!$D:$D,0)))),2))</f>
        <v/>
      </c>
      <c r="L3934" s="6" t="str">
        <f>IF($D3934="","",IF($F3934&lt;&gt;"",$F3934,IF(ISNA(MATCH($D3934,'Paramètres'!$M:$M,0)),"⚠ Type inconnu",IFERROR(INDEX('Paramètres'!$P:$P,MATCH($D3934,'Paramètres'!$M:$M,0))&amp;"",""))))</f>
        <v/>
      </c>
      <c r="M3934" s="6" t="str">
        <f>IF($D3934="","",IF(ISNA(MATCH($D3934,'Paramètres'!$M:$M,0)),"⚠ Type inconnu",IF($L3934="Crédit","",IFERROR(INDEX('Paramètres'!$O:$O,MATCH($D3934,'Paramètres'!$M:$M,0))&amp;"",""))))</f>
        <v/>
      </c>
      <c r="N3934" s="6" t="str">
        <f>IF($D3934="","",IFERROR(INDEX('Paramètres'!$Q:$Q,MATCH($D3934,'Paramètres'!$M:$M,0))&amp;"",""))</f>
        <v/>
      </c>
      <c r="O3934" s="6" t="str">
        <f>IF($A3934="","",IF(OR($J3934&lt;&gt;"x",$A3934&lt;=FinReleve),1,0))</f>
        <v/>
      </c>
      <c r="P3934" s="6" t="str">
        <f>IF($D3934="","",IF(AND($L3934="Crédit",OR(IFERROR(INDEX('Paramètres'!$O:$O,MATCH($D3934,'Paramètres'!$M:$M,0))&amp;"","")&lt;&gt;"",ISNUMBER(SEARCH("remboursement",IFERROR(INDEX('Paramètres'!$N:$N,MATCH($D3934,'Paramètres'!$M:$M,0))&amp;"",""))))),1,0))</f>
        <v/>
      </c>
      <c r="Q3934" s="6" t="str">
        <f>IF($K3934="","",IF(ISNUMBER(SEARCH("transfert-interne",IFERROR(INDEX('Paramètres'!$N:$N,MATCH($D3934,'Paramètres'!$M:$M,0))&amp;"",""))),0,IF($L3934="Débit",$K3934,IF($P3934=1,-$K3934,0))))</f>
        <v/>
      </c>
      <c r="R3934" s="6" t="str">
        <f>IF($K3934="","",IF($L3934="Crédit",$K3934,-$K3934))</f>
        <v/>
      </c>
      <c r="S3934" s="6" t="str">
        <f>IF($C3934="","",IFERROR(INDEX('Paramètres'!$H:$H,MATCH($C3934,'Paramètres'!$D:$D,0))&amp;"",""))</f>
        <v/>
      </c>
      <c r="T3934" s="6" t="str">
        <f>IF($K3934="","",IF($S3934="",0,IF(ISNUMBER(SEARCH("apport-exterieur",IFERROR(INDEX('Paramètres'!$N:$N,MATCH($D3934,'Paramètres'!$M:$M,0))&amp;"",""))),0,IF(OR(IFERROR(INDEX('Paramètres'!$I:$I,MATCH($C3934,'Paramètres'!$D:$D,0))&amp;"","")="Les deux",IFERROR(INDEX('Paramètres'!$I:$I,MATCH($C3934,'Paramètres'!$D:$D,0))&amp;"","")=IF($P3934=1,"Débit",$L3934)),-IF($P3934=1,-$K3934,$K3934),0))))</f>
        <v/>
      </c>
      <c r="U3934" s="6" t="str">
        <f>IF($K3934="","",IF(ISNUMBER(SEARCH("sortie-epargne",IFERROR(INDEX('Paramètres'!$N:$N,MATCH($D3934,'Paramètres'!$M:$M,0))&amp;"",""))),$K3934,0))</f>
        <v/>
      </c>
      <c r="V3934" s="6" t="str">
        <f>IF(AND($A3934&lt;&gt;"",$O3934=1,$L3934="Débit",N($Q3934)&gt;0,$A3934&gt;=Visualisation!$B$1,$A3934&lt;Visualisation!$D$1),MAX($V$1:V3933)+1,"")</f>
        <v/>
      </c>
    </row>
    <row r="3935" spans="1:22" x14ac:dyDescent="0.25">
      <c r="A3935" s="9"/>
      <c r="E3935" s="10"/>
      <c r="K3935" s="11" t="str">
        <f>IF($E3935="","",ROUND($E3935*IF(ISNA(MATCH($C3935,'Paramètres'!$D:$D,0)),1,IF(INDEX('Paramètres'!$J:$J,MATCH($C3935,'Paramètres'!$D:$D,0))="",1,INDEX('Paramètres'!$J:$J,MATCH($C3935,'Paramètres'!$D:$D,0)))),2))</f>
        <v/>
      </c>
      <c r="L3935" s="6" t="str">
        <f>IF($D3935="","",IF($F3935&lt;&gt;"",$F3935,IF(ISNA(MATCH($D3935,'Paramètres'!$M:$M,0)),"⚠ Type inconnu",IFERROR(INDEX('Paramètres'!$P:$P,MATCH($D3935,'Paramètres'!$M:$M,0))&amp;"",""))))</f>
        <v/>
      </c>
      <c r="M3935" s="6" t="str">
        <f>IF($D3935="","",IF(ISNA(MATCH($D3935,'Paramètres'!$M:$M,0)),"⚠ Type inconnu",IF($L3935="Crédit","",IFERROR(INDEX('Paramètres'!$O:$O,MATCH($D3935,'Paramètres'!$M:$M,0))&amp;"",""))))</f>
        <v/>
      </c>
      <c r="N3935" s="6" t="str">
        <f>IF($D3935="","",IFERROR(INDEX('Paramètres'!$Q:$Q,MATCH($D3935,'Paramètres'!$M:$M,0))&amp;"",""))</f>
        <v/>
      </c>
      <c r="O3935" s="6" t="str">
        <f>IF($A3935="","",IF(OR($J3935&lt;&gt;"x",$A3935&lt;=FinReleve),1,0))</f>
        <v/>
      </c>
      <c r="P3935" s="6" t="str">
        <f>IF($D3935="","",IF(AND($L3935="Crédit",OR(IFERROR(INDEX('Paramètres'!$O:$O,MATCH($D3935,'Paramètres'!$M:$M,0))&amp;"","")&lt;&gt;"",ISNUMBER(SEARCH("remboursement",IFERROR(INDEX('Paramètres'!$N:$N,MATCH($D3935,'Paramètres'!$M:$M,0))&amp;"",""))))),1,0))</f>
        <v/>
      </c>
      <c r="Q3935" s="6" t="str">
        <f>IF($K3935="","",IF(ISNUMBER(SEARCH("transfert-interne",IFERROR(INDEX('Paramètres'!$N:$N,MATCH($D3935,'Paramètres'!$M:$M,0))&amp;"",""))),0,IF($L3935="Débit",$K3935,IF($P3935=1,-$K3935,0))))</f>
        <v/>
      </c>
      <c r="R3935" s="6" t="str">
        <f>IF($K3935="","",IF($L3935="Crédit",$K3935,-$K3935))</f>
        <v/>
      </c>
      <c r="S3935" s="6" t="str">
        <f>IF($C3935="","",IFERROR(INDEX('Paramètres'!$H:$H,MATCH($C3935,'Paramètres'!$D:$D,0))&amp;"",""))</f>
        <v/>
      </c>
      <c r="T3935" s="6" t="str">
        <f>IF($K3935="","",IF($S3935="",0,IF(ISNUMBER(SEARCH("apport-exterieur",IFERROR(INDEX('Paramètres'!$N:$N,MATCH($D3935,'Paramètres'!$M:$M,0))&amp;"",""))),0,IF(OR(IFERROR(INDEX('Paramètres'!$I:$I,MATCH($C3935,'Paramètres'!$D:$D,0))&amp;"","")="Les deux",IFERROR(INDEX('Paramètres'!$I:$I,MATCH($C3935,'Paramètres'!$D:$D,0))&amp;"","")=IF($P3935=1,"Débit",$L3935)),-IF($P3935=1,-$K3935,$K3935),0))))</f>
        <v/>
      </c>
      <c r="U3935" s="6" t="str">
        <f>IF($K3935="","",IF(ISNUMBER(SEARCH("sortie-epargne",IFERROR(INDEX('Paramètres'!$N:$N,MATCH($D3935,'Paramètres'!$M:$M,0))&amp;"",""))),$K3935,0))</f>
        <v/>
      </c>
      <c r="V3935" s="6" t="str">
        <f>IF(AND($A3935&lt;&gt;"",$O3935=1,$L3935="Débit",N($Q3935)&gt;0,$A3935&gt;=Visualisation!$B$1,$A3935&lt;Visualisation!$D$1),MAX($V$1:V3934)+1,"")</f>
        <v/>
      </c>
    </row>
    <row r="3936" spans="1:22" x14ac:dyDescent="0.25">
      <c r="A3936" s="9"/>
      <c r="E3936" s="10"/>
      <c r="K3936" s="11" t="str">
        <f>IF($E3936="","",ROUND($E3936*IF(ISNA(MATCH($C3936,'Paramètres'!$D:$D,0)),1,IF(INDEX('Paramètres'!$J:$J,MATCH($C3936,'Paramètres'!$D:$D,0))="",1,INDEX('Paramètres'!$J:$J,MATCH($C3936,'Paramètres'!$D:$D,0)))),2))</f>
        <v/>
      </c>
      <c r="L3936" s="6" t="str">
        <f>IF($D3936="","",IF($F3936&lt;&gt;"",$F3936,IF(ISNA(MATCH($D3936,'Paramètres'!$M:$M,0)),"⚠ Type inconnu",IFERROR(INDEX('Paramètres'!$P:$P,MATCH($D3936,'Paramètres'!$M:$M,0))&amp;"",""))))</f>
        <v/>
      </c>
      <c r="M3936" s="6" t="str">
        <f>IF($D3936="","",IF(ISNA(MATCH($D3936,'Paramètres'!$M:$M,0)),"⚠ Type inconnu",IF($L3936="Crédit","",IFERROR(INDEX('Paramètres'!$O:$O,MATCH($D3936,'Paramètres'!$M:$M,0))&amp;"",""))))</f>
        <v/>
      </c>
      <c r="N3936" s="6" t="str">
        <f>IF($D3936="","",IFERROR(INDEX('Paramètres'!$Q:$Q,MATCH($D3936,'Paramètres'!$M:$M,0))&amp;"",""))</f>
        <v/>
      </c>
      <c r="O3936" s="6" t="str">
        <f>IF($A3936="","",IF(OR($J3936&lt;&gt;"x",$A3936&lt;=FinReleve),1,0))</f>
        <v/>
      </c>
      <c r="P3936" s="6" t="str">
        <f>IF($D3936="","",IF(AND($L3936="Crédit",OR(IFERROR(INDEX('Paramètres'!$O:$O,MATCH($D3936,'Paramètres'!$M:$M,0))&amp;"","")&lt;&gt;"",ISNUMBER(SEARCH("remboursement",IFERROR(INDEX('Paramètres'!$N:$N,MATCH($D3936,'Paramètres'!$M:$M,0))&amp;"",""))))),1,0))</f>
        <v/>
      </c>
      <c r="Q3936" s="6" t="str">
        <f>IF($K3936="","",IF(ISNUMBER(SEARCH("transfert-interne",IFERROR(INDEX('Paramètres'!$N:$N,MATCH($D3936,'Paramètres'!$M:$M,0))&amp;"",""))),0,IF($L3936="Débit",$K3936,IF($P3936=1,-$K3936,0))))</f>
        <v/>
      </c>
      <c r="R3936" s="6" t="str">
        <f>IF($K3936="","",IF($L3936="Crédit",$K3936,-$K3936))</f>
        <v/>
      </c>
      <c r="S3936" s="6" t="str">
        <f>IF($C3936="","",IFERROR(INDEX('Paramètres'!$H:$H,MATCH($C3936,'Paramètres'!$D:$D,0))&amp;"",""))</f>
        <v/>
      </c>
      <c r="T3936" s="6" t="str">
        <f>IF($K3936="","",IF($S3936="",0,IF(ISNUMBER(SEARCH("apport-exterieur",IFERROR(INDEX('Paramètres'!$N:$N,MATCH($D3936,'Paramètres'!$M:$M,0))&amp;"",""))),0,IF(OR(IFERROR(INDEX('Paramètres'!$I:$I,MATCH($C3936,'Paramètres'!$D:$D,0))&amp;"","")="Les deux",IFERROR(INDEX('Paramètres'!$I:$I,MATCH($C3936,'Paramètres'!$D:$D,0))&amp;"","")=IF($P3936=1,"Débit",$L3936)),-IF($P3936=1,-$K3936,$K3936),0))))</f>
        <v/>
      </c>
      <c r="U3936" s="6" t="str">
        <f>IF($K3936="","",IF(ISNUMBER(SEARCH("sortie-epargne",IFERROR(INDEX('Paramètres'!$N:$N,MATCH($D3936,'Paramètres'!$M:$M,0))&amp;"",""))),$K3936,0))</f>
        <v/>
      </c>
      <c r="V3936" s="6" t="str">
        <f>IF(AND($A3936&lt;&gt;"",$O3936=1,$L3936="Débit",N($Q3936)&gt;0,$A3936&gt;=Visualisation!$B$1,$A3936&lt;Visualisation!$D$1),MAX($V$1:V3935)+1,"")</f>
        <v/>
      </c>
    </row>
    <row r="3937" spans="1:22" x14ac:dyDescent="0.25">
      <c r="A3937" s="9"/>
      <c r="E3937" s="10"/>
      <c r="K3937" s="11" t="str">
        <f>IF($E3937="","",ROUND($E3937*IF(ISNA(MATCH($C3937,'Paramètres'!$D:$D,0)),1,IF(INDEX('Paramètres'!$J:$J,MATCH($C3937,'Paramètres'!$D:$D,0))="",1,INDEX('Paramètres'!$J:$J,MATCH($C3937,'Paramètres'!$D:$D,0)))),2))</f>
        <v/>
      </c>
      <c r="L3937" s="6" t="str">
        <f>IF($D3937="","",IF($F3937&lt;&gt;"",$F3937,IF(ISNA(MATCH($D3937,'Paramètres'!$M:$M,0)),"⚠ Type inconnu",IFERROR(INDEX('Paramètres'!$P:$P,MATCH($D3937,'Paramètres'!$M:$M,0))&amp;"",""))))</f>
        <v/>
      </c>
      <c r="M3937" s="6" t="str">
        <f>IF($D3937="","",IF(ISNA(MATCH($D3937,'Paramètres'!$M:$M,0)),"⚠ Type inconnu",IF($L3937="Crédit","",IFERROR(INDEX('Paramètres'!$O:$O,MATCH($D3937,'Paramètres'!$M:$M,0))&amp;"",""))))</f>
        <v/>
      </c>
      <c r="N3937" s="6" t="str">
        <f>IF($D3937="","",IFERROR(INDEX('Paramètres'!$Q:$Q,MATCH($D3937,'Paramètres'!$M:$M,0))&amp;"",""))</f>
        <v/>
      </c>
      <c r="O3937" s="6" t="str">
        <f>IF($A3937="","",IF(OR($J3937&lt;&gt;"x",$A3937&lt;=FinReleve),1,0))</f>
        <v/>
      </c>
      <c r="P3937" s="6" t="str">
        <f>IF($D3937="","",IF(AND($L3937="Crédit",OR(IFERROR(INDEX('Paramètres'!$O:$O,MATCH($D3937,'Paramètres'!$M:$M,0))&amp;"","")&lt;&gt;"",ISNUMBER(SEARCH("remboursement",IFERROR(INDEX('Paramètres'!$N:$N,MATCH($D3937,'Paramètres'!$M:$M,0))&amp;"",""))))),1,0))</f>
        <v/>
      </c>
      <c r="Q3937" s="6" t="str">
        <f>IF($K3937="","",IF(ISNUMBER(SEARCH("transfert-interne",IFERROR(INDEX('Paramètres'!$N:$N,MATCH($D3937,'Paramètres'!$M:$M,0))&amp;"",""))),0,IF($L3937="Débit",$K3937,IF($P3937=1,-$K3937,0))))</f>
        <v/>
      </c>
      <c r="R3937" s="6" t="str">
        <f>IF($K3937="","",IF($L3937="Crédit",$K3937,-$K3937))</f>
        <v/>
      </c>
      <c r="S3937" s="6" t="str">
        <f>IF($C3937="","",IFERROR(INDEX('Paramètres'!$H:$H,MATCH($C3937,'Paramètres'!$D:$D,0))&amp;"",""))</f>
        <v/>
      </c>
      <c r="T3937" s="6" t="str">
        <f>IF($K3937="","",IF($S3937="",0,IF(ISNUMBER(SEARCH("apport-exterieur",IFERROR(INDEX('Paramètres'!$N:$N,MATCH($D3937,'Paramètres'!$M:$M,0))&amp;"",""))),0,IF(OR(IFERROR(INDEX('Paramètres'!$I:$I,MATCH($C3937,'Paramètres'!$D:$D,0))&amp;"","")="Les deux",IFERROR(INDEX('Paramètres'!$I:$I,MATCH($C3937,'Paramètres'!$D:$D,0))&amp;"","")=IF($P3937=1,"Débit",$L3937)),-IF($P3937=1,-$K3937,$K3937),0))))</f>
        <v/>
      </c>
      <c r="U3937" s="6" t="str">
        <f>IF($K3937="","",IF(ISNUMBER(SEARCH("sortie-epargne",IFERROR(INDEX('Paramètres'!$N:$N,MATCH($D3937,'Paramètres'!$M:$M,0))&amp;"",""))),$K3937,0))</f>
        <v/>
      </c>
      <c r="V3937" s="6" t="str">
        <f>IF(AND($A3937&lt;&gt;"",$O3937=1,$L3937="Débit",N($Q3937)&gt;0,$A3937&gt;=Visualisation!$B$1,$A3937&lt;Visualisation!$D$1),MAX($V$1:V3936)+1,"")</f>
        <v/>
      </c>
    </row>
    <row r="3938" spans="1:22" x14ac:dyDescent="0.25">
      <c r="A3938" s="9"/>
      <c r="E3938" s="10"/>
      <c r="K3938" s="11" t="str">
        <f>IF($E3938="","",ROUND($E3938*IF(ISNA(MATCH($C3938,'Paramètres'!$D:$D,0)),1,IF(INDEX('Paramètres'!$J:$J,MATCH($C3938,'Paramètres'!$D:$D,0))="",1,INDEX('Paramètres'!$J:$J,MATCH($C3938,'Paramètres'!$D:$D,0)))),2))</f>
        <v/>
      </c>
      <c r="L3938" s="6" t="str">
        <f>IF($D3938="","",IF($F3938&lt;&gt;"",$F3938,IF(ISNA(MATCH($D3938,'Paramètres'!$M:$M,0)),"⚠ Type inconnu",IFERROR(INDEX('Paramètres'!$P:$P,MATCH($D3938,'Paramètres'!$M:$M,0))&amp;"",""))))</f>
        <v/>
      </c>
      <c r="M3938" s="6" t="str">
        <f>IF($D3938="","",IF(ISNA(MATCH($D3938,'Paramètres'!$M:$M,0)),"⚠ Type inconnu",IF($L3938="Crédit","",IFERROR(INDEX('Paramètres'!$O:$O,MATCH($D3938,'Paramètres'!$M:$M,0))&amp;"",""))))</f>
        <v/>
      </c>
      <c r="N3938" s="6" t="str">
        <f>IF($D3938="","",IFERROR(INDEX('Paramètres'!$Q:$Q,MATCH($D3938,'Paramètres'!$M:$M,0))&amp;"",""))</f>
        <v/>
      </c>
      <c r="O3938" s="6" t="str">
        <f>IF($A3938="","",IF(OR($J3938&lt;&gt;"x",$A3938&lt;=FinReleve),1,0))</f>
        <v/>
      </c>
      <c r="P3938" s="6" t="str">
        <f>IF($D3938="","",IF(AND($L3938="Crédit",OR(IFERROR(INDEX('Paramètres'!$O:$O,MATCH($D3938,'Paramètres'!$M:$M,0))&amp;"","")&lt;&gt;"",ISNUMBER(SEARCH("remboursement",IFERROR(INDEX('Paramètres'!$N:$N,MATCH($D3938,'Paramètres'!$M:$M,0))&amp;"",""))))),1,0))</f>
        <v/>
      </c>
      <c r="Q3938" s="6" t="str">
        <f>IF($K3938="","",IF(ISNUMBER(SEARCH("transfert-interne",IFERROR(INDEX('Paramètres'!$N:$N,MATCH($D3938,'Paramètres'!$M:$M,0))&amp;"",""))),0,IF($L3938="Débit",$K3938,IF($P3938=1,-$K3938,0))))</f>
        <v/>
      </c>
      <c r="R3938" s="6" t="str">
        <f>IF($K3938="","",IF($L3938="Crédit",$K3938,-$K3938))</f>
        <v/>
      </c>
      <c r="S3938" s="6" t="str">
        <f>IF($C3938="","",IFERROR(INDEX('Paramètres'!$H:$H,MATCH($C3938,'Paramètres'!$D:$D,0))&amp;"",""))</f>
        <v/>
      </c>
      <c r="T3938" s="6" t="str">
        <f>IF($K3938="","",IF($S3938="",0,IF(ISNUMBER(SEARCH("apport-exterieur",IFERROR(INDEX('Paramètres'!$N:$N,MATCH($D3938,'Paramètres'!$M:$M,0))&amp;"",""))),0,IF(OR(IFERROR(INDEX('Paramètres'!$I:$I,MATCH($C3938,'Paramètres'!$D:$D,0))&amp;"","")="Les deux",IFERROR(INDEX('Paramètres'!$I:$I,MATCH($C3938,'Paramètres'!$D:$D,0))&amp;"","")=IF($P3938=1,"Débit",$L3938)),-IF($P3938=1,-$K3938,$K3938),0))))</f>
        <v/>
      </c>
      <c r="U3938" s="6" t="str">
        <f>IF($K3938="","",IF(ISNUMBER(SEARCH("sortie-epargne",IFERROR(INDEX('Paramètres'!$N:$N,MATCH($D3938,'Paramètres'!$M:$M,0))&amp;"",""))),$K3938,0))</f>
        <v/>
      </c>
      <c r="V3938" s="6" t="str">
        <f>IF(AND($A3938&lt;&gt;"",$O3938=1,$L3938="Débit",N($Q3938)&gt;0,$A3938&gt;=Visualisation!$B$1,$A3938&lt;Visualisation!$D$1),MAX($V$1:V3937)+1,"")</f>
        <v/>
      </c>
    </row>
    <row r="3939" spans="1:22" x14ac:dyDescent="0.25">
      <c r="A3939" s="9"/>
      <c r="E3939" s="10"/>
      <c r="K3939" s="11" t="str">
        <f>IF($E3939="","",ROUND($E3939*IF(ISNA(MATCH($C3939,'Paramètres'!$D:$D,0)),1,IF(INDEX('Paramètres'!$J:$J,MATCH($C3939,'Paramètres'!$D:$D,0))="",1,INDEX('Paramètres'!$J:$J,MATCH($C3939,'Paramètres'!$D:$D,0)))),2))</f>
        <v/>
      </c>
      <c r="L3939" s="6" t="str">
        <f>IF($D3939="","",IF($F3939&lt;&gt;"",$F3939,IF(ISNA(MATCH($D3939,'Paramètres'!$M:$M,0)),"⚠ Type inconnu",IFERROR(INDEX('Paramètres'!$P:$P,MATCH($D3939,'Paramètres'!$M:$M,0))&amp;"",""))))</f>
        <v/>
      </c>
      <c r="M3939" s="6" t="str">
        <f>IF($D3939="","",IF(ISNA(MATCH($D3939,'Paramètres'!$M:$M,0)),"⚠ Type inconnu",IF($L3939="Crédit","",IFERROR(INDEX('Paramètres'!$O:$O,MATCH($D3939,'Paramètres'!$M:$M,0))&amp;"",""))))</f>
        <v/>
      </c>
      <c r="N3939" s="6" t="str">
        <f>IF($D3939="","",IFERROR(INDEX('Paramètres'!$Q:$Q,MATCH($D3939,'Paramètres'!$M:$M,0))&amp;"",""))</f>
        <v/>
      </c>
      <c r="O3939" s="6" t="str">
        <f>IF($A3939="","",IF(OR($J3939&lt;&gt;"x",$A3939&lt;=FinReleve),1,0))</f>
        <v/>
      </c>
      <c r="P3939" s="6" t="str">
        <f>IF($D3939="","",IF(AND($L3939="Crédit",OR(IFERROR(INDEX('Paramètres'!$O:$O,MATCH($D3939,'Paramètres'!$M:$M,0))&amp;"","")&lt;&gt;"",ISNUMBER(SEARCH("remboursement",IFERROR(INDEX('Paramètres'!$N:$N,MATCH($D3939,'Paramètres'!$M:$M,0))&amp;"",""))))),1,0))</f>
        <v/>
      </c>
      <c r="Q3939" s="6" t="str">
        <f>IF($K3939="","",IF(ISNUMBER(SEARCH("transfert-interne",IFERROR(INDEX('Paramètres'!$N:$N,MATCH($D3939,'Paramètres'!$M:$M,0))&amp;"",""))),0,IF($L3939="Débit",$K3939,IF($P3939=1,-$K3939,0))))</f>
        <v/>
      </c>
      <c r="R3939" s="6" t="str">
        <f>IF($K3939="","",IF($L3939="Crédit",$K3939,-$K3939))</f>
        <v/>
      </c>
      <c r="S3939" s="6" t="str">
        <f>IF($C3939="","",IFERROR(INDEX('Paramètres'!$H:$H,MATCH($C3939,'Paramètres'!$D:$D,0))&amp;"",""))</f>
        <v/>
      </c>
      <c r="T3939" s="6" t="str">
        <f>IF($K3939="","",IF($S3939="",0,IF(ISNUMBER(SEARCH("apport-exterieur",IFERROR(INDEX('Paramètres'!$N:$N,MATCH($D3939,'Paramètres'!$M:$M,0))&amp;"",""))),0,IF(OR(IFERROR(INDEX('Paramètres'!$I:$I,MATCH($C3939,'Paramètres'!$D:$D,0))&amp;"","")="Les deux",IFERROR(INDEX('Paramètres'!$I:$I,MATCH($C3939,'Paramètres'!$D:$D,0))&amp;"","")=IF($P3939=1,"Débit",$L3939)),-IF($P3939=1,-$K3939,$K3939),0))))</f>
        <v/>
      </c>
      <c r="U3939" s="6" t="str">
        <f>IF($K3939="","",IF(ISNUMBER(SEARCH("sortie-epargne",IFERROR(INDEX('Paramètres'!$N:$N,MATCH($D3939,'Paramètres'!$M:$M,0))&amp;"",""))),$K3939,0))</f>
        <v/>
      </c>
      <c r="V3939" s="6" t="str">
        <f>IF(AND($A3939&lt;&gt;"",$O3939=1,$L3939="Débit",N($Q3939)&gt;0,$A3939&gt;=Visualisation!$B$1,$A3939&lt;Visualisation!$D$1),MAX($V$1:V3938)+1,"")</f>
        <v/>
      </c>
    </row>
    <row r="3940" spans="1:22" x14ac:dyDescent="0.25">
      <c r="A3940" s="9"/>
      <c r="E3940" s="10"/>
      <c r="K3940" s="11" t="str">
        <f>IF($E3940="","",ROUND($E3940*IF(ISNA(MATCH($C3940,'Paramètres'!$D:$D,0)),1,IF(INDEX('Paramètres'!$J:$J,MATCH($C3940,'Paramètres'!$D:$D,0))="",1,INDEX('Paramètres'!$J:$J,MATCH($C3940,'Paramètres'!$D:$D,0)))),2))</f>
        <v/>
      </c>
      <c r="L3940" s="6" t="str">
        <f>IF($D3940="","",IF($F3940&lt;&gt;"",$F3940,IF(ISNA(MATCH($D3940,'Paramètres'!$M:$M,0)),"⚠ Type inconnu",IFERROR(INDEX('Paramètres'!$P:$P,MATCH($D3940,'Paramètres'!$M:$M,0))&amp;"",""))))</f>
        <v/>
      </c>
      <c r="M3940" s="6" t="str">
        <f>IF($D3940="","",IF(ISNA(MATCH($D3940,'Paramètres'!$M:$M,0)),"⚠ Type inconnu",IF($L3940="Crédit","",IFERROR(INDEX('Paramètres'!$O:$O,MATCH($D3940,'Paramètres'!$M:$M,0))&amp;"",""))))</f>
        <v/>
      </c>
      <c r="N3940" s="6" t="str">
        <f>IF($D3940="","",IFERROR(INDEX('Paramètres'!$Q:$Q,MATCH($D3940,'Paramètres'!$M:$M,0))&amp;"",""))</f>
        <v/>
      </c>
      <c r="O3940" s="6" t="str">
        <f>IF($A3940="","",IF(OR($J3940&lt;&gt;"x",$A3940&lt;=FinReleve),1,0))</f>
        <v/>
      </c>
      <c r="P3940" s="6" t="str">
        <f>IF($D3940="","",IF(AND($L3940="Crédit",OR(IFERROR(INDEX('Paramètres'!$O:$O,MATCH($D3940,'Paramètres'!$M:$M,0))&amp;"","")&lt;&gt;"",ISNUMBER(SEARCH("remboursement",IFERROR(INDEX('Paramètres'!$N:$N,MATCH($D3940,'Paramètres'!$M:$M,0))&amp;"",""))))),1,0))</f>
        <v/>
      </c>
      <c r="Q3940" s="6" t="str">
        <f>IF($K3940="","",IF(ISNUMBER(SEARCH("transfert-interne",IFERROR(INDEX('Paramètres'!$N:$N,MATCH($D3940,'Paramètres'!$M:$M,0))&amp;"",""))),0,IF($L3940="Débit",$K3940,IF($P3940=1,-$K3940,0))))</f>
        <v/>
      </c>
      <c r="R3940" s="6" t="str">
        <f>IF($K3940="","",IF($L3940="Crédit",$K3940,-$K3940))</f>
        <v/>
      </c>
      <c r="S3940" s="6" t="str">
        <f>IF($C3940="","",IFERROR(INDEX('Paramètres'!$H:$H,MATCH($C3940,'Paramètres'!$D:$D,0))&amp;"",""))</f>
        <v/>
      </c>
      <c r="T3940" s="6" t="str">
        <f>IF($K3940="","",IF($S3940="",0,IF(ISNUMBER(SEARCH("apport-exterieur",IFERROR(INDEX('Paramètres'!$N:$N,MATCH($D3940,'Paramètres'!$M:$M,0))&amp;"",""))),0,IF(OR(IFERROR(INDEX('Paramètres'!$I:$I,MATCH($C3940,'Paramètres'!$D:$D,0))&amp;"","")="Les deux",IFERROR(INDEX('Paramètres'!$I:$I,MATCH($C3940,'Paramètres'!$D:$D,0))&amp;"","")=IF($P3940=1,"Débit",$L3940)),-IF($P3940=1,-$K3940,$K3940),0))))</f>
        <v/>
      </c>
      <c r="U3940" s="6" t="str">
        <f>IF($K3940="","",IF(ISNUMBER(SEARCH("sortie-epargne",IFERROR(INDEX('Paramètres'!$N:$N,MATCH($D3940,'Paramètres'!$M:$M,0))&amp;"",""))),$K3940,0))</f>
        <v/>
      </c>
      <c r="V3940" s="6" t="str">
        <f>IF(AND($A3940&lt;&gt;"",$O3940=1,$L3940="Débit",N($Q3940)&gt;0,$A3940&gt;=Visualisation!$B$1,$A3940&lt;Visualisation!$D$1),MAX($V$1:V3939)+1,"")</f>
        <v/>
      </c>
    </row>
    <row r="3941" spans="1:22" x14ac:dyDescent="0.25">
      <c r="A3941" s="9"/>
      <c r="E3941" s="10"/>
      <c r="K3941" s="11" t="str">
        <f>IF($E3941="","",ROUND($E3941*IF(ISNA(MATCH($C3941,'Paramètres'!$D:$D,0)),1,IF(INDEX('Paramètres'!$J:$J,MATCH($C3941,'Paramètres'!$D:$D,0))="",1,INDEX('Paramètres'!$J:$J,MATCH($C3941,'Paramètres'!$D:$D,0)))),2))</f>
        <v/>
      </c>
      <c r="L3941" s="6" t="str">
        <f>IF($D3941="","",IF($F3941&lt;&gt;"",$F3941,IF(ISNA(MATCH($D3941,'Paramètres'!$M:$M,0)),"⚠ Type inconnu",IFERROR(INDEX('Paramètres'!$P:$P,MATCH($D3941,'Paramètres'!$M:$M,0))&amp;"",""))))</f>
        <v/>
      </c>
      <c r="M3941" s="6" t="str">
        <f>IF($D3941="","",IF(ISNA(MATCH($D3941,'Paramètres'!$M:$M,0)),"⚠ Type inconnu",IF($L3941="Crédit","",IFERROR(INDEX('Paramètres'!$O:$O,MATCH($D3941,'Paramètres'!$M:$M,0))&amp;"",""))))</f>
        <v/>
      </c>
      <c r="N3941" s="6" t="str">
        <f>IF($D3941="","",IFERROR(INDEX('Paramètres'!$Q:$Q,MATCH($D3941,'Paramètres'!$M:$M,0))&amp;"",""))</f>
        <v/>
      </c>
      <c r="O3941" s="6" t="str">
        <f>IF($A3941="","",IF(OR($J3941&lt;&gt;"x",$A3941&lt;=FinReleve),1,0))</f>
        <v/>
      </c>
      <c r="P3941" s="6" t="str">
        <f>IF($D3941="","",IF(AND($L3941="Crédit",OR(IFERROR(INDEX('Paramètres'!$O:$O,MATCH($D3941,'Paramètres'!$M:$M,0))&amp;"","")&lt;&gt;"",ISNUMBER(SEARCH("remboursement",IFERROR(INDEX('Paramètres'!$N:$N,MATCH($D3941,'Paramètres'!$M:$M,0))&amp;"",""))))),1,0))</f>
        <v/>
      </c>
      <c r="Q3941" s="6" t="str">
        <f>IF($K3941="","",IF(ISNUMBER(SEARCH("transfert-interne",IFERROR(INDEX('Paramètres'!$N:$N,MATCH($D3941,'Paramètres'!$M:$M,0))&amp;"",""))),0,IF($L3941="Débit",$K3941,IF($P3941=1,-$K3941,0))))</f>
        <v/>
      </c>
      <c r="R3941" s="6" t="str">
        <f>IF($K3941="","",IF($L3941="Crédit",$K3941,-$K3941))</f>
        <v/>
      </c>
      <c r="S3941" s="6" t="str">
        <f>IF($C3941="","",IFERROR(INDEX('Paramètres'!$H:$H,MATCH($C3941,'Paramètres'!$D:$D,0))&amp;"",""))</f>
        <v/>
      </c>
      <c r="T3941" s="6" t="str">
        <f>IF($K3941="","",IF($S3941="",0,IF(ISNUMBER(SEARCH("apport-exterieur",IFERROR(INDEX('Paramètres'!$N:$N,MATCH($D3941,'Paramètres'!$M:$M,0))&amp;"",""))),0,IF(OR(IFERROR(INDEX('Paramètres'!$I:$I,MATCH($C3941,'Paramètres'!$D:$D,0))&amp;"","")="Les deux",IFERROR(INDEX('Paramètres'!$I:$I,MATCH($C3941,'Paramètres'!$D:$D,0))&amp;"","")=IF($P3941=1,"Débit",$L3941)),-IF($P3941=1,-$K3941,$K3941),0))))</f>
        <v/>
      </c>
      <c r="U3941" s="6" t="str">
        <f>IF($K3941="","",IF(ISNUMBER(SEARCH("sortie-epargne",IFERROR(INDEX('Paramètres'!$N:$N,MATCH($D3941,'Paramètres'!$M:$M,0))&amp;"",""))),$K3941,0))</f>
        <v/>
      </c>
      <c r="V3941" s="6" t="str">
        <f>IF(AND($A3941&lt;&gt;"",$O3941=1,$L3941="Débit",N($Q3941)&gt;0,$A3941&gt;=Visualisation!$B$1,$A3941&lt;Visualisation!$D$1),MAX($V$1:V3940)+1,"")</f>
        <v/>
      </c>
    </row>
    <row r="3942" spans="1:22" x14ac:dyDescent="0.25">
      <c r="A3942" s="9"/>
      <c r="E3942" s="10"/>
      <c r="K3942" s="11" t="str">
        <f>IF($E3942="","",ROUND($E3942*IF(ISNA(MATCH($C3942,'Paramètres'!$D:$D,0)),1,IF(INDEX('Paramètres'!$J:$J,MATCH($C3942,'Paramètres'!$D:$D,0))="",1,INDEX('Paramètres'!$J:$J,MATCH($C3942,'Paramètres'!$D:$D,0)))),2))</f>
        <v/>
      </c>
      <c r="L3942" s="6" t="str">
        <f>IF($D3942="","",IF($F3942&lt;&gt;"",$F3942,IF(ISNA(MATCH($D3942,'Paramètres'!$M:$M,0)),"⚠ Type inconnu",IFERROR(INDEX('Paramètres'!$P:$P,MATCH($D3942,'Paramètres'!$M:$M,0))&amp;"",""))))</f>
        <v/>
      </c>
      <c r="M3942" s="6" t="str">
        <f>IF($D3942="","",IF(ISNA(MATCH($D3942,'Paramètres'!$M:$M,0)),"⚠ Type inconnu",IF($L3942="Crédit","",IFERROR(INDEX('Paramètres'!$O:$O,MATCH($D3942,'Paramètres'!$M:$M,0))&amp;"",""))))</f>
        <v/>
      </c>
      <c r="N3942" s="6" t="str">
        <f>IF($D3942="","",IFERROR(INDEX('Paramètres'!$Q:$Q,MATCH($D3942,'Paramètres'!$M:$M,0))&amp;"",""))</f>
        <v/>
      </c>
      <c r="O3942" s="6" t="str">
        <f>IF($A3942="","",IF(OR($J3942&lt;&gt;"x",$A3942&lt;=FinReleve),1,0))</f>
        <v/>
      </c>
      <c r="P3942" s="6" t="str">
        <f>IF($D3942="","",IF(AND($L3942="Crédit",OR(IFERROR(INDEX('Paramètres'!$O:$O,MATCH($D3942,'Paramètres'!$M:$M,0))&amp;"","")&lt;&gt;"",ISNUMBER(SEARCH("remboursement",IFERROR(INDEX('Paramètres'!$N:$N,MATCH($D3942,'Paramètres'!$M:$M,0))&amp;"",""))))),1,0))</f>
        <v/>
      </c>
      <c r="Q3942" s="6" t="str">
        <f>IF($K3942="","",IF(ISNUMBER(SEARCH("transfert-interne",IFERROR(INDEX('Paramètres'!$N:$N,MATCH($D3942,'Paramètres'!$M:$M,0))&amp;"",""))),0,IF($L3942="Débit",$K3942,IF($P3942=1,-$K3942,0))))</f>
        <v/>
      </c>
      <c r="R3942" s="6" t="str">
        <f>IF($K3942="","",IF($L3942="Crédit",$K3942,-$K3942))</f>
        <v/>
      </c>
      <c r="S3942" s="6" t="str">
        <f>IF($C3942="","",IFERROR(INDEX('Paramètres'!$H:$H,MATCH($C3942,'Paramètres'!$D:$D,0))&amp;"",""))</f>
        <v/>
      </c>
      <c r="T3942" s="6" t="str">
        <f>IF($K3942="","",IF($S3942="",0,IF(ISNUMBER(SEARCH("apport-exterieur",IFERROR(INDEX('Paramètres'!$N:$N,MATCH($D3942,'Paramètres'!$M:$M,0))&amp;"",""))),0,IF(OR(IFERROR(INDEX('Paramètres'!$I:$I,MATCH($C3942,'Paramètres'!$D:$D,0))&amp;"","")="Les deux",IFERROR(INDEX('Paramètres'!$I:$I,MATCH($C3942,'Paramètres'!$D:$D,0))&amp;"","")=IF($P3942=1,"Débit",$L3942)),-IF($P3942=1,-$K3942,$K3942),0))))</f>
        <v/>
      </c>
      <c r="U3942" s="6" t="str">
        <f>IF($K3942="","",IF(ISNUMBER(SEARCH("sortie-epargne",IFERROR(INDEX('Paramètres'!$N:$N,MATCH($D3942,'Paramètres'!$M:$M,0))&amp;"",""))),$K3942,0))</f>
        <v/>
      </c>
      <c r="V3942" s="6" t="str">
        <f>IF(AND($A3942&lt;&gt;"",$O3942=1,$L3942="Débit",N($Q3942)&gt;0,$A3942&gt;=Visualisation!$B$1,$A3942&lt;Visualisation!$D$1),MAX($V$1:V3941)+1,"")</f>
        <v/>
      </c>
    </row>
    <row r="3943" spans="1:22" x14ac:dyDescent="0.25">
      <c r="A3943" s="9"/>
      <c r="E3943" s="10"/>
      <c r="K3943" s="11" t="str">
        <f>IF($E3943="","",ROUND($E3943*IF(ISNA(MATCH($C3943,'Paramètres'!$D:$D,0)),1,IF(INDEX('Paramètres'!$J:$J,MATCH($C3943,'Paramètres'!$D:$D,0))="",1,INDEX('Paramètres'!$J:$J,MATCH($C3943,'Paramètres'!$D:$D,0)))),2))</f>
        <v/>
      </c>
      <c r="L3943" s="6" t="str">
        <f>IF($D3943="","",IF($F3943&lt;&gt;"",$F3943,IF(ISNA(MATCH($D3943,'Paramètres'!$M:$M,0)),"⚠ Type inconnu",IFERROR(INDEX('Paramètres'!$P:$P,MATCH($D3943,'Paramètres'!$M:$M,0))&amp;"",""))))</f>
        <v/>
      </c>
      <c r="M3943" s="6" t="str">
        <f>IF($D3943="","",IF(ISNA(MATCH($D3943,'Paramètres'!$M:$M,0)),"⚠ Type inconnu",IF($L3943="Crédit","",IFERROR(INDEX('Paramètres'!$O:$O,MATCH($D3943,'Paramètres'!$M:$M,0))&amp;"",""))))</f>
        <v/>
      </c>
      <c r="N3943" s="6" t="str">
        <f>IF($D3943="","",IFERROR(INDEX('Paramètres'!$Q:$Q,MATCH($D3943,'Paramètres'!$M:$M,0))&amp;"",""))</f>
        <v/>
      </c>
      <c r="O3943" s="6" t="str">
        <f>IF($A3943="","",IF(OR($J3943&lt;&gt;"x",$A3943&lt;=FinReleve),1,0))</f>
        <v/>
      </c>
      <c r="P3943" s="6" t="str">
        <f>IF($D3943="","",IF(AND($L3943="Crédit",OR(IFERROR(INDEX('Paramètres'!$O:$O,MATCH($D3943,'Paramètres'!$M:$M,0))&amp;"","")&lt;&gt;"",ISNUMBER(SEARCH("remboursement",IFERROR(INDEX('Paramètres'!$N:$N,MATCH($D3943,'Paramètres'!$M:$M,0))&amp;"",""))))),1,0))</f>
        <v/>
      </c>
      <c r="Q3943" s="6" t="str">
        <f>IF($K3943="","",IF(ISNUMBER(SEARCH("transfert-interne",IFERROR(INDEX('Paramètres'!$N:$N,MATCH($D3943,'Paramètres'!$M:$M,0))&amp;"",""))),0,IF($L3943="Débit",$K3943,IF($P3943=1,-$K3943,0))))</f>
        <v/>
      </c>
      <c r="R3943" s="6" t="str">
        <f>IF($K3943="","",IF($L3943="Crédit",$K3943,-$K3943))</f>
        <v/>
      </c>
      <c r="S3943" s="6" t="str">
        <f>IF($C3943="","",IFERROR(INDEX('Paramètres'!$H:$H,MATCH($C3943,'Paramètres'!$D:$D,0))&amp;"",""))</f>
        <v/>
      </c>
      <c r="T3943" s="6" t="str">
        <f>IF($K3943="","",IF($S3943="",0,IF(ISNUMBER(SEARCH("apport-exterieur",IFERROR(INDEX('Paramètres'!$N:$N,MATCH($D3943,'Paramètres'!$M:$M,0))&amp;"",""))),0,IF(OR(IFERROR(INDEX('Paramètres'!$I:$I,MATCH($C3943,'Paramètres'!$D:$D,0))&amp;"","")="Les deux",IFERROR(INDEX('Paramètres'!$I:$I,MATCH($C3943,'Paramètres'!$D:$D,0))&amp;"","")=IF($P3943=1,"Débit",$L3943)),-IF($P3943=1,-$K3943,$K3943),0))))</f>
        <v/>
      </c>
      <c r="U3943" s="6" t="str">
        <f>IF($K3943="","",IF(ISNUMBER(SEARCH("sortie-epargne",IFERROR(INDEX('Paramètres'!$N:$N,MATCH($D3943,'Paramètres'!$M:$M,0))&amp;"",""))),$K3943,0))</f>
        <v/>
      </c>
      <c r="V3943" s="6" t="str">
        <f>IF(AND($A3943&lt;&gt;"",$O3943=1,$L3943="Débit",N($Q3943)&gt;0,$A3943&gt;=Visualisation!$B$1,$A3943&lt;Visualisation!$D$1),MAX($V$1:V3942)+1,"")</f>
        <v/>
      </c>
    </row>
    <row r="3944" spans="1:22" x14ac:dyDescent="0.25">
      <c r="A3944" s="9"/>
      <c r="E3944" s="10"/>
      <c r="K3944" s="11" t="str">
        <f>IF($E3944="","",ROUND($E3944*IF(ISNA(MATCH($C3944,'Paramètres'!$D:$D,0)),1,IF(INDEX('Paramètres'!$J:$J,MATCH($C3944,'Paramètres'!$D:$D,0))="",1,INDEX('Paramètres'!$J:$J,MATCH($C3944,'Paramètres'!$D:$D,0)))),2))</f>
        <v/>
      </c>
      <c r="L3944" s="6" t="str">
        <f>IF($D3944="","",IF($F3944&lt;&gt;"",$F3944,IF(ISNA(MATCH($D3944,'Paramètres'!$M:$M,0)),"⚠ Type inconnu",IFERROR(INDEX('Paramètres'!$P:$P,MATCH($D3944,'Paramètres'!$M:$M,0))&amp;"",""))))</f>
        <v/>
      </c>
      <c r="M3944" s="6" t="str">
        <f>IF($D3944="","",IF(ISNA(MATCH($D3944,'Paramètres'!$M:$M,0)),"⚠ Type inconnu",IF($L3944="Crédit","",IFERROR(INDEX('Paramètres'!$O:$O,MATCH($D3944,'Paramètres'!$M:$M,0))&amp;"",""))))</f>
        <v/>
      </c>
      <c r="N3944" s="6" t="str">
        <f>IF($D3944="","",IFERROR(INDEX('Paramètres'!$Q:$Q,MATCH($D3944,'Paramètres'!$M:$M,0))&amp;"",""))</f>
        <v/>
      </c>
      <c r="O3944" s="6" t="str">
        <f>IF($A3944="","",IF(OR($J3944&lt;&gt;"x",$A3944&lt;=FinReleve),1,0))</f>
        <v/>
      </c>
      <c r="P3944" s="6" t="str">
        <f>IF($D3944="","",IF(AND($L3944="Crédit",OR(IFERROR(INDEX('Paramètres'!$O:$O,MATCH($D3944,'Paramètres'!$M:$M,0))&amp;"","")&lt;&gt;"",ISNUMBER(SEARCH("remboursement",IFERROR(INDEX('Paramètres'!$N:$N,MATCH($D3944,'Paramètres'!$M:$M,0))&amp;"",""))))),1,0))</f>
        <v/>
      </c>
      <c r="Q3944" s="6" t="str">
        <f>IF($K3944="","",IF(ISNUMBER(SEARCH("transfert-interne",IFERROR(INDEX('Paramètres'!$N:$N,MATCH($D3944,'Paramètres'!$M:$M,0))&amp;"",""))),0,IF($L3944="Débit",$K3944,IF($P3944=1,-$K3944,0))))</f>
        <v/>
      </c>
      <c r="R3944" s="6" t="str">
        <f>IF($K3944="","",IF($L3944="Crédit",$K3944,-$K3944))</f>
        <v/>
      </c>
      <c r="S3944" s="6" t="str">
        <f>IF($C3944="","",IFERROR(INDEX('Paramètres'!$H:$H,MATCH($C3944,'Paramètres'!$D:$D,0))&amp;"",""))</f>
        <v/>
      </c>
      <c r="T3944" s="6" t="str">
        <f>IF($K3944="","",IF($S3944="",0,IF(ISNUMBER(SEARCH("apport-exterieur",IFERROR(INDEX('Paramètres'!$N:$N,MATCH($D3944,'Paramètres'!$M:$M,0))&amp;"",""))),0,IF(OR(IFERROR(INDEX('Paramètres'!$I:$I,MATCH($C3944,'Paramètres'!$D:$D,0))&amp;"","")="Les deux",IFERROR(INDEX('Paramètres'!$I:$I,MATCH($C3944,'Paramètres'!$D:$D,0))&amp;"","")=IF($P3944=1,"Débit",$L3944)),-IF($P3944=1,-$K3944,$K3944),0))))</f>
        <v/>
      </c>
      <c r="U3944" s="6" t="str">
        <f>IF($K3944="","",IF(ISNUMBER(SEARCH("sortie-epargne",IFERROR(INDEX('Paramètres'!$N:$N,MATCH($D3944,'Paramètres'!$M:$M,0))&amp;"",""))),$K3944,0))</f>
        <v/>
      </c>
      <c r="V3944" s="6" t="str">
        <f>IF(AND($A3944&lt;&gt;"",$O3944=1,$L3944="Débit",N($Q3944)&gt;0,$A3944&gt;=Visualisation!$B$1,$A3944&lt;Visualisation!$D$1),MAX($V$1:V3943)+1,"")</f>
        <v/>
      </c>
    </row>
    <row r="3945" spans="1:22" x14ac:dyDescent="0.25">
      <c r="A3945" s="9"/>
      <c r="E3945" s="10"/>
      <c r="K3945" s="11" t="str">
        <f>IF($E3945="","",ROUND($E3945*IF(ISNA(MATCH($C3945,'Paramètres'!$D:$D,0)),1,IF(INDEX('Paramètres'!$J:$J,MATCH($C3945,'Paramètres'!$D:$D,0))="",1,INDEX('Paramètres'!$J:$J,MATCH($C3945,'Paramètres'!$D:$D,0)))),2))</f>
        <v/>
      </c>
      <c r="L3945" s="6" t="str">
        <f>IF($D3945="","",IF($F3945&lt;&gt;"",$F3945,IF(ISNA(MATCH($D3945,'Paramètres'!$M:$M,0)),"⚠ Type inconnu",IFERROR(INDEX('Paramètres'!$P:$P,MATCH($D3945,'Paramètres'!$M:$M,0))&amp;"",""))))</f>
        <v/>
      </c>
      <c r="M3945" s="6" t="str">
        <f>IF($D3945="","",IF(ISNA(MATCH($D3945,'Paramètres'!$M:$M,0)),"⚠ Type inconnu",IF($L3945="Crédit","",IFERROR(INDEX('Paramètres'!$O:$O,MATCH($D3945,'Paramètres'!$M:$M,0))&amp;"",""))))</f>
        <v/>
      </c>
      <c r="N3945" s="6" t="str">
        <f>IF($D3945="","",IFERROR(INDEX('Paramètres'!$Q:$Q,MATCH($D3945,'Paramètres'!$M:$M,0))&amp;"",""))</f>
        <v/>
      </c>
      <c r="O3945" s="6" t="str">
        <f>IF($A3945="","",IF(OR($J3945&lt;&gt;"x",$A3945&lt;=FinReleve),1,0))</f>
        <v/>
      </c>
      <c r="P3945" s="6" t="str">
        <f>IF($D3945="","",IF(AND($L3945="Crédit",OR(IFERROR(INDEX('Paramètres'!$O:$O,MATCH($D3945,'Paramètres'!$M:$M,0))&amp;"","")&lt;&gt;"",ISNUMBER(SEARCH("remboursement",IFERROR(INDEX('Paramètres'!$N:$N,MATCH($D3945,'Paramètres'!$M:$M,0))&amp;"",""))))),1,0))</f>
        <v/>
      </c>
      <c r="Q3945" s="6" t="str">
        <f>IF($K3945="","",IF(ISNUMBER(SEARCH("transfert-interne",IFERROR(INDEX('Paramètres'!$N:$N,MATCH($D3945,'Paramètres'!$M:$M,0))&amp;"",""))),0,IF($L3945="Débit",$K3945,IF($P3945=1,-$K3945,0))))</f>
        <v/>
      </c>
      <c r="R3945" s="6" t="str">
        <f>IF($K3945="","",IF($L3945="Crédit",$K3945,-$K3945))</f>
        <v/>
      </c>
      <c r="S3945" s="6" t="str">
        <f>IF($C3945="","",IFERROR(INDEX('Paramètres'!$H:$H,MATCH($C3945,'Paramètres'!$D:$D,0))&amp;"",""))</f>
        <v/>
      </c>
      <c r="T3945" s="6" t="str">
        <f>IF($K3945="","",IF($S3945="",0,IF(ISNUMBER(SEARCH("apport-exterieur",IFERROR(INDEX('Paramètres'!$N:$N,MATCH($D3945,'Paramètres'!$M:$M,0))&amp;"",""))),0,IF(OR(IFERROR(INDEX('Paramètres'!$I:$I,MATCH($C3945,'Paramètres'!$D:$D,0))&amp;"","")="Les deux",IFERROR(INDEX('Paramètres'!$I:$I,MATCH($C3945,'Paramètres'!$D:$D,0))&amp;"","")=IF($P3945=1,"Débit",$L3945)),-IF($P3945=1,-$K3945,$K3945),0))))</f>
        <v/>
      </c>
      <c r="U3945" s="6" t="str">
        <f>IF($K3945="","",IF(ISNUMBER(SEARCH("sortie-epargne",IFERROR(INDEX('Paramètres'!$N:$N,MATCH($D3945,'Paramètres'!$M:$M,0))&amp;"",""))),$K3945,0))</f>
        <v/>
      </c>
      <c r="V3945" s="6" t="str">
        <f>IF(AND($A3945&lt;&gt;"",$O3945=1,$L3945="Débit",N($Q3945)&gt;0,$A3945&gt;=Visualisation!$B$1,$A3945&lt;Visualisation!$D$1),MAX($V$1:V3944)+1,"")</f>
        <v/>
      </c>
    </row>
    <row r="3946" spans="1:22" x14ac:dyDescent="0.25">
      <c r="A3946" s="9"/>
      <c r="E3946" s="10"/>
      <c r="K3946" s="11" t="str">
        <f>IF($E3946="","",ROUND($E3946*IF(ISNA(MATCH($C3946,'Paramètres'!$D:$D,0)),1,IF(INDEX('Paramètres'!$J:$J,MATCH($C3946,'Paramètres'!$D:$D,0))="",1,INDEX('Paramètres'!$J:$J,MATCH($C3946,'Paramètres'!$D:$D,0)))),2))</f>
        <v/>
      </c>
      <c r="L3946" s="6" t="str">
        <f>IF($D3946="","",IF($F3946&lt;&gt;"",$F3946,IF(ISNA(MATCH($D3946,'Paramètres'!$M:$M,0)),"⚠ Type inconnu",IFERROR(INDEX('Paramètres'!$P:$P,MATCH($D3946,'Paramètres'!$M:$M,0))&amp;"",""))))</f>
        <v/>
      </c>
      <c r="M3946" s="6" t="str">
        <f>IF($D3946="","",IF(ISNA(MATCH($D3946,'Paramètres'!$M:$M,0)),"⚠ Type inconnu",IF($L3946="Crédit","",IFERROR(INDEX('Paramètres'!$O:$O,MATCH($D3946,'Paramètres'!$M:$M,0))&amp;"",""))))</f>
        <v/>
      </c>
      <c r="N3946" s="6" t="str">
        <f>IF($D3946="","",IFERROR(INDEX('Paramètres'!$Q:$Q,MATCH($D3946,'Paramètres'!$M:$M,0))&amp;"",""))</f>
        <v/>
      </c>
      <c r="O3946" s="6" t="str">
        <f>IF($A3946="","",IF(OR($J3946&lt;&gt;"x",$A3946&lt;=FinReleve),1,0))</f>
        <v/>
      </c>
      <c r="P3946" s="6" t="str">
        <f>IF($D3946="","",IF(AND($L3946="Crédit",OR(IFERROR(INDEX('Paramètres'!$O:$O,MATCH($D3946,'Paramètres'!$M:$M,0))&amp;"","")&lt;&gt;"",ISNUMBER(SEARCH("remboursement",IFERROR(INDEX('Paramètres'!$N:$N,MATCH($D3946,'Paramètres'!$M:$M,0))&amp;"",""))))),1,0))</f>
        <v/>
      </c>
      <c r="Q3946" s="6" t="str">
        <f>IF($K3946="","",IF(ISNUMBER(SEARCH("transfert-interne",IFERROR(INDEX('Paramètres'!$N:$N,MATCH($D3946,'Paramètres'!$M:$M,0))&amp;"",""))),0,IF($L3946="Débit",$K3946,IF($P3946=1,-$K3946,0))))</f>
        <v/>
      </c>
      <c r="R3946" s="6" t="str">
        <f>IF($K3946="","",IF($L3946="Crédit",$K3946,-$K3946))</f>
        <v/>
      </c>
      <c r="S3946" s="6" t="str">
        <f>IF($C3946="","",IFERROR(INDEX('Paramètres'!$H:$H,MATCH($C3946,'Paramètres'!$D:$D,0))&amp;"",""))</f>
        <v/>
      </c>
      <c r="T3946" s="6" t="str">
        <f>IF($K3946="","",IF($S3946="",0,IF(ISNUMBER(SEARCH("apport-exterieur",IFERROR(INDEX('Paramètres'!$N:$N,MATCH($D3946,'Paramètres'!$M:$M,0))&amp;"",""))),0,IF(OR(IFERROR(INDEX('Paramètres'!$I:$I,MATCH($C3946,'Paramètres'!$D:$D,0))&amp;"","")="Les deux",IFERROR(INDEX('Paramètres'!$I:$I,MATCH($C3946,'Paramètres'!$D:$D,0))&amp;"","")=IF($P3946=1,"Débit",$L3946)),-IF($P3946=1,-$K3946,$K3946),0))))</f>
        <v/>
      </c>
      <c r="U3946" s="6" t="str">
        <f>IF($K3946="","",IF(ISNUMBER(SEARCH("sortie-epargne",IFERROR(INDEX('Paramètres'!$N:$N,MATCH($D3946,'Paramètres'!$M:$M,0))&amp;"",""))),$K3946,0))</f>
        <v/>
      </c>
      <c r="V3946" s="6" t="str">
        <f>IF(AND($A3946&lt;&gt;"",$O3946=1,$L3946="Débit",N($Q3946)&gt;0,$A3946&gt;=Visualisation!$B$1,$A3946&lt;Visualisation!$D$1),MAX($V$1:V3945)+1,"")</f>
        <v/>
      </c>
    </row>
    <row r="3947" spans="1:22" x14ac:dyDescent="0.25">
      <c r="A3947" s="9"/>
      <c r="E3947" s="10"/>
      <c r="K3947" s="11" t="str">
        <f>IF($E3947="","",ROUND($E3947*IF(ISNA(MATCH($C3947,'Paramètres'!$D:$D,0)),1,IF(INDEX('Paramètres'!$J:$J,MATCH($C3947,'Paramètres'!$D:$D,0))="",1,INDEX('Paramètres'!$J:$J,MATCH($C3947,'Paramètres'!$D:$D,0)))),2))</f>
        <v/>
      </c>
      <c r="L3947" s="6" t="str">
        <f>IF($D3947="","",IF($F3947&lt;&gt;"",$F3947,IF(ISNA(MATCH($D3947,'Paramètres'!$M:$M,0)),"⚠ Type inconnu",IFERROR(INDEX('Paramètres'!$P:$P,MATCH($D3947,'Paramètres'!$M:$M,0))&amp;"",""))))</f>
        <v/>
      </c>
      <c r="M3947" s="6" t="str">
        <f>IF($D3947="","",IF(ISNA(MATCH($D3947,'Paramètres'!$M:$M,0)),"⚠ Type inconnu",IF($L3947="Crédit","",IFERROR(INDEX('Paramètres'!$O:$O,MATCH($D3947,'Paramètres'!$M:$M,0))&amp;"",""))))</f>
        <v/>
      </c>
      <c r="N3947" s="6" t="str">
        <f>IF($D3947="","",IFERROR(INDEX('Paramètres'!$Q:$Q,MATCH($D3947,'Paramètres'!$M:$M,0))&amp;"",""))</f>
        <v/>
      </c>
      <c r="O3947" s="6" t="str">
        <f>IF($A3947="","",IF(OR($J3947&lt;&gt;"x",$A3947&lt;=FinReleve),1,0))</f>
        <v/>
      </c>
      <c r="P3947" s="6" t="str">
        <f>IF($D3947="","",IF(AND($L3947="Crédit",OR(IFERROR(INDEX('Paramètres'!$O:$O,MATCH($D3947,'Paramètres'!$M:$M,0))&amp;"","")&lt;&gt;"",ISNUMBER(SEARCH("remboursement",IFERROR(INDEX('Paramètres'!$N:$N,MATCH($D3947,'Paramètres'!$M:$M,0))&amp;"",""))))),1,0))</f>
        <v/>
      </c>
      <c r="Q3947" s="6" t="str">
        <f>IF($K3947="","",IF(ISNUMBER(SEARCH("transfert-interne",IFERROR(INDEX('Paramètres'!$N:$N,MATCH($D3947,'Paramètres'!$M:$M,0))&amp;"",""))),0,IF($L3947="Débit",$K3947,IF($P3947=1,-$K3947,0))))</f>
        <v/>
      </c>
      <c r="R3947" s="6" t="str">
        <f>IF($K3947="","",IF($L3947="Crédit",$K3947,-$K3947))</f>
        <v/>
      </c>
      <c r="S3947" s="6" t="str">
        <f>IF($C3947="","",IFERROR(INDEX('Paramètres'!$H:$H,MATCH($C3947,'Paramètres'!$D:$D,0))&amp;"",""))</f>
        <v/>
      </c>
      <c r="T3947" s="6" t="str">
        <f>IF($K3947="","",IF($S3947="",0,IF(ISNUMBER(SEARCH("apport-exterieur",IFERROR(INDEX('Paramètres'!$N:$N,MATCH($D3947,'Paramètres'!$M:$M,0))&amp;"",""))),0,IF(OR(IFERROR(INDEX('Paramètres'!$I:$I,MATCH($C3947,'Paramètres'!$D:$D,0))&amp;"","")="Les deux",IFERROR(INDEX('Paramètres'!$I:$I,MATCH($C3947,'Paramètres'!$D:$D,0))&amp;"","")=IF($P3947=1,"Débit",$L3947)),-IF($P3947=1,-$K3947,$K3947),0))))</f>
        <v/>
      </c>
      <c r="U3947" s="6" t="str">
        <f>IF($K3947="","",IF(ISNUMBER(SEARCH("sortie-epargne",IFERROR(INDEX('Paramètres'!$N:$N,MATCH($D3947,'Paramètres'!$M:$M,0))&amp;"",""))),$K3947,0))</f>
        <v/>
      </c>
      <c r="V3947" s="6" t="str">
        <f>IF(AND($A3947&lt;&gt;"",$O3947=1,$L3947="Débit",N($Q3947)&gt;0,$A3947&gt;=Visualisation!$B$1,$A3947&lt;Visualisation!$D$1),MAX($V$1:V3946)+1,"")</f>
        <v/>
      </c>
    </row>
    <row r="3948" spans="1:22" x14ac:dyDescent="0.25">
      <c r="A3948" s="9"/>
      <c r="E3948" s="10"/>
      <c r="K3948" s="11" t="str">
        <f>IF($E3948="","",ROUND($E3948*IF(ISNA(MATCH($C3948,'Paramètres'!$D:$D,0)),1,IF(INDEX('Paramètres'!$J:$J,MATCH($C3948,'Paramètres'!$D:$D,0))="",1,INDEX('Paramètres'!$J:$J,MATCH($C3948,'Paramètres'!$D:$D,0)))),2))</f>
        <v/>
      </c>
      <c r="L3948" s="6" t="str">
        <f>IF($D3948="","",IF($F3948&lt;&gt;"",$F3948,IF(ISNA(MATCH($D3948,'Paramètres'!$M:$M,0)),"⚠ Type inconnu",IFERROR(INDEX('Paramètres'!$P:$P,MATCH($D3948,'Paramètres'!$M:$M,0))&amp;"",""))))</f>
        <v/>
      </c>
      <c r="M3948" s="6" t="str">
        <f>IF($D3948="","",IF(ISNA(MATCH($D3948,'Paramètres'!$M:$M,0)),"⚠ Type inconnu",IF($L3948="Crédit","",IFERROR(INDEX('Paramètres'!$O:$O,MATCH($D3948,'Paramètres'!$M:$M,0))&amp;"",""))))</f>
        <v/>
      </c>
      <c r="N3948" s="6" t="str">
        <f>IF($D3948="","",IFERROR(INDEX('Paramètres'!$Q:$Q,MATCH($D3948,'Paramètres'!$M:$M,0))&amp;"",""))</f>
        <v/>
      </c>
      <c r="O3948" s="6" t="str">
        <f>IF($A3948="","",IF(OR($J3948&lt;&gt;"x",$A3948&lt;=FinReleve),1,0))</f>
        <v/>
      </c>
      <c r="P3948" s="6" t="str">
        <f>IF($D3948="","",IF(AND($L3948="Crédit",OR(IFERROR(INDEX('Paramètres'!$O:$O,MATCH($D3948,'Paramètres'!$M:$M,0))&amp;"","")&lt;&gt;"",ISNUMBER(SEARCH("remboursement",IFERROR(INDEX('Paramètres'!$N:$N,MATCH($D3948,'Paramètres'!$M:$M,0))&amp;"",""))))),1,0))</f>
        <v/>
      </c>
      <c r="Q3948" s="6" t="str">
        <f>IF($K3948="","",IF(ISNUMBER(SEARCH("transfert-interne",IFERROR(INDEX('Paramètres'!$N:$N,MATCH($D3948,'Paramètres'!$M:$M,0))&amp;"",""))),0,IF($L3948="Débit",$K3948,IF($P3948=1,-$K3948,0))))</f>
        <v/>
      </c>
      <c r="R3948" s="6" t="str">
        <f>IF($K3948="","",IF($L3948="Crédit",$K3948,-$K3948))</f>
        <v/>
      </c>
      <c r="S3948" s="6" t="str">
        <f>IF($C3948="","",IFERROR(INDEX('Paramètres'!$H:$H,MATCH($C3948,'Paramètres'!$D:$D,0))&amp;"",""))</f>
        <v/>
      </c>
      <c r="T3948" s="6" t="str">
        <f>IF($K3948="","",IF($S3948="",0,IF(ISNUMBER(SEARCH("apport-exterieur",IFERROR(INDEX('Paramètres'!$N:$N,MATCH($D3948,'Paramètres'!$M:$M,0))&amp;"",""))),0,IF(OR(IFERROR(INDEX('Paramètres'!$I:$I,MATCH($C3948,'Paramètres'!$D:$D,0))&amp;"","")="Les deux",IFERROR(INDEX('Paramètres'!$I:$I,MATCH($C3948,'Paramètres'!$D:$D,0))&amp;"","")=IF($P3948=1,"Débit",$L3948)),-IF($P3948=1,-$K3948,$K3948),0))))</f>
        <v/>
      </c>
      <c r="U3948" s="6" t="str">
        <f>IF($K3948="","",IF(ISNUMBER(SEARCH("sortie-epargne",IFERROR(INDEX('Paramètres'!$N:$N,MATCH($D3948,'Paramètres'!$M:$M,0))&amp;"",""))),$K3948,0))</f>
        <v/>
      </c>
      <c r="V3948" s="6" t="str">
        <f>IF(AND($A3948&lt;&gt;"",$O3948=1,$L3948="Débit",N($Q3948)&gt;0,$A3948&gt;=Visualisation!$B$1,$A3948&lt;Visualisation!$D$1),MAX($V$1:V3947)+1,"")</f>
        <v/>
      </c>
    </row>
    <row r="3949" spans="1:22" x14ac:dyDescent="0.25">
      <c r="A3949" s="9"/>
      <c r="E3949" s="10"/>
      <c r="K3949" s="11" t="str">
        <f>IF($E3949="","",ROUND($E3949*IF(ISNA(MATCH($C3949,'Paramètres'!$D:$D,0)),1,IF(INDEX('Paramètres'!$J:$J,MATCH($C3949,'Paramètres'!$D:$D,0))="",1,INDEX('Paramètres'!$J:$J,MATCH($C3949,'Paramètres'!$D:$D,0)))),2))</f>
        <v/>
      </c>
      <c r="L3949" s="6" t="str">
        <f>IF($D3949="","",IF($F3949&lt;&gt;"",$F3949,IF(ISNA(MATCH($D3949,'Paramètres'!$M:$M,0)),"⚠ Type inconnu",IFERROR(INDEX('Paramètres'!$P:$P,MATCH($D3949,'Paramètres'!$M:$M,0))&amp;"",""))))</f>
        <v/>
      </c>
      <c r="M3949" s="6" t="str">
        <f>IF($D3949="","",IF(ISNA(MATCH($D3949,'Paramètres'!$M:$M,0)),"⚠ Type inconnu",IF($L3949="Crédit","",IFERROR(INDEX('Paramètres'!$O:$O,MATCH($D3949,'Paramètres'!$M:$M,0))&amp;"",""))))</f>
        <v/>
      </c>
      <c r="N3949" s="6" t="str">
        <f>IF($D3949="","",IFERROR(INDEX('Paramètres'!$Q:$Q,MATCH($D3949,'Paramètres'!$M:$M,0))&amp;"",""))</f>
        <v/>
      </c>
      <c r="O3949" s="6" t="str">
        <f>IF($A3949="","",IF(OR($J3949&lt;&gt;"x",$A3949&lt;=FinReleve),1,0))</f>
        <v/>
      </c>
      <c r="P3949" s="6" t="str">
        <f>IF($D3949="","",IF(AND($L3949="Crédit",OR(IFERROR(INDEX('Paramètres'!$O:$O,MATCH($D3949,'Paramètres'!$M:$M,0))&amp;"","")&lt;&gt;"",ISNUMBER(SEARCH("remboursement",IFERROR(INDEX('Paramètres'!$N:$N,MATCH($D3949,'Paramètres'!$M:$M,0))&amp;"",""))))),1,0))</f>
        <v/>
      </c>
      <c r="Q3949" s="6" t="str">
        <f>IF($K3949="","",IF(ISNUMBER(SEARCH("transfert-interne",IFERROR(INDEX('Paramètres'!$N:$N,MATCH($D3949,'Paramètres'!$M:$M,0))&amp;"",""))),0,IF($L3949="Débit",$K3949,IF($P3949=1,-$K3949,0))))</f>
        <v/>
      </c>
      <c r="R3949" s="6" t="str">
        <f>IF($K3949="","",IF($L3949="Crédit",$K3949,-$K3949))</f>
        <v/>
      </c>
      <c r="S3949" s="6" t="str">
        <f>IF($C3949="","",IFERROR(INDEX('Paramètres'!$H:$H,MATCH($C3949,'Paramètres'!$D:$D,0))&amp;"",""))</f>
        <v/>
      </c>
      <c r="T3949" s="6" t="str">
        <f>IF($K3949="","",IF($S3949="",0,IF(ISNUMBER(SEARCH("apport-exterieur",IFERROR(INDEX('Paramètres'!$N:$N,MATCH($D3949,'Paramètres'!$M:$M,0))&amp;"",""))),0,IF(OR(IFERROR(INDEX('Paramètres'!$I:$I,MATCH($C3949,'Paramètres'!$D:$D,0))&amp;"","")="Les deux",IFERROR(INDEX('Paramètres'!$I:$I,MATCH($C3949,'Paramètres'!$D:$D,0))&amp;"","")=IF($P3949=1,"Débit",$L3949)),-IF($P3949=1,-$K3949,$K3949),0))))</f>
        <v/>
      </c>
      <c r="U3949" s="6" t="str">
        <f>IF($K3949="","",IF(ISNUMBER(SEARCH("sortie-epargne",IFERROR(INDEX('Paramètres'!$N:$N,MATCH($D3949,'Paramètres'!$M:$M,0))&amp;"",""))),$K3949,0))</f>
        <v/>
      </c>
      <c r="V3949" s="6" t="str">
        <f>IF(AND($A3949&lt;&gt;"",$O3949=1,$L3949="Débit",N($Q3949)&gt;0,$A3949&gt;=Visualisation!$B$1,$A3949&lt;Visualisation!$D$1),MAX($V$1:V3948)+1,"")</f>
        <v/>
      </c>
    </row>
    <row r="3950" spans="1:22" x14ac:dyDescent="0.25">
      <c r="A3950" s="9"/>
      <c r="E3950" s="10"/>
      <c r="K3950" s="11" t="str">
        <f>IF($E3950="","",ROUND($E3950*IF(ISNA(MATCH($C3950,'Paramètres'!$D:$D,0)),1,IF(INDEX('Paramètres'!$J:$J,MATCH($C3950,'Paramètres'!$D:$D,0))="",1,INDEX('Paramètres'!$J:$J,MATCH($C3950,'Paramètres'!$D:$D,0)))),2))</f>
        <v/>
      </c>
      <c r="L3950" s="6" t="str">
        <f>IF($D3950="","",IF($F3950&lt;&gt;"",$F3950,IF(ISNA(MATCH($D3950,'Paramètres'!$M:$M,0)),"⚠ Type inconnu",IFERROR(INDEX('Paramètres'!$P:$P,MATCH($D3950,'Paramètres'!$M:$M,0))&amp;"",""))))</f>
        <v/>
      </c>
      <c r="M3950" s="6" t="str">
        <f>IF($D3950="","",IF(ISNA(MATCH($D3950,'Paramètres'!$M:$M,0)),"⚠ Type inconnu",IF($L3950="Crédit","",IFERROR(INDEX('Paramètres'!$O:$O,MATCH($D3950,'Paramètres'!$M:$M,0))&amp;"",""))))</f>
        <v/>
      </c>
      <c r="N3950" s="6" t="str">
        <f>IF($D3950="","",IFERROR(INDEX('Paramètres'!$Q:$Q,MATCH($D3950,'Paramètres'!$M:$M,0))&amp;"",""))</f>
        <v/>
      </c>
      <c r="O3950" s="6" t="str">
        <f>IF($A3950="","",IF(OR($J3950&lt;&gt;"x",$A3950&lt;=FinReleve),1,0))</f>
        <v/>
      </c>
      <c r="P3950" s="6" t="str">
        <f>IF($D3950="","",IF(AND($L3950="Crédit",OR(IFERROR(INDEX('Paramètres'!$O:$O,MATCH($D3950,'Paramètres'!$M:$M,0))&amp;"","")&lt;&gt;"",ISNUMBER(SEARCH("remboursement",IFERROR(INDEX('Paramètres'!$N:$N,MATCH($D3950,'Paramètres'!$M:$M,0))&amp;"",""))))),1,0))</f>
        <v/>
      </c>
      <c r="Q3950" s="6" t="str">
        <f>IF($K3950="","",IF(ISNUMBER(SEARCH("transfert-interne",IFERROR(INDEX('Paramètres'!$N:$N,MATCH($D3950,'Paramètres'!$M:$M,0))&amp;"",""))),0,IF($L3950="Débit",$K3950,IF($P3950=1,-$K3950,0))))</f>
        <v/>
      </c>
      <c r="R3950" s="6" t="str">
        <f>IF($K3950="","",IF($L3950="Crédit",$K3950,-$K3950))</f>
        <v/>
      </c>
      <c r="S3950" s="6" t="str">
        <f>IF($C3950="","",IFERROR(INDEX('Paramètres'!$H:$H,MATCH($C3950,'Paramètres'!$D:$D,0))&amp;"",""))</f>
        <v/>
      </c>
      <c r="T3950" s="6" t="str">
        <f>IF($K3950="","",IF($S3950="",0,IF(ISNUMBER(SEARCH("apport-exterieur",IFERROR(INDEX('Paramètres'!$N:$N,MATCH($D3950,'Paramètres'!$M:$M,0))&amp;"",""))),0,IF(OR(IFERROR(INDEX('Paramètres'!$I:$I,MATCH($C3950,'Paramètres'!$D:$D,0))&amp;"","")="Les deux",IFERROR(INDEX('Paramètres'!$I:$I,MATCH($C3950,'Paramètres'!$D:$D,0))&amp;"","")=IF($P3950=1,"Débit",$L3950)),-IF($P3950=1,-$K3950,$K3950),0))))</f>
        <v/>
      </c>
      <c r="U3950" s="6" t="str">
        <f>IF($K3950="","",IF(ISNUMBER(SEARCH("sortie-epargne",IFERROR(INDEX('Paramètres'!$N:$N,MATCH($D3950,'Paramètres'!$M:$M,0))&amp;"",""))),$K3950,0))</f>
        <v/>
      </c>
      <c r="V3950" s="6" t="str">
        <f>IF(AND($A3950&lt;&gt;"",$O3950=1,$L3950="Débit",N($Q3950)&gt;0,$A3950&gt;=Visualisation!$B$1,$A3950&lt;Visualisation!$D$1),MAX($V$1:V3949)+1,"")</f>
        <v/>
      </c>
    </row>
    <row r="3951" spans="1:22" x14ac:dyDescent="0.25">
      <c r="A3951" s="9"/>
      <c r="E3951" s="10"/>
      <c r="K3951" s="11" t="str">
        <f>IF($E3951="","",ROUND($E3951*IF(ISNA(MATCH($C3951,'Paramètres'!$D:$D,0)),1,IF(INDEX('Paramètres'!$J:$J,MATCH($C3951,'Paramètres'!$D:$D,0))="",1,INDEX('Paramètres'!$J:$J,MATCH($C3951,'Paramètres'!$D:$D,0)))),2))</f>
        <v/>
      </c>
      <c r="L3951" s="6" t="str">
        <f>IF($D3951="","",IF($F3951&lt;&gt;"",$F3951,IF(ISNA(MATCH($D3951,'Paramètres'!$M:$M,0)),"⚠ Type inconnu",IFERROR(INDEX('Paramètres'!$P:$P,MATCH($D3951,'Paramètres'!$M:$M,0))&amp;"",""))))</f>
        <v/>
      </c>
      <c r="M3951" s="6" t="str">
        <f>IF($D3951="","",IF(ISNA(MATCH($D3951,'Paramètres'!$M:$M,0)),"⚠ Type inconnu",IF($L3951="Crédit","",IFERROR(INDEX('Paramètres'!$O:$O,MATCH($D3951,'Paramètres'!$M:$M,0))&amp;"",""))))</f>
        <v/>
      </c>
      <c r="N3951" s="6" t="str">
        <f>IF($D3951="","",IFERROR(INDEX('Paramètres'!$Q:$Q,MATCH($D3951,'Paramètres'!$M:$M,0))&amp;"",""))</f>
        <v/>
      </c>
      <c r="O3951" s="6" t="str">
        <f>IF($A3951="","",IF(OR($J3951&lt;&gt;"x",$A3951&lt;=FinReleve),1,0))</f>
        <v/>
      </c>
      <c r="P3951" s="6" t="str">
        <f>IF($D3951="","",IF(AND($L3951="Crédit",OR(IFERROR(INDEX('Paramètres'!$O:$O,MATCH($D3951,'Paramètres'!$M:$M,0))&amp;"","")&lt;&gt;"",ISNUMBER(SEARCH("remboursement",IFERROR(INDEX('Paramètres'!$N:$N,MATCH($D3951,'Paramètres'!$M:$M,0))&amp;"",""))))),1,0))</f>
        <v/>
      </c>
      <c r="Q3951" s="6" t="str">
        <f>IF($K3951="","",IF(ISNUMBER(SEARCH("transfert-interne",IFERROR(INDEX('Paramètres'!$N:$N,MATCH($D3951,'Paramètres'!$M:$M,0))&amp;"",""))),0,IF($L3951="Débit",$K3951,IF($P3951=1,-$K3951,0))))</f>
        <v/>
      </c>
      <c r="R3951" s="6" t="str">
        <f>IF($K3951="","",IF($L3951="Crédit",$K3951,-$K3951))</f>
        <v/>
      </c>
      <c r="S3951" s="6" t="str">
        <f>IF($C3951="","",IFERROR(INDEX('Paramètres'!$H:$H,MATCH($C3951,'Paramètres'!$D:$D,0))&amp;"",""))</f>
        <v/>
      </c>
      <c r="T3951" s="6" t="str">
        <f>IF($K3951="","",IF($S3951="",0,IF(ISNUMBER(SEARCH("apport-exterieur",IFERROR(INDEX('Paramètres'!$N:$N,MATCH($D3951,'Paramètres'!$M:$M,0))&amp;"",""))),0,IF(OR(IFERROR(INDEX('Paramètres'!$I:$I,MATCH($C3951,'Paramètres'!$D:$D,0))&amp;"","")="Les deux",IFERROR(INDEX('Paramètres'!$I:$I,MATCH($C3951,'Paramètres'!$D:$D,0))&amp;"","")=IF($P3951=1,"Débit",$L3951)),-IF($P3951=1,-$K3951,$K3951),0))))</f>
        <v/>
      </c>
      <c r="U3951" s="6" t="str">
        <f>IF($K3951="","",IF(ISNUMBER(SEARCH("sortie-epargne",IFERROR(INDEX('Paramètres'!$N:$N,MATCH($D3951,'Paramètres'!$M:$M,0))&amp;"",""))),$K3951,0))</f>
        <v/>
      </c>
      <c r="V3951" s="6" t="str">
        <f>IF(AND($A3951&lt;&gt;"",$O3951=1,$L3951="Débit",N($Q3951)&gt;0,$A3951&gt;=Visualisation!$B$1,$A3951&lt;Visualisation!$D$1),MAX($V$1:V3950)+1,"")</f>
        <v/>
      </c>
    </row>
    <row r="3952" spans="1:22" x14ac:dyDescent="0.25">
      <c r="A3952" s="9"/>
      <c r="E3952" s="10"/>
      <c r="K3952" s="11" t="str">
        <f>IF($E3952="","",ROUND($E3952*IF(ISNA(MATCH($C3952,'Paramètres'!$D:$D,0)),1,IF(INDEX('Paramètres'!$J:$J,MATCH($C3952,'Paramètres'!$D:$D,0))="",1,INDEX('Paramètres'!$J:$J,MATCH($C3952,'Paramètres'!$D:$D,0)))),2))</f>
        <v/>
      </c>
      <c r="L3952" s="6" t="str">
        <f>IF($D3952="","",IF($F3952&lt;&gt;"",$F3952,IF(ISNA(MATCH($D3952,'Paramètres'!$M:$M,0)),"⚠ Type inconnu",IFERROR(INDEX('Paramètres'!$P:$P,MATCH($D3952,'Paramètres'!$M:$M,0))&amp;"",""))))</f>
        <v/>
      </c>
      <c r="M3952" s="6" t="str">
        <f>IF($D3952="","",IF(ISNA(MATCH($D3952,'Paramètres'!$M:$M,0)),"⚠ Type inconnu",IF($L3952="Crédit","",IFERROR(INDEX('Paramètres'!$O:$O,MATCH($D3952,'Paramètres'!$M:$M,0))&amp;"",""))))</f>
        <v/>
      </c>
      <c r="N3952" s="6" t="str">
        <f>IF($D3952="","",IFERROR(INDEX('Paramètres'!$Q:$Q,MATCH($D3952,'Paramètres'!$M:$M,0))&amp;"",""))</f>
        <v/>
      </c>
      <c r="O3952" s="6" t="str">
        <f>IF($A3952="","",IF(OR($J3952&lt;&gt;"x",$A3952&lt;=FinReleve),1,0))</f>
        <v/>
      </c>
      <c r="P3952" s="6" t="str">
        <f>IF($D3952="","",IF(AND($L3952="Crédit",OR(IFERROR(INDEX('Paramètres'!$O:$O,MATCH($D3952,'Paramètres'!$M:$M,0))&amp;"","")&lt;&gt;"",ISNUMBER(SEARCH("remboursement",IFERROR(INDEX('Paramètres'!$N:$N,MATCH($D3952,'Paramètres'!$M:$M,0))&amp;"",""))))),1,0))</f>
        <v/>
      </c>
      <c r="Q3952" s="6" t="str">
        <f>IF($K3952="","",IF(ISNUMBER(SEARCH("transfert-interne",IFERROR(INDEX('Paramètres'!$N:$N,MATCH($D3952,'Paramètres'!$M:$M,0))&amp;"",""))),0,IF($L3952="Débit",$K3952,IF($P3952=1,-$K3952,0))))</f>
        <v/>
      </c>
      <c r="R3952" s="6" t="str">
        <f>IF($K3952="","",IF($L3952="Crédit",$K3952,-$K3952))</f>
        <v/>
      </c>
      <c r="S3952" s="6" t="str">
        <f>IF($C3952="","",IFERROR(INDEX('Paramètres'!$H:$H,MATCH($C3952,'Paramètres'!$D:$D,0))&amp;"",""))</f>
        <v/>
      </c>
      <c r="T3952" s="6" t="str">
        <f>IF($K3952="","",IF($S3952="",0,IF(ISNUMBER(SEARCH("apport-exterieur",IFERROR(INDEX('Paramètres'!$N:$N,MATCH($D3952,'Paramètres'!$M:$M,0))&amp;"",""))),0,IF(OR(IFERROR(INDEX('Paramètres'!$I:$I,MATCH($C3952,'Paramètres'!$D:$D,0))&amp;"","")="Les deux",IFERROR(INDEX('Paramètres'!$I:$I,MATCH($C3952,'Paramètres'!$D:$D,0))&amp;"","")=IF($P3952=1,"Débit",$L3952)),-IF($P3952=1,-$K3952,$K3952),0))))</f>
        <v/>
      </c>
      <c r="U3952" s="6" t="str">
        <f>IF($K3952="","",IF(ISNUMBER(SEARCH("sortie-epargne",IFERROR(INDEX('Paramètres'!$N:$N,MATCH($D3952,'Paramètres'!$M:$M,0))&amp;"",""))),$K3952,0))</f>
        <v/>
      </c>
      <c r="V3952" s="6" t="str">
        <f>IF(AND($A3952&lt;&gt;"",$O3952=1,$L3952="Débit",N($Q3952)&gt;0,$A3952&gt;=Visualisation!$B$1,$A3952&lt;Visualisation!$D$1),MAX($V$1:V3951)+1,"")</f>
        <v/>
      </c>
    </row>
    <row r="3953" spans="1:22" x14ac:dyDescent="0.25">
      <c r="A3953" s="9"/>
      <c r="E3953" s="10"/>
      <c r="K3953" s="11" t="str">
        <f>IF($E3953="","",ROUND($E3953*IF(ISNA(MATCH($C3953,'Paramètres'!$D:$D,0)),1,IF(INDEX('Paramètres'!$J:$J,MATCH($C3953,'Paramètres'!$D:$D,0))="",1,INDEX('Paramètres'!$J:$J,MATCH($C3953,'Paramètres'!$D:$D,0)))),2))</f>
        <v/>
      </c>
      <c r="L3953" s="6" t="str">
        <f>IF($D3953="","",IF($F3953&lt;&gt;"",$F3953,IF(ISNA(MATCH($D3953,'Paramètres'!$M:$M,0)),"⚠ Type inconnu",IFERROR(INDEX('Paramètres'!$P:$P,MATCH($D3953,'Paramètres'!$M:$M,0))&amp;"",""))))</f>
        <v/>
      </c>
      <c r="M3953" s="6" t="str">
        <f>IF($D3953="","",IF(ISNA(MATCH($D3953,'Paramètres'!$M:$M,0)),"⚠ Type inconnu",IF($L3953="Crédit","",IFERROR(INDEX('Paramètres'!$O:$O,MATCH($D3953,'Paramètres'!$M:$M,0))&amp;"",""))))</f>
        <v/>
      </c>
      <c r="N3953" s="6" t="str">
        <f>IF($D3953="","",IFERROR(INDEX('Paramètres'!$Q:$Q,MATCH($D3953,'Paramètres'!$M:$M,0))&amp;"",""))</f>
        <v/>
      </c>
      <c r="O3953" s="6" t="str">
        <f>IF($A3953="","",IF(OR($J3953&lt;&gt;"x",$A3953&lt;=FinReleve),1,0))</f>
        <v/>
      </c>
      <c r="P3953" s="6" t="str">
        <f>IF($D3953="","",IF(AND($L3953="Crédit",OR(IFERROR(INDEX('Paramètres'!$O:$O,MATCH($D3953,'Paramètres'!$M:$M,0))&amp;"","")&lt;&gt;"",ISNUMBER(SEARCH("remboursement",IFERROR(INDEX('Paramètres'!$N:$N,MATCH($D3953,'Paramètres'!$M:$M,0))&amp;"",""))))),1,0))</f>
        <v/>
      </c>
      <c r="Q3953" s="6" t="str">
        <f>IF($K3953="","",IF(ISNUMBER(SEARCH("transfert-interne",IFERROR(INDEX('Paramètres'!$N:$N,MATCH($D3953,'Paramètres'!$M:$M,0))&amp;"",""))),0,IF($L3953="Débit",$K3953,IF($P3953=1,-$K3953,0))))</f>
        <v/>
      </c>
      <c r="R3953" s="6" t="str">
        <f>IF($K3953="","",IF($L3953="Crédit",$K3953,-$K3953))</f>
        <v/>
      </c>
      <c r="S3953" s="6" t="str">
        <f>IF($C3953="","",IFERROR(INDEX('Paramètres'!$H:$H,MATCH($C3953,'Paramètres'!$D:$D,0))&amp;"",""))</f>
        <v/>
      </c>
      <c r="T3953" s="6" t="str">
        <f>IF($K3953="","",IF($S3953="",0,IF(ISNUMBER(SEARCH("apport-exterieur",IFERROR(INDEX('Paramètres'!$N:$N,MATCH($D3953,'Paramètres'!$M:$M,0))&amp;"",""))),0,IF(OR(IFERROR(INDEX('Paramètres'!$I:$I,MATCH($C3953,'Paramètres'!$D:$D,0))&amp;"","")="Les deux",IFERROR(INDEX('Paramètres'!$I:$I,MATCH($C3953,'Paramètres'!$D:$D,0))&amp;"","")=IF($P3953=1,"Débit",$L3953)),-IF($P3953=1,-$K3953,$K3953),0))))</f>
        <v/>
      </c>
      <c r="U3953" s="6" t="str">
        <f>IF($K3953="","",IF(ISNUMBER(SEARCH("sortie-epargne",IFERROR(INDEX('Paramètres'!$N:$N,MATCH($D3953,'Paramètres'!$M:$M,0))&amp;"",""))),$K3953,0))</f>
        <v/>
      </c>
      <c r="V3953" s="6" t="str">
        <f>IF(AND($A3953&lt;&gt;"",$O3953=1,$L3953="Débit",N($Q3953)&gt;0,$A3953&gt;=Visualisation!$B$1,$A3953&lt;Visualisation!$D$1),MAX($V$1:V3952)+1,"")</f>
        <v/>
      </c>
    </row>
    <row r="3954" spans="1:22" x14ac:dyDescent="0.25">
      <c r="A3954" s="9"/>
      <c r="E3954" s="10"/>
      <c r="K3954" s="11" t="str">
        <f>IF($E3954="","",ROUND($E3954*IF(ISNA(MATCH($C3954,'Paramètres'!$D:$D,0)),1,IF(INDEX('Paramètres'!$J:$J,MATCH($C3954,'Paramètres'!$D:$D,0))="",1,INDEX('Paramètres'!$J:$J,MATCH($C3954,'Paramètres'!$D:$D,0)))),2))</f>
        <v/>
      </c>
      <c r="L3954" s="6" t="str">
        <f>IF($D3954="","",IF($F3954&lt;&gt;"",$F3954,IF(ISNA(MATCH($D3954,'Paramètres'!$M:$M,0)),"⚠ Type inconnu",IFERROR(INDEX('Paramètres'!$P:$P,MATCH($D3954,'Paramètres'!$M:$M,0))&amp;"",""))))</f>
        <v/>
      </c>
      <c r="M3954" s="6" t="str">
        <f>IF($D3954="","",IF(ISNA(MATCH($D3954,'Paramètres'!$M:$M,0)),"⚠ Type inconnu",IF($L3954="Crédit","",IFERROR(INDEX('Paramètres'!$O:$O,MATCH($D3954,'Paramètres'!$M:$M,0))&amp;"",""))))</f>
        <v/>
      </c>
      <c r="N3954" s="6" t="str">
        <f>IF($D3954="","",IFERROR(INDEX('Paramètres'!$Q:$Q,MATCH($D3954,'Paramètres'!$M:$M,0))&amp;"",""))</f>
        <v/>
      </c>
      <c r="O3954" s="6" t="str">
        <f>IF($A3954="","",IF(OR($J3954&lt;&gt;"x",$A3954&lt;=FinReleve),1,0))</f>
        <v/>
      </c>
      <c r="P3954" s="6" t="str">
        <f>IF($D3954="","",IF(AND($L3954="Crédit",OR(IFERROR(INDEX('Paramètres'!$O:$O,MATCH($D3954,'Paramètres'!$M:$M,0))&amp;"","")&lt;&gt;"",ISNUMBER(SEARCH("remboursement",IFERROR(INDEX('Paramètres'!$N:$N,MATCH($D3954,'Paramètres'!$M:$M,0))&amp;"",""))))),1,0))</f>
        <v/>
      </c>
      <c r="Q3954" s="6" t="str">
        <f>IF($K3954="","",IF(ISNUMBER(SEARCH("transfert-interne",IFERROR(INDEX('Paramètres'!$N:$N,MATCH($D3954,'Paramètres'!$M:$M,0))&amp;"",""))),0,IF($L3954="Débit",$K3954,IF($P3954=1,-$K3954,0))))</f>
        <v/>
      </c>
      <c r="R3954" s="6" t="str">
        <f>IF($K3954="","",IF($L3954="Crédit",$K3954,-$K3954))</f>
        <v/>
      </c>
      <c r="S3954" s="6" t="str">
        <f>IF($C3954="","",IFERROR(INDEX('Paramètres'!$H:$H,MATCH($C3954,'Paramètres'!$D:$D,0))&amp;"",""))</f>
        <v/>
      </c>
      <c r="T3954" s="6" t="str">
        <f>IF($K3954="","",IF($S3954="",0,IF(ISNUMBER(SEARCH("apport-exterieur",IFERROR(INDEX('Paramètres'!$N:$N,MATCH($D3954,'Paramètres'!$M:$M,0))&amp;"",""))),0,IF(OR(IFERROR(INDEX('Paramètres'!$I:$I,MATCH($C3954,'Paramètres'!$D:$D,0))&amp;"","")="Les deux",IFERROR(INDEX('Paramètres'!$I:$I,MATCH($C3954,'Paramètres'!$D:$D,0))&amp;"","")=IF($P3954=1,"Débit",$L3954)),-IF($P3954=1,-$K3954,$K3954),0))))</f>
        <v/>
      </c>
      <c r="U3954" s="6" t="str">
        <f>IF($K3954="","",IF(ISNUMBER(SEARCH("sortie-epargne",IFERROR(INDEX('Paramètres'!$N:$N,MATCH($D3954,'Paramètres'!$M:$M,0))&amp;"",""))),$K3954,0))</f>
        <v/>
      </c>
      <c r="V3954" s="6" t="str">
        <f>IF(AND($A3954&lt;&gt;"",$O3954=1,$L3954="Débit",N($Q3954)&gt;0,$A3954&gt;=Visualisation!$B$1,$A3954&lt;Visualisation!$D$1),MAX($V$1:V3953)+1,"")</f>
        <v/>
      </c>
    </row>
    <row r="3955" spans="1:22" x14ac:dyDescent="0.25">
      <c r="A3955" s="9"/>
      <c r="E3955" s="10"/>
      <c r="K3955" s="11" t="str">
        <f>IF($E3955="","",ROUND($E3955*IF(ISNA(MATCH($C3955,'Paramètres'!$D:$D,0)),1,IF(INDEX('Paramètres'!$J:$J,MATCH($C3955,'Paramètres'!$D:$D,0))="",1,INDEX('Paramètres'!$J:$J,MATCH($C3955,'Paramètres'!$D:$D,0)))),2))</f>
        <v/>
      </c>
      <c r="L3955" s="6" t="str">
        <f>IF($D3955="","",IF($F3955&lt;&gt;"",$F3955,IF(ISNA(MATCH($D3955,'Paramètres'!$M:$M,0)),"⚠ Type inconnu",IFERROR(INDEX('Paramètres'!$P:$P,MATCH($D3955,'Paramètres'!$M:$M,0))&amp;"",""))))</f>
        <v/>
      </c>
      <c r="M3955" s="6" t="str">
        <f>IF($D3955="","",IF(ISNA(MATCH($D3955,'Paramètres'!$M:$M,0)),"⚠ Type inconnu",IF($L3955="Crédit","",IFERROR(INDEX('Paramètres'!$O:$O,MATCH($D3955,'Paramètres'!$M:$M,0))&amp;"",""))))</f>
        <v/>
      </c>
      <c r="N3955" s="6" t="str">
        <f>IF($D3955="","",IFERROR(INDEX('Paramètres'!$Q:$Q,MATCH($D3955,'Paramètres'!$M:$M,0))&amp;"",""))</f>
        <v/>
      </c>
      <c r="O3955" s="6" t="str">
        <f>IF($A3955="","",IF(OR($J3955&lt;&gt;"x",$A3955&lt;=FinReleve),1,0))</f>
        <v/>
      </c>
      <c r="P3955" s="6" t="str">
        <f>IF($D3955="","",IF(AND($L3955="Crédit",OR(IFERROR(INDEX('Paramètres'!$O:$O,MATCH($D3955,'Paramètres'!$M:$M,0))&amp;"","")&lt;&gt;"",ISNUMBER(SEARCH("remboursement",IFERROR(INDEX('Paramètres'!$N:$N,MATCH($D3955,'Paramètres'!$M:$M,0))&amp;"",""))))),1,0))</f>
        <v/>
      </c>
      <c r="Q3955" s="6" t="str">
        <f>IF($K3955="","",IF(ISNUMBER(SEARCH("transfert-interne",IFERROR(INDEX('Paramètres'!$N:$N,MATCH($D3955,'Paramètres'!$M:$M,0))&amp;"",""))),0,IF($L3955="Débit",$K3955,IF($P3955=1,-$K3955,0))))</f>
        <v/>
      </c>
      <c r="R3955" s="6" t="str">
        <f>IF($K3955="","",IF($L3955="Crédit",$K3955,-$K3955))</f>
        <v/>
      </c>
      <c r="S3955" s="6" t="str">
        <f>IF($C3955="","",IFERROR(INDEX('Paramètres'!$H:$H,MATCH($C3955,'Paramètres'!$D:$D,0))&amp;"",""))</f>
        <v/>
      </c>
      <c r="T3955" s="6" t="str">
        <f>IF($K3955="","",IF($S3955="",0,IF(ISNUMBER(SEARCH("apport-exterieur",IFERROR(INDEX('Paramètres'!$N:$N,MATCH($D3955,'Paramètres'!$M:$M,0))&amp;"",""))),0,IF(OR(IFERROR(INDEX('Paramètres'!$I:$I,MATCH($C3955,'Paramètres'!$D:$D,0))&amp;"","")="Les deux",IFERROR(INDEX('Paramètres'!$I:$I,MATCH($C3955,'Paramètres'!$D:$D,0))&amp;"","")=IF($P3955=1,"Débit",$L3955)),-IF($P3955=1,-$K3955,$K3955),0))))</f>
        <v/>
      </c>
      <c r="U3955" s="6" t="str">
        <f>IF($K3955="","",IF(ISNUMBER(SEARCH("sortie-epargne",IFERROR(INDEX('Paramètres'!$N:$N,MATCH($D3955,'Paramètres'!$M:$M,0))&amp;"",""))),$K3955,0))</f>
        <v/>
      </c>
      <c r="V3955" s="6" t="str">
        <f>IF(AND($A3955&lt;&gt;"",$O3955=1,$L3955="Débit",N($Q3955)&gt;0,$A3955&gt;=Visualisation!$B$1,$A3955&lt;Visualisation!$D$1),MAX($V$1:V3954)+1,"")</f>
        <v/>
      </c>
    </row>
    <row r="3956" spans="1:22" x14ac:dyDescent="0.25">
      <c r="A3956" s="9"/>
      <c r="E3956" s="10"/>
      <c r="K3956" s="11" t="str">
        <f>IF($E3956="","",ROUND($E3956*IF(ISNA(MATCH($C3956,'Paramètres'!$D:$D,0)),1,IF(INDEX('Paramètres'!$J:$J,MATCH($C3956,'Paramètres'!$D:$D,0))="",1,INDEX('Paramètres'!$J:$J,MATCH($C3956,'Paramètres'!$D:$D,0)))),2))</f>
        <v/>
      </c>
      <c r="L3956" s="6" t="str">
        <f>IF($D3956="","",IF($F3956&lt;&gt;"",$F3956,IF(ISNA(MATCH($D3956,'Paramètres'!$M:$M,0)),"⚠ Type inconnu",IFERROR(INDEX('Paramètres'!$P:$P,MATCH($D3956,'Paramètres'!$M:$M,0))&amp;"",""))))</f>
        <v/>
      </c>
      <c r="M3956" s="6" t="str">
        <f>IF($D3956="","",IF(ISNA(MATCH($D3956,'Paramètres'!$M:$M,0)),"⚠ Type inconnu",IF($L3956="Crédit","",IFERROR(INDEX('Paramètres'!$O:$O,MATCH($D3956,'Paramètres'!$M:$M,0))&amp;"",""))))</f>
        <v/>
      </c>
      <c r="N3956" s="6" t="str">
        <f>IF($D3956="","",IFERROR(INDEX('Paramètres'!$Q:$Q,MATCH($D3956,'Paramètres'!$M:$M,0))&amp;"",""))</f>
        <v/>
      </c>
      <c r="O3956" s="6" t="str">
        <f>IF($A3956="","",IF(OR($J3956&lt;&gt;"x",$A3956&lt;=FinReleve),1,0))</f>
        <v/>
      </c>
      <c r="P3956" s="6" t="str">
        <f>IF($D3956="","",IF(AND($L3956="Crédit",OR(IFERROR(INDEX('Paramètres'!$O:$O,MATCH($D3956,'Paramètres'!$M:$M,0))&amp;"","")&lt;&gt;"",ISNUMBER(SEARCH("remboursement",IFERROR(INDEX('Paramètres'!$N:$N,MATCH($D3956,'Paramètres'!$M:$M,0))&amp;"",""))))),1,0))</f>
        <v/>
      </c>
      <c r="Q3956" s="6" t="str">
        <f>IF($K3956="","",IF(ISNUMBER(SEARCH("transfert-interne",IFERROR(INDEX('Paramètres'!$N:$N,MATCH($D3956,'Paramètres'!$M:$M,0))&amp;"",""))),0,IF($L3956="Débit",$K3956,IF($P3956=1,-$K3956,0))))</f>
        <v/>
      </c>
      <c r="R3956" s="6" t="str">
        <f>IF($K3956="","",IF($L3956="Crédit",$K3956,-$K3956))</f>
        <v/>
      </c>
      <c r="S3956" s="6" t="str">
        <f>IF($C3956="","",IFERROR(INDEX('Paramètres'!$H:$H,MATCH($C3956,'Paramètres'!$D:$D,0))&amp;"",""))</f>
        <v/>
      </c>
      <c r="T3956" s="6" t="str">
        <f>IF($K3956="","",IF($S3956="",0,IF(ISNUMBER(SEARCH("apport-exterieur",IFERROR(INDEX('Paramètres'!$N:$N,MATCH($D3956,'Paramètres'!$M:$M,0))&amp;"",""))),0,IF(OR(IFERROR(INDEX('Paramètres'!$I:$I,MATCH($C3956,'Paramètres'!$D:$D,0))&amp;"","")="Les deux",IFERROR(INDEX('Paramètres'!$I:$I,MATCH($C3956,'Paramètres'!$D:$D,0))&amp;"","")=IF($P3956=1,"Débit",$L3956)),-IF($P3956=1,-$K3956,$K3956),0))))</f>
        <v/>
      </c>
      <c r="U3956" s="6" t="str">
        <f>IF($K3956="","",IF(ISNUMBER(SEARCH("sortie-epargne",IFERROR(INDEX('Paramètres'!$N:$N,MATCH($D3956,'Paramètres'!$M:$M,0))&amp;"",""))),$K3956,0))</f>
        <v/>
      </c>
      <c r="V3956" s="6" t="str">
        <f>IF(AND($A3956&lt;&gt;"",$O3956=1,$L3956="Débit",N($Q3956)&gt;0,$A3956&gt;=Visualisation!$B$1,$A3956&lt;Visualisation!$D$1),MAX($V$1:V3955)+1,"")</f>
        <v/>
      </c>
    </row>
    <row r="3957" spans="1:22" x14ac:dyDescent="0.25">
      <c r="A3957" s="9"/>
      <c r="E3957" s="10"/>
      <c r="K3957" s="11" t="str">
        <f>IF($E3957="","",ROUND($E3957*IF(ISNA(MATCH($C3957,'Paramètres'!$D:$D,0)),1,IF(INDEX('Paramètres'!$J:$J,MATCH($C3957,'Paramètres'!$D:$D,0))="",1,INDEX('Paramètres'!$J:$J,MATCH($C3957,'Paramètres'!$D:$D,0)))),2))</f>
        <v/>
      </c>
      <c r="L3957" s="6" t="str">
        <f>IF($D3957="","",IF($F3957&lt;&gt;"",$F3957,IF(ISNA(MATCH($D3957,'Paramètres'!$M:$M,0)),"⚠ Type inconnu",IFERROR(INDEX('Paramètres'!$P:$P,MATCH($D3957,'Paramètres'!$M:$M,0))&amp;"",""))))</f>
        <v/>
      </c>
      <c r="M3957" s="6" t="str">
        <f>IF($D3957="","",IF(ISNA(MATCH($D3957,'Paramètres'!$M:$M,0)),"⚠ Type inconnu",IF($L3957="Crédit","",IFERROR(INDEX('Paramètres'!$O:$O,MATCH($D3957,'Paramètres'!$M:$M,0))&amp;"",""))))</f>
        <v/>
      </c>
      <c r="N3957" s="6" t="str">
        <f>IF($D3957="","",IFERROR(INDEX('Paramètres'!$Q:$Q,MATCH($D3957,'Paramètres'!$M:$M,0))&amp;"",""))</f>
        <v/>
      </c>
      <c r="O3957" s="6" t="str">
        <f>IF($A3957="","",IF(OR($J3957&lt;&gt;"x",$A3957&lt;=FinReleve),1,0))</f>
        <v/>
      </c>
      <c r="P3957" s="6" t="str">
        <f>IF($D3957="","",IF(AND($L3957="Crédit",OR(IFERROR(INDEX('Paramètres'!$O:$O,MATCH($D3957,'Paramètres'!$M:$M,0))&amp;"","")&lt;&gt;"",ISNUMBER(SEARCH("remboursement",IFERROR(INDEX('Paramètres'!$N:$N,MATCH($D3957,'Paramètres'!$M:$M,0))&amp;"",""))))),1,0))</f>
        <v/>
      </c>
      <c r="Q3957" s="6" t="str">
        <f>IF($K3957="","",IF(ISNUMBER(SEARCH("transfert-interne",IFERROR(INDEX('Paramètres'!$N:$N,MATCH($D3957,'Paramètres'!$M:$M,0))&amp;"",""))),0,IF($L3957="Débit",$K3957,IF($P3957=1,-$K3957,0))))</f>
        <v/>
      </c>
      <c r="R3957" s="6" t="str">
        <f>IF($K3957="","",IF($L3957="Crédit",$K3957,-$K3957))</f>
        <v/>
      </c>
      <c r="S3957" s="6" t="str">
        <f>IF($C3957="","",IFERROR(INDEX('Paramètres'!$H:$H,MATCH($C3957,'Paramètres'!$D:$D,0))&amp;"",""))</f>
        <v/>
      </c>
      <c r="T3957" s="6" t="str">
        <f>IF($K3957="","",IF($S3957="",0,IF(ISNUMBER(SEARCH("apport-exterieur",IFERROR(INDEX('Paramètres'!$N:$N,MATCH($D3957,'Paramètres'!$M:$M,0))&amp;"",""))),0,IF(OR(IFERROR(INDEX('Paramètres'!$I:$I,MATCH($C3957,'Paramètres'!$D:$D,0))&amp;"","")="Les deux",IFERROR(INDEX('Paramètres'!$I:$I,MATCH($C3957,'Paramètres'!$D:$D,0))&amp;"","")=IF($P3957=1,"Débit",$L3957)),-IF($P3957=1,-$K3957,$K3957),0))))</f>
        <v/>
      </c>
      <c r="U3957" s="6" t="str">
        <f>IF($K3957="","",IF(ISNUMBER(SEARCH("sortie-epargne",IFERROR(INDEX('Paramètres'!$N:$N,MATCH($D3957,'Paramètres'!$M:$M,0))&amp;"",""))),$K3957,0))</f>
        <v/>
      </c>
      <c r="V3957" s="6" t="str">
        <f>IF(AND($A3957&lt;&gt;"",$O3957=1,$L3957="Débit",N($Q3957)&gt;0,$A3957&gt;=Visualisation!$B$1,$A3957&lt;Visualisation!$D$1),MAX($V$1:V3956)+1,"")</f>
        <v/>
      </c>
    </row>
    <row r="3958" spans="1:22" x14ac:dyDescent="0.25">
      <c r="A3958" s="9"/>
      <c r="E3958" s="10"/>
      <c r="K3958" s="11" t="str">
        <f>IF($E3958="","",ROUND($E3958*IF(ISNA(MATCH($C3958,'Paramètres'!$D:$D,0)),1,IF(INDEX('Paramètres'!$J:$J,MATCH($C3958,'Paramètres'!$D:$D,0))="",1,INDEX('Paramètres'!$J:$J,MATCH($C3958,'Paramètres'!$D:$D,0)))),2))</f>
        <v/>
      </c>
      <c r="L3958" s="6" t="str">
        <f>IF($D3958="","",IF($F3958&lt;&gt;"",$F3958,IF(ISNA(MATCH($D3958,'Paramètres'!$M:$M,0)),"⚠ Type inconnu",IFERROR(INDEX('Paramètres'!$P:$P,MATCH($D3958,'Paramètres'!$M:$M,0))&amp;"",""))))</f>
        <v/>
      </c>
      <c r="M3958" s="6" t="str">
        <f>IF($D3958="","",IF(ISNA(MATCH($D3958,'Paramètres'!$M:$M,0)),"⚠ Type inconnu",IF($L3958="Crédit","",IFERROR(INDEX('Paramètres'!$O:$O,MATCH($D3958,'Paramètres'!$M:$M,0))&amp;"",""))))</f>
        <v/>
      </c>
      <c r="N3958" s="6" t="str">
        <f>IF($D3958="","",IFERROR(INDEX('Paramètres'!$Q:$Q,MATCH($D3958,'Paramètres'!$M:$M,0))&amp;"",""))</f>
        <v/>
      </c>
      <c r="O3958" s="6" t="str">
        <f>IF($A3958="","",IF(OR($J3958&lt;&gt;"x",$A3958&lt;=FinReleve),1,0))</f>
        <v/>
      </c>
      <c r="P3958" s="6" t="str">
        <f>IF($D3958="","",IF(AND($L3958="Crédit",OR(IFERROR(INDEX('Paramètres'!$O:$O,MATCH($D3958,'Paramètres'!$M:$M,0))&amp;"","")&lt;&gt;"",ISNUMBER(SEARCH("remboursement",IFERROR(INDEX('Paramètres'!$N:$N,MATCH($D3958,'Paramètres'!$M:$M,0))&amp;"",""))))),1,0))</f>
        <v/>
      </c>
      <c r="Q3958" s="6" t="str">
        <f>IF($K3958="","",IF(ISNUMBER(SEARCH("transfert-interne",IFERROR(INDEX('Paramètres'!$N:$N,MATCH($D3958,'Paramètres'!$M:$M,0))&amp;"",""))),0,IF($L3958="Débit",$K3958,IF($P3958=1,-$K3958,0))))</f>
        <v/>
      </c>
      <c r="R3958" s="6" t="str">
        <f>IF($K3958="","",IF($L3958="Crédit",$K3958,-$K3958))</f>
        <v/>
      </c>
      <c r="S3958" s="6" t="str">
        <f>IF($C3958="","",IFERROR(INDEX('Paramètres'!$H:$H,MATCH($C3958,'Paramètres'!$D:$D,0))&amp;"",""))</f>
        <v/>
      </c>
      <c r="T3958" s="6" t="str">
        <f>IF($K3958="","",IF($S3958="",0,IF(ISNUMBER(SEARCH("apport-exterieur",IFERROR(INDEX('Paramètres'!$N:$N,MATCH($D3958,'Paramètres'!$M:$M,0))&amp;"",""))),0,IF(OR(IFERROR(INDEX('Paramètres'!$I:$I,MATCH($C3958,'Paramètres'!$D:$D,0))&amp;"","")="Les deux",IFERROR(INDEX('Paramètres'!$I:$I,MATCH($C3958,'Paramètres'!$D:$D,0))&amp;"","")=IF($P3958=1,"Débit",$L3958)),-IF($P3958=1,-$K3958,$K3958),0))))</f>
        <v/>
      </c>
      <c r="U3958" s="6" t="str">
        <f>IF($K3958="","",IF(ISNUMBER(SEARCH("sortie-epargne",IFERROR(INDEX('Paramètres'!$N:$N,MATCH($D3958,'Paramètres'!$M:$M,0))&amp;"",""))),$K3958,0))</f>
        <v/>
      </c>
      <c r="V3958" s="6" t="str">
        <f>IF(AND($A3958&lt;&gt;"",$O3958=1,$L3958="Débit",N($Q3958)&gt;0,$A3958&gt;=Visualisation!$B$1,$A3958&lt;Visualisation!$D$1),MAX($V$1:V3957)+1,"")</f>
        <v/>
      </c>
    </row>
    <row r="3959" spans="1:22" x14ac:dyDescent="0.25">
      <c r="A3959" s="9"/>
      <c r="E3959" s="10"/>
      <c r="K3959" s="11" t="str">
        <f>IF($E3959="","",ROUND($E3959*IF(ISNA(MATCH($C3959,'Paramètres'!$D:$D,0)),1,IF(INDEX('Paramètres'!$J:$J,MATCH($C3959,'Paramètres'!$D:$D,0))="",1,INDEX('Paramètres'!$J:$J,MATCH($C3959,'Paramètres'!$D:$D,0)))),2))</f>
        <v/>
      </c>
      <c r="L3959" s="6" t="str">
        <f>IF($D3959="","",IF($F3959&lt;&gt;"",$F3959,IF(ISNA(MATCH($D3959,'Paramètres'!$M:$M,0)),"⚠ Type inconnu",IFERROR(INDEX('Paramètres'!$P:$P,MATCH($D3959,'Paramètres'!$M:$M,0))&amp;"",""))))</f>
        <v/>
      </c>
      <c r="M3959" s="6" t="str">
        <f>IF($D3959="","",IF(ISNA(MATCH($D3959,'Paramètres'!$M:$M,0)),"⚠ Type inconnu",IF($L3959="Crédit","",IFERROR(INDEX('Paramètres'!$O:$O,MATCH($D3959,'Paramètres'!$M:$M,0))&amp;"",""))))</f>
        <v/>
      </c>
      <c r="N3959" s="6" t="str">
        <f>IF($D3959="","",IFERROR(INDEX('Paramètres'!$Q:$Q,MATCH($D3959,'Paramètres'!$M:$M,0))&amp;"",""))</f>
        <v/>
      </c>
      <c r="O3959" s="6" t="str">
        <f>IF($A3959="","",IF(OR($J3959&lt;&gt;"x",$A3959&lt;=FinReleve),1,0))</f>
        <v/>
      </c>
      <c r="P3959" s="6" t="str">
        <f>IF($D3959="","",IF(AND($L3959="Crédit",OR(IFERROR(INDEX('Paramètres'!$O:$O,MATCH($D3959,'Paramètres'!$M:$M,0))&amp;"","")&lt;&gt;"",ISNUMBER(SEARCH("remboursement",IFERROR(INDEX('Paramètres'!$N:$N,MATCH($D3959,'Paramètres'!$M:$M,0))&amp;"",""))))),1,0))</f>
        <v/>
      </c>
      <c r="Q3959" s="6" t="str">
        <f>IF($K3959="","",IF(ISNUMBER(SEARCH("transfert-interne",IFERROR(INDEX('Paramètres'!$N:$N,MATCH($D3959,'Paramètres'!$M:$M,0))&amp;"",""))),0,IF($L3959="Débit",$K3959,IF($P3959=1,-$K3959,0))))</f>
        <v/>
      </c>
      <c r="R3959" s="6" t="str">
        <f>IF($K3959="","",IF($L3959="Crédit",$K3959,-$K3959))</f>
        <v/>
      </c>
      <c r="S3959" s="6" t="str">
        <f>IF($C3959="","",IFERROR(INDEX('Paramètres'!$H:$H,MATCH($C3959,'Paramètres'!$D:$D,0))&amp;"",""))</f>
        <v/>
      </c>
      <c r="T3959" s="6" t="str">
        <f>IF($K3959="","",IF($S3959="",0,IF(ISNUMBER(SEARCH("apport-exterieur",IFERROR(INDEX('Paramètres'!$N:$N,MATCH($D3959,'Paramètres'!$M:$M,0))&amp;"",""))),0,IF(OR(IFERROR(INDEX('Paramètres'!$I:$I,MATCH($C3959,'Paramètres'!$D:$D,0))&amp;"","")="Les deux",IFERROR(INDEX('Paramètres'!$I:$I,MATCH($C3959,'Paramètres'!$D:$D,0))&amp;"","")=IF($P3959=1,"Débit",$L3959)),-IF($P3959=1,-$K3959,$K3959),0))))</f>
        <v/>
      </c>
      <c r="U3959" s="6" t="str">
        <f>IF($K3959="","",IF(ISNUMBER(SEARCH("sortie-epargne",IFERROR(INDEX('Paramètres'!$N:$N,MATCH($D3959,'Paramètres'!$M:$M,0))&amp;"",""))),$K3959,0))</f>
        <v/>
      </c>
      <c r="V3959" s="6" t="str">
        <f>IF(AND($A3959&lt;&gt;"",$O3959=1,$L3959="Débit",N($Q3959)&gt;0,$A3959&gt;=Visualisation!$B$1,$A3959&lt;Visualisation!$D$1),MAX($V$1:V3958)+1,"")</f>
        <v/>
      </c>
    </row>
    <row r="3960" spans="1:22" x14ac:dyDescent="0.25">
      <c r="A3960" s="9"/>
      <c r="E3960" s="10"/>
      <c r="K3960" s="11" t="str">
        <f>IF($E3960="","",ROUND($E3960*IF(ISNA(MATCH($C3960,'Paramètres'!$D:$D,0)),1,IF(INDEX('Paramètres'!$J:$J,MATCH($C3960,'Paramètres'!$D:$D,0))="",1,INDEX('Paramètres'!$J:$J,MATCH($C3960,'Paramètres'!$D:$D,0)))),2))</f>
        <v/>
      </c>
      <c r="L3960" s="6" t="str">
        <f>IF($D3960="","",IF($F3960&lt;&gt;"",$F3960,IF(ISNA(MATCH($D3960,'Paramètres'!$M:$M,0)),"⚠ Type inconnu",IFERROR(INDEX('Paramètres'!$P:$P,MATCH($D3960,'Paramètres'!$M:$M,0))&amp;"",""))))</f>
        <v/>
      </c>
      <c r="M3960" s="6" t="str">
        <f>IF($D3960="","",IF(ISNA(MATCH($D3960,'Paramètres'!$M:$M,0)),"⚠ Type inconnu",IF($L3960="Crédit","",IFERROR(INDEX('Paramètres'!$O:$O,MATCH($D3960,'Paramètres'!$M:$M,0))&amp;"",""))))</f>
        <v/>
      </c>
      <c r="N3960" s="6" t="str">
        <f>IF($D3960="","",IFERROR(INDEX('Paramètres'!$Q:$Q,MATCH($D3960,'Paramètres'!$M:$M,0))&amp;"",""))</f>
        <v/>
      </c>
      <c r="O3960" s="6" t="str">
        <f>IF($A3960="","",IF(OR($J3960&lt;&gt;"x",$A3960&lt;=FinReleve),1,0))</f>
        <v/>
      </c>
      <c r="P3960" s="6" t="str">
        <f>IF($D3960="","",IF(AND($L3960="Crédit",OR(IFERROR(INDEX('Paramètres'!$O:$O,MATCH($D3960,'Paramètres'!$M:$M,0))&amp;"","")&lt;&gt;"",ISNUMBER(SEARCH("remboursement",IFERROR(INDEX('Paramètres'!$N:$N,MATCH($D3960,'Paramètres'!$M:$M,0))&amp;"",""))))),1,0))</f>
        <v/>
      </c>
      <c r="Q3960" s="6" t="str">
        <f>IF($K3960="","",IF(ISNUMBER(SEARCH("transfert-interne",IFERROR(INDEX('Paramètres'!$N:$N,MATCH($D3960,'Paramètres'!$M:$M,0))&amp;"",""))),0,IF($L3960="Débit",$K3960,IF($P3960=1,-$K3960,0))))</f>
        <v/>
      </c>
      <c r="R3960" s="6" t="str">
        <f>IF($K3960="","",IF($L3960="Crédit",$K3960,-$K3960))</f>
        <v/>
      </c>
      <c r="S3960" s="6" t="str">
        <f>IF($C3960="","",IFERROR(INDEX('Paramètres'!$H:$H,MATCH($C3960,'Paramètres'!$D:$D,0))&amp;"",""))</f>
        <v/>
      </c>
      <c r="T3960" s="6" t="str">
        <f>IF($K3960="","",IF($S3960="",0,IF(ISNUMBER(SEARCH("apport-exterieur",IFERROR(INDEX('Paramètres'!$N:$N,MATCH($D3960,'Paramètres'!$M:$M,0))&amp;"",""))),0,IF(OR(IFERROR(INDEX('Paramètres'!$I:$I,MATCH($C3960,'Paramètres'!$D:$D,0))&amp;"","")="Les deux",IFERROR(INDEX('Paramètres'!$I:$I,MATCH($C3960,'Paramètres'!$D:$D,0))&amp;"","")=IF($P3960=1,"Débit",$L3960)),-IF($P3960=1,-$K3960,$K3960),0))))</f>
        <v/>
      </c>
      <c r="U3960" s="6" t="str">
        <f>IF($K3960="","",IF(ISNUMBER(SEARCH("sortie-epargne",IFERROR(INDEX('Paramètres'!$N:$N,MATCH($D3960,'Paramètres'!$M:$M,0))&amp;"",""))),$K3960,0))</f>
        <v/>
      </c>
      <c r="V3960" s="6" t="str">
        <f>IF(AND($A3960&lt;&gt;"",$O3960=1,$L3960="Débit",N($Q3960)&gt;0,$A3960&gt;=Visualisation!$B$1,$A3960&lt;Visualisation!$D$1),MAX($V$1:V3959)+1,"")</f>
        <v/>
      </c>
    </row>
    <row r="3961" spans="1:22" x14ac:dyDescent="0.25">
      <c r="A3961" s="9"/>
      <c r="E3961" s="10"/>
      <c r="K3961" s="11" t="str">
        <f>IF($E3961="","",ROUND($E3961*IF(ISNA(MATCH($C3961,'Paramètres'!$D:$D,0)),1,IF(INDEX('Paramètres'!$J:$J,MATCH($C3961,'Paramètres'!$D:$D,0))="",1,INDEX('Paramètres'!$J:$J,MATCH($C3961,'Paramètres'!$D:$D,0)))),2))</f>
        <v/>
      </c>
      <c r="L3961" s="6" t="str">
        <f>IF($D3961="","",IF($F3961&lt;&gt;"",$F3961,IF(ISNA(MATCH($D3961,'Paramètres'!$M:$M,0)),"⚠ Type inconnu",IFERROR(INDEX('Paramètres'!$P:$P,MATCH($D3961,'Paramètres'!$M:$M,0))&amp;"",""))))</f>
        <v/>
      </c>
      <c r="M3961" s="6" t="str">
        <f>IF($D3961="","",IF(ISNA(MATCH($D3961,'Paramètres'!$M:$M,0)),"⚠ Type inconnu",IF($L3961="Crédit","",IFERROR(INDEX('Paramètres'!$O:$O,MATCH($D3961,'Paramètres'!$M:$M,0))&amp;"",""))))</f>
        <v/>
      </c>
      <c r="N3961" s="6" t="str">
        <f>IF($D3961="","",IFERROR(INDEX('Paramètres'!$Q:$Q,MATCH($D3961,'Paramètres'!$M:$M,0))&amp;"",""))</f>
        <v/>
      </c>
      <c r="O3961" s="6" t="str">
        <f>IF($A3961="","",IF(OR($J3961&lt;&gt;"x",$A3961&lt;=FinReleve),1,0))</f>
        <v/>
      </c>
      <c r="P3961" s="6" t="str">
        <f>IF($D3961="","",IF(AND($L3961="Crédit",OR(IFERROR(INDEX('Paramètres'!$O:$O,MATCH($D3961,'Paramètres'!$M:$M,0))&amp;"","")&lt;&gt;"",ISNUMBER(SEARCH("remboursement",IFERROR(INDEX('Paramètres'!$N:$N,MATCH($D3961,'Paramètres'!$M:$M,0))&amp;"",""))))),1,0))</f>
        <v/>
      </c>
      <c r="Q3961" s="6" t="str">
        <f>IF($K3961="","",IF(ISNUMBER(SEARCH("transfert-interne",IFERROR(INDEX('Paramètres'!$N:$N,MATCH($D3961,'Paramètres'!$M:$M,0))&amp;"",""))),0,IF($L3961="Débit",$K3961,IF($P3961=1,-$K3961,0))))</f>
        <v/>
      </c>
      <c r="R3961" s="6" t="str">
        <f>IF($K3961="","",IF($L3961="Crédit",$K3961,-$K3961))</f>
        <v/>
      </c>
      <c r="S3961" s="6" t="str">
        <f>IF($C3961="","",IFERROR(INDEX('Paramètres'!$H:$H,MATCH($C3961,'Paramètres'!$D:$D,0))&amp;"",""))</f>
        <v/>
      </c>
      <c r="T3961" s="6" t="str">
        <f>IF($K3961="","",IF($S3961="",0,IF(ISNUMBER(SEARCH("apport-exterieur",IFERROR(INDEX('Paramètres'!$N:$N,MATCH($D3961,'Paramètres'!$M:$M,0))&amp;"",""))),0,IF(OR(IFERROR(INDEX('Paramètres'!$I:$I,MATCH($C3961,'Paramètres'!$D:$D,0))&amp;"","")="Les deux",IFERROR(INDEX('Paramètres'!$I:$I,MATCH($C3961,'Paramètres'!$D:$D,0))&amp;"","")=IF($P3961=1,"Débit",$L3961)),-IF($P3961=1,-$K3961,$K3961),0))))</f>
        <v/>
      </c>
      <c r="U3961" s="6" t="str">
        <f>IF($K3961="","",IF(ISNUMBER(SEARCH("sortie-epargne",IFERROR(INDEX('Paramètres'!$N:$N,MATCH($D3961,'Paramètres'!$M:$M,0))&amp;"",""))),$K3961,0))</f>
        <v/>
      </c>
      <c r="V3961" s="6" t="str">
        <f>IF(AND($A3961&lt;&gt;"",$O3961=1,$L3961="Débit",N($Q3961)&gt;0,$A3961&gt;=Visualisation!$B$1,$A3961&lt;Visualisation!$D$1),MAX($V$1:V3960)+1,"")</f>
        <v/>
      </c>
    </row>
    <row r="3962" spans="1:22" x14ac:dyDescent="0.25">
      <c r="A3962" s="9"/>
      <c r="E3962" s="10"/>
      <c r="K3962" s="11" t="str">
        <f>IF($E3962="","",ROUND($E3962*IF(ISNA(MATCH($C3962,'Paramètres'!$D:$D,0)),1,IF(INDEX('Paramètres'!$J:$J,MATCH($C3962,'Paramètres'!$D:$D,0))="",1,INDEX('Paramètres'!$J:$J,MATCH($C3962,'Paramètres'!$D:$D,0)))),2))</f>
        <v/>
      </c>
      <c r="L3962" s="6" t="str">
        <f>IF($D3962="","",IF($F3962&lt;&gt;"",$F3962,IF(ISNA(MATCH($D3962,'Paramètres'!$M:$M,0)),"⚠ Type inconnu",IFERROR(INDEX('Paramètres'!$P:$P,MATCH($D3962,'Paramètres'!$M:$M,0))&amp;"",""))))</f>
        <v/>
      </c>
      <c r="M3962" s="6" t="str">
        <f>IF($D3962="","",IF(ISNA(MATCH($D3962,'Paramètres'!$M:$M,0)),"⚠ Type inconnu",IF($L3962="Crédit","",IFERROR(INDEX('Paramètres'!$O:$O,MATCH($D3962,'Paramètres'!$M:$M,0))&amp;"",""))))</f>
        <v/>
      </c>
      <c r="N3962" s="6" t="str">
        <f>IF($D3962="","",IFERROR(INDEX('Paramètres'!$Q:$Q,MATCH($D3962,'Paramètres'!$M:$M,0))&amp;"",""))</f>
        <v/>
      </c>
      <c r="O3962" s="6" t="str">
        <f>IF($A3962="","",IF(OR($J3962&lt;&gt;"x",$A3962&lt;=FinReleve),1,0))</f>
        <v/>
      </c>
      <c r="P3962" s="6" t="str">
        <f>IF($D3962="","",IF(AND($L3962="Crédit",OR(IFERROR(INDEX('Paramètres'!$O:$O,MATCH($D3962,'Paramètres'!$M:$M,0))&amp;"","")&lt;&gt;"",ISNUMBER(SEARCH("remboursement",IFERROR(INDEX('Paramètres'!$N:$N,MATCH($D3962,'Paramètres'!$M:$M,0))&amp;"",""))))),1,0))</f>
        <v/>
      </c>
      <c r="Q3962" s="6" t="str">
        <f>IF($K3962="","",IF(ISNUMBER(SEARCH("transfert-interne",IFERROR(INDEX('Paramètres'!$N:$N,MATCH($D3962,'Paramètres'!$M:$M,0))&amp;"",""))),0,IF($L3962="Débit",$K3962,IF($P3962=1,-$K3962,0))))</f>
        <v/>
      </c>
      <c r="R3962" s="6" t="str">
        <f>IF($K3962="","",IF($L3962="Crédit",$K3962,-$K3962))</f>
        <v/>
      </c>
      <c r="S3962" s="6" t="str">
        <f>IF($C3962="","",IFERROR(INDEX('Paramètres'!$H:$H,MATCH($C3962,'Paramètres'!$D:$D,0))&amp;"",""))</f>
        <v/>
      </c>
      <c r="T3962" s="6" t="str">
        <f>IF($K3962="","",IF($S3962="",0,IF(ISNUMBER(SEARCH("apport-exterieur",IFERROR(INDEX('Paramètres'!$N:$N,MATCH($D3962,'Paramètres'!$M:$M,0))&amp;"",""))),0,IF(OR(IFERROR(INDEX('Paramètres'!$I:$I,MATCH($C3962,'Paramètres'!$D:$D,0))&amp;"","")="Les deux",IFERROR(INDEX('Paramètres'!$I:$I,MATCH($C3962,'Paramètres'!$D:$D,0))&amp;"","")=IF($P3962=1,"Débit",$L3962)),-IF($P3962=1,-$K3962,$K3962),0))))</f>
        <v/>
      </c>
      <c r="U3962" s="6" t="str">
        <f>IF($K3962="","",IF(ISNUMBER(SEARCH("sortie-epargne",IFERROR(INDEX('Paramètres'!$N:$N,MATCH($D3962,'Paramètres'!$M:$M,0))&amp;"",""))),$K3962,0))</f>
        <v/>
      </c>
      <c r="V3962" s="6" t="str">
        <f>IF(AND($A3962&lt;&gt;"",$O3962=1,$L3962="Débit",N($Q3962)&gt;0,$A3962&gt;=Visualisation!$B$1,$A3962&lt;Visualisation!$D$1),MAX($V$1:V3961)+1,"")</f>
        <v/>
      </c>
    </row>
    <row r="3963" spans="1:22" x14ac:dyDescent="0.25">
      <c r="A3963" s="9"/>
      <c r="E3963" s="10"/>
      <c r="K3963" s="11" t="str">
        <f>IF($E3963="","",ROUND($E3963*IF(ISNA(MATCH($C3963,'Paramètres'!$D:$D,0)),1,IF(INDEX('Paramètres'!$J:$J,MATCH($C3963,'Paramètres'!$D:$D,0))="",1,INDEX('Paramètres'!$J:$J,MATCH($C3963,'Paramètres'!$D:$D,0)))),2))</f>
        <v/>
      </c>
      <c r="L3963" s="6" t="str">
        <f>IF($D3963="","",IF($F3963&lt;&gt;"",$F3963,IF(ISNA(MATCH($D3963,'Paramètres'!$M:$M,0)),"⚠ Type inconnu",IFERROR(INDEX('Paramètres'!$P:$P,MATCH($D3963,'Paramètres'!$M:$M,0))&amp;"",""))))</f>
        <v/>
      </c>
      <c r="M3963" s="6" t="str">
        <f>IF($D3963="","",IF(ISNA(MATCH($D3963,'Paramètres'!$M:$M,0)),"⚠ Type inconnu",IF($L3963="Crédit","",IFERROR(INDEX('Paramètres'!$O:$O,MATCH($D3963,'Paramètres'!$M:$M,0))&amp;"",""))))</f>
        <v/>
      </c>
      <c r="N3963" s="6" t="str">
        <f>IF($D3963="","",IFERROR(INDEX('Paramètres'!$Q:$Q,MATCH($D3963,'Paramètres'!$M:$M,0))&amp;"",""))</f>
        <v/>
      </c>
      <c r="O3963" s="6" t="str">
        <f>IF($A3963="","",IF(OR($J3963&lt;&gt;"x",$A3963&lt;=FinReleve),1,0))</f>
        <v/>
      </c>
      <c r="P3963" s="6" t="str">
        <f>IF($D3963="","",IF(AND($L3963="Crédit",OR(IFERROR(INDEX('Paramètres'!$O:$O,MATCH($D3963,'Paramètres'!$M:$M,0))&amp;"","")&lt;&gt;"",ISNUMBER(SEARCH("remboursement",IFERROR(INDEX('Paramètres'!$N:$N,MATCH($D3963,'Paramètres'!$M:$M,0))&amp;"",""))))),1,0))</f>
        <v/>
      </c>
      <c r="Q3963" s="6" t="str">
        <f>IF($K3963="","",IF(ISNUMBER(SEARCH("transfert-interne",IFERROR(INDEX('Paramètres'!$N:$N,MATCH($D3963,'Paramètres'!$M:$M,0))&amp;"",""))),0,IF($L3963="Débit",$K3963,IF($P3963=1,-$K3963,0))))</f>
        <v/>
      </c>
      <c r="R3963" s="6" t="str">
        <f>IF($K3963="","",IF($L3963="Crédit",$K3963,-$K3963))</f>
        <v/>
      </c>
      <c r="S3963" s="6" t="str">
        <f>IF($C3963="","",IFERROR(INDEX('Paramètres'!$H:$H,MATCH($C3963,'Paramètres'!$D:$D,0))&amp;"",""))</f>
        <v/>
      </c>
      <c r="T3963" s="6" t="str">
        <f>IF($K3963="","",IF($S3963="",0,IF(ISNUMBER(SEARCH("apport-exterieur",IFERROR(INDEX('Paramètres'!$N:$N,MATCH($D3963,'Paramètres'!$M:$M,0))&amp;"",""))),0,IF(OR(IFERROR(INDEX('Paramètres'!$I:$I,MATCH($C3963,'Paramètres'!$D:$D,0))&amp;"","")="Les deux",IFERROR(INDEX('Paramètres'!$I:$I,MATCH($C3963,'Paramètres'!$D:$D,0))&amp;"","")=IF($P3963=1,"Débit",$L3963)),-IF($P3963=1,-$K3963,$K3963),0))))</f>
        <v/>
      </c>
      <c r="U3963" s="6" t="str">
        <f>IF($K3963="","",IF(ISNUMBER(SEARCH("sortie-epargne",IFERROR(INDEX('Paramètres'!$N:$N,MATCH($D3963,'Paramètres'!$M:$M,0))&amp;"",""))),$K3963,0))</f>
        <v/>
      </c>
      <c r="V3963" s="6" t="str">
        <f>IF(AND($A3963&lt;&gt;"",$O3963=1,$L3963="Débit",N($Q3963)&gt;0,$A3963&gt;=Visualisation!$B$1,$A3963&lt;Visualisation!$D$1),MAX($V$1:V3962)+1,"")</f>
        <v/>
      </c>
    </row>
    <row r="3964" spans="1:22" x14ac:dyDescent="0.25">
      <c r="A3964" s="9"/>
      <c r="E3964" s="10"/>
      <c r="K3964" s="11" t="str">
        <f>IF($E3964="","",ROUND($E3964*IF(ISNA(MATCH($C3964,'Paramètres'!$D:$D,0)),1,IF(INDEX('Paramètres'!$J:$J,MATCH($C3964,'Paramètres'!$D:$D,0))="",1,INDEX('Paramètres'!$J:$J,MATCH($C3964,'Paramètres'!$D:$D,0)))),2))</f>
        <v/>
      </c>
      <c r="L3964" s="6" t="str">
        <f>IF($D3964="","",IF($F3964&lt;&gt;"",$F3964,IF(ISNA(MATCH($D3964,'Paramètres'!$M:$M,0)),"⚠ Type inconnu",IFERROR(INDEX('Paramètres'!$P:$P,MATCH($D3964,'Paramètres'!$M:$M,0))&amp;"",""))))</f>
        <v/>
      </c>
      <c r="M3964" s="6" t="str">
        <f>IF($D3964="","",IF(ISNA(MATCH($D3964,'Paramètres'!$M:$M,0)),"⚠ Type inconnu",IF($L3964="Crédit","",IFERROR(INDEX('Paramètres'!$O:$O,MATCH($D3964,'Paramètres'!$M:$M,0))&amp;"",""))))</f>
        <v/>
      </c>
      <c r="N3964" s="6" t="str">
        <f>IF($D3964="","",IFERROR(INDEX('Paramètres'!$Q:$Q,MATCH($D3964,'Paramètres'!$M:$M,0))&amp;"",""))</f>
        <v/>
      </c>
      <c r="O3964" s="6" t="str">
        <f>IF($A3964="","",IF(OR($J3964&lt;&gt;"x",$A3964&lt;=FinReleve),1,0))</f>
        <v/>
      </c>
      <c r="P3964" s="6" t="str">
        <f>IF($D3964="","",IF(AND($L3964="Crédit",OR(IFERROR(INDEX('Paramètres'!$O:$O,MATCH($D3964,'Paramètres'!$M:$M,0))&amp;"","")&lt;&gt;"",ISNUMBER(SEARCH("remboursement",IFERROR(INDEX('Paramètres'!$N:$N,MATCH($D3964,'Paramètres'!$M:$M,0))&amp;"",""))))),1,0))</f>
        <v/>
      </c>
      <c r="Q3964" s="6" t="str">
        <f>IF($K3964="","",IF(ISNUMBER(SEARCH("transfert-interne",IFERROR(INDEX('Paramètres'!$N:$N,MATCH($D3964,'Paramètres'!$M:$M,0))&amp;"",""))),0,IF($L3964="Débit",$K3964,IF($P3964=1,-$K3964,0))))</f>
        <v/>
      </c>
      <c r="R3964" s="6" t="str">
        <f>IF($K3964="","",IF($L3964="Crédit",$K3964,-$K3964))</f>
        <v/>
      </c>
      <c r="S3964" s="6" t="str">
        <f>IF($C3964="","",IFERROR(INDEX('Paramètres'!$H:$H,MATCH($C3964,'Paramètres'!$D:$D,0))&amp;"",""))</f>
        <v/>
      </c>
      <c r="T3964" s="6" t="str">
        <f>IF($K3964="","",IF($S3964="",0,IF(ISNUMBER(SEARCH("apport-exterieur",IFERROR(INDEX('Paramètres'!$N:$N,MATCH($D3964,'Paramètres'!$M:$M,0))&amp;"",""))),0,IF(OR(IFERROR(INDEX('Paramètres'!$I:$I,MATCH($C3964,'Paramètres'!$D:$D,0))&amp;"","")="Les deux",IFERROR(INDEX('Paramètres'!$I:$I,MATCH($C3964,'Paramètres'!$D:$D,0))&amp;"","")=IF($P3964=1,"Débit",$L3964)),-IF($P3964=1,-$K3964,$K3964),0))))</f>
        <v/>
      </c>
      <c r="U3964" s="6" t="str">
        <f>IF($K3964="","",IF(ISNUMBER(SEARCH("sortie-epargne",IFERROR(INDEX('Paramètres'!$N:$N,MATCH($D3964,'Paramètres'!$M:$M,0))&amp;"",""))),$K3964,0))</f>
        <v/>
      </c>
      <c r="V3964" s="6" t="str">
        <f>IF(AND($A3964&lt;&gt;"",$O3964=1,$L3964="Débit",N($Q3964)&gt;0,$A3964&gt;=Visualisation!$B$1,$A3964&lt;Visualisation!$D$1),MAX($V$1:V3963)+1,"")</f>
        <v/>
      </c>
    </row>
    <row r="3965" spans="1:22" x14ac:dyDescent="0.25">
      <c r="A3965" s="9"/>
      <c r="E3965" s="10"/>
      <c r="K3965" s="11" t="str">
        <f>IF($E3965="","",ROUND($E3965*IF(ISNA(MATCH($C3965,'Paramètres'!$D:$D,0)),1,IF(INDEX('Paramètres'!$J:$J,MATCH($C3965,'Paramètres'!$D:$D,0))="",1,INDEX('Paramètres'!$J:$J,MATCH($C3965,'Paramètres'!$D:$D,0)))),2))</f>
        <v/>
      </c>
      <c r="L3965" s="6" t="str">
        <f>IF($D3965="","",IF($F3965&lt;&gt;"",$F3965,IF(ISNA(MATCH($D3965,'Paramètres'!$M:$M,0)),"⚠ Type inconnu",IFERROR(INDEX('Paramètres'!$P:$P,MATCH($D3965,'Paramètres'!$M:$M,0))&amp;"",""))))</f>
        <v/>
      </c>
      <c r="M3965" s="6" t="str">
        <f>IF($D3965="","",IF(ISNA(MATCH($D3965,'Paramètres'!$M:$M,0)),"⚠ Type inconnu",IF($L3965="Crédit","",IFERROR(INDEX('Paramètres'!$O:$O,MATCH($D3965,'Paramètres'!$M:$M,0))&amp;"",""))))</f>
        <v/>
      </c>
      <c r="N3965" s="6" t="str">
        <f>IF($D3965="","",IFERROR(INDEX('Paramètres'!$Q:$Q,MATCH($D3965,'Paramètres'!$M:$M,0))&amp;"",""))</f>
        <v/>
      </c>
      <c r="O3965" s="6" t="str">
        <f>IF($A3965="","",IF(OR($J3965&lt;&gt;"x",$A3965&lt;=FinReleve),1,0))</f>
        <v/>
      </c>
      <c r="P3965" s="6" t="str">
        <f>IF($D3965="","",IF(AND($L3965="Crédit",OR(IFERROR(INDEX('Paramètres'!$O:$O,MATCH($D3965,'Paramètres'!$M:$M,0))&amp;"","")&lt;&gt;"",ISNUMBER(SEARCH("remboursement",IFERROR(INDEX('Paramètres'!$N:$N,MATCH($D3965,'Paramètres'!$M:$M,0))&amp;"",""))))),1,0))</f>
        <v/>
      </c>
      <c r="Q3965" s="6" t="str">
        <f>IF($K3965="","",IF(ISNUMBER(SEARCH("transfert-interne",IFERROR(INDEX('Paramètres'!$N:$N,MATCH($D3965,'Paramètres'!$M:$M,0))&amp;"",""))),0,IF($L3965="Débit",$K3965,IF($P3965=1,-$K3965,0))))</f>
        <v/>
      </c>
      <c r="R3965" s="6" t="str">
        <f>IF($K3965="","",IF($L3965="Crédit",$K3965,-$K3965))</f>
        <v/>
      </c>
      <c r="S3965" s="6" t="str">
        <f>IF($C3965="","",IFERROR(INDEX('Paramètres'!$H:$H,MATCH($C3965,'Paramètres'!$D:$D,0))&amp;"",""))</f>
        <v/>
      </c>
      <c r="T3965" s="6" t="str">
        <f>IF($K3965="","",IF($S3965="",0,IF(ISNUMBER(SEARCH("apport-exterieur",IFERROR(INDEX('Paramètres'!$N:$N,MATCH($D3965,'Paramètres'!$M:$M,0))&amp;"",""))),0,IF(OR(IFERROR(INDEX('Paramètres'!$I:$I,MATCH($C3965,'Paramètres'!$D:$D,0))&amp;"","")="Les deux",IFERROR(INDEX('Paramètres'!$I:$I,MATCH($C3965,'Paramètres'!$D:$D,0))&amp;"","")=IF($P3965=1,"Débit",$L3965)),-IF($P3965=1,-$K3965,$K3965),0))))</f>
        <v/>
      </c>
      <c r="U3965" s="6" t="str">
        <f>IF($K3965="","",IF(ISNUMBER(SEARCH("sortie-epargne",IFERROR(INDEX('Paramètres'!$N:$N,MATCH($D3965,'Paramètres'!$M:$M,0))&amp;"",""))),$K3965,0))</f>
        <v/>
      </c>
      <c r="V3965" s="6" t="str">
        <f>IF(AND($A3965&lt;&gt;"",$O3965=1,$L3965="Débit",N($Q3965)&gt;0,$A3965&gt;=Visualisation!$B$1,$A3965&lt;Visualisation!$D$1),MAX($V$1:V3964)+1,"")</f>
        <v/>
      </c>
    </row>
    <row r="3966" spans="1:22" x14ac:dyDescent="0.25">
      <c r="A3966" s="9"/>
      <c r="E3966" s="10"/>
      <c r="K3966" s="11" t="str">
        <f>IF($E3966="","",ROUND($E3966*IF(ISNA(MATCH($C3966,'Paramètres'!$D:$D,0)),1,IF(INDEX('Paramètres'!$J:$J,MATCH($C3966,'Paramètres'!$D:$D,0))="",1,INDEX('Paramètres'!$J:$J,MATCH($C3966,'Paramètres'!$D:$D,0)))),2))</f>
        <v/>
      </c>
      <c r="L3966" s="6" t="str">
        <f>IF($D3966="","",IF($F3966&lt;&gt;"",$F3966,IF(ISNA(MATCH($D3966,'Paramètres'!$M:$M,0)),"⚠ Type inconnu",IFERROR(INDEX('Paramètres'!$P:$P,MATCH($D3966,'Paramètres'!$M:$M,0))&amp;"",""))))</f>
        <v/>
      </c>
      <c r="M3966" s="6" t="str">
        <f>IF($D3966="","",IF(ISNA(MATCH($D3966,'Paramètres'!$M:$M,0)),"⚠ Type inconnu",IF($L3966="Crédit","",IFERROR(INDEX('Paramètres'!$O:$O,MATCH($D3966,'Paramètres'!$M:$M,0))&amp;"",""))))</f>
        <v/>
      </c>
      <c r="N3966" s="6" t="str">
        <f>IF($D3966="","",IFERROR(INDEX('Paramètres'!$Q:$Q,MATCH($D3966,'Paramètres'!$M:$M,0))&amp;"",""))</f>
        <v/>
      </c>
      <c r="O3966" s="6" t="str">
        <f>IF($A3966="","",IF(OR($J3966&lt;&gt;"x",$A3966&lt;=FinReleve),1,0))</f>
        <v/>
      </c>
      <c r="P3966" s="6" t="str">
        <f>IF($D3966="","",IF(AND($L3966="Crédit",OR(IFERROR(INDEX('Paramètres'!$O:$O,MATCH($D3966,'Paramètres'!$M:$M,0))&amp;"","")&lt;&gt;"",ISNUMBER(SEARCH("remboursement",IFERROR(INDEX('Paramètres'!$N:$N,MATCH($D3966,'Paramètres'!$M:$M,0))&amp;"",""))))),1,0))</f>
        <v/>
      </c>
      <c r="Q3966" s="6" t="str">
        <f>IF($K3966="","",IF(ISNUMBER(SEARCH("transfert-interne",IFERROR(INDEX('Paramètres'!$N:$N,MATCH($D3966,'Paramètres'!$M:$M,0))&amp;"",""))),0,IF($L3966="Débit",$K3966,IF($P3966=1,-$K3966,0))))</f>
        <v/>
      </c>
      <c r="R3966" s="6" t="str">
        <f>IF($K3966="","",IF($L3966="Crédit",$K3966,-$K3966))</f>
        <v/>
      </c>
      <c r="S3966" s="6" t="str">
        <f>IF($C3966="","",IFERROR(INDEX('Paramètres'!$H:$H,MATCH($C3966,'Paramètres'!$D:$D,0))&amp;"",""))</f>
        <v/>
      </c>
      <c r="T3966" s="6" t="str">
        <f>IF($K3966="","",IF($S3966="",0,IF(ISNUMBER(SEARCH("apport-exterieur",IFERROR(INDEX('Paramètres'!$N:$N,MATCH($D3966,'Paramètres'!$M:$M,0))&amp;"",""))),0,IF(OR(IFERROR(INDEX('Paramètres'!$I:$I,MATCH($C3966,'Paramètres'!$D:$D,0))&amp;"","")="Les deux",IFERROR(INDEX('Paramètres'!$I:$I,MATCH($C3966,'Paramètres'!$D:$D,0))&amp;"","")=IF($P3966=1,"Débit",$L3966)),-IF($P3966=1,-$K3966,$K3966),0))))</f>
        <v/>
      </c>
      <c r="U3966" s="6" t="str">
        <f>IF($K3966="","",IF(ISNUMBER(SEARCH("sortie-epargne",IFERROR(INDEX('Paramètres'!$N:$N,MATCH($D3966,'Paramètres'!$M:$M,0))&amp;"",""))),$K3966,0))</f>
        <v/>
      </c>
      <c r="V3966" s="6" t="str">
        <f>IF(AND($A3966&lt;&gt;"",$O3966=1,$L3966="Débit",N($Q3966)&gt;0,$A3966&gt;=Visualisation!$B$1,$A3966&lt;Visualisation!$D$1),MAX($V$1:V3965)+1,"")</f>
        <v/>
      </c>
    </row>
    <row r="3967" spans="1:22" x14ac:dyDescent="0.25">
      <c r="A3967" s="9"/>
      <c r="E3967" s="10"/>
      <c r="K3967" s="11" t="str">
        <f>IF($E3967="","",ROUND($E3967*IF(ISNA(MATCH($C3967,'Paramètres'!$D:$D,0)),1,IF(INDEX('Paramètres'!$J:$J,MATCH($C3967,'Paramètres'!$D:$D,0))="",1,INDEX('Paramètres'!$J:$J,MATCH($C3967,'Paramètres'!$D:$D,0)))),2))</f>
        <v/>
      </c>
      <c r="L3967" s="6" t="str">
        <f>IF($D3967="","",IF($F3967&lt;&gt;"",$F3967,IF(ISNA(MATCH($D3967,'Paramètres'!$M:$M,0)),"⚠ Type inconnu",IFERROR(INDEX('Paramètres'!$P:$P,MATCH($D3967,'Paramètres'!$M:$M,0))&amp;"",""))))</f>
        <v/>
      </c>
      <c r="M3967" s="6" t="str">
        <f>IF($D3967="","",IF(ISNA(MATCH($D3967,'Paramètres'!$M:$M,0)),"⚠ Type inconnu",IF($L3967="Crédit","",IFERROR(INDEX('Paramètres'!$O:$O,MATCH($D3967,'Paramètres'!$M:$M,0))&amp;"",""))))</f>
        <v/>
      </c>
      <c r="N3967" s="6" t="str">
        <f>IF($D3967="","",IFERROR(INDEX('Paramètres'!$Q:$Q,MATCH($D3967,'Paramètres'!$M:$M,0))&amp;"",""))</f>
        <v/>
      </c>
      <c r="O3967" s="6" t="str">
        <f>IF($A3967="","",IF(OR($J3967&lt;&gt;"x",$A3967&lt;=FinReleve),1,0))</f>
        <v/>
      </c>
      <c r="P3967" s="6" t="str">
        <f>IF($D3967="","",IF(AND($L3967="Crédit",OR(IFERROR(INDEX('Paramètres'!$O:$O,MATCH($D3967,'Paramètres'!$M:$M,0))&amp;"","")&lt;&gt;"",ISNUMBER(SEARCH("remboursement",IFERROR(INDEX('Paramètres'!$N:$N,MATCH($D3967,'Paramètres'!$M:$M,0))&amp;"",""))))),1,0))</f>
        <v/>
      </c>
      <c r="Q3967" s="6" t="str">
        <f>IF($K3967="","",IF(ISNUMBER(SEARCH("transfert-interne",IFERROR(INDEX('Paramètres'!$N:$N,MATCH($D3967,'Paramètres'!$M:$M,0))&amp;"",""))),0,IF($L3967="Débit",$K3967,IF($P3967=1,-$K3967,0))))</f>
        <v/>
      </c>
      <c r="R3967" s="6" t="str">
        <f>IF($K3967="","",IF($L3967="Crédit",$K3967,-$K3967))</f>
        <v/>
      </c>
      <c r="S3967" s="6" t="str">
        <f>IF($C3967="","",IFERROR(INDEX('Paramètres'!$H:$H,MATCH($C3967,'Paramètres'!$D:$D,0))&amp;"",""))</f>
        <v/>
      </c>
      <c r="T3967" s="6" t="str">
        <f>IF($K3967="","",IF($S3967="",0,IF(ISNUMBER(SEARCH("apport-exterieur",IFERROR(INDEX('Paramètres'!$N:$N,MATCH($D3967,'Paramètres'!$M:$M,0))&amp;"",""))),0,IF(OR(IFERROR(INDEX('Paramètres'!$I:$I,MATCH($C3967,'Paramètres'!$D:$D,0))&amp;"","")="Les deux",IFERROR(INDEX('Paramètres'!$I:$I,MATCH($C3967,'Paramètres'!$D:$D,0))&amp;"","")=IF($P3967=1,"Débit",$L3967)),-IF($P3967=1,-$K3967,$K3967),0))))</f>
        <v/>
      </c>
      <c r="U3967" s="6" t="str">
        <f>IF($K3967="","",IF(ISNUMBER(SEARCH("sortie-epargne",IFERROR(INDEX('Paramètres'!$N:$N,MATCH($D3967,'Paramètres'!$M:$M,0))&amp;"",""))),$K3967,0))</f>
        <v/>
      </c>
      <c r="V3967" s="6" t="str">
        <f>IF(AND($A3967&lt;&gt;"",$O3967=1,$L3967="Débit",N($Q3967)&gt;0,$A3967&gt;=Visualisation!$B$1,$A3967&lt;Visualisation!$D$1),MAX($V$1:V3966)+1,"")</f>
        <v/>
      </c>
    </row>
    <row r="3968" spans="1:22" x14ac:dyDescent="0.25">
      <c r="A3968" s="9"/>
      <c r="E3968" s="10"/>
      <c r="K3968" s="11" t="str">
        <f>IF($E3968="","",ROUND($E3968*IF(ISNA(MATCH($C3968,'Paramètres'!$D:$D,0)),1,IF(INDEX('Paramètres'!$J:$J,MATCH($C3968,'Paramètres'!$D:$D,0))="",1,INDEX('Paramètres'!$J:$J,MATCH($C3968,'Paramètres'!$D:$D,0)))),2))</f>
        <v/>
      </c>
      <c r="L3968" s="6" t="str">
        <f>IF($D3968="","",IF($F3968&lt;&gt;"",$F3968,IF(ISNA(MATCH($D3968,'Paramètres'!$M:$M,0)),"⚠ Type inconnu",IFERROR(INDEX('Paramètres'!$P:$P,MATCH($D3968,'Paramètres'!$M:$M,0))&amp;"",""))))</f>
        <v/>
      </c>
      <c r="M3968" s="6" t="str">
        <f>IF($D3968="","",IF(ISNA(MATCH($D3968,'Paramètres'!$M:$M,0)),"⚠ Type inconnu",IF($L3968="Crédit","",IFERROR(INDEX('Paramètres'!$O:$O,MATCH($D3968,'Paramètres'!$M:$M,0))&amp;"",""))))</f>
        <v/>
      </c>
      <c r="N3968" s="6" t="str">
        <f>IF($D3968="","",IFERROR(INDEX('Paramètres'!$Q:$Q,MATCH($D3968,'Paramètres'!$M:$M,0))&amp;"",""))</f>
        <v/>
      </c>
      <c r="O3968" s="6" t="str">
        <f>IF($A3968="","",IF(OR($J3968&lt;&gt;"x",$A3968&lt;=FinReleve),1,0))</f>
        <v/>
      </c>
      <c r="P3968" s="6" t="str">
        <f>IF($D3968="","",IF(AND($L3968="Crédit",OR(IFERROR(INDEX('Paramètres'!$O:$O,MATCH($D3968,'Paramètres'!$M:$M,0))&amp;"","")&lt;&gt;"",ISNUMBER(SEARCH("remboursement",IFERROR(INDEX('Paramètres'!$N:$N,MATCH($D3968,'Paramètres'!$M:$M,0))&amp;"",""))))),1,0))</f>
        <v/>
      </c>
      <c r="Q3968" s="6" t="str">
        <f>IF($K3968="","",IF(ISNUMBER(SEARCH("transfert-interne",IFERROR(INDEX('Paramètres'!$N:$N,MATCH($D3968,'Paramètres'!$M:$M,0))&amp;"",""))),0,IF($L3968="Débit",$K3968,IF($P3968=1,-$K3968,0))))</f>
        <v/>
      </c>
      <c r="R3968" s="6" t="str">
        <f>IF($K3968="","",IF($L3968="Crédit",$K3968,-$K3968))</f>
        <v/>
      </c>
      <c r="S3968" s="6" t="str">
        <f>IF($C3968="","",IFERROR(INDEX('Paramètres'!$H:$H,MATCH($C3968,'Paramètres'!$D:$D,0))&amp;"",""))</f>
        <v/>
      </c>
      <c r="T3968" s="6" t="str">
        <f>IF($K3968="","",IF($S3968="",0,IF(ISNUMBER(SEARCH("apport-exterieur",IFERROR(INDEX('Paramètres'!$N:$N,MATCH($D3968,'Paramètres'!$M:$M,0))&amp;"",""))),0,IF(OR(IFERROR(INDEX('Paramètres'!$I:$I,MATCH($C3968,'Paramètres'!$D:$D,0))&amp;"","")="Les deux",IFERROR(INDEX('Paramètres'!$I:$I,MATCH($C3968,'Paramètres'!$D:$D,0))&amp;"","")=IF($P3968=1,"Débit",$L3968)),-IF($P3968=1,-$K3968,$K3968),0))))</f>
        <v/>
      </c>
      <c r="U3968" s="6" t="str">
        <f>IF($K3968="","",IF(ISNUMBER(SEARCH("sortie-epargne",IFERROR(INDEX('Paramètres'!$N:$N,MATCH($D3968,'Paramètres'!$M:$M,0))&amp;"",""))),$K3968,0))</f>
        <v/>
      </c>
      <c r="V3968" s="6" t="str">
        <f>IF(AND($A3968&lt;&gt;"",$O3968=1,$L3968="Débit",N($Q3968)&gt;0,$A3968&gt;=Visualisation!$B$1,$A3968&lt;Visualisation!$D$1),MAX($V$1:V3967)+1,"")</f>
        <v/>
      </c>
    </row>
    <row r="3969" spans="1:22" x14ac:dyDescent="0.25">
      <c r="A3969" s="9"/>
      <c r="E3969" s="10"/>
      <c r="K3969" s="11" t="str">
        <f>IF($E3969="","",ROUND($E3969*IF(ISNA(MATCH($C3969,'Paramètres'!$D:$D,0)),1,IF(INDEX('Paramètres'!$J:$J,MATCH($C3969,'Paramètres'!$D:$D,0))="",1,INDEX('Paramètres'!$J:$J,MATCH($C3969,'Paramètres'!$D:$D,0)))),2))</f>
        <v/>
      </c>
      <c r="L3969" s="6" t="str">
        <f>IF($D3969="","",IF($F3969&lt;&gt;"",$F3969,IF(ISNA(MATCH($D3969,'Paramètres'!$M:$M,0)),"⚠ Type inconnu",IFERROR(INDEX('Paramètres'!$P:$P,MATCH($D3969,'Paramètres'!$M:$M,0))&amp;"",""))))</f>
        <v/>
      </c>
      <c r="M3969" s="6" t="str">
        <f>IF($D3969="","",IF(ISNA(MATCH($D3969,'Paramètres'!$M:$M,0)),"⚠ Type inconnu",IF($L3969="Crédit","",IFERROR(INDEX('Paramètres'!$O:$O,MATCH($D3969,'Paramètres'!$M:$M,0))&amp;"",""))))</f>
        <v/>
      </c>
      <c r="N3969" s="6" t="str">
        <f>IF($D3969="","",IFERROR(INDEX('Paramètres'!$Q:$Q,MATCH($D3969,'Paramètres'!$M:$M,0))&amp;"",""))</f>
        <v/>
      </c>
      <c r="O3969" s="6" t="str">
        <f>IF($A3969="","",IF(OR($J3969&lt;&gt;"x",$A3969&lt;=FinReleve),1,0))</f>
        <v/>
      </c>
      <c r="P3969" s="6" t="str">
        <f>IF($D3969="","",IF(AND($L3969="Crédit",OR(IFERROR(INDEX('Paramètres'!$O:$O,MATCH($D3969,'Paramètres'!$M:$M,0))&amp;"","")&lt;&gt;"",ISNUMBER(SEARCH("remboursement",IFERROR(INDEX('Paramètres'!$N:$N,MATCH($D3969,'Paramètres'!$M:$M,0))&amp;"",""))))),1,0))</f>
        <v/>
      </c>
      <c r="Q3969" s="6" t="str">
        <f>IF($K3969="","",IF(ISNUMBER(SEARCH("transfert-interne",IFERROR(INDEX('Paramètres'!$N:$N,MATCH($D3969,'Paramètres'!$M:$M,0))&amp;"",""))),0,IF($L3969="Débit",$K3969,IF($P3969=1,-$K3969,0))))</f>
        <v/>
      </c>
      <c r="R3969" s="6" t="str">
        <f>IF($K3969="","",IF($L3969="Crédit",$K3969,-$K3969))</f>
        <v/>
      </c>
      <c r="S3969" s="6" t="str">
        <f>IF($C3969="","",IFERROR(INDEX('Paramètres'!$H:$H,MATCH($C3969,'Paramètres'!$D:$D,0))&amp;"",""))</f>
        <v/>
      </c>
      <c r="T3969" s="6" t="str">
        <f>IF($K3969="","",IF($S3969="",0,IF(ISNUMBER(SEARCH("apport-exterieur",IFERROR(INDEX('Paramètres'!$N:$N,MATCH($D3969,'Paramètres'!$M:$M,0))&amp;"",""))),0,IF(OR(IFERROR(INDEX('Paramètres'!$I:$I,MATCH($C3969,'Paramètres'!$D:$D,0))&amp;"","")="Les deux",IFERROR(INDEX('Paramètres'!$I:$I,MATCH($C3969,'Paramètres'!$D:$D,0))&amp;"","")=IF($P3969=1,"Débit",$L3969)),-IF($P3969=1,-$K3969,$K3969),0))))</f>
        <v/>
      </c>
      <c r="U3969" s="6" t="str">
        <f>IF($K3969="","",IF(ISNUMBER(SEARCH("sortie-epargne",IFERROR(INDEX('Paramètres'!$N:$N,MATCH($D3969,'Paramètres'!$M:$M,0))&amp;"",""))),$K3969,0))</f>
        <v/>
      </c>
      <c r="V3969" s="6" t="str">
        <f>IF(AND($A3969&lt;&gt;"",$O3969=1,$L3969="Débit",N($Q3969)&gt;0,$A3969&gt;=Visualisation!$B$1,$A3969&lt;Visualisation!$D$1),MAX($V$1:V3968)+1,"")</f>
        <v/>
      </c>
    </row>
    <row r="3970" spans="1:22" x14ac:dyDescent="0.25">
      <c r="A3970" s="9"/>
      <c r="E3970" s="10"/>
      <c r="K3970" s="11" t="str">
        <f>IF($E3970="","",ROUND($E3970*IF(ISNA(MATCH($C3970,'Paramètres'!$D:$D,0)),1,IF(INDEX('Paramètres'!$J:$J,MATCH($C3970,'Paramètres'!$D:$D,0))="",1,INDEX('Paramètres'!$J:$J,MATCH($C3970,'Paramètres'!$D:$D,0)))),2))</f>
        <v/>
      </c>
      <c r="L3970" s="6" t="str">
        <f>IF($D3970="","",IF($F3970&lt;&gt;"",$F3970,IF(ISNA(MATCH($D3970,'Paramètres'!$M:$M,0)),"⚠ Type inconnu",IFERROR(INDEX('Paramètres'!$P:$P,MATCH($D3970,'Paramètres'!$M:$M,0))&amp;"",""))))</f>
        <v/>
      </c>
      <c r="M3970" s="6" t="str">
        <f>IF($D3970="","",IF(ISNA(MATCH($D3970,'Paramètres'!$M:$M,0)),"⚠ Type inconnu",IF($L3970="Crédit","",IFERROR(INDEX('Paramètres'!$O:$O,MATCH($D3970,'Paramètres'!$M:$M,0))&amp;"",""))))</f>
        <v/>
      </c>
      <c r="N3970" s="6" t="str">
        <f>IF($D3970="","",IFERROR(INDEX('Paramètres'!$Q:$Q,MATCH($D3970,'Paramètres'!$M:$M,0))&amp;"",""))</f>
        <v/>
      </c>
      <c r="O3970" s="6" t="str">
        <f>IF($A3970="","",IF(OR($J3970&lt;&gt;"x",$A3970&lt;=FinReleve),1,0))</f>
        <v/>
      </c>
      <c r="P3970" s="6" t="str">
        <f>IF($D3970="","",IF(AND($L3970="Crédit",OR(IFERROR(INDEX('Paramètres'!$O:$O,MATCH($D3970,'Paramètres'!$M:$M,0))&amp;"","")&lt;&gt;"",ISNUMBER(SEARCH("remboursement",IFERROR(INDEX('Paramètres'!$N:$N,MATCH($D3970,'Paramètres'!$M:$M,0))&amp;"",""))))),1,0))</f>
        <v/>
      </c>
      <c r="Q3970" s="6" t="str">
        <f>IF($K3970="","",IF(ISNUMBER(SEARCH("transfert-interne",IFERROR(INDEX('Paramètres'!$N:$N,MATCH($D3970,'Paramètres'!$M:$M,0))&amp;"",""))),0,IF($L3970="Débit",$K3970,IF($P3970=1,-$K3970,0))))</f>
        <v/>
      </c>
      <c r="R3970" s="6" t="str">
        <f>IF($K3970="","",IF($L3970="Crédit",$K3970,-$K3970))</f>
        <v/>
      </c>
      <c r="S3970" s="6" t="str">
        <f>IF($C3970="","",IFERROR(INDEX('Paramètres'!$H:$H,MATCH($C3970,'Paramètres'!$D:$D,0))&amp;"",""))</f>
        <v/>
      </c>
      <c r="T3970" s="6" t="str">
        <f>IF($K3970="","",IF($S3970="",0,IF(ISNUMBER(SEARCH("apport-exterieur",IFERROR(INDEX('Paramètres'!$N:$N,MATCH($D3970,'Paramètres'!$M:$M,0))&amp;"",""))),0,IF(OR(IFERROR(INDEX('Paramètres'!$I:$I,MATCH($C3970,'Paramètres'!$D:$D,0))&amp;"","")="Les deux",IFERROR(INDEX('Paramètres'!$I:$I,MATCH($C3970,'Paramètres'!$D:$D,0))&amp;"","")=IF($P3970=1,"Débit",$L3970)),-IF($P3970=1,-$K3970,$K3970),0))))</f>
        <v/>
      </c>
      <c r="U3970" s="6" t="str">
        <f>IF($K3970="","",IF(ISNUMBER(SEARCH("sortie-epargne",IFERROR(INDEX('Paramètres'!$N:$N,MATCH($D3970,'Paramètres'!$M:$M,0))&amp;"",""))),$K3970,0))</f>
        <v/>
      </c>
      <c r="V3970" s="6" t="str">
        <f>IF(AND($A3970&lt;&gt;"",$O3970=1,$L3970="Débit",N($Q3970)&gt;0,$A3970&gt;=Visualisation!$B$1,$A3970&lt;Visualisation!$D$1),MAX($V$1:V3969)+1,"")</f>
        <v/>
      </c>
    </row>
    <row r="3971" spans="1:22" x14ac:dyDescent="0.25">
      <c r="A3971" s="9"/>
      <c r="E3971" s="10"/>
      <c r="K3971" s="11" t="str">
        <f>IF($E3971="","",ROUND($E3971*IF(ISNA(MATCH($C3971,'Paramètres'!$D:$D,0)),1,IF(INDEX('Paramètres'!$J:$J,MATCH($C3971,'Paramètres'!$D:$D,0))="",1,INDEX('Paramètres'!$J:$J,MATCH($C3971,'Paramètres'!$D:$D,0)))),2))</f>
        <v/>
      </c>
      <c r="L3971" s="6" t="str">
        <f>IF($D3971="","",IF($F3971&lt;&gt;"",$F3971,IF(ISNA(MATCH($D3971,'Paramètres'!$M:$M,0)),"⚠ Type inconnu",IFERROR(INDEX('Paramètres'!$P:$P,MATCH($D3971,'Paramètres'!$M:$M,0))&amp;"",""))))</f>
        <v/>
      </c>
      <c r="M3971" s="6" t="str">
        <f>IF($D3971="","",IF(ISNA(MATCH($D3971,'Paramètres'!$M:$M,0)),"⚠ Type inconnu",IF($L3971="Crédit","",IFERROR(INDEX('Paramètres'!$O:$O,MATCH($D3971,'Paramètres'!$M:$M,0))&amp;"",""))))</f>
        <v/>
      </c>
      <c r="N3971" s="6" t="str">
        <f>IF($D3971="","",IFERROR(INDEX('Paramètres'!$Q:$Q,MATCH($D3971,'Paramètres'!$M:$M,0))&amp;"",""))</f>
        <v/>
      </c>
      <c r="O3971" s="6" t="str">
        <f>IF($A3971="","",IF(OR($J3971&lt;&gt;"x",$A3971&lt;=FinReleve),1,0))</f>
        <v/>
      </c>
      <c r="P3971" s="6" t="str">
        <f>IF($D3971="","",IF(AND($L3971="Crédit",OR(IFERROR(INDEX('Paramètres'!$O:$O,MATCH($D3971,'Paramètres'!$M:$M,0))&amp;"","")&lt;&gt;"",ISNUMBER(SEARCH("remboursement",IFERROR(INDEX('Paramètres'!$N:$N,MATCH($D3971,'Paramètres'!$M:$M,0))&amp;"",""))))),1,0))</f>
        <v/>
      </c>
      <c r="Q3971" s="6" t="str">
        <f>IF($K3971="","",IF(ISNUMBER(SEARCH("transfert-interne",IFERROR(INDEX('Paramètres'!$N:$N,MATCH($D3971,'Paramètres'!$M:$M,0))&amp;"",""))),0,IF($L3971="Débit",$K3971,IF($P3971=1,-$K3971,0))))</f>
        <v/>
      </c>
      <c r="R3971" s="6" t="str">
        <f>IF($K3971="","",IF($L3971="Crédit",$K3971,-$K3971))</f>
        <v/>
      </c>
      <c r="S3971" s="6" t="str">
        <f>IF($C3971="","",IFERROR(INDEX('Paramètres'!$H:$H,MATCH($C3971,'Paramètres'!$D:$D,0))&amp;"",""))</f>
        <v/>
      </c>
      <c r="T3971" s="6" t="str">
        <f>IF($K3971="","",IF($S3971="",0,IF(ISNUMBER(SEARCH("apport-exterieur",IFERROR(INDEX('Paramètres'!$N:$N,MATCH($D3971,'Paramètres'!$M:$M,0))&amp;"",""))),0,IF(OR(IFERROR(INDEX('Paramètres'!$I:$I,MATCH($C3971,'Paramètres'!$D:$D,0))&amp;"","")="Les deux",IFERROR(INDEX('Paramètres'!$I:$I,MATCH($C3971,'Paramètres'!$D:$D,0))&amp;"","")=IF($P3971=1,"Débit",$L3971)),-IF($P3971=1,-$K3971,$K3971),0))))</f>
        <v/>
      </c>
      <c r="U3971" s="6" t="str">
        <f>IF($K3971="","",IF(ISNUMBER(SEARCH("sortie-epargne",IFERROR(INDEX('Paramètres'!$N:$N,MATCH($D3971,'Paramètres'!$M:$M,0))&amp;"",""))),$K3971,0))</f>
        <v/>
      </c>
      <c r="V3971" s="6" t="str">
        <f>IF(AND($A3971&lt;&gt;"",$O3971=1,$L3971="Débit",N($Q3971)&gt;0,$A3971&gt;=Visualisation!$B$1,$A3971&lt;Visualisation!$D$1),MAX($V$1:V3970)+1,"")</f>
        <v/>
      </c>
    </row>
    <row r="3972" spans="1:22" x14ac:dyDescent="0.25">
      <c r="A3972" s="9"/>
      <c r="E3972" s="10"/>
      <c r="K3972" s="11" t="str">
        <f>IF($E3972="","",ROUND($E3972*IF(ISNA(MATCH($C3972,'Paramètres'!$D:$D,0)),1,IF(INDEX('Paramètres'!$J:$J,MATCH($C3972,'Paramètres'!$D:$D,0))="",1,INDEX('Paramètres'!$J:$J,MATCH($C3972,'Paramètres'!$D:$D,0)))),2))</f>
        <v/>
      </c>
      <c r="L3972" s="6" t="str">
        <f>IF($D3972="","",IF($F3972&lt;&gt;"",$F3972,IF(ISNA(MATCH($D3972,'Paramètres'!$M:$M,0)),"⚠ Type inconnu",IFERROR(INDEX('Paramètres'!$P:$P,MATCH($D3972,'Paramètres'!$M:$M,0))&amp;"",""))))</f>
        <v/>
      </c>
      <c r="M3972" s="6" t="str">
        <f>IF($D3972="","",IF(ISNA(MATCH($D3972,'Paramètres'!$M:$M,0)),"⚠ Type inconnu",IF($L3972="Crédit","",IFERROR(INDEX('Paramètres'!$O:$O,MATCH($D3972,'Paramètres'!$M:$M,0))&amp;"",""))))</f>
        <v/>
      </c>
      <c r="N3972" s="6" t="str">
        <f>IF($D3972="","",IFERROR(INDEX('Paramètres'!$Q:$Q,MATCH($D3972,'Paramètres'!$M:$M,0))&amp;"",""))</f>
        <v/>
      </c>
      <c r="O3972" s="6" t="str">
        <f>IF($A3972="","",IF(OR($J3972&lt;&gt;"x",$A3972&lt;=FinReleve),1,0))</f>
        <v/>
      </c>
      <c r="P3972" s="6" t="str">
        <f>IF($D3972="","",IF(AND($L3972="Crédit",OR(IFERROR(INDEX('Paramètres'!$O:$O,MATCH($D3972,'Paramètres'!$M:$M,0))&amp;"","")&lt;&gt;"",ISNUMBER(SEARCH("remboursement",IFERROR(INDEX('Paramètres'!$N:$N,MATCH($D3972,'Paramètres'!$M:$M,0))&amp;"",""))))),1,0))</f>
        <v/>
      </c>
      <c r="Q3972" s="6" t="str">
        <f>IF($K3972="","",IF(ISNUMBER(SEARCH("transfert-interne",IFERROR(INDEX('Paramètres'!$N:$N,MATCH($D3972,'Paramètres'!$M:$M,0))&amp;"",""))),0,IF($L3972="Débit",$K3972,IF($P3972=1,-$K3972,0))))</f>
        <v/>
      </c>
      <c r="R3972" s="6" t="str">
        <f>IF($K3972="","",IF($L3972="Crédit",$K3972,-$K3972))</f>
        <v/>
      </c>
      <c r="S3972" s="6" t="str">
        <f>IF($C3972="","",IFERROR(INDEX('Paramètres'!$H:$H,MATCH($C3972,'Paramètres'!$D:$D,0))&amp;"",""))</f>
        <v/>
      </c>
      <c r="T3972" s="6" t="str">
        <f>IF($K3972="","",IF($S3972="",0,IF(ISNUMBER(SEARCH("apport-exterieur",IFERROR(INDEX('Paramètres'!$N:$N,MATCH($D3972,'Paramètres'!$M:$M,0))&amp;"",""))),0,IF(OR(IFERROR(INDEX('Paramètres'!$I:$I,MATCH($C3972,'Paramètres'!$D:$D,0))&amp;"","")="Les deux",IFERROR(INDEX('Paramètres'!$I:$I,MATCH($C3972,'Paramètres'!$D:$D,0))&amp;"","")=IF($P3972=1,"Débit",$L3972)),-IF($P3972=1,-$K3972,$K3972),0))))</f>
        <v/>
      </c>
      <c r="U3972" s="6" t="str">
        <f>IF($K3972="","",IF(ISNUMBER(SEARCH("sortie-epargne",IFERROR(INDEX('Paramètres'!$N:$N,MATCH($D3972,'Paramètres'!$M:$M,0))&amp;"",""))),$K3972,0))</f>
        <v/>
      </c>
      <c r="V3972" s="6" t="str">
        <f>IF(AND($A3972&lt;&gt;"",$O3972=1,$L3972="Débit",N($Q3972)&gt;0,$A3972&gt;=Visualisation!$B$1,$A3972&lt;Visualisation!$D$1),MAX($V$1:V3971)+1,"")</f>
        <v/>
      </c>
    </row>
    <row r="3973" spans="1:22" x14ac:dyDescent="0.25">
      <c r="A3973" s="9"/>
      <c r="E3973" s="10"/>
      <c r="K3973" s="11" t="str">
        <f>IF($E3973="","",ROUND($E3973*IF(ISNA(MATCH($C3973,'Paramètres'!$D:$D,0)),1,IF(INDEX('Paramètres'!$J:$J,MATCH($C3973,'Paramètres'!$D:$D,0))="",1,INDEX('Paramètres'!$J:$J,MATCH($C3973,'Paramètres'!$D:$D,0)))),2))</f>
        <v/>
      </c>
      <c r="L3973" s="6" t="str">
        <f>IF($D3973="","",IF($F3973&lt;&gt;"",$F3973,IF(ISNA(MATCH($D3973,'Paramètres'!$M:$M,0)),"⚠ Type inconnu",IFERROR(INDEX('Paramètres'!$P:$P,MATCH($D3973,'Paramètres'!$M:$M,0))&amp;"",""))))</f>
        <v/>
      </c>
      <c r="M3973" s="6" t="str">
        <f>IF($D3973="","",IF(ISNA(MATCH($D3973,'Paramètres'!$M:$M,0)),"⚠ Type inconnu",IF($L3973="Crédit","",IFERROR(INDEX('Paramètres'!$O:$O,MATCH($D3973,'Paramètres'!$M:$M,0))&amp;"",""))))</f>
        <v/>
      </c>
      <c r="N3973" s="6" t="str">
        <f>IF($D3973="","",IFERROR(INDEX('Paramètres'!$Q:$Q,MATCH($D3973,'Paramètres'!$M:$M,0))&amp;"",""))</f>
        <v/>
      </c>
      <c r="O3973" s="6" t="str">
        <f>IF($A3973="","",IF(OR($J3973&lt;&gt;"x",$A3973&lt;=FinReleve),1,0))</f>
        <v/>
      </c>
      <c r="P3973" s="6" t="str">
        <f>IF($D3973="","",IF(AND($L3973="Crédit",OR(IFERROR(INDEX('Paramètres'!$O:$O,MATCH($D3973,'Paramètres'!$M:$M,0))&amp;"","")&lt;&gt;"",ISNUMBER(SEARCH("remboursement",IFERROR(INDEX('Paramètres'!$N:$N,MATCH($D3973,'Paramètres'!$M:$M,0))&amp;"",""))))),1,0))</f>
        <v/>
      </c>
      <c r="Q3973" s="6" t="str">
        <f>IF($K3973="","",IF(ISNUMBER(SEARCH("transfert-interne",IFERROR(INDEX('Paramètres'!$N:$N,MATCH($D3973,'Paramètres'!$M:$M,0))&amp;"",""))),0,IF($L3973="Débit",$K3973,IF($P3973=1,-$K3973,0))))</f>
        <v/>
      </c>
      <c r="R3973" s="6" t="str">
        <f>IF($K3973="","",IF($L3973="Crédit",$K3973,-$K3973))</f>
        <v/>
      </c>
      <c r="S3973" s="6" t="str">
        <f>IF($C3973="","",IFERROR(INDEX('Paramètres'!$H:$H,MATCH($C3973,'Paramètres'!$D:$D,0))&amp;"",""))</f>
        <v/>
      </c>
      <c r="T3973" s="6" t="str">
        <f>IF($K3973="","",IF($S3973="",0,IF(ISNUMBER(SEARCH("apport-exterieur",IFERROR(INDEX('Paramètres'!$N:$N,MATCH($D3973,'Paramètres'!$M:$M,0))&amp;"",""))),0,IF(OR(IFERROR(INDEX('Paramètres'!$I:$I,MATCH($C3973,'Paramètres'!$D:$D,0))&amp;"","")="Les deux",IFERROR(INDEX('Paramètres'!$I:$I,MATCH($C3973,'Paramètres'!$D:$D,0))&amp;"","")=IF($P3973=1,"Débit",$L3973)),-IF($P3973=1,-$K3973,$K3973),0))))</f>
        <v/>
      </c>
      <c r="U3973" s="6" t="str">
        <f>IF($K3973="","",IF(ISNUMBER(SEARCH("sortie-epargne",IFERROR(INDEX('Paramètres'!$N:$N,MATCH($D3973,'Paramètres'!$M:$M,0))&amp;"",""))),$K3973,0))</f>
        <v/>
      </c>
      <c r="V3973" s="6" t="str">
        <f>IF(AND($A3973&lt;&gt;"",$O3973=1,$L3973="Débit",N($Q3973)&gt;0,$A3973&gt;=Visualisation!$B$1,$A3973&lt;Visualisation!$D$1),MAX($V$1:V3972)+1,"")</f>
        <v/>
      </c>
    </row>
    <row r="3974" spans="1:22" x14ac:dyDescent="0.25">
      <c r="A3974" s="9"/>
      <c r="E3974" s="10"/>
      <c r="K3974" s="11" t="str">
        <f>IF($E3974="","",ROUND($E3974*IF(ISNA(MATCH($C3974,'Paramètres'!$D:$D,0)),1,IF(INDEX('Paramètres'!$J:$J,MATCH($C3974,'Paramètres'!$D:$D,0))="",1,INDEX('Paramètres'!$J:$J,MATCH($C3974,'Paramètres'!$D:$D,0)))),2))</f>
        <v/>
      </c>
      <c r="L3974" s="6" t="str">
        <f>IF($D3974="","",IF($F3974&lt;&gt;"",$F3974,IF(ISNA(MATCH($D3974,'Paramètres'!$M:$M,0)),"⚠ Type inconnu",IFERROR(INDEX('Paramètres'!$P:$P,MATCH($D3974,'Paramètres'!$M:$M,0))&amp;"",""))))</f>
        <v/>
      </c>
      <c r="M3974" s="6" t="str">
        <f>IF($D3974="","",IF(ISNA(MATCH($D3974,'Paramètres'!$M:$M,0)),"⚠ Type inconnu",IF($L3974="Crédit","",IFERROR(INDEX('Paramètres'!$O:$O,MATCH($D3974,'Paramètres'!$M:$M,0))&amp;"",""))))</f>
        <v/>
      </c>
      <c r="N3974" s="6" t="str">
        <f>IF($D3974="","",IFERROR(INDEX('Paramètres'!$Q:$Q,MATCH($D3974,'Paramètres'!$M:$M,0))&amp;"",""))</f>
        <v/>
      </c>
      <c r="O3974" s="6" t="str">
        <f>IF($A3974="","",IF(OR($J3974&lt;&gt;"x",$A3974&lt;=FinReleve),1,0))</f>
        <v/>
      </c>
      <c r="P3974" s="6" t="str">
        <f>IF($D3974="","",IF(AND($L3974="Crédit",OR(IFERROR(INDEX('Paramètres'!$O:$O,MATCH($D3974,'Paramètres'!$M:$M,0))&amp;"","")&lt;&gt;"",ISNUMBER(SEARCH("remboursement",IFERROR(INDEX('Paramètres'!$N:$N,MATCH($D3974,'Paramètres'!$M:$M,0))&amp;"",""))))),1,0))</f>
        <v/>
      </c>
      <c r="Q3974" s="6" t="str">
        <f>IF($K3974="","",IF(ISNUMBER(SEARCH("transfert-interne",IFERROR(INDEX('Paramètres'!$N:$N,MATCH($D3974,'Paramètres'!$M:$M,0))&amp;"",""))),0,IF($L3974="Débit",$K3974,IF($P3974=1,-$K3974,0))))</f>
        <v/>
      </c>
      <c r="R3974" s="6" t="str">
        <f>IF($K3974="","",IF($L3974="Crédit",$K3974,-$K3974))</f>
        <v/>
      </c>
      <c r="S3974" s="6" t="str">
        <f>IF($C3974="","",IFERROR(INDEX('Paramètres'!$H:$H,MATCH($C3974,'Paramètres'!$D:$D,0))&amp;"",""))</f>
        <v/>
      </c>
      <c r="T3974" s="6" t="str">
        <f>IF($K3974="","",IF($S3974="",0,IF(ISNUMBER(SEARCH("apport-exterieur",IFERROR(INDEX('Paramètres'!$N:$N,MATCH($D3974,'Paramètres'!$M:$M,0))&amp;"",""))),0,IF(OR(IFERROR(INDEX('Paramètres'!$I:$I,MATCH($C3974,'Paramètres'!$D:$D,0))&amp;"","")="Les deux",IFERROR(INDEX('Paramètres'!$I:$I,MATCH($C3974,'Paramètres'!$D:$D,0))&amp;"","")=IF($P3974=1,"Débit",$L3974)),-IF($P3974=1,-$K3974,$K3974),0))))</f>
        <v/>
      </c>
      <c r="U3974" s="6" t="str">
        <f>IF($K3974="","",IF(ISNUMBER(SEARCH("sortie-epargne",IFERROR(INDEX('Paramètres'!$N:$N,MATCH($D3974,'Paramètres'!$M:$M,0))&amp;"",""))),$K3974,0))</f>
        <v/>
      </c>
      <c r="V3974" s="6" t="str">
        <f>IF(AND($A3974&lt;&gt;"",$O3974=1,$L3974="Débit",N($Q3974)&gt;0,$A3974&gt;=Visualisation!$B$1,$A3974&lt;Visualisation!$D$1),MAX($V$1:V3973)+1,"")</f>
        <v/>
      </c>
    </row>
    <row r="3975" spans="1:22" x14ac:dyDescent="0.25">
      <c r="A3975" s="9"/>
      <c r="E3975" s="10"/>
      <c r="K3975" s="11" t="str">
        <f>IF($E3975="","",ROUND($E3975*IF(ISNA(MATCH($C3975,'Paramètres'!$D:$D,0)),1,IF(INDEX('Paramètres'!$J:$J,MATCH($C3975,'Paramètres'!$D:$D,0))="",1,INDEX('Paramètres'!$J:$J,MATCH($C3975,'Paramètres'!$D:$D,0)))),2))</f>
        <v/>
      </c>
      <c r="L3975" s="6" t="str">
        <f>IF($D3975="","",IF($F3975&lt;&gt;"",$F3975,IF(ISNA(MATCH($D3975,'Paramètres'!$M:$M,0)),"⚠ Type inconnu",IFERROR(INDEX('Paramètres'!$P:$P,MATCH($D3975,'Paramètres'!$M:$M,0))&amp;"",""))))</f>
        <v/>
      </c>
      <c r="M3975" s="6" t="str">
        <f>IF($D3975="","",IF(ISNA(MATCH($D3975,'Paramètres'!$M:$M,0)),"⚠ Type inconnu",IF($L3975="Crédit","",IFERROR(INDEX('Paramètres'!$O:$O,MATCH($D3975,'Paramètres'!$M:$M,0))&amp;"",""))))</f>
        <v/>
      </c>
      <c r="N3975" s="6" t="str">
        <f>IF($D3975="","",IFERROR(INDEX('Paramètres'!$Q:$Q,MATCH($D3975,'Paramètres'!$M:$M,0))&amp;"",""))</f>
        <v/>
      </c>
      <c r="O3975" s="6" t="str">
        <f>IF($A3975="","",IF(OR($J3975&lt;&gt;"x",$A3975&lt;=FinReleve),1,0))</f>
        <v/>
      </c>
      <c r="P3975" s="6" t="str">
        <f>IF($D3975="","",IF(AND($L3975="Crédit",OR(IFERROR(INDEX('Paramètres'!$O:$O,MATCH($D3975,'Paramètres'!$M:$M,0))&amp;"","")&lt;&gt;"",ISNUMBER(SEARCH("remboursement",IFERROR(INDEX('Paramètres'!$N:$N,MATCH($D3975,'Paramètres'!$M:$M,0))&amp;"",""))))),1,0))</f>
        <v/>
      </c>
      <c r="Q3975" s="6" t="str">
        <f>IF($K3975="","",IF(ISNUMBER(SEARCH("transfert-interne",IFERROR(INDEX('Paramètres'!$N:$N,MATCH($D3975,'Paramètres'!$M:$M,0))&amp;"",""))),0,IF($L3975="Débit",$K3975,IF($P3975=1,-$K3975,0))))</f>
        <v/>
      </c>
      <c r="R3975" s="6" t="str">
        <f>IF($K3975="","",IF($L3975="Crédit",$K3975,-$K3975))</f>
        <v/>
      </c>
      <c r="S3975" s="6" t="str">
        <f>IF($C3975="","",IFERROR(INDEX('Paramètres'!$H:$H,MATCH($C3975,'Paramètres'!$D:$D,0))&amp;"",""))</f>
        <v/>
      </c>
      <c r="T3975" s="6" t="str">
        <f>IF($K3975="","",IF($S3975="",0,IF(ISNUMBER(SEARCH("apport-exterieur",IFERROR(INDEX('Paramètres'!$N:$N,MATCH($D3975,'Paramètres'!$M:$M,0))&amp;"",""))),0,IF(OR(IFERROR(INDEX('Paramètres'!$I:$I,MATCH($C3975,'Paramètres'!$D:$D,0))&amp;"","")="Les deux",IFERROR(INDEX('Paramètres'!$I:$I,MATCH($C3975,'Paramètres'!$D:$D,0))&amp;"","")=IF($P3975=1,"Débit",$L3975)),-IF($P3975=1,-$K3975,$K3975),0))))</f>
        <v/>
      </c>
      <c r="U3975" s="6" t="str">
        <f>IF($K3975="","",IF(ISNUMBER(SEARCH("sortie-epargne",IFERROR(INDEX('Paramètres'!$N:$N,MATCH($D3975,'Paramètres'!$M:$M,0))&amp;"",""))),$K3975,0))</f>
        <v/>
      </c>
      <c r="V3975" s="6" t="str">
        <f>IF(AND($A3975&lt;&gt;"",$O3975=1,$L3975="Débit",N($Q3975)&gt;0,$A3975&gt;=Visualisation!$B$1,$A3975&lt;Visualisation!$D$1),MAX($V$1:V3974)+1,"")</f>
        <v/>
      </c>
    </row>
    <row r="3976" spans="1:22" x14ac:dyDescent="0.25">
      <c r="A3976" s="9"/>
      <c r="E3976" s="10"/>
      <c r="K3976" s="11" t="str">
        <f>IF($E3976="","",ROUND($E3976*IF(ISNA(MATCH($C3976,'Paramètres'!$D:$D,0)),1,IF(INDEX('Paramètres'!$J:$J,MATCH($C3976,'Paramètres'!$D:$D,0))="",1,INDEX('Paramètres'!$J:$J,MATCH($C3976,'Paramètres'!$D:$D,0)))),2))</f>
        <v/>
      </c>
      <c r="L3976" s="6" t="str">
        <f>IF($D3976="","",IF($F3976&lt;&gt;"",$F3976,IF(ISNA(MATCH($D3976,'Paramètres'!$M:$M,0)),"⚠ Type inconnu",IFERROR(INDEX('Paramètres'!$P:$P,MATCH($D3976,'Paramètres'!$M:$M,0))&amp;"",""))))</f>
        <v/>
      </c>
      <c r="M3976" s="6" t="str">
        <f>IF($D3976="","",IF(ISNA(MATCH($D3976,'Paramètres'!$M:$M,0)),"⚠ Type inconnu",IF($L3976="Crédit","",IFERROR(INDEX('Paramètres'!$O:$O,MATCH($D3976,'Paramètres'!$M:$M,0))&amp;"",""))))</f>
        <v/>
      </c>
      <c r="N3976" s="6" t="str">
        <f>IF($D3976="","",IFERROR(INDEX('Paramètres'!$Q:$Q,MATCH($D3976,'Paramètres'!$M:$M,0))&amp;"",""))</f>
        <v/>
      </c>
      <c r="O3976" s="6" t="str">
        <f>IF($A3976="","",IF(OR($J3976&lt;&gt;"x",$A3976&lt;=FinReleve),1,0))</f>
        <v/>
      </c>
      <c r="P3976" s="6" t="str">
        <f>IF($D3976="","",IF(AND($L3976="Crédit",OR(IFERROR(INDEX('Paramètres'!$O:$O,MATCH($D3976,'Paramètres'!$M:$M,0))&amp;"","")&lt;&gt;"",ISNUMBER(SEARCH("remboursement",IFERROR(INDEX('Paramètres'!$N:$N,MATCH($D3976,'Paramètres'!$M:$M,0))&amp;"",""))))),1,0))</f>
        <v/>
      </c>
      <c r="Q3976" s="6" t="str">
        <f>IF($K3976="","",IF(ISNUMBER(SEARCH("transfert-interne",IFERROR(INDEX('Paramètres'!$N:$N,MATCH($D3976,'Paramètres'!$M:$M,0))&amp;"",""))),0,IF($L3976="Débit",$K3976,IF($P3976=1,-$K3976,0))))</f>
        <v/>
      </c>
      <c r="R3976" s="6" t="str">
        <f>IF($K3976="","",IF($L3976="Crédit",$K3976,-$K3976))</f>
        <v/>
      </c>
      <c r="S3976" s="6" t="str">
        <f>IF($C3976="","",IFERROR(INDEX('Paramètres'!$H:$H,MATCH($C3976,'Paramètres'!$D:$D,0))&amp;"",""))</f>
        <v/>
      </c>
      <c r="T3976" s="6" t="str">
        <f>IF($K3976="","",IF($S3976="",0,IF(ISNUMBER(SEARCH("apport-exterieur",IFERROR(INDEX('Paramètres'!$N:$N,MATCH($D3976,'Paramètres'!$M:$M,0))&amp;"",""))),0,IF(OR(IFERROR(INDEX('Paramètres'!$I:$I,MATCH($C3976,'Paramètres'!$D:$D,0))&amp;"","")="Les deux",IFERROR(INDEX('Paramètres'!$I:$I,MATCH($C3976,'Paramètres'!$D:$D,0))&amp;"","")=IF($P3976=1,"Débit",$L3976)),-IF($P3976=1,-$K3976,$K3976),0))))</f>
        <v/>
      </c>
      <c r="U3976" s="6" t="str">
        <f>IF($K3976="","",IF(ISNUMBER(SEARCH("sortie-epargne",IFERROR(INDEX('Paramètres'!$N:$N,MATCH($D3976,'Paramètres'!$M:$M,0))&amp;"",""))),$K3976,0))</f>
        <v/>
      </c>
      <c r="V3976" s="6" t="str">
        <f>IF(AND($A3976&lt;&gt;"",$O3976=1,$L3976="Débit",N($Q3976)&gt;0,$A3976&gt;=Visualisation!$B$1,$A3976&lt;Visualisation!$D$1),MAX($V$1:V3975)+1,"")</f>
        <v/>
      </c>
    </row>
    <row r="3977" spans="1:22" x14ac:dyDescent="0.25">
      <c r="A3977" s="9"/>
      <c r="E3977" s="10"/>
      <c r="K3977" s="11" t="str">
        <f>IF($E3977="","",ROUND($E3977*IF(ISNA(MATCH($C3977,'Paramètres'!$D:$D,0)),1,IF(INDEX('Paramètres'!$J:$J,MATCH($C3977,'Paramètres'!$D:$D,0))="",1,INDEX('Paramètres'!$J:$J,MATCH($C3977,'Paramètres'!$D:$D,0)))),2))</f>
        <v/>
      </c>
      <c r="L3977" s="6" t="str">
        <f>IF($D3977="","",IF($F3977&lt;&gt;"",$F3977,IF(ISNA(MATCH($D3977,'Paramètres'!$M:$M,0)),"⚠ Type inconnu",IFERROR(INDEX('Paramètres'!$P:$P,MATCH($D3977,'Paramètres'!$M:$M,0))&amp;"",""))))</f>
        <v/>
      </c>
      <c r="M3977" s="6" t="str">
        <f>IF($D3977="","",IF(ISNA(MATCH($D3977,'Paramètres'!$M:$M,0)),"⚠ Type inconnu",IF($L3977="Crédit","",IFERROR(INDEX('Paramètres'!$O:$O,MATCH($D3977,'Paramètres'!$M:$M,0))&amp;"",""))))</f>
        <v/>
      </c>
      <c r="N3977" s="6" t="str">
        <f>IF($D3977="","",IFERROR(INDEX('Paramètres'!$Q:$Q,MATCH($D3977,'Paramètres'!$M:$M,0))&amp;"",""))</f>
        <v/>
      </c>
      <c r="O3977" s="6" t="str">
        <f>IF($A3977="","",IF(OR($J3977&lt;&gt;"x",$A3977&lt;=FinReleve),1,0))</f>
        <v/>
      </c>
      <c r="P3977" s="6" t="str">
        <f>IF($D3977="","",IF(AND($L3977="Crédit",OR(IFERROR(INDEX('Paramètres'!$O:$O,MATCH($D3977,'Paramètres'!$M:$M,0))&amp;"","")&lt;&gt;"",ISNUMBER(SEARCH("remboursement",IFERROR(INDEX('Paramètres'!$N:$N,MATCH($D3977,'Paramètres'!$M:$M,0))&amp;"",""))))),1,0))</f>
        <v/>
      </c>
      <c r="Q3977" s="6" t="str">
        <f>IF($K3977="","",IF(ISNUMBER(SEARCH("transfert-interne",IFERROR(INDEX('Paramètres'!$N:$N,MATCH($D3977,'Paramètres'!$M:$M,0))&amp;"",""))),0,IF($L3977="Débit",$K3977,IF($P3977=1,-$K3977,0))))</f>
        <v/>
      </c>
      <c r="R3977" s="6" t="str">
        <f>IF($K3977="","",IF($L3977="Crédit",$K3977,-$K3977))</f>
        <v/>
      </c>
      <c r="S3977" s="6" t="str">
        <f>IF($C3977="","",IFERROR(INDEX('Paramètres'!$H:$H,MATCH($C3977,'Paramètres'!$D:$D,0))&amp;"",""))</f>
        <v/>
      </c>
      <c r="T3977" s="6" t="str">
        <f>IF($K3977="","",IF($S3977="",0,IF(ISNUMBER(SEARCH("apport-exterieur",IFERROR(INDEX('Paramètres'!$N:$N,MATCH($D3977,'Paramètres'!$M:$M,0))&amp;"",""))),0,IF(OR(IFERROR(INDEX('Paramètres'!$I:$I,MATCH($C3977,'Paramètres'!$D:$D,0))&amp;"","")="Les deux",IFERROR(INDEX('Paramètres'!$I:$I,MATCH($C3977,'Paramètres'!$D:$D,0))&amp;"","")=IF($P3977=1,"Débit",$L3977)),-IF($P3977=1,-$K3977,$K3977),0))))</f>
        <v/>
      </c>
      <c r="U3977" s="6" t="str">
        <f>IF($K3977="","",IF(ISNUMBER(SEARCH("sortie-epargne",IFERROR(INDEX('Paramètres'!$N:$N,MATCH($D3977,'Paramètres'!$M:$M,0))&amp;"",""))),$K3977,0))</f>
        <v/>
      </c>
      <c r="V3977" s="6" t="str">
        <f>IF(AND($A3977&lt;&gt;"",$O3977=1,$L3977="Débit",N($Q3977)&gt;0,$A3977&gt;=Visualisation!$B$1,$A3977&lt;Visualisation!$D$1),MAX($V$1:V3976)+1,"")</f>
        <v/>
      </c>
    </row>
    <row r="3978" spans="1:22" x14ac:dyDescent="0.25">
      <c r="A3978" s="9"/>
      <c r="E3978" s="10"/>
      <c r="K3978" s="11" t="str">
        <f>IF($E3978="","",ROUND($E3978*IF(ISNA(MATCH($C3978,'Paramètres'!$D:$D,0)),1,IF(INDEX('Paramètres'!$J:$J,MATCH($C3978,'Paramètres'!$D:$D,0))="",1,INDEX('Paramètres'!$J:$J,MATCH($C3978,'Paramètres'!$D:$D,0)))),2))</f>
        <v/>
      </c>
      <c r="L3978" s="6" t="str">
        <f>IF($D3978="","",IF($F3978&lt;&gt;"",$F3978,IF(ISNA(MATCH($D3978,'Paramètres'!$M:$M,0)),"⚠ Type inconnu",IFERROR(INDEX('Paramètres'!$P:$P,MATCH($D3978,'Paramètres'!$M:$M,0))&amp;"",""))))</f>
        <v/>
      </c>
      <c r="M3978" s="6" t="str">
        <f>IF($D3978="","",IF(ISNA(MATCH($D3978,'Paramètres'!$M:$M,0)),"⚠ Type inconnu",IF($L3978="Crédit","",IFERROR(INDEX('Paramètres'!$O:$O,MATCH($D3978,'Paramètres'!$M:$M,0))&amp;"",""))))</f>
        <v/>
      </c>
      <c r="N3978" s="6" t="str">
        <f>IF($D3978="","",IFERROR(INDEX('Paramètres'!$Q:$Q,MATCH($D3978,'Paramètres'!$M:$M,0))&amp;"",""))</f>
        <v/>
      </c>
      <c r="O3978" s="6" t="str">
        <f>IF($A3978="","",IF(OR($J3978&lt;&gt;"x",$A3978&lt;=FinReleve),1,0))</f>
        <v/>
      </c>
      <c r="P3978" s="6" t="str">
        <f>IF($D3978="","",IF(AND($L3978="Crédit",OR(IFERROR(INDEX('Paramètres'!$O:$O,MATCH($D3978,'Paramètres'!$M:$M,0))&amp;"","")&lt;&gt;"",ISNUMBER(SEARCH("remboursement",IFERROR(INDEX('Paramètres'!$N:$N,MATCH($D3978,'Paramètres'!$M:$M,0))&amp;"",""))))),1,0))</f>
        <v/>
      </c>
      <c r="Q3978" s="6" t="str">
        <f>IF($K3978="","",IF(ISNUMBER(SEARCH("transfert-interne",IFERROR(INDEX('Paramètres'!$N:$N,MATCH($D3978,'Paramètres'!$M:$M,0))&amp;"",""))),0,IF($L3978="Débit",$K3978,IF($P3978=1,-$K3978,0))))</f>
        <v/>
      </c>
      <c r="R3978" s="6" t="str">
        <f>IF($K3978="","",IF($L3978="Crédit",$K3978,-$K3978))</f>
        <v/>
      </c>
      <c r="S3978" s="6" t="str">
        <f>IF($C3978="","",IFERROR(INDEX('Paramètres'!$H:$H,MATCH($C3978,'Paramètres'!$D:$D,0))&amp;"",""))</f>
        <v/>
      </c>
      <c r="T3978" s="6" t="str">
        <f>IF($K3978="","",IF($S3978="",0,IF(ISNUMBER(SEARCH("apport-exterieur",IFERROR(INDEX('Paramètres'!$N:$N,MATCH($D3978,'Paramètres'!$M:$M,0))&amp;"",""))),0,IF(OR(IFERROR(INDEX('Paramètres'!$I:$I,MATCH($C3978,'Paramètres'!$D:$D,0))&amp;"","")="Les deux",IFERROR(INDEX('Paramètres'!$I:$I,MATCH($C3978,'Paramètres'!$D:$D,0))&amp;"","")=IF($P3978=1,"Débit",$L3978)),-IF($P3978=1,-$K3978,$K3978),0))))</f>
        <v/>
      </c>
      <c r="U3978" s="6" t="str">
        <f>IF($K3978="","",IF(ISNUMBER(SEARCH("sortie-epargne",IFERROR(INDEX('Paramètres'!$N:$N,MATCH($D3978,'Paramètres'!$M:$M,0))&amp;"",""))),$K3978,0))</f>
        <v/>
      </c>
      <c r="V3978" s="6" t="str">
        <f>IF(AND($A3978&lt;&gt;"",$O3978=1,$L3978="Débit",N($Q3978)&gt;0,$A3978&gt;=Visualisation!$B$1,$A3978&lt;Visualisation!$D$1),MAX($V$1:V3977)+1,"")</f>
        <v/>
      </c>
    </row>
    <row r="3979" spans="1:22" x14ac:dyDescent="0.25">
      <c r="A3979" s="9"/>
      <c r="E3979" s="10"/>
      <c r="K3979" s="11" t="str">
        <f>IF($E3979="","",ROUND($E3979*IF(ISNA(MATCH($C3979,'Paramètres'!$D:$D,0)),1,IF(INDEX('Paramètres'!$J:$J,MATCH($C3979,'Paramètres'!$D:$D,0))="",1,INDEX('Paramètres'!$J:$J,MATCH($C3979,'Paramètres'!$D:$D,0)))),2))</f>
        <v/>
      </c>
      <c r="L3979" s="6" t="str">
        <f>IF($D3979="","",IF($F3979&lt;&gt;"",$F3979,IF(ISNA(MATCH($D3979,'Paramètres'!$M:$M,0)),"⚠ Type inconnu",IFERROR(INDEX('Paramètres'!$P:$P,MATCH($D3979,'Paramètres'!$M:$M,0))&amp;"",""))))</f>
        <v/>
      </c>
      <c r="M3979" s="6" t="str">
        <f>IF($D3979="","",IF(ISNA(MATCH($D3979,'Paramètres'!$M:$M,0)),"⚠ Type inconnu",IF($L3979="Crédit","",IFERROR(INDEX('Paramètres'!$O:$O,MATCH($D3979,'Paramètres'!$M:$M,0))&amp;"",""))))</f>
        <v/>
      </c>
      <c r="N3979" s="6" t="str">
        <f>IF($D3979="","",IFERROR(INDEX('Paramètres'!$Q:$Q,MATCH($D3979,'Paramètres'!$M:$M,0))&amp;"",""))</f>
        <v/>
      </c>
      <c r="O3979" s="6" t="str">
        <f>IF($A3979="","",IF(OR($J3979&lt;&gt;"x",$A3979&lt;=FinReleve),1,0))</f>
        <v/>
      </c>
      <c r="P3979" s="6" t="str">
        <f>IF($D3979="","",IF(AND($L3979="Crédit",OR(IFERROR(INDEX('Paramètres'!$O:$O,MATCH($D3979,'Paramètres'!$M:$M,0))&amp;"","")&lt;&gt;"",ISNUMBER(SEARCH("remboursement",IFERROR(INDEX('Paramètres'!$N:$N,MATCH($D3979,'Paramètres'!$M:$M,0))&amp;"",""))))),1,0))</f>
        <v/>
      </c>
      <c r="Q3979" s="6" t="str">
        <f>IF($K3979="","",IF(ISNUMBER(SEARCH("transfert-interne",IFERROR(INDEX('Paramètres'!$N:$N,MATCH($D3979,'Paramètres'!$M:$M,0))&amp;"",""))),0,IF($L3979="Débit",$K3979,IF($P3979=1,-$K3979,0))))</f>
        <v/>
      </c>
      <c r="R3979" s="6" t="str">
        <f>IF($K3979="","",IF($L3979="Crédit",$K3979,-$K3979))</f>
        <v/>
      </c>
      <c r="S3979" s="6" t="str">
        <f>IF($C3979="","",IFERROR(INDEX('Paramètres'!$H:$H,MATCH($C3979,'Paramètres'!$D:$D,0))&amp;"",""))</f>
        <v/>
      </c>
      <c r="T3979" s="6" t="str">
        <f>IF($K3979="","",IF($S3979="",0,IF(ISNUMBER(SEARCH("apport-exterieur",IFERROR(INDEX('Paramètres'!$N:$N,MATCH($D3979,'Paramètres'!$M:$M,0))&amp;"",""))),0,IF(OR(IFERROR(INDEX('Paramètres'!$I:$I,MATCH($C3979,'Paramètres'!$D:$D,0))&amp;"","")="Les deux",IFERROR(INDEX('Paramètres'!$I:$I,MATCH($C3979,'Paramètres'!$D:$D,0))&amp;"","")=IF($P3979=1,"Débit",$L3979)),-IF($P3979=1,-$K3979,$K3979),0))))</f>
        <v/>
      </c>
      <c r="U3979" s="6" t="str">
        <f>IF($K3979="","",IF(ISNUMBER(SEARCH("sortie-epargne",IFERROR(INDEX('Paramètres'!$N:$N,MATCH($D3979,'Paramètres'!$M:$M,0))&amp;"",""))),$K3979,0))</f>
        <v/>
      </c>
      <c r="V3979" s="6" t="str">
        <f>IF(AND($A3979&lt;&gt;"",$O3979=1,$L3979="Débit",N($Q3979)&gt;0,$A3979&gt;=Visualisation!$B$1,$A3979&lt;Visualisation!$D$1),MAX($V$1:V3978)+1,"")</f>
        <v/>
      </c>
    </row>
    <row r="3980" spans="1:22" x14ac:dyDescent="0.25">
      <c r="A3980" s="9"/>
      <c r="E3980" s="10"/>
      <c r="K3980" s="11" t="str">
        <f>IF($E3980="","",ROUND($E3980*IF(ISNA(MATCH($C3980,'Paramètres'!$D:$D,0)),1,IF(INDEX('Paramètres'!$J:$J,MATCH($C3980,'Paramètres'!$D:$D,0))="",1,INDEX('Paramètres'!$J:$J,MATCH($C3980,'Paramètres'!$D:$D,0)))),2))</f>
        <v/>
      </c>
      <c r="L3980" s="6" t="str">
        <f>IF($D3980="","",IF($F3980&lt;&gt;"",$F3980,IF(ISNA(MATCH($D3980,'Paramètres'!$M:$M,0)),"⚠ Type inconnu",IFERROR(INDEX('Paramètres'!$P:$P,MATCH($D3980,'Paramètres'!$M:$M,0))&amp;"",""))))</f>
        <v/>
      </c>
      <c r="M3980" s="6" t="str">
        <f>IF($D3980="","",IF(ISNA(MATCH($D3980,'Paramètres'!$M:$M,0)),"⚠ Type inconnu",IF($L3980="Crédit","",IFERROR(INDEX('Paramètres'!$O:$O,MATCH($D3980,'Paramètres'!$M:$M,0))&amp;"",""))))</f>
        <v/>
      </c>
      <c r="N3980" s="6" t="str">
        <f>IF($D3980="","",IFERROR(INDEX('Paramètres'!$Q:$Q,MATCH($D3980,'Paramètres'!$M:$M,0))&amp;"",""))</f>
        <v/>
      </c>
      <c r="O3980" s="6" t="str">
        <f>IF($A3980="","",IF(OR($J3980&lt;&gt;"x",$A3980&lt;=FinReleve),1,0))</f>
        <v/>
      </c>
      <c r="P3980" s="6" t="str">
        <f>IF($D3980="","",IF(AND($L3980="Crédit",OR(IFERROR(INDEX('Paramètres'!$O:$O,MATCH($D3980,'Paramètres'!$M:$M,0))&amp;"","")&lt;&gt;"",ISNUMBER(SEARCH("remboursement",IFERROR(INDEX('Paramètres'!$N:$N,MATCH($D3980,'Paramètres'!$M:$M,0))&amp;"",""))))),1,0))</f>
        <v/>
      </c>
      <c r="Q3980" s="6" t="str">
        <f>IF($K3980="","",IF(ISNUMBER(SEARCH("transfert-interne",IFERROR(INDEX('Paramètres'!$N:$N,MATCH($D3980,'Paramètres'!$M:$M,0))&amp;"",""))),0,IF($L3980="Débit",$K3980,IF($P3980=1,-$K3980,0))))</f>
        <v/>
      </c>
      <c r="R3980" s="6" t="str">
        <f>IF($K3980="","",IF($L3980="Crédit",$K3980,-$K3980))</f>
        <v/>
      </c>
      <c r="S3980" s="6" t="str">
        <f>IF($C3980="","",IFERROR(INDEX('Paramètres'!$H:$H,MATCH($C3980,'Paramètres'!$D:$D,0))&amp;"",""))</f>
        <v/>
      </c>
      <c r="T3980" s="6" t="str">
        <f>IF($K3980="","",IF($S3980="",0,IF(ISNUMBER(SEARCH("apport-exterieur",IFERROR(INDEX('Paramètres'!$N:$N,MATCH($D3980,'Paramètres'!$M:$M,0))&amp;"",""))),0,IF(OR(IFERROR(INDEX('Paramètres'!$I:$I,MATCH($C3980,'Paramètres'!$D:$D,0))&amp;"","")="Les deux",IFERROR(INDEX('Paramètres'!$I:$I,MATCH($C3980,'Paramètres'!$D:$D,0))&amp;"","")=IF($P3980=1,"Débit",$L3980)),-IF($P3980=1,-$K3980,$K3980),0))))</f>
        <v/>
      </c>
      <c r="U3980" s="6" t="str">
        <f>IF($K3980="","",IF(ISNUMBER(SEARCH("sortie-epargne",IFERROR(INDEX('Paramètres'!$N:$N,MATCH($D3980,'Paramètres'!$M:$M,0))&amp;"",""))),$K3980,0))</f>
        <v/>
      </c>
      <c r="V3980" s="6" t="str">
        <f>IF(AND($A3980&lt;&gt;"",$O3980=1,$L3980="Débit",N($Q3980)&gt;0,$A3980&gt;=Visualisation!$B$1,$A3980&lt;Visualisation!$D$1),MAX($V$1:V3979)+1,"")</f>
        <v/>
      </c>
    </row>
    <row r="3981" spans="1:22" x14ac:dyDescent="0.25">
      <c r="A3981" s="9"/>
      <c r="E3981" s="10"/>
      <c r="K3981" s="11" t="str">
        <f>IF($E3981="","",ROUND($E3981*IF(ISNA(MATCH($C3981,'Paramètres'!$D:$D,0)),1,IF(INDEX('Paramètres'!$J:$J,MATCH($C3981,'Paramètres'!$D:$D,0))="",1,INDEX('Paramètres'!$J:$J,MATCH($C3981,'Paramètres'!$D:$D,0)))),2))</f>
        <v/>
      </c>
      <c r="L3981" s="6" t="str">
        <f>IF($D3981="","",IF($F3981&lt;&gt;"",$F3981,IF(ISNA(MATCH($D3981,'Paramètres'!$M:$M,0)),"⚠ Type inconnu",IFERROR(INDEX('Paramètres'!$P:$P,MATCH($D3981,'Paramètres'!$M:$M,0))&amp;"",""))))</f>
        <v/>
      </c>
      <c r="M3981" s="6" t="str">
        <f>IF($D3981="","",IF(ISNA(MATCH($D3981,'Paramètres'!$M:$M,0)),"⚠ Type inconnu",IF($L3981="Crédit","",IFERROR(INDEX('Paramètres'!$O:$O,MATCH($D3981,'Paramètres'!$M:$M,0))&amp;"",""))))</f>
        <v/>
      </c>
      <c r="N3981" s="6" t="str">
        <f>IF($D3981="","",IFERROR(INDEX('Paramètres'!$Q:$Q,MATCH($D3981,'Paramètres'!$M:$M,0))&amp;"",""))</f>
        <v/>
      </c>
      <c r="O3981" s="6" t="str">
        <f>IF($A3981="","",IF(OR($J3981&lt;&gt;"x",$A3981&lt;=FinReleve),1,0))</f>
        <v/>
      </c>
      <c r="P3981" s="6" t="str">
        <f>IF($D3981="","",IF(AND($L3981="Crédit",OR(IFERROR(INDEX('Paramètres'!$O:$O,MATCH($D3981,'Paramètres'!$M:$M,0))&amp;"","")&lt;&gt;"",ISNUMBER(SEARCH("remboursement",IFERROR(INDEX('Paramètres'!$N:$N,MATCH($D3981,'Paramètres'!$M:$M,0))&amp;"",""))))),1,0))</f>
        <v/>
      </c>
      <c r="Q3981" s="6" t="str">
        <f>IF($K3981="","",IF(ISNUMBER(SEARCH("transfert-interne",IFERROR(INDEX('Paramètres'!$N:$N,MATCH($D3981,'Paramètres'!$M:$M,0))&amp;"",""))),0,IF($L3981="Débit",$K3981,IF($P3981=1,-$K3981,0))))</f>
        <v/>
      </c>
      <c r="R3981" s="6" t="str">
        <f>IF($K3981="","",IF($L3981="Crédit",$K3981,-$K3981))</f>
        <v/>
      </c>
      <c r="S3981" s="6" t="str">
        <f>IF($C3981="","",IFERROR(INDEX('Paramètres'!$H:$H,MATCH($C3981,'Paramètres'!$D:$D,0))&amp;"",""))</f>
        <v/>
      </c>
      <c r="T3981" s="6" t="str">
        <f>IF($K3981="","",IF($S3981="",0,IF(ISNUMBER(SEARCH("apport-exterieur",IFERROR(INDEX('Paramètres'!$N:$N,MATCH($D3981,'Paramètres'!$M:$M,0))&amp;"",""))),0,IF(OR(IFERROR(INDEX('Paramètres'!$I:$I,MATCH($C3981,'Paramètres'!$D:$D,0))&amp;"","")="Les deux",IFERROR(INDEX('Paramètres'!$I:$I,MATCH($C3981,'Paramètres'!$D:$D,0))&amp;"","")=IF($P3981=1,"Débit",$L3981)),-IF($P3981=1,-$K3981,$K3981),0))))</f>
        <v/>
      </c>
      <c r="U3981" s="6" t="str">
        <f>IF($K3981="","",IF(ISNUMBER(SEARCH("sortie-epargne",IFERROR(INDEX('Paramètres'!$N:$N,MATCH($D3981,'Paramètres'!$M:$M,0))&amp;"",""))),$K3981,0))</f>
        <v/>
      </c>
      <c r="V3981" s="6" t="str">
        <f>IF(AND($A3981&lt;&gt;"",$O3981=1,$L3981="Débit",N($Q3981)&gt;0,$A3981&gt;=Visualisation!$B$1,$A3981&lt;Visualisation!$D$1),MAX($V$1:V3980)+1,"")</f>
        <v/>
      </c>
    </row>
    <row r="3982" spans="1:22" x14ac:dyDescent="0.25">
      <c r="A3982" s="9"/>
      <c r="E3982" s="10"/>
      <c r="K3982" s="11" t="str">
        <f>IF($E3982="","",ROUND($E3982*IF(ISNA(MATCH($C3982,'Paramètres'!$D:$D,0)),1,IF(INDEX('Paramètres'!$J:$J,MATCH($C3982,'Paramètres'!$D:$D,0))="",1,INDEX('Paramètres'!$J:$J,MATCH($C3982,'Paramètres'!$D:$D,0)))),2))</f>
        <v/>
      </c>
      <c r="L3982" s="6" t="str">
        <f>IF($D3982="","",IF($F3982&lt;&gt;"",$F3982,IF(ISNA(MATCH($D3982,'Paramètres'!$M:$M,0)),"⚠ Type inconnu",IFERROR(INDEX('Paramètres'!$P:$P,MATCH($D3982,'Paramètres'!$M:$M,0))&amp;"",""))))</f>
        <v/>
      </c>
      <c r="M3982" s="6" t="str">
        <f>IF($D3982="","",IF(ISNA(MATCH($D3982,'Paramètres'!$M:$M,0)),"⚠ Type inconnu",IF($L3982="Crédit","",IFERROR(INDEX('Paramètres'!$O:$O,MATCH($D3982,'Paramètres'!$M:$M,0))&amp;"",""))))</f>
        <v/>
      </c>
      <c r="N3982" s="6" t="str">
        <f>IF($D3982="","",IFERROR(INDEX('Paramètres'!$Q:$Q,MATCH($D3982,'Paramètres'!$M:$M,0))&amp;"",""))</f>
        <v/>
      </c>
      <c r="O3982" s="6" t="str">
        <f>IF($A3982="","",IF(OR($J3982&lt;&gt;"x",$A3982&lt;=FinReleve),1,0))</f>
        <v/>
      </c>
      <c r="P3982" s="6" t="str">
        <f>IF($D3982="","",IF(AND($L3982="Crédit",OR(IFERROR(INDEX('Paramètres'!$O:$O,MATCH($D3982,'Paramètres'!$M:$M,0))&amp;"","")&lt;&gt;"",ISNUMBER(SEARCH("remboursement",IFERROR(INDEX('Paramètres'!$N:$N,MATCH($D3982,'Paramètres'!$M:$M,0))&amp;"",""))))),1,0))</f>
        <v/>
      </c>
      <c r="Q3982" s="6" t="str">
        <f>IF($K3982="","",IF(ISNUMBER(SEARCH("transfert-interne",IFERROR(INDEX('Paramètres'!$N:$N,MATCH($D3982,'Paramètres'!$M:$M,0))&amp;"",""))),0,IF($L3982="Débit",$K3982,IF($P3982=1,-$K3982,0))))</f>
        <v/>
      </c>
      <c r="R3982" s="6" t="str">
        <f>IF($K3982="","",IF($L3982="Crédit",$K3982,-$K3982))</f>
        <v/>
      </c>
      <c r="S3982" s="6" t="str">
        <f>IF($C3982="","",IFERROR(INDEX('Paramètres'!$H:$H,MATCH($C3982,'Paramètres'!$D:$D,0))&amp;"",""))</f>
        <v/>
      </c>
      <c r="T3982" s="6" t="str">
        <f>IF($K3982="","",IF($S3982="",0,IF(ISNUMBER(SEARCH("apport-exterieur",IFERROR(INDEX('Paramètres'!$N:$N,MATCH($D3982,'Paramètres'!$M:$M,0))&amp;"",""))),0,IF(OR(IFERROR(INDEX('Paramètres'!$I:$I,MATCH($C3982,'Paramètres'!$D:$D,0))&amp;"","")="Les deux",IFERROR(INDEX('Paramètres'!$I:$I,MATCH($C3982,'Paramètres'!$D:$D,0))&amp;"","")=IF($P3982=1,"Débit",$L3982)),-IF($P3982=1,-$K3982,$K3982),0))))</f>
        <v/>
      </c>
      <c r="U3982" s="6" t="str">
        <f>IF($K3982="","",IF(ISNUMBER(SEARCH("sortie-epargne",IFERROR(INDEX('Paramètres'!$N:$N,MATCH($D3982,'Paramètres'!$M:$M,0))&amp;"",""))),$K3982,0))</f>
        <v/>
      </c>
      <c r="V3982" s="6" t="str">
        <f>IF(AND($A3982&lt;&gt;"",$O3982=1,$L3982="Débit",N($Q3982)&gt;0,$A3982&gt;=Visualisation!$B$1,$A3982&lt;Visualisation!$D$1),MAX($V$1:V3981)+1,"")</f>
        <v/>
      </c>
    </row>
    <row r="3983" spans="1:22" x14ac:dyDescent="0.25">
      <c r="A3983" s="9"/>
      <c r="E3983" s="10"/>
      <c r="K3983" s="11" t="str">
        <f>IF($E3983="","",ROUND($E3983*IF(ISNA(MATCH($C3983,'Paramètres'!$D:$D,0)),1,IF(INDEX('Paramètres'!$J:$J,MATCH($C3983,'Paramètres'!$D:$D,0))="",1,INDEX('Paramètres'!$J:$J,MATCH($C3983,'Paramètres'!$D:$D,0)))),2))</f>
        <v/>
      </c>
      <c r="L3983" s="6" t="str">
        <f>IF($D3983="","",IF($F3983&lt;&gt;"",$F3983,IF(ISNA(MATCH($D3983,'Paramètres'!$M:$M,0)),"⚠ Type inconnu",IFERROR(INDEX('Paramètres'!$P:$P,MATCH($D3983,'Paramètres'!$M:$M,0))&amp;"",""))))</f>
        <v/>
      </c>
      <c r="M3983" s="6" t="str">
        <f>IF($D3983="","",IF(ISNA(MATCH($D3983,'Paramètres'!$M:$M,0)),"⚠ Type inconnu",IF($L3983="Crédit","",IFERROR(INDEX('Paramètres'!$O:$O,MATCH($D3983,'Paramètres'!$M:$M,0))&amp;"",""))))</f>
        <v/>
      </c>
      <c r="N3983" s="6" t="str">
        <f>IF($D3983="","",IFERROR(INDEX('Paramètres'!$Q:$Q,MATCH($D3983,'Paramètres'!$M:$M,0))&amp;"",""))</f>
        <v/>
      </c>
      <c r="O3983" s="6" t="str">
        <f>IF($A3983="","",IF(OR($J3983&lt;&gt;"x",$A3983&lt;=FinReleve),1,0))</f>
        <v/>
      </c>
      <c r="P3983" s="6" t="str">
        <f>IF($D3983="","",IF(AND($L3983="Crédit",OR(IFERROR(INDEX('Paramètres'!$O:$O,MATCH($D3983,'Paramètres'!$M:$M,0))&amp;"","")&lt;&gt;"",ISNUMBER(SEARCH("remboursement",IFERROR(INDEX('Paramètres'!$N:$N,MATCH($D3983,'Paramètres'!$M:$M,0))&amp;"",""))))),1,0))</f>
        <v/>
      </c>
      <c r="Q3983" s="6" t="str">
        <f>IF($K3983="","",IF(ISNUMBER(SEARCH("transfert-interne",IFERROR(INDEX('Paramètres'!$N:$N,MATCH($D3983,'Paramètres'!$M:$M,0))&amp;"",""))),0,IF($L3983="Débit",$K3983,IF($P3983=1,-$K3983,0))))</f>
        <v/>
      </c>
      <c r="R3983" s="6" t="str">
        <f>IF($K3983="","",IF($L3983="Crédit",$K3983,-$K3983))</f>
        <v/>
      </c>
      <c r="S3983" s="6" t="str">
        <f>IF($C3983="","",IFERROR(INDEX('Paramètres'!$H:$H,MATCH($C3983,'Paramètres'!$D:$D,0))&amp;"",""))</f>
        <v/>
      </c>
      <c r="T3983" s="6" t="str">
        <f>IF($K3983="","",IF($S3983="",0,IF(ISNUMBER(SEARCH("apport-exterieur",IFERROR(INDEX('Paramètres'!$N:$N,MATCH($D3983,'Paramètres'!$M:$M,0))&amp;"",""))),0,IF(OR(IFERROR(INDEX('Paramètres'!$I:$I,MATCH($C3983,'Paramètres'!$D:$D,0))&amp;"","")="Les deux",IFERROR(INDEX('Paramètres'!$I:$I,MATCH($C3983,'Paramètres'!$D:$D,0))&amp;"","")=IF($P3983=1,"Débit",$L3983)),-IF($P3983=1,-$K3983,$K3983),0))))</f>
        <v/>
      </c>
      <c r="U3983" s="6" t="str">
        <f>IF($K3983="","",IF(ISNUMBER(SEARCH("sortie-epargne",IFERROR(INDEX('Paramètres'!$N:$N,MATCH($D3983,'Paramètres'!$M:$M,0))&amp;"",""))),$K3983,0))</f>
        <v/>
      </c>
      <c r="V3983" s="6" t="str">
        <f>IF(AND($A3983&lt;&gt;"",$O3983=1,$L3983="Débit",N($Q3983)&gt;0,$A3983&gt;=Visualisation!$B$1,$A3983&lt;Visualisation!$D$1),MAX($V$1:V3982)+1,"")</f>
        <v/>
      </c>
    </row>
    <row r="3984" spans="1:22" x14ac:dyDescent="0.25">
      <c r="A3984" s="9"/>
      <c r="E3984" s="10"/>
      <c r="K3984" s="11" t="str">
        <f>IF($E3984="","",ROUND($E3984*IF(ISNA(MATCH($C3984,'Paramètres'!$D:$D,0)),1,IF(INDEX('Paramètres'!$J:$J,MATCH($C3984,'Paramètres'!$D:$D,0))="",1,INDEX('Paramètres'!$J:$J,MATCH($C3984,'Paramètres'!$D:$D,0)))),2))</f>
        <v/>
      </c>
      <c r="L3984" s="6" t="str">
        <f>IF($D3984="","",IF($F3984&lt;&gt;"",$F3984,IF(ISNA(MATCH($D3984,'Paramètres'!$M:$M,0)),"⚠ Type inconnu",IFERROR(INDEX('Paramètres'!$P:$P,MATCH($D3984,'Paramètres'!$M:$M,0))&amp;"",""))))</f>
        <v/>
      </c>
      <c r="M3984" s="6" t="str">
        <f>IF($D3984="","",IF(ISNA(MATCH($D3984,'Paramètres'!$M:$M,0)),"⚠ Type inconnu",IF($L3984="Crédit","",IFERROR(INDEX('Paramètres'!$O:$O,MATCH($D3984,'Paramètres'!$M:$M,0))&amp;"",""))))</f>
        <v/>
      </c>
      <c r="N3984" s="6" t="str">
        <f>IF($D3984="","",IFERROR(INDEX('Paramètres'!$Q:$Q,MATCH($D3984,'Paramètres'!$M:$M,0))&amp;"",""))</f>
        <v/>
      </c>
      <c r="O3984" s="6" t="str">
        <f>IF($A3984="","",IF(OR($J3984&lt;&gt;"x",$A3984&lt;=FinReleve),1,0))</f>
        <v/>
      </c>
      <c r="P3984" s="6" t="str">
        <f>IF($D3984="","",IF(AND($L3984="Crédit",OR(IFERROR(INDEX('Paramètres'!$O:$O,MATCH($D3984,'Paramètres'!$M:$M,0))&amp;"","")&lt;&gt;"",ISNUMBER(SEARCH("remboursement",IFERROR(INDEX('Paramètres'!$N:$N,MATCH($D3984,'Paramètres'!$M:$M,0))&amp;"",""))))),1,0))</f>
        <v/>
      </c>
      <c r="Q3984" s="6" t="str">
        <f>IF($K3984="","",IF(ISNUMBER(SEARCH("transfert-interne",IFERROR(INDEX('Paramètres'!$N:$N,MATCH($D3984,'Paramètres'!$M:$M,0))&amp;"",""))),0,IF($L3984="Débit",$K3984,IF($P3984=1,-$K3984,0))))</f>
        <v/>
      </c>
      <c r="R3984" s="6" t="str">
        <f>IF($K3984="","",IF($L3984="Crédit",$K3984,-$K3984))</f>
        <v/>
      </c>
      <c r="S3984" s="6" t="str">
        <f>IF($C3984="","",IFERROR(INDEX('Paramètres'!$H:$H,MATCH($C3984,'Paramètres'!$D:$D,0))&amp;"",""))</f>
        <v/>
      </c>
      <c r="T3984" s="6" t="str">
        <f>IF($K3984="","",IF($S3984="",0,IF(ISNUMBER(SEARCH("apport-exterieur",IFERROR(INDEX('Paramètres'!$N:$N,MATCH($D3984,'Paramètres'!$M:$M,0))&amp;"",""))),0,IF(OR(IFERROR(INDEX('Paramètres'!$I:$I,MATCH($C3984,'Paramètres'!$D:$D,0))&amp;"","")="Les deux",IFERROR(INDEX('Paramètres'!$I:$I,MATCH($C3984,'Paramètres'!$D:$D,0))&amp;"","")=IF($P3984=1,"Débit",$L3984)),-IF($P3984=1,-$K3984,$K3984),0))))</f>
        <v/>
      </c>
      <c r="U3984" s="6" t="str">
        <f>IF($K3984="","",IF(ISNUMBER(SEARCH("sortie-epargne",IFERROR(INDEX('Paramètres'!$N:$N,MATCH($D3984,'Paramètres'!$M:$M,0))&amp;"",""))),$K3984,0))</f>
        <v/>
      </c>
      <c r="V3984" s="6" t="str">
        <f>IF(AND($A3984&lt;&gt;"",$O3984=1,$L3984="Débit",N($Q3984)&gt;0,$A3984&gt;=Visualisation!$B$1,$A3984&lt;Visualisation!$D$1),MAX($V$1:V3983)+1,"")</f>
        <v/>
      </c>
    </row>
    <row r="3985" spans="1:22" x14ac:dyDescent="0.25">
      <c r="A3985" s="9"/>
      <c r="E3985" s="10"/>
      <c r="K3985" s="11" t="str">
        <f>IF($E3985="","",ROUND($E3985*IF(ISNA(MATCH($C3985,'Paramètres'!$D:$D,0)),1,IF(INDEX('Paramètres'!$J:$J,MATCH($C3985,'Paramètres'!$D:$D,0))="",1,INDEX('Paramètres'!$J:$J,MATCH($C3985,'Paramètres'!$D:$D,0)))),2))</f>
        <v/>
      </c>
      <c r="L3985" s="6" t="str">
        <f>IF($D3985="","",IF($F3985&lt;&gt;"",$F3985,IF(ISNA(MATCH($D3985,'Paramètres'!$M:$M,0)),"⚠ Type inconnu",IFERROR(INDEX('Paramètres'!$P:$P,MATCH($D3985,'Paramètres'!$M:$M,0))&amp;"",""))))</f>
        <v/>
      </c>
      <c r="M3985" s="6" t="str">
        <f>IF($D3985="","",IF(ISNA(MATCH($D3985,'Paramètres'!$M:$M,0)),"⚠ Type inconnu",IF($L3985="Crédit","",IFERROR(INDEX('Paramètres'!$O:$O,MATCH($D3985,'Paramètres'!$M:$M,0))&amp;"",""))))</f>
        <v/>
      </c>
      <c r="N3985" s="6" t="str">
        <f>IF($D3985="","",IFERROR(INDEX('Paramètres'!$Q:$Q,MATCH($D3985,'Paramètres'!$M:$M,0))&amp;"",""))</f>
        <v/>
      </c>
      <c r="O3985" s="6" t="str">
        <f>IF($A3985="","",IF(OR($J3985&lt;&gt;"x",$A3985&lt;=FinReleve),1,0))</f>
        <v/>
      </c>
      <c r="P3985" s="6" t="str">
        <f>IF($D3985="","",IF(AND($L3985="Crédit",OR(IFERROR(INDEX('Paramètres'!$O:$O,MATCH($D3985,'Paramètres'!$M:$M,0))&amp;"","")&lt;&gt;"",ISNUMBER(SEARCH("remboursement",IFERROR(INDEX('Paramètres'!$N:$N,MATCH($D3985,'Paramètres'!$M:$M,0))&amp;"",""))))),1,0))</f>
        <v/>
      </c>
      <c r="Q3985" s="6" t="str">
        <f>IF($K3985="","",IF(ISNUMBER(SEARCH("transfert-interne",IFERROR(INDEX('Paramètres'!$N:$N,MATCH($D3985,'Paramètres'!$M:$M,0))&amp;"",""))),0,IF($L3985="Débit",$K3985,IF($P3985=1,-$K3985,0))))</f>
        <v/>
      </c>
      <c r="R3985" s="6" t="str">
        <f>IF($K3985="","",IF($L3985="Crédit",$K3985,-$K3985))</f>
        <v/>
      </c>
      <c r="S3985" s="6" t="str">
        <f>IF($C3985="","",IFERROR(INDEX('Paramètres'!$H:$H,MATCH($C3985,'Paramètres'!$D:$D,0))&amp;"",""))</f>
        <v/>
      </c>
      <c r="T3985" s="6" t="str">
        <f>IF($K3985="","",IF($S3985="",0,IF(ISNUMBER(SEARCH("apport-exterieur",IFERROR(INDEX('Paramètres'!$N:$N,MATCH($D3985,'Paramètres'!$M:$M,0))&amp;"",""))),0,IF(OR(IFERROR(INDEX('Paramètres'!$I:$I,MATCH($C3985,'Paramètres'!$D:$D,0))&amp;"","")="Les deux",IFERROR(INDEX('Paramètres'!$I:$I,MATCH($C3985,'Paramètres'!$D:$D,0))&amp;"","")=IF($P3985=1,"Débit",$L3985)),-IF($P3985=1,-$K3985,$K3985),0))))</f>
        <v/>
      </c>
      <c r="U3985" s="6" t="str">
        <f>IF($K3985="","",IF(ISNUMBER(SEARCH("sortie-epargne",IFERROR(INDEX('Paramètres'!$N:$N,MATCH($D3985,'Paramètres'!$M:$M,0))&amp;"",""))),$K3985,0))</f>
        <v/>
      </c>
      <c r="V3985" s="6" t="str">
        <f>IF(AND($A3985&lt;&gt;"",$O3985=1,$L3985="Débit",N($Q3985)&gt;0,$A3985&gt;=Visualisation!$B$1,$A3985&lt;Visualisation!$D$1),MAX($V$1:V3984)+1,"")</f>
        <v/>
      </c>
    </row>
    <row r="3986" spans="1:22" x14ac:dyDescent="0.25">
      <c r="A3986" s="9"/>
      <c r="E3986" s="10"/>
      <c r="K3986" s="11" t="str">
        <f>IF($E3986="","",ROUND($E3986*IF(ISNA(MATCH($C3986,'Paramètres'!$D:$D,0)),1,IF(INDEX('Paramètres'!$J:$J,MATCH($C3986,'Paramètres'!$D:$D,0))="",1,INDEX('Paramètres'!$J:$J,MATCH($C3986,'Paramètres'!$D:$D,0)))),2))</f>
        <v/>
      </c>
      <c r="L3986" s="6" t="str">
        <f>IF($D3986="","",IF($F3986&lt;&gt;"",$F3986,IF(ISNA(MATCH($D3986,'Paramètres'!$M:$M,0)),"⚠ Type inconnu",IFERROR(INDEX('Paramètres'!$P:$P,MATCH($D3986,'Paramètres'!$M:$M,0))&amp;"",""))))</f>
        <v/>
      </c>
      <c r="M3986" s="6" t="str">
        <f>IF($D3986="","",IF(ISNA(MATCH($D3986,'Paramètres'!$M:$M,0)),"⚠ Type inconnu",IF($L3986="Crédit","",IFERROR(INDEX('Paramètres'!$O:$O,MATCH($D3986,'Paramètres'!$M:$M,0))&amp;"",""))))</f>
        <v/>
      </c>
      <c r="N3986" s="6" t="str">
        <f>IF($D3986="","",IFERROR(INDEX('Paramètres'!$Q:$Q,MATCH($D3986,'Paramètres'!$M:$M,0))&amp;"",""))</f>
        <v/>
      </c>
      <c r="O3986" s="6" t="str">
        <f>IF($A3986="","",IF(OR($J3986&lt;&gt;"x",$A3986&lt;=FinReleve),1,0))</f>
        <v/>
      </c>
      <c r="P3986" s="6" t="str">
        <f>IF($D3986="","",IF(AND($L3986="Crédit",OR(IFERROR(INDEX('Paramètres'!$O:$O,MATCH($D3986,'Paramètres'!$M:$M,0))&amp;"","")&lt;&gt;"",ISNUMBER(SEARCH("remboursement",IFERROR(INDEX('Paramètres'!$N:$N,MATCH($D3986,'Paramètres'!$M:$M,0))&amp;"",""))))),1,0))</f>
        <v/>
      </c>
      <c r="Q3986" s="6" t="str">
        <f>IF($K3986="","",IF(ISNUMBER(SEARCH("transfert-interne",IFERROR(INDEX('Paramètres'!$N:$N,MATCH($D3986,'Paramètres'!$M:$M,0))&amp;"",""))),0,IF($L3986="Débit",$K3986,IF($P3986=1,-$K3986,0))))</f>
        <v/>
      </c>
      <c r="R3986" s="6" t="str">
        <f>IF($K3986="","",IF($L3986="Crédit",$K3986,-$K3986))</f>
        <v/>
      </c>
      <c r="S3986" s="6" t="str">
        <f>IF($C3986="","",IFERROR(INDEX('Paramètres'!$H:$H,MATCH($C3986,'Paramètres'!$D:$D,0))&amp;"",""))</f>
        <v/>
      </c>
      <c r="T3986" s="6" t="str">
        <f>IF($K3986="","",IF($S3986="",0,IF(ISNUMBER(SEARCH("apport-exterieur",IFERROR(INDEX('Paramètres'!$N:$N,MATCH($D3986,'Paramètres'!$M:$M,0))&amp;"",""))),0,IF(OR(IFERROR(INDEX('Paramètres'!$I:$I,MATCH($C3986,'Paramètres'!$D:$D,0))&amp;"","")="Les deux",IFERROR(INDEX('Paramètres'!$I:$I,MATCH($C3986,'Paramètres'!$D:$D,0))&amp;"","")=IF($P3986=1,"Débit",$L3986)),-IF($P3986=1,-$K3986,$K3986),0))))</f>
        <v/>
      </c>
      <c r="U3986" s="6" t="str">
        <f>IF($K3986="","",IF(ISNUMBER(SEARCH("sortie-epargne",IFERROR(INDEX('Paramètres'!$N:$N,MATCH($D3986,'Paramètres'!$M:$M,0))&amp;"",""))),$K3986,0))</f>
        <v/>
      </c>
      <c r="V3986" s="6" t="str">
        <f>IF(AND($A3986&lt;&gt;"",$O3986=1,$L3986="Débit",N($Q3986)&gt;0,$A3986&gt;=Visualisation!$B$1,$A3986&lt;Visualisation!$D$1),MAX($V$1:V3985)+1,"")</f>
        <v/>
      </c>
    </row>
    <row r="3987" spans="1:22" x14ac:dyDescent="0.25">
      <c r="A3987" s="9"/>
      <c r="E3987" s="10"/>
      <c r="K3987" s="11" t="str">
        <f>IF($E3987="","",ROUND($E3987*IF(ISNA(MATCH($C3987,'Paramètres'!$D:$D,0)),1,IF(INDEX('Paramètres'!$J:$J,MATCH($C3987,'Paramètres'!$D:$D,0))="",1,INDEX('Paramètres'!$J:$J,MATCH($C3987,'Paramètres'!$D:$D,0)))),2))</f>
        <v/>
      </c>
      <c r="L3987" s="6" t="str">
        <f>IF($D3987="","",IF($F3987&lt;&gt;"",$F3987,IF(ISNA(MATCH($D3987,'Paramètres'!$M:$M,0)),"⚠ Type inconnu",IFERROR(INDEX('Paramètres'!$P:$P,MATCH($D3987,'Paramètres'!$M:$M,0))&amp;"",""))))</f>
        <v/>
      </c>
      <c r="M3987" s="6" t="str">
        <f>IF($D3987="","",IF(ISNA(MATCH($D3987,'Paramètres'!$M:$M,0)),"⚠ Type inconnu",IF($L3987="Crédit","",IFERROR(INDEX('Paramètres'!$O:$O,MATCH($D3987,'Paramètres'!$M:$M,0))&amp;"",""))))</f>
        <v/>
      </c>
      <c r="N3987" s="6" t="str">
        <f>IF($D3987="","",IFERROR(INDEX('Paramètres'!$Q:$Q,MATCH($D3987,'Paramètres'!$M:$M,0))&amp;"",""))</f>
        <v/>
      </c>
      <c r="O3987" s="6" t="str">
        <f>IF($A3987="","",IF(OR($J3987&lt;&gt;"x",$A3987&lt;=FinReleve),1,0))</f>
        <v/>
      </c>
      <c r="P3987" s="6" t="str">
        <f>IF($D3987="","",IF(AND($L3987="Crédit",OR(IFERROR(INDEX('Paramètres'!$O:$O,MATCH($D3987,'Paramètres'!$M:$M,0))&amp;"","")&lt;&gt;"",ISNUMBER(SEARCH("remboursement",IFERROR(INDEX('Paramètres'!$N:$N,MATCH($D3987,'Paramètres'!$M:$M,0))&amp;"",""))))),1,0))</f>
        <v/>
      </c>
      <c r="Q3987" s="6" t="str">
        <f>IF($K3987="","",IF(ISNUMBER(SEARCH("transfert-interne",IFERROR(INDEX('Paramètres'!$N:$N,MATCH($D3987,'Paramètres'!$M:$M,0))&amp;"",""))),0,IF($L3987="Débit",$K3987,IF($P3987=1,-$K3987,0))))</f>
        <v/>
      </c>
      <c r="R3987" s="6" t="str">
        <f>IF($K3987="","",IF($L3987="Crédit",$K3987,-$K3987))</f>
        <v/>
      </c>
      <c r="S3987" s="6" t="str">
        <f>IF($C3987="","",IFERROR(INDEX('Paramètres'!$H:$H,MATCH($C3987,'Paramètres'!$D:$D,0))&amp;"",""))</f>
        <v/>
      </c>
      <c r="T3987" s="6" t="str">
        <f>IF($K3987="","",IF($S3987="",0,IF(ISNUMBER(SEARCH("apport-exterieur",IFERROR(INDEX('Paramètres'!$N:$N,MATCH($D3987,'Paramètres'!$M:$M,0))&amp;"",""))),0,IF(OR(IFERROR(INDEX('Paramètres'!$I:$I,MATCH($C3987,'Paramètres'!$D:$D,0))&amp;"","")="Les deux",IFERROR(INDEX('Paramètres'!$I:$I,MATCH($C3987,'Paramètres'!$D:$D,0))&amp;"","")=IF($P3987=1,"Débit",$L3987)),-IF($P3987=1,-$K3987,$K3987),0))))</f>
        <v/>
      </c>
      <c r="U3987" s="6" t="str">
        <f>IF($K3987="","",IF(ISNUMBER(SEARCH("sortie-epargne",IFERROR(INDEX('Paramètres'!$N:$N,MATCH($D3987,'Paramètres'!$M:$M,0))&amp;"",""))),$K3987,0))</f>
        <v/>
      </c>
      <c r="V3987" s="6" t="str">
        <f>IF(AND($A3987&lt;&gt;"",$O3987=1,$L3987="Débit",N($Q3987)&gt;0,$A3987&gt;=Visualisation!$B$1,$A3987&lt;Visualisation!$D$1),MAX($V$1:V3986)+1,"")</f>
        <v/>
      </c>
    </row>
    <row r="3988" spans="1:22" x14ac:dyDescent="0.25">
      <c r="A3988" s="9"/>
      <c r="E3988" s="10"/>
      <c r="K3988" s="11" t="str">
        <f>IF($E3988="","",ROUND($E3988*IF(ISNA(MATCH($C3988,'Paramètres'!$D:$D,0)),1,IF(INDEX('Paramètres'!$J:$J,MATCH($C3988,'Paramètres'!$D:$D,0))="",1,INDEX('Paramètres'!$J:$J,MATCH($C3988,'Paramètres'!$D:$D,0)))),2))</f>
        <v/>
      </c>
      <c r="L3988" s="6" t="str">
        <f>IF($D3988="","",IF($F3988&lt;&gt;"",$F3988,IF(ISNA(MATCH($D3988,'Paramètres'!$M:$M,0)),"⚠ Type inconnu",IFERROR(INDEX('Paramètres'!$P:$P,MATCH($D3988,'Paramètres'!$M:$M,0))&amp;"",""))))</f>
        <v/>
      </c>
      <c r="M3988" s="6" t="str">
        <f>IF($D3988="","",IF(ISNA(MATCH($D3988,'Paramètres'!$M:$M,0)),"⚠ Type inconnu",IF($L3988="Crédit","",IFERROR(INDEX('Paramètres'!$O:$O,MATCH($D3988,'Paramètres'!$M:$M,0))&amp;"",""))))</f>
        <v/>
      </c>
      <c r="N3988" s="6" t="str">
        <f>IF($D3988="","",IFERROR(INDEX('Paramètres'!$Q:$Q,MATCH($D3988,'Paramètres'!$M:$M,0))&amp;"",""))</f>
        <v/>
      </c>
      <c r="O3988" s="6" t="str">
        <f>IF($A3988="","",IF(OR($J3988&lt;&gt;"x",$A3988&lt;=FinReleve),1,0))</f>
        <v/>
      </c>
      <c r="P3988" s="6" t="str">
        <f>IF($D3988="","",IF(AND($L3988="Crédit",OR(IFERROR(INDEX('Paramètres'!$O:$O,MATCH($D3988,'Paramètres'!$M:$M,0))&amp;"","")&lt;&gt;"",ISNUMBER(SEARCH("remboursement",IFERROR(INDEX('Paramètres'!$N:$N,MATCH($D3988,'Paramètres'!$M:$M,0))&amp;"",""))))),1,0))</f>
        <v/>
      </c>
      <c r="Q3988" s="6" t="str">
        <f>IF($K3988="","",IF(ISNUMBER(SEARCH("transfert-interne",IFERROR(INDEX('Paramètres'!$N:$N,MATCH($D3988,'Paramètres'!$M:$M,0))&amp;"",""))),0,IF($L3988="Débit",$K3988,IF($P3988=1,-$K3988,0))))</f>
        <v/>
      </c>
      <c r="R3988" s="6" t="str">
        <f>IF($K3988="","",IF($L3988="Crédit",$K3988,-$K3988))</f>
        <v/>
      </c>
      <c r="S3988" s="6" t="str">
        <f>IF($C3988="","",IFERROR(INDEX('Paramètres'!$H:$H,MATCH($C3988,'Paramètres'!$D:$D,0))&amp;"",""))</f>
        <v/>
      </c>
      <c r="T3988" s="6" t="str">
        <f>IF($K3988="","",IF($S3988="",0,IF(ISNUMBER(SEARCH("apport-exterieur",IFERROR(INDEX('Paramètres'!$N:$N,MATCH($D3988,'Paramètres'!$M:$M,0))&amp;"",""))),0,IF(OR(IFERROR(INDEX('Paramètres'!$I:$I,MATCH($C3988,'Paramètres'!$D:$D,0))&amp;"","")="Les deux",IFERROR(INDEX('Paramètres'!$I:$I,MATCH($C3988,'Paramètres'!$D:$D,0))&amp;"","")=IF($P3988=1,"Débit",$L3988)),-IF($P3988=1,-$K3988,$K3988),0))))</f>
        <v/>
      </c>
      <c r="U3988" s="6" t="str">
        <f>IF($K3988="","",IF(ISNUMBER(SEARCH("sortie-epargne",IFERROR(INDEX('Paramètres'!$N:$N,MATCH($D3988,'Paramètres'!$M:$M,0))&amp;"",""))),$K3988,0))</f>
        <v/>
      </c>
      <c r="V3988" s="6" t="str">
        <f>IF(AND($A3988&lt;&gt;"",$O3988=1,$L3988="Débit",N($Q3988)&gt;0,$A3988&gt;=Visualisation!$B$1,$A3988&lt;Visualisation!$D$1),MAX($V$1:V3987)+1,"")</f>
        <v/>
      </c>
    </row>
    <row r="3989" spans="1:22" x14ac:dyDescent="0.25">
      <c r="A3989" s="9"/>
      <c r="E3989" s="10"/>
      <c r="K3989" s="11" t="str">
        <f>IF($E3989="","",ROUND($E3989*IF(ISNA(MATCH($C3989,'Paramètres'!$D:$D,0)),1,IF(INDEX('Paramètres'!$J:$J,MATCH($C3989,'Paramètres'!$D:$D,0))="",1,INDEX('Paramètres'!$J:$J,MATCH($C3989,'Paramètres'!$D:$D,0)))),2))</f>
        <v/>
      </c>
      <c r="L3989" s="6" t="str">
        <f>IF($D3989="","",IF($F3989&lt;&gt;"",$F3989,IF(ISNA(MATCH($D3989,'Paramètres'!$M:$M,0)),"⚠ Type inconnu",IFERROR(INDEX('Paramètres'!$P:$P,MATCH($D3989,'Paramètres'!$M:$M,0))&amp;"",""))))</f>
        <v/>
      </c>
      <c r="M3989" s="6" t="str">
        <f>IF($D3989="","",IF(ISNA(MATCH($D3989,'Paramètres'!$M:$M,0)),"⚠ Type inconnu",IF($L3989="Crédit","",IFERROR(INDEX('Paramètres'!$O:$O,MATCH($D3989,'Paramètres'!$M:$M,0))&amp;"",""))))</f>
        <v/>
      </c>
      <c r="N3989" s="6" t="str">
        <f>IF($D3989="","",IFERROR(INDEX('Paramètres'!$Q:$Q,MATCH($D3989,'Paramètres'!$M:$M,0))&amp;"",""))</f>
        <v/>
      </c>
      <c r="O3989" s="6" t="str">
        <f>IF($A3989="","",IF(OR($J3989&lt;&gt;"x",$A3989&lt;=FinReleve),1,0))</f>
        <v/>
      </c>
      <c r="P3989" s="6" t="str">
        <f>IF($D3989="","",IF(AND($L3989="Crédit",OR(IFERROR(INDEX('Paramètres'!$O:$O,MATCH($D3989,'Paramètres'!$M:$M,0))&amp;"","")&lt;&gt;"",ISNUMBER(SEARCH("remboursement",IFERROR(INDEX('Paramètres'!$N:$N,MATCH($D3989,'Paramètres'!$M:$M,0))&amp;"",""))))),1,0))</f>
        <v/>
      </c>
      <c r="Q3989" s="6" t="str">
        <f>IF($K3989="","",IF(ISNUMBER(SEARCH("transfert-interne",IFERROR(INDEX('Paramètres'!$N:$N,MATCH($D3989,'Paramètres'!$M:$M,0))&amp;"",""))),0,IF($L3989="Débit",$K3989,IF($P3989=1,-$K3989,0))))</f>
        <v/>
      </c>
      <c r="R3989" s="6" t="str">
        <f>IF($K3989="","",IF($L3989="Crédit",$K3989,-$K3989))</f>
        <v/>
      </c>
      <c r="S3989" s="6" t="str">
        <f>IF($C3989="","",IFERROR(INDEX('Paramètres'!$H:$H,MATCH($C3989,'Paramètres'!$D:$D,0))&amp;"",""))</f>
        <v/>
      </c>
      <c r="T3989" s="6" t="str">
        <f>IF($K3989="","",IF($S3989="",0,IF(ISNUMBER(SEARCH("apport-exterieur",IFERROR(INDEX('Paramètres'!$N:$N,MATCH($D3989,'Paramètres'!$M:$M,0))&amp;"",""))),0,IF(OR(IFERROR(INDEX('Paramètres'!$I:$I,MATCH($C3989,'Paramètres'!$D:$D,0))&amp;"","")="Les deux",IFERROR(INDEX('Paramètres'!$I:$I,MATCH($C3989,'Paramètres'!$D:$D,0))&amp;"","")=IF($P3989=1,"Débit",$L3989)),-IF($P3989=1,-$K3989,$K3989),0))))</f>
        <v/>
      </c>
      <c r="U3989" s="6" t="str">
        <f>IF($K3989="","",IF(ISNUMBER(SEARCH("sortie-epargne",IFERROR(INDEX('Paramètres'!$N:$N,MATCH($D3989,'Paramètres'!$M:$M,0))&amp;"",""))),$K3989,0))</f>
        <v/>
      </c>
      <c r="V3989" s="6" t="str">
        <f>IF(AND($A3989&lt;&gt;"",$O3989=1,$L3989="Débit",N($Q3989)&gt;0,$A3989&gt;=Visualisation!$B$1,$A3989&lt;Visualisation!$D$1),MAX($V$1:V3988)+1,"")</f>
        <v/>
      </c>
    </row>
    <row r="3990" spans="1:22" x14ac:dyDescent="0.25">
      <c r="A3990" s="9"/>
      <c r="E3990" s="10"/>
      <c r="K3990" s="11" t="str">
        <f>IF($E3990="","",ROUND($E3990*IF(ISNA(MATCH($C3990,'Paramètres'!$D:$D,0)),1,IF(INDEX('Paramètres'!$J:$J,MATCH($C3990,'Paramètres'!$D:$D,0))="",1,INDEX('Paramètres'!$J:$J,MATCH($C3990,'Paramètres'!$D:$D,0)))),2))</f>
        <v/>
      </c>
      <c r="L3990" s="6" t="str">
        <f>IF($D3990="","",IF($F3990&lt;&gt;"",$F3990,IF(ISNA(MATCH($D3990,'Paramètres'!$M:$M,0)),"⚠ Type inconnu",IFERROR(INDEX('Paramètres'!$P:$P,MATCH($D3990,'Paramètres'!$M:$M,0))&amp;"",""))))</f>
        <v/>
      </c>
      <c r="M3990" s="6" t="str">
        <f>IF($D3990="","",IF(ISNA(MATCH($D3990,'Paramètres'!$M:$M,0)),"⚠ Type inconnu",IF($L3990="Crédit","",IFERROR(INDEX('Paramètres'!$O:$O,MATCH($D3990,'Paramètres'!$M:$M,0))&amp;"",""))))</f>
        <v/>
      </c>
      <c r="N3990" s="6" t="str">
        <f>IF($D3990="","",IFERROR(INDEX('Paramètres'!$Q:$Q,MATCH($D3990,'Paramètres'!$M:$M,0))&amp;"",""))</f>
        <v/>
      </c>
      <c r="O3990" s="6" t="str">
        <f>IF($A3990="","",IF(OR($J3990&lt;&gt;"x",$A3990&lt;=FinReleve),1,0))</f>
        <v/>
      </c>
      <c r="P3990" s="6" t="str">
        <f>IF($D3990="","",IF(AND($L3990="Crédit",OR(IFERROR(INDEX('Paramètres'!$O:$O,MATCH($D3990,'Paramètres'!$M:$M,0))&amp;"","")&lt;&gt;"",ISNUMBER(SEARCH("remboursement",IFERROR(INDEX('Paramètres'!$N:$N,MATCH($D3990,'Paramètres'!$M:$M,0))&amp;"",""))))),1,0))</f>
        <v/>
      </c>
      <c r="Q3990" s="6" t="str">
        <f>IF($K3990="","",IF(ISNUMBER(SEARCH("transfert-interne",IFERROR(INDEX('Paramètres'!$N:$N,MATCH($D3990,'Paramètres'!$M:$M,0))&amp;"",""))),0,IF($L3990="Débit",$K3990,IF($P3990=1,-$K3990,0))))</f>
        <v/>
      </c>
      <c r="R3990" s="6" t="str">
        <f>IF($K3990="","",IF($L3990="Crédit",$K3990,-$K3990))</f>
        <v/>
      </c>
      <c r="S3990" s="6" t="str">
        <f>IF($C3990="","",IFERROR(INDEX('Paramètres'!$H:$H,MATCH($C3990,'Paramètres'!$D:$D,0))&amp;"",""))</f>
        <v/>
      </c>
      <c r="T3990" s="6" t="str">
        <f>IF($K3990="","",IF($S3990="",0,IF(ISNUMBER(SEARCH("apport-exterieur",IFERROR(INDEX('Paramètres'!$N:$N,MATCH($D3990,'Paramètres'!$M:$M,0))&amp;"",""))),0,IF(OR(IFERROR(INDEX('Paramètres'!$I:$I,MATCH($C3990,'Paramètres'!$D:$D,0))&amp;"","")="Les deux",IFERROR(INDEX('Paramètres'!$I:$I,MATCH($C3990,'Paramètres'!$D:$D,0))&amp;"","")=IF($P3990=1,"Débit",$L3990)),-IF($P3990=1,-$K3990,$K3990),0))))</f>
        <v/>
      </c>
      <c r="U3990" s="6" t="str">
        <f>IF($K3990="","",IF(ISNUMBER(SEARCH("sortie-epargne",IFERROR(INDEX('Paramètres'!$N:$N,MATCH($D3990,'Paramètres'!$M:$M,0))&amp;"",""))),$K3990,0))</f>
        <v/>
      </c>
      <c r="V3990" s="6" t="str">
        <f>IF(AND($A3990&lt;&gt;"",$O3990=1,$L3990="Débit",N($Q3990)&gt;0,$A3990&gt;=Visualisation!$B$1,$A3990&lt;Visualisation!$D$1),MAX($V$1:V3989)+1,"")</f>
        <v/>
      </c>
    </row>
    <row r="3991" spans="1:22" x14ac:dyDescent="0.25">
      <c r="A3991" s="9"/>
      <c r="E3991" s="10"/>
      <c r="K3991" s="11" t="str">
        <f>IF($E3991="","",ROUND($E3991*IF(ISNA(MATCH($C3991,'Paramètres'!$D:$D,0)),1,IF(INDEX('Paramètres'!$J:$J,MATCH($C3991,'Paramètres'!$D:$D,0))="",1,INDEX('Paramètres'!$J:$J,MATCH($C3991,'Paramètres'!$D:$D,0)))),2))</f>
        <v/>
      </c>
      <c r="L3991" s="6" t="str">
        <f>IF($D3991="","",IF($F3991&lt;&gt;"",$F3991,IF(ISNA(MATCH($D3991,'Paramètres'!$M:$M,0)),"⚠ Type inconnu",IFERROR(INDEX('Paramètres'!$P:$P,MATCH($D3991,'Paramètres'!$M:$M,0))&amp;"",""))))</f>
        <v/>
      </c>
      <c r="M3991" s="6" t="str">
        <f>IF($D3991="","",IF(ISNA(MATCH($D3991,'Paramètres'!$M:$M,0)),"⚠ Type inconnu",IF($L3991="Crédit","",IFERROR(INDEX('Paramètres'!$O:$O,MATCH($D3991,'Paramètres'!$M:$M,0))&amp;"",""))))</f>
        <v/>
      </c>
      <c r="N3991" s="6" t="str">
        <f>IF($D3991="","",IFERROR(INDEX('Paramètres'!$Q:$Q,MATCH($D3991,'Paramètres'!$M:$M,0))&amp;"",""))</f>
        <v/>
      </c>
      <c r="O3991" s="6" t="str">
        <f>IF($A3991="","",IF(OR($J3991&lt;&gt;"x",$A3991&lt;=FinReleve),1,0))</f>
        <v/>
      </c>
      <c r="P3991" s="6" t="str">
        <f>IF($D3991="","",IF(AND($L3991="Crédit",OR(IFERROR(INDEX('Paramètres'!$O:$O,MATCH($D3991,'Paramètres'!$M:$M,0))&amp;"","")&lt;&gt;"",ISNUMBER(SEARCH("remboursement",IFERROR(INDEX('Paramètres'!$N:$N,MATCH($D3991,'Paramètres'!$M:$M,0))&amp;"",""))))),1,0))</f>
        <v/>
      </c>
      <c r="Q3991" s="6" t="str">
        <f>IF($K3991="","",IF(ISNUMBER(SEARCH("transfert-interne",IFERROR(INDEX('Paramètres'!$N:$N,MATCH($D3991,'Paramètres'!$M:$M,0))&amp;"",""))),0,IF($L3991="Débit",$K3991,IF($P3991=1,-$K3991,0))))</f>
        <v/>
      </c>
      <c r="R3991" s="6" t="str">
        <f>IF($K3991="","",IF($L3991="Crédit",$K3991,-$K3991))</f>
        <v/>
      </c>
      <c r="S3991" s="6" t="str">
        <f>IF($C3991="","",IFERROR(INDEX('Paramètres'!$H:$H,MATCH($C3991,'Paramètres'!$D:$D,0))&amp;"",""))</f>
        <v/>
      </c>
      <c r="T3991" s="6" t="str">
        <f>IF($K3991="","",IF($S3991="",0,IF(ISNUMBER(SEARCH("apport-exterieur",IFERROR(INDEX('Paramètres'!$N:$N,MATCH($D3991,'Paramètres'!$M:$M,0))&amp;"",""))),0,IF(OR(IFERROR(INDEX('Paramètres'!$I:$I,MATCH($C3991,'Paramètres'!$D:$D,0))&amp;"","")="Les deux",IFERROR(INDEX('Paramètres'!$I:$I,MATCH($C3991,'Paramètres'!$D:$D,0))&amp;"","")=IF($P3991=1,"Débit",$L3991)),-IF($P3991=1,-$K3991,$K3991),0))))</f>
        <v/>
      </c>
      <c r="U3991" s="6" t="str">
        <f>IF($K3991="","",IF(ISNUMBER(SEARCH("sortie-epargne",IFERROR(INDEX('Paramètres'!$N:$N,MATCH($D3991,'Paramètres'!$M:$M,0))&amp;"",""))),$K3991,0))</f>
        <v/>
      </c>
      <c r="V3991" s="6" t="str">
        <f>IF(AND($A3991&lt;&gt;"",$O3991=1,$L3991="Débit",N($Q3991)&gt;0,$A3991&gt;=Visualisation!$B$1,$A3991&lt;Visualisation!$D$1),MAX($V$1:V3990)+1,"")</f>
        <v/>
      </c>
    </row>
    <row r="3992" spans="1:22" x14ac:dyDescent="0.25">
      <c r="A3992" s="9"/>
      <c r="E3992" s="10"/>
      <c r="K3992" s="11" t="str">
        <f>IF($E3992="","",ROUND($E3992*IF(ISNA(MATCH($C3992,'Paramètres'!$D:$D,0)),1,IF(INDEX('Paramètres'!$J:$J,MATCH($C3992,'Paramètres'!$D:$D,0))="",1,INDEX('Paramètres'!$J:$J,MATCH($C3992,'Paramètres'!$D:$D,0)))),2))</f>
        <v/>
      </c>
      <c r="L3992" s="6" t="str">
        <f>IF($D3992="","",IF($F3992&lt;&gt;"",$F3992,IF(ISNA(MATCH($D3992,'Paramètres'!$M:$M,0)),"⚠ Type inconnu",IFERROR(INDEX('Paramètres'!$P:$P,MATCH($D3992,'Paramètres'!$M:$M,0))&amp;"",""))))</f>
        <v/>
      </c>
      <c r="M3992" s="6" t="str">
        <f>IF($D3992="","",IF(ISNA(MATCH($D3992,'Paramètres'!$M:$M,0)),"⚠ Type inconnu",IF($L3992="Crédit","",IFERROR(INDEX('Paramètres'!$O:$O,MATCH($D3992,'Paramètres'!$M:$M,0))&amp;"",""))))</f>
        <v/>
      </c>
      <c r="N3992" s="6" t="str">
        <f>IF($D3992="","",IFERROR(INDEX('Paramètres'!$Q:$Q,MATCH($D3992,'Paramètres'!$M:$M,0))&amp;"",""))</f>
        <v/>
      </c>
      <c r="O3992" s="6" t="str">
        <f>IF($A3992="","",IF(OR($J3992&lt;&gt;"x",$A3992&lt;=FinReleve),1,0))</f>
        <v/>
      </c>
      <c r="P3992" s="6" t="str">
        <f>IF($D3992="","",IF(AND($L3992="Crédit",OR(IFERROR(INDEX('Paramètres'!$O:$O,MATCH($D3992,'Paramètres'!$M:$M,0))&amp;"","")&lt;&gt;"",ISNUMBER(SEARCH("remboursement",IFERROR(INDEX('Paramètres'!$N:$N,MATCH($D3992,'Paramètres'!$M:$M,0))&amp;"",""))))),1,0))</f>
        <v/>
      </c>
      <c r="Q3992" s="6" t="str">
        <f>IF($K3992="","",IF(ISNUMBER(SEARCH("transfert-interne",IFERROR(INDEX('Paramètres'!$N:$N,MATCH($D3992,'Paramètres'!$M:$M,0))&amp;"",""))),0,IF($L3992="Débit",$K3992,IF($P3992=1,-$K3992,0))))</f>
        <v/>
      </c>
      <c r="R3992" s="6" t="str">
        <f>IF($K3992="","",IF($L3992="Crédit",$K3992,-$K3992))</f>
        <v/>
      </c>
      <c r="S3992" s="6" t="str">
        <f>IF($C3992="","",IFERROR(INDEX('Paramètres'!$H:$H,MATCH($C3992,'Paramètres'!$D:$D,0))&amp;"",""))</f>
        <v/>
      </c>
      <c r="T3992" s="6" t="str">
        <f>IF($K3992="","",IF($S3992="",0,IF(ISNUMBER(SEARCH("apport-exterieur",IFERROR(INDEX('Paramètres'!$N:$N,MATCH($D3992,'Paramètres'!$M:$M,0))&amp;"",""))),0,IF(OR(IFERROR(INDEX('Paramètres'!$I:$I,MATCH($C3992,'Paramètres'!$D:$D,0))&amp;"","")="Les deux",IFERROR(INDEX('Paramètres'!$I:$I,MATCH($C3992,'Paramètres'!$D:$D,0))&amp;"","")=IF($P3992=1,"Débit",$L3992)),-IF($P3992=1,-$K3992,$K3992),0))))</f>
        <v/>
      </c>
      <c r="U3992" s="6" t="str">
        <f>IF($K3992="","",IF(ISNUMBER(SEARCH("sortie-epargne",IFERROR(INDEX('Paramètres'!$N:$N,MATCH($D3992,'Paramètres'!$M:$M,0))&amp;"",""))),$K3992,0))</f>
        <v/>
      </c>
      <c r="V3992" s="6" t="str">
        <f>IF(AND($A3992&lt;&gt;"",$O3992=1,$L3992="Débit",N($Q3992)&gt;0,$A3992&gt;=Visualisation!$B$1,$A3992&lt;Visualisation!$D$1),MAX($V$1:V3991)+1,"")</f>
        <v/>
      </c>
    </row>
    <row r="3993" spans="1:22" x14ac:dyDescent="0.25">
      <c r="A3993" s="9"/>
      <c r="E3993" s="10"/>
      <c r="K3993" s="11" t="str">
        <f>IF($E3993="","",ROUND($E3993*IF(ISNA(MATCH($C3993,'Paramètres'!$D:$D,0)),1,IF(INDEX('Paramètres'!$J:$J,MATCH($C3993,'Paramètres'!$D:$D,0))="",1,INDEX('Paramètres'!$J:$J,MATCH($C3993,'Paramètres'!$D:$D,0)))),2))</f>
        <v/>
      </c>
      <c r="L3993" s="6" t="str">
        <f>IF($D3993="","",IF($F3993&lt;&gt;"",$F3993,IF(ISNA(MATCH($D3993,'Paramètres'!$M:$M,0)),"⚠ Type inconnu",IFERROR(INDEX('Paramètres'!$P:$P,MATCH($D3993,'Paramètres'!$M:$M,0))&amp;"",""))))</f>
        <v/>
      </c>
      <c r="M3993" s="6" t="str">
        <f>IF($D3993="","",IF(ISNA(MATCH($D3993,'Paramètres'!$M:$M,0)),"⚠ Type inconnu",IF($L3993="Crédit","",IFERROR(INDEX('Paramètres'!$O:$O,MATCH($D3993,'Paramètres'!$M:$M,0))&amp;"",""))))</f>
        <v/>
      </c>
      <c r="N3993" s="6" t="str">
        <f>IF($D3993="","",IFERROR(INDEX('Paramètres'!$Q:$Q,MATCH($D3993,'Paramètres'!$M:$M,0))&amp;"",""))</f>
        <v/>
      </c>
      <c r="O3993" s="6" t="str">
        <f>IF($A3993="","",IF(OR($J3993&lt;&gt;"x",$A3993&lt;=FinReleve),1,0))</f>
        <v/>
      </c>
      <c r="P3993" s="6" t="str">
        <f>IF($D3993="","",IF(AND($L3993="Crédit",OR(IFERROR(INDEX('Paramètres'!$O:$O,MATCH($D3993,'Paramètres'!$M:$M,0))&amp;"","")&lt;&gt;"",ISNUMBER(SEARCH("remboursement",IFERROR(INDEX('Paramètres'!$N:$N,MATCH($D3993,'Paramètres'!$M:$M,0))&amp;"",""))))),1,0))</f>
        <v/>
      </c>
      <c r="Q3993" s="6" t="str">
        <f>IF($K3993="","",IF(ISNUMBER(SEARCH("transfert-interne",IFERROR(INDEX('Paramètres'!$N:$N,MATCH($D3993,'Paramètres'!$M:$M,0))&amp;"",""))),0,IF($L3993="Débit",$K3993,IF($P3993=1,-$K3993,0))))</f>
        <v/>
      </c>
      <c r="R3993" s="6" t="str">
        <f>IF($K3993="","",IF($L3993="Crédit",$K3993,-$K3993))</f>
        <v/>
      </c>
      <c r="S3993" s="6" t="str">
        <f>IF($C3993="","",IFERROR(INDEX('Paramètres'!$H:$H,MATCH($C3993,'Paramètres'!$D:$D,0))&amp;"",""))</f>
        <v/>
      </c>
      <c r="T3993" s="6" t="str">
        <f>IF($K3993="","",IF($S3993="",0,IF(ISNUMBER(SEARCH("apport-exterieur",IFERROR(INDEX('Paramètres'!$N:$N,MATCH($D3993,'Paramètres'!$M:$M,0))&amp;"",""))),0,IF(OR(IFERROR(INDEX('Paramètres'!$I:$I,MATCH($C3993,'Paramètres'!$D:$D,0))&amp;"","")="Les deux",IFERROR(INDEX('Paramètres'!$I:$I,MATCH($C3993,'Paramètres'!$D:$D,0))&amp;"","")=IF($P3993=1,"Débit",$L3993)),-IF($P3993=1,-$K3993,$K3993),0))))</f>
        <v/>
      </c>
      <c r="U3993" s="6" t="str">
        <f>IF($K3993="","",IF(ISNUMBER(SEARCH("sortie-epargne",IFERROR(INDEX('Paramètres'!$N:$N,MATCH($D3993,'Paramètres'!$M:$M,0))&amp;"",""))),$K3993,0))</f>
        <v/>
      </c>
      <c r="V3993" s="6" t="str">
        <f>IF(AND($A3993&lt;&gt;"",$O3993=1,$L3993="Débit",N($Q3993)&gt;0,$A3993&gt;=Visualisation!$B$1,$A3993&lt;Visualisation!$D$1),MAX($V$1:V3992)+1,"")</f>
        <v/>
      </c>
    </row>
    <row r="3994" spans="1:22" x14ac:dyDescent="0.25">
      <c r="A3994" s="9"/>
      <c r="E3994" s="10"/>
      <c r="K3994" s="11" t="str">
        <f>IF($E3994="","",ROUND($E3994*IF(ISNA(MATCH($C3994,'Paramètres'!$D:$D,0)),1,IF(INDEX('Paramètres'!$J:$J,MATCH($C3994,'Paramètres'!$D:$D,0))="",1,INDEX('Paramètres'!$J:$J,MATCH($C3994,'Paramètres'!$D:$D,0)))),2))</f>
        <v/>
      </c>
      <c r="L3994" s="6" t="str">
        <f>IF($D3994="","",IF($F3994&lt;&gt;"",$F3994,IF(ISNA(MATCH($D3994,'Paramètres'!$M:$M,0)),"⚠ Type inconnu",IFERROR(INDEX('Paramètres'!$P:$P,MATCH($D3994,'Paramètres'!$M:$M,0))&amp;"",""))))</f>
        <v/>
      </c>
      <c r="M3994" s="6" t="str">
        <f>IF($D3994="","",IF(ISNA(MATCH($D3994,'Paramètres'!$M:$M,0)),"⚠ Type inconnu",IF($L3994="Crédit","",IFERROR(INDEX('Paramètres'!$O:$O,MATCH($D3994,'Paramètres'!$M:$M,0))&amp;"",""))))</f>
        <v/>
      </c>
      <c r="N3994" s="6" t="str">
        <f>IF($D3994="","",IFERROR(INDEX('Paramètres'!$Q:$Q,MATCH($D3994,'Paramètres'!$M:$M,0))&amp;"",""))</f>
        <v/>
      </c>
      <c r="O3994" s="6" t="str">
        <f>IF($A3994="","",IF(OR($J3994&lt;&gt;"x",$A3994&lt;=FinReleve),1,0))</f>
        <v/>
      </c>
      <c r="P3994" s="6" t="str">
        <f>IF($D3994="","",IF(AND($L3994="Crédit",OR(IFERROR(INDEX('Paramètres'!$O:$O,MATCH($D3994,'Paramètres'!$M:$M,0))&amp;"","")&lt;&gt;"",ISNUMBER(SEARCH("remboursement",IFERROR(INDEX('Paramètres'!$N:$N,MATCH($D3994,'Paramètres'!$M:$M,0))&amp;"",""))))),1,0))</f>
        <v/>
      </c>
      <c r="Q3994" s="6" t="str">
        <f>IF($K3994="","",IF(ISNUMBER(SEARCH("transfert-interne",IFERROR(INDEX('Paramètres'!$N:$N,MATCH($D3994,'Paramètres'!$M:$M,0))&amp;"",""))),0,IF($L3994="Débit",$K3994,IF($P3994=1,-$K3994,0))))</f>
        <v/>
      </c>
      <c r="R3994" s="6" t="str">
        <f>IF($K3994="","",IF($L3994="Crédit",$K3994,-$K3994))</f>
        <v/>
      </c>
      <c r="S3994" s="6" t="str">
        <f>IF($C3994="","",IFERROR(INDEX('Paramètres'!$H:$H,MATCH($C3994,'Paramètres'!$D:$D,0))&amp;"",""))</f>
        <v/>
      </c>
      <c r="T3994" s="6" t="str">
        <f>IF($K3994="","",IF($S3994="",0,IF(ISNUMBER(SEARCH("apport-exterieur",IFERROR(INDEX('Paramètres'!$N:$N,MATCH($D3994,'Paramètres'!$M:$M,0))&amp;"",""))),0,IF(OR(IFERROR(INDEX('Paramètres'!$I:$I,MATCH($C3994,'Paramètres'!$D:$D,0))&amp;"","")="Les deux",IFERROR(INDEX('Paramètres'!$I:$I,MATCH($C3994,'Paramètres'!$D:$D,0))&amp;"","")=IF($P3994=1,"Débit",$L3994)),-IF($P3994=1,-$K3994,$K3994),0))))</f>
        <v/>
      </c>
      <c r="U3994" s="6" t="str">
        <f>IF($K3994="","",IF(ISNUMBER(SEARCH("sortie-epargne",IFERROR(INDEX('Paramètres'!$N:$N,MATCH($D3994,'Paramètres'!$M:$M,0))&amp;"",""))),$K3994,0))</f>
        <v/>
      </c>
      <c r="V3994" s="6" t="str">
        <f>IF(AND($A3994&lt;&gt;"",$O3994=1,$L3994="Débit",N($Q3994)&gt;0,$A3994&gt;=Visualisation!$B$1,$A3994&lt;Visualisation!$D$1),MAX($V$1:V3993)+1,"")</f>
        <v/>
      </c>
    </row>
    <row r="3995" spans="1:22" x14ac:dyDescent="0.25">
      <c r="A3995" s="9"/>
      <c r="E3995" s="10"/>
      <c r="K3995" s="11" t="str">
        <f>IF($E3995="","",ROUND($E3995*IF(ISNA(MATCH($C3995,'Paramètres'!$D:$D,0)),1,IF(INDEX('Paramètres'!$J:$J,MATCH($C3995,'Paramètres'!$D:$D,0))="",1,INDEX('Paramètres'!$J:$J,MATCH($C3995,'Paramètres'!$D:$D,0)))),2))</f>
        <v/>
      </c>
      <c r="L3995" s="6" t="str">
        <f>IF($D3995="","",IF($F3995&lt;&gt;"",$F3995,IF(ISNA(MATCH($D3995,'Paramètres'!$M:$M,0)),"⚠ Type inconnu",IFERROR(INDEX('Paramètres'!$P:$P,MATCH($D3995,'Paramètres'!$M:$M,0))&amp;"",""))))</f>
        <v/>
      </c>
      <c r="M3995" s="6" t="str">
        <f>IF($D3995="","",IF(ISNA(MATCH($D3995,'Paramètres'!$M:$M,0)),"⚠ Type inconnu",IF($L3995="Crédit","",IFERROR(INDEX('Paramètres'!$O:$O,MATCH($D3995,'Paramètres'!$M:$M,0))&amp;"",""))))</f>
        <v/>
      </c>
      <c r="N3995" s="6" t="str">
        <f>IF($D3995="","",IFERROR(INDEX('Paramètres'!$Q:$Q,MATCH($D3995,'Paramètres'!$M:$M,0))&amp;"",""))</f>
        <v/>
      </c>
      <c r="O3995" s="6" t="str">
        <f>IF($A3995="","",IF(OR($J3995&lt;&gt;"x",$A3995&lt;=FinReleve),1,0))</f>
        <v/>
      </c>
      <c r="P3995" s="6" t="str">
        <f>IF($D3995="","",IF(AND($L3995="Crédit",OR(IFERROR(INDEX('Paramètres'!$O:$O,MATCH($D3995,'Paramètres'!$M:$M,0))&amp;"","")&lt;&gt;"",ISNUMBER(SEARCH("remboursement",IFERROR(INDEX('Paramètres'!$N:$N,MATCH($D3995,'Paramètres'!$M:$M,0))&amp;"",""))))),1,0))</f>
        <v/>
      </c>
      <c r="Q3995" s="6" t="str">
        <f>IF($K3995="","",IF(ISNUMBER(SEARCH("transfert-interne",IFERROR(INDEX('Paramètres'!$N:$N,MATCH($D3995,'Paramètres'!$M:$M,0))&amp;"",""))),0,IF($L3995="Débit",$K3995,IF($P3995=1,-$K3995,0))))</f>
        <v/>
      </c>
      <c r="R3995" s="6" t="str">
        <f>IF($K3995="","",IF($L3995="Crédit",$K3995,-$K3995))</f>
        <v/>
      </c>
      <c r="S3995" s="6" t="str">
        <f>IF($C3995="","",IFERROR(INDEX('Paramètres'!$H:$H,MATCH($C3995,'Paramètres'!$D:$D,0))&amp;"",""))</f>
        <v/>
      </c>
      <c r="T3995" s="6" t="str">
        <f>IF($K3995="","",IF($S3995="",0,IF(ISNUMBER(SEARCH("apport-exterieur",IFERROR(INDEX('Paramètres'!$N:$N,MATCH($D3995,'Paramètres'!$M:$M,0))&amp;"",""))),0,IF(OR(IFERROR(INDEX('Paramètres'!$I:$I,MATCH($C3995,'Paramètres'!$D:$D,0))&amp;"","")="Les deux",IFERROR(INDEX('Paramètres'!$I:$I,MATCH($C3995,'Paramètres'!$D:$D,0))&amp;"","")=IF($P3995=1,"Débit",$L3995)),-IF($P3995=1,-$K3995,$K3995),0))))</f>
        <v/>
      </c>
      <c r="U3995" s="6" t="str">
        <f>IF($K3995="","",IF(ISNUMBER(SEARCH("sortie-epargne",IFERROR(INDEX('Paramètres'!$N:$N,MATCH($D3995,'Paramètres'!$M:$M,0))&amp;"",""))),$K3995,0))</f>
        <v/>
      </c>
      <c r="V3995" s="6" t="str">
        <f>IF(AND($A3995&lt;&gt;"",$O3995=1,$L3995="Débit",N($Q3995)&gt;0,$A3995&gt;=Visualisation!$B$1,$A3995&lt;Visualisation!$D$1),MAX($V$1:V3994)+1,"")</f>
        <v/>
      </c>
    </row>
    <row r="3996" spans="1:22" x14ac:dyDescent="0.25">
      <c r="A3996" s="9"/>
      <c r="E3996" s="10"/>
      <c r="K3996" s="11" t="str">
        <f>IF($E3996="","",ROUND($E3996*IF(ISNA(MATCH($C3996,'Paramètres'!$D:$D,0)),1,IF(INDEX('Paramètres'!$J:$J,MATCH($C3996,'Paramètres'!$D:$D,0))="",1,INDEX('Paramètres'!$J:$J,MATCH($C3996,'Paramètres'!$D:$D,0)))),2))</f>
        <v/>
      </c>
      <c r="L3996" s="6" t="str">
        <f>IF($D3996="","",IF($F3996&lt;&gt;"",$F3996,IF(ISNA(MATCH($D3996,'Paramètres'!$M:$M,0)),"⚠ Type inconnu",IFERROR(INDEX('Paramètres'!$P:$P,MATCH($D3996,'Paramètres'!$M:$M,0))&amp;"",""))))</f>
        <v/>
      </c>
      <c r="M3996" s="6" t="str">
        <f>IF($D3996="","",IF(ISNA(MATCH($D3996,'Paramètres'!$M:$M,0)),"⚠ Type inconnu",IF($L3996="Crédit","",IFERROR(INDEX('Paramètres'!$O:$O,MATCH($D3996,'Paramètres'!$M:$M,0))&amp;"",""))))</f>
        <v/>
      </c>
      <c r="N3996" s="6" t="str">
        <f>IF($D3996="","",IFERROR(INDEX('Paramètres'!$Q:$Q,MATCH($D3996,'Paramètres'!$M:$M,0))&amp;"",""))</f>
        <v/>
      </c>
      <c r="O3996" s="6" t="str">
        <f>IF($A3996="","",IF(OR($J3996&lt;&gt;"x",$A3996&lt;=FinReleve),1,0))</f>
        <v/>
      </c>
      <c r="P3996" s="6" t="str">
        <f>IF($D3996="","",IF(AND($L3996="Crédit",OR(IFERROR(INDEX('Paramètres'!$O:$O,MATCH($D3996,'Paramètres'!$M:$M,0))&amp;"","")&lt;&gt;"",ISNUMBER(SEARCH("remboursement",IFERROR(INDEX('Paramètres'!$N:$N,MATCH($D3996,'Paramètres'!$M:$M,0))&amp;"",""))))),1,0))</f>
        <v/>
      </c>
      <c r="Q3996" s="6" t="str">
        <f>IF($K3996="","",IF(ISNUMBER(SEARCH("transfert-interne",IFERROR(INDEX('Paramètres'!$N:$N,MATCH($D3996,'Paramètres'!$M:$M,0))&amp;"",""))),0,IF($L3996="Débit",$K3996,IF($P3996=1,-$K3996,0))))</f>
        <v/>
      </c>
      <c r="R3996" s="6" t="str">
        <f>IF($K3996="","",IF($L3996="Crédit",$K3996,-$K3996))</f>
        <v/>
      </c>
      <c r="S3996" s="6" t="str">
        <f>IF($C3996="","",IFERROR(INDEX('Paramètres'!$H:$H,MATCH($C3996,'Paramètres'!$D:$D,0))&amp;"",""))</f>
        <v/>
      </c>
      <c r="T3996" s="6" t="str">
        <f>IF($K3996="","",IF($S3996="",0,IF(ISNUMBER(SEARCH("apport-exterieur",IFERROR(INDEX('Paramètres'!$N:$N,MATCH($D3996,'Paramètres'!$M:$M,0))&amp;"",""))),0,IF(OR(IFERROR(INDEX('Paramètres'!$I:$I,MATCH($C3996,'Paramètres'!$D:$D,0))&amp;"","")="Les deux",IFERROR(INDEX('Paramètres'!$I:$I,MATCH($C3996,'Paramètres'!$D:$D,0))&amp;"","")=IF($P3996=1,"Débit",$L3996)),-IF($P3996=1,-$K3996,$K3996),0))))</f>
        <v/>
      </c>
      <c r="U3996" s="6" t="str">
        <f>IF($K3996="","",IF(ISNUMBER(SEARCH("sortie-epargne",IFERROR(INDEX('Paramètres'!$N:$N,MATCH($D3996,'Paramètres'!$M:$M,0))&amp;"",""))),$K3996,0))</f>
        <v/>
      </c>
      <c r="V3996" s="6" t="str">
        <f>IF(AND($A3996&lt;&gt;"",$O3996=1,$L3996="Débit",N($Q3996)&gt;0,$A3996&gt;=Visualisation!$B$1,$A3996&lt;Visualisation!$D$1),MAX($V$1:V3995)+1,"")</f>
        <v/>
      </c>
    </row>
    <row r="3997" spans="1:22" x14ac:dyDescent="0.25">
      <c r="A3997" s="9"/>
      <c r="E3997" s="10"/>
      <c r="K3997" s="11" t="str">
        <f>IF($E3997="","",ROUND($E3997*IF(ISNA(MATCH($C3997,'Paramètres'!$D:$D,0)),1,IF(INDEX('Paramètres'!$J:$J,MATCH($C3997,'Paramètres'!$D:$D,0))="",1,INDEX('Paramètres'!$J:$J,MATCH($C3997,'Paramètres'!$D:$D,0)))),2))</f>
        <v/>
      </c>
      <c r="L3997" s="6" t="str">
        <f>IF($D3997="","",IF($F3997&lt;&gt;"",$F3997,IF(ISNA(MATCH($D3997,'Paramètres'!$M:$M,0)),"⚠ Type inconnu",IFERROR(INDEX('Paramètres'!$P:$P,MATCH($D3997,'Paramètres'!$M:$M,0))&amp;"",""))))</f>
        <v/>
      </c>
      <c r="M3997" s="6" t="str">
        <f>IF($D3997="","",IF(ISNA(MATCH($D3997,'Paramètres'!$M:$M,0)),"⚠ Type inconnu",IF($L3997="Crédit","",IFERROR(INDEX('Paramètres'!$O:$O,MATCH($D3997,'Paramètres'!$M:$M,0))&amp;"",""))))</f>
        <v/>
      </c>
      <c r="N3997" s="6" t="str">
        <f>IF($D3997="","",IFERROR(INDEX('Paramètres'!$Q:$Q,MATCH($D3997,'Paramètres'!$M:$M,0))&amp;"",""))</f>
        <v/>
      </c>
      <c r="O3997" s="6" t="str">
        <f>IF($A3997="","",IF(OR($J3997&lt;&gt;"x",$A3997&lt;=FinReleve),1,0))</f>
        <v/>
      </c>
      <c r="P3997" s="6" t="str">
        <f>IF($D3997="","",IF(AND($L3997="Crédit",OR(IFERROR(INDEX('Paramètres'!$O:$O,MATCH($D3997,'Paramètres'!$M:$M,0))&amp;"","")&lt;&gt;"",ISNUMBER(SEARCH("remboursement",IFERROR(INDEX('Paramètres'!$N:$N,MATCH($D3997,'Paramètres'!$M:$M,0))&amp;"",""))))),1,0))</f>
        <v/>
      </c>
      <c r="Q3997" s="6" t="str">
        <f>IF($K3997="","",IF(ISNUMBER(SEARCH("transfert-interne",IFERROR(INDEX('Paramètres'!$N:$N,MATCH($D3997,'Paramètres'!$M:$M,0))&amp;"",""))),0,IF($L3997="Débit",$K3997,IF($P3997=1,-$K3997,0))))</f>
        <v/>
      </c>
      <c r="R3997" s="6" t="str">
        <f>IF($K3997="","",IF($L3997="Crédit",$K3997,-$K3997))</f>
        <v/>
      </c>
      <c r="S3997" s="6" t="str">
        <f>IF($C3997="","",IFERROR(INDEX('Paramètres'!$H:$H,MATCH($C3997,'Paramètres'!$D:$D,0))&amp;"",""))</f>
        <v/>
      </c>
      <c r="T3997" s="6" t="str">
        <f>IF($K3997="","",IF($S3997="",0,IF(ISNUMBER(SEARCH("apport-exterieur",IFERROR(INDEX('Paramètres'!$N:$N,MATCH($D3997,'Paramètres'!$M:$M,0))&amp;"",""))),0,IF(OR(IFERROR(INDEX('Paramètres'!$I:$I,MATCH($C3997,'Paramètres'!$D:$D,0))&amp;"","")="Les deux",IFERROR(INDEX('Paramètres'!$I:$I,MATCH($C3997,'Paramètres'!$D:$D,0))&amp;"","")=IF($P3997=1,"Débit",$L3997)),-IF($P3997=1,-$K3997,$K3997),0))))</f>
        <v/>
      </c>
      <c r="U3997" s="6" t="str">
        <f>IF($K3997="","",IF(ISNUMBER(SEARCH("sortie-epargne",IFERROR(INDEX('Paramètres'!$N:$N,MATCH($D3997,'Paramètres'!$M:$M,0))&amp;"",""))),$K3997,0))</f>
        <v/>
      </c>
      <c r="V3997" s="6" t="str">
        <f>IF(AND($A3997&lt;&gt;"",$O3997=1,$L3997="Débit",N($Q3997)&gt;0,$A3997&gt;=Visualisation!$B$1,$A3997&lt;Visualisation!$D$1),MAX($V$1:V3996)+1,"")</f>
        <v/>
      </c>
    </row>
    <row r="3998" spans="1:22" x14ac:dyDescent="0.25">
      <c r="A3998" s="9"/>
      <c r="E3998" s="10"/>
      <c r="K3998" s="11" t="str">
        <f>IF($E3998="","",ROUND($E3998*IF(ISNA(MATCH($C3998,'Paramètres'!$D:$D,0)),1,IF(INDEX('Paramètres'!$J:$J,MATCH($C3998,'Paramètres'!$D:$D,0))="",1,INDEX('Paramètres'!$J:$J,MATCH($C3998,'Paramètres'!$D:$D,0)))),2))</f>
        <v/>
      </c>
      <c r="L3998" s="6" t="str">
        <f>IF($D3998="","",IF($F3998&lt;&gt;"",$F3998,IF(ISNA(MATCH($D3998,'Paramètres'!$M:$M,0)),"⚠ Type inconnu",IFERROR(INDEX('Paramètres'!$P:$P,MATCH($D3998,'Paramètres'!$M:$M,0))&amp;"",""))))</f>
        <v/>
      </c>
      <c r="M3998" s="6" t="str">
        <f>IF($D3998="","",IF(ISNA(MATCH($D3998,'Paramètres'!$M:$M,0)),"⚠ Type inconnu",IF($L3998="Crédit","",IFERROR(INDEX('Paramètres'!$O:$O,MATCH($D3998,'Paramètres'!$M:$M,0))&amp;"",""))))</f>
        <v/>
      </c>
      <c r="N3998" s="6" t="str">
        <f>IF($D3998="","",IFERROR(INDEX('Paramètres'!$Q:$Q,MATCH($D3998,'Paramètres'!$M:$M,0))&amp;"",""))</f>
        <v/>
      </c>
      <c r="O3998" s="6" t="str">
        <f>IF($A3998="","",IF(OR($J3998&lt;&gt;"x",$A3998&lt;=FinReleve),1,0))</f>
        <v/>
      </c>
      <c r="P3998" s="6" t="str">
        <f>IF($D3998="","",IF(AND($L3998="Crédit",OR(IFERROR(INDEX('Paramètres'!$O:$O,MATCH($D3998,'Paramètres'!$M:$M,0))&amp;"","")&lt;&gt;"",ISNUMBER(SEARCH("remboursement",IFERROR(INDEX('Paramètres'!$N:$N,MATCH($D3998,'Paramètres'!$M:$M,0))&amp;"",""))))),1,0))</f>
        <v/>
      </c>
      <c r="Q3998" s="6" t="str">
        <f>IF($K3998="","",IF(ISNUMBER(SEARCH("transfert-interne",IFERROR(INDEX('Paramètres'!$N:$N,MATCH($D3998,'Paramètres'!$M:$M,0))&amp;"",""))),0,IF($L3998="Débit",$K3998,IF($P3998=1,-$K3998,0))))</f>
        <v/>
      </c>
      <c r="R3998" s="6" t="str">
        <f>IF($K3998="","",IF($L3998="Crédit",$K3998,-$K3998))</f>
        <v/>
      </c>
      <c r="S3998" s="6" t="str">
        <f>IF($C3998="","",IFERROR(INDEX('Paramètres'!$H:$H,MATCH($C3998,'Paramètres'!$D:$D,0))&amp;"",""))</f>
        <v/>
      </c>
      <c r="T3998" s="6" t="str">
        <f>IF($K3998="","",IF($S3998="",0,IF(ISNUMBER(SEARCH("apport-exterieur",IFERROR(INDEX('Paramètres'!$N:$N,MATCH($D3998,'Paramètres'!$M:$M,0))&amp;"",""))),0,IF(OR(IFERROR(INDEX('Paramètres'!$I:$I,MATCH($C3998,'Paramètres'!$D:$D,0))&amp;"","")="Les deux",IFERROR(INDEX('Paramètres'!$I:$I,MATCH($C3998,'Paramètres'!$D:$D,0))&amp;"","")=IF($P3998=1,"Débit",$L3998)),-IF($P3998=1,-$K3998,$K3998),0))))</f>
        <v/>
      </c>
      <c r="U3998" s="6" t="str">
        <f>IF($K3998="","",IF(ISNUMBER(SEARCH("sortie-epargne",IFERROR(INDEX('Paramètres'!$N:$N,MATCH($D3998,'Paramètres'!$M:$M,0))&amp;"",""))),$K3998,0))</f>
        <v/>
      </c>
      <c r="V3998" s="6" t="str">
        <f>IF(AND($A3998&lt;&gt;"",$O3998=1,$L3998="Débit",N($Q3998)&gt;0,$A3998&gt;=Visualisation!$B$1,$A3998&lt;Visualisation!$D$1),MAX($V$1:V3997)+1,"")</f>
        <v/>
      </c>
    </row>
    <row r="3999" spans="1:22" x14ac:dyDescent="0.25">
      <c r="A3999" s="9"/>
      <c r="E3999" s="10"/>
      <c r="K3999" s="11" t="str">
        <f>IF($E3999="","",ROUND($E3999*IF(ISNA(MATCH($C3999,'Paramètres'!$D:$D,0)),1,IF(INDEX('Paramètres'!$J:$J,MATCH($C3999,'Paramètres'!$D:$D,0))="",1,INDEX('Paramètres'!$J:$J,MATCH($C3999,'Paramètres'!$D:$D,0)))),2))</f>
        <v/>
      </c>
      <c r="L3999" s="6" t="str">
        <f>IF($D3999="","",IF($F3999&lt;&gt;"",$F3999,IF(ISNA(MATCH($D3999,'Paramètres'!$M:$M,0)),"⚠ Type inconnu",IFERROR(INDEX('Paramètres'!$P:$P,MATCH($D3999,'Paramètres'!$M:$M,0))&amp;"",""))))</f>
        <v/>
      </c>
      <c r="M3999" s="6" t="str">
        <f>IF($D3999="","",IF(ISNA(MATCH($D3999,'Paramètres'!$M:$M,0)),"⚠ Type inconnu",IF($L3999="Crédit","",IFERROR(INDEX('Paramètres'!$O:$O,MATCH($D3999,'Paramètres'!$M:$M,0))&amp;"",""))))</f>
        <v/>
      </c>
      <c r="N3999" s="6" t="str">
        <f>IF($D3999="","",IFERROR(INDEX('Paramètres'!$Q:$Q,MATCH($D3999,'Paramètres'!$M:$M,0))&amp;"",""))</f>
        <v/>
      </c>
      <c r="O3999" s="6" t="str">
        <f>IF($A3999="","",IF(OR($J3999&lt;&gt;"x",$A3999&lt;=FinReleve),1,0))</f>
        <v/>
      </c>
      <c r="P3999" s="6" t="str">
        <f>IF($D3999="","",IF(AND($L3999="Crédit",OR(IFERROR(INDEX('Paramètres'!$O:$O,MATCH($D3999,'Paramètres'!$M:$M,0))&amp;"","")&lt;&gt;"",ISNUMBER(SEARCH("remboursement",IFERROR(INDEX('Paramètres'!$N:$N,MATCH($D3999,'Paramètres'!$M:$M,0))&amp;"",""))))),1,0))</f>
        <v/>
      </c>
      <c r="Q3999" s="6" t="str">
        <f>IF($K3999="","",IF(ISNUMBER(SEARCH("transfert-interne",IFERROR(INDEX('Paramètres'!$N:$N,MATCH($D3999,'Paramètres'!$M:$M,0))&amp;"",""))),0,IF($L3999="Débit",$K3999,IF($P3999=1,-$K3999,0))))</f>
        <v/>
      </c>
      <c r="R3999" s="6" t="str">
        <f>IF($K3999="","",IF($L3999="Crédit",$K3999,-$K3999))</f>
        <v/>
      </c>
      <c r="S3999" s="6" t="str">
        <f>IF($C3999="","",IFERROR(INDEX('Paramètres'!$H:$H,MATCH($C3999,'Paramètres'!$D:$D,0))&amp;"",""))</f>
        <v/>
      </c>
      <c r="T3999" s="6" t="str">
        <f>IF($K3999="","",IF($S3999="",0,IF(ISNUMBER(SEARCH("apport-exterieur",IFERROR(INDEX('Paramètres'!$N:$N,MATCH($D3999,'Paramètres'!$M:$M,0))&amp;"",""))),0,IF(OR(IFERROR(INDEX('Paramètres'!$I:$I,MATCH($C3999,'Paramètres'!$D:$D,0))&amp;"","")="Les deux",IFERROR(INDEX('Paramètres'!$I:$I,MATCH($C3999,'Paramètres'!$D:$D,0))&amp;"","")=IF($P3999=1,"Débit",$L3999)),-IF($P3999=1,-$K3999,$K3999),0))))</f>
        <v/>
      </c>
      <c r="U3999" s="6" t="str">
        <f>IF($K3999="","",IF(ISNUMBER(SEARCH("sortie-epargne",IFERROR(INDEX('Paramètres'!$N:$N,MATCH($D3999,'Paramètres'!$M:$M,0))&amp;"",""))),$K3999,0))</f>
        <v/>
      </c>
      <c r="V3999" s="6" t="str">
        <f>IF(AND($A3999&lt;&gt;"",$O3999=1,$L3999="Débit",N($Q3999)&gt;0,$A3999&gt;=Visualisation!$B$1,$A3999&lt;Visualisation!$D$1),MAX($V$1:V3998)+1,"")</f>
        <v/>
      </c>
    </row>
    <row r="4000" spans="1:22" x14ac:dyDescent="0.25">
      <c r="A4000" s="9"/>
      <c r="E4000" s="10"/>
      <c r="K4000" s="11" t="str">
        <f>IF($E4000="","",ROUND($E4000*IF(ISNA(MATCH($C4000,'Paramètres'!$D:$D,0)),1,IF(INDEX('Paramètres'!$J:$J,MATCH($C4000,'Paramètres'!$D:$D,0))="",1,INDEX('Paramètres'!$J:$J,MATCH($C4000,'Paramètres'!$D:$D,0)))),2))</f>
        <v/>
      </c>
      <c r="L4000" s="6" t="str">
        <f>IF($D4000="","",IF($F4000&lt;&gt;"",$F4000,IF(ISNA(MATCH($D4000,'Paramètres'!$M:$M,0)),"⚠ Type inconnu",IFERROR(INDEX('Paramètres'!$P:$P,MATCH($D4000,'Paramètres'!$M:$M,0))&amp;"",""))))</f>
        <v/>
      </c>
      <c r="M4000" s="6" t="str">
        <f>IF($D4000="","",IF(ISNA(MATCH($D4000,'Paramètres'!$M:$M,0)),"⚠ Type inconnu",IF($L4000="Crédit","",IFERROR(INDEX('Paramètres'!$O:$O,MATCH($D4000,'Paramètres'!$M:$M,0))&amp;"",""))))</f>
        <v/>
      </c>
      <c r="N4000" s="6" t="str">
        <f>IF($D4000="","",IFERROR(INDEX('Paramètres'!$Q:$Q,MATCH($D4000,'Paramètres'!$M:$M,0))&amp;"",""))</f>
        <v/>
      </c>
      <c r="O4000" s="6" t="str">
        <f>IF($A4000="","",IF(OR($J4000&lt;&gt;"x",$A4000&lt;=FinReleve),1,0))</f>
        <v/>
      </c>
      <c r="P4000" s="6" t="str">
        <f>IF($D4000="","",IF(AND($L4000="Crédit",OR(IFERROR(INDEX('Paramètres'!$O:$O,MATCH($D4000,'Paramètres'!$M:$M,0))&amp;"","")&lt;&gt;"",ISNUMBER(SEARCH("remboursement",IFERROR(INDEX('Paramètres'!$N:$N,MATCH($D4000,'Paramètres'!$M:$M,0))&amp;"",""))))),1,0))</f>
        <v/>
      </c>
      <c r="Q4000" s="6" t="str">
        <f>IF($K4000="","",IF(ISNUMBER(SEARCH("transfert-interne",IFERROR(INDEX('Paramètres'!$N:$N,MATCH($D4000,'Paramètres'!$M:$M,0))&amp;"",""))),0,IF($L4000="Débit",$K4000,IF($P4000=1,-$K4000,0))))</f>
        <v/>
      </c>
      <c r="R4000" s="6" t="str">
        <f>IF($K4000="","",IF($L4000="Crédit",$K4000,-$K4000))</f>
        <v/>
      </c>
      <c r="S4000" s="6" t="str">
        <f>IF($C4000="","",IFERROR(INDEX('Paramètres'!$H:$H,MATCH($C4000,'Paramètres'!$D:$D,0))&amp;"",""))</f>
        <v/>
      </c>
      <c r="T4000" s="6" t="str">
        <f>IF($K4000="","",IF($S4000="",0,IF(ISNUMBER(SEARCH("apport-exterieur",IFERROR(INDEX('Paramètres'!$N:$N,MATCH($D4000,'Paramètres'!$M:$M,0))&amp;"",""))),0,IF(OR(IFERROR(INDEX('Paramètres'!$I:$I,MATCH($C4000,'Paramètres'!$D:$D,0))&amp;"","")="Les deux",IFERROR(INDEX('Paramètres'!$I:$I,MATCH($C4000,'Paramètres'!$D:$D,0))&amp;"","")=IF($P4000=1,"Débit",$L4000)),-IF($P4000=1,-$K4000,$K4000),0))))</f>
        <v/>
      </c>
      <c r="U4000" s="6" t="str">
        <f>IF($K4000="","",IF(ISNUMBER(SEARCH("sortie-epargne",IFERROR(INDEX('Paramètres'!$N:$N,MATCH($D4000,'Paramètres'!$M:$M,0))&amp;"",""))),$K4000,0))</f>
        <v/>
      </c>
      <c r="V4000" s="6" t="str">
        <f>IF(AND($A4000&lt;&gt;"",$O4000=1,$L4000="Débit",N($Q4000)&gt;0,$A4000&gt;=Visualisation!$B$1,$A4000&lt;Visualisation!$D$1),MAX($V$1:V3999)+1,"")</f>
        <v/>
      </c>
    </row>
    <row r="4001" spans="1:22" x14ac:dyDescent="0.25">
      <c r="A4001" s="9"/>
      <c r="E4001" s="10"/>
      <c r="K4001" s="11" t="str">
        <f>IF($E4001="","",ROUND($E4001*IF(ISNA(MATCH($C4001,'Paramètres'!$D:$D,0)),1,IF(INDEX('Paramètres'!$J:$J,MATCH($C4001,'Paramètres'!$D:$D,0))="",1,INDEX('Paramètres'!$J:$J,MATCH($C4001,'Paramètres'!$D:$D,0)))),2))</f>
        <v/>
      </c>
      <c r="L4001" s="6" t="str">
        <f>IF($D4001="","",IF($F4001&lt;&gt;"",$F4001,IF(ISNA(MATCH($D4001,'Paramètres'!$M:$M,0)),"⚠ Type inconnu",IFERROR(INDEX('Paramètres'!$P:$P,MATCH($D4001,'Paramètres'!$M:$M,0))&amp;"",""))))</f>
        <v/>
      </c>
      <c r="M4001" s="6" t="str">
        <f>IF($D4001="","",IF(ISNA(MATCH($D4001,'Paramètres'!$M:$M,0)),"⚠ Type inconnu",IF($L4001="Crédit","",IFERROR(INDEX('Paramètres'!$O:$O,MATCH($D4001,'Paramètres'!$M:$M,0))&amp;"",""))))</f>
        <v/>
      </c>
      <c r="N4001" s="6" t="str">
        <f>IF($D4001="","",IFERROR(INDEX('Paramètres'!$Q:$Q,MATCH($D4001,'Paramètres'!$M:$M,0))&amp;"",""))</f>
        <v/>
      </c>
      <c r="O4001" s="6" t="str">
        <f>IF($A4001="","",IF(OR($J4001&lt;&gt;"x",$A4001&lt;=FinReleve),1,0))</f>
        <v/>
      </c>
      <c r="P4001" s="6" t="str">
        <f>IF($D4001="","",IF(AND($L4001="Crédit",OR(IFERROR(INDEX('Paramètres'!$O:$O,MATCH($D4001,'Paramètres'!$M:$M,0))&amp;"","")&lt;&gt;"",ISNUMBER(SEARCH("remboursement",IFERROR(INDEX('Paramètres'!$N:$N,MATCH($D4001,'Paramètres'!$M:$M,0))&amp;"",""))))),1,0))</f>
        <v/>
      </c>
      <c r="Q4001" s="6" t="str">
        <f>IF($K4001="","",IF(ISNUMBER(SEARCH("transfert-interne",IFERROR(INDEX('Paramètres'!$N:$N,MATCH($D4001,'Paramètres'!$M:$M,0))&amp;"",""))),0,IF($L4001="Débit",$K4001,IF($P4001=1,-$K4001,0))))</f>
        <v/>
      </c>
      <c r="R4001" s="6" t="str">
        <f>IF($K4001="","",IF($L4001="Crédit",$K4001,-$K4001))</f>
        <v/>
      </c>
      <c r="S4001" s="6" t="str">
        <f>IF($C4001="","",IFERROR(INDEX('Paramètres'!$H:$H,MATCH($C4001,'Paramètres'!$D:$D,0))&amp;"",""))</f>
        <v/>
      </c>
      <c r="T4001" s="6" t="str">
        <f>IF($K4001="","",IF($S4001="",0,IF(ISNUMBER(SEARCH("apport-exterieur",IFERROR(INDEX('Paramètres'!$N:$N,MATCH($D4001,'Paramètres'!$M:$M,0))&amp;"",""))),0,IF(OR(IFERROR(INDEX('Paramètres'!$I:$I,MATCH($C4001,'Paramètres'!$D:$D,0))&amp;"","")="Les deux",IFERROR(INDEX('Paramètres'!$I:$I,MATCH($C4001,'Paramètres'!$D:$D,0))&amp;"","")=IF($P4001=1,"Débit",$L4001)),-IF($P4001=1,-$K4001,$K4001),0))))</f>
        <v/>
      </c>
      <c r="U4001" s="6" t="str">
        <f>IF($K4001="","",IF(ISNUMBER(SEARCH("sortie-epargne",IFERROR(INDEX('Paramètres'!$N:$N,MATCH($D4001,'Paramètres'!$M:$M,0))&amp;"",""))),$K4001,0))</f>
        <v/>
      </c>
      <c r="V4001" s="6" t="str">
        <f>IF(AND($A4001&lt;&gt;"",$O4001=1,$L4001="Débit",N($Q4001)&gt;0,$A4001&gt;=Visualisation!$B$1,$A4001&lt;Visualisation!$D$1),MAX($V$1:V4000)+1,"")</f>
        <v/>
      </c>
    </row>
    <row r="4002" spans="1:22" x14ac:dyDescent="0.25">
      <c r="A4002" s="9"/>
      <c r="E4002" s="10"/>
      <c r="K4002" s="11" t="str">
        <f>IF($E4002="","",ROUND($E4002*IF(ISNA(MATCH($C4002,'Paramètres'!$D:$D,0)),1,IF(INDEX('Paramètres'!$J:$J,MATCH($C4002,'Paramètres'!$D:$D,0))="",1,INDEX('Paramètres'!$J:$J,MATCH($C4002,'Paramètres'!$D:$D,0)))),2))</f>
        <v/>
      </c>
      <c r="L4002" s="6" t="str">
        <f>IF($D4002="","",IF($F4002&lt;&gt;"",$F4002,IF(ISNA(MATCH($D4002,'Paramètres'!$M:$M,0)),"⚠ Type inconnu",IFERROR(INDEX('Paramètres'!$P:$P,MATCH($D4002,'Paramètres'!$M:$M,0))&amp;"",""))))</f>
        <v/>
      </c>
      <c r="M4002" s="6" t="str">
        <f>IF($D4002="","",IF(ISNA(MATCH($D4002,'Paramètres'!$M:$M,0)),"⚠ Type inconnu",IF($L4002="Crédit","",IFERROR(INDEX('Paramètres'!$O:$O,MATCH($D4002,'Paramètres'!$M:$M,0))&amp;"",""))))</f>
        <v/>
      </c>
      <c r="N4002" s="6" t="str">
        <f>IF($D4002="","",IFERROR(INDEX('Paramètres'!$Q:$Q,MATCH($D4002,'Paramètres'!$M:$M,0))&amp;"",""))</f>
        <v/>
      </c>
      <c r="O4002" s="6" t="str">
        <f>IF($A4002="","",IF(OR($J4002&lt;&gt;"x",$A4002&lt;=FinReleve),1,0))</f>
        <v/>
      </c>
      <c r="P4002" s="6" t="str">
        <f>IF($D4002="","",IF(AND($L4002="Crédit",OR(IFERROR(INDEX('Paramètres'!$O:$O,MATCH($D4002,'Paramètres'!$M:$M,0))&amp;"","")&lt;&gt;"",ISNUMBER(SEARCH("remboursement",IFERROR(INDEX('Paramètres'!$N:$N,MATCH($D4002,'Paramètres'!$M:$M,0))&amp;"",""))))),1,0))</f>
        <v/>
      </c>
      <c r="Q4002" s="6" t="str">
        <f>IF($K4002="","",IF(ISNUMBER(SEARCH("transfert-interne",IFERROR(INDEX('Paramètres'!$N:$N,MATCH($D4002,'Paramètres'!$M:$M,0))&amp;"",""))),0,IF($L4002="Débit",$K4002,IF($P4002=1,-$K4002,0))))</f>
        <v/>
      </c>
      <c r="R4002" s="6" t="str">
        <f>IF($K4002="","",IF($L4002="Crédit",$K4002,-$K4002))</f>
        <v/>
      </c>
      <c r="S4002" s="6" t="str">
        <f>IF($C4002="","",IFERROR(INDEX('Paramètres'!$H:$H,MATCH($C4002,'Paramètres'!$D:$D,0))&amp;"",""))</f>
        <v/>
      </c>
      <c r="T4002" s="6" t="str">
        <f>IF($K4002="","",IF($S4002="",0,IF(ISNUMBER(SEARCH("apport-exterieur",IFERROR(INDEX('Paramètres'!$N:$N,MATCH($D4002,'Paramètres'!$M:$M,0))&amp;"",""))),0,IF(OR(IFERROR(INDEX('Paramètres'!$I:$I,MATCH($C4002,'Paramètres'!$D:$D,0))&amp;"","")="Les deux",IFERROR(INDEX('Paramètres'!$I:$I,MATCH($C4002,'Paramètres'!$D:$D,0))&amp;"","")=IF($P4002=1,"Débit",$L4002)),-IF($P4002=1,-$K4002,$K4002),0))))</f>
        <v/>
      </c>
      <c r="U4002" s="6" t="str">
        <f>IF($K4002="","",IF(ISNUMBER(SEARCH("sortie-epargne",IFERROR(INDEX('Paramètres'!$N:$N,MATCH($D4002,'Paramètres'!$M:$M,0))&amp;"",""))),$K4002,0))</f>
        <v/>
      </c>
      <c r="V4002" s="6" t="str">
        <f>IF(AND($A4002&lt;&gt;"",$O4002=1,$L4002="Débit",N($Q4002)&gt;0,$A4002&gt;=Visualisation!$B$1,$A4002&lt;Visualisation!$D$1),MAX($V$1:V4001)+1,"")</f>
        <v/>
      </c>
    </row>
    <row r="4003" spans="1:22" x14ac:dyDescent="0.25">
      <c r="A4003" s="9"/>
      <c r="E4003" s="10"/>
      <c r="K4003" s="11" t="str">
        <f>IF($E4003="","",ROUND($E4003*IF(ISNA(MATCH($C4003,'Paramètres'!$D:$D,0)),1,IF(INDEX('Paramètres'!$J:$J,MATCH($C4003,'Paramètres'!$D:$D,0))="",1,INDEX('Paramètres'!$J:$J,MATCH($C4003,'Paramètres'!$D:$D,0)))),2))</f>
        <v/>
      </c>
      <c r="L4003" s="6" t="str">
        <f>IF($D4003="","",IF($F4003&lt;&gt;"",$F4003,IF(ISNA(MATCH($D4003,'Paramètres'!$M:$M,0)),"⚠ Type inconnu",IFERROR(INDEX('Paramètres'!$P:$P,MATCH($D4003,'Paramètres'!$M:$M,0))&amp;"",""))))</f>
        <v/>
      </c>
      <c r="M4003" s="6" t="str">
        <f>IF($D4003="","",IF(ISNA(MATCH($D4003,'Paramètres'!$M:$M,0)),"⚠ Type inconnu",IF($L4003="Crédit","",IFERROR(INDEX('Paramètres'!$O:$O,MATCH($D4003,'Paramètres'!$M:$M,0))&amp;"",""))))</f>
        <v/>
      </c>
      <c r="N4003" s="6" t="str">
        <f>IF($D4003="","",IFERROR(INDEX('Paramètres'!$Q:$Q,MATCH($D4003,'Paramètres'!$M:$M,0))&amp;"",""))</f>
        <v/>
      </c>
      <c r="O4003" s="6" t="str">
        <f>IF($A4003="","",IF(OR($J4003&lt;&gt;"x",$A4003&lt;=FinReleve),1,0))</f>
        <v/>
      </c>
      <c r="P4003" s="6" t="str">
        <f>IF($D4003="","",IF(AND($L4003="Crédit",OR(IFERROR(INDEX('Paramètres'!$O:$O,MATCH($D4003,'Paramètres'!$M:$M,0))&amp;"","")&lt;&gt;"",ISNUMBER(SEARCH("remboursement",IFERROR(INDEX('Paramètres'!$N:$N,MATCH($D4003,'Paramètres'!$M:$M,0))&amp;"",""))))),1,0))</f>
        <v/>
      </c>
      <c r="Q4003" s="6" t="str">
        <f>IF($K4003="","",IF(ISNUMBER(SEARCH("transfert-interne",IFERROR(INDEX('Paramètres'!$N:$N,MATCH($D4003,'Paramètres'!$M:$M,0))&amp;"",""))),0,IF($L4003="Débit",$K4003,IF($P4003=1,-$K4003,0))))</f>
        <v/>
      </c>
      <c r="R4003" s="6" t="str">
        <f>IF($K4003="","",IF($L4003="Crédit",$K4003,-$K4003))</f>
        <v/>
      </c>
      <c r="S4003" s="6" t="str">
        <f>IF($C4003="","",IFERROR(INDEX('Paramètres'!$H:$H,MATCH($C4003,'Paramètres'!$D:$D,0))&amp;"",""))</f>
        <v/>
      </c>
      <c r="T4003" s="6" t="str">
        <f>IF($K4003="","",IF($S4003="",0,IF(ISNUMBER(SEARCH("apport-exterieur",IFERROR(INDEX('Paramètres'!$N:$N,MATCH($D4003,'Paramètres'!$M:$M,0))&amp;"",""))),0,IF(OR(IFERROR(INDEX('Paramètres'!$I:$I,MATCH($C4003,'Paramètres'!$D:$D,0))&amp;"","")="Les deux",IFERROR(INDEX('Paramètres'!$I:$I,MATCH($C4003,'Paramètres'!$D:$D,0))&amp;"","")=IF($P4003=1,"Débit",$L4003)),-IF($P4003=1,-$K4003,$K4003),0))))</f>
        <v/>
      </c>
      <c r="U4003" s="6" t="str">
        <f>IF($K4003="","",IF(ISNUMBER(SEARCH("sortie-epargne",IFERROR(INDEX('Paramètres'!$N:$N,MATCH($D4003,'Paramètres'!$M:$M,0))&amp;"",""))),$K4003,0))</f>
        <v/>
      </c>
      <c r="V4003" s="6" t="str">
        <f>IF(AND($A4003&lt;&gt;"",$O4003=1,$L4003="Débit",N($Q4003)&gt;0,$A4003&gt;=Visualisation!$B$1,$A4003&lt;Visualisation!$D$1),MAX($V$1:V4002)+1,"")</f>
        <v/>
      </c>
    </row>
    <row r="4004" spans="1:22" x14ac:dyDescent="0.25">
      <c r="A4004" s="9"/>
      <c r="E4004" s="10"/>
      <c r="K4004" s="11" t="str">
        <f>IF($E4004="","",ROUND($E4004*IF(ISNA(MATCH($C4004,'Paramètres'!$D:$D,0)),1,IF(INDEX('Paramètres'!$J:$J,MATCH($C4004,'Paramètres'!$D:$D,0))="",1,INDEX('Paramètres'!$J:$J,MATCH($C4004,'Paramètres'!$D:$D,0)))),2))</f>
        <v/>
      </c>
      <c r="L4004" s="6" t="str">
        <f>IF($D4004="","",IF($F4004&lt;&gt;"",$F4004,IF(ISNA(MATCH($D4004,'Paramètres'!$M:$M,0)),"⚠ Type inconnu",IFERROR(INDEX('Paramètres'!$P:$P,MATCH($D4004,'Paramètres'!$M:$M,0))&amp;"",""))))</f>
        <v/>
      </c>
      <c r="M4004" s="6" t="str">
        <f>IF($D4004="","",IF(ISNA(MATCH($D4004,'Paramètres'!$M:$M,0)),"⚠ Type inconnu",IF($L4004="Crédit","",IFERROR(INDEX('Paramètres'!$O:$O,MATCH($D4004,'Paramètres'!$M:$M,0))&amp;"",""))))</f>
        <v/>
      </c>
      <c r="N4004" s="6" t="str">
        <f>IF($D4004="","",IFERROR(INDEX('Paramètres'!$Q:$Q,MATCH($D4004,'Paramètres'!$M:$M,0))&amp;"",""))</f>
        <v/>
      </c>
      <c r="O4004" s="6" t="str">
        <f>IF($A4004="","",IF(OR($J4004&lt;&gt;"x",$A4004&lt;=FinReleve),1,0))</f>
        <v/>
      </c>
      <c r="P4004" s="6" t="str">
        <f>IF($D4004="","",IF(AND($L4004="Crédit",OR(IFERROR(INDEX('Paramètres'!$O:$O,MATCH($D4004,'Paramètres'!$M:$M,0))&amp;"","")&lt;&gt;"",ISNUMBER(SEARCH("remboursement",IFERROR(INDEX('Paramètres'!$N:$N,MATCH($D4004,'Paramètres'!$M:$M,0))&amp;"",""))))),1,0))</f>
        <v/>
      </c>
      <c r="Q4004" s="6" t="str">
        <f>IF($K4004="","",IF(ISNUMBER(SEARCH("transfert-interne",IFERROR(INDEX('Paramètres'!$N:$N,MATCH($D4004,'Paramètres'!$M:$M,0))&amp;"",""))),0,IF($L4004="Débit",$K4004,IF($P4004=1,-$K4004,0))))</f>
        <v/>
      </c>
      <c r="R4004" s="6" t="str">
        <f>IF($K4004="","",IF($L4004="Crédit",$K4004,-$K4004))</f>
        <v/>
      </c>
      <c r="S4004" s="6" t="str">
        <f>IF($C4004="","",IFERROR(INDEX('Paramètres'!$H:$H,MATCH($C4004,'Paramètres'!$D:$D,0))&amp;"",""))</f>
        <v/>
      </c>
      <c r="T4004" s="6" t="str">
        <f>IF($K4004="","",IF($S4004="",0,IF(ISNUMBER(SEARCH("apport-exterieur",IFERROR(INDEX('Paramètres'!$N:$N,MATCH($D4004,'Paramètres'!$M:$M,0))&amp;"",""))),0,IF(OR(IFERROR(INDEX('Paramètres'!$I:$I,MATCH($C4004,'Paramètres'!$D:$D,0))&amp;"","")="Les deux",IFERROR(INDEX('Paramètres'!$I:$I,MATCH($C4004,'Paramètres'!$D:$D,0))&amp;"","")=IF($P4004=1,"Débit",$L4004)),-IF($P4004=1,-$K4004,$K4004),0))))</f>
        <v/>
      </c>
      <c r="U4004" s="6" t="str">
        <f>IF($K4004="","",IF(ISNUMBER(SEARCH("sortie-epargne",IFERROR(INDEX('Paramètres'!$N:$N,MATCH($D4004,'Paramètres'!$M:$M,0))&amp;"",""))),$K4004,0))</f>
        <v/>
      </c>
      <c r="V4004" s="6" t="str">
        <f>IF(AND($A4004&lt;&gt;"",$O4004=1,$L4004="Débit",N($Q4004)&gt;0,$A4004&gt;=Visualisation!$B$1,$A4004&lt;Visualisation!$D$1),MAX($V$1:V4003)+1,"")</f>
        <v/>
      </c>
    </row>
    <row r="4005" spans="1:22" x14ac:dyDescent="0.25">
      <c r="A4005" s="9"/>
      <c r="E4005" s="10"/>
      <c r="K4005" s="11" t="str">
        <f>IF($E4005="","",ROUND($E4005*IF(ISNA(MATCH($C4005,'Paramètres'!$D:$D,0)),1,IF(INDEX('Paramètres'!$J:$J,MATCH($C4005,'Paramètres'!$D:$D,0))="",1,INDEX('Paramètres'!$J:$J,MATCH($C4005,'Paramètres'!$D:$D,0)))),2))</f>
        <v/>
      </c>
      <c r="L4005" s="6" t="str">
        <f>IF($D4005="","",IF($F4005&lt;&gt;"",$F4005,IF(ISNA(MATCH($D4005,'Paramètres'!$M:$M,0)),"⚠ Type inconnu",IFERROR(INDEX('Paramètres'!$P:$P,MATCH($D4005,'Paramètres'!$M:$M,0))&amp;"",""))))</f>
        <v/>
      </c>
      <c r="M4005" s="6" t="str">
        <f>IF($D4005="","",IF(ISNA(MATCH($D4005,'Paramètres'!$M:$M,0)),"⚠ Type inconnu",IF($L4005="Crédit","",IFERROR(INDEX('Paramètres'!$O:$O,MATCH($D4005,'Paramètres'!$M:$M,0))&amp;"",""))))</f>
        <v/>
      </c>
      <c r="N4005" s="6" t="str">
        <f>IF($D4005="","",IFERROR(INDEX('Paramètres'!$Q:$Q,MATCH($D4005,'Paramètres'!$M:$M,0))&amp;"",""))</f>
        <v/>
      </c>
      <c r="O4005" s="6" t="str">
        <f>IF($A4005="","",IF(OR($J4005&lt;&gt;"x",$A4005&lt;=FinReleve),1,0))</f>
        <v/>
      </c>
      <c r="P4005" s="6" t="str">
        <f>IF($D4005="","",IF(AND($L4005="Crédit",OR(IFERROR(INDEX('Paramètres'!$O:$O,MATCH($D4005,'Paramètres'!$M:$M,0))&amp;"","")&lt;&gt;"",ISNUMBER(SEARCH("remboursement",IFERROR(INDEX('Paramètres'!$N:$N,MATCH($D4005,'Paramètres'!$M:$M,0))&amp;"",""))))),1,0))</f>
        <v/>
      </c>
      <c r="Q4005" s="6" t="str">
        <f>IF($K4005="","",IF(ISNUMBER(SEARCH("transfert-interne",IFERROR(INDEX('Paramètres'!$N:$N,MATCH($D4005,'Paramètres'!$M:$M,0))&amp;"",""))),0,IF($L4005="Débit",$K4005,IF($P4005=1,-$K4005,0))))</f>
        <v/>
      </c>
      <c r="R4005" s="6" t="str">
        <f>IF($K4005="","",IF($L4005="Crédit",$K4005,-$K4005))</f>
        <v/>
      </c>
      <c r="S4005" s="6" t="str">
        <f>IF($C4005="","",IFERROR(INDEX('Paramètres'!$H:$H,MATCH($C4005,'Paramètres'!$D:$D,0))&amp;"",""))</f>
        <v/>
      </c>
      <c r="T4005" s="6" t="str">
        <f>IF($K4005="","",IF($S4005="",0,IF(ISNUMBER(SEARCH("apport-exterieur",IFERROR(INDEX('Paramètres'!$N:$N,MATCH($D4005,'Paramètres'!$M:$M,0))&amp;"",""))),0,IF(OR(IFERROR(INDEX('Paramètres'!$I:$I,MATCH($C4005,'Paramètres'!$D:$D,0))&amp;"","")="Les deux",IFERROR(INDEX('Paramètres'!$I:$I,MATCH($C4005,'Paramètres'!$D:$D,0))&amp;"","")=IF($P4005=1,"Débit",$L4005)),-IF($P4005=1,-$K4005,$K4005),0))))</f>
        <v/>
      </c>
      <c r="U4005" s="6" t="str">
        <f>IF($K4005="","",IF(ISNUMBER(SEARCH("sortie-epargne",IFERROR(INDEX('Paramètres'!$N:$N,MATCH($D4005,'Paramètres'!$M:$M,0))&amp;"",""))),$K4005,0))</f>
        <v/>
      </c>
      <c r="V4005" s="6" t="str">
        <f>IF(AND($A4005&lt;&gt;"",$O4005=1,$L4005="Débit",N($Q4005)&gt;0,$A4005&gt;=Visualisation!$B$1,$A4005&lt;Visualisation!$D$1),MAX($V$1:V4004)+1,"")</f>
        <v/>
      </c>
    </row>
    <row r="4006" spans="1:22" x14ac:dyDescent="0.25">
      <c r="A4006" s="9"/>
      <c r="E4006" s="10"/>
      <c r="K4006" s="11" t="str">
        <f>IF($E4006="","",ROUND($E4006*IF(ISNA(MATCH($C4006,'Paramètres'!$D:$D,0)),1,IF(INDEX('Paramètres'!$J:$J,MATCH($C4006,'Paramètres'!$D:$D,0))="",1,INDEX('Paramètres'!$J:$J,MATCH($C4006,'Paramètres'!$D:$D,0)))),2))</f>
        <v/>
      </c>
      <c r="L4006" s="6" t="str">
        <f>IF($D4006="","",IF($F4006&lt;&gt;"",$F4006,IF(ISNA(MATCH($D4006,'Paramètres'!$M:$M,0)),"⚠ Type inconnu",IFERROR(INDEX('Paramètres'!$P:$P,MATCH($D4006,'Paramètres'!$M:$M,0))&amp;"",""))))</f>
        <v/>
      </c>
      <c r="M4006" s="6" t="str">
        <f>IF($D4006="","",IF(ISNA(MATCH($D4006,'Paramètres'!$M:$M,0)),"⚠ Type inconnu",IF($L4006="Crédit","",IFERROR(INDEX('Paramètres'!$O:$O,MATCH($D4006,'Paramètres'!$M:$M,0))&amp;"",""))))</f>
        <v/>
      </c>
      <c r="N4006" s="6" t="str">
        <f>IF($D4006="","",IFERROR(INDEX('Paramètres'!$Q:$Q,MATCH($D4006,'Paramètres'!$M:$M,0))&amp;"",""))</f>
        <v/>
      </c>
      <c r="O4006" s="6" t="str">
        <f>IF($A4006="","",IF(OR($J4006&lt;&gt;"x",$A4006&lt;=FinReleve),1,0))</f>
        <v/>
      </c>
      <c r="P4006" s="6" t="str">
        <f>IF($D4006="","",IF(AND($L4006="Crédit",OR(IFERROR(INDEX('Paramètres'!$O:$O,MATCH($D4006,'Paramètres'!$M:$M,0))&amp;"","")&lt;&gt;"",ISNUMBER(SEARCH("remboursement",IFERROR(INDEX('Paramètres'!$N:$N,MATCH($D4006,'Paramètres'!$M:$M,0))&amp;"",""))))),1,0))</f>
        <v/>
      </c>
      <c r="Q4006" s="6" t="str">
        <f>IF($K4006="","",IF(ISNUMBER(SEARCH("transfert-interne",IFERROR(INDEX('Paramètres'!$N:$N,MATCH($D4006,'Paramètres'!$M:$M,0))&amp;"",""))),0,IF($L4006="Débit",$K4006,IF($P4006=1,-$K4006,0))))</f>
        <v/>
      </c>
      <c r="R4006" s="6" t="str">
        <f>IF($K4006="","",IF($L4006="Crédit",$K4006,-$K4006))</f>
        <v/>
      </c>
      <c r="S4006" s="6" t="str">
        <f>IF($C4006="","",IFERROR(INDEX('Paramètres'!$H:$H,MATCH($C4006,'Paramètres'!$D:$D,0))&amp;"",""))</f>
        <v/>
      </c>
      <c r="T4006" s="6" t="str">
        <f>IF($K4006="","",IF($S4006="",0,IF(ISNUMBER(SEARCH("apport-exterieur",IFERROR(INDEX('Paramètres'!$N:$N,MATCH($D4006,'Paramètres'!$M:$M,0))&amp;"",""))),0,IF(OR(IFERROR(INDEX('Paramètres'!$I:$I,MATCH($C4006,'Paramètres'!$D:$D,0))&amp;"","")="Les deux",IFERROR(INDEX('Paramètres'!$I:$I,MATCH($C4006,'Paramètres'!$D:$D,0))&amp;"","")=IF($P4006=1,"Débit",$L4006)),-IF($P4006=1,-$K4006,$K4006),0))))</f>
        <v/>
      </c>
      <c r="U4006" s="6" t="str">
        <f>IF($K4006="","",IF(ISNUMBER(SEARCH("sortie-epargne",IFERROR(INDEX('Paramètres'!$N:$N,MATCH($D4006,'Paramètres'!$M:$M,0))&amp;"",""))),$K4006,0))</f>
        <v/>
      </c>
      <c r="V4006" s="6" t="str">
        <f>IF(AND($A4006&lt;&gt;"",$O4006=1,$L4006="Débit",N($Q4006)&gt;0,$A4006&gt;=Visualisation!$B$1,$A4006&lt;Visualisation!$D$1),MAX($V$1:V4005)+1,"")</f>
        <v/>
      </c>
    </row>
    <row r="4007" spans="1:22" x14ac:dyDescent="0.25">
      <c r="A4007" s="9"/>
      <c r="E4007" s="10"/>
      <c r="K4007" s="11" t="str">
        <f>IF($E4007="","",ROUND($E4007*IF(ISNA(MATCH($C4007,'Paramètres'!$D:$D,0)),1,IF(INDEX('Paramètres'!$J:$J,MATCH($C4007,'Paramètres'!$D:$D,0))="",1,INDEX('Paramètres'!$J:$J,MATCH($C4007,'Paramètres'!$D:$D,0)))),2))</f>
        <v/>
      </c>
      <c r="L4007" s="6" t="str">
        <f>IF($D4007="","",IF($F4007&lt;&gt;"",$F4007,IF(ISNA(MATCH($D4007,'Paramètres'!$M:$M,0)),"⚠ Type inconnu",IFERROR(INDEX('Paramètres'!$P:$P,MATCH($D4007,'Paramètres'!$M:$M,0))&amp;"",""))))</f>
        <v/>
      </c>
      <c r="M4007" s="6" t="str">
        <f>IF($D4007="","",IF(ISNA(MATCH($D4007,'Paramètres'!$M:$M,0)),"⚠ Type inconnu",IF($L4007="Crédit","",IFERROR(INDEX('Paramètres'!$O:$O,MATCH($D4007,'Paramètres'!$M:$M,0))&amp;"",""))))</f>
        <v/>
      </c>
      <c r="N4007" s="6" t="str">
        <f>IF($D4007="","",IFERROR(INDEX('Paramètres'!$Q:$Q,MATCH($D4007,'Paramètres'!$M:$M,0))&amp;"",""))</f>
        <v/>
      </c>
      <c r="O4007" s="6" t="str">
        <f>IF($A4007="","",IF(OR($J4007&lt;&gt;"x",$A4007&lt;=FinReleve),1,0))</f>
        <v/>
      </c>
      <c r="P4007" s="6" t="str">
        <f>IF($D4007="","",IF(AND($L4007="Crédit",OR(IFERROR(INDEX('Paramètres'!$O:$O,MATCH($D4007,'Paramètres'!$M:$M,0))&amp;"","")&lt;&gt;"",ISNUMBER(SEARCH("remboursement",IFERROR(INDEX('Paramètres'!$N:$N,MATCH($D4007,'Paramètres'!$M:$M,0))&amp;"",""))))),1,0))</f>
        <v/>
      </c>
      <c r="Q4007" s="6" t="str">
        <f>IF($K4007="","",IF(ISNUMBER(SEARCH("transfert-interne",IFERROR(INDEX('Paramètres'!$N:$N,MATCH($D4007,'Paramètres'!$M:$M,0))&amp;"",""))),0,IF($L4007="Débit",$K4007,IF($P4007=1,-$K4007,0))))</f>
        <v/>
      </c>
      <c r="R4007" s="6" t="str">
        <f>IF($K4007="","",IF($L4007="Crédit",$K4007,-$K4007))</f>
        <v/>
      </c>
      <c r="S4007" s="6" t="str">
        <f>IF($C4007="","",IFERROR(INDEX('Paramètres'!$H:$H,MATCH($C4007,'Paramètres'!$D:$D,0))&amp;"",""))</f>
        <v/>
      </c>
      <c r="T4007" s="6" t="str">
        <f>IF($K4007="","",IF($S4007="",0,IF(ISNUMBER(SEARCH("apport-exterieur",IFERROR(INDEX('Paramètres'!$N:$N,MATCH($D4007,'Paramètres'!$M:$M,0))&amp;"",""))),0,IF(OR(IFERROR(INDEX('Paramètres'!$I:$I,MATCH($C4007,'Paramètres'!$D:$D,0))&amp;"","")="Les deux",IFERROR(INDEX('Paramètres'!$I:$I,MATCH($C4007,'Paramètres'!$D:$D,0))&amp;"","")=IF($P4007=1,"Débit",$L4007)),-IF($P4007=1,-$K4007,$K4007),0))))</f>
        <v/>
      </c>
      <c r="U4007" s="6" t="str">
        <f>IF($K4007="","",IF(ISNUMBER(SEARCH("sortie-epargne",IFERROR(INDEX('Paramètres'!$N:$N,MATCH($D4007,'Paramètres'!$M:$M,0))&amp;"",""))),$K4007,0))</f>
        <v/>
      </c>
      <c r="V4007" s="6" t="str">
        <f>IF(AND($A4007&lt;&gt;"",$O4007=1,$L4007="Débit",N($Q4007)&gt;0,$A4007&gt;=Visualisation!$B$1,$A4007&lt;Visualisation!$D$1),MAX($V$1:V4006)+1,"")</f>
        <v/>
      </c>
    </row>
    <row r="4008" spans="1:22" x14ac:dyDescent="0.25">
      <c r="A4008" s="9"/>
      <c r="E4008" s="10"/>
      <c r="K4008" s="11" t="str">
        <f>IF($E4008="","",ROUND($E4008*IF(ISNA(MATCH($C4008,'Paramètres'!$D:$D,0)),1,IF(INDEX('Paramètres'!$J:$J,MATCH($C4008,'Paramètres'!$D:$D,0))="",1,INDEX('Paramètres'!$J:$J,MATCH($C4008,'Paramètres'!$D:$D,0)))),2))</f>
        <v/>
      </c>
      <c r="L4008" s="6" t="str">
        <f>IF($D4008="","",IF($F4008&lt;&gt;"",$F4008,IF(ISNA(MATCH($D4008,'Paramètres'!$M:$M,0)),"⚠ Type inconnu",IFERROR(INDEX('Paramètres'!$P:$P,MATCH($D4008,'Paramètres'!$M:$M,0))&amp;"",""))))</f>
        <v/>
      </c>
      <c r="M4008" s="6" t="str">
        <f>IF($D4008="","",IF(ISNA(MATCH($D4008,'Paramètres'!$M:$M,0)),"⚠ Type inconnu",IF($L4008="Crédit","",IFERROR(INDEX('Paramètres'!$O:$O,MATCH($D4008,'Paramètres'!$M:$M,0))&amp;"",""))))</f>
        <v/>
      </c>
      <c r="N4008" s="6" t="str">
        <f>IF($D4008="","",IFERROR(INDEX('Paramètres'!$Q:$Q,MATCH($D4008,'Paramètres'!$M:$M,0))&amp;"",""))</f>
        <v/>
      </c>
      <c r="O4008" s="6" t="str">
        <f>IF($A4008="","",IF(OR($J4008&lt;&gt;"x",$A4008&lt;=FinReleve),1,0))</f>
        <v/>
      </c>
      <c r="P4008" s="6" t="str">
        <f>IF($D4008="","",IF(AND($L4008="Crédit",OR(IFERROR(INDEX('Paramètres'!$O:$O,MATCH($D4008,'Paramètres'!$M:$M,0))&amp;"","")&lt;&gt;"",ISNUMBER(SEARCH("remboursement",IFERROR(INDEX('Paramètres'!$N:$N,MATCH($D4008,'Paramètres'!$M:$M,0))&amp;"",""))))),1,0))</f>
        <v/>
      </c>
      <c r="Q4008" s="6" t="str">
        <f>IF($K4008="","",IF(ISNUMBER(SEARCH("transfert-interne",IFERROR(INDEX('Paramètres'!$N:$N,MATCH($D4008,'Paramètres'!$M:$M,0))&amp;"",""))),0,IF($L4008="Débit",$K4008,IF($P4008=1,-$K4008,0))))</f>
        <v/>
      </c>
      <c r="R4008" s="6" t="str">
        <f>IF($K4008="","",IF($L4008="Crédit",$K4008,-$K4008))</f>
        <v/>
      </c>
      <c r="S4008" s="6" t="str">
        <f>IF($C4008="","",IFERROR(INDEX('Paramètres'!$H:$H,MATCH($C4008,'Paramètres'!$D:$D,0))&amp;"",""))</f>
        <v/>
      </c>
      <c r="T4008" s="6" t="str">
        <f>IF($K4008="","",IF($S4008="",0,IF(ISNUMBER(SEARCH("apport-exterieur",IFERROR(INDEX('Paramètres'!$N:$N,MATCH($D4008,'Paramètres'!$M:$M,0))&amp;"",""))),0,IF(OR(IFERROR(INDEX('Paramètres'!$I:$I,MATCH($C4008,'Paramètres'!$D:$D,0))&amp;"","")="Les deux",IFERROR(INDEX('Paramètres'!$I:$I,MATCH($C4008,'Paramètres'!$D:$D,0))&amp;"","")=IF($P4008=1,"Débit",$L4008)),-IF($P4008=1,-$K4008,$K4008),0))))</f>
        <v/>
      </c>
      <c r="U4008" s="6" t="str">
        <f>IF($K4008="","",IF(ISNUMBER(SEARCH("sortie-epargne",IFERROR(INDEX('Paramètres'!$N:$N,MATCH($D4008,'Paramètres'!$M:$M,0))&amp;"",""))),$K4008,0))</f>
        <v/>
      </c>
      <c r="V4008" s="6" t="str">
        <f>IF(AND($A4008&lt;&gt;"",$O4008=1,$L4008="Débit",N($Q4008)&gt;0,$A4008&gt;=Visualisation!$B$1,$A4008&lt;Visualisation!$D$1),MAX($V$1:V4007)+1,"")</f>
        <v/>
      </c>
    </row>
    <row r="4009" spans="1:22" x14ac:dyDescent="0.25">
      <c r="A4009" s="9"/>
      <c r="E4009" s="10"/>
      <c r="K4009" s="11" t="str">
        <f>IF($E4009="","",ROUND($E4009*IF(ISNA(MATCH($C4009,'Paramètres'!$D:$D,0)),1,IF(INDEX('Paramètres'!$J:$J,MATCH($C4009,'Paramètres'!$D:$D,0))="",1,INDEX('Paramètres'!$J:$J,MATCH($C4009,'Paramètres'!$D:$D,0)))),2))</f>
        <v/>
      </c>
      <c r="L4009" s="6" t="str">
        <f>IF($D4009="","",IF($F4009&lt;&gt;"",$F4009,IF(ISNA(MATCH($D4009,'Paramètres'!$M:$M,0)),"⚠ Type inconnu",IFERROR(INDEX('Paramètres'!$P:$P,MATCH($D4009,'Paramètres'!$M:$M,0))&amp;"",""))))</f>
        <v/>
      </c>
      <c r="M4009" s="6" t="str">
        <f>IF($D4009="","",IF(ISNA(MATCH($D4009,'Paramètres'!$M:$M,0)),"⚠ Type inconnu",IF($L4009="Crédit","",IFERROR(INDEX('Paramètres'!$O:$O,MATCH($D4009,'Paramètres'!$M:$M,0))&amp;"",""))))</f>
        <v/>
      </c>
      <c r="N4009" s="6" t="str">
        <f>IF($D4009="","",IFERROR(INDEX('Paramètres'!$Q:$Q,MATCH($D4009,'Paramètres'!$M:$M,0))&amp;"",""))</f>
        <v/>
      </c>
      <c r="O4009" s="6" t="str">
        <f>IF($A4009="","",IF(OR($J4009&lt;&gt;"x",$A4009&lt;=FinReleve),1,0))</f>
        <v/>
      </c>
      <c r="P4009" s="6" t="str">
        <f>IF($D4009="","",IF(AND($L4009="Crédit",OR(IFERROR(INDEX('Paramètres'!$O:$O,MATCH($D4009,'Paramètres'!$M:$M,0))&amp;"","")&lt;&gt;"",ISNUMBER(SEARCH("remboursement",IFERROR(INDEX('Paramètres'!$N:$N,MATCH($D4009,'Paramètres'!$M:$M,0))&amp;"",""))))),1,0))</f>
        <v/>
      </c>
      <c r="Q4009" s="6" t="str">
        <f>IF($K4009="","",IF(ISNUMBER(SEARCH("transfert-interne",IFERROR(INDEX('Paramètres'!$N:$N,MATCH($D4009,'Paramètres'!$M:$M,0))&amp;"",""))),0,IF($L4009="Débit",$K4009,IF($P4009=1,-$K4009,0))))</f>
        <v/>
      </c>
      <c r="R4009" s="6" t="str">
        <f>IF($K4009="","",IF($L4009="Crédit",$K4009,-$K4009))</f>
        <v/>
      </c>
      <c r="S4009" s="6" t="str">
        <f>IF($C4009="","",IFERROR(INDEX('Paramètres'!$H:$H,MATCH($C4009,'Paramètres'!$D:$D,0))&amp;"",""))</f>
        <v/>
      </c>
      <c r="T4009" s="6" t="str">
        <f>IF($K4009="","",IF($S4009="",0,IF(ISNUMBER(SEARCH("apport-exterieur",IFERROR(INDEX('Paramètres'!$N:$N,MATCH($D4009,'Paramètres'!$M:$M,0))&amp;"",""))),0,IF(OR(IFERROR(INDEX('Paramètres'!$I:$I,MATCH($C4009,'Paramètres'!$D:$D,0))&amp;"","")="Les deux",IFERROR(INDEX('Paramètres'!$I:$I,MATCH($C4009,'Paramètres'!$D:$D,0))&amp;"","")=IF($P4009=1,"Débit",$L4009)),-IF($P4009=1,-$K4009,$K4009),0))))</f>
        <v/>
      </c>
      <c r="U4009" s="6" t="str">
        <f>IF($K4009="","",IF(ISNUMBER(SEARCH("sortie-epargne",IFERROR(INDEX('Paramètres'!$N:$N,MATCH($D4009,'Paramètres'!$M:$M,0))&amp;"",""))),$K4009,0))</f>
        <v/>
      </c>
      <c r="V4009" s="6" t="str">
        <f>IF(AND($A4009&lt;&gt;"",$O4009=1,$L4009="Débit",N($Q4009)&gt;0,$A4009&gt;=Visualisation!$B$1,$A4009&lt;Visualisation!$D$1),MAX($V$1:V4008)+1,"")</f>
        <v/>
      </c>
    </row>
    <row r="4010" spans="1:22" x14ac:dyDescent="0.25">
      <c r="A4010" s="9"/>
      <c r="E4010" s="10"/>
      <c r="K4010" s="11" t="str">
        <f>IF($E4010="","",ROUND($E4010*IF(ISNA(MATCH($C4010,'Paramètres'!$D:$D,0)),1,IF(INDEX('Paramètres'!$J:$J,MATCH($C4010,'Paramètres'!$D:$D,0))="",1,INDEX('Paramètres'!$J:$J,MATCH($C4010,'Paramètres'!$D:$D,0)))),2))</f>
        <v/>
      </c>
      <c r="L4010" s="6" t="str">
        <f>IF($D4010="","",IF($F4010&lt;&gt;"",$F4010,IF(ISNA(MATCH($D4010,'Paramètres'!$M:$M,0)),"⚠ Type inconnu",IFERROR(INDEX('Paramètres'!$P:$P,MATCH($D4010,'Paramètres'!$M:$M,0))&amp;"",""))))</f>
        <v/>
      </c>
      <c r="M4010" s="6" t="str">
        <f>IF($D4010="","",IF(ISNA(MATCH($D4010,'Paramètres'!$M:$M,0)),"⚠ Type inconnu",IF($L4010="Crédit","",IFERROR(INDEX('Paramètres'!$O:$O,MATCH($D4010,'Paramètres'!$M:$M,0))&amp;"",""))))</f>
        <v/>
      </c>
      <c r="N4010" s="6" t="str">
        <f>IF($D4010="","",IFERROR(INDEX('Paramètres'!$Q:$Q,MATCH($D4010,'Paramètres'!$M:$M,0))&amp;"",""))</f>
        <v/>
      </c>
      <c r="O4010" s="6" t="str">
        <f>IF($A4010="","",IF(OR($J4010&lt;&gt;"x",$A4010&lt;=FinReleve),1,0))</f>
        <v/>
      </c>
      <c r="P4010" s="6" t="str">
        <f>IF($D4010="","",IF(AND($L4010="Crédit",OR(IFERROR(INDEX('Paramètres'!$O:$O,MATCH($D4010,'Paramètres'!$M:$M,0))&amp;"","")&lt;&gt;"",ISNUMBER(SEARCH("remboursement",IFERROR(INDEX('Paramètres'!$N:$N,MATCH($D4010,'Paramètres'!$M:$M,0))&amp;"",""))))),1,0))</f>
        <v/>
      </c>
      <c r="Q4010" s="6" t="str">
        <f>IF($K4010="","",IF(ISNUMBER(SEARCH("transfert-interne",IFERROR(INDEX('Paramètres'!$N:$N,MATCH($D4010,'Paramètres'!$M:$M,0))&amp;"",""))),0,IF($L4010="Débit",$K4010,IF($P4010=1,-$K4010,0))))</f>
        <v/>
      </c>
      <c r="R4010" s="6" t="str">
        <f>IF($K4010="","",IF($L4010="Crédit",$K4010,-$K4010))</f>
        <v/>
      </c>
      <c r="S4010" s="6" t="str">
        <f>IF($C4010="","",IFERROR(INDEX('Paramètres'!$H:$H,MATCH($C4010,'Paramètres'!$D:$D,0))&amp;"",""))</f>
        <v/>
      </c>
      <c r="T4010" s="6" t="str">
        <f>IF($K4010="","",IF($S4010="",0,IF(ISNUMBER(SEARCH("apport-exterieur",IFERROR(INDEX('Paramètres'!$N:$N,MATCH($D4010,'Paramètres'!$M:$M,0))&amp;"",""))),0,IF(OR(IFERROR(INDEX('Paramètres'!$I:$I,MATCH($C4010,'Paramètres'!$D:$D,0))&amp;"","")="Les deux",IFERROR(INDEX('Paramètres'!$I:$I,MATCH($C4010,'Paramètres'!$D:$D,0))&amp;"","")=IF($P4010=1,"Débit",$L4010)),-IF($P4010=1,-$K4010,$K4010),0))))</f>
        <v/>
      </c>
      <c r="U4010" s="6" t="str">
        <f>IF($K4010="","",IF(ISNUMBER(SEARCH("sortie-epargne",IFERROR(INDEX('Paramètres'!$N:$N,MATCH($D4010,'Paramètres'!$M:$M,0))&amp;"",""))),$K4010,0))</f>
        <v/>
      </c>
      <c r="V4010" s="6" t="str">
        <f>IF(AND($A4010&lt;&gt;"",$O4010=1,$L4010="Débit",N($Q4010)&gt;0,$A4010&gt;=Visualisation!$B$1,$A4010&lt;Visualisation!$D$1),MAX($V$1:V4009)+1,"")</f>
        <v/>
      </c>
    </row>
    <row r="4011" spans="1:22" x14ac:dyDescent="0.25">
      <c r="A4011" s="9"/>
      <c r="E4011" s="10"/>
      <c r="K4011" s="11" t="str">
        <f>IF($E4011="","",ROUND($E4011*IF(ISNA(MATCH($C4011,'Paramètres'!$D:$D,0)),1,IF(INDEX('Paramètres'!$J:$J,MATCH($C4011,'Paramètres'!$D:$D,0))="",1,INDEX('Paramètres'!$J:$J,MATCH($C4011,'Paramètres'!$D:$D,0)))),2))</f>
        <v/>
      </c>
      <c r="L4011" s="6" t="str">
        <f>IF($D4011="","",IF($F4011&lt;&gt;"",$F4011,IF(ISNA(MATCH($D4011,'Paramètres'!$M:$M,0)),"⚠ Type inconnu",IFERROR(INDEX('Paramètres'!$P:$P,MATCH($D4011,'Paramètres'!$M:$M,0))&amp;"",""))))</f>
        <v/>
      </c>
      <c r="M4011" s="6" t="str">
        <f>IF($D4011="","",IF(ISNA(MATCH($D4011,'Paramètres'!$M:$M,0)),"⚠ Type inconnu",IF($L4011="Crédit","",IFERROR(INDEX('Paramètres'!$O:$O,MATCH($D4011,'Paramètres'!$M:$M,0))&amp;"",""))))</f>
        <v/>
      </c>
      <c r="N4011" s="6" t="str">
        <f>IF($D4011="","",IFERROR(INDEX('Paramètres'!$Q:$Q,MATCH($D4011,'Paramètres'!$M:$M,0))&amp;"",""))</f>
        <v/>
      </c>
      <c r="O4011" s="6" t="str">
        <f>IF($A4011="","",IF(OR($J4011&lt;&gt;"x",$A4011&lt;=FinReleve),1,0))</f>
        <v/>
      </c>
      <c r="P4011" s="6" t="str">
        <f>IF($D4011="","",IF(AND($L4011="Crédit",OR(IFERROR(INDEX('Paramètres'!$O:$O,MATCH($D4011,'Paramètres'!$M:$M,0))&amp;"","")&lt;&gt;"",ISNUMBER(SEARCH("remboursement",IFERROR(INDEX('Paramètres'!$N:$N,MATCH($D4011,'Paramètres'!$M:$M,0))&amp;"",""))))),1,0))</f>
        <v/>
      </c>
      <c r="Q4011" s="6" t="str">
        <f>IF($K4011="","",IF(ISNUMBER(SEARCH("transfert-interne",IFERROR(INDEX('Paramètres'!$N:$N,MATCH($D4011,'Paramètres'!$M:$M,0))&amp;"",""))),0,IF($L4011="Débit",$K4011,IF($P4011=1,-$K4011,0))))</f>
        <v/>
      </c>
      <c r="R4011" s="6" t="str">
        <f>IF($K4011="","",IF($L4011="Crédit",$K4011,-$K4011))</f>
        <v/>
      </c>
      <c r="S4011" s="6" t="str">
        <f>IF($C4011="","",IFERROR(INDEX('Paramètres'!$H:$H,MATCH($C4011,'Paramètres'!$D:$D,0))&amp;"",""))</f>
        <v/>
      </c>
      <c r="T4011" s="6" t="str">
        <f>IF($K4011="","",IF($S4011="",0,IF(ISNUMBER(SEARCH("apport-exterieur",IFERROR(INDEX('Paramètres'!$N:$N,MATCH($D4011,'Paramètres'!$M:$M,0))&amp;"",""))),0,IF(OR(IFERROR(INDEX('Paramètres'!$I:$I,MATCH($C4011,'Paramètres'!$D:$D,0))&amp;"","")="Les deux",IFERROR(INDEX('Paramètres'!$I:$I,MATCH($C4011,'Paramètres'!$D:$D,0))&amp;"","")=IF($P4011=1,"Débit",$L4011)),-IF($P4011=1,-$K4011,$K4011),0))))</f>
        <v/>
      </c>
      <c r="U4011" s="6" t="str">
        <f>IF($K4011="","",IF(ISNUMBER(SEARCH("sortie-epargne",IFERROR(INDEX('Paramètres'!$N:$N,MATCH($D4011,'Paramètres'!$M:$M,0))&amp;"",""))),$K4011,0))</f>
        <v/>
      </c>
      <c r="V4011" s="6" t="str">
        <f>IF(AND($A4011&lt;&gt;"",$O4011=1,$L4011="Débit",N($Q4011)&gt;0,$A4011&gt;=Visualisation!$B$1,$A4011&lt;Visualisation!$D$1),MAX($V$1:V4010)+1,"")</f>
        <v/>
      </c>
    </row>
    <row r="4012" spans="1:22" x14ac:dyDescent="0.25">
      <c r="A4012" s="9"/>
      <c r="E4012" s="10"/>
      <c r="K4012" s="11" t="str">
        <f>IF($E4012="","",ROUND($E4012*IF(ISNA(MATCH($C4012,'Paramètres'!$D:$D,0)),1,IF(INDEX('Paramètres'!$J:$J,MATCH($C4012,'Paramètres'!$D:$D,0))="",1,INDEX('Paramètres'!$J:$J,MATCH($C4012,'Paramètres'!$D:$D,0)))),2))</f>
        <v/>
      </c>
      <c r="L4012" s="6" t="str">
        <f>IF($D4012="","",IF($F4012&lt;&gt;"",$F4012,IF(ISNA(MATCH($D4012,'Paramètres'!$M:$M,0)),"⚠ Type inconnu",IFERROR(INDEX('Paramètres'!$P:$P,MATCH($D4012,'Paramètres'!$M:$M,0))&amp;"",""))))</f>
        <v/>
      </c>
      <c r="M4012" s="6" t="str">
        <f>IF($D4012="","",IF(ISNA(MATCH($D4012,'Paramètres'!$M:$M,0)),"⚠ Type inconnu",IF($L4012="Crédit","",IFERROR(INDEX('Paramètres'!$O:$O,MATCH($D4012,'Paramètres'!$M:$M,0))&amp;"",""))))</f>
        <v/>
      </c>
      <c r="N4012" s="6" t="str">
        <f>IF($D4012="","",IFERROR(INDEX('Paramètres'!$Q:$Q,MATCH($D4012,'Paramètres'!$M:$M,0))&amp;"",""))</f>
        <v/>
      </c>
      <c r="O4012" s="6" t="str">
        <f>IF($A4012="","",IF(OR($J4012&lt;&gt;"x",$A4012&lt;=FinReleve),1,0))</f>
        <v/>
      </c>
      <c r="P4012" s="6" t="str">
        <f>IF($D4012="","",IF(AND($L4012="Crédit",OR(IFERROR(INDEX('Paramètres'!$O:$O,MATCH($D4012,'Paramètres'!$M:$M,0))&amp;"","")&lt;&gt;"",ISNUMBER(SEARCH("remboursement",IFERROR(INDEX('Paramètres'!$N:$N,MATCH($D4012,'Paramètres'!$M:$M,0))&amp;"",""))))),1,0))</f>
        <v/>
      </c>
      <c r="Q4012" s="6" t="str">
        <f>IF($K4012="","",IF(ISNUMBER(SEARCH("transfert-interne",IFERROR(INDEX('Paramètres'!$N:$N,MATCH($D4012,'Paramètres'!$M:$M,0))&amp;"",""))),0,IF($L4012="Débit",$K4012,IF($P4012=1,-$K4012,0))))</f>
        <v/>
      </c>
      <c r="R4012" s="6" t="str">
        <f>IF($K4012="","",IF($L4012="Crédit",$K4012,-$K4012))</f>
        <v/>
      </c>
      <c r="S4012" s="6" t="str">
        <f>IF($C4012="","",IFERROR(INDEX('Paramètres'!$H:$H,MATCH($C4012,'Paramètres'!$D:$D,0))&amp;"",""))</f>
        <v/>
      </c>
      <c r="T4012" s="6" t="str">
        <f>IF($K4012="","",IF($S4012="",0,IF(ISNUMBER(SEARCH("apport-exterieur",IFERROR(INDEX('Paramètres'!$N:$N,MATCH($D4012,'Paramètres'!$M:$M,0))&amp;"",""))),0,IF(OR(IFERROR(INDEX('Paramètres'!$I:$I,MATCH($C4012,'Paramètres'!$D:$D,0))&amp;"","")="Les deux",IFERROR(INDEX('Paramètres'!$I:$I,MATCH($C4012,'Paramètres'!$D:$D,0))&amp;"","")=IF($P4012=1,"Débit",$L4012)),-IF($P4012=1,-$K4012,$K4012),0))))</f>
        <v/>
      </c>
      <c r="U4012" s="6" t="str">
        <f>IF($K4012="","",IF(ISNUMBER(SEARCH("sortie-epargne",IFERROR(INDEX('Paramètres'!$N:$N,MATCH($D4012,'Paramètres'!$M:$M,0))&amp;"",""))),$K4012,0))</f>
        <v/>
      </c>
      <c r="V4012" s="6" t="str">
        <f>IF(AND($A4012&lt;&gt;"",$O4012=1,$L4012="Débit",N($Q4012)&gt;0,$A4012&gt;=Visualisation!$B$1,$A4012&lt;Visualisation!$D$1),MAX($V$1:V4011)+1,"")</f>
        <v/>
      </c>
    </row>
    <row r="4013" spans="1:22" x14ac:dyDescent="0.25">
      <c r="A4013" s="9"/>
      <c r="E4013" s="10"/>
      <c r="K4013" s="11" t="str">
        <f>IF($E4013="","",ROUND($E4013*IF(ISNA(MATCH($C4013,'Paramètres'!$D:$D,0)),1,IF(INDEX('Paramètres'!$J:$J,MATCH($C4013,'Paramètres'!$D:$D,0))="",1,INDEX('Paramètres'!$J:$J,MATCH($C4013,'Paramètres'!$D:$D,0)))),2))</f>
        <v/>
      </c>
      <c r="L4013" s="6" t="str">
        <f>IF($D4013="","",IF($F4013&lt;&gt;"",$F4013,IF(ISNA(MATCH($D4013,'Paramètres'!$M:$M,0)),"⚠ Type inconnu",IFERROR(INDEX('Paramètres'!$P:$P,MATCH($D4013,'Paramètres'!$M:$M,0))&amp;"",""))))</f>
        <v/>
      </c>
      <c r="M4013" s="6" t="str">
        <f>IF($D4013="","",IF(ISNA(MATCH($D4013,'Paramètres'!$M:$M,0)),"⚠ Type inconnu",IF($L4013="Crédit","",IFERROR(INDEX('Paramètres'!$O:$O,MATCH($D4013,'Paramètres'!$M:$M,0))&amp;"",""))))</f>
        <v/>
      </c>
      <c r="N4013" s="6" t="str">
        <f>IF($D4013="","",IFERROR(INDEX('Paramètres'!$Q:$Q,MATCH($D4013,'Paramètres'!$M:$M,0))&amp;"",""))</f>
        <v/>
      </c>
      <c r="O4013" s="6" t="str">
        <f>IF($A4013="","",IF(OR($J4013&lt;&gt;"x",$A4013&lt;=FinReleve),1,0))</f>
        <v/>
      </c>
      <c r="P4013" s="6" t="str">
        <f>IF($D4013="","",IF(AND($L4013="Crédit",OR(IFERROR(INDEX('Paramètres'!$O:$O,MATCH($D4013,'Paramètres'!$M:$M,0))&amp;"","")&lt;&gt;"",ISNUMBER(SEARCH("remboursement",IFERROR(INDEX('Paramètres'!$N:$N,MATCH($D4013,'Paramètres'!$M:$M,0))&amp;"",""))))),1,0))</f>
        <v/>
      </c>
      <c r="Q4013" s="6" t="str">
        <f>IF($K4013="","",IF(ISNUMBER(SEARCH("transfert-interne",IFERROR(INDEX('Paramètres'!$N:$N,MATCH($D4013,'Paramètres'!$M:$M,0))&amp;"",""))),0,IF($L4013="Débit",$K4013,IF($P4013=1,-$K4013,0))))</f>
        <v/>
      </c>
      <c r="R4013" s="6" t="str">
        <f>IF($K4013="","",IF($L4013="Crédit",$K4013,-$K4013))</f>
        <v/>
      </c>
      <c r="S4013" s="6" t="str">
        <f>IF($C4013="","",IFERROR(INDEX('Paramètres'!$H:$H,MATCH($C4013,'Paramètres'!$D:$D,0))&amp;"",""))</f>
        <v/>
      </c>
      <c r="T4013" s="6" t="str">
        <f>IF($K4013="","",IF($S4013="",0,IF(ISNUMBER(SEARCH("apport-exterieur",IFERROR(INDEX('Paramètres'!$N:$N,MATCH($D4013,'Paramètres'!$M:$M,0))&amp;"",""))),0,IF(OR(IFERROR(INDEX('Paramètres'!$I:$I,MATCH($C4013,'Paramètres'!$D:$D,0))&amp;"","")="Les deux",IFERROR(INDEX('Paramètres'!$I:$I,MATCH($C4013,'Paramètres'!$D:$D,0))&amp;"","")=IF($P4013=1,"Débit",$L4013)),-IF($P4013=1,-$K4013,$K4013),0))))</f>
        <v/>
      </c>
      <c r="U4013" s="6" t="str">
        <f>IF($K4013="","",IF(ISNUMBER(SEARCH("sortie-epargne",IFERROR(INDEX('Paramètres'!$N:$N,MATCH($D4013,'Paramètres'!$M:$M,0))&amp;"",""))),$K4013,0))</f>
        <v/>
      </c>
      <c r="V4013" s="6" t="str">
        <f>IF(AND($A4013&lt;&gt;"",$O4013=1,$L4013="Débit",N($Q4013)&gt;0,$A4013&gt;=Visualisation!$B$1,$A4013&lt;Visualisation!$D$1),MAX($V$1:V4012)+1,"")</f>
        <v/>
      </c>
    </row>
    <row r="4014" spans="1:22" x14ac:dyDescent="0.25">
      <c r="A4014" s="9"/>
      <c r="E4014" s="10"/>
      <c r="K4014" s="11" t="str">
        <f>IF($E4014="","",ROUND($E4014*IF(ISNA(MATCH($C4014,'Paramètres'!$D:$D,0)),1,IF(INDEX('Paramètres'!$J:$J,MATCH($C4014,'Paramètres'!$D:$D,0))="",1,INDEX('Paramètres'!$J:$J,MATCH($C4014,'Paramètres'!$D:$D,0)))),2))</f>
        <v/>
      </c>
      <c r="L4014" s="6" t="str">
        <f>IF($D4014="","",IF($F4014&lt;&gt;"",$F4014,IF(ISNA(MATCH($D4014,'Paramètres'!$M:$M,0)),"⚠ Type inconnu",IFERROR(INDEX('Paramètres'!$P:$P,MATCH($D4014,'Paramètres'!$M:$M,0))&amp;"",""))))</f>
        <v/>
      </c>
      <c r="M4014" s="6" t="str">
        <f>IF($D4014="","",IF(ISNA(MATCH($D4014,'Paramètres'!$M:$M,0)),"⚠ Type inconnu",IF($L4014="Crédit","",IFERROR(INDEX('Paramètres'!$O:$O,MATCH($D4014,'Paramètres'!$M:$M,0))&amp;"",""))))</f>
        <v/>
      </c>
      <c r="N4014" s="6" t="str">
        <f>IF($D4014="","",IFERROR(INDEX('Paramètres'!$Q:$Q,MATCH($D4014,'Paramètres'!$M:$M,0))&amp;"",""))</f>
        <v/>
      </c>
      <c r="O4014" s="6" t="str">
        <f>IF($A4014="","",IF(OR($J4014&lt;&gt;"x",$A4014&lt;=FinReleve),1,0))</f>
        <v/>
      </c>
      <c r="P4014" s="6" t="str">
        <f>IF($D4014="","",IF(AND($L4014="Crédit",OR(IFERROR(INDEX('Paramètres'!$O:$O,MATCH($D4014,'Paramètres'!$M:$M,0))&amp;"","")&lt;&gt;"",ISNUMBER(SEARCH("remboursement",IFERROR(INDEX('Paramètres'!$N:$N,MATCH($D4014,'Paramètres'!$M:$M,0))&amp;"",""))))),1,0))</f>
        <v/>
      </c>
      <c r="Q4014" s="6" t="str">
        <f>IF($K4014="","",IF(ISNUMBER(SEARCH("transfert-interne",IFERROR(INDEX('Paramètres'!$N:$N,MATCH($D4014,'Paramètres'!$M:$M,0))&amp;"",""))),0,IF($L4014="Débit",$K4014,IF($P4014=1,-$K4014,0))))</f>
        <v/>
      </c>
      <c r="R4014" s="6" t="str">
        <f>IF($K4014="","",IF($L4014="Crédit",$K4014,-$K4014))</f>
        <v/>
      </c>
      <c r="S4014" s="6" t="str">
        <f>IF($C4014="","",IFERROR(INDEX('Paramètres'!$H:$H,MATCH($C4014,'Paramètres'!$D:$D,0))&amp;"",""))</f>
        <v/>
      </c>
      <c r="T4014" s="6" t="str">
        <f>IF($K4014="","",IF($S4014="",0,IF(ISNUMBER(SEARCH("apport-exterieur",IFERROR(INDEX('Paramètres'!$N:$N,MATCH($D4014,'Paramètres'!$M:$M,0))&amp;"",""))),0,IF(OR(IFERROR(INDEX('Paramètres'!$I:$I,MATCH($C4014,'Paramètres'!$D:$D,0))&amp;"","")="Les deux",IFERROR(INDEX('Paramètres'!$I:$I,MATCH($C4014,'Paramètres'!$D:$D,0))&amp;"","")=IF($P4014=1,"Débit",$L4014)),-IF($P4014=1,-$K4014,$K4014),0))))</f>
        <v/>
      </c>
      <c r="U4014" s="6" t="str">
        <f>IF($K4014="","",IF(ISNUMBER(SEARCH("sortie-epargne",IFERROR(INDEX('Paramètres'!$N:$N,MATCH($D4014,'Paramètres'!$M:$M,0))&amp;"",""))),$K4014,0))</f>
        <v/>
      </c>
      <c r="V4014" s="6" t="str">
        <f>IF(AND($A4014&lt;&gt;"",$O4014=1,$L4014="Débit",N($Q4014)&gt;0,$A4014&gt;=Visualisation!$B$1,$A4014&lt;Visualisation!$D$1),MAX($V$1:V4013)+1,"")</f>
        <v/>
      </c>
    </row>
    <row r="4015" spans="1:22" x14ac:dyDescent="0.25">
      <c r="A4015" s="9"/>
      <c r="E4015" s="10"/>
      <c r="K4015" s="11" t="str">
        <f>IF($E4015="","",ROUND($E4015*IF(ISNA(MATCH($C4015,'Paramètres'!$D:$D,0)),1,IF(INDEX('Paramètres'!$J:$J,MATCH($C4015,'Paramètres'!$D:$D,0))="",1,INDEX('Paramètres'!$J:$J,MATCH($C4015,'Paramètres'!$D:$D,0)))),2))</f>
        <v/>
      </c>
      <c r="L4015" s="6" t="str">
        <f>IF($D4015="","",IF($F4015&lt;&gt;"",$F4015,IF(ISNA(MATCH($D4015,'Paramètres'!$M:$M,0)),"⚠ Type inconnu",IFERROR(INDEX('Paramètres'!$P:$P,MATCH($D4015,'Paramètres'!$M:$M,0))&amp;"",""))))</f>
        <v/>
      </c>
      <c r="M4015" s="6" t="str">
        <f>IF($D4015="","",IF(ISNA(MATCH($D4015,'Paramètres'!$M:$M,0)),"⚠ Type inconnu",IF($L4015="Crédit","",IFERROR(INDEX('Paramètres'!$O:$O,MATCH($D4015,'Paramètres'!$M:$M,0))&amp;"",""))))</f>
        <v/>
      </c>
      <c r="N4015" s="6" t="str">
        <f>IF($D4015="","",IFERROR(INDEX('Paramètres'!$Q:$Q,MATCH($D4015,'Paramètres'!$M:$M,0))&amp;"",""))</f>
        <v/>
      </c>
      <c r="O4015" s="6" t="str">
        <f>IF($A4015="","",IF(OR($J4015&lt;&gt;"x",$A4015&lt;=FinReleve),1,0))</f>
        <v/>
      </c>
      <c r="P4015" s="6" t="str">
        <f>IF($D4015="","",IF(AND($L4015="Crédit",OR(IFERROR(INDEX('Paramètres'!$O:$O,MATCH($D4015,'Paramètres'!$M:$M,0))&amp;"","")&lt;&gt;"",ISNUMBER(SEARCH("remboursement",IFERROR(INDEX('Paramètres'!$N:$N,MATCH($D4015,'Paramètres'!$M:$M,0))&amp;"",""))))),1,0))</f>
        <v/>
      </c>
      <c r="Q4015" s="6" t="str">
        <f>IF($K4015="","",IF(ISNUMBER(SEARCH("transfert-interne",IFERROR(INDEX('Paramètres'!$N:$N,MATCH($D4015,'Paramètres'!$M:$M,0))&amp;"",""))),0,IF($L4015="Débit",$K4015,IF($P4015=1,-$K4015,0))))</f>
        <v/>
      </c>
      <c r="R4015" s="6" t="str">
        <f>IF($K4015="","",IF($L4015="Crédit",$K4015,-$K4015))</f>
        <v/>
      </c>
      <c r="S4015" s="6" t="str">
        <f>IF($C4015="","",IFERROR(INDEX('Paramètres'!$H:$H,MATCH($C4015,'Paramètres'!$D:$D,0))&amp;"",""))</f>
        <v/>
      </c>
      <c r="T4015" s="6" t="str">
        <f>IF($K4015="","",IF($S4015="",0,IF(ISNUMBER(SEARCH("apport-exterieur",IFERROR(INDEX('Paramètres'!$N:$N,MATCH($D4015,'Paramètres'!$M:$M,0))&amp;"",""))),0,IF(OR(IFERROR(INDEX('Paramètres'!$I:$I,MATCH($C4015,'Paramètres'!$D:$D,0))&amp;"","")="Les deux",IFERROR(INDEX('Paramètres'!$I:$I,MATCH($C4015,'Paramètres'!$D:$D,0))&amp;"","")=IF($P4015=1,"Débit",$L4015)),-IF($P4015=1,-$K4015,$K4015),0))))</f>
        <v/>
      </c>
      <c r="U4015" s="6" t="str">
        <f>IF($K4015="","",IF(ISNUMBER(SEARCH("sortie-epargne",IFERROR(INDEX('Paramètres'!$N:$N,MATCH($D4015,'Paramètres'!$M:$M,0))&amp;"",""))),$K4015,0))</f>
        <v/>
      </c>
      <c r="V4015" s="6" t="str">
        <f>IF(AND($A4015&lt;&gt;"",$O4015=1,$L4015="Débit",N($Q4015)&gt;0,$A4015&gt;=Visualisation!$B$1,$A4015&lt;Visualisation!$D$1),MAX($V$1:V4014)+1,"")</f>
        <v/>
      </c>
    </row>
    <row r="4016" spans="1:22" x14ac:dyDescent="0.25">
      <c r="A4016" s="9"/>
      <c r="E4016" s="10"/>
      <c r="K4016" s="11" t="str">
        <f>IF($E4016="","",ROUND($E4016*IF(ISNA(MATCH($C4016,'Paramètres'!$D:$D,0)),1,IF(INDEX('Paramètres'!$J:$J,MATCH($C4016,'Paramètres'!$D:$D,0))="",1,INDEX('Paramètres'!$J:$J,MATCH($C4016,'Paramètres'!$D:$D,0)))),2))</f>
        <v/>
      </c>
      <c r="L4016" s="6" t="str">
        <f>IF($D4016="","",IF($F4016&lt;&gt;"",$F4016,IF(ISNA(MATCH($D4016,'Paramètres'!$M:$M,0)),"⚠ Type inconnu",IFERROR(INDEX('Paramètres'!$P:$P,MATCH($D4016,'Paramètres'!$M:$M,0))&amp;"",""))))</f>
        <v/>
      </c>
      <c r="M4016" s="6" t="str">
        <f>IF($D4016="","",IF(ISNA(MATCH($D4016,'Paramètres'!$M:$M,0)),"⚠ Type inconnu",IF($L4016="Crédit","",IFERROR(INDEX('Paramètres'!$O:$O,MATCH($D4016,'Paramètres'!$M:$M,0))&amp;"",""))))</f>
        <v/>
      </c>
      <c r="N4016" s="6" t="str">
        <f>IF($D4016="","",IFERROR(INDEX('Paramètres'!$Q:$Q,MATCH($D4016,'Paramètres'!$M:$M,0))&amp;"",""))</f>
        <v/>
      </c>
      <c r="O4016" s="6" t="str">
        <f>IF($A4016="","",IF(OR($J4016&lt;&gt;"x",$A4016&lt;=FinReleve),1,0))</f>
        <v/>
      </c>
      <c r="P4016" s="6" t="str">
        <f>IF($D4016="","",IF(AND($L4016="Crédit",OR(IFERROR(INDEX('Paramètres'!$O:$O,MATCH($D4016,'Paramètres'!$M:$M,0))&amp;"","")&lt;&gt;"",ISNUMBER(SEARCH("remboursement",IFERROR(INDEX('Paramètres'!$N:$N,MATCH($D4016,'Paramètres'!$M:$M,0))&amp;"",""))))),1,0))</f>
        <v/>
      </c>
      <c r="Q4016" s="6" t="str">
        <f>IF($K4016="","",IF(ISNUMBER(SEARCH("transfert-interne",IFERROR(INDEX('Paramètres'!$N:$N,MATCH($D4016,'Paramètres'!$M:$M,0))&amp;"",""))),0,IF($L4016="Débit",$K4016,IF($P4016=1,-$K4016,0))))</f>
        <v/>
      </c>
      <c r="R4016" s="6" t="str">
        <f>IF($K4016="","",IF($L4016="Crédit",$K4016,-$K4016))</f>
        <v/>
      </c>
      <c r="S4016" s="6" t="str">
        <f>IF($C4016="","",IFERROR(INDEX('Paramètres'!$H:$H,MATCH($C4016,'Paramètres'!$D:$D,0))&amp;"",""))</f>
        <v/>
      </c>
      <c r="T4016" s="6" t="str">
        <f>IF($K4016="","",IF($S4016="",0,IF(ISNUMBER(SEARCH("apport-exterieur",IFERROR(INDEX('Paramètres'!$N:$N,MATCH($D4016,'Paramètres'!$M:$M,0))&amp;"",""))),0,IF(OR(IFERROR(INDEX('Paramètres'!$I:$I,MATCH($C4016,'Paramètres'!$D:$D,0))&amp;"","")="Les deux",IFERROR(INDEX('Paramètres'!$I:$I,MATCH($C4016,'Paramètres'!$D:$D,0))&amp;"","")=IF($P4016=1,"Débit",$L4016)),-IF($P4016=1,-$K4016,$K4016),0))))</f>
        <v/>
      </c>
      <c r="U4016" s="6" t="str">
        <f>IF($K4016="","",IF(ISNUMBER(SEARCH("sortie-epargne",IFERROR(INDEX('Paramètres'!$N:$N,MATCH($D4016,'Paramètres'!$M:$M,0))&amp;"",""))),$K4016,0))</f>
        <v/>
      </c>
      <c r="V4016" s="6" t="str">
        <f>IF(AND($A4016&lt;&gt;"",$O4016=1,$L4016="Débit",N($Q4016)&gt;0,$A4016&gt;=Visualisation!$B$1,$A4016&lt;Visualisation!$D$1),MAX($V$1:V4015)+1,"")</f>
        <v/>
      </c>
    </row>
    <row r="4017" spans="1:22" x14ac:dyDescent="0.25">
      <c r="A4017" s="9"/>
      <c r="E4017" s="10"/>
      <c r="K4017" s="11" t="str">
        <f>IF($E4017="","",ROUND($E4017*IF(ISNA(MATCH($C4017,'Paramètres'!$D:$D,0)),1,IF(INDEX('Paramètres'!$J:$J,MATCH($C4017,'Paramètres'!$D:$D,0))="",1,INDEX('Paramètres'!$J:$J,MATCH($C4017,'Paramètres'!$D:$D,0)))),2))</f>
        <v/>
      </c>
      <c r="L4017" s="6" t="str">
        <f>IF($D4017="","",IF($F4017&lt;&gt;"",$F4017,IF(ISNA(MATCH($D4017,'Paramètres'!$M:$M,0)),"⚠ Type inconnu",IFERROR(INDEX('Paramètres'!$P:$P,MATCH($D4017,'Paramètres'!$M:$M,0))&amp;"",""))))</f>
        <v/>
      </c>
      <c r="M4017" s="6" t="str">
        <f>IF($D4017="","",IF(ISNA(MATCH($D4017,'Paramètres'!$M:$M,0)),"⚠ Type inconnu",IF($L4017="Crédit","",IFERROR(INDEX('Paramètres'!$O:$O,MATCH($D4017,'Paramètres'!$M:$M,0))&amp;"",""))))</f>
        <v/>
      </c>
      <c r="N4017" s="6" t="str">
        <f>IF($D4017="","",IFERROR(INDEX('Paramètres'!$Q:$Q,MATCH($D4017,'Paramètres'!$M:$M,0))&amp;"",""))</f>
        <v/>
      </c>
      <c r="O4017" s="6" t="str">
        <f>IF($A4017="","",IF(OR($J4017&lt;&gt;"x",$A4017&lt;=FinReleve),1,0))</f>
        <v/>
      </c>
      <c r="P4017" s="6" t="str">
        <f>IF($D4017="","",IF(AND($L4017="Crédit",OR(IFERROR(INDEX('Paramètres'!$O:$O,MATCH($D4017,'Paramètres'!$M:$M,0))&amp;"","")&lt;&gt;"",ISNUMBER(SEARCH("remboursement",IFERROR(INDEX('Paramètres'!$N:$N,MATCH($D4017,'Paramètres'!$M:$M,0))&amp;"",""))))),1,0))</f>
        <v/>
      </c>
      <c r="Q4017" s="6" t="str">
        <f>IF($K4017="","",IF(ISNUMBER(SEARCH("transfert-interne",IFERROR(INDEX('Paramètres'!$N:$N,MATCH($D4017,'Paramètres'!$M:$M,0))&amp;"",""))),0,IF($L4017="Débit",$K4017,IF($P4017=1,-$K4017,0))))</f>
        <v/>
      </c>
      <c r="R4017" s="6" t="str">
        <f>IF($K4017="","",IF($L4017="Crédit",$K4017,-$K4017))</f>
        <v/>
      </c>
      <c r="S4017" s="6" t="str">
        <f>IF($C4017="","",IFERROR(INDEX('Paramètres'!$H:$H,MATCH($C4017,'Paramètres'!$D:$D,0))&amp;"",""))</f>
        <v/>
      </c>
      <c r="T4017" s="6" t="str">
        <f>IF($K4017="","",IF($S4017="",0,IF(ISNUMBER(SEARCH("apport-exterieur",IFERROR(INDEX('Paramètres'!$N:$N,MATCH($D4017,'Paramètres'!$M:$M,0))&amp;"",""))),0,IF(OR(IFERROR(INDEX('Paramètres'!$I:$I,MATCH($C4017,'Paramètres'!$D:$D,0))&amp;"","")="Les deux",IFERROR(INDEX('Paramètres'!$I:$I,MATCH($C4017,'Paramètres'!$D:$D,0))&amp;"","")=IF($P4017=1,"Débit",$L4017)),-IF($P4017=1,-$K4017,$K4017),0))))</f>
        <v/>
      </c>
      <c r="U4017" s="6" t="str">
        <f>IF($K4017="","",IF(ISNUMBER(SEARCH("sortie-epargne",IFERROR(INDEX('Paramètres'!$N:$N,MATCH($D4017,'Paramètres'!$M:$M,0))&amp;"",""))),$K4017,0))</f>
        <v/>
      </c>
      <c r="V4017" s="6" t="str">
        <f>IF(AND($A4017&lt;&gt;"",$O4017=1,$L4017="Débit",N($Q4017)&gt;0,$A4017&gt;=Visualisation!$B$1,$A4017&lt;Visualisation!$D$1),MAX($V$1:V4016)+1,"")</f>
        <v/>
      </c>
    </row>
    <row r="4018" spans="1:22" x14ac:dyDescent="0.25">
      <c r="A4018" s="9"/>
      <c r="E4018" s="10"/>
      <c r="K4018" s="11" t="str">
        <f>IF($E4018="","",ROUND($E4018*IF(ISNA(MATCH($C4018,'Paramètres'!$D:$D,0)),1,IF(INDEX('Paramètres'!$J:$J,MATCH($C4018,'Paramètres'!$D:$D,0))="",1,INDEX('Paramètres'!$J:$J,MATCH($C4018,'Paramètres'!$D:$D,0)))),2))</f>
        <v/>
      </c>
      <c r="L4018" s="6" t="str">
        <f>IF($D4018="","",IF($F4018&lt;&gt;"",$F4018,IF(ISNA(MATCH($D4018,'Paramètres'!$M:$M,0)),"⚠ Type inconnu",IFERROR(INDEX('Paramètres'!$P:$P,MATCH($D4018,'Paramètres'!$M:$M,0))&amp;"",""))))</f>
        <v/>
      </c>
      <c r="M4018" s="6" t="str">
        <f>IF($D4018="","",IF(ISNA(MATCH($D4018,'Paramètres'!$M:$M,0)),"⚠ Type inconnu",IF($L4018="Crédit","",IFERROR(INDEX('Paramètres'!$O:$O,MATCH($D4018,'Paramètres'!$M:$M,0))&amp;"",""))))</f>
        <v/>
      </c>
      <c r="N4018" s="6" t="str">
        <f>IF($D4018="","",IFERROR(INDEX('Paramètres'!$Q:$Q,MATCH($D4018,'Paramètres'!$M:$M,0))&amp;"",""))</f>
        <v/>
      </c>
      <c r="O4018" s="6" t="str">
        <f>IF($A4018="","",IF(OR($J4018&lt;&gt;"x",$A4018&lt;=FinReleve),1,0))</f>
        <v/>
      </c>
      <c r="P4018" s="6" t="str">
        <f>IF($D4018="","",IF(AND($L4018="Crédit",OR(IFERROR(INDEX('Paramètres'!$O:$O,MATCH($D4018,'Paramètres'!$M:$M,0))&amp;"","")&lt;&gt;"",ISNUMBER(SEARCH("remboursement",IFERROR(INDEX('Paramètres'!$N:$N,MATCH($D4018,'Paramètres'!$M:$M,0))&amp;"",""))))),1,0))</f>
        <v/>
      </c>
      <c r="Q4018" s="6" t="str">
        <f>IF($K4018="","",IF(ISNUMBER(SEARCH("transfert-interne",IFERROR(INDEX('Paramètres'!$N:$N,MATCH($D4018,'Paramètres'!$M:$M,0))&amp;"",""))),0,IF($L4018="Débit",$K4018,IF($P4018=1,-$K4018,0))))</f>
        <v/>
      </c>
      <c r="R4018" s="6" t="str">
        <f>IF($K4018="","",IF($L4018="Crédit",$K4018,-$K4018))</f>
        <v/>
      </c>
      <c r="S4018" s="6" t="str">
        <f>IF($C4018="","",IFERROR(INDEX('Paramètres'!$H:$H,MATCH($C4018,'Paramètres'!$D:$D,0))&amp;"",""))</f>
        <v/>
      </c>
      <c r="T4018" s="6" t="str">
        <f>IF($K4018="","",IF($S4018="",0,IF(ISNUMBER(SEARCH("apport-exterieur",IFERROR(INDEX('Paramètres'!$N:$N,MATCH($D4018,'Paramètres'!$M:$M,0))&amp;"",""))),0,IF(OR(IFERROR(INDEX('Paramètres'!$I:$I,MATCH($C4018,'Paramètres'!$D:$D,0))&amp;"","")="Les deux",IFERROR(INDEX('Paramètres'!$I:$I,MATCH($C4018,'Paramètres'!$D:$D,0))&amp;"","")=IF($P4018=1,"Débit",$L4018)),-IF($P4018=1,-$K4018,$K4018),0))))</f>
        <v/>
      </c>
      <c r="U4018" s="6" t="str">
        <f>IF($K4018="","",IF(ISNUMBER(SEARCH("sortie-epargne",IFERROR(INDEX('Paramètres'!$N:$N,MATCH($D4018,'Paramètres'!$M:$M,0))&amp;"",""))),$K4018,0))</f>
        <v/>
      </c>
      <c r="V4018" s="6" t="str">
        <f>IF(AND($A4018&lt;&gt;"",$O4018=1,$L4018="Débit",N($Q4018)&gt;0,$A4018&gt;=Visualisation!$B$1,$A4018&lt;Visualisation!$D$1),MAX($V$1:V4017)+1,"")</f>
        <v/>
      </c>
    </row>
    <row r="4019" spans="1:22" x14ac:dyDescent="0.25">
      <c r="A4019" s="9"/>
      <c r="E4019" s="10"/>
      <c r="K4019" s="11" t="str">
        <f>IF($E4019="","",ROUND($E4019*IF(ISNA(MATCH($C4019,'Paramètres'!$D:$D,0)),1,IF(INDEX('Paramètres'!$J:$J,MATCH($C4019,'Paramètres'!$D:$D,0))="",1,INDEX('Paramètres'!$J:$J,MATCH($C4019,'Paramètres'!$D:$D,0)))),2))</f>
        <v/>
      </c>
      <c r="L4019" s="6" t="str">
        <f>IF($D4019="","",IF($F4019&lt;&gt;"",$F4019,IF(ISNA(MATCH($D4019,'Paramètres'!$M:$M,0)),"⚠ Type inconnu",IFERROR(INDEX('Paramètres'!$P:$P,MATCH($D4019,'Paramètres'!$M:$M,0))&amp;"",""))))</f>
        <v/>
      </c>
      <c r="M4019" s="6" t="str">
        <f>IF($D4019="","",IF(ISNA(MATCH($D4019,'Paramètres'!$M:$M,0)),"⚠ Type inconnu",IF($L4019="Crédit","",IFERROR(INDEX('Paramètres'!$O:$O,MATCH($D4019,'Paramètres'!$M:$M,0))&amp;"",""))))</f>
        <v/>
      </c>
      <c r="N4019" s="6" t="str">
        <f>IF($D4019="","",IFERROR(INDEX('Paramètres'!$Q:$Q,MATCH($D4019,'Paramètres'!$M:$M,0))&amp;"",""))</f>
        <v/>
      </c>
      <c r="O4019" s="6" t="str">
        <f>IF($A4019="","",IF(OR($J4019&lt;&gt;"x",$A4019&lt;=FinReleve),1,0))</f>
        <v/>
      </c>
      <c r="P4019" s="6" t="str">
        <f>IF($D4019="","",IF(AND($L4019="Crédit",OR(IFERROR(INDEX('Paramètres'!$O:$O,MATCH($D4019,'Paramètres'!$M:$M,0))&amp;"","")&lt;&gt;"",ISNUMBER(SEARCH("remboursement",IFERROR(INDEX('Paramètres'!$N:$N,MATCH($D4019,'Paramètres'!$M:$M,0))&amp;"",""))))),1,0))</f>
        <v/>
      </c>
      <c r="Q4019" s="6" t="str">
        <f>IF($K4019="","",IF(ISNUMBER(SEARCH("transfert-interne",IFERROR(INDEX('Paramètres'!$N:$N,MATCH($D4019,'Paramètres'!$M:$M,0))&amp;"",""))),0,IF($L4019="Débit",$K4019,IF($P4019=1,-$K4019,0))))</f>
        <v/>
      </c>
      <c r="R4019" s="6" t="str">
        <f>IF($K4019="","",IF($L4019="Crédit",$K4019,-$K4019))</f>
        <v/>
      </c>
      <c r="S4019" s="6" t="str">
        <f>IF($C4019="","",IFERROR(INDEX('Paramètres'!$H:$H,MATCH($C4019,'Paramètres'!$D:$D,0))&amp;"",""))</f>
        <v/>
      </c>
      <c r="T4019" s="6" t="str">
        <f>IF($K4019="","",IF($S4019="",0,IF(ISNUMBER(SEARCH("apport-exterieur",IFERROR(INDEX('Paramètres'!$N:$N,MATCH($D4019,'Paramètres'!$M:$M,0))&amp;"",""))),0,IF(OR(IFERROR(INDEX('Paramètres'!$I:$I,MATCH($C4019,'Paramètres'!$D:$D,0))&amp;"","")="Les deux",IFERROR(INDEX('Paramètres'!$I:$I,MATCH($C4019,'Paramètres'!$D:$D,0))&amp;"","")=IF($P4019=1,"Débit",$L4019)),-IF($P4019=1,-$K4019,$K4019),0))))</f>
        <v/>
      </c>
      <c r="U4019" s="6" t="str">
        <f>IF($K4019="","",IF(ISNUMBER(SEARCH("sortie-epargne",IFERROR(INDEX('Paramètres'!$N:$N,MATCH($D4019,'Paramètres'!$M:$M,0))&amp;"",""))),$K4019,0))</f>
        <v/>
      </c>
      <c r="V4019" s="6" t="str">
        <f>IF(AND($A4019&lt;&gt;"",$O4019=1,$L4019="Débit",N($Q4019)&gt;0,$A4019&gt;=Visualisation!$B$1,$A4019&lt;Visualisation!$D$1),MAX($V$1:V4018)+1,"")</f>
        <v/>
      </c>
    </row>
    <row r="4020" spans="1:22" x14ac:dyDescent="0.25">
      <c r="A4020" s="9"/>
      <c r="E4020" s="10"/>
      <c r="K4020" s="11" t="str">
        <f>IF($E4020="","",ROUND($E4020*IF(ISNA(MATCH($C4020,'Paramètres'!$D:$D,0)),1,IF(INDEX('Paramètres'!$J:$J,MATCH($C4020,'Paramètres'!$D:$D,0))="",1,INDEX('Paramètres'!$J:$J,MATCH($C4020,'Paramètres'!$D:$D,0)))),2))</f>
        <v/>
      </c>
      <c r="L4020" s="6" t="str">
        <f>IF($D4020="","",IF($F4020&lt;&gt;"",$F4020,IF(ISNA(MATCH($D4020,'Paramètres'!$M:$M,0)),"⚠ Type inconnu",IFERROR(INDEX('Paramètres'!$P:$P,MATCH($D4020,'Paramètres'!$M:$M,0))&amp;"",""))))</f>
        <v/>
      </c>
      <c r="M4020" s="6" t="str">
        <f>IF($D4020="","",IF(ISNA(MATCH($D4020,'Paramètres'!$M:$M,0)),"⚠ Type inconnu",IF($L4020="Crédit","",IFERROR(INDEX('Paramètres'!$O:$O,MATCH($D4020,'Paramètres'!$M:$M,0))&amp;"",""))))</f>
        <v/>
      </c>
      <c r="N4020" s="6" t="str">
        <f>IF($D4020="","",IFERROR(INDEX('Paramètres'!$Q:$Q,MATCH($D4020,'Paramètres'!$M:$M,0))&amp;"",""))</f>
        <v/>
      </c>
      <c r="O4020" s="6" t="str">
        <f>IF($A4020="","",IF(OR($J4020&lt;&gt;"x",$A4020&lt;=FinReleve),1,0))</f>
        <v/>
      </c>
      <c r="P4020" s="6" t="str">
        <f>IF($D4020="","",IF(AND($L4020="Crédit",OR(IFERROR(INDEX('Paramètres'!$O:$O,MATCH($D4020,'Paramètres'!$M:$M,0))&amp;"","")&lt;&gt;"",ISNUMBER(SEARCH("remboursement",IFERROR(INDEX('Paramètres'!$N:$N,MATCH($D4020,'Paramètres'!$M:$M,0))&amp;"",""))))),1,0))</f>
        <v/>
      </c>
      <c r="Q4020" s="6" t="str">
        <f>IF($K4020="","",IF(ISNUMBER(SEARCH("transfert-interne",IFERROR(INDEX('Paramètres'!$N:$N,MATCH($D4020,'Paramètres'!$M:$M,0))&amp;"",""))),0,IF($L4020="Débit",$K4020,IF($P4020=1,-$K4020,0))))</f>
        <v/>
      </c>
      <c r="R4020" s="6" t="str">
        <f>IF($K4020="","",IF($L4020="Crédit",$K4020,-$K4020))</f>
        <v/>
      </c>
      <c r="S4020" s="6" t="str">
        <f>IF($C4020="","",IFERROR(INDEX('Paramètres'!$H:$H,MATCH($C4020,'Paramètres'!$D:$D,0))&amp;"",""))</f>
        <v/>
      </c>
      <c r="T4020" s="6" t="str">
        <f>IF($K4020="","",IF($S4020="",0,IF(ISNUMBER(SEARCH("apport-exterieur",IFERROR(INDEX('Paramètres'!$N:$N,MATCH($D4020,'Paramètres'!$M:$M,0))&amp;"",""))),0,IF(OR(IFERROR(INDEX('Paramètres'!$I:$I,MATCH($C4020,'Paramètres'!$D:$D,0))&amp;"","")="Les deux",IFERROR(INDEX('Paramètres'!$I:$I,MATCH($C4020,'Paramètres'!$D:$D,0))&amp;"","")=IF($P4020=1,"Débit",$L4020)),-IF($P4020=1,-$K4020,$K4020),0))))</f>
        <v/>
      </c>
      <c r="U4020" s="6" t="str">
        <f>IF($K4020="","",IF(ISNUMBER(SEARCH("sortie-epargne",IFERROR(INDEX('Paramètres'!$N:$N,MATCH($D4020,'Paramètres'!$M:$M,0))&amp;"",""))),$K4020,0))</f>
        <v/>
      </c>
      <c r="V4020" s="6" t="str">
        <f>IF(AND($A4020&lt;&gt;"",$O4020=1,$L4020="Débit",N($Q4020)&gt;0,$A4020&gt;=Visualisation!$B$1,$A4020&lt;Visualisation!$D$1),MAX($V$1:V4019)+1,"")</f>
        <v/>
      </c>
    </row>
    <row r="4021" spans="1:22" x14ac:dyDescent="0.25">
      <c r="A4021" s="9"/>
      <c r="E4021" s="10"/>
      <c r="K4021" s="11" t="str">
        <f>IF($E4021="","",ROUND($E4021*IF(ISNA(MATCH($C4021,'Paramètres'!$D:$D,0)),1,IF(INDEX('Paramètres'!$J:$J,MATCH($C4021,'Paramètres'!$D:$D,0))="",1,INDEX('Paramètres'!$J:$J,MATCH($C4021,'Paramètres'!$D:$D,0)))),2))</f>
        <v/>
      </c>
      <c r="L4021" s="6" t="str">
        <f>IF($D4021="","",IF($F4021&lt;&gt;"",$F4021,IF(ISNA(MATCH($D4021,'Paramètres'!$M:$M,0)),"⚠ Type inconnu",IFERROR(INDEX('Paramètres'!$P:$P,MATCH($D4021,'Paramètres'!$M:$M,0))&amp;"",""))))</f>
        <v/>
      </c>
      <c r="M4021" s="6" t="str">
        <f>IF($D4021="","",IF(ISNA(MATCH($D4021,'Paramètres'!$M:$M,0)),"⚠ Type inconnu",IF($L4021="Crédit","",IFERROR(INDEX('Paramètres'!$O:$O,MATCH($D4021,'Paramètres'!$M:$M,0))&amp;"",""))))</f>
        <v/>
      </c>
      <c r="N4021" s="6" t="str">
        <f>IF($D4021="","",IFERROR(INDEX('Paramètres'!$Q:$Q,MATCH($D4021,'Paramètres'!$M:$M,0))&amp;"",""))</f>
        <v/>
      </c>
      <c r="O4021" s="6" t="str">
        <f>IF($A4021="","",IF(OR($J4021&lt;&gt;"x",$A4021&lt;=FinReleve),1,0))</f>
        <v/>
      </c>
      <c r="P4021" s="6" t="str">
        <f>IF($D4021="","",IF(AND($L4021="Crédit",OR(IFERROR(INDEX('Paramètres'!$O:$O,MATCH($D4021,'Paramètres'!$M:$M,0))&amp;"","")&lt;&gt;"",ISNUMBER(SEARCH("remboursement",IFERROR(INDEX('Paramètres'!$N:$N,MATCH($D4021,'Paramètres'!$M:$M,0))&amp;"",""))))),1,0))</f>
        <v/>
      </c>
      <c r="Q4021" s="6" t="str">
        <f>IF($K4021="","",IF(ISNUMBER(SEARCH("transfert-interne",IFERROR(INDEX('Paramètres'!$N:$N,MATCH($D4021,'Paramètres'!$M:$M,0))&amp;"",""))),0,IF($L4021="Débit",$K4021,IF($P4021=1,-$K4021,0))))</f>
        <v/>
      </c>
      <c r="R4021" s="6" t="str">
        <f>IF($K4021="","",IF($L4021="Crédit",$K4021,-$K4021))</f>
        <v/>
      </c>
      <c r="S4021" s="6" t="str">
        <f>IF($C4021="","",IFERROR(INDEX('Paramètres'!$H:$H,MATCH($C4021,'Paramètres'!$D:$D,0))&amp;"",""))</f>
        <v/>
      </c>
      <c r="T4021" s="6" t="str">
        <f>IF($K4021="","",IF($S4021="",0,IF(ISNUMBER(SEARCH("apport-exterieur",IFERROR(INDEX('Paramètres'!$N:$N,MATCH($D4021,'Paramètres'!$M:$M,0))&amp;"",""))),0,IF(OR(IFERROR(INDEX('Paramètres'!$I:$I,MATCH($C4021,'Paramètres'!$D:$D,0))&amp;"","")="Les deux",IFERROR(INDEX('Paramètres'!$I:$I,MATCH($C4021,'Paramètres'!$D:$D,0))&amp;"","")=IF($P4021=1,"Débit",$L4021)),-IF($P4021=1,-$K4021,$K4021),0))))</f>
        <v/>
      </c>
      <c r="U4021" s="6" t="str">
        <f>IF($K4021="","",IF(ISNUMBER(SEARCH("sortie-epargne",IFERROR(INDEX('Paramètres'!$N:$N,MATCH($D4021,'Paramètres'!$M:$M,0))&amp;"",""))),$K4021,0))</f>
        <v/>
      </c>
      <c r="V4021" s="6" t="str">
        <f>IF(AND($A4021&lt;&gt;"",$O4021=1,$L4021="Débit",N($Q4021)&gt;0,$A4021&gt;=Visualisation!$B$1,$A4021&lt;Visualisation!$D$1),MAX($V$1:V4020)+1,"")</f>
        <v/>
      </c>
    </row>
    <row r="4022" spans="1:22" x14ac:dyDescent="0.25">
      <c r="A4022" s="9"/>
      <c r="E4022" s="10"/>
      <c r="K4022" s="11" t="str">
        <f>IF($E4022="","",ROUND($E4022*IF(ISNA(MATCH($C4022,'Paramètres'!$D:$D,0)),1,IF(INDEX('Paramètres'!$J:$J,MATCH($C4022,'Paramètres'!$D:$D,0))="",1,INDEX('Paramètres'!$J:$J,MATCH($C4022,'Paramètres'!$D:$D,0)))),2))</f>
        <v/>
      </c>
      <c r="L4022" s="6" t="str">
        <f>IF($D4022="","",IF($F4022&lt;&gt;"",$F4022,IF(ISNA(MATCH($D4022,'Paramètres'!$M:$M,0)),"⚠ Type inconnu",IFERROR(INDEX('Paramètres'!$P:$P,MATCH($D4022,'Paramètres'!$M:$M,0))&amp;"",""))))</f>
        <v/>
      </c>
      <c r="M4022" s="6" t="str">
        <f>IF($D4022="","",IF(ISNA(MATCH($D4022,'Paramètres'!$M:$M,0)),"⚠ Type inconnu",IF($L4022="Crédit","",IFERROR(INDEX('Paramètres'!$O:$O,MATCH($D4022,'Paramètres'!$M:$M,0))&amp;"",""))))</f>
        <v/>
      </c>
      <c r="N4022" s="6" t="str">
        <f>IF($D4022="","",IFERROR(INDEX('Paramètres'!$Q:$Q,MATCH($D4022,'Paramètres'!$M:$M,0))&amp;"",""))</f>
        <v/>
      </c>
      <c r="O4022" s="6" t="str">
        <f>IF($A4022="","",IF(OR($J4022&lt;&gt;"x",$A4022&lt;=FinReleve),1,0))</f>
        <v/>
      </c>
      <c r="P4022" s="6" t="str">
        <f>IF($D4022="","",IF(AND($L4022="Crédit",OR(IFERROR(INDEX('Paramètres'!$O:$O,MATCH($D4022,'Paramètres'!$M:$M,0))&amp;"","")&lt;&gt;"",ISNUMBER(SEARCH("remboursement",IFERROR(INDEX('Paramètres'!$N:$N,MATCH($D4022,'Paramètres'!$M:$M,0))&amp;"",""))))),1,0))</f>
        <v/>
      </c>
      <c r="Q4022" s="6" t="str">
        <f>IF($K4022="","",IF(ISNUMBER(SEARCH("transfert-interne",IFERROR(INDEX('Paramètres'!$N:$N,MATCH($D4022,'Paramètres'!$M:$M,0))&amp;"",""))),0,IF($L4022="Débit",$K4022,IF($P4022=1,-$K4022,0))))</f>
        <v/>
      </c>
      <c r="R4022" s="6" t="str">
        <f>IF($K4022="","",IF($L4022="Crédit",$K4022,-$K4022))</f>
        <v/>
      </c>
      <c r="S4022" s="6" t="str">
        <f>IF($C4022="","",IFERROR(INDEX('Paramètres'!$H:$H,MATCH($C4022,'Paramètres'!$D:$D,0))&amp;"",""))</f>
        <v/>
      </c>
      <c r="T4022" s="6" t="str">
        <f>IF($K4022="","",IF($S4022="",0,IF(ISNUMBER(SEARCH("apport-exterieur",IFERROR(INDEX('Paramètres'!$N:$N,MATCH($D4022,'Paramètres'!$M:$M,0))&amp;"",""))),0,IF(OR(IFERROR(INDEX('Paramètres'!$I:$I,MATCH($C4022,'Paramètres'!$D:$D,0))&amp;"","")="Les deux",IFERROR(INDEX('Paramètres'!$I:$I,MATCH($C4022,'Paramètres'!$D:$D,0))&amp;"","")=IF($P4022=1,"Débit",$L4022)),-IF($P4022=1,-$K4022,$K4022),0))))</f>
        <v/>
      </c>
      <c r="U4022" s="6" t="str">
        <f>IF($K4022="","",IF(ISNUMBER(SEARCH("sortie-epargne",IFERROR(INDEX('Paramètres'!$N:$N,MATCH($D4022,'Paramètres'!$M:$M,0))&amp;"",""))),$K4022,0))</f>
        <v/>
      </c>
      <c r="V4022" s="6" t="str">
        <f>IF(AND($A4022&lt;&gt;"",$O4022=1,$L4022="Débit",N($Q4022)&gt;0,$A4022&gt;=Visualisation!$B$1,$A4022&lt;Visualisation!$D$1),MAX($V$1:V4021)+1,"")</f>
        <v/>
      </c>
    </row>
    <row r="4023" spans="1:22" x14ac:dyDescent="0.25">
      <c r="A4023" s="9"/>
      <c r="E4023" s="10"/>
      <c r="K4023" s="11" t="str">
        <f>IF($E4023="","",ROUND($E4023*IF(ISNA(MATCH($C4023,'Paramètres'!$D:$D,0)),1,IF(INDEX('Paramètres'!$J:$J,MATCH($C4023,'Paramètres'!$D:$D,0))="",1,INDEX('Paramètres'!$J:$J,MATCH($C4023,'Paramètres'!$D:$D,0)))),2))</f>
        <v/>
      </c>
      <c r="L4023" s="6" t="str">
        <f>IF($D4023="","",IF($F4023&lt;&gt;"",$F4023,IF(ISNA(MATCH($D4023,'Paramètres'!$M:$M,0)),"⚠ Type inconnu",IFERROR(INDEX('Paramètres'!$P:$P,MATCH($D4023,'Paramètres'!$M:$M,0))&amp;"",""))))</f>
        <v/>
      </c>
      <c r="M4023" s="6" t="str">
        <f>IF($D4023="","",IF(ISNA(MATCH($D4023,'Paramètres'!$M:$M,0)),"⚠ Type inconnu",IF($L4023="Crédit","",IFERROR(INDEX('Paramètres'!$O:$O,MATCH($D4023,'Paramètres'!$M:$M,0))&amp;"",""))))</f>
        <v/>
      </c>
      <c r="N4023" s="6" t="str">
        <f>IF($D4023="","",IFERROR(INDEX('Paramètres'!$Q:$Q,MATCH($D4023,'Paramètres'!$M:$M,0))&amp;"",""))</f>
        <v/>
      </c>
      <c r="O4023" s="6" t="str">
        <f>IF($A4023="","",IF(OR($J4023&lt;&gt;"x",$A4023&lt;=FinReleve),1,0))</f>
        <v/>
      </c>
      <c r="P4023" s="6" t="str">
        <f>IF($D4023="","",IF(AND($L4023="Crédit",OR(IFERROR(INDEX('Paramètres'!$O:$O,MATCH($D4023,'Paramètres'!$M:$M,0))&amp;"","")&lt;&gt;"",ISNUMBER(SEARCH("remboursement",IFERROR(INDEX('Paramètres'!$N:$N,MATCH($D4023,'Paramètres'!$M:$M,0))&amp;"",""))))),1,0))</f>
        <v/>
      </c>
      <c r="Q4023" s="6" t="str">
        <f>IF($K4023="","",IF(ISNUMBER(SEARCH("transfert-interne",IFERROR(INDEX('Paramètres'!$N:$N,MATCH($D4023,'Paramètres'!$M:$M,0))&amp;"",""))),0,IF($L4023="Débit",$K4023,IF($P4023=1,-$K4023,0))))</f>
        <v/>
      </c>
      <c r="R4023" s="6" t="str">
        <f>IF($K4023="","",IF($L4023="Crédit",$K4023,-$K4023))</f>
        <v/>
      </c>
      <c r="S4023" s="6" t="str">
        <f>IF($C4023="","",IFERROR(INDEX('Paramètres'!$H:$H,MATCH($C4023,'Paramètres'!$D:$D,0))&amp;"",""))</f>
        <v/>
      </c>
      <c r="T4023" s="6" t="str">
        <f>IF($K4023="","",IF($S4023="",0,IF(ISNUMBER(SEARCH("apport-exterieur",IFERROR(INDEX('Paramètres'!$N:$N,MATCH($D4023,'Paramètres'!$M:$M,0))&amp;"",""))),0,IF(OR(IFERROR(INDEX('Paramètres'!$I:$I,MATCH($C4023,'Paramètres'!$D:$D,0))&amp;"","")="Les deux",IFERROR(INDEX('Paramètres'!$I:$I,MATCH($C4023,'Paramètres'!$D:$D,0))&amp;"","")=IF($P4023=1,"Débit",$L4023)),-IF($P4023=1,-$K4023,$K4023),0))))</f>
        <v/>
      </c>
      <c r="U4023" s="6" t="str">
        <f>IF($K4023="","",IF(ISNUMBER(SEARCH("sortie-epargne",IFERROR(INDEX('Paramètres'!$N:$N,MATCH($D4023,'Paramètres'!$M:$M,0))&amp;"",""))),$K4023,0))</f>
        <v/>
      </c>
      <c r="V4023" s="6" t="str">
        <f>IF(AND($A4023&lt;&gt;"",$O4023=1,$L4023="Débit",N($Q4023)&gt;0,$A4023&gt;=Visualisation!$B$1,$A4023&lt;Visualisation!$D$1),MAX($V$1:V4022)+1,"")</f>
        <v/>
      </c>
    </row>
    <row r="4024" spans="1:22" x14ac:dyDescent="0.25">
      <c r="A4024" s="9"/>
      <c r="E4024" s="10"/>
      <c r="K4024" s="11" t="str">
        <f>IF($E4024="","",ROUND($E4024*IF(ISNA(MATCH($C4024,'Paramètres'!$D:$D,0)),1,IF(INDEX('Paramètres'!$J:$J,MATCH($C4024,'Paramètres'!$D:$D,0))="",1,INDEX('Paramètres'!$J:$J,MATCH($C4024,'Paramètres'!$D:$D,0)))),2))</f>
        <v/>
      </c>
      <c r="L4024" s="6" t="str">
        <f>IF($D4024="","",IF($F4024&lt;&gt;"",$F4024,IF(ISNA(MATCH($D4024,'Paramètres'!$M:$M,0)),"⚠ Type inconnu",IFERROR(INDEX('Paramètres'!$P:$P,MATCH($D4024,'Paramètres'!$M:$M,0))&amp;"",""))))</f>
        <v/>
      </c>
      <c r="M4024" s="6" t="str">
        <f>IF($D4024="","",IF(ISNA(MATCH($D4024,'Paramètres'!$M:$M,0)),"⚠ Type inconnu",IF($L4024="Crédit","",IFERROR(INDEX('Paramètres'!$O:$O,MATCH($D4024,'Paramètres'!$M:$M,0))&amp;"",""))))</f>
        <v/>
      </c>
      <c r="N4024" s="6" t="str">
        <f>IF($D4024="","",IFERROR(INDEX('Paramètres'!$Q:$Q,MATCH($D4024,'Paramètres'!$M:$M,0))&amp;"",""))</f>
        <v/>
      </c>
      <c r="O4024" s="6" t="str">
        <f>IF($A4024="","",IF(OR($J4024&lt;&gt;"x",$A4024&lt;=FinReleve),1,0))</f>
        <v/>
      </c>
      <c r="P4024" s="6" t="str">
        <f>IF($D4024="","",IF(AND($L4024="Crédit",OR(IFERROR(INDEX('Paramètres'!$O:$O,MATCH($D4024,'Paramètres'!$M:$M,0))&amp;"","")&lt;&gt;"",ISNUMBER(SEARCH("remboursement",IFERROR(INDEX('Paramètres'!$N:$N,MATCH($D4024,'Paramètres'!$M:$M,0))&amp;"",""))))),1,0))</f>
        <v/>
      </c>
      <c r="Q4024" s="6" t="str">
        <f>IF($K4024="","",IF(ISNUMBER(SEARCH("transfert-interne",IFERROR(INDEX('Paramètres'!$N:$N,MATCH($D4024,'Paramètres'!$M:$M,0))&amp;"",""))),0,IF($L4024="Débit",$K4024,IF($P4024=1,-$K4024,0))))</f>
        <v/>
      </c>
      <c r="R4024" s="6" t="str">
        <f>IF($K4024="","",IF($L4024="Crédit",$K4024,-$K4024))</f>
        <v/>
      </c>
      <c r="S4024" s="6" t="str">
        <f>IF($C4024="","",IFERROR(INDEX('Paramètres'!$H:$H,MATCH($C4024,'Paramètres'!$D:$D,0))&amp;"",""))</f>
        <v/>
      </c>
      <c r="T4024" s="6" t="str">
        <f>IF($K4024="","",IF($S4024="",0,IF(ISNUMBER(SEARCH("apport-exterieur",IFERROR(INDEX('Paramètres'!$N:$N,MATCH($D4024,'Paramètres'!$M:$M,0))&amp;"",""))),0,IF(OR(IFERROR(INDEX('Paramètres'!$I:$I,MATCH($C4024,'Paramètres'!$D:$D,0))&amp;"","")="Les deux",IFERROR(INDEX('Paramètres'!$I:$I,MATCH($C4024,'Paramètres'!$D:$D,0))&amp;"","")=IF($P4024=1,"Débit",$L4024)),-IF($P4024=1,-$K4024,$K4024),0))))</f>
        <v/>
      </c>
      <c r="U4024" s="6" t="str">
        <f>IF($K4024="","",IF(ISNUMBER(SEARCH("sortie-epargne",IFERROR(INDEX('Paramètres'!$N:$N,MATCH($D4024,'Paramètres'!$M:$M,0))&amp;"",""))),$K4024,0))</f>
        <v/>
      </c>
      <c r="V4024" s="6" t="str">
        <f>IF(AND($A4024&lt;&gt;"",$O4024=1,$L4024="Débit",N($Q4024)&gt;0,$A4024&gt;=Visualisation!$B$1,$A4024&lt;Visualisation!$D$1),MAX($V$1:V4023)+1,"")</f>
        <v/>
      </c>
    </row>
    <row r="4025" spans="1:22" x14ac:dyDescent="0.25">
      <c r="A4025" s="9"/>
      <c r="E4025" s="10"/>
      <c r="K4025" s="11" t="str">
        <f>IF($E4025="","",ROUND($E4025*IF(ISNA(MATCH($C4025,'Paramètres'!$D:$D,0)),1,IF(INDEX('Paramètres'!$J:$J,MATCH($C4025,'Paramètres'!$D:$D,0))="",1,INDEX('Paramètres'!$J:$J,MATCH($C4025,'Paramètres'!$D:$D,0)))),2))</f>
        <v/>
      </c>
      <c r="L4025" s="6" t="str">
        <f>IF($D4025="","",IF($F4025&lt;&gt;"",$F4025,IF(ISNA(MATCH($D4025,'Paramètres'!$M:$M,0)),"⚠ Type inconnu",IFERROR(INDEX('Paramètres'!$P:$P,MATCH($D4025,'Paramètres'!$M:$M,0))&amp;"",""))))</f>
        <v/>
      </c>
      <c r="M4025" s="6" t="str">
        <f>IF($D4025="","",IF(ISNA(MATCH($D4025,'Paramètres'!$M:$M,0)),"⚠ Type inconnu",IF($L4025="Crédit","",IFERROR(INDEX('Paramètres'!$O:$O,MATCH($D4025,'Paramètres'!$M:$M,0))&amp;"",""))))</f>
        <v/>
      </c>
      <c r="N4025" s="6" t="str">
        <f>IF($D4025="","",IFERROR(INDEX('Paramètres'!$Q:$Q,MATCH($D4025,'Paramètres'!$M:$M,0))&amp;"",""))</f>
        <v/>
      </c>
      <c r="O4025" s="6" t="str">
        <f>IF($A4025="","",IF(OR($J4025&lt;&gt;"x",$A4025&lt;=FinReleve),1,0))</f>
        <v/>
      </c>
      <c r="P4025" s="6" t="str">
        <f>IF($D4025="","",IF(AND($L4025="Crédit",OR(IFERROR(INDEX('Paramètres'!$O:$O,MATCH($D4025,'Paramètres'!$M:$M,0))&amp;"","")&lt;&gt;"",ISNUMBER(SEARCH("remboursement",IFERROR(INDEX('Paramètres'!$N:$N,MATCH($D4025,'Paramètres'!$M:$M,0))&amp;"",""))))),1,0))</f>
        <v/>
      </c>
      <c r="Q4025" s="6" t="str">
        <f>IF($K4025="","",IF(ISNUMBER(SEARCH("transfert-interne",IFERROR(INDEX('Paramètres'!$N:$N,MATCH($D4025,'Paramètres'!$M:$M,0))&amp;"",""))),0,IF($L4025="Débit",$K4025,IF($P4025=1,-$K4025,0))))</f>
        <v/>
      </c>
      <c r="R4025" s="6" t="str">
        <f>IF($K4025="","",IF($L4025="Crédit",$K4025,-$K4025))</f>
        <v/>
      </c>
      <c r="S4025" s="6" t="str">
        <f>IF($C4025="","",IFERROR(INDEX('Paramètres'!$H:$H,MATCH($C4025,'Paramètres'!$D:$D,0))&amp;"",""))</f>
        <v/>
      </c>
      <c r="T4025" s="6" t="str">
        <f>IF($K4025="","",IF($S4025="",0,IF(ISNUMBER(SEARCH("apport-exterieur",IFERROR(INDEX('Paramètres'!$N:$N,MATCH($D4025,'Paramètres'!$M:$M,0))&amp;"",""))),0,IF(OR(IFERROR(INDEX('Paramètres'!$I:$I,MATCH($C4025,'Paramètres'!$D:$D,0))&amp;"","")="Les deux",IFERROR(INDEX('Paramètres'!$I:$I,MATCH($C4025,'Paramètres'!$D:$D,0))&amp;"","")=IF($P4025=1,"Débit",$L4025)),-IF($P4025=1,-$K4025,$K4025),0))))</f>
        <v/>
      </c>
      <c r="U4025" s="6" t="str">
        <f>IF($K4025="","",IF(ISNUMBER(SEARCH("sortie-epargne",IFERROR(INDEX('Paramètres'!$N:$N,MATCH($D4025,'Paramètres'!$M:$M,0))&amp;"",""))),$K4025,0))</f>
        <v/>
      </c>
      <c r="V4025" s="6" t="str">
        <f>IF(AND($A4025&lt;&gt;"",$O4025=1,$L4025="Débit",N($Q4025)&gt;0,$A4025&gt;=Visualisation!$B$1,$A4025&lt;Visualisation!$D$1),MAX($V$1:V4024)+1,"")</f>
        <v/>
      </c>
    </row>
    <row r="4026" spans="1:22" x14ac:dyDescent="0.25">
      <c r="A4026" s="9"/>
      <c r="E4026" s="10"/>
      <c r="K4026" s="11" t="str">
        <f>IF($E4026="","",ROUND($E4026*IF(ISNA(MATCH($C4026,'Paramètres'!$D:$D,0)),1,IF(INDEX('Paramètres'!$J:$J,MATCH($C4026,'Paramètres'!$D:$D,0))="",1,INDEX('Paramètres'!$J:$J,MATCH($C4026,'Paramètres'!$D:$D,0)))),2))</f>
        <v/>
      </c>
      <c r="L4026" s="6" t="str">
        <f>IF($D4026="","",IF($F4026&lt;&gt;"",$F4026,IF(ISNA(MATCH($D4026,'Paramètres'!$M:$M,0)),"⚠ Type inconnu",IFERROR(INDEX('Paramètres'!$P:$P,MATCH($D4026,'Paramètres'!$M:$M,0))&amp;"",""))))</f>
        <v/>
      </c>
      <c r="M4026" s="6" t="str">
        <f>IF($D4026="","",IF(ISNA(MATCH($D4026,'Paramètres'!$M:$M,0)),"⚠ Type inconnu",IF($L4026="Crédit","",IFERROR(INDEX('Paramètres'!$O:$O,MATCH($D4026,'Paramètres'!$M:$M,0))&amp;"",""))))</f>
        <v/>
      </c>
      <c r="N4026" s="6" t="str">
        <f>IF($D4026="","",IFERROR(INDEX('Paramètres'!$Q:$Q,MATCH($D4026,'Paramètres'!$M:$M,0))&amp;"",""))</f>
        <v/>
      </c>
      <c r="O4026" s="6" t="str">
        <f>IF($A4026="","",IF(OR($J4026&lt;&gt;"x",$A4026&lt;=FinReleve),1,0))</f>
        <v/>
      </c>
      <c r="P4026" s="6" t="str">
        <f>IF($D4026="","",IF(AND($L4026="Crédit",OR(IFERROR(INDEX('Paramètres'!$O:$O,MATCH($D4026,'Paramètres'!$M:$M,0))&amp;"","")&lt;&gt;"",ISNUMBER(SEARCH("remboursement",IFERROR(INDEX('Paramètres'!$N:$N,MATCH($D4026,'Paramètres'!$M:$M,0))&amp;"",""))))),1,0))</f>
        <v/>
      </c>
      <c r="Q4026" s="6" t="str">
        <f>IF($K4026="","",IF(ISNUMBER(SEARCH("transfert-interne",IFERROR(INDEX('Paramètres'!$N:$N,MATCH($D4026,'Paramètres'!$M:$M,0))&amp;"",""))),0,IF($L4026="Débit",$K4026,IF($P4026=1,-$K4026,0))))</f>
        <v/>
      </c>
      <c r="R4026" s="6" t="str">
        <f>IF($K4026="","",IF($L4026="Crédit",$K4026,-$K4026))</f>
        <v/>
      </c>
      <c r="S4026" s="6" t="str">
        <f>IF($C4026="","",IFERROR(INDEX('Paramètres'!$H:$H,MATCH($C4026,'Paramètres'!$D:$D,0))&amp;"",""))</f>
        <v/>
      </c>
      <c r="T4026" s="6" t="str">
        <f>IF($K4026="","",IF($S4026="",0,IF(ISNUMBER(SEARCH("apport-exterieur",IFERROR(INDEX('Paramètres'!$N:$N,MATCH($D4026,'Paramètres'!$M:$M,0))&amp;"",""))),0,IF(OR(IFERROR(INDEX('Paramètres'!$I:$I,MATCH($C4026,'Paramètres'!$D:$D,0))&amp;"","")="Les deux",IFERROR(INDEX('Paramètres'!$I:$I,MATCH($C4026,'Paramètres'!$D:$D,0))&amp;"","")=IF($P4026=1,"Débit",$L4026)),-IF($P4026=1,-$K4026,$K4026),0))))</f>
        <v/>
      </c>
      <c r="U4026" s="6" t="str">
        <f>IF($K4026="","",IF(ISNUMBER(SEARCH("sortie-epargne",IFERROR(INDEX('Paramètres'!$N:$N,MATCH($D4026,'Paramètres'!$M:$M,0))&amp;"",""))),$K4026,0))</f>
        <v/>
      </c>
      <c r="V4026" s="6" t="str">
        <f>IF(AND($A4026&lt;&gt;"",$O4026=1,$L4026="Débit",N($Q4026)&gt;0,$A4026&gt;=Visualisation!$B$1,$A4026&lt;Visualisation!$D$1),MAX($V$1:V4025)+1,"")</f>
        <v/>
      </c>
    </row>
    <row r="4027" spans="1:22" x14ac:dyDescent="0.25">
      <c r="A4027" s="9"/>
      <c r="E4027" s="10"/>
      <c r="K4027" s="11" t="str">
        <f>IF($E4027="","",ROUND($E4027*IF(ISNA(MATCH($C4027,'Paramètres'!$D:$D,0)),1,IF(INDEX('Paramètres'!$J:$J,MATCH($C4027,'Paramètres'!$D:$D,0))="",1,INDEX('Paramètres'!$J:$J,MATCH($C4027,'Paramètres'!$D:$D,0)))),2))</f>
        <v/>
      </c>
      <c r="L4027" s="6" t="str">
        <f>IF($D4027="","",IF($F4027&lt;&gt;"",$F4027,IF(ISNA(MATCH($D4027,'Paramètres'!$M:$M,0)),"⚠ Type inconnu",IFERROR(INDEX('Paramètres'!$P:$P,MATCH($D4027,'Paramètres'!$M:$M,0))&amp;"",""))))</f>
        <v/>
      </c>
      <c r="M4027" s="6" t="str">
        <f>IF($D4027="","",IF(ISNA(MATCH($D4027,'Paramètres'!$M:$M,0)),"⚠ Type inconnu",IF($L4027="Crédit","",IFERROR(INDEX('Paramètres'!$O:$O,MATCH($D4027,'Paramètres'!$M:$M,0))&amp;"",""))))</f>
        <v/>
      </c>
      <c r="N4027" s="6" t="str">
        <f>IF($D4027="","",IFERROR(INDEX('Paramètres'!$Q:$Q,MATCH($D4027,'Paramètres'!$M:$M,0))&amp;"",""))</f>
        <v/>
      </c>
      <c r="O4027" s="6" t="str">
        <f>IF($A4027="","",IF(OR($J4027&lt;&gt;"x",$A4027&lt;=FinReleve),1,0))</f>
        <v/>
      </c>
      <c r="P4027" s="6" t="str">
        <f>IF($D4027="","",IF(AND($L4027="Crédit",OR(IFERROR(INDEX('Paramètres'!$O:$O,MATCH($D4027,'Paramètres'!$M:$M,0))&amp;"","")&lt;&gt;"",ISNUMBER(SEARCH("remboursement",IFERROR(INDEX('Paramètres'!$N:$N,MATCH($D4027,'Paramètres'!$M:$M,0))&amp;"",""))))),1,0))</f>
        <v/>
      </c>
      <c r="Q4027" s="6" t="str">
        <f>IF($K4027="","",IF(ISNUMBER(SEARCH("transfert-interne",IFERROR(INDEX('Paramètres'!$N:$N,MATCH($D4027,'Paramètres'!$M:$M,0))&amp;"",""))),0,IF($L4027="Débit",$K4027,IF($P4027=1,-$K4027,0))))</f>
        <v/>
      </c>
      <c r="R4027" s="6" t="str">
        <f>IF($K4027="","",IF($L4027="Crédit",$K4027,-$K4027))</f>
        <v/>
      </c>
      <c r="S4027" s="6" t="str">
        <f>IF($C4027="","",IFERROR(INDEX('Paramètres'!$H:$H,MATCH($C4027,'Paramètres'!$D:$D,0))&amp;"",""))</f>
        <v/>
      </c>
      <c r="T4027" s="6" t="str">
        <f>IF($K4027="","",IF($S4027="",0,IF(ISNUMBER(SEARCH("apport-exterieur",IFERROR(INDEX('Paramètres'!$N:$N,MATCH($D4027,'Paramètres'!$M:$M,0))&amp;"",""))),0,IF(OR(IFERROR(INDEX('Paramètres'!$I:$I,MATCH($C4027,'Paramètres'!$D:$D,0))&amp;"","")="Les deux",IFERROR(INDEX('Paramètres'!$I:$I,MATCH($C4027,'Paramètres'!$D:$D,0))&amp;"","")=IF($P4027=1,"Débit",$L4027)),-IF($P4027=1,-$K4027,$K4027),0))))</f>
        <v/>
      </c>
      <c r="U4027" s="6" t="str">
        <f>IF($K4027="","",IF(ISNUMBER(SEARCH("sortie-epargne",IFERROR(INDEX('Paramètres'!$N:$N,MATCH($D4027,'Paramètres'!$M:$M,0))&amp;"",""))),$K4027,0))</f>
        <v/>
      </c>
      <c r="V4027" s="6" t="str">
        <f>IF(AND($A4027&lt;&gt;"",$O4027=1,$L4027="Débit",N($Q4027)&gt;0,$A4027&gt;=Visualisation!$B$1,$A4027&lt;Visualisation!$D$1),MAX($V$1:V4026)+1,"")</f>
        <v/>
      </c>
    </row>
    <row r="4028" spans="1:22" x14ac:dyDescent="0.25">
      <c r="A4028" s="9"/>
      <c r="E4028" s="10"/>
      <c r="K4028" s="11" t="str">
        <f>IF($E4028="","",ROUND($E4028*IF(ISNA(MATCH($C4028,'Paramètres'!$D:$D,0)),1,IF(INDEX('Paramètres'!$J:$J,MATCH($C4028,'Paramètres'!$D:$D,0))="",1,INDEX('Paramètres'!$J:$J,MATCH($C4028,'Paramètres'!$D:$D,0)))),2))</f>
        <v/>
      </c>
      <c r="L4028" s="6" t="str">
        <f>IF($D4028="","",IF($F4028&lt;&gt;"",$F4028,IF(ISNA(MATCH($D4028,'Paramètres'!$M:$M,0)),"⚠ Type inconnu",IFERROR(INDEX('Paramètres'!$P:$P,MATCH($D4028,'Paramètres'!$M:$M,0))&amp;"",""))))</f>
        <v/>
      </c>
      <c r="M4028" s="6" t="str">
        <f>IF($D4028="","",IF(ISNA(MATCH($D4028,'Paramètres'!$M:$M,0)),"⚠ Type inconnu",IF($L4028="Crédit","",IFERROR(INDEX('Paramètres'!$O:$O,MATCH($D4028,'Paramètres'!$M:$M,0))&amp;"",""))))</f>
        <v/>
      </c>
      <c r="N4028" s="6" t="str">
        <f>IF($D4028="","",IFERROR(INDEX('Paramètres'!$Q:$Q,MATCH($D4028,'Paramètres'!$M:$M,0))&amp;"",""))</f>
        <v/>
      </c>
      <c r="O4028" s="6" t="str">
        <f>IF($A4028="","",IF(OR($J4028&lt;&gt;"x",$A4028&lt;=FinReleve),1,0))</f>
        <v/>
      </c>
      <c r="P4028" s="6" t="str">
        <f>IF($D4028="","",IF(AND($L4028="Crédit",OR(IFERROR(INDEX('Paramètres'!$O:$O,MATCH($D4028,'Paramètres'!$M:$M,0))&amp;"","")&lt;&gt;"",ISNUMBER(SEARCH("remboursement",IFERROR(INDEX('Paramètres'!$N:$N,MATCH($D4028,'Paramètres'!$M:$M,0))&amp;"",""))))),1,0))</f>
        <v/>
      </c>
      <c r="Q4028" s="6" t="str">
        <f>IF($K4028="","",IF(ISNUMBER(SEARCH("transfert-interne",IFERROR(INDEX('Paramètres'!$N:$N,MATCH($D4028,'Paramètres'!$M:$M,0))&amp;"",""))),0,IF($L4028="Débit",$K4028,IF($P4028=1,-$K4028,0))))</f>
        <v/>
      </c>
      <c r="R4028" s="6" t="str">
        <f>IF($K4028="","",IF($L4028="Crédit",$K4028,-$K4028))</f>
        <v/>
      </c>
      <c r="S4028" s="6" t="str">
        <f>IF($C4028="","",IFERROR(INDEX('Paramètres'!$H:$H,MATCH($C4028,'Paramètres'!$D:$D,0))&amp;"",""))</f>
        <v/>
      </c>
      <c r="T4028" s="6" t="str">
        <f>IF($K4028="","",IF($S4028="",0,IF(ISNUMBER(SEARCH("apport-exterieur",IFERROR(INDEX('Paramètres'!$N:$N,MATCH($D4028,'Paramètres'!$M:$M,0))&amp;"",""))),0,IF(OR(IFERROR(INDEX('Paramètres'!$I:$I,MATCH($C4028,'Paramètres'!$D:$D,0))&amp;"","")="Les deux",IFERROR(INDEX('Paramètres'!$I:$I,MATCH($C4028,'Paramètres'!$D:$D,0))&amp;"","")=IF($P4028=1,"Débit",$L4028)),-IF($P4028=1,-$K4028,$K4028),0))))</f>
        <v/>
      </c>
      <c r="U4028" s="6" t="str">
        <f>IF($K4028="","",IF(ISNUMBER(SEARCH("sortie-epargne",IFERROR(INDEX('Paramètres'!$N:$N,MATCH($D4028,'Paramètres'!$M:$M,0))&amp;"",""))),$K4028,0))</f>
        <v/>
      </c>
      <c r="V4028" s="6" t="str">
        <f>IF(AND($A4028&lt;&gt;"",$O4028=1,$L4028="Débit",N($Q4028)&gt;0,$A4028&gt;=Visualisation!$B$1,$A4028&lt;Visualisation!$D$1),MAX($V$1:V4027)+1,"")</f>
        <v/>
      </c>
    </row>
    <row r="4029" spans="1:22" x14ac:dyDescent="0.25">
      <c r="A4029" s="9"/>
      <c r="E4029" s="10"/>
      <c r="K4029" s="11" t="str">
        <f>IF($E4029="","",ROUND($E4029*IF(ISNA(MATCH($C4029,'Paramètres'!$D:$D,0)),1,IF(INDEX('Paramètres'!$J:$J,MATCH($C4029,'Paramètres'!$D:$D,0))="",1,INDEX('Paramètres'!$J:$J,MATCH($C4029,'Paramètres'!$D:$D,0)))),2))</f>
        <v/>
      </c>
      <c r="L4029" s="6" t="str">
        <f>IF($D4029="","",IF($F4029&lt;&gt;"",$F4029,IF(ISNA(MATCH($D4029,'Paramètres'!$M:$M,0)),"⚠ Type inconnu",IFERROR(INDEX('Paramètres'!$P:$P,MATCH($D4029,'Paramètres'!$M:$M,0))&amp;"",""))))</f>
        <v/>
      </c>
      <c r="M4029" s="6" t="str">
        <f>IF($D4029="","",IF(ISNA(MATCH($D4029,'Paramètres'!$M:$M,0)),"⚠ Type inconnu",IF($L4029="Crédit","",IFERROR(INDEX('Paramètres'!$O:$O,MATCH($D4029,'Paramètres'!$M:$M,0))&amp;"",""))))</f>
        <v/>
      </c>
      <c r="N4029" s="6" t="str">
        <f>IF($D4029="","",IFERROR(INDEX('Paramètres'!$Q:$Q,MATCH($D4029,'Paramètres'!$M:$M,0))&amp;"",""))</f>
        <v/>
      </c>
      <c r="O4029" s="6" t="str">
        <f>IF($A4029="","",IF(OR($J4029&lt;&gt;"x",$A4029&lt;=FinReleve),1,0))</f>
        <v/>
      </c>
      <c r="P4029" s="6" t="str">
        <f>IF($D4029="","",IF(AND($L4029="Crédit",OR(IFERROR(INDEX('Paramètres'!$O:$O,MATCH($D4029,'Paramètres'!$M:$M,0))&amp;"","")&lt;&gt;"",ISNUMBER(SEARCH("remboursement",IFERROR(INDEX('Paramètres'!$N:$N,MATCH($D4029,'Paramètres'!$M:$M,0))&amp;"",""))))),1,0))</f>
        <v/>
      </c>
      <c r="Q4029" s="6" t="str">
        <f>IF($K4029="","",IF(ISNUMBER(SEARCH("transfert-interne",IFERROR(INDEX('Paramètres'!$N:$N,MATCH($D4029,'Paramètres'!$M:$M,0))&amp;"",""))),0,IF($L4029="Débit",$K4029,IF($P4029=1,-$K4029,0))))</f>
        <v/>
      </c>
      <c r="R4029" s="6" t="str">
        <f>IF($K4029="","",IF($L4029="Crédit",$K4029,-$K4029))</f>
        <v/>
      </c>
      <c r="S4029" s="6" t="str">
        <f>IF($C4029="","",IFERROR(INDEX('Paramètres'!$H:$H,MATCH($C4029,'Paramètres'!$D:$D,0))&amp;"",""))</f>
        <v/>
      </c>
      <c r="T4029" s="6" t="str">
        <f>IF($K4029="","",IF($S4029="",0,IF(ISNUMBER(SEARCH("apport-exterieur",IFERROR(INDEX('Paramètres'!$N:$N,MATCH($D4029,'Paramètres'!$M:$M,0))&amp;"",""))),0,IF(OR(IFERROR(INDEX('Paramètres'!$I:$I,MATCH($C4029,'Paramètres'!$D:$D,0))&amp;"","")="Les deux",IFERROR(INDEX('Paramètres'!$I:$I,MATCH($C4029,'Paramètres'!$D:$D,0))&amp;"","")=IF($P4029=1,"Débit",$L4029)),-IF($P4029=1,-$K4029,$K4029),0))))</f>
        <v/>
      </c>
      <c r="U4029" s="6" t="str">
        <f>IF($K4029="","",IF(ISNUMBER(SEARCH("sortie-epargne",IFERROR(INDEX('Paramètres'!$N:$N,MATCH($D4029,'Paramètres'!$M:$M,0))&amp;"",""))),$K4029,0))</f>
        <v/>
      </c>
      <c r="V4029" s="6" t="str">
        <f>IF(AND($A4029&lt;&gt;"",$O4029=1,$L4029="Débit",N($Q4029)&gt;0,$A4029&gt;=Visualisation!$B$1,$A4029&lt;Visualisation!$D$1),MAX($V$1:V4028)+1,"")</f>
        <v/>
      </c>
    </row>
    <row r="4030" spans="1:22" x14ac:dyDescent="0.25">
      <c r="A4030" s="9"/>
      <c r="E4030" s="10"/>
      <c r="K4030" s="11" t="str">
        <f>IF($E4030="","",ROUND($E4030*IF(ISNA(MATCH($C4030,'Paramètres'!$D:$D,0)),1,IF(INDEX('Paramètres'!$J:$J,MATCH($C4030,'Paramètres'!$D:$D,0))="",1,INDEX('Paramètres'!$J:$J,MATCH($C4030,'Paramètres'!$D:$D,0)))),2))</f>
        <v/>
      </c>
      <c r="L4030" s="6" t="str">
        <f>IF($D4030="","",IF($F4030&lt;&gt;"",$F4030,IF(ISNA(MATCH($D4030,'Paramètres'!$M:$M,0)),"⚠ Type inconnu",IFERROR(INDEX('Paramètres'!$P:$P,MATCH($D4030,'Paramètres'!$M:$M,0))&amp;"",""))))</f>
        <v/>
      </c>
      <c r="M4030" s="6" t="str">
        <f>IF($D4030="","",IF(ISNA(MATCH($D4030,'Paramètres'!$M:$M,0)),"⚠ Type inconnu",IF($L4030="Crédit","",IFERROR(INDEX('Paramètres'!$O:$O,MATCH($D4030,'Paramètres'!$M:$M,0))&amp;"",""))))</f>
        <v/>
      </c>
      <c r="N4030" s="6" t="str">
        <f>IF($D4030="","",IFERROR(INDEX('Paramètres'!$Q:$Q,MATCH($D4030,'Paramètres'!$M:$M,0))&amp;"",""))</f>
        <v/>
      </c>
      <c r="O4030" s="6" t="str">
        <f>IF($A4030="","",IF(OR($J4030&lt;&gt;"x",$A4030&lt;=FinReleve),1,0))</f>
        <v/>
      </c>
      <c r="P4030" s="6" t="str">
        <f>IF($D4030="","",IF(AND($L4030="Crédit",OR(IFERROR(INDEX('Paramètres'!$O:$O,MATCH($D4030,'Paramètres'!$M:$M,0))&amp;"","")&lt;&gt;"",ISNUMBER(SEARCH("remboursement",IFERROR(INDEX('Paramètres'!$N:$N,MATCH($D4030,'Paramètres'!$M:$M,0))&amp;"",""))))),1,0))</f>
        <v/>
      </c>
      <c r="Q4030" s="6" t="str">
        <f>IF($K4030="","",IF(ISNUMBER(SEARCH("transfert-interne",IFERROR(INDEX('Paramètres'!$N:$N,MATCH($D4030,'Paramètres'!$M:$M,0))&amp;"",""))),0,IF($L4030="Débit",$K4030,IF($P4030=1,-$K4030,0))))</f>
        <v/>
      </c>
      <c r="R4030" s="6" t="str">
        <f>IF($K4030="","",IF($L4030="Crédit",$K4030,-$K4030))</f>
        <v/>
      </c>
      <c r="S4030" s="6" t="str">
        <f>IF($C4030="","",IFERROR(INDEX('Paramètres'!$H:$H,MATCH($C4030,'Paramètres'!$D:$D,0))&amp;"",""))</f>
        <v/>
      </c>
      <c r="T4030" s="6" t="str">
        <f>IF($K4030="","",IF($S4030="",0,IF(ISNUMBER(SEARCH("apport-exterieur",IFERROR(INDEX('Paramètres'!$N:$N,MATCH($D4030,'Paramètres'!$M:$M,0))&amp;"",""))),0,IF(OR(IFERROR(INDEX('Paramètres'!$I:$I,MATCH($C4030,'Paramètres'!$D:$D,0))&amp;"","")="Les deux",IFERROR(INDEX('Paramètres'!$I:$I,MATCH($C4030,'Paramètres'!$D:$D,0))&amp;"","")=IF($P4030=1,"Débit",$L4030)),-IF($P4030=1,-$K4030,$K4030),0))))</f>
        <v/>
      </c>
      <c r="U4030" s="6" t="str">
        <f>IF($K4030="","",IF(ISNUMBER(SEARCH("sortie-epargne",IFERROR(INDEX('Paramètres'!$N:$N,MATCH($D4030,'Paramètres'!$M:$M,0))&amp;"",""))),$K4030,0))</f>
        <v/>
      </c>
      <c r="V4030" s="6" t="str">
        <f>IF(AND($A4030&lt;&gt;"",$O4030=1,$L4030="Débit",N($Q4030)&gt;0,$A4030&gt;=Visualisation!$B$1,$A4030&lt;Visualisation!$D$1),MAX($V$1:V4029)+1,"")</f>
        <v/>
      </c>
    </row>
    <row r="4031" spans="1:22" x14ac:dyDescent="0.25">
      <c r="A4031" s="9"/>
      <c r="E4031" s="10"/>
      <c r="K4031" s="11" t="str">
        <f>IF($E4031="","",ROUND($E4031*IF(ISNA(MATCH($C4031,'Paramètres'!$D:$D,0)),1,IF(INDEX('Paramètres'!$J:$J,MATCH($C4031,'Paramètres'!$D:$D,0))="",1,INDEX('Paramètres'!$J:$J,MATCH($C4031,'Paramètres'!$D:$D,0)))),2))</f>
        <v/>
      </c>
      <c r="L4031" s="6" t="str">
        <f>IF($D4031="","",IF($F4031&lt;&gt;"",$F4031,IF(ISNA(MATCH($D4031,'Paramètres'!$M:$M,0)),"⚠ Type inconnu",IFERROR(INDEX('Paramètres'!$P:$P,MATCH($D4031,'Paramètres'!$M:$M,0))&amp;"",""))))</f>
        <v/>
      </c>
      <c r="M4031" s="6" t="str">
        <f>IF($D4031="","",IF(ISNA(MATCH($D4031,'Paramètres'!$M:$M,0)),"⚠ Type inconnu",IF($L4031="Crédit","",IFERROR(INDEX('Paramètres'!$O:$O,MATCH($D4031,'Paramètres'!$M:$M,0))&amp;"",""))))</f>
        <v/>
      </c>
      <c r="N4031" s="6" t="str">
        <f>IF($D4031="","",IFERROR(INDEX('Paramètres'!$Q:$Q,MATCH($D4031,'Paramètres'!$M:$M,0))&amp;"",""))</f>
        <v/>
      </c>
      <c r="O4031" s="6" t="str">
        <f>IF($A4031="","",IF(OR($J4031&lt;&gt;"x",$A4031&lt;=FinReleve),1,0))</f>
        <v/>
      </c>
      <c r="P4031" s="6" t="str">
        <f>IF($D4031="","",IF(AND($L4031="Crédit",OR(IFERROR(INDEX('Paramètres'!$O:$O,MATCH($D4031,'Paramètres'!$M:$M,0))&amp;"","")&lt;&gt;"",ISNUMBER(SEARCH("remboursement",IFERROR(INDEX('Paramètres'!$N:$N,MATCH($D4031,'Paramètres'!$M:$M,0))&amp;"",""))))),1,0))</f>
        <v/>
      </c>
      <c r="Q4031" s="6" t="str">
        <f>IF($K4031="","",IF(ISNUMBER(SEARCH("transfert-interne",IFERROR(INDEX('Paramètres'!$N:$N,MATCH($D4031,'Paramètres'!$M:$M,0))&amp;"",""))),0,IF($L4031="Débit",$K4031,IF($P4031=1,-$K4031,0))))</f>
        <v/>
      </c>
      <c r="R4031" s="6" t="str">
        <f>IF($K4031="","",IF($L4031="Crédit",$K4031,-$K4031))</f>
        <v/>
      </c>
      <c r="S4031" s="6" t="str">
        <f>IF($C4031="","",IFERROR(INDEX('Paramètres'!$H:$H,MATCH($C4031,'Paramètres'!$D:$D,0))&amp;"",""))</f>
        <v/>
      </c>
      <c r="T4031" s="6" t="str">
        <f>IF($K4031="","",IF($S4031="",0,IF(ISNUMBER(SEARCH("apport-exterieur",IFERROR(INDEX('Paramètres'!$N:$N,MATCH($D4031,'Paramètres'!$M:$M,0))&amp;"",""))),0,IF(OR(IFERROR(INDEX('Paramètres'!$I:$I,MATCH($C4031,'Paramètres'!$D:$D,0))&amp;"","")="Les deux",IFERROR(INDEX('Paramètres'!$I:$I,MATCH($C4031,'Paramètres'!$D:$D,0))&amp;"","")=IF($P4031=1,"Débit",$L4031)),-IF($P4031=1,-$K4031,$K4031),0))))</f>
        <v/>
      </c>
      <c r="U4031" s="6" t="str">
        <f>IF($K4031="","",IF(ISNUMBER(SEARCH("sortie-epargne",IFERROR(INDEX('Paramètres'!$N:$N,MATCH($D4031,'Paramètres'!$M:$M,0))&amp;"",""))),$K4031,0))</f>
        <v/>
      </c>
      <c r="V4031" s="6" t="str">
        <f>IF(AND($A4031&lt;&gt;"",$O4031=1,$L4031="Débit",N($Q4031)&gt;0,$A4031&gt;=Visualisation!$B$1,$A4031&lt;Visualisation!$D$1),MAX($V$1:V4030)+1,"")</f>
        <v/>
      </c>
    </row>
    <row r="4032" spans="1:22" x14ac:dyDescent="0.25">
      <c r="A4032" s="9"/>
      <c r="E4032" s="10"/>
      <c r="K4032" s="11" t="str">
        <f>IF($E4032="","",ROUND($E4032*IF(ISNA(MATCH($C4032,'Paramètres'!$D:$D,0)),1,IF(INDEX('Paramètres'!$J:$J,MATCH($C4032,'Paramètres'!$D:$D,0))="",1,INDEX('Paramètres'!$J:$J,MATCH($C4032,'Paramètres'!$D:$D,0)))),2))</f>
        <v/>
      </c>
      <c r="L4032" s="6" t="str">
        <f>IF($D4032="","",IF($F4032&lt;&gt;"",$F4032,IF(ISNA(MATCH($D4032,'Paramètres'!$M:$M,0)),"⚠ Type inconnu",IFERROR(INDEX('Paramètres'!$P:$P,MATCH($D4032,'Paramètres'!$M:$M,0))&amp;"",""))))</f>
        <v/>
      </c>
      <c r="M4032" s="6" t="str">
        <f>IF($D4032="","",IF(ISNA(MATCH($D4032,'Paramètres'!$M:$M,0)),"⚠ Type inconnu",IF($L4032="Crédit","",IFERROR(INDEX('Paramètres'!$O:$O,MATCH($D4032,'Paramètres'!$M:$M,0))&amp;"",""))))</f>
        <v/>
      </c>
      <c r="N4032" s="6" t="str">
        <f>IF($D4032="","",IFERROR(INDEX('Paramètres'!$Q:$Q,MATCH($D4032,'Paramètres'!$M:$M,0))&amp;"",""))</f>
        <v/>
      </c>
      <c r="O4032" s="6" t="str">
        <f>IF($A4032="","",IF(OR($J4032&lt;&gt;"x",$A4032&lt;=FinReleve),1,0))</f>
        <v/>
      </c>
      <c r="P4032" s="6" t="str">
        <f>IF($D4032="","",IF(AND($L4032="Crédit",OR(IFERROR(INDEX('Paramètres'!$O:$O,MATCH($D4032,'Paramètres'!$M:$M,0))&amp;"","")&lt;&gt;"",ISNUMBER(SEARCH("remboursement",IFERROR(INDEX('Paramètres'!$N:$N,MATCH($D4032,'Paramètres'!$M:$M,0))&amp;"",""))))),1,0))</f>
        <v/>
      </c>
      <c r="Q4032" s="6" t="str">
        <f>IF($K4032="","",IF(ISNUMBER(SEARCH("transfert-interne",IFERROR(INDEX('Paramètres'!$N:$N,MATCH($D4032,'Paramètres'!$M:$M,0))&amp;"",""))),0,IF($L4032="Débit",$K4032,IF($P4032=1,-$K4032,0))))</f>
        <v/>
      </c>
      <c r="R4032" s="6" t="str">
        <f>IF($K4032="","",IF($L4032="Crédit",$K4032,-$K4032))</f>
        <v/>
      </c>
      <c r="S4032" s="6" t="str">
        <f>IF($C4032="","",IFERROR(INDEX('Paramètres'!$H:$H,MATCH($C4032,'Paramètres'!$D:$D,0))&amp;"",""))</f>
        <v/>
      </c>
      <c r="T4032" s="6" t="str">
        <f>IF($K4032="","",IF($S4032="",0,IF(ISNUMBER(SEARCH("apport-exterieur",IFERROR(INDEX('Paramètres'!$N:$N,MATCH($D4032,'Paramètres'!$M:$M,0))&amp;"",""))),0,IF(OR(IFERROR(INDEX('Paramètres'!$I:$I,MATCH($C4032,'Paramètres'!$D:$D,0))&amp;"","")="Les deux",IFERROR(INDEX('Paramètres'!$I:$I,MATCH($C4032,'Paramètres'!$D:$D,0))&amp;"","")=IF($P4032=1,"Débit",$L4032)),-IF($P4032=1,-$K4032,$K4032),0))))</f>
        <v/>
      </c>
      <c r="U4032" s="6" t="str">
        <f>IF($K4032="","",IF(ISNUMBER(SEARCH("sortie-epargne",IFERROR(INDEX('Paramètres'!$N:$N,MATCH($D4032,'Paramètres'!$M:$M,0))&amp;"",""))),$K4032,0))</f>
        <v/>
      </c>
      <c r="V4032" s="6" t="str">
        <f>IF(AND($A4032&lt;&gt;"",$O4032=1,$L4032="Débit",N($Q4032)&gt;0,$A4032&gt;=Visualisation!$B$1,$A4032&lt;Visualisation!$D$1),MAX($V$1:V4031)+1,"")</f>
        <v/>
      </c>
    </row>
    <row r="4033" spans="1:22" x14ac:dyDescent="0.25">
      <c r="A4033" s="9"/>
      <c r="E4033" s="10"/>
      <c r="K4033" s="11" t="str">
        <f>IF($E4033="","",ROUND($E4033*IF(ISNA(MATCH($C4033,'Paramètres'!$D:$D,0)),1,IF(INDEX('Paramètres'!$J:$J,MATCH($C4033,'Paramètres'!$D:$D,0))="",1,INDEX('Paramètres'!$J:$J,MATCH($C4033,'Paramètres'!$D:$D,0)))),2))</f>
        <v/>
      </c>
      <c r="L4033" s="6" t="str">
        <f>IF($D4033="","",IF($F4033&lt;&gt;"",$F4033,IF(ISNA(MATCH($D4033,'Paramètres'!$M:$M,0)),"⚠ Type inconnu",IFERROR(INDEX('Paramètres'!$P:$P,MATCH($D4033,'Paramètres'!$M:$M,0))&amp;"",""))))</f>
        <v/>
      </c>
      <c r="M4033" s="6" t="str">
        <f>IF($D4033="","",IF(ISNA(MATCH($D4033,'Paramètres'!$M:$M,0)),"⚠ Type inconnu",IF($L4033="Crédit","",IFERROR(INDEX('Paramètres'!$O:$O,MATCH($D4033,'Paramètres'!$M:$M,0))&amp;"",""))))</f>
        <v/>
      </c>
      <c r="N4033" s="6" t="str">
        <f>IF($D4033="","",IFERROR(INDEX('Paramètres'!$Q:$Q,MATCH($D4033,'Paramètres'!$M:$M,0))&amp;"",""))</f>
        <v/>
      </c>
      <c r="O4033" s="6" t="str">
        <f>IF($A4033="","",IF(OR($J4033&lt;&gt;"x",$A4033&lt;=FinReleve),1,0))</f>
        <v/>
      </c>
      <c r="P4033" s="6" t="str">
        <f>IF($D4033="","",IF(AND($L4033="Crédit",OR(IFERROR(INDEX('Paramètres'!$O:$O,MATCH($D4033,'Paramètres'!$M:$M,0))&amp;"","")&lt;&gt;"",ISNUMBER(SEARCH("remboursement",IFERROR(INDEX('Paramètres'!$N:$N,MATCH($D4033,'Paramètres'!$M:$M,0))&amp;"",""))))),1,0))</f>
        <v/>
      </c>
      <c r="Q4033" s="6" t="str">
        <f>IF($K4033="","",IF(ISNUMBER(SEARCH("transfert-interne",IFERROR(INDEX('Paramètres'!$N:$N,MATCH($D4033,'Paramètres'!$M:$M,0))&amp;"",""))),0,IF($L4033="Débit",$K4033,IF($P4033=1,-$K4033,0))))</f>
        <v/>
      </c>
      <c r="R4033" s="6" t="str">
        <f>IF($K4033="","",IF($L4033="Crédit",$K4033,-$K4033))</f>
        <v/>
      </c>
      <c r="S4033" s="6" t="str">
        <f>IF($C4033="","",IFERROR(INDEX('Paramètres'!$H:$H,MATCH($C4033,'Paramètres'!$D:$D,0))&amp;"",""))</f>
        <v/>
      </c>
      <c r="T4033" s="6" t="str">
        <f>IF($K4033="","",IF($S4033="",0,IF(ISNUMBER(SEARCH("apport-exterieur",IFERROR(INDEX('Paramètres'!$N:$N,MATCH($D4033,'Paramètres'!$M:$M,0))&amp;"",""))),0,IF(OR(IFERROR(INDEX('Paramètres'!$I:$I,MATCH($C4033,'Paramètres'!$D:$D,0))&amp;"","")="Les deux",IFERROR(INDEX('Paramètres'!$I:$I,MATCH($C4033,'Paramètres'!$D:$D,0))&amp;"","")=IF($P4033=1,"Débit",$L4033)),-IF($P4033=1,-$K4033,$K4033),0))))</f>
        <v/>
      </c>
      <c r="U4033" s="6" t="str">
        <f>IF($K4033="","",IF(ISNUMBER(SEARCH("sortie-epargne",IFERROR(INDEX('Paramètres'!$N:$N,MATCH($D4033,'Paramètres'!$M:$M,0))&amp;"",""))),$K4033,0))</f>
        <v/>
      </c>
      <c r="V4033" s="6" t="str">
        <f>IF(AND($A4033&lt;&gt;"",$O4033=1,$L4033="Débit",N($Q4033)&gt;0,$A4033&gt;=Visualisation!$B$1,$A4033&lt;Visualisation!$D$1),MAX($V$1:V4032)+1,"")</f>
        <v/>
      </c>
    </row>
    <row r="4034" spans="1:22" x14ac:dyDescent="0.25">
      <c r="A4034" s="9"/>
      <c r="E4034" s="10"/>
      <c r="K4034" s="11" t="str">
        <f>IF($E4034="","",ROUND($E4034*IF(ISNA(MATCH($C4034,'Paramètres'!$D:$D,0)),1,IF(INDEX('Paramètres'!$J:$J,MATCH($C4034,'Paramètres'!$D:$D,0))="",1,INDEX('Paramètres'!$J:$J,MATCH($C4034,'Paramètres'!$D:$D,0)))),2))</f>
        <v/>
      </c>
      <c r="L4034" s="6" t="str">
        <f>IF($D4034="","",IF($F4034&lt;&gt;"",$F4034,IF(ISNA(MATCH($D4034,'Paramètres'!$M:$M,0)),"⚠ Type inconnu",IFERROR(INDEX('Paramètres'!$P:$P,MATCH($D4034,'Paramètres'!$M:$M,0))&amp;"",""))))</f>
        <v/>
      </c>
      <c r="M4034" s="6" t="str">
        <f>IF($D4034="","",IF(ISNA(MATCH($D4034,'Paramètres'!$M:$M,0)),"⚠ Type inconnu",IF($L4034="Crédit","",IFERROR(INDEX('Paramètres'!$O:$O,MATCH($D4034,'Paramètres'!$M:$M,0))&amp;"",""))))</f>
        <v/>
      </c>
      <c r="N4034" s="6" t="str">
        <f>IF($D4034="","",IFERROR(INDEX('Paramètres'!$Q:$Q,MATCH($D4034,'Paramètres'!$M:$M,0))&amp;"",""))</f>
        <v/>
      </c>
      <c r="O4034" s="6" t="str">
        <f>IF($A4034="","",IF(OR($J4034&lt;&gt;"x",$A4034&lt;=FinReleve),1,0))</f>
        <v/>
      </c>
      <c r="P4034" s="6" t="str">
        <f>IF($D4034="","",IF(AND($L4034="Crédit",OR(IFERROR(INDEX('Paramètres'!$O:$O,MATCH($D4034,'Paramètres'!$M:$M,0))&amp;"","")&lt;&gt;"",ISNUMBER(SEARCH("remboursement",IFERROR(INDEX('Paramètres'!$N:$N,MATCH($D4034,'Paramètres'!$M:$M,0))&amp;"",""))))),1,0))</f>
        <v/>
      </c>
      <c r="Q4034" s="6" t="str">
        <f>IF($K4034="","",IF(ISNUMBER(SEARCH("transfert-interne",IFERROR(INDEX('Paramètres'!$N:$N,MATCH($D4034,'Paramètres'!$M:$M,0))&amp;"",""))),0,IF($L4034="Débit",$K4034,IF($P4034=1,-$K4034,0))))</f>
        <v/>
      </c>
      <c r="R4034" s="6" t="str">
        <f>IF($K4034="","",IF($L4034="Crédit",$K4034,-$K4034))</f>
        <v/>
      </c>
      <c r="S4034" s="6" t="str">
        <f>IF($C4034="","",IFERROR(INDEX('Paramètres'!$H:$H,MATCH($C4034,'Paramètres'!$D:$D,0))&amp;"",""))</f>
        <v/>
      </c>
      <c r="T4034" s="6" t="str">
        <f>IF($K4034="","",IF($S4034="",0,IF(ISNUMBER(SEARCH("apport-exterieur",IFERROR(INDEX('Paramètres'!$N:$N,MATCH($D4034,'Paramètres'!$M:$M,0))&amp;"",""))),0,IF(OR(IFERROR(INDEX('Paramètres'!$I:$I,MATCH($C4034,'Paramètres'!$D:$D,0))&amp;"","")="Les deux",IFERROR(INDEX('Paramètres'!$I:$I,MATCH($C4034,'Paramètres'!$D:$D,0))&amp;"","")=IF($P4034=1,"Débit",$L4034)),-IF($P4034=1,-$K4034,$K4034),0))))</f>
        <v/>
      </c>
      <c r="U4034" s="6" t="str">
        <f>IF($K4034="","",IF(ISNUMBER(SEARCH("sortie-epargne",IFERROR(INDEX('Paramètres'!$N:$N,MATCH($D4034,'Paramètres'!$M:$M,0))&amp;"",""))),$K4034,0))</f>
        <v/>
      </c>
      <c r="V4034" s="6" t="str">
        <f>IF(AND($A4034&lt;&gt;"",$O4034=1,$L4034="Débit",N($Q4034)&gt;0,$A4034&gt;=Visualisation!$B$1,$A4034&lt;Visualisation!$D$1),MAX($V$1:V4033)+1,"")</f>
        <v/>
      </c>
    </row>
    <row r="4035" spans="1:22" x14ac:dyDescent="0.25">
      <c r="A4035" s="9"/>
      <c r="E4035" s="10"/>
      <c r="K4035" s="11" t="str">
        <f>IF($E4035="","",ROUND($E4035*IF(ISNA(MATCH($C4035,'Paramètres'!$D:$D,0)),1,IF(INDEX('Paramètres'!$J:$J,MATCH($C4035,'Paramètres'!$D:$D,0))="",1,INDEX('Paramètres'!$J:$J,MATCH($C4035,'Paramètres'!$D:$D,0)))),2))</f>
        <v/>
      </c>
      <c r="L4035" s="6" t="str">
        <f>IF($D4035="","",IF($F4035&lt;&gt;"",$F4035,IF(ISNA(MATCH($D4035,'Paramètres'!$M:$M,0)),"⚠ Type inconnu",IFERROR(INDEX('Paramètres'!$P:$P,MATCH($D4035,'Paramètres'!$M:$M,0))&amp;"",""))))</f>
        <v/>
      </c>
      <c r="M4035" s="6" t="str">
        <f>IF($D4035="","",IF(ISNA(MATCH($D4035,'Paramètres'!$M:$M,0)),"⚠ Type inconnu",IF($L4035="Crédit","",IFERROR(INDEX('Paramètres'!$O:$O,MATCH($D4035,'Paramètres'!$M:$M,0))&amp;"",""))))</f>
        <v/>
      </c>
      <c r="N4035" s="6" t="str">
        <f>IF($D4035="","",IFERROR(INDEX('Paramètres'!$Q:$Q,MATCH($D4035,'Paramètres'!$M:$M,0))&amp;"",""))</f>
        <v/>
      </c>
      <c r="O4035" s="6" t="str">
        <f>IF($A4035="","",IF(OR($J4035&lt;&gt;"x",$A4035&lt;=FinReleve),1,0))</f>
        <v/>
      </c>
      <c r="P4035" s="6" t="str">
        <f>IF($D4035="","",IF(AND($L4035="Crédit",OR(IFERROR(INDEX('Paramètres'!$O:$O,MATCH($D4035,'Paramètres'!$M:$M,0))&amp;"","")&lt;&gt;"",ISNUMBER(SEARCH("remboursement",IFERROR(INDEX('Paramètres'!$N:$N,MATCH($D4035,'Paramètres'!$M:$M,0))&amp;"",""))))),1,0))</f>
        <v/>
      </c>
      <c r="Q4035" s="6" t="str">
        <f>IF($K4035="","",IF(ISNUMBER(SEARCH("transfert-interne",IFERROR(INDEX('Paramètres'!$N:$N,MATCH($D4035,'Paramètres'!$M:$M,0))&amp;"",""))),0,IF($L4035="Débit",$K4035,IF($P4035=1,-$K4035,0))))</f>
        <v/>
      </c>
      <c r="R4035" s="6" t="str">
        <f>IF($K4035="","",IF($L4035="Crédit",$K4035,-$K4035))</f>
        <v/>
      </c>
      <c r="S4035" s="6" t="str">
        <f>IF($C4035="","",IFERROR(INDEX('Paramètres'!$H:$H,MATCH($C4035,'Paramètres'!$D:$D,0))&amp;"",""))</f>
        <v/>
      </c>
      <c r="T4035" s="6" t="str">
        <f>IF($K4035="","",IF($S4035="",0,IF(ISNUMBER(SEARCH("apport-exterieur",IFERROR(INDEX('Paramètres'!$N:$N,MATCH($D4035,'Paramètres'!$M:$M,0))&amp;"",""))),0,IF(OR(IFERROR(INDEX('Paramètres'!$I:$I,MATCH($C4035,'Paramètres'!$D:$D,0))&amp;"","")="Les deux",IFERROR(INDEX('Paramètres'!$I:$I,MATCH($C4035,'Paramètres'!$D:$D,0))&amp;"","")=IF($P4035=1,"Débit",$L4035)),-IF($P4035=1,-$K4035,$K4035),0))))</f>
        <v/>
      </c>
      <c r="U4035" s="6" t="str">
        <f>IF($K4035="","",IF(ISNUMBER(SEARCH("sortie-epargne",IFERROR(INDEX('Paramètres'!$N:$N,MATCH($D4035,'Paramètres'!$M:$M,0))&amp;"",""))),$K4035,0))</f>
        <v/>
      </c>
      <c r="V4035" s="6" t="str">
        <f>IF(AND($A4035&lt;&gt;"",$O4035=1,$L4035="Débit",N($Q4035)&gt;0,$A4035&gt;=Visualisation!$B$1,$A4035&lt;Visualisation!$D$1),MAX($V$1:V4034)+1,"")</f>
        <v/>
      </c>
    </row>
    <row r="4036" spans="1:22" x14ac:dyDescent="0.25">
      <c r="A4036" s="9"/>
      <c r="E4036" s="10"/>
      <c r="K4036" s="11" t="str">
        <f>IF($E4036="","",ROUND($E4036*IF(ISNA(MATCH($C4036,'Paramètres'!$D:$D,0)),1,IF(INDEX('Paramètres'!$J:$J,MATCH($C4036,'Paramètres'!$D:$D,0))="",1,INDEX('Paramètres'!$J:$J,MATCH($C4036,'Paramètres'!$D:$D,0)))),2))</f>
        <v/>
      </c>
      <c r="L4036" s="6" t="str">
        <f>IF($D4036="","",IF($F4036&lt;&gt;"",$F4036,IF(ISNA(MATCH($D4036,'Paramètres'!$M:$M,0)),"⚠ Type inconnu",IFERROR(INDEX('Paramètres'!$P:$P,MATCH($D4036,'Paramètres'!$M:$M,0))&amp;"",""))))</f>
        <v/>
      </c>
      <c r="M4036" s="6" t="str">
        <f>IF($D4036="","",IF(ISNA(MATCH($D4036,'Paramètres'!$M:$M,0)),"⚠ Type inconnu",IF($L4036="Crédit","",IFERROR(INDEX('Paramètres'!$O:$O,MATCH($D4036,'Paramètres'!$M:$M,0))&amp;"",""))))</f>
        <v/>
      </c>
      <c r="N4036" s="6" t="str">
        <f>IF($D4036="","",IFERROR(INDEX('Paramètres'!$Q:$Q,MATCH($D4036,'Paramètres'!$M:$M,0))&amp;"",""))</f>
        <v/>
      </c>
      <c r="O4036" s="6" t="str">
        <f>IF($A4036="","",IF(OR($J4036&lt;&gt;"x",$A4036&lt;=FinReleve),1,0))</f>
        <v/>
      </c>
      <c r="P4036" s="6" t="str">
        <f>IF($D4036="","",IF(AND($L4036="Crédit",OR(IFERROR(INDEX('Paramètres'!$O:$O,MATCH($D4036,'Paramètres'!$M:$M,0))&amp;"","")&lt;&gt;"",ISNUMBER(SEARCH("remboursement",IFERROR(INDEX('Paramètres'!$N:$N,MATCH($D4036,'Paramètres'!$M:$M,0))&amp;"",""))))),1,0))</f>
        <v/>
      </c>
      <c r="Q4036" s="6" t="str">
        <f>IF($K4036="","",IF(ISNUMBER(SEARCH("transfert-interne",IFERROR(INDEX('Paramètres'!$N:$N,MATCH($D4036,'Paramètres'!$M:$M,0))&amp;"",""))),0,IF($L4036="Débit",$K4036,IF($P4036=1,-$K4036,0))))</f>
        <v/>
      </c>
      <c r="R4036" s="6" t="str">
        <f>IF($K4036="","",IF($L4036="Crédit",$K4036,-$K4036))</f>
        <v/>
      </c>
      <c r="S4036" s="6" t="str">
        <f>IF($C4036="","",IFERROR(INDEX('Paramètres'!$H:$H,MATCH($C4036,'Paramètres'!$D:$D,0))&amp;"",""))</f>
        <v/>
      </c>
      <c r="T4036" s="6" t="str">
        <f>IF($K4036="","",IF($S4036="",0,IF(ISNUMBER(SEARCH("apport-exterieur",IFERROR(INDEX('Paramètres'!$N:$N,MATCH($D4036,'Paramètres'!$M:$M,0))&amp;"",""))),0,IF(OR(IFERROR(INDEX('Paramètres'!$I:$I,MATCH($C4036,'Paramètres'!$D:$D,0))&amp;"","")="Les deux",IFERROR(INDEX('Paramètres'!$I:$I,MATCH($C4036,'Paramètres'!$D:$D,0))&amp;"","")=IF($P4036=1,"Débit",$L4036)),-IF($P4036=1,-$K4036,$K4036),0))))</f>
        <v/>
      </c>
      <c r="U4036" s="6" t="str">
        <f>IF($K4036="","",IF(ISNUMBER(SEARCH("sortie-epargne",IFERROR(INDEX('Paramètres'!$N:$N,MATCH($D4036,'Paramètres'!$M:$M,0))&amp;"",""))),$K4036,0))</f>
        <v/>
      </c>
      <c r="V4036" s="6" t="str">
        <f>IF(AND($A4036&lt;&gt;"",$O4036=1,$L4036="Débit",N($Q4036)&gt;0,$A4036&gt;=Visualisation!$B$1,$A4036&lt;Visualisation!$D$1),MAX($V$1:V4035)+1,"")</f>
        <v/>
      </c>
    </row>
    <row r="4037" spans="1:22" x14ac:dyDescent="0.25">
      <c r="A4037" s="9"/>
      <c r="E4037" s="10"/>
      <c r="K4037" s="11" t="str">
        <f>IF($E4037="","",ROUND($E4037*IF(ISNA(MATCH($C4037,'Paramètres'!$D:$D,0)),1,IF(INDEX('Paramètres'!$J:$J,MATCH($C4037,'Paramètres'!$D:$D,0))="",1,INDEX('Paramètres'!$J:$J,MATCH($C4037,'Paramètres'!$D:$D,0)))),2))</f>
        <v/>
      </c>
      <c r="L4037" s="6" t="str">
        <f>IF($D4037="","",IF($F4037&lt;&gt;"",$F4037,IF(ISNA(MATCH($D4037,'Paramètres'!$M:$M,0)),"⚠ Type inconnu",IFERROR(INDEX('Paramètres'!$P:$P,MATCH($D4037,'Paramètres'!$M:$M,0))&amp;"",""))))</f>
        <v/>
      </c>
      <c r="M4037" s="6" t="str">
        <f>IF($D4037="","",IF(ISNA(MATCH($D4037,'Paramètres'!$M:$M,0)),"⚠ Type inconnu",IF($L4037="Crédit","",IFERROR(INDEX('Paramètres'!$O:$O,MATCH($D4037,'Paramètres'!$M:$M,0))&amp;"",""))))</f>
        <v/>
      </c>
      <c r="N4037" s="6" t="str">
        <f>IF($D4037="","",IFERROR(INDEX('Paramètres'!$Q:$Q,MATCH($D4037,'Paramètres'!$M:$M,0))&amp;"",""))</f>
        <v/>
      </c>
      <c r="O4037" s="6" t="str">
        <f>IF($A4037="","",IF(OR($J4037&lt;&gt;"x",$A4037&lt;=FinReleve),1,0))</f>
        <v/>
      </c>
      <c r="P4037" s="6" t="str">
        <f>IF($D4037="","",IF(AND($L4037="Crédit",OR(IFERROR(INDEX('Paramètres'!$O:$O,MATCH($D4037,'Paramètres'!$M:$M,0))&amp;"","")&lt;&gt;"",ISNUMBER(SEARCH("remboursement",IFERROR(INDEX('Paramètres'!$N:$N,MATCH($D4037,'Paramètres'!$M:$M,0))&amp;"",""))))),1,0))</f>
        <v/>
      </c>
      <c r="Q4037" s="6" t="str">
        <f>IF($K4037="","",IF(ISNUMBER(SEARCH("transfert-interne",IFERROR(INDEX('Paramètres'!$N:$N,MATCH($D4037,'Paramètres'!$M:$M,0))&amp;"",""))),0,IF($L4037="Débit",$K4037,IF($P4037=1,-$K4037,0))))</f>
        <v/>
      </c>
      <c r="R4037" s="6" t="str">
        <f>IF($K4037="","",IF($L4037="Crédit",$K4037,-$K4037))</f>
        <v/>
      </c>
      <c r="S4037" s="6" t="str">
        <f>IF($C4037="","",IFERROR(INDEX('Paramètres'!$H:$H,MATCH($C4037,'Paramètres'!$D:$D,0))&amp;"",""))</f>
        <v/>
      </c>
      <c r="T4037" s="6" t="str">
        <f>IF($K4037="","",IF($S4037="",0,IF(ISNUMBER(SEARCH("apport-exterieur",IFERROR(INDEX('Paramètres'!$N:$N,MATCH($D4037,'Paramètres'!$M:$M,0))&amp;"",""))),0,IF(OR(IFERROR(INDEX('Paramètres'!$I:$I,MATCH($C4037,'Paramètres'!$D:$D,0))&amp;"","")="Les deux",IFERROR(INDEX('Paramètres'!$I:$I,MATCH($C4037,'Paramètres'!$D:$D,0))&amp;"","")=IF($P4037=1,"Débit",$L4037)),-IF($P4037=1,-$K4037,$K4037),0))))</f>
        <v/>
      </c>
      <c r="U4037" s="6" t="str">
        <f>IF($K4037="","",IF(ISNUMBER(SEARCH("sortie-epargne",IFERROR(INDEX('Paramètres'!$N:$N,MATCH($D4037,'Paramètres'!$M:$M,0))&amp;"",""))),$K4037,0))</f>
        <v/>
      </c>
      <c r="V4037" s="6" t="str">
        <f>IF(AND($A4037&lt;&gt;"",$O4037=1,$L4037="Débit",N($Q4037)&gt;0,$A4037&gt;=Visualisation!$B$1,$A4037&lt;Visualisation!$D$1),MAX($V$1:V4036)+1,"")</f>
        <v/>
      </c>
    </row>
    <row r="4038" spans="1:22" x14ac:dyDescent="0.25">
      <c r="A4038" s="9"/>
      <c r="E4038" s="10"/>
      <c r="K4038" s="11" t="str">
        <f>IF($E4038="","",ROUND($E4038*IF(ISNA(MATCH($C4038,'Paramètres'!$D:$D,0)),1,IF(INDEX('Paramètres'!$J:$J,MATCH($C4038,'Paramètres'!$D:$D,0))="",1,INDEX('Paramètres'!$J:$J,MATCH($C4038,'Paramètres'!$D:$D,0)))),2))</f>
        <v/>
      </c>
      <c r="L4038" s="6" t="str">
        <f>IF($D4038="","",IF($F4038&lt;&gt;"",$F4038,IF(ISNA(MATCH($D4038,'Paramètres'!$M:$M,0)),"⚠ Type inconnu",IFERROR(INDEX('Paramètres'!$P:$P,MATCH($D4038,'Paramètres'!$M:$M,0))&amp;"",""))))</f>
        <v/>
      </c>
      <c r="M4038" s="6" t="str">
        <f>IF($D4038="","",IF(ISNA(MATCH($D4038,'Paramètres'!$M:$M,0)),"⚠ Type inconnu",IF($L4038="Crédit","",IFERROR(INDEX('Paramètres'!$O:$O,MATCH($D4038,'Paramètres'!$M:$M,0))&amp;"",""))))</f>
        <v/>
      </c>
      <c r="N4038" s="6" t="str">
        <f>IF($D4038="","",IFERROR(INDEX('Paramètres'!$Q:$Q,MATCH($D4038,'Paramètres'!$M:$M,0))&amp;"",""))</f>
        <v/>
      </c>
      <c r="O4038" s="6" t="str">
        <f>IF($A4038="","",IF(OR($J4038&lt;&gt;"x",$A4038&lt;=FinReleve),1,0))</f>
        <v/>
      </c>
      <c r="P4038" s="6" t="str">
        <f>IF($D4038="","",IF(AND($L4038="Crédit",OR(IFERROR(INDEX('Paramètres'!$O:$O,MATCH($D4038,'Paramètres'!$M:$M,0))&amp;"","")&lt;&gt;"",ISNUMBER(SEARCH("remboursement",IFERROR(INDEX('Paramètres'!$N:$N,MATCH($D4038,'Paramètres'!$M:$M,0))&amp;"",""))))),1,0))</f>
        <v/>
      </c>
      <c r="Q4038" s="6" t="str">
        <f>IF($K4038="","",IF(ISNUMBER(SEARCH("transfert-interne",IFERROR(INDEX('Paramètres'!$N:$N,MATCH($D4038,'Paramètres'!$M:$M,0))&amp;"",""))),0,IF($L4038="Débit",$K4038,IF($P4038=1,-$K4038,0))))</f>
        <v/>
      </c>
      <c r="R4038" s="6" t="str">
        <f>IF($K4038="","",IF($L4038="Crédit",$K4038,-$K4038))</f>
        <v/>
      </c>
      <c r="S4038" s="6" t="str">
        <f>IF($C4038="","",IFERROR(INDEX('Paramètres'!$H:$H,MATCH($C4038,'Paramètres'!$D:$D,0))&amp;"",""))</f>
        <v/>
      </c>
      <c r="T4038" s="6" t="str">
        <f>IF($K4038="","",IF($S4038="",0,IF(ISNUMBER(SEARCH("apport-exterieur",IFERROR(INDEX('Paramètres'!$N:$N,MATCH($D4038,'Paramètres'!$M:$M,0))&amp;"",""))),0,IF(OR(IFERROR(INDEX('Paramètres'!$I:$I,MATCH($C4038,'Paramètres'!$D:$D,0))&amp;"","")="Les deux",IFERROR(INDEX('Paramètres'!$I:$I,MATCH($C4038,'Paramètres'!$D:$D,0))&amp;"","")=IF($P4038=1,"Débit",$L4038)),-IF($P4038=1,-$K4038,$K4038),0))))</f>
        <v/>
      </c>
      <c r="U4038" s="6" t="str">
        <f>IF($K4038="","",IF(ISNUMBER(SEARCH("sortie-epargne",IFERROR(INDEX('Paramètres'!$N:$N,MATCH($D4038,'Paramètres'!$M:$M,0))&amp;"",""))),$K4038,0))</f>
        <v/>
      </c>
      <c r="V4038" s="6" t="str">
        <f>IF(AND($A4038&lt;&gt;"",$O4038=1,$L4038="Débit",N($Q4038)&gt;0,$A4038&gt;=Visualisation!$B$1,$A4038&lt;Visualisation!$D$1),MAX($V$1:V4037)+1,"")</f>
        <v/>
      </c>
    </row>
    <row r="4039" spans="1:22" x14ac:dyDescent="0.25">
      <c r="A4039" s="9"/>
      <c r="E4039" s="10"/>
      <c r="K4039" s="11" t="str">
        <f>IF($E4039="","",ROUND($E4039*IF(ISNA(MATCH($C4039,'Paramètres'!$D:$D,0)),1,IF(INDEX('Paramètres'!$J:$J,MATCH($C4039,'Paramètres'!$D:$D,0))="",1,INDEX('Paramètres'!$J:$J,MATCH($C4039,'Paramètres'!$D:$D,0)))),2))</f>
        <v/>
      </c>
      <c r="L4039" s="6" t="str">
        <f>IF($D4039="","",IF($F4039&lt;&gt;"",$F4039,IF(ISNA(MATCH($D4039,'Paramètres'!$M:$M,0)),"⚠ Type inconnu",IFERROR(INDEX('Paramètres'!$P:$P,MATCH($D4039,'Paramètres'!$M:$M,0))&amp;"",""))))</f>
        <v/>
      </c>
      <c r="M4039" s="6" t="str">
        <f>IF($D4039="","",IF(ISNA(MATCH($D4039,'Paramètres'!$M:$M,0)),"⚠ Type inconnu",IF($L4039="Crédit","",IFERROR(INDEX('Paramètres'!$O:$O,MATCH($D4039,'Paramètres'!$M:$M,0))&amp;"",""))))</f>
        <v/>
      </c>
      <c r="N4039" s="6" t="str">
        <f>IF($D4039="","",IFERROR(INDEX('Paramètres'!$Q:$Q,MATCH($D4039,'Paramètres'!$M:$M,0))&amp;"",""))</f>
        <v/>
      </c>
      <c r="O4039" s="6" t="str">
        <f>IF($A4039="","",IF(OR($J4039&lt;&gt;"x",$A4039&lt;=FinReleve),1,0))</f>
        <v/>
      </c>
      <c r="P4039" s="6" t="str">
        <f>IF($D4039="","",IF(AND($L4039="Crédit",OR(IFERROR(INDEX('Paramètres'!$O:$O,MATCH($D4039,'Paramètres'!$M:$M,0))&amp;"","")&lt;&gt;"",ISNUMBER(SEARCH("remboursement",IFERROR(INDEX('Paramètres'!$N:$N,MATCH($D4039,'Paramètres'!$M:$M,0))&amp;"",""))))),1,0))</f>
        <v/>
      </c>
      <c r="Q4039" s="6" t="str">
        <f>IF($K4039="","",IF(ISNUMBER(SEARCH("transfert-interne",IFERROR(INDEX('Paramètres'!$N:$N,MATCH($D4039,'Paramètres'!$M:$M,0))&amp;"",""))),0,IF($L4039="Débit",$K4039,IF($P4039=1,-$K4039,0))))</f>
        <v/>
      </c>
      <c r="R4039" s="6" t="str">
        <f>IF($K4039="","",IF($L4039="Crédit",$K4039,-$K4039))</f>
        <v/>
      </c>
      <c r="S4039" s="6" t="str">
        <f>IF($C4039="","",IFERROR(INDEX('Paramètres'!$H:$H,MATCH($C4039,'Paramètres'!$D:$D,0))&amp;"",""))</f>
        <v/>
      </c>
      <c r="T4039" s="6" t="str">
        <f>IF($K4039="","",IF($S4039="",0,IF(ISNUMBER(SEARCH("apport-exterieur",IFERROR(INDEX('Paramètres'!$N:$N,MATCH($D4039,'Paramètres'!$M:$M,0))&amp;"",""))),0,IF(OR(IFERROR(INDEX('Paramètres'!$I:$I,MATCH($C4039,'Paramètres'!$D:$D,0))&amp;"","")="Les deux",IFERROR(INDEX('Paramètres'!$I:$I,MATCH($C4039,'Paramètres'!$D:$D,0))&amp;"","")=IF($P4039=1,"Débit",$L4039)),-IF($P4039=1,-$K4039,$K4039),0))))</f>
        <v/>
      </c>
      <c r="U4039" s="6" t="str">
        <f>IF($K4039="","",IF(ISNUMBER(SEARCH("sortie-epargne",IFERROR(INDEX('Paramètres'!$N:$N,MATCH($D4039,'Paramètres'!$M:$M,0))&amp;"",""))),$K4039,0))</f>
        <v/>
      </c>
      <c r="V4039" s="6" t="str">
        <f>IF(AND($A4039&lt;&gt;"",$O4039=1,$L4039="Débit",N($Q4039)&gt;0,$A4039&gt;=Visualisation!$B$1,$A4039&lt;Visualisation!$D$1),MAX($V$1:V4038)+1,"")</f>
        <v/>
      </c>
    </row>
    <row r="4040" spans="1:22" x14ac:dyDescent="0.25">
      <c r="A4040" s="9"/>
      <c r="E4040" s="10"/>
      <c r="K4040" s="11" t="str">
        <f>IF($E4040="","",ROUND($E4040*IF(ISNA(MATCH($C4040,'Paramètres'!$D:$D,0)),1,IF(INDEX('Paramètres'!$J:$J,MATCH($C4040,'Paramètres'!$D:$D,0))="",1,INDEX('Paramètres'!$J:$J,MATCH($C4040,'Paramètres'!$D:$D,0)))),2))</f>
        <v/>
      </c>
      <c r="L4040" s="6" t="str">
        <f>IF($D4040="","",IF($F4040&lt;&gt;"",$F4040,IF(ISNA(MATCH($D4040,'Paramètres'!$M:$M,0)),"⚠ Type inconnu",IFERROR(INDEX('Paramètres'!$P:$P,MATCH($D4040,'Paramètres'!$M:$M,0))&amp;"",""))))</f>
        <v/>
      </c>
      <c r="M4040" s="6" t="str">
        <f>IF($D4040="","",IF(ISNA(MATCH($D4040,'Paramètres'!$M:$M,0)),"⚠ Type inconnu",IF($L4040="Crédit","",IFERROR(INDEX('Paramètres'!$O:$O,MATCH($D4040,'Paramètres'!$M:$M,0))&amp;"",""))))</f>
        <v/>
      </c>
      <c r="N4040" s="6" t="str">
        <f>IF($D4040="","",IFERROR(INDEX('Paramètres'!$Q:$Q,MATCH($D4040,'Paramètres'!$M:$M,0))&amp;"",""))</f>
        <v/>
      </c>
      <c r="O4040" s="6" t="str">
        <f>IF($A4040="","",IF(OR($J4040&lt;&gt;"x",$A4040&lt;=FinReleve),1,0))</f>
        <v/>
      </c>
      <c r="P4040" s="6" t="str">
        <f>IF($D4040="","",IF(AND($L4040="Crédit",OR(IFERROR(INDEX('Paramètres'!$O:$O,MATCH($D4040,'Paramètres'!$M:$M,0))&amp;"","")&lt;&gt;"",ISNUMBER(SEARCH("remboursement",IFERROR(INDEX('Paramètres'!$N:$N,MATCH($D4040,'Paramètres'!$M:$M,0))&amp;"",""))))),1,0))</f>
        <v/>
      </c>
      <c r="Q4040" s="6" t="str">
        <f>IF($K4040="","",IF(ISNUMBER(SEARCH("transfert-interne",IFERROR(INDEX('Paramètres'!$N:$N,MATCH($D4040,'Paramètres'!$M:$M,0))&amp;"",""))),0,IF($L4040="Débit",$K4040,IF($P4040=1,-$K4040,0))))</f>
        <v/>
      </c>
      <c r="R4040" s="6" t="str">
        <f>IF($K4040="","",IF($L4040="Crédit",$K4040,-$K4040))</f>
        <v/>
      </c>
      <c r="S4040" s="6" t="str">
        <f>IF($C4040="","",IFERROR(INDEX('Paramètres'!$H:$H,MATCH($C4040,'Paramètres'!$D:$D,0))&amp;"",""))</f>
        <v/>
      </c>
      <c r="T4040" s="6" t="str">
        <f>IF($K4040="","",IF($S4040="",0,IF(ISNUMBER(SEARCH("apport-exterieur",IFERROR(INDEX('Paramètres'!$N:$N,MATCH($D4040,'Paramètres'!$M:$M,0))&amp;"",""))),0,IF(OR(IFERROR(INDEX('Paramètres'!$I:$I,MATCH($C4040,'Paramètres'!$D:$D,0))&amp;"","")="Les deux",IFERROR(INDEX('Paramètres'!$I:$I,MATCH($C4040,'Paramètres'!$D:$D,0))&amp;"","")=IF($P4040=1,"Débit",$L4040)),-IF($P4040=1,-$K4040,$K4040),0))))</f>
        <v/>
      </c>
      <c r="U4040" s="6" t="str">
        <f>IF($K4040="","",IF(ISNUMBER(SEARCH("sortie-epargne",IFERROR(INDEX('Paramètres'!$N:$N,MATCH($D4040,'Paramètres'!$M:$M,0))&amp;"",""))),$K4040,0))</f>
        <v/>
      </c>
      <c r="V4040" s="6" t="str">
        <f>IF(AND($A4040&lt;&gt;"",$O4040=1,$L4040="Débit",N($Q4040)&gt;0,$A4040&gt;=Visualisation!$B$1,$A4040&lt;Visualisation!$D$1),MAX($V$1:V4039)+1,"")</f>
        <v/>
      </c>
    </row>
    <row r="4041" spans="1:22" x14ac:dyDescent="0.25">
      <c r="A4041" s="9"/>
      <c r="E4041" s="10"/>
      <c r="K4041" s="11" t="str">
        <f>IF($E4041="","",ROUND($E4041*IF(ISNA(MATCH($C4041,'Paramètres'!$D:$D,0)),1,IF(INDEX('Paramètres'!$J:$J,MATCH($C4041,'Paramètres'!$D:$D,0))="",1,INDEX('Paramètres'!$J:$J,MATCH($C4041,'Paramètres'!$D:$D,0)))),2))</f>
        <v/>
      </c>
      <c r="L4041" s="6" t="str">
        <f>IF($D4041="","",IF($F4041&lt;&gt;"",$F4041,IF(ISNA(MATCH($D4041,'Paramètres'!$M:$M,0)),"⚠ Type inconnu",IFERROR(INDEX('Paramètres'!$P:$P,MATCH($D4041,'Paramètres'!$M:$M,0))&amp;"",""))))</f>
        <v/>
      </c>
      <c r="M4041" s="6" t="str">
        <f>IF($D4041="","",IF(ISNA(MATCH($D4041,'Paramètres'!$M:$M,0)),"⚠ Type inconnu",IF($L4041="Crédit","",IFERROR(INDEX('Paramètres'!$O:$O,MATCH($D4041,'Paramètres'!$M:$M,0))&amp;"",""))))</f>
        <v/>
      </c>
      <c r="N4041" s="6" t="str">
        <f>IF($D4041="","",IFERROR(INDEX('Paramètres'!$Q:$Q,MATCH($D4041,'Paramètres'!$M:$M,0))&amp;"",""))</f>
        <v/>
      </c>
      <c r="O4041" s="6" t="str">
        <f>IF($A4041="","",IF(OR($J4041&lt;&gt;"x",$A4041&lt;=FinReleve),1,0))</f>
        <v/>
      </c>
      <c r="P4041" s="6" t="str">
        <f>IF($D4041="","",IF(AND($L4041="Crédit",OR(IFERROR(INDEX('Paramètres'!$O:$O,MATCH($D4041,'Paramètres'!$M:$M,0))&amp;"","")&lt;&gt;"",ISNUMBER(SEARCH("remboursement",IFERROR(INDEX('Paramètres'!$N:$N,MATCH($D4041,'Paramètres'!$M:$M,0))&amp;"",""))))),1,0))</f>
        <v/>
      </c>
      <c r="Q4041" s="6" t="str">
        <f>IF($K4041="","",IF(ISNUMBER(SEARCH("transfert-interne",IFERROR(INDEX('Paramètres'!$N:$N,MATCH($D4041,'Paramètres'!$M:$M,0))&amp;"",""))),0,IF($L4041="Débit",$K4041,IF($P4041=1,-$K4041,0))))</f>
        <v/>
      </c>
      <c r="R4041" s="6" t="str">
        <f>IF($K4041="","",IF($L4041="Crédit",$K4041,-$K4041))</f>
        <v/>
      </c>
      <c r="S4041" s="6" t="str">
        <f>IF($C4041="","",IFERROR(INDEX('Paramètres'!$H:$H,MATCH($C4041,'Paramètres'!$D:$D,0))&amp;"",""))</f>
        <v/>
      </c>
      <c r="T4041" s="6" t="str">
        <f>IF($K4041="","",IF($S4041="",0,IF(ISNUMBER(SEARCH("apport-exterieur",IFERROR(INDEX('Paramètres'!$N:$N,MATCH($D4041,'Paramètres'!$M:$M,0))&amp;"",""))),0,IF(OR(IFERROR(INDEX('Paramètres'!$I:$I,MATCH($C4041,'Paramètres'!$D:$D,0))&amp;"","")="Les deux",IFERROR(INDEX('Paramètres'!$I:$I,MATCH($C4041,'Paramètres'!$D:$D,0))&amp;"","")=IF($P4041=1,"Débit",$L4041)),-IF($P4041=1,-$K4041,$K4041),0))))</f>
        <v/>
      </c>
      <c r="U4041" s="6" t="str">
        <f>IF($K4041="","",IF(ISNUMBER(SEARCH("sortie-epargne",IFERROR(INDEX('Paramètres'!$N:$N,MATCH($D4041,'Paramètres'!$M:$M,0))&amp;"",""))),$K4041,0))</f>
        <v/>
      </c>
      <c r="V4041" s="6" t="str">
        <f>IF(AND($A4041&lt;&gt;"",$O4041=1,$L4041="Débit",N($Q4041)&gt;0,$A4041&gt;=Visualisation!$B$1,$A4041&lt;Visualisation!$D$1),MAX($V$1:V4040)+1,"")</f>
        <v/>
      </c>
    </row>
    <row r="4042" spans="1:22" x14ac:dyDescent="0.25">
      <c r="A4042" s="9"/>
      <c r="E4042" s="10"/>
      <c r="K4042" s="11" t="str">
        <f>IF($E4042="","",ROUND($E4042*IF(ISNA(MATCH($C4042,'Paramètres'!$D:$D,0)),1,IF(INDEX('Paramètres'!$J:$J,MATCH($C4042,'Paramètres'!$D:$D,0))="",1,INDEX('Paramètres'!$J:$J,MATCH($C4042,'Paramètres'!$D:$D,0)))),2))</f>
        <v/>
      </c>
      <c r="L4042" s="6" t="str">
        <f>IF($D4042="","",IF($F4042&lt;&gt;"",$F4042,IF(ISNA(MATCH($D4042,'Paramètres'!$M:$M,0)),"⚠ Type inconnu",IFERROR(INDEX('Paramètres'!$P:$P,MATCH($D4042,'Paramètres'!$M:$M,0))&amp;"",""))))</f>
        <v/>
      </c>
      <c r="M4042" s="6" t="str">
        <f>IF($D4042="","",IF(ISNA(MATCH($D4042,'Paramètres'!$M:$M,0)),"⚠ Type inconnu",IF($L4042="Crédit","",IFERROR(INDEX('Paramètres'!$O:$O,MATCH($D4042,'Paramètres'!$M:$M,0))&amp;"",""))))</f>
        <v/>
      </c>
      <c r="N4042" s="6" t="str">
        <f>IF($D4042="","",IFERROR(INDEX('Paramètres'!$Q:$Q,MATCH($D4042,'Paramètres'!$M:$M,0))&amp;"",""))</f>
        <v/>
      </c>
      <c r="O4042" s="6" t="str">
        <f>IF($A4042="","",IF(OR($J4042&lt;&gt;"x",$A4042&lt;=FinReleve),1,0))</f>
        <v/>
      </c>
      <c r="P4042" s="6" t="str">
        <f>IF($D4042="","",IF(AND($L4042="Crédit",OR(IFERROR(INDEX('Paramètres'!$O:$O,MATCH($D4042,'Paramètres'!$M:$M,0))&amp;"","")&lt;&gt;"",ISNUMBER(SEARCH("remboursement",IFERROR(INDEX('Paramètres'!$N:$N,MATCH($D4042,'Paramètres'!$M:$M,0))&amp;"",""))))),1,0))</f>
        <v/>
      </c>
      <c r="Q4042" s="6" t="str">
        <f>IF($K4042="","",IF(ISNUMBER(SEARCH("transfert-interne",IFERROR(INDEX('Paramètres'!$N:$N,MATCH($D4042,'Paramètres'!$M:$M,0))&amp;"",""))),0,IF($L4042="Débit",$K4042,IF($P4042=1,-$K4042,0))))</f>
        <v/>
      </c>
      <c r="R4042" s="6" t="str">
        <f>IF($K4042="","",IF($L4042="Crédit",$K4042,-$K4042))</f>
        <v/>
      </c>
      <c r="S4042" s="6" t="str">
        <f>IF($C4042="","",IFERROR(INDEX('Paramètres'!$H:$H,MATCH($C4042,'Paramètres'!$D:$D,0))&amp;"",""))</f>
        <v/>
      </c>
      <c r="T4042" s="6" t="str">
        <f>IF($K4042="","",IF($S4042="",0,IF(ISNUMBER(SEARCH("apport-exterieur",IFERROR(INDEX('Paramètres'!$N:$N,MATCH($D4042,'Paramètres'!$M:$M,0))&amp;"",""))),0,IF(OR(IFERROR(INDEX('Paramètres'!$I:$I,MATCH($C4042,'Paramètres'!$D:$D,0))&amp;"","")="Les deux",IFERROR(INDEX('Paramètres'!$I:$I,MATCH($C4042,'Paramètres'!$D:$D,0))&amp;"","")=IF($P4042=1,"Débit",$L4042)),-IF($P4042=1,-$K4042,$K4042),0))))</f>
        <v/>
      </c>
      <c r="U4042" s="6" t="str">
        <f>IF($K4042="","",IF(ISNUMBER(SEARCH("sortie-epargne",IFERROR(INDEX('Paramètres'!$N:$N,MATCH($D4042,'Paramètres'!$M:$M,0))&amp;"",""))),$K4042,0))</f>
        <v/>
      </c>
      <c r="V4042" s="6" t="str">
        <f>IF(AND($A4042&lt;&gt;"",$O4042=1,$L4042="Débit",N($Q4042)&gt;0,$A4042&gt;=Visualisation!$B$1,$A4042&lt;Visualisation!$D$1),MAX($V$1:V4041)+1,"")</f>
        <v/>
      </c>
    </row>
    <row r="4043" spans="1:22" x14ac:dyDescent="0.25">
      <c r="A4043" s="9"/>
      <c r="E4043" s="10"/>
      <c r="K4043" s="11" t="str">
        <f>IF($E4043="","",ROUND($E4043*IF(ISNA(MATCH($C4043,'Paramètres'!$D:$D,0)),1,IF(INDEX('Paramètres'!$J:$J,MATCH($C4043,'Paramètres'!$D:$D,0))="",1,INDEX('Paramètres'!$J:$J,MATCH($C4043,'Paramètres'!$D:$D,0)))),2))</f>
        <v/>
      </c>
      <c r="L4043" s="6" t="str">
        <f>IF($D4043="","",IF($F4043&lt;&gt;"",$F4043,IF(ISNA(MATCH($D4043,'Paramètres'!$M:$M,0)),"⚠ Type inconnu",IFERROR(INDEX('Paramètres'!$P:$P,MATCH($D4043,'Paramètres'!$M:$M,0))&amp;"",""))))</f>
        <v/>
      </c>
      <c r="M4043" s="6" t="str">
        <f>IF($D4043="","",IF(ISNA(MATCH($D4043,'Paramètres'!$M:$M,0)),"⚠ Type inconnu",IF($L4043="Crédit","",IFERROR(INDEX('Paramètres'!$O:$O,MATCH($D4043,'Paramètres'!$M:$M,0))&amp;"",""))))</f>
        <v/>
      </c>
      <c r="N4043" s="6" t="str">
        <f>IF($D4043="","",IFERROR(INDEX('Paramètres'!$Q:$Q,MATCH($D4043,'Paramètres'!$M:$M,0))&amp;"",""))</f>
        <v/>
      </c>
      <c r="O4043" s="6" t="str">
        <f>IF($A4043="","",IF(OR($J4043&lt;&gt;"x",$A4043&lt;=FinReleve),1,0))</f>
        <v/>
      </c>
      <c r="P4043" s="6" t="str">
        <f>IF($D4043="","",IF(AND($L4043="Crédit",OR(IFERROR(INDEX('Paramètres'!$O:$O,MATCH($D4043,'Paramètres'!$M:$M,0))&amp;"","")&lt;&gt;"",ISNUMBER(SEARCH("remboursement",IFERROR(INDEX('Paramètres'!$N:$N,MATCH($D4043,'Paramètres'!$M:$M,0))&amp;"",""))))),1,0))</f>
        <v/>
      </c>
      <c r="Q4043" s="6" t="str">
        <f>IF($K4043="","",IF(ISNUMBER(SEARCH("transfert-interne",IFERROR(INDEX('Paramètres'!$N:$N,MATCH($D4043,'Paramètres'!$M:$M,0))&amp;"",""))),0,IF($L4043="Débit",$K4043,IF($P4043=1,-$K4043,0))))</f>
        <v/>
      </c>
      <c r="R4043" s="6" t="str">
        <f>IF($K4043="","",IF($L4043="Crédit",$K4043,-$K4043))</f>
        <v/>
      </c>
      <c r="S4043" s="6" t="str">
        <f>IF($C4043="","",IFERROR(INDEX('Paramètres'!$H:$H,MATCH($C4043,'Paramètres'!$D:$D,0))&amp;"",""))</f>
        <v/>
      </c>
      <c r="T4043" s="6" t="str">
        <f>IF($K4043="","",IF($S4043="",0,IF(ISNUMBER(SEARCH("apport-exterieur",IFERROR(INDEX('Paramètres'!$N:$N,MATCH($D4043,'Paramètres'!$M:$M,0))&amp;"",""))),0,IF(OR(IFERROR(INDEX('Paramètres'!$I:$I,MATCH($C4043,'Paramètres'!$D:$D,0))&amp;"","")="Les deux",IFERROR(INDEX('Paramètres'!$I:$I,MATCH($C4043,'Paramètres'!$D:$D,0))&amp;"","")=IF($P4043=1,"Débit",$L4043)),-IF($P4043=1,-$K4043,$K4043),0))))</f>
        <v/>
      </c>
      <c r="U4043" s="6" t="str">
        <f>IF($K4043="","",IF(ISNUMBER(SEARCH("sortie-epargne",IFERROR(INDEX('Paramètres'!$N:$N,MATCH($D4043,'Paramètres'!$M:$M,0))&amp;"",""))),$K4043,0))</f>
        <v/>
      </c>
      <c r="V4043" s="6" t="str">
        <f>IF(AND($A4043&lt;&gt;"",$O4043=1,$L4043="Débit",N($Q4043)&gt;0,$A4043&gt;=Visualisation!$B$1,$A4043&lt;Visualisation!$D$1),MAX($V$1:V4042)+1,"")</f>
        <v/>
      </c>
    </row>
    <row r="4044" spans="1:22" x14ac:dyDescent="0.25">
      <c r="A4044" s="9"/>
      <c r="E4044" s="10"/>
      <c r="K4044" s="11" t="str">
        <f>IF($E4044="","",ROUND($E4044*IF(ISNA(MATCH($C4044,'Paramètres'!$D:$D,0)),1,IF(INDEX('Paramètres'!$J:$J,MATCH($C4044,'Paramètres'!$D:$D,0))="",1,INDEX('Paramètres'!$J:$J,MATCH($C4044,'Paramètres'!$D:$D,0)))),2))</f>
        <v/>
      </c>
      <c r="L4044" s="6" t="str">
        <f>IF($D4044="","",IF($F4044&lt;&gt;"",$F4044,IF(ISNA(MATCH($D4044,'Paramètres'!$M:$M,0)),"⚠ Type inconnu",IFERROR(INDEX('Paramètres'!$P:$P,MATCH($D4044,'Paramètres'!$M:$M,0))&amp;"",""))))</f>
        <v/>
      </c>
      <c r="M4044" s="6" t="str">
        <f>IF($D4044="","",IF(ISNA(MATCH($D4044,'Paramètres'!$M:$M,0)),"⚠ Type inconnu",IF($L4044="Crédit","",IFERROR(INDEX('Paramètres'!$O:$O,MATCH($D4044,'Paramètres'!$M:$M,0))&amp;"",""))))</f>
        <v/>
      </c>
      <c r="N4044" s="6" t="str">
        <f>IF($D4044="","",IFERROR(INDEX('Paramètres'!$Q:$Q,MATCH($D4044,'Paramètres'!$M:$M,0))&amp;"",""))</f>
        <v/>
      </c>
      <c r="O4044" s="6" t="str">
        <f>IF($A4044="","",IF(OR($J4044&lt;&gt;"x",$A4044&lt;=FinReleve),1,0))</f>
        <v/>
      </c>
      <c r="P4044" s="6" t="str">
        <f>IF($D4044="","",IF(AND($L4044="Crédit",OR(IFERROR(INDEX('Paramètres'!$O:$O,MATCH($D4044,'Paramètres'!$M:$M,0))&amp;"","")&lt;&gt;"",ISNUMBER(SEARCH("remboursement",IFERROR(INDEX('Paramètres'!$N:$N,MATCH($D4044,'Paramètres'!$M:$M,0))&amp;"",""))))),1,0))</f>
        <v/>
      </c>
      <c r="Q4044" s="6" t="str">
        <f>IF($K4044="","",IF(ISNUMBER(SEARCH("transfert-interne",IFERROR(INDEX('Paramètres'!$N:$N,MATCH($D4044,'Paramètres'!$M:$M,0))&amp;"",""))),0,IF($L4044="Débit",$K4044,IF($P4044=1,-$K4044,0))))</f>
        <v/>
      </c>
      <c r="R4044" s="6" t="str">
        <f>IF($K4044="","",IF($L4044="Crédit",$K4044,-$K4044))</f>
        <v/>
      </c>
      <c r="S4044" s="6" t="str">
        <f>IF($C4044="","",IFERROR(INDEX('Paramètres'!$H:$H,MATCH($C4044,'Paramètres'!$D:$D,0))&amp;"",""))</f>
        <v/>
      </c>
      <c r="T4044" s="6" t="str">
        <f>IF($K4044="","",IF($S4044="",0,IF(ISNUMBER(SEARCH("apport-exterieur",IFERROR(INDEX('Paramètres'!$N:$N,MATCH($D4044,'Paramètres'!$M:$M,0))&amp;"",""))),0,IF(OR(IFERROR(INDEX('Paramètres'!$I:$I,MATCH($C4044,'Paramètres'!$D:$D,0))&amp;"","")="Les deux",IFERROR(INDEX('Paramètres'!$I:$I,MATCH($C4044,'Paramètres'!$D:$D,0))&amp;"","")=IF($P4044=1,"Débit",$L4044)),-IF($P4044=1,-$K4044,$K4044),0))))</f>
        <v/>
      </c>
      <c r="U4044" s="6" t="str">
        <f>IF($K4044="","",IF(ISNUMBER(SEARCH("sortie-epargne",IFERROR(INDEX('Paramètres'!$N:$N,MATCH($D4044,'Paramètres'!$M:$M,0))&amp;"",""))),$K4044,0))</f>
        <v/>
      </c>
      <c r="V4044" s="6" t="str">
        <f>IF(AND($A4044&lt;&gt;"",$O4044=1,$L4044="Débit",N($Q4044)&gt;0,$A4044&gt;=Visualisation!$B$1,$A4044&lt;Visualisation!$D$1),MAX($V$1:V4043)+1,"")</f>
        <v/>
      </c>
    </row>
    <row r="4045" spans="1:22" x14ac:dyDescent="0.25">
      <c r="A4045" s="9"/>
      <c r="E4045" s="10"/>
      <c r="K4045" s="11" t="str">
        <f>IF($E4045="","",ROUND($E4045*IF(ISNA(MATCH($C4045,'Paramètres'!$D:$D,0)),1,IF(INDEX('Paramètres'!$J:$J,MATCH($C4045,'Paramètres'!$D:$D,0))="",1,INDEX('Paramètres'!$J:$J,MATCH($C4045,'Paramètres'!$D:$D,0)))),2))</f>
        <v/>
      </c>
      <c r="L4045" s="6" t="str">
        <f>IF($D4045="","",IF($F4045&lt;&gt;"",$F4045,IF(ISNA(MATCH($D4045,'Paramètres'!$M:$M,0)),"⚠ Type inconnu",IFERROR(INDEX('Paramètres'!$P:$P,MATCH($D4045,'Paramètres'!$M:$M,0))&amp;"",""))))</f>
        <v/>
      </c>
      <c r="M4045" s="6" t="str">
        <f>IF($D4045="","",IF(ISNA(MATCH($D4045,'Paramètres'!$M:$M,0)),"⚠ Type inconnu",IF($L4045="Crédit","",IFERROR(INDEX('Paramètres'!$O:$O,MATCH($D4045,'Paramètres'!$M:$M,0))&amp;"",""))))</f>
        <v/>
      </c>
      <c r="N4045" s="6" t="str">
        <f>IF($D4045="","",IFERROR(INDEX('Paramètres'!$Q:$Q,MATCH($D4045,'Paramètres'!$M:$M,0))&amp;"",""))</f>
        <v/>
      </c>
      <c r="O4045" s="6" t="str">
        <f>IF($A4045="","",IF(OR($J4045&lt;&gt;"x",$A4045&lt;=FinReleve),1,0))</f>
        <v/>
      </c>
      <c r="P4045" s="6" t="str">
        <f>IF($D4045="","",IF(AND($L4045="Crédit",OR(IFERROR(INDEX('Paramètres'!$O:$O,MATCH($D4045,'Paramètres'!$M:$M,0))&amp;"","")&lt;&gt;"",ISNUMBER(SEARCH("remboursement",IFERROR(INDEX('Paramètres'!$N:$N,MATCH($D4045,'Paramètres'!$M:$M,0))&amp;"",""))))),1,0))</f>
        <v/>
      </c>
      <c r="Q4045" s="6" t="str">
        <f>IF($K4045="","",IF(ISNUMBER(SEARCH("transfert-interne",IFERROR(INDEX('Paramètres'!$N:$N,MATCH($D4045,'Paramètres'!$M:$M,0))&amp;"",""))),0,IF($L4045="Débit",$K4045,IF($P4045=1,-$K4045,0))))</f>
        <v/>
      </c>
      <c r="R4045" s="6" t="str">
        <f>IF($K4045="","",IF($L4045="Crédit",$K4045,-$K4045))</f>
        <v/>
      </c>
      <c r="S4045" s="6" t="str">
        <f>IF($C4045="","",IFERROR(INDEX('Paramètres'!$H:$H,MATCH($C4045,'Paramètres'!$D:$D,0))&amp;"",""))</f>
        <v/>
      </c>
      <c r="T4045" s="6" t="str">
        <f>IF($K4045="","",IF($S4045="",0,IF(ISNUMBER(SEARCH("apport-exterieur",IFERROR(INDEX('Paramètres'!$N:$N,MATCH($D4045,'Paramètres'!$M:$M,0))&amp;"",""))),0,IF(OR(IFERROR(INDEX('Paramètres'!$I:$I,MATCH($C4045,'Paramètres'!$D:$D,0))&amp;"","")="Les deux",IFERROR(INDEX('Paramètres'!$I:$I,MATCH($C4045,'Paramètres'!$D:$D,0))&amp;"","")=IF($P4045=1,"Débit",$L4045)),-IF($P4045=1,-$K4045,$K4045),0))))</f>
        <v/>
      </c>
      <c r="U4045" s="6" t="str">
        <f>IF($K4045="","",IF(ISNUMBER(SEARCH("sortie-epargne",IFERROR(INDEX('Paramètres'!$N:$N,MATCH($D4045,'Paramètres'!$M:$M,0))&amp;"",""))),$K4045,0))</f>
        <v/>
      </c>
      <c r="V4045" s="6" t="str">
        <f>IF(AND($A4045&lt;&gt;"",$O4045=1,$L4045="Débit",N($Q4045)&gt;0,$A4045&gt;=Visualisation!$B$1,$A4045&lt;Visualisation!$D$1),MAX($V$1:V4044)+1,"")</f>
        <v/>
      </c>
    </row>
    <row r="4046" spans="1:22" x14ac:dyDescent="0.25">
      <c r="A4046" s="9"/>
      <c r="E4046" s="10"/>
      <c r="K4046" s="11" t="str">
        <f>IF($E4046="","",ROUND($E4046*IF(ISNA(MATCH($C4046,'Paramètres'!$D:$D,0)),1,IF(INDEX('Paramètres'!$J:$J,MATCH($C4046,'Paramètres'!$D:$D,0))="",1,INDEX('Paramètres'!$J:$J,MATCH($C4046,'Paramètres'!$D:$D,0)))),2))</f>
        <v/>
      </c>
      <c r="L4046" s="6" t="str">
        <f>IF($D4046="","",IF($F4046&lt;&gt;"",$F4046,IF(ISNA(MATCH($D4046,'Paramètres'!$M:$M,0)),"⚠ Type inconnu",IFERROR(INDEX('Paramètres'!$P:$P,MATCH($D4046,'Paramètres'!$M:$M,0))&amp;"",""))))</f>
        <v/>
      </c>
      <c r="M4046" s="6" t="str">
        <f>IF($D4046="","",IF(ISNA(MATCH($D4046,'Paramètres'!$M:$M,0)),"⚠ Type inconnu",IF($L4046="Crédit","",IFERROR(INDEX('Paramètres'!$O:$O,MATCH($D4046,'Paramètres'!$M:$M,0))&amp;"",""))))</f>
        <v/>
      </c>
      <c r="N4046" s="6" t="str">
        <f>IF($D4046="","",IFERROR(INDEX('Paramètres'!$Q:$Q,MATCH($D4046,'Paramètres'!$M:$M,0))&amp;"",""))</f>
        <v/>
      </c>
      <c r="O4046" s="6" t="str">
        <f>IF($A4046="","",IF(OR($J4046&lt;&gt;"x",$A4046&lt;=FinReleve),1,0))</f>
        <v/>
      </c>
      <c r="P4046" s="6" t="str">
        <f>IF($D4046="","",IF(AND($L4046="Crédit",OR(IFERROR(INDEX('Paramètres'!$O:$O,MATCH($D4046,'Paramètres'!$M:$M,0))&amp;"","")&lt;&gt;"",ISNUMBER(SEARCH("remboursement",IFERROR(INDEX('Paramètres'!$N:$N,MATCH($D4046,'Paramètres'!$M:$M,0))&amp;"",""))))),1,0))</f>
        <v/>
      </c>
      <c r="Q4046" s="6" t="str">
        <f>IF($K4046="","",IF(ISNUMBER(SEARCH("transfert-interne",IFERROR(INDEX('Paramètres'!$N:$N,MATCH($D4046,'Paramètres'!$M:$M,0))&amp;"",""))),0,IF($L4046="Débit",$K4046,IF($P4046=1,-$K4046,0))))</f>
        <v/>
      </c>
      <c r="R4046" s="6" t="str">
        <f>IF($K4046="","",IF($L4046="Crédit",$K4046,-$K4046))</f>
        <v/>
      </c>
      <c r="S4046" s="6" t="str">
        <f>IF($C4046="","",IFERROR(INDEX('Paramètres'!$H:$H,MATCH($C4046,'Paramètres'!$D:$D,0))&amp;"",""))</f>
        <v/>
      </c>
      <c r="T4046" s="6" t="str">
        <f>IF($K4046="","",IF($S4046="",0,IF(ISNUMBER(SEARCH("apport-exterieur",IFERROR(INDEX('Paramètres'!$N:$N,MATCH($D4046,'Paramètres'!$M:$M,0))&amp;"",""))),0,IF(OR(IFERROR(INDEX('Paramètres'!$I:$I,MATCH($C4046,'Paramètres'!$D:$D,0))&amp;"","")="Les deux",IFERROR(INDEX('Paramètres'!$I:$I,MATCH($C4046,'Paramètres'!$D:$D,0))&amp;"","")=IF($P4046=1,"Débit",$L4046)),-IF($P4046=1,-$K4046,$K4046),0))))</f>
        <v/>
      </c>
      <c r="U4046" s="6" t="str">
        <f>IF($K4046="","",IF(ISNUMBER(SEARCH("sortie-epargne",IFERROR(INDEX('Paramètres'!$N:$N,MATCH($D4046,'Paramètres'!$M:$M,0))&amp;"",""))),$K4046,0))</f>
        <v/>
      </c>
      <c r="V4046" s="6" t="str">
        <f>IF(AND($A4046&lt;&gt;"",$O4046=1,$L4046="Débit",N($Q4046)&gt;0,$A4046&gt;=Visualisation!$B$1,$A4046&lt;Visualisation!$D$1),MAX($V$1:V4045)+1,"")</f>
        <v/>
      </c>
    </row>
    <row r="4047" spans="1:22" x14ac:dyDescent="0.25">
      <c r="A4047" s="9"/>
      <c r="E4047" s="10"/>
      <c r="K4047" s="11" t="str">
        <f>IF($E4047="","",ROUND($E4047*IF(ISNA(MATCH($C4047,'Paramètres'!$D:$D,0)),1,IF(INDEX('Paramètres'!$J:$J,MATCH($C4047,'Paramètres'!$D:$D,0))="",1,INDEX('Paramètres'!$J:$J,MATCH($C4047,'Paramètres'!$D:$D,0)))),2))</f>
        <v/>
      </c>
      <c r="L4047" s="6" t="str">
        <f>IF($D4047="","",IF($F4047&lt;&gt;"",$F4047,IF(ISNA(MATCH($D4047,'Paramètres'!$M:$M,0)),"⚠ Type inconnu",IFERROR(INDEX('Paramètres'!$P:$P,MATCH($D4047,'Paramètres'!$M:$M,0))&amp;"",""))))</f>
        <v/>
      </c>
      <c r="M4047" s="6" t="str">
        <f>IF($D4047="","",IF(ISNA(MATCH($D4047,'Paramètres'!$M:$M,0)),"⚠ Type inconnu",IF($L4047="Crédit","",IFERROR(INDEX('Paramètres'!$O:$O,MATCH($D4047,'Paramètres'!$M:$M,0))&amp;"",""))))</f>
        <v/>
      </c>
      <c r="N4047" s="6" t="str">
        <f>IF($D4047="","",IFERROR(INDEX('Paramètres'!$Q:$Q,MATCH($D4047,'Paramètres'!$M:$M,0))&amp;"",""))</f>
        <v/>
      </c>
      <c r="O4047" s="6" t="str">
        <f>IF($A4047="","",IF(OR($J4047&lt;&gt;"x",$A4047&lt;=FinReleve),1,0))</f>
        <v/>
      </c>
      <c r="P4047" s="6" t="str">
        <f>IF($D4047="","",IF(AND($L4047="Crédit",OR(IFERROR(INDEX('Paramètres'!$O:$O,MATCH($D4047,'Paramètres'!$M:$M,0))&amp;"","")&lt;&gt;"",ISNUMBER(SEARCH("remboursement",IFERROR(INDEX('Paramètres'!$N:$N,MATCH($D4047,'Paramètres'!$M:$M,0))&amp;"",""))))),1,0))</f>
        <v/>
      </c>
      <c r="Q4047" s="6" t="str">
        <f>IF($K4047="","",IF(ISNUMBER(SEARCH("transfert-interne",IFERROR(INDEX('Paramètres'!$N:$N,MATCH($D4047,'Paramètres'!$M:$M,0))&amp;"",""))),0,IF($L4047="Débit",$K4047,IF($P4047=1,-$K4047,0))))</f>
        <v/>
      </c>
      <c r="R4047" s="6" t="str">
        <f>IF($K4047="","",IF($L4047="Crédit",$K4047,-$K4047))</f>
        <v/>
      </c>
      <c r="S4047" s="6" t="str">
        <f>IF($C4047="","",IFERROR(INDEX('Paramètres'!$H:$H,MATCH($C4047,'Paramètres'!$D:$D,0))&amp;"",""))</f>
        <v/>
      </c>
      <c r="T4047" s="6" t="str">
        <f>IF($K4047="","",IF($S4047="",0,IF(ISNUMBER(SEARCH("apport-exterieur",IFERROR(INDEX('Paramètres'!$N:$N,MATCH($D4047,'Paramètres'!$M:$M,0))&amp;"",""))),0,IF(OR(IFERROR(INDEX('Paramètres'!$I:$I,MATCH($C4047,'Paramètres'!$D:$D,0))&amp;"","")="Les deux",IFERROR(INDEX('Paramètres'!$I:$I,MATCH($C4047,'Paramètres'!$D:$D,0))&amp;"","")=IF($P4047=1,"Débit",$L4047)),-IF($P4047=1,-$K4047,$K4047),0))))</f>
        <v/>
      </c>
      <c r="U4047" s="6" t="str">
        <f>IF($K4047="","",IF(ISNUMBER(SEARCH("sortie-epargne",IFERROR(INDEX('Paramètres'!$N:$N,MATCH($D4047,'Paramètres'!$M:$M,0))&amp;"",""))),$K4047,0))</f>
        <v/>
      </c>
      <c r="V4047" s="6" t="str">
        <f>IF(AND($A4047&lt;&gt;"",$O4047=1,$L4047="Débit",N($Q4047)&gt;0,$A4047&gt;=Visualisation!$B$1,$A4047&lt;Visualisation!$D$1),MAX($V$1:V4046)+1,"")</f>
        <v/>
      </c>
    </row>
    <row r="4048" spans="1:22" x14ac:dyDescent="0.25">
      <c r="A4048" s="9"/>
      <c r="E4048" s="10"/>
      <c r="K4048" s="11" t="str">
        <f>IF($E4048="","",ROUND($E4048*IF(ISNA(MATCH($C4048,'Paramètres'!$D:$D,0)),1,IF(INDEX('Paramètres'!$J:$J,MATCH($C4048,'Paramètres'!$D:$D,0))="",1,INDEX('Paramètres'!$J:$J,MATCH($C4048,'Paramètres'!$D:$D,0)))),2))</f>
        <v/>
      </c>
      <c r="L4048" s="6" t="str">
        <f>IF($D4048="","",IF($F4048&lt;&gt;"",$F4048,IF(ISNA(MATCH($D4048,'Paramètres'!$M:$M,0)),"⚠ Type inconnu",IFERROR(INDEX('Paramètres'!$P:$P,MATCH($D4048,'Paramètres'!$M:$M,0))&amp;"",""))))</f>
        <v/>
      </c>
      <c r="M4048" s="6" t="str">
        <f>IF($D4048="","",IF(ISNA(MATCH($D4048,'Paramètres'!$M:$M,0)),"⚠ Type inconnu",IF($L4048="Crédit","",IFERROR(INDEX('Paramètres'!$O:$O,MATCH($D4048,'Paramètres'!$M:$M,0))&amp;"",""))))</f>
        <v/>
      </c>
      <c r="N4048" s="6" t="str">
        <f>IF($D4048="","",IFERROR(INDEX('Paramètres'!$Q:$Q,MATCH($D4048,'Paramètres'!$M:$M,0))&amp;"",""))</f>
        <v/>
      </c>
      <c r="O4048" s="6" t="str">
        <f>IF($A4048="","",IF(OR($J4048&lt;&gt;"x",$A4048&lt;=FinReleve),1,0))</f>
        <v/>
      </c>
      <c r="P4048" s="6" t="str">
        <f>IF($D4048="","",IF(AND($L4048="Crédit",OR(IFERROR(INDEX('Paramètres'!$O:$O,MATCH($D4048,'Paramètres'!$M:$M,0))&amp;"","")&lt;&gt;"",ISNUMBER(SEARCH("remboursement",IFERROR(INDEX('Paramètres'!$N:$N,MATCH($D4048,'Paramètres'!$M:$M,0))&amp;"",""))))),1,0))</f>
        <v/>
      </c>
      <c r="Q4048" s="6" t="str">
        <f>IF($K4048="","",IF(ISNUMBER(SEARCH("transfert-interne",IFERROR(INDEX('Paramètres'!$N:$N,MATCH($D4048,'Paramètres'!$M:$M,0))&amp;"",""))),0,IF($L4048="Débit",$K4048,IF($P4048=1,-$K4048,0))))</f>
        <v/>
      </c>
      <c r="R4048" s="6" t="str">
        <f>IF($K4048="","",IF($L4048="Crédit",$K4048,-$K4048))</f>
        <v/>
      </c>
      <c r="S4048" s="6" t="str">
        <f>IF($C4048="","",IFERROR(INDEX('Paramètres'!$H:$H,MATCH($C4048,'Paramètres'!$D:$D,0))&amp;"",""))</f>
        <v/>
      </c>
      <c r="T4048" s="6" t="str">
        <f>IF($K4048="","",IF($S4048="",0,IF(ISNUMBER(SEARCH("apport-exterieur",IFERROR(INDEX('Paramètres'!$N:$N,MATCH($D4048,'Paramètres'!$M:$M,0))&amp;"",""))),0,IF(OR(IFERROR(INDEX('Paramètres'!$I:$I,MATCH($C4048,'Paramètres'!$D:$D,0))&amp;"","")="Les deux",IFERROR(INDEX('Paramètres'!$I:$I,MATCH($C4048,'Paramètres'!$D:$D,0))&amp;"","")=IF($P4048=1,"Débit",$L4048)),-IF($P4048=1,-$K4048,$K4048),0))))</f>
        <v/>
      </c>
      <c r="U4048" s="6" t="str">
        <f>IF($K4048="","",IF(ISNUMBER(SEARCH("sortie-epargne",IFERROR(INDEX('Paramètres'!$N:$N,MATCH($D4048,'Paramètres'!$M:$M,0))&amp;"",""))),$K4048,0))</f>
        <v/>
      </c>
      <c r="V4048" s="6" t="str">
        <f>IF(AND($A4048&lt;&gt;"",$O4048=1,$L4048="Débit",N($Q4048)&gt;0,$A4048&gt;=Visualisation!$B$1,$A4048&lt;Visualisation!$D$1),MAX($V$1:V4047)+1,"")</f>
        <v/>
      </c>
    </row>
    <row r="4049" spans="1:22" x14ac:dyDescent="0.25">
      <c r="A4049" s="9"/>
      <c r="E4049" s="10"/>
      <c r="K4049" s="11" t="str">
        <f>IF($E4049="","",ROUND($E4049*IF(ISNA(MATCH($C4049,'Paramètres'!$D:$D,0)),1,IF(INDEX('Paramètres'!$J:$J,MATCH($C4049,'Paramètres'!$D:$D,0))="",1,INDEX('Paramètres'!$J:$J,MATCH($C4049,'Paramètres'!$D:$D,0)))),2))</f>
        <v/>
      </c>
      <c r="L4049" s="6" t="str">
        <f>IF($D4049="","",IF($F4049&lt;&gt;"",$F4049,IF(ISNA(MATCH($D4049,'Paramètres'!$M:$M,0)),"⚠ Type inconnu",IFERROR(INDEX('Paramètres'!$P:$P,MATCH($D4049,'Paramètres'!$M:$M,0))&amp;"",""))))</f>
        <v/>
      </c>
      <c r="M4049" s="6" t="str">
        <f>IF($D4049="","",IF(ISNA(MATCH($D4049,'Paramètres'!$M:$M,0)),"⚠ Type inconnu",IF($L4049="Crédit","",IFERROR(INDEX('Paramètres'!$O:$O,MATCH($D4049,'Paramètres'!$M:$M,0))&amp;"",""))))</f>
        <v/>
      </c>
      <c r="N4049" s="6" t="str">
        <f>IF($D4049="","",IFERROR(INDEX('Paramètres'!$Q:$Q,MATCH($D4049,'Paramètres'!$M:$M,0))&amp;"",""))</f>
        <v/>
      </c>
      <c r="O4049" s="6" t="str">
        <f>IF($A4049="","",IF(OR($J4049&lt;&gt;"x",$A4049&lt;=FinReleve),1,0))</f>
        <v/>
      </c>
      <c r="P4049" s="6" t="str">
        <f>IF($D4049="","",IF(AND($L4049="Crédit",OR(IFERROR(INDEX('Paramètres'!$O:$O,MATCH($D4049,'Paramètres'!$M:$M,0))&amp;"","")&lt;&gt;"",ISNUMBER(SEARCH("remboursement",IFERROR(INDEX('Paramètres'!$N:$N,MATCH($D4049,'Paramètres'!$M:$M,0))&amp;"",""))))),1,0))</f>
        <v/>
      </c>
      <c r="Q4049" s="6" t="str">
        <f>IF($K4049="","",IF(ISNUMBER(SEARCH("transfert-interne",IFERROR(INDEX('Paramètres'!$N:$N,MATCH($D4049,'Paramètres'!$M:$M,0))&amp;"",""))),0,IF($L4049="Débit",$K4049,IF($P4049=1,-$K4049,0))))</f>
        <v/>
      </c>
      <c r="R4049" s="6" t="str">
        <f>IF($K4049="","",IF($L4049="Crédit",$K4049,-$K4049))</f>
        <v/>
      </c>
      <c r="S4049" s="6" t="str">
        <f>IF($C4049="","",IFERROR(INDEX('Paramètres'!$H:$H,MATCH($C4049,'Paramètres'!$D:$D,0))&amp;"",""))</f>
        <v/>
      </c>
      <c r="T4049" s="6" t="str">
        <f>IF($K4049="","",IF($S4049="",0,IF(ISNUMBER(SEARCH("apport-exterieur",IFERROR(INDEX('Paramètres'!$N:$N,MATCH($D4049,'Paramètres'!$M:$M,0))&amp;"",""))),0,IF(OR(IFERROR(INDEX('Paramètres'!$I:$I,MATCH($C4049,'Paramètres'!$D:$D,0))&amp;"","")="Les deux",IFERROR(INDEX('Paramètres'!$I:$I,MATCH($C4049,'Paramètres'!$D:$D,0))&amp;"","")=IF($P4049=1,"Débit",$L4049)),-IF($P4049=1,-$K4049,$K4049),0))))</f>
        <v/>
      </c>
      <c r="U4049" s="6" t="str">
        <f>IF($K4049="","",IF(ISNUMBER(SEARCH("sortie-epargne",IFERROR(INDEX('Paramètres'!$N:$N,MATCH($D4049,'Paramètres'!$M:$M,0))&amp;"",""))),$K4049,0))</f>
        <v/>
      </c>
      <c r="V4049" s="6" t="str">
        <f>IF(AND($A4049&lt;&gt;"",$O4049=1,$L4049="Débit",N($Q4049)&gt;0,$A4049&gt;=Visualisation!$B$1,$A4049&lt;Visualisation!$D$1),MAX($V$1:V4048)+1,"")</f>
        <v/>
      </c>
    </row>
    <row r="4050" spans="1:22" x14ac:dyDescent="0.25">
      <c r="A4050" s="9"/>
      <c r="E4050" s="10"/>
      <c r="K4050" s="11" t="str">
        <f>IF($E4050="","",ROUND($E4050*IF(ISNA(MATCH($C4050,'Paramètres'!$D:$D,0)),1,IF(INDEX('Paramètres'!$J:$J,MATCH($C4050,'Paramètres'!$D:$D,0))="",1,INDEX('Paramètres'!$J:$J,MATCH($C4050,'Paramètres'!$D:$D,0)))),2))</f>
        <v/>
      </c>
      <c r="L4050" s="6" t="str">
        <f>IF($D4050="","",IF($F4050&lt;&gt;"",$F4050,IF(ISNA(MATCH($D4050,'Paramètres'!$M:$M,0)),"⚠ Type inconnu",IFERROR(INDEX('Paramètres'!$P:$P,MATCH($D4050,'Paramètres'!$M:$M,0))&amp;"",""))))</f>
        <v/>
      </c>
      <c r="M4050" s="6" t="str">
        <f>IF($D4050="","",IF(ISNA(MATCH($D4050,'Paramètres'!$M:$M,0)),"⚠ Type inconnu",IF($L4050="Crédit","",IFERROR(INDEX('Paramètres'!$O:$O,MATCH($D4050,'Paramètres'!$M:$M,0))&amp;"",""))))</f>
        <v/>
      </c>
      <c r="N4050" s="6" t="str">
        <f>IF($D4050="","",IFERROR(INDEX('Paramètres'!$Q:$Q,MATCH($D4050,'Paramètres'!$M:$M,0))&amp;"",""))</f>
        <v/>
      </c>
      <c r="O4050" s="6" t="str">
        <f>IF($A4050="","",IF(OR($J4050&lt;&gt;"x",$A4050&lt;=FinReleve),1,0))</f>
        <v/>
      </c>
      <c r="P4050" s="6" t="str">
        <f>IF($D4050="","",IF(AND($L4050="Crédit",OR(IFERROR(INDEX('Paramètres'!$O:$O,MATCH($D4050,'Paramètres'!$M:$M,0))&amp;"","")&lt;&gt;"",ISNUMBER(SEARCH("remboursement",IFERROR(INDEX('Paramètres'!$N:$N,MATCH($D4050,'Paramètres'!$M:$M,0))&amp;"",""))))),1,0))</f>
        <v/>
      </c>
      <c r="Q4050" s="6" t="str">
        <f>IF($K4050="","",IF(ISNUMBER(SEARCH("transfert-interne",IFERROR(INDEX('Paramètres'!$N:$N,MATCH($D4050,'Paramètres'!$M:$M,0))&amp;"",""))),0,IF($L4050="Débit",$K4050,IF($P4050=1,-$K4050,0))))</f>
        <v/>
      </c>
      <c r="R4050" s="6" t="str">
        <f>IF($K4050="","",IF($L4050="Crédit",$K4050,-$K4050))</f>
        <v/>
      </c>
      <c r="S4050" s="6" t="str">
        <f>IF($C4050="","",IFERROR(INDEX('Paramètres'!$H:$H,MATCH($C4050,'Paramètres'!$D:$D,0))&amp;"",""))</f>
        <v/>
      </c>
      <c r="T4050" s="6" t="str">
        <f>IF($K4050="","",IF($S4050="",0,IF(ISNUMBER(SEARCH("apport-exterieur",IFERROR(INDEX('Paramètres'!$N:$N,MATCH($D4050,'Paramètres'!$M:$M,0))&amp;"",""))),0,IF(OR(IFERROR(INDEX('Paramètres'!$I:$I,MATCH($C4050,'Paramètres'!$D:$D,0))&amp;"","")="Les deux",IFERROR(INDEX('Paramètres'!$I:$I,MATCH($C4050,'Paramètres'!$D:$D,0))&amp;"","")=IF($P4050=1,"Débit",$L4050)),-IF($P4050=1,-$K4050,$K4050),0))))</f>
        <v/>
      </c>
      <c r="U4050" s="6" t="str">
        <f>IF($K4050="","",IF(ISNUMBER(SEARCH("sortie-epargne",IFERROR(INDEX('Paramètres'!$N:$N,MATCH($D4050,'Paramètres'!$M:$M,0))&amp;"",""))),$K4050,0))</f>
        <v/>
      </c>
      <c r="V4050" s="6" t="str">
        <f>IF(AND($A4050&lt;&gt;"",$O4050=1,$L4050="Débit",N($Q4050)&gt;0,$A4050&gt;=Visualisation!$B$1,$A4050&lt;Visualisation!$D$1),MAX($V$1:V4049)+1,"")</f>
        <v/>
      </c>
    </row>
    <row r="4051" spans="1:22" x14ac:dyDescent="0.25">
      <c r="A4051" s="9"/>
      <c r="E4051" s="10"/>
      <c r="K4051" s="11" t="str">
        <f>IF($E4051="","",ROUND($E4051*IF(ISNA(MATCH($C4051,'Paramètres'!$D:$D,0)),1,IF(INDEX('Paramètres'!$J:$J,MATCH($C4051,'Paramètres'!$D:$D,0))="",1,INDEX('Paramètres'!$J:$J,MATCH($C4051,'Paramètres'!$D:$D,0)))),2))</f>
        <v/>
      </c>
      <c r="L4051" s="6" t="str">
        <f>IF($D4051="","",IF($F4051&lt;&gt;"",$F4051,IF(ISNA(MATCH($D4051,'Paramètres'!$M:$M,0)),"⚠ Type inconnu",IFERROR(INDEX('Paramètres'!$P:$P,MATCH($D4051,'Paramètres'!$M:$M,0))&amp;"",""))))</f>
        <v/>
      </c>
      <c r="M4051" s="6" t="str">
        <f>IF($D4051="","",IF(ISNA(MATCH($D4051,'Paramètres'!$M:$M,0)),"⚠ Type inconnu",IF($L4051="Crédit","",IFERROR(INDEX('Paramètres'!$O:$O,MATCH($D4051,'Paramètres'!$M:$M,0))&amp;"",""))))</f>
        <v/>
      </c>
      <c r="N4051" s="6" t="str">
        <f>IF($D4051="","",IFERROR(INDEX('Paramètres'!$Q:$Q,MATCH($D4051,'Paramètres'!$M:$M,0))&amp;"",""))</f>
        <v/>
      </c>
      <c r="O4051" s="6" t="str">
        <f>IF($A4051="","",IF(OR($J4051&lt;&gt;"x",$A4051&lt;=FinReleve),1,0))</f>
        <v/>
      </c>
      <c r="P4051" s="6" t="str">
        <f>IF($D4051="","",IF(AND($L4051="Crédit",OR(IFERROR(INDEX('Paramètres'!$O:$O,MATCH($D4051,'Paramètres'!$M:$M,0))&amp;"","")&lt;&gt;"",ISNUMBER(SEARCH("remboursement",IFERROR(INDEX('Paramètres'!$N:$N,MATCH($D4051,'Paramètres'!$M:$M,0))&amp;"",""))))),1,0))</f>
        <v/>
      </c>
      <c r="Q4051" s="6" t="str">
        <f>IF($K4051="","",IF(ISNUMBER(SEARCH("transfert-interne",IFERROR(INDEX('Paramètres'!$N:$N,MATCH($D4051,'Paramètres'!$M:$M,0))&amp;"",""))),0,IF($L4051="Débit",$K4051,IF($P4051=1,-$K4051,0))))</f>
        <v/>
      </c>
      <c r="R4051" s="6" t="str">
        <f>IF($K4051="","",IF($L4051="Crédit",$K4051,-$K4051))</f>
        <v/>
      </c>
      <c r="S4051" s="6" t="str">
        <f>IF($C4051="","",IFERROR(INDEX('Paramètres'!$H:$H,MATCH($C4051,'Paramètres'!$D:$D,0))&amp;"",""))</f>
        <v/>
      </c>
      <c r="T4051" s="6" t="str">
        <f>IF($K4051="","",IF($S4051="",0,IF(ISNUMBER(SEARCH("apport-exterieur",IFERROR(INDEX('Paramètres'!$N:$N,MATCH($D4051,'Paramètres'!$M:$M,0))&amp;"",""))),0,IF(OR(IFERROR(INDEX('Paramètres'!$I:$I,MATCH($C4051,'Paramètres'!$D:$D,0))&amp;"","")="Les deux",IFERROR(INDEX('Paramètres'!$I:$I,MATCH($C4051,'Paramètres'!$D:$D,0))&amp;"","")=IF($P4051=1,"Débit",$L4051)),-IF($P4051=1,-$K4051,$K4051),0))))</f>
        <v/>
      </c>
      <c r="U4051" s="6" t="str">
        <f>IF($K4051="","",IF(ISNUMBER(SEARCH("sortie-epargne",IFERROR(INDEX('Paramètres'!$N:$N,MATCH($D4051,'Paramètres'!$M:$M,0))&amp;"",""))),$K4051,0))</f>
        <v/>
      </c>
      <c r="V4051" s="6" t="str">
        <f>IF(AND($A4051&lt;&gt;"",$O4051=1,$L4051="Débit",N($Q4051)&gt;0,$A4051&gt;=Visualisation!$B$1,$A4051&lt;Visualisation!$D$1),MAX($V$1:V4050)+1,"")</f>
        <v/>
      </c>
    </row>
    <row r="4052" spans="1:22" x14ac:dyDescent="0.25">
      <c r="A4052" s="9"/>
      <c r="E4052" s="10"/>
      <c r="K4052" s="11" t="str">
        <f>IF($E4052="","",ROUND($E4052*IF(ISNA(MATCH($C4052,'Paramètres'!$D:$D,0)),1,IF(INDEX('Paramètres'!$J:$J,MATCH($C4052,'Paramètres'!$D:$D,0))="",1,INDEX('Paramètres'!$J:$J,MATCH($C4052,'Paramètres'!$D:$D,0)))),2))</f>
        <v/>
      </c>
      <c r="L4052" s="6" t="str">
        <f>IF($D4052="","",IF($F4052&lt;&gt;"",$F4052,IF(ISNA(MATCH($D4052,'Paramètres'!$M:$M,0)),"⚠ Type inconnu",IFERROR(INDEX('Paramètres'!$P:$P,MATCH($D4052,'Paramètres'!$M:$M,0))&amp;"",""))))</f>
        <v/>
      </c>
      <c r="M4052" s="6" t="str">
        <f>IF($D4052="","",IF(ISNA(MATCH($D4052,'Paramètres'!$M:$M,0)),"⚠ Type inconnu",IF($L4052="Crédit","",IFERROR(INDEX('Paramètres'!$O:$O,MATCH($D4052,'Paramètres'!$M:$M,0))&amp;"",""))))</f>
        <v/>
      </c>
      <c r="N4052" s="6" t="str">
        <f>IF($D4052="","",IFERROR(INDEX('Paramètres'!$Q:$Q,MATCH($D4052,'Paramètres'!$M:$M,0))&amp;"",""))</f>
        <v/>
      </c>
      <c r="O4052" s="6" t="str">
        <f>IF($A4052="","",IF(OR($J4052&lt;&gt;"x",$A4052&lt;=FinReleve),1,0))</f>
        <v/>
      </c>
      <c r="P4052" s="6" t="str">
        <f>IF($D4052="","",IF(AND($L4052="Crédit",OR(IFERROR(INDEX('Paramètres'!$O:$O,MATCH($D4052,'Paramètres'!$M:$M,0))&amp;"","")&lt;&gt;"",ISNUMBER(SEARCH("remboursement",IFERROR(INDEX('Paramètres'!$N:$N,MATCH($D4052,'Paramètres'!$M:$M,0))&amp;"",""))))),1,0))</f>
        <v/>
      </c>
      <c r="Q4052" s="6" t="str">
        <f>IF($K4052="","",IF(ISNUMBER(SEARCH("transfert-interne",IFERROR(INDEX('Paramètres'!$N:$N,MATCH($D4052,'Paramètres'!$M:$M,0))&amp;"",""))),0,IF($L4052="Débit",$K4052,IF($P4052=1,-$K4052,0))))</f>
        <v/>
      </c>
      <c r="R4052" s="6" t="str">
        <f>IF($K4052="","",IF($L4052="Crédit",$K4052,-$K4052))</f>
        <v/>
      </c>
      <c r="S4052" s="6" t="str">
        <f>IF($C4052="","",IFERROR(INDEX('Paramètres'!$H:$H,MATCH($C4052,'Paramètres'!$D:$D,0))&amp;"",""))</f>
        <v/>
      </c>
      <c r="T4052" s="6" t="str">
        <f>IF($K4052="","",IF($S4052="",0,IF(ISNUMBER(SEARCH("apport-exterieur",IFERROR(INDEX('Paramètres'!$N:$N,MATCH($D4052,'Paramètres'!$M:$M,0))&amp;"",""))),0,IF(OR(IFERROR(INDEX('Paramètres'!$I:$I,MATCH($C4052,'Paramètres'!$D:$D,0))&amp;"","")="Les deux",IFERROR(INDEX('Paramètres'!$I:$I,MATCH($C4052,'Paramètres'!$D:$D,0))&amp;"","")=IF($P4052=1,"Débit",$L4052)),-IF($P4052=1,-$K4052,$K4052),0))))</f>
        <v/>
      </c>
      <c r="U4052" s="6" t="str">
        <f>IF($K4052="","",IF(ISNUMBER(SEARCH("sortie-epargne",IFERROR(INDEX('Paramètres'!$N:$N,MATCH($D4052,'Paramètres'!$M:$M,0))&amp;"",""))),$K4052,0))</f>
        <v/>
      </c>
      <c r="V4052" s="6" t="str">
        <f>IF(AND($A4052&lt;&gt;"",$O4052=1,$L4052="Débit",N($Q4052)&gt;0,$A4052&gt;=Visualisation!$B$1,$A4052&lt;Visualisation!$D$1),MAX($V$1:V4051)+1,"")</f>
        <v/>
      </c>
    </row>
    <row r="4053" spans="1:22" x14ac:dyDescent="0.25">
      <c r="A4053" s="9"/>
      <c r="E4053" s="10"/>
      <c r="K4053" s="11" t="str">
        <f>IF($E4053="","",ROUND($E4053*IF(ISNA(MATCH($C4053,'Paramètres'!$D:$D,0)),1,IF(INDEX('Paramètres'!$J:$J,MATCH($C4053,'Paramètres'!$D:$D,0))="",1,INDEX('Paramètres'!$J:$J,MATCH($C4053,'Paramètres'!$D:$D,0)))),2))</f>
        <v/>
      </c>
      <c r="L4053" s="6" t="str">
        <f>IF($D4053="","",IF($F4053&lt;&gt;"",$F4053,IF(ISNA(MATCH($D4053,'Paramètres'!$M:$M,0)),"⚠ Type inconnu",IFERROR(INDEX('Paramètres'!$P:$P,MATCH($D4053,'Paramètres'!$M:$M,0))&amp;"",""))))</f>
        <v/>
      </c>
      <c r="M4053" s="6" t="str">
        <f>IF($D4053="","",IF(ISNA(MATCH($D4053,'Paramètres'!$M:$M,0)),"⚠ Type inconnu",IF($L4053="Crédit","",IFERROR(INDEX('Paramètres'!$O:$O,MATCH($D4053,'Paramètres'!$M:$M,0))&amp;"",""))))</f>
        <v/>
      </c>
      <c r="N4053" s="6" t="str">
        <f>IF($D4053="","",IFERROR(INDEX('Paramètres'!$Q:$Q,MATCH($D4053,'Paramètres'!$M:$M,0))&amp;"",""))</f>
        <v/>
      </c>
      <c r="O4053" s="6" t="str">
        <f>IF($A4053="","",IF(OR($J4053&lt;&gt;"x",$A4053&lt;=FinReleve),1,0))</f>
        <v/>
      </c>
      <c r="P4053" s="6" t="str">
        <f>IF($D4053="","",IF(AND($L4053="Crédit",OR(IFERROR(INDEX('Paramètres'!$O:$O,MATCH($D4053,'Paramètres'!$M:$M,0))&amp;"","")&lt;&gt;"",ISNUMBER(SEARCH("remboursement",IFERROR(INDEX('Paramètres'!$N:$N,MATCH($D4053,'Paramètres'!$M:$M,0))&amp;"",""))))),1,0))</f>
        <v/>
      </c>
      <c r="Q4053" s="6" t="str">
        <f>IF($K4053="","",IF(ISNUMBER(SEARCH("transfert-interne",IFERROR(INDEX('Paramètres'!$N:$N,MATCH($D4053,'Paramètres'!$M:$M,0))&amp;"",""))),0,IF($L4053="Débit",$K4053,IF($P4053=1,-$K4053,0))))</f>
        <v/>
      </c>
      <c r="R4053" s="6" t="str">
        <f>IF($K4053="","",IF($L4053="Crédit",$K4053,-$K4053))</f>
        <v/>
      </c>
      <c r="S4053" s="6" t="str">
        <f>IF($C4053="","",IFERROR(INDEX('Paramètres'!$H:$H,MATCH($C4053,'Paramètres'!$D:$D,0))&amp;"",""))</f>
        <v/>
      </c>
      <c r="T4053" s="6" t="str">
        <f>IF($K4053="","",IF($S4053="",0,IF(ISNUMBER(SEARCH("apport-exterieur",IFERROR(INDEX('Paramètres'!$N:$N,MATCH($D4053,'Paramètres'!$M:$M,0))&amp;"",""))),0,IF(OR(IFERROR(INDEX('Paramètres'!$I:$I,MATCH($C4053,'Paramètres'!$D:$D,0))&amp;"","")="Les deux",IFERROR(INDEX('Paramètres'!$I:$I,MATCH($C4053,'Paramètres'!$D:$D,0))&amp;"","")=IF($P4053=1,"Débit",$L4053)),-IF($P4053=1,-$K4053,$K4053),0))))</f>
        <v/>
      </c>
      <c r="U4053" s="6" t="str">
        <f>IF($K4053="","",IF(ISNUMBER(SEARCH("sortie-epargne",IFERROR(INDEX('Paramètres'!$N:$N,MATCH($D4053,'Paramètres'!$M:$M,0))&amp;"",""))),$K4053,0))</f>
        <v/>
      </c>
      <c r="V4053" s="6" t="str">
        <f>IF(AND($A4053&lt;&gt;"",$O4053=1,$L4053="Débit",N($Q4053)&gt;0,$A4053&gt;=Visualisation!$B$1,$A4053&lt;Visualisation!$D$1),MAX($V$1:V4052)+1,"")</f>
        <v/>
      </c>
    </row>
    <row r="4054" spans="1:22" x14ac:dyDescent="0.25">
      <c r="A4054" s="9"/>
      <c r="E4054" s="10"/>
      <c r="K4054" s="11" t="str">
        <f>IF($E4054="","",ROUND($E4054*IF(ISNA(MATCH($C4054,'Paramètres'!$D:$D,0)),1,IF(INDEX('Paramètres'!$J:$J,MATCH($C4054,'Paramètres'!$D:$D,0))="",1,INDEX('Paramètres'!$J:$J,MATCH($C4054,'Paramètres'!$D:$D,0)))),2))</f>
        <v/>
      </c>
      <c r="L4054" s="6" t="str">
        <f>IF($D4054="","",IF($F4054&lt;&gt;"",$F4054,IF(ISNA(MATCH($D4054,'Paramètres'!$M:$M,0)),"⚠ Type inconnu",IFERROR(INDEX('Paramètres'!$P:$P,MATCH($D4054,'Paramètres'!$M:$M,0))&amp;"",""))))</f>
        <v/>
      </c>
      <c r="M4054" s="6" t="str">
        <f>IF($D4054="","",IF(ISNA(MATCH($D4054,'Paramètres'!$M:$M,0)),"⚠ Type inconnu",IF($L4054="Crédit","",IFERROR(INDEX('Paramètres'!$O:$O,MATCH($D4054,'Paramètres'!$M:$M,0))&amp;"",""))))</f>
        <v/>
      </c>
      <c r="N4054" s="6" t="str">
        <f>IF($D4054="","",IFERROR(INDEX('Paramètres'!$Q:$Q,MATCH($D4054,'Paramètres'!$M:$M,0))&amp;"",""))</f>
        <v/>
      </c>
      <c r="O4054" s="6" t="str">
        <f>IF($A4054="","",IF(OR($J4054&lt;&gt;"x",$A4054&lt;=FinReleve),1,0))</f>
        <v/>
      </c>
      <c r="P4054" s="6" t="str">
        <f>IF($D4054="","",IF(AND($L4054="Crédit",OR(IFERROR(INDEX('Paramètres'!$O:$O,MATCH($D4054,'Paramètres'!$M:$M,0))&amp;"","")&lt;&gt;"",ISNUMBER(SEARCH("remboursement",IFERROR(INDEX('Paramètres'!$N:$N,MATCH($D4054,'Paramètres'!$M:$M,0))&amp;"",""))))),1,0))</f>
        <v/>
      </c>
      <c r="Q4054" s="6" t="str">
        <f>IF($K4054="","",IF(ISNUMBER(SEARCH("transfert-interne",IFERROR(INDEX('Paramètres'!$N:$N,MATCH($D4054,'Paramètres'!$M:$M,0))&amp;"",""))),0,IF($L4054="Débit",$K4054,IF($P4054=1,-$K4054,0))))</f>
        <v/>
      </c>
      <c r="R4054" s="6" t="str">
        <f>IF($K4054="","",IF($L4054="Crédit",$K4054,-$K4054))</f>
        <v/>
      </c>
      <c r="S4054" s="6" t="str">
        <f>IF($C4054="","",IFERROR(INDEX('Paramètres'!$H:$H,MATCH($C4054,'Paramètres'!$D:$D,0))&amp;"",""))</f>
        <v/>
      </c>
      <c r="T4054" s="6" t="str">
        <f>IF($K4054="","",IF($S4054="",0,IF(ISNUMBER(SEARCH("apport-exterieur",IFERROR(INDEX('Paramètres'!$N:$N,MATCH($D4054,'Paramètres'!$M:$M,0))&amp;"",""))),0,IF(OR(IFERROR(INDEX('Paramètres'!$I:$I,MATCH($C4054,'Paramètres'!$D:$D,0))&amp;"","")="Les deux",IFERROR(INDEX('Paramètres'!$I:$I,MATCH($C4054,'Paramètres'!$D:$D,0))&amp;"","")=IF($P4054=1,"Débit",$L4054)),-IF($P4054=1,-$K4054,$K4054),0))))</f>
        <v/>
      </c>
      <c r="U4054" s="6" t="str">
        <f>IF($K4054="","",IF(ISNUMBER(SEARCH("sortie-epargne",IFERROR(INDEX('Paramètres'!$N:$N,MATCH($D4054,'Paramètres'!$M:$M,0))&amp;"",""))),$K4054,0))</f>
        <v/>
      </c>
      <c r="V4054" s="6" t="str">
        <f>IF(AND($A4054&lt;&gt;"",$O4054=1,$L4054="Débit",N($Q4054)&gt;0,$A4054&gt;=Visualisation!$B$1,$A4054&lt;Visualisation!$D$1),MAX($V$1:V4053)+1,"")</f>
        <v/>
      </c>
    </row>
    <row r="4055" spans="1:22" x14ac:dyDescent="0.25">
      <c r="A4055" s="9"/>
      <c r="E4055" s="10"/>
      <c r="K4055" s="11" t="str">
        <f>IF($E4055="","",ROUND($E4055*IF(ISNA(MATCH($C4055,'Paramètres'!$D:$D,0)),1,IF(INDEX('Paramètres'!$J:$J,MATCH($C4055,'Paramètres'!$D:$D,0))="",1,INDEX('Paramètres'!$J:$J,MATCH($C4055,'Paramètres'!$D:$D,0)))),2))</f>
        <v/>
      </c>
      <c r="L4055" s="6" t="str">
        <f>IF($D4055="","",IF($F4055&lt;&gt;"",$F4055,IF(ISNA(MATCH($D4055,'Paramètres'!$M:$M,0)),"⚠ Type inconnu",IFERROR(INDEX('Paramètres'!$P:$P,MATCH($D4055,'Paramètres'!$M:$M,0))&amp;"",""))))</f>
        <v/>
      </c>
      <c r="M4055" s="6" t="str">
        <f>IF($D4055="","",IF(ISNA(MATCH($D4055,'Paramètres'!$M:$M,0)),"⚠ Type inconnu",IF($L4055="Crédit","",IFERROR(INDEX('Paramètres'!$O:$O,MATCH($D4055,'Paramètres'!$M:$M,0))&amp;"",""))))</f>
        <v/>
      </c>
      <c r="N4055" s="6" t="str">
        <f>IF($D4055="","",IFERROR(INDEX('Paramètres'!$Q:$Q,MATCH($D4055,'Paramètres'!$M:$M,0))&amp;"",""))</f>
        <v/>
      </c>
      <c r="O4055" s="6" t="str">
        <f>IF($A4055="","",IF(OR($J4055&lt;&gt;"x",$A4055&lt;=FinReleve),1,0))</f>
        <v/>
      </c>
      <c r="P4055" s="6" t="str">
        <f>IF($D4055="","",IF(AND($L4055="Crédit",OR(IFERROR(INDEX('Paramètres'!$O:$O,MATCH($D4055,'Paramètres'!$M:$M,0))&amp;"","")&lt;&gt;"",ISNUMBER(SEARCH("remboursement",IFERROR(INDEX('Paramètres'!$N:$N,MATCH($D4055,'Paramètres'!$M:$M,0))&amp;"",""))))),1,0))</f>
        <v/>
      </c>
      <c r="Q4055" s="6" t="str">
        <f>IF($K4055="","",IF(ISNUMBER(SEARCH("transfert-interne",IFERROR(INDEX('Paramètres'!$N:$N,MATCH($D4055,'Paramètres'!$M:$M,0))&amp;"",""))),0,IF($L4055="Débit",$K4055,IF($P4055=1,-$K4055,0))))</f>
        <v/>
      </c>
      <c r="R4055" s="6" t="str">
        <f>IF($K4055="","",IF($L4055="Crédit",$K4055,-$K4055))</f>
        <v/>
      </c>
      <c r="S4055" s="6" t="str">
        <f>IF($C4055="","",IFERROR(INDEX('Paramètres'!$H:$H,MATCH($C4055,'Paramètres'!$D:$D,0))&amp;"",""))</f>
        <v/>
      </c>
      <c r="T4055" s="6" t="str">
        <f>IF($K4055="","",IF($S4055="",0,IF(ISNUMBER(SEARCH("apport-exterieur",IFERROR(INDEX('Paramètres'!$N:$N,MATCH($D4055,'Paramètres'!$M:$M,0))&amp;"",""))),0,IF(OR(IFERROR(INDEX('Paramètres'!$I:$I,MATCH($C4055,'Paramètres'!$D:$D,0))&amp;"","")="Les deux",IFERROR(INDEX('Paramètres'!$I:$I,MATCH($C4055,'Paramètres'!$D:$D,0))&amp;"","")=IF($P4055=1,"Débit",$L4055)),-IF($P4055=1,-$K4055,$K4055),0))))</f>
        <v/>
      </c>
      <c r="U4055" s="6" t="str">
        <f>IF($K4055="","",IF(ISNUMBER(SEARCH("sortie-epargne",IFERROR(INDEX('Paramètres'!$N:$N,MATCH($D4055,'Paramètres'!$M:$M,0))&amp;"",""))),$K4055,0))</f>
        <v/>
      </c>
      <c r="V4055" s="6" t="str">
        <f>IF(AND($A4055&lt;&gt;"",$O4055=1,$L4055="Débit",N($Q4055)&gt;0,$A4055&gt;=Visualisation!$B$1,$A4055&lt;Visualisation!$D$1),MAX($V$1:V4054)+1,"")</f>
        <v/>
      </c>
    </row>
    <row r="4056" spans="1:22" x14ac:dyDescent="0.25">
      <c r="A4056" s="9"/>
      <c r="E4056" s="10"/>
      <c r="K4056" s="11" t="str">
        <f>IF($E4056="","",ROUND($E4056*IF(ISNA(MATCH($C4056,'Paramètres'!$D:$D,0)),1,IF(INDEX('Paramètres'!$J:$J,MATCH($C4056,'Paramètres'!$D:$D,0))="",1,INDEX('Paramètres'!$J:$J,MATCH($C4056,'Paramètres'!$D:$D,0)))),2))</f>
        <v/>
      </c>
      <c r="L4056" s="6" t="str">
        <f>IF($D4056="","",IF($F4056&lt;&gt;"",$F4056,IF(ISNA(MATCH($D4056,'Paramètres'!$M:$M,0)),"⚠ Type inconnu",IFERROR(INDEX('Paramètres'!$P:$P,MATCH($D4056,'Paramètres'!$M:$M,0))&amp;"",""))))</f>
        <v/>
      </c>
      <c r="M4056" s="6" t="str">
        <f>IF($D4056="","",IF(ISNA(MATCH($D4056,'Paramètres'!$M:$M,0)),"⚠ Type inconnu",IF($L4056="Crédit","",IFERROR(INDEX('Paramètres'!$O:$O,MATCH($D4056,'Paramètres'!$M:$M,0))&amp;"",""))))</f>
        <v/>
      </c>
      <c r="N4056" s="6" t="str">
        <f>IF($D4056="","",IFERROR(INDEX('Paramètres'!$Q:$Q,MATCH($D4056,'Paramètres'!$M:$M,0))&amp;"",""))</f>
        <v/>
      </c>
      <c r="O4056" s="6" t="str">
        <f>IF($A4056="","",IF(OR($J4056&lt;&gt;"x",$A4056&lt;=FinReleve),1,0))</f>
        <v/>
      </c>
      <c r="P4056" s="6" t="str">
        <f>IF($D4056="","",IF(AND($L4056="Crédit",OR(IFERROR(INDEX('Paramètres'!$O:$O,MATCH($D4056,'Paramètres'!$M:$M,0))&amp;"","")&lt;&gt;"",ISNUMBER(SEARCH("remboursement",IFERROR(INDEX('Paramètres'!$N:$N,MATCH($D4056,'Paramètres'!$M:$M,0))&amp;"",""))))),1,0))</f>
        <v/>
      </c>
      <c r="Q4056" s="6" t="str">
        <f>IF($K4056="","",IF(ISNUMBER(SEARCH("transfert-interne",IFERROR(INDEX('Paramètres'!$N:$N,MATCH($D4056,'Paramètres'!$M:$M,0))&amp;"",""))),0,IF($L4056="Débit",$K4056,IF($P4056=1,-$K4056,0))))</f>
        <v/>
      </c>
      <c r="R4056" s="6" t="str">
        <f>IF($K4056="","",IF($L4056="Crédit",$K4056,-$K4056))</f>
        <v/>
      </c>
      <c r="S4056" s="6" t="str">
        <f>IF($C4056="","",IFERROR(INDEX('Paramètres'!$H:$H,MATCH($C4056,'Paramètres'!$D:$D,0))&amp;"",""))</f>
        <v/>
      </c>
      <c r="T4056" s="6" t="str">
        <f>IF($K4056="","",IF($S4056="",0,IF(ISNUMBER(SEARCH("apport-exterieur",IFERROR(INDEX('Paramètres'!$N:$N,MATCH($D4056,'Paramètres'!$M:$M,0))&amp;"",""))),0,IF(OR(IFERROR(INDEX('Paramètres'!$I:$I,MATCH($C4056,'Paramètres'!$D:$D,0))&amp;"","")="Les deux",IFERROR(INDEX('Paramètres'!$I:$I,MATCH($C4056,'Paramètres'!$D:$D,0))&amp;"","")=IF($P4056=1,"Débit",$L4056)),-IF($P4056=1,-$K4056,$K4056),0))))</f>
        <v/>
      </c>
      <c r="U4056" s="6" t="str">
        <f>IF($K4056="","",IF(ISNUMBER(SEARCH("sortie-epargne",IFERROR(INDEX('Paramètres'!$N:$N,MATCH($D4056,'Paramètres'!$M:$M,0))&amp;"",""))),$K4056,0))</f>
        <v/>
      </c>
      <c r="V4056" s="6" t="str">
        <f>IF(AND($A4056&lt;&gt;"",$O4056=1,$L4056="Débit",N($Q4056)&gt;0,$A4056&gt;=Visualisation!$B$1,$A4056&lt;Visualisation!$D$1),MAX($V$1:V4055)+1,"")</f>
        <v/>
      </c>
    </row>
    <row r="4057" spans="1:22" x14ac:dyDescent="0.25">
      <c r="A4057" s="9"/>
      <c r="E4057" s="10"/>
      <c r="K4057" s="11" t="str">
        <f>IF($E4057="","",ROUND($E4057*IF(ISNA(MATCH($C4057,'Paramètres'!$D:$D,0)),1,IF(INDEX('Paramètres'!$J:$J,MATCH($C4057,'Paramètres'!$D:$D,0))="",1,INDEX('Paramètres'!$J:$J,MATCH($C4057,'Paramètres'!$D:$D,0)))),2))</f>
        <v/>
      </c>
      <c r="L4057" s="6" t="str">
        <f>IF($D4057="","",IF($F4057&lt;&gt;"",$F4057,IF(ISNA(MATCH($D4057,'Paramètres'!$M:$M,0)),"⚠ Type inconnu",IFERROR(INDEX('Paramètres'!$P:$P,MATCH($D4057,'Paramètres'!$M:$M,0))&amp;"",""))))</f>
        <v/>
      </c>
      <c r="M4057" s="6" t="str">
        <f>IF($D4057="","",IF(ISNA(MATCH($D4057,'Paramètres'!$M:$M,0)),"⚠ Type inconnu",IF($L4057="Crédit","",IFERROR(INDEX('Paramètres'!$O:$O,MATCH($D4057,'Paramètres'!$M:$M,0))&amp;"",""))))</f>
        <v/>
      </c>
      <c r="N4057" s="6" t="str">
        <f>IF($D4057="","",IFERROR(INDEX('Paramètres'!$Q:$Q,MATCH($D4057,'Paramètres'!$M:$M,0))&amp;"",""))</f>
        <v/>
      </c>
      <c r="O4057" s="6" t="str">
        <f>IF($A4057="","",IF(OR($J4057&lt;&gt;"x",$A4057&lt;=FinReleve),1,0))</f>
        <v/>
      </c>
      <c r="P4057" s="6" t="str">
        <f>IF($D4057="","",IF(AND($L4057="Crédit",OR(IFERROR(INDEX('Paramètres'!$O:$O,MATCH($D4057,'Paramètres'!$M:$M,0))&amp;"","")&lt;&gt;"",ISNUMBER(SEARCH("remboursement",IFERROR(INDEX('Paramètres'!$N:$N,MATCH($D4057,'Paramètres'!$M:$M,0))&amp;"",""))))),1,0))</f>
        <v/>
      </c>
      <c r="Q4057" s="6" t="str">
        <f>IF($K4057="","",IF(ISNUMBER(SEARCH("transfert-interne",IFERROR(INDEX('Paramètres'!$N:$N,MATCH($D4057,'Paramètres'!$M:$M,0))&amp;"",""))),0,IF($L4057="Débit",$K4057,IF($P4057=1,-$K4057,0))))</f>
        <v/>
      </c>
      <c r="R4057" s="6" t="str">
        <f>IF($K4057="","",IF($L4057="Crédit",$K4057,-$K4057))</f>
        <v/>
      </c>
      <c r="S4057" s="6" t="str">
        <f>IF($C4057="","",IFERROR(INDEX('Paramètres'!$H:$H,MATCH($C4057,'Paramètres'!$D:$D,0))&amp;"",""))</f>
        <v/>
      </c>
      <c r="T4057" s="6" t="str">
        <f>IF($K4057="","",IF($S4057="",0,IF(ISNUMBER(SEARCH("apport-exterieur",IFERROR(INDEX('Paramètres'!$N:$N,MATCH($D4057,'Paramètres'!$M:$M,0))&amp;"",""))),0,IF(OR(IFERROR(INDEX('Paramètres'!$I:$I,MATCH($C4057,'Paramètres'!$D:$D,0))&amp;"","")="Les deux",IFERROR(INDEX('Paramètres'!$I:$I,MATCH($C4057,'Paramètres'!$D:$D,0))&amp;"","")=IF($P4057=1,"Débit",$L4057)),-IF($P4057=1,-$K4057,$K4057),0))))</f>
        <v/>
      </c>
      <c r="U4057" s="6" t="str">
        <f>IF($K4057="","",IF(ISNUMBER(SEARCH("sortie-epargne",IFERROR(INDEX('Paramètres'!$N:$N,MATCH($D4057,'Paramètres'!$M:$M,0))&amp;"",""))),$K4057,0))</f>
        <v/>
      </c>
      <c r="V4057" s="6" t="str">
        <f>IF(AND($A4057&lt;&gt;"",$O4057=1,$L4057="Débit",N($Q4057)&gt;0,$A4057&gt;=Visualisation!$B$1,$A4057&lt;Visualisation!$D$1),MAX($V$1:V4056)+1,"")</f>
        <v/>
      </c>
    </row>
    <row r="4058" spans="1:22" x14ac:dyDescent="0.25">
      <c r="A4058" s="9"/>
      <c r="E4058" s="10"/>
      <c r="K4058" s="11" t="str">
        <f>IF($E4058="","",ROUND($E4058*IF(ISNA(MATCH($C4058,'Paramètres'!$D:$D,0)),1,IF(INDEX('Paramètres'!$J:$J,MATCH($C4058,'Paramètres'!$D:$D,0))="",1,INDEX('Paramètres'!$J:$J,MATCH($C4058,'Paramètres'!$D:$D,0)))),2))</f>
        <v/>
      </c>
      <c r="L4058" s="6" t="str">
        <f>IF($D4058="","",IF($F4058&lt;&gt;"",$F4058,IF(ISNA(MATCH($D4058,'Paramètres'!$M:$M,0)),"⚠ Type inconnu",IFERROR(INDEX('Paramètres'!$P:$P,MATCH($D4058,'Paramètres'!$M:$M,0))&amp;"",""))))</f>
        <v/>
      </c>
      <c r="M4058" s="6" t="str">
        <f>IF($D4058="","",IF(ISNA(MATCH($D4058,'Paramètres'!$M:$M,0)),"⚠ Type inconnu",IF($L4058="Crédit","",IFERROR(INDEX('Paramètres'!$O:$O,MATCH($D4058,'Paramètres'!$M:$M,0))&amp;"",""))))</f>
        <v/>
      </c>
      <c r="N4058" s="6" t="str">
        <f>IF($D4058="","",IFERROR(INDEX('Paramètres'!$Q:$Q,MATCH($D4058,'Paramètres'!$M:$M,0))&amp;"",""))</f>
        <v/>
      </c>
      <c r="O4058" s="6" t="str">
        <f>IF($A4058="","",IF(OR($J4058&lt;&gt;"x",$A4058&lt;=FinReleve),1,0))</f>
        <v/>
      </c>
      <c r="P4058" s="6" t="str">
        <f>IF($D4058="","",IF(AND($L4058="Crédit",OR(IFERROR(INDEX('Paramètres'!$O:$O,MATCH($D4058,'Paramètres'!$M:$M,0))&amp;"","")&lt;&gt;"",ISNUMBER(SEARCH("remboursement",IFERROR(INDEX('Paramètres'!$N:$N,MATCH($D4058,'Paramètres'!$M:$M,0))&amp;"",""))))),1,0))</f>
        <v/>
      </c>
      <c r="Q4058" s="6" t="str">
        <f>IF($K4058="","",IF(ISNUMBER(SEARCH("transfert-interne",IFERROR(INDEX('Paramètres'!$N:$N,MATCH($D4058,'Paramètres'!$M:$M,0))&amp;"",""))),0,IF($L4058="Débit",$K4058,IF($P4058=1,-$K4058,0))))</f>
        <v/>
      </c>
      <c r="R4058" s="6" t="str">
        <f>IF($K4058="","",IF($L4058="Crédit",$K4058,-$K4058))</f>
        <v/>
      </c>
      <c r="S4058" s="6" t="str">
        <f>IF($C4058="","",IFERROR(INDEX('Paramètres'!$H:$H,MATCH($C4058,'Paramètres'!$D:$D,0))&amp;"",""))</f>
        <v/>
      </c>
      <c r="T4058" s="6" t="str">
        <f>IF($K4058="","",IF($S4058="",0,IF(ISNUMBER(SEARCH("apport-exterieur",IFERROR(INDEX('Paramètres'!$N:$N,MATCH($D4058,'Paramètres'!$M:$M,0))&amp;"",""))),0,IF(OR(IFERROR(INDEX('Paramètres'!$I:$I,MATCH($C4058,'Paramètres'!$D:$D,0))&amp;"","")="Les deux",IFERROR(INDEX('Paramètres'!$I:$I,MATCH($C4058,'Paramètres'!$D:$D,0))&amp;"","")=IF($P4058=1,"Débit",$L4058)),-IF($P4058=1,-$K4058,$K4058),0))))</f>
        <v/>
      </c>
      <c r="U4058" s="6" t="str">
        <f>IF($K4058="","",IF(ISNUMBER(SEARCH("sortie-epargne",IFERROR(INDEX('Paramètres'!$N:$N,MATCH($D4058,'Paramètres'!$M:$M,0))&amp;"",""))),$K4058,0))</f>
        <v/>
      </c>
      <c r="V4058" s="6" t="str">
        <f>IF(AND($A4058&lt;&gt;"",$O4058=1,$L4058="Débit",N($Q4058)&gt;0,$A4058&gt;=Visualisation!$B$1,$A4058&lt;Visualisation!$D$1),MAX($V$1:V4057)+1,"")</f>
        <v/>
      </c>
    </row>
    <row r="4059" spans="1:22" x14ac:dyDescent="0.25">
      <c r="A4059" s="9"/>
      <c r="E4059" s="10"/>
      <c r="K4059" s="11" t="str">
        <f>IF($E4059="","",ROUND($E4059*IF(ISNA(MATCH($C4059,'Paramètres'!$D:$D,0)),1,IF(INDEX('Paramètres'!$J:$J,MATCH($C4059,'Paramètres'!$D:$D,0))="",1,INDEX('Paramètres'!$J:$J,MATCH($C4059,'Paramètres'!$D:$D,0)))),2))</f>
        <v/>
      </c>
      <c r="L4059" s="6" t="str">
        <f>IF($D4059="","",IF($F4059&lt;&gt;"",$F4059,IF(ISNA(MATCH($D4059,'Paramètres'!$M:$M,0)),"⚠ Type inconnu",IFERROR(INDEX('Paramètres'!$P:$P,MATCH($D4059,'Paramètres'!$M:$M,0))&amp;"",""))))</f>
        <v/>
      </c>
      <c r="M4059" s="6" t="str">
        <f>IF($D4059="","",IF(ISNA(MATCH($D4059,'Paramètres'!$M:$M,0)),"⚠ Type inconnu",IF($L4059="Crédit","",IFERROR(INDEX('Paramètres'!$O:$O,MATCH($D4059,'Paramètres'!$M:$M,0))&amp;"",""))))</f>
        <v/>
      </c>
      <c r="N4059" s="6" t="str">
        <f>IF($D4059="","",IFERROR(INDEX('Paramètres'!$Q:$Q,MATCH($D4059,'Paramètres'!$M:$M,0))&amp;"",""))</f>
        <v/>
      </c>
      <c r="O4059" s="6" t="str">
        <f>IF($A4059="","",IF(OR($J4059&lt;&gt;"x",$A4059&lt;=FinReleve),1,0))</f>
        <v/>
      </c>
      <c r="P4059" s="6" t="str">
        <f>IF($D4059="","",IF(AND($L4059="Crédit",OR(IFERROR(INDEX('Paramètres'!$O:$O,MATCH($D4059,'Paramètres'!$M:$M,0))&amp;"","")&lt;&gt;"",ISNUMBER(SEARCH("remboursement",IFERROR(INDEX('Paramètres'!$N:$N,MATCH($D4059,'Paramètres'!$M:$M,0))&amp;"",""))))),1,0))</f>
        <v/>
      </c>
      <c r="Q4059" s="6" t="str">
        <f>IF($K4059="","",IF(ISNUMBER(SEARCH("transfert-interne",IFERROR(INDEX('Paramètres'!$N:$N,MATCH($D4059,'Paramètres'!$M:$M,0))&amp;"",""))),0,IF($L4059="Débit",$K4059,IF($P4059=1,-$K4059,0))))</f>
        <v/>
      </c>
      <c r="R4059" s="6" t="str">
        <f>IF($K4059="","",IF($L4059="Crédit",$K4059,-$K4059))</f>
        <v/>
      </c>
      <c r="S4059" s="6" t="str">
        <f>IF($C4059="","",IFERROR(INDEX('Paramètres'!$H:$H,MATCH($C4059,'Paramètres'!$D:$D,0))&amp;"",""))</f>
        <v/>
      </c>
      <c r="T4059" s="6" t="str">
        <f>IF($K4059="","",IF($S4059="",0,IF(ISNUMBER(SEARCH("apport-exterieur",IFERROR(INDEX('Paramètres'!$N:$N,MATCH($D4059,'Paramètres'!$M:$M,0))&amp;"",""))),0,IF(OR(IFERROR(INDEX('Paramètres'!$I:$I,MATCH($C4059,'Paramètres'!$D:$D,0))&amp;"","")="Les deux",IFERROR(INDEX('Paramètres'!$I:$I,MATCH($C4059,'Paramètres'!$D:$D,0))&amp;"","")=IF($P4059=1,"Débit",$L4059)),-IF($P4059=1,-$K4059,$K4059),0))))</f>
        <v/>
      </c>
      <c r="U4059" s="6" t="str">
        <f>IF($K4059="","",IF(ISNUMBER(SEARCH("sortie-epargne",IFERROR(INDEX('Paramètres'!$N:$N,MATCH($D4059,'Paramètres'!$M:$M,0))&amp;"",""))),$K4059,0))</f>
        <v/>
      </c>
      <c r="V4059" s="6" t="str">
        <f>IF(AND($A4059&lt;&gt;"",$O4059=1,$L4059="Débit",N($Q4059)&gt;0,$A4059&gt;=Visualisation!$B$1,$A4059&lt;Visualisation!$D$1),MAX($V$1:V4058)+1,"")</f>
        <v/>
      </c>
    </row>
    <row r="4060" spans="1:22" x14ac:dyDescent="0.25">
      <c r="A4060" s="9"/>
      <c r="E4060" s="10"/>
      <c r="K4060" s="11" t="str">
        <f>IF($E4060="","",ROUND($E4060*IF(ISNA(MATCH($C4060,'Paramètres'!$D:$D,0)),1,IF(INDEX('Paramètres'!$J:$J,MATCH($C4060,'Paramètres'!$D:$D,0))="",1,INDEX('Paramètres'!$J:$J,MATCH($C4060,'Paramètres'!$D:$D,0)))),2))</f>
        <v/>
      </c>
      <c r="L4060" s="6" t="str">
        <f>IF($D4060="","",IF($F4060&lt;&gt;"",$F4060,IF(ISNA(MATCH($D4060,'Paramètres'!$M:$M,0)),"⚠ Type inconnu",IFERROR(INDEX('Paramètres'!$P:$P,MATCH($D4060,'Paramètres'!$M:$M,0))&amp;"",""))))</f>
        <v/>
      </c>
      <c r="M4060" s="6" t="str">
        <f>IF($D4060="","",IF(ISNA(MATCH($D4060,'Paramètres'!$M:$M,0)),"⚠ Type inconnu",IF($L4060="Crédit","",IFERROR(INDEX('Paramètres'!$O:$O,MATCH($D4060,'Paramètres'!$M:$M,0))&amp;"",""))))</f>
        <v/>
      </c>
      <c r="N4060" s="6" t="str">
        <f>IF($D4060="","",IFERROR(INDEX('Paramètres'!$Q:$Q,MATCH($D4060,'Paramètres'!$M:$M,0))&amp;"",""))</f>
        <v/>
      </c>
      <c r="O4060" s="6" t="str">
        <f>IF($A4060="","",IF(OR($J4060&lt;&gt;"x",$A4060&lt;=FinReleve),1,0))</f>
        <v/>
      </c>
      <c r="P4060" s="6" t="str">
        <f>IF($D4060="","",IF(AND($L4060="Crédit",OR(IFERROR(INDEX('Paramètres'!$O:$O,MATCH($D4060,'Paramètres'!$M:$M,0))&amp;"","")&lt;&gt;"",ISNUMBER(SEARCH("remboursement",IFERROR(INDEX('Paramètres'!$N:$N,MATCH($D4060,'Paramètres'!$M:$M,0))&amp;"",""))))),1,0))</f>
        <v/>
      </c>
      <c r="Q4060" s="6" t="str">
        <f>IF($K4060="","",IF(ISNUMBER(SEARCH("transfert-interne",IFERROR(INDEX('Paramètres'!$N:$N,MATCH($D4060,'Paramètres'!$M:$M,0))&amp;"",""))),0,IF($L4060="Débit",$K4060,IF($P4060=1,-$K4060,0))))</f>
        <v/>
      </c>
      <c r="R4060" s="6" t="str">
        <f>IF($K4060="","",IF($L4060="Crédit",$K4060,-$K4060))</f>
        <v/>
      </c>
      <c r="S4060" s="6" t="str">
        <f>IF($C4060="","",IFERROR(INDEX('Paramètres'!$H:$H,MATCH($C4060,'Paramètres'!$D:$D,0))&amp;"",""))</f>
        <v/>
      </c>
      <c r="T4060" s="6" t="str">
        <f>IF($K4060="","",IF($S4060="",0,IF(ISNUMBER(SEARCH("apport-exterieur",IFERROR(INDEX('Paramètres'!$N:$N,MATCH($D4060,'Paramètres'!$M:$M,0))&amp;"",""))),0,IF(OR(IFERROR(INDEX('Paramètres'!$I:$I,MATCH($C4060,'Paramètres'!$D:$D,0))&amp;"","")="Les deux",IFERROR(INDEX('Paramètres'!$I:$I,MATCH($C4060,'Paramètres'!$D:$D,0))&amp;"","")=IF($P4060=1,"Débit",$L4060)),-IF($P4060=1,-$K4060,$K4060),0))))</f>
        <v/>
      </c>
      <c r="U4060" s="6" t="str">
        <f>IF($K4060="","",IF(ISNUMBER(SEARCH("sortie-epargne",IFERROR(INDEX('Paramètres'!$N:$N,MATCH($D4060,'Paramètres'!$M:$M,0))&amp;"",""))),$K4060,0))</f>
        <v/>
      </c>
      <c r="V4060" s="6" t="str">
        <f>IF(AND($A4060&lt;&gt;"",$O4060=1,$L4060="Débit",N($Q4060)&gt;0,$A4060&gt;=Visualisation!$B$1,$A4060&lt;Visualisation!$D$1),MAX($V$1:V4059)+1,"")</f>
        <v/>
      </c>
    </row>
    <row r="4061" spans="1:22" x14ac:dyDescent="0.25">
      <c r="A4061" s="9"/>
      <c r="E4061" s="10"/>
      <c r="K4061" s="11" t="str">
        <f>IF($E4061="","",ROUND($E4061*IF(ISNA(MATCH($C4061,'Paramètres'!$D:$D,0)),1,IF(INDEX('Paramètres'!$J:$J,MATCH($C4061,'Paramètres'!$D:$D,0))="",1,INDEX('Paramètres'!$J:$J,MATCH($C4061,'Paramètres'!$D:$D,0)))),2))</f>
        <v/>
      </c>
      <c r="L4061" s="6" t="str">
        <f>IF($D4061="","",IF($F4061&lt;&gt;"",$F4061,IF(ISNA(MATCH($D4061,'Paramètres'!$M:$M,0)),"⚠ Type inconnu",IFERROR(INDEX('Paramètres'!$P:$P,MATCH($D4061,'Paramètres'!$M:$M,0))&amp;"",""))))</f>
        <v/>
      </c>
      <c r="M4061" s="6" t="str">
        <f>IF($D4061="","",IF(ISNA(MATCH($D4061,'Paramètres'!$M:$M,0)),"⚠ Type inconnu",IF($L4061="Crédit","",IFERROR(INDEX('Paramètres'!$O:$O,MATCH($D4061,'Paramètres'!$M:$M,0))&amp;"",""))))</f>
        <v/>
      </c>
      <c r="N4061" s="6" t="str">
        <f>IF($D4061="","",IFERROR(INDEX('Paramètres'!$Q:$Q,MATCH($D4061,'Paramètres'!$M:$M,0))&amp;"",""))</f>
        <v/>
      </c>
      <c r="O4061" s="6" t="str">
        <f>IF($A4061="","",IF(OR($J4061&lt;&gt;"x",$A4061&lt;=FinReleve),1,0))</f>
        <v/>
      </c>
      <c r="P4061" s="6" t="str">
        <f>IF($D4061="","",IF(AND($L4061="Crédit",OR(IFERROR(INDEX('Paramètres'!$O:$O,MATCH($D4061,'Paramètres'!$M:$M,0))&amp;"","")&lt;&gt;"",ISNUMBER(SEARCH("remboursement",IFERROR(INDEX('Paramètres'!$N:$N,MATCH($D4061,'Paramètres'!$M:$M,0))&amp;"",""))))),1,0))</f>
        <v/>
      </c>
      <c r="Q4061" s="6" t="str">
        <f>IF($K4061="","",IF(ISNUMBER(SEARCH("transfert-interne",IFERROR(INDEX('Paramètres'!$N:$N,MATCH($D4061,'Paramètres'!$M:$M,0))&amp;"",""))),0,IF($L4061="Débit",$K4061,IF($P4061=1,-$K4061,0))))</f>
        <v/>
      </c>
      <c r="R4061" s="6" t="str">
        <f>IF($K4061="","",IF($L4061="Crédit",$K4061,-$K4061))</f>
        <v/>
      </c>
      <c r="S4061" s="6" t="str">
        <f>IF($C4061="","",IFERROR(INDEX('Paramètres'!$H:$H,MATCH($C4061,'Paramètres'!$D:$D,0))&amp;"",""))</f>
        <v/>
      </c>
      <c r="T4061" s="6" t="str">
        <f>IF($K4061="","",IF($S4061="",0,IF(ISNUMBER(SEARCH("apport-exterieur",IFERROR(INDEX('Paramètres'!$N:$N,MATCH($D4061,'Paramètres'!$M:$M,0))&amp;"",""))),0,IF(OR(IFERROR(INDEX('Paramètres'!$I:$I,MATCH($C4061,'Paramètres'!$D:$D,0))&amp;"","")="Les deux",IFERROR(INDEX('Paramètres'!$I:$I,MATCH($C4061,'Paramètres'!$D:$D,0))&amp;"","")=IF($P4061=1,"Débit",$L4061)),-IF($P4061=1,-$K4061,$K4061),0))))</f>
        <v/>
      </c>
      <c r="U4061" s="6" t="str">
        <f>IF($K4061="","",IF(ISNUMBER(SEARCH("sortie-epargne",IFERROR(INDEX('Paramètres'!$N:$N,MATCH($D4061,'Paramètres'!$M:$M,0))&amp;"",""))),$K4061,0))</f>
        <v/>
      </c>
      <c r="V4061" s="6" t="str">
        <f>IF(AND($A4061&lt;&gt;"",$O4061=1,$L4061="Débit",N($Q4061)&gt;0,$A4061&gt;=Visualisation!$B$1,$A4061&lt;Visualisation!$D$1),MAX($V$1:V4060)+1,"")</f>
        <v/>
      </c>
    </row>
    <row r="4062" spans="1:22" x14ac:dyDescent="0.25">
      <c r="A4062" s="9"/>
      <c r="E4062" s="10"/>
      <c r="K4062" s="11" t="str">
        <f>IF($E4062="","",ROUND($E4062*IF(ISNA(MATCH($C4062,'Paramètres'!$D:$D,0)),1,IF(INDEX('Paramètres'!$J:$J,MATCH($C4062,'Paramètres'!$D:$D,0))="",1,INDEX('Paramètres'!$J:$J,MATCH($C4062,'Paramètres'!$D:$D,0)))),2))</f>
        <v/>
      </c>
      <c r="L4062" s="6" t="str">
        <f>IF($D4062="","",IF($F4062&lt;&gt;"",$F4062,IF(ISNA(MATCH($D4062,'Paramètres'!$M:$M,0)),"⚠ Type inconnu",IFERROR(INDEX('Paramètres'!$P:$P,MATCH($D4062,'Paramètres'!$M:$M,0))&amp;"",""))))</f>
        <v/>
      </c>
      <c r="M4062" s="6" t="str">
        <f>IF($D4062="","",IF(ISNA(MATCH($D4062,'Paramètres'!$M:$M,0)),"⚠ Type inconnu",IF($L4062="Crédit","",IFERROR(INDEX('Paramètres'!$O:$O,MATCH($D4062,'Paramètres'!$M:$M,0))&amp;"",""))))</f>
        <v/>
      </c>
      <c r="N4062" s="6" t="str">
        <f>IF($D4062="","",IFERROR(INDEX('Paramètres'!$Q:$Q,MATCH($D4062,'Paramètres'!$M:$M,0))&amp;"",""))</f>
        <v/>
      </c>
      <c r="O4062" s="6" t="str">
        <f>IF($A4062="","",IF(OR($J4062&lt;&gt;"x",$A4062&lt;=FinReleve),1,0))</f>
        <v/>
      </c>
      <c r="P4062" s="6" t="str">
        <f>IF($D4062="","",IF(AND($L4062="Crédit",OR(IFERROR(INDEX('Paramètres'!$O:$O,MATCH($D4062,'Paramètres'!$M:$M,0))&amp;"","")&lt;&gt;"",ISNUMBER(SEARCH("remboursement",IFERROR(INDEX('Paramètres'!$N:$N,MATCH($D4062,'Paramètres'!$M:$M,0))&amp;"",""))))),1,0))</f>
        <v/>
      </c>
      <c r="Q4062" s="6" t="str">
        <f>IF($K4062="","",IF(ISNUMBER(SEARCH("transfert-interne",IFERROR(INDEX('Paramètres'!$N:$N,MATCH($D4062,'Paramètres'!$M:$M,0))&amp;"",""))),0,IF($L4062="Débit",$K4062,IF($P4062=1,-$K4062,0))))</f>
        <v/>
      </c>
      <c r="R4062" s="6" t="str">
        <f>IF($K4062="","",IF($L4062="Crédit",$K4062,-$K4062))</f>
        <v/>
      </c>
      <c r="S4062" s="6" t="str">
        <f>IF($C4062="","",IFERROR(INDEX('Paramètres'!$H:$H,MATCH($C4062,'Paramètres'!$D:$D,0))&amp;"",""))</f>
        <v/>
      </c>
      <c r="T4062" s="6" t="str">
        <f>IF($K4062="","",IF($S4062="",0,IF(ISNUMBER(SEARCH("apport-exterieur",IFERROR(INDEX('Paramètres'!$N:$N,MATCH($D4062,'Paramètres'!$M:$M,0))&amp;"",""))),0,IF(OR(IFERROR(INDEX('Paramètres'!$I:$I,MATCH($C4062,'Paramètres'!$D:$D,0))&amp;"","")="Les deux",IFERROR(INDEX('Paramètres'!$I:$I,MATCH($C4062,'Paramètres'!$D:$D,0))&amp;"","")=IF($P4062=1,"Débit",$L4062)),-IF($P4062=1,-$K4062,$K4062),0))))</f>
        <v/>
      </c>
      <c r="U4062" s="6" t="str">
        <f>IF($K4062="","",IF(ISNUMBER(SEARCH("sortie-epargne",IFERROR(INDEX('Paramètres'!$N:$N,MATCH($D4062,'Paramètres'!$M:$M,0))&amp;"",""))),$K4062,0))</f>
        <v/>
      </c>
      <c r="V4062" s="6" t="str">
        <f>IF(AND($A4062&lt;&gt;"",$O4062=1,$L4062="Débit",N($Q4062)&gt;0,$A4062&gt;=Visualisation!$B$1,$A4062&lt;Visualisation!$D$1),MAX($V$1:V4061)+1,"")</f>
        <v/>
      </c>
    </row>
    <row r="4063" spans="1:22" x14ac:dyDescent="0.25">
      <c r="A4063" s="9"/>
      <c r="E4063" s="10"/>
      <c r="K4063" s="11" t="str">
        <f>IF($E4063="","",ROUND($E4063*IF(ISNA(MATCH($C4063,'Paramètres'!$D:$D,0)),1,IF(INDEX('Paramètres'!$J:$J,MATCH($C4063,'Paramètres'!$D:$D,0))="",1,INDEX('Paramètres'!$J:$J,MATCH($C4063,'Paramètres'!$D:$D,0)))),2))</f>
        <v/>
      </c>
      <c r="L4063" s="6" t="str">
        <f>IF($D4063="","",IF($F4063&lt;&gt;"",$F4063,IF(ISNA(MATCH($D4063,'Paramètres'!$M:$M,0)),"⚠ Type inconnu",IFERROR(INDEX('Paramètres'!$P:$P,MATCH($D4063,'Paramètres'!$M:$M,0))&amp;"",""))))</f>
        <v/>
      </c>
      <c r="M4063" s="6" t="str">
        <f>IF($D4063="","",IF(ISNA(MATCH($D4063,'Paramètres'!$M:$M,0)),"⚠ Type inconnu",IF($L4063="Crédit","",IFERROR(INDEX('Paramètres'!$O:$O,MATCH($D4063,'Paramètres'!$M:$M,0))&amp;"",""))))</f>
        <v/>
      </c>
      <c r="N4063" s="6" t="str">
        <f>IF($D4063="","",IFERROR(INDEX('Paramètres'!$Q:$Q,MATCH($D4063,'Paramètres'!$M:$M,0))&amp;"",""))</f>
        <v/>
      </c>
      <c r="O4063" s="6" t="str">
        <f>IF($A4063="","",IF(OR($J4063&lt;&gt;"x",$A4063&lt;=FinReleve),1,0))</f>
        <v/>
      </c>
      <c r="P4063" s="6" t="str">
        <f>IF($D4063="","",IF(AND($L4063="Crédit",OR(IFERROR(INDEX('Paramètres'!$O:$O,MATCH($D4063,'Paramètres'!$M:$M,0))&amp;"","")&lt;&gt;"",ISNUMBER(SEARCH("remboursement",IFERROR(INDEX('Paramètres'!$N:$N,MATCH($D4063,'Paramètres'!$M:$M,0))&amp;"",""))))),1,0))</f>
        <v/>
      </c>
      <c r="Q4063" s="6" t="str">
        <f>IF($K4063="","",IF(ISNUMBER(SEARCH("transfert-interne",IFERROR(INDEX('Paramètres'!$N:$N,MATCH($D4063,'Paramètres'!$M:$M,0))&amp;"",""))),0,IF($L4063="Débit",$K4063,IF($P4063=1,-$K4063,0))))</f>
        <v/>
      </c>
      <c r="R4063" s="6" t="str">
        <f>IF($K4063="","",IF($L4063="Crédit",$K4063,-$K4063))</f>
        <v/>
      </c>
      <c r="S4063" s="6" t="str">
        <f>IF($C4063="","",IFERROR(INDEX('Paramètres'!$H:$H,MATCH($C4063,'Paramètres'!$D:$D,0))&amp;"",""))</f>
        <v/>
      </c>
      <c r="T4063" s="6" t="str">
        <f>IF($K4063="","",IF($S4063="",0,IF(ISNUMBER(SEARCH("apport-exterieur",IFERROR(INDEX('Paramètres'!$N:$N,MATCH($D4063,'Paramètres'!$M:$M,0))&amp;"",""))),0,IF(OR(IFERROR(INDEX('Paramètres'!$I:$I,MATCH($C4063,'Paramètres'!$D:$D,0))&amp;"","")="Les deux",IFERROR(INDEX('Paramètres'!$I:$I,MATCH($C4063,'Paramètres'!$D:$D,0))&amp;"","")=IF($P4063=1,"Débit",$L4063)),-IF($P4063=1,-$K4063,$K4063),0))))</f>
        <v/>
      </c>
      <c r="U4063" s="6" t="str">
        <f>IF($K4063="","",IF(ISNUMBER(SEARCH("sortie-epargne",IFERROR(INDEX('Paramètres'!$N:$N,MATCH($D4063,'Paramètres'!$M:$M,0))&amp;"",""))),$K4063,0))</f>
        <v/>
      </c>
      <c r="V4063" s="6" t="str">
        <f>IF(AND($A4063&lt;&gt;"",$O4063=1,$L4063="Débit",N($Q4063)&gt;0,$A4063&gt;=Visualisation!$B$1,$A4063&lt;Visualisation!$D$1),MAX($V$1:V4062)+1,"")</f>
        <v/>
      </c>
    </row>
    <row r="4064" spans="1:22" x14ac:dyDescent="0.25">
      <c r="A4064" s="9"/>
      <c r="E4064" s="10"/>
      <c r="K4064" s="11" t="str">
        <f>IF($E4064="","",ROUND($E4064*IF(ISNA(MATCH($C4064,'Paramètres'!$D:$D,0)),1,IF(INDEX('Paramètres'!$J:$J,MATCH($C4064,'Paramètres'!$D:$D,0))="",1,INDEX('Paramètres'!$J:$J,MATCH($C4064,'Paramètres'!$D:$D,0)))),2))</f>
        <v/>
      </c>
      <c r="L4064" s="6" t="str">
        <f>IF($D4064="","",IF($F4064&lt;&gt;"",$F4064,IF(ISNA(MATCH($D4064,'Paramètres'!$M:$M,0)),"⚠ Type inconnu",IFERROR(INDEX('Paramètres'!$P:$P,MATCH($D4064,'Paramètres'!$M:$M,0))&amp;"",""))))</f>
        <v/>
      </c>
      <c r="M4064" s="6" t="str">
        <f>IF($D4064="","",IF(ISNA(MATCH($D4064,'Paramètres'!$M:$M,0)),"⚠ Type inconnu",IF($L4064="Crédit","",IFERROR(INDEX('Paramètres'!$O:$O,MATCH($D4064,'Paramètres'!$M:$M,0))&amp;"",""))))</f>
        <v/>
      </c>
      <c r="N4064" s="6" t="str">
        <f>IF($D4064="","",IFERROR(INDEX('Paramètres'!$Q:$Q,MATCH($D4064,'Paramètres'!$M:$M,0))&amp;"",""))</f>
        <v/>
      </c>
      <c r="O4064" s="6" t="str">
        <f>IF($A4064="","",IF(OR($J4064&lt;&gt;"x",$A4064&lt;=FinReleve),1,0))</f>
        <v/>
      </c>
      <c r="P4064" s="6" t="str">
        <f>IF($D4064="","",IF(AND($L4064="Crédit",OR(IFERROR(INDEX('Paramètres'!$O:$O,MATCH($D4064,'Paramètres'!$M:$M,0))&amp;"","")&lt;&gt;"",ISNUMBER(SEARCH("remboursement",IFERROR(INDEX('Paramètres'!$N:$N,MATCH($D4064,'Paramètres'!$M:$M,0))&amp;"",""))))),1,0))</f>
        <v/>
      </c>
      <c r="Q4064" s="6" t="str">
        <f>IF($K4064="","",IF(ISNUMBER(SEARCH("transfert-interne",IFERROR(INDEX('Paramètres'!$N:$N,MATCH($D4064,'Paramètres'!$M:$M,0))&amp;"",""))),0,IF($L4064="Débit",$K4064,IF($P4064=1,-$K4064,0))))</f>
        <v/>
      </c>
      <c r="R4064" s="6" t="str">
        <f>IF($K4064="","",IF($L4064="Crédit",$K4064,-$K4064))</f>
        <v/>
      </c>
      <c r="S4064" s="6" t="str">
        <f>IF($C4064="","",IFERROR(INDEX('Paramètres'!$H:$H,MATCH($C4064,'Paramètres'!$D:$D,0))&amp;"",""))</f>
        <v/>
      </c>
      <c r="T4064" s="6" t="str">
        <f>IF($K4064="","",IF($S4064="",0,IF(ISNUMBER(SEARCH("apport-exterieur",IFERROR(INDEX('Paramètres'!$N:$N,MATCH($D4064,'Paramètres'!$M:$M,0))&amp;"",""))),0,IF(OR(IFERROR(INDEX('Paramètres'!$I:$I,MATCH($C4064,'Paramètres'!$D:$D,0))&amp;"","")="Les deux",IFERROR(INDEX('Paramètres'!$I:$I,MATCH($C4064,'Paramètres'!$D:$D,0))&amp;"","")=IF($P4064=1,"Débit",$L4064)),-IF($P4064=1,-$K4064,$K4064),0))))</f>
        <v/>
      </c>
      <c r="U4064" s="6" t="str">
        <f>IF($K4064="","",IF(ISNUMBER(SEARCH("sortie-epargne",IFERROR(INDEX('Paramètres'!$N:$N,MATCH($D4064,'Paramètres'!$M:$M,0))&amp;"",""))),$K4064,0))</f>
        <v/>
      </c>
      <c r="V4064" s="6" t="str">
        <f>IF(AND($A4064&lt;&gt;"",$O4064=1,$L4064="Débit",N($Q4064)&gt;0,$A4064&gt;=Visualisation!$B$1,$A4064&lt;Visualisation!$D$1),MAX($V$1:V4063)+1,"")</f>
        <v/>
      </c>
    </row>
    <row r="4065" spans="1:22" x14ac:dyDescent="0.25">
      <c r="A4065" s="9"/>
      <c r="E4065" s="10"/>
      <c r="K4065" s="11" t="str">
        <f>IF($E4065="","",ROUND($E4065*IF(ISNA(MATCH($C4065,'Paramètres'!$D:$D,0)),1,IF(INDEX('Paramètres'!$J:$J,MATCH($C4065,'Paramètres'!$D:$D,0))="",1,INDEX('Paramètres'!$J:$J,MATCH($C4065,'Paramètres'!$D:$D,0)))),2))</f>
        <v/>
      </c>
      <c r="L4065" s="6" t="str">
        <f>IF($D4065="","",IF($F4065&lt;&gt;"",$F4065,IF(ISNA(MATCH($D4065,'Paramètres'!$M:$M,0)),"⚠ Type inconnu",IFERROR(INDEX('Paramètres'!$P:$P,MATCH($D4065,'Paramètres'!$M:$M,0))&amp;"",""))))</f>
        <v/>
      </c>
      <c r="M4065" s="6" t="str">
        <f>IF($D4065="","",IF(ISNA(MATCH($D4065,'Paramètres'!$M:$M,0)),"⚠ Type inconnu",IF($L4065="Crédit","",IFERROR(INDEX('Paramètres'!$O:$O,MATCH($D4065,'Paramètres'!$M:$M,0))&amp;"",""))))</f>
        <v/>
      </c>
      <c r="N4065" s="6" t="str">
        <f>IF($D4065="","",IFERROR(INDEX('Paramètres'!$Q:$Q,MATCH($D4065,'Paramètres'!$M:$M,0))&amp;"",""))</f>
        <v/>
      </c>
      <c r="O4065" s="6" t="str">
        <f>IF($A4065="","",IF(OR($J4065&lt;&gt;"x",$A4065&lt;=FinReleve),1,0))</f>
        <v/>
      </c>
      <c r="P4065" s="6" t="str">
        <f>IF($D4065="","",IF(AND($L4065="Crédit",OR(IFERROR(INDEX('Paramètres'!$O:$O,MATCH($D4065,'Paramètres'!$M:$M,0))&amp;"","")&lt;&gt;"",ISNUMBER(SEARCH("remboursement",IFERROR(INDEX('Paramètres'!$N:$N,MATCH($D4065,'Paramètres'!$M:$M,0))&amp;"",""))))),1,0))</f>
        <v/>
      </c>
      <c r="Q4065" s="6" t="str">
        <f>IF($K4065="","",IF(ISNUMBER(SEARCH("transfert-interne",IFERROR(INDEX('Paramètres'!$N:$N,MATCH($D4065,'Paramètres'!$M:$M,0))&amp;"",""))),0,IF($L4065="Débit",$K4065,IF($P4065=1,-$K4065,0))))</f>
        <v/>
      </c>
      <c r="R4065" s="6" t="str">
        <f>IF($K4065="","",IF($L4065="Crédit",$K4065,-$K4065))</f>
        <v/>
      </c>
      <c r="S4065" s="6" t="str">
        <f>IF($C4065="","",IFERROR(INDEX('Paramètres'!$H:$H,MATCH($C4065,'Paramètres'!$D:$D,0))&amp;"",""))</f>
        <v/>
      </c>
      <c r="T4065" s="6" t="str">
        <f>IF($K4065="","",IF($S4065="",0,IF(ISNUMBER(SEARCH("apport-exterieur",IFERROR(INDEX('Paramètres'!$N:$N,MATCH($D4065,'Paramètres'!$M:$M,0))&amp;"",""))),0,IF(OR(IFERROR(INDEX('Paramètres'!$I:$I,MATCH($C4065,'Paramètres'!$D:$D,0))&amp;"","")="Les deux",IFERROR(INDEX('Paramètres'!$I:$I,MATCH($C4065,'Paramètres'!$D:$D,0))&amp;"","")=IF($P4065=1,"Débit",$L4065)),-IF($P4065=1,-$K4065,$K4065),0))))</f>
        <v/>
      </c>
      <c r="U4065" s="6" t="str">
        <f>IF($K4065="","",IF(ISNUMBER(SEARCH("sortie-epargne",IFERROR(INDEX('Paramètres'!$N:$N,MATCH($D4065,'Paramètres'!$M:$M,0))&amp;"",""))),$K4065,0))</f>
        <v/>
      </c>
      <c r="V4065" s="6" t="str">
        <f>IF(AND($A4065&lt;&gt;"",$O4065=1,$L4065="Débit",N($Q4065)&gt;0,$A4065&gt;=Visualisation!$B$1,$A4065&lt;Visualisation!$D$1),MAX($V$1:V4064)+1,"")</f>
        <v/>
      </c>
    </row>
    <row r="4066" spans="1:22" x14ac:dyDescent="0.25">
      <c r="A4066" s="9"/>
      <c r="E4066" s="10"/>
      <c r="K4066" s="11" t="str">
        <f>IF($E4066="","",ROUND($E4066*IF(ISNA(MATCH($C4066,'Paramètres'!$D:$D,0)),1,IF(INDEX('Paramètres'!$J:$J,MATCH($C4066,'Paramètres'!$D:$D,0))="",1,INDEX('Paramètres'!$J:$J,MATCH($C4066,'Paramètres'!$D:$D,0)))),2))</f>
        <v/>
      </c>
      <c r="L4066" s="6" t="str">
        <f>IF($D4066="","",IF($F4066&lt;&gt;"",$F4066,IF(ISNA(MATCH($D4066,'Paramètres'!$M:$M,0)),"⚠ Type inconnu",IFERROR(INDEX('Paramètres'!$P:$P,MATCH($D4066,'Paramètres'!$M:$M,0))&amp;"",""))))</f>
        <v/>
      </c>
      <c r="M4066" s="6" t="str">
        <f>IF($D4066="","",IF(ISNA(MATCH($D4066,'Paramètres'!$M:$M,0)),"⚠ Type inconnu",IF($L4066="Crédit","",IFERROR(INDEX('Paramètres'!$O:$O,MATCH($D4066,'Paramètres'!$M:$M,0))&amp;"",""))))</f>
        <v/>
      </c>
      <c r="N4066" s="6" t="str">
        <f>IF($D4066="","",IFERROR(INDEX('Paramètres'!$Q:$Q,MATCH($D4066,'Paramètres'!$M:$M,0))&amp;"",""))</f>
        <v/>
      </c>
      <c r="O4066" s="6" t="str">
        <f>IF($A4066="","",IF(OR($J4066&lt;&gt;"x",$A4066&lt;=FinReleve),1,0))</f>
        <v/>
      </c>
      <c r="P4066" s="6" t="str">
        <f>IF($D4066="","",IF(AND($L4066="Crédit",OR(IFERROR(INDEX('Paramètres'!$O:$O,MATCH($D4066,'Paramètres'!$M:$M,0))&amp;"","")&lt;&gt;"",ISNUMBER(SEARCH("remboursement",IFERROR(INDEX('Paramètres'!$N:$N,MATCH($D4066,'Paramètres'!$M:$M,0))&amp;"",""))))),1,0))</f>
        <v/>
      </c>
      <c r="Q4066" s="6" t="str">
        <f>IF($K4066="","",IF(ISNUMBER(SEARCH("transfert-interne",IFERROR(INDEX('Paramètres'!$N:$N,MATCH($D4066,'Paramètres'!$M:$M,0))&amp;"",""))),0,IF($L4066="Débit",$K4066,IF($P4066=1,-$K4066,0))))</f>
        <v/>
      </c>
      <c r="R4066" s="6" t="str">
        <f>IF($K4066="","",IF($L4066="Crédit",$K4066,-$K4066))</f>
        <v/>
      </c>
      <c r="S4066" s="6" t="str">
        <f>IF($C4066="","",IFERROR(INDEX('Paramètres'!$H:$H,MATCH($C4066,'Paramètres'!$D:$D,0))&amp;"",""))</f>
        <v/>
      </c>
      <c r="T4066" s="6" t="str">
        <f>IF($K4066="","",IF($S4066="",0,IF(ISNUMBER(SEARCH("apport-exterieur",IFERROR(INDEX('Paramètres'!$N:$N,MATCH($D4066,'Paramètres'!$M:$M,0))&amp;"",""))),0,IF(OR(IFERROR(INDEX('Paramètres'!$I:$I,MATCH($C4066,'Paramètres'!$D:$D,0))&amp;"","")="Les deux",IFERROR(INDEX('Paramètres'!$I:$I,MATCH($C4066,'Paramètres'!$D:$D,0))&amp;"","")=IF($P4066=1,"Débit",$L4066)),-IF($P4066=1,-$K4066,$K4066),0))))</f>
        <v/>
      </c>
      <c r="U4066" s="6" t="str">
        <f>IF($K4066="","",IF(ISNUMBER(SEARCH("sortie-epargne",IFERROR(INDEX('Paramètres'!$N:$N,MATCH($D4066,'Paramètres'!$M:$M,0))&amp;"",""))),$K4066,0))</f>
        <v/>
      </c>
      <c r="V4066" s="6" t="str">
        <f>IF(AND($A4066&lt;&gt;"",$O4066=1,$L4066="Débit",N($Q4066)&gt;0,$A4066&gt;=Visualisation!$B$1,$A4066&lt;Visualisation!$D$1),MAX($V$1:V4065)+1,"")</f>
        <v/>
      </c>
    </row>
    <row r="4067" spans="1:22" x14ac:dyDescent="0.25">
      <c r="A4067" s="9"/>
      <c r="E4067" s="10"/>
      <c r="K4067" s="11" t="str">
        <f>IF($E4067="","",ROUND($E4067*IF(ISNA(MATCH($C4067,'Paramètres'!$D:$D,0)),1,IF(INDEX('Paramètres'!$J:$J,MATCH($C4067,'Paramètres'!$D:$D,0))="",1,INDEX('Paramètres'!$J:$J,MATCH($C4067,'Paramètres'!$D:$D,0)))),2))</f>
        <v/>
      </c>
      <c r="L4067" s="6" t="str">
        <f>IF($D4067="","",IF($F4067&lt;&gt;"",$F4067,IF(ISNA(MATCH($D4067,'Paramètres'!$M:$M,0)),"⚠ Type inconnu",IFERROR(INDEX('Paramètres'!$P:$P,MATCH($D4067,'Paramètres'!$M:$M,0))&amp;"",""))))</f>
        <v/>
      </c>
      <c r="M4067" s="6" t="str">
        <f>IF($D4067="","",IF(ISNA(MATCH($D4067,'Paramètres'!$M:$M,0)),"⚠ Type inconnu",IF($L4067="Crédit","",IFERROR(INDEX('Paramètres'!$O:$O,MATCH($D4067,'Paramètres'!$M:$M,0))&amp;"",""))))</f>
        <v/>
      </c>
      <c r="N4067" s="6" t="str">
        <f>IF($D4067="","",IFERROR(INDEX('Paramètres'!$Q:$Q,MATCH($D4067,'Paramètres'!$M:$M,0))&amp;"",""))</f>
        <v/>
      </c>
      <c r="O4067" s="6" t="str">
        <f>IF($A4067="","",IF(OR($J4067&lt;&gt;"x",$A4067&lt;=FinReleve),1,0))</f>
        <v/>
      </c>
      <c r="P4067" s="6" t="str">
        <f>IF($D4067="","",IF(AND($L4067="Crédit",OR(IFERROR(INDEX('Paramètres'!$O:$O,MATCH($D4067,'Paramètres'!$M:$M,0))&amp;"","")&lt;&gt;"",ISNUMBER(SEARCH("remboursement",IFERROR(INDEX('Paramètres'!$N:$N,MATCH($D4067,'Paramètres'!$M:$M,0))&amp;"",""))))),1,0))</f>
        <v/>
      </c>
      <c r="Q4067" s="6" t="str">
        <f>IF($K4067="","",IF(ISNUMBER(SEARCH("transfert-interne",IFERROR(INDEX('Paramètres'!$N:$N,MATCH($D4067,'Paramètres'!$M:$M,0))&amp;"",""))),0,IF($L4067="Débit",$K4067,IF($P4067=1,-$K4067,0))))</f>
        <v/>
      </c>
      <c r="R4067" s="6" t="str">
        <f>IF($K4067="","",IF($L4067="Crédit",$K4067,-$K4067))</f>
        <v/>
      </c>
      <c r="S4067" s="6" t="str">
        <f>IF($C4067="","",IFERROR(INDEX('Paramètres'!$H:$H,MATCH($C4067,'Paramètres'!$D:$D,0))&amp;"",""))</f>
        <v/>
      </c>
      <c r="T4067" s="6" t="str">
        <f>IF($K4067="","",IF($S4067="",0,IF(ISNUMBER(SEARCH("apport-exterieur",IFERROR(INDEX('Paramètres'!$N:$N,MATCH($D4067,'Paramètres'!$M:$M,0))&amp;"",""))),0,IF(OR(IFERROR(INDEX('Paramètres'!$I:$I,MATCH($C4067,'Paramètres'!$D:$D,0))&amp;"","")="Les deux",IFERROR(INDEX('Paramètres'!$I:$I,MATCH($C4067,'Paramètres'!$D:$D,0))&amp;"","")=IF($P4067=1,"Débit",$L4067)),-IF($P4067=1,-$K4067,$K4067),0))))</f>
        <v/>
      </c>
      <c r="U4067" s="6" t="str">
        <f>IF($K4067="","",IF(ISNUMBER(SEARCH("sortie-epargne",IFERROR(INDEX('Paramètres'!$N:$N,MATCH($D4067,'Paramètres'!$M:$M,0))&amp;"",""))),$K4067,0))</f>
        <v/>
      </c>
      <c r="V4067" s="6" t="str">
        <f>IF(AND($A4067&lt;&gt;"",$O4067=1,$L4067="Débit",N($Q4067)&gt;0,$A4067&gt;=Visualisation!$B$1,$A4067&lt;Visualisation!$D$1),MAX($V$1:V4066)+1,"")</f>
        <v/>
      </c>
    </row>
    <row r="4068" spans="1:22" x14ac:dyDescent="0.25">
      <c r="A4068" s="9"/>
      <c r="E4068" s="10"/>
      <c r="K4068" s="11" t="str">
        <f>IF($E4068="","",ROUND($E4068*IF(ISNA(MATCH($C4068,'Paramètres'!$D:$D,0)),1,IF(INDEX('Paramètres'!$J:$J,MATCH($C4068,'Paramètres'!$D:$D,0))="",1,INDEX('Paramètres'!$J:$J,MATCH($C4068,'Paramètres'!$D:$D,0)))),2))</f>
        <v/>
      </c>
      <c r="L4068" s="6" t="str">
        <f>IF($D4068="","",IF($F4068&lt;&gt;"",$F4068,IF(ISNA(MATCH($D4068,'Paramètres'!$M:$M,0)),"⚠ Type inconnu",IFERROR(INDEX('Paramètres'!$P:$P,MATCH($D4068,'Paramètres'!$M:$M,0))&amp;"",""))))</f>
        <v/>
      </c>
      <c r="M4068" s="6" t="str">
        <f>IF($D4068="","",IF(ISNA(MATCH($D4068,'Paramètres'!$M:$M,0)),"⚠ Type inconnu",IF($L4068="Crédit","",IFERROR(INDEX('Paramètres'!$O:$O,MATCH($D4068,'Paramètres'!$M:$M,0))&amp;"",""))))</f>
        <v/>
      </c>
      <c r="N4068" s="6" t="str">
        <f>IF($D4068="","",IFERROR(INDEX('Paramètres'!$Q:$Q,MATCH($D4068,'Paramètres'!$M:$M,0))&amp;"",""))</f>
        <v/>
      </c>
      <c r="O4068" s="6" t="str">
        <f>IF($A4068="","",IF(OR($J4068&lt;&gt;"x",$A4068&lt;=FinReleve),1,0))</f>
        <v/>
      </c>
      <c r="P4068" s="6" t="str">
        <f>IF($D4068="","",IF(AND($L4068="Crédit",OR(IFERROR(INDEX('Paramètres'!$O:$O,MATCH($D4068,'Paramètres'!$M:$M,0))&amp;"","")&lt;&gt;"",ISNUMBER(SEARCH("remboursement",IFERROR(INDEX('Paramètres'!$N:$N,MATCH($D4068,'Paramètres'!$M:$M,0))&amp;"",""))))),1,0))</f>
        <v/>
      </c>
      <c r="Q4068" s="6" t="str">
        <f>IF($K4068="","",IF(ISNUMBER(SEARCH("transfert-interne",IFERROR(INDEX('Paramètres'!$N:$N,MATCH($D4068,'Paramètres'!$M:$M,0))&amp;"",""))),0,IF($L4068="Débit",$K4068,IF($P4068=1,-$K4068,0))))</f>
        <v/>
      </c>
      <c r="R4068" s="6" t="str">
        <f>IF($K4068="","",IF($L4068="Crédit",$K4068,-$K4068))</f>
        <v/>
      </c>
      <c r="S4068" s="6" t="str">
        <f>IF($C4068="","",IFERROR(INDEX('Paramètres'!$H:$H,MATCH($C4068,'Paramètres'!$D:$D,0))&amp;"",""))</f>
        <v/>
      </c>
      <c r="T4068" s="6" t="str">
        <f>IF($K4068="","",IF($S4068="",0,IF(ISNUMBER(SEARCH("apport-exterieur",IFERROR(INDEX('Paramètres'!$N:$N,MATCH($D4068,'Paramètres'!$M:$M,0))&amp;"",""))),0,IF(OR(IFERROR(INDEX('Paramètres'!$I:$I,MATCH($C4068,'Paramètres'!$D:$D,0))&amp;"","")="Les deux",IFERROR(INDEX('Paramètres'!$I:$I,MATCH($C4068,'Paramètres'!$D:$D,0))&amp;"","")=IF($P4068=1,"Débit",$L4068)),-IF($P4068=1,-$K4068,$K4068),0))))</f>
        <v/>
      </c>
      <c r="U4068" s="6" t="str">
        <f>IF($K4068="","",IF(ISNUMBER(SEARCH("sortie-epargne",IFERROR(INDEX('Paramètres'!$N:$N,MATCH($D4068,'Paramètres'!$M:$M,0))&amp;"",""))),$K4068,0))</f>
        <v/>
      </c>
      <c r="V4068" s="6" t="str">
        <f>IF(AND($A4068&lt;&gt;"",$O4068=1,$L4068="Débit",N($Q4068)&gt;0,$A4068&gt;=Visualisation!$B$1,$A4068&lt;Visualisation!$D$1),MAX($V$1:V4067)+1,"")</f>
        <v/>
      </c>
    </row>
    <row r="4069" spans="1:22" x14ac:dyDescent="0.25">
      <c r="A4069" s="9"/>
      <c r="E4069" s="10"/>
      <c r="K4069" s="11" t="str">
        <f>IF($E4069="","",ROUND($E4069*IF(ISNA(MATCH($C4069,'Paramètres'!$D:$D,0)),1,IF(INDEX('Paramètres'!$J:$J,MATCH($C4069,'Paramètres'!$D:$D,0))="",1,INDEX('Paramètres'!$J:$J,MATCH($C4069,'Paramètres'!$D:$D,0)))),2))</f>
        <v/>
      </c>
      <c r="L4069" s="6" t="str">
        <f>IF($D4069="","",IF($F4069&lt;&gt;"",$F4069,IF(ISNA(MATCH($D4069,'Paramètres'!$M:$M,0)),"⚠ Type inconnu",IFERROR(INDEX('Paramètres'!$P:$P,MATCH($D4069,'Paramètres'!$M:$M,0))&amp;"",""))))</f>
        <v/>
      </c>
      <c r="M4069" s="6" t="str">
        <f>IF($D4069="","",IF(ISNA(MATCH($D4069,'Paramètres'!$M:$M,0)),"⚠ Type inconnu",IF($L4069="Crédit","",IFERROR(INDEX('Paramètres'!$O:$O,MATCH($D4069,'Paramètres'!$M:$M,0))&amp;"",""))))</f>
        <v/>
      </c>
      <c r="N4069" s="6" t="str">
        <f>IF($D4069="","",IFERROR(INDEX('Paramètres'!$Q:$Q,MATCH($D4069,'Paramètres'!$M:$M,0))&amp;"",""))</f>
        <v/>
      </c>
      <c r="O4069" s="6" t="str">
        <f>IF($A4069="","",IF(OR($J4069&lt;&gt;"x",$A4069&lt;=FinReleve),1,0))</f>
        <v/>
      </c>
      <c r="P4069" s="6" t="str">
        <f>IF($D4069="","",IF(AND($L4069="Crédit",OR(IFERROR(INDEX('Paramètres'!$O:$O,MATCH($D4069,'Paramètres'!$M:$M,0))&amp;"","")&lt;&gt;"",ISNUMBER(SEARCH("remboursement",IFERROR(INDEX('Paramètres'!$N:$N,MATCH($D4069,'Paramètres'!$M:$M,0))&amp;"",""))))),1,0))</f>
        <v/>
      </c>
      <c r="Q4069" s="6" t="str">
        <f>IF($K4069="","",IF(ISNUMBER(SEARCH("transfert-interne",IFERROR(INDEX('Paramètres'!$N:$N,MATCH($D4069,'Paramètres'!$M:$M,0))&amp;"",""))),0,IF($L4069="Débit",$K4069,IF($P4069=1,-$K4069,0))))</f>
        <v/>
      </c>
      <c r="R4069" s="6" t="str">
        <f>IF($K4069="","",IF($L4069="Crédit",$K4069,-$K4069))</f>
        <v/>
      </c>
      <c r="S4069" s="6" t="str">
        <f>IF($C4069="","",IFERROR(INDEX('Paramètres'!$H:$H,MATCH($C4069,'Paramètres'!$D:$D,0))&amp;"",""))</f>
        <v/>
      </c>
      <c r="T4069" s="6" t="str">
        <f>IF($K4069="","",IF($S4069="",0,IF(ISNUMBER(SEARCH("apport-exterieur",IFERROR(INDEX('Paramètres'!$N:$N,MATCH($D4069,'Paramètres'!$M:$M,0))&amp;"",""))),0,IF(OR(IFERROR(INDEX('Paramètres'!$I:$I,MATCH($C4069,'Paramètres'!$D:$D,0))&amp;"","")="Les deux",IFERROR(INDEX('Paramètres'!$I:$I,MATCH($C4069,'Paramètres'!$D:$D,0))&amp;"","")=IF($P4069=1,"Débit",$L4069)),-IF($P4069=1,-$K4069,$K4069),0))))</f>
        <v/>
      </c>
      <c r="U4069" s="6" t="str">
        <f>IF($K4069="","",IF(ISNUMBER(SEARCH("sortie-epargne",IFERROR(INDEX('Paramètres'!$N:$N,MATCH($D4069,'Paramètres'!$M:$M,0))&amp;"",""))),$K4069,0))</f>
        <v/>
      </c>
      <c r="V4069" s="6" t="str">
        <f>IF(AND($A4069&lt;&gt;"",$O4069=1,$L4069="Débit",N($Q4069)&gt;0,$A4069&gt;=Visualisation!$B$1,$A4069&lt;Visualisation!$D$1),MAX($V$1:V4068)+1,"")</f>
        <v/>
      </c>
    </row>
    <row r="4070" spans="1:22" x14ac:dyDescent="0.25">
      <c r="A4070" s="9"/>
      <c r="E4070" s="10"/>
      <c r="K4070" s="11" t="str">
        <f>IF($E4070="","",ROUND($E4070*IF(ISNA(MATCH($C4070,'Paramètres'!$D:$D,0)),1,IF(INDEX('Paramètres'!$J:$J,MATCH($C4070,'Paramètres'!$D:$D,0))="",1,INDEX('Paramètres'!$J:$J,MATCH($C4070,'Paramètres'!$D:$D,0)))),2))</f>
        <v/>
      </c>
      <c r="L4070" s="6" t="str">
        <f>IF($D4070="","",IF($F4070&lt;&gt;"",$F4070,IF(ISNA(MATCH($D4070,'Paramètres'!$M:$M,0)),"⚠ Type inconnu",IFERROR(INDEX('Paramètres'!$P:$P,MATCH($D4070,'Paramètres'!$M:$M,0))&amp;"",""))))</f>
        <v/>
      </c>
      <c r="M4070" s="6" t="str">
        <f>IF($D4070="","",IF(ISNA(MATCH($D4070,'Paramètres'!$M:$M,0)),"⚠ Type inconnu",IF($L4070="Crédit","",IFERROR(INDEX('Paramètres'!$O:$O,MATCH($D4070,'Paramètres'!$M:$M,0))&amp;"",""))))</f>
        <v/>
      </c>
      <c r="N4070" s="6" t="str">
        <f>IF($D4070="","",IFERROR(INDEX('Paramètres'!$Q:$Q,MATCH($D4070,'Paramètres'!$M:$M,0))&amp;"",""))</f>
        <v/>
      </c>
      <c r="O4070" s="6" t="str">
        <f>IF($A4070="","",IF(OR($J4070&lt;&gt;"x",$A4070&lt;=FinReleve),1,0))</f>
        <v/>
      </c>
      <c r="P4070" s="6" t="str">
        <f>IF($D4070="","",IF(AND($L4070="Crédit",OR(IFERROR(INDEX('Paramètres'!$O:$O,MATCH($D4070,'Paramètres'!$M:$M,0))&amp;"","")&lt;&gt;"",ISNUMBER(SEARCH("remboursement",IFERROR(INDEX('Paramètres'!$N:$N,MATCH($D4070,'Paramètres'!$M:$M,0))&amp;"",""))))),1,0))</f>
        <v/>
      </c>
      <c r="Q4070" s="6" t="str">
        <f>IF($K4070="","",IF(ISNUMBER(SEARCH("transfert-interne",IFERROR(INDEX('Paramètres'!$N:$N,MATCH($D4070,'Paramètres'!$M:$M,0))&amp;"",""))),0,IF($L4070="Débit",$K4070,IF($P4070=1,-$K4070,0))))</f>
        <v/>
      </c>
      <c r="R4070" s="6" t="str">
        <f>IF($K4070="","",IF($L4070="Crédit",$K4070,-$K4070))</f>
        <v/>
      </c>
      <c r="S4070" s="6" t="str">
        <f>IF($C4070="","",IFERROR(INDEX('Paramètres'!$H:$H,MATCH($C4070,'Paramètres'!$D:$D,0))&amp;"",""))</f>
        <v/>
      </c>
      <c r="T4070" s="6" t="str">
        <f>IF($K4070="","",IF($S4070="",0,IF(ISNUMBER(SEARCH("apport-exterieur",IFERROR(INDEX('Paramètres'!$N:$N,MATCH($D4070,'Paramètres'!$M:$M,0))&amp;"",""))),0,IF(OR(IFERROR(INDEX('Paramètres'!$I:$I,MATCH($C4070,'Paramètres'!$D:$D,0))&amp;"","")="Les deux",IFERROR(INDEX('Paramètres'!$I:$I,MATCH($C4070,'Paramètres'!$D:$D,0))&amp;"","")=IF($P4070=1,"Débit",$L4070)),-IF($P4070=1,-$K4070,$K4070),0))))</f>
        <v/>
      </c>
      <c r="U4070" s="6" t="str">
        <f>IF($K4070="","",IF(ISNUMBER(SEARCH("sortie-epargne",IFERROR(INDEX('Paramètres'!$N:$N,MATCH($D4070,'Paramètres'!$M:$M,0))&amp;"",""))),$K4070,0))</f>
        <v/>
      </c>
      <c r="V4070" s="6" t="str">
        <f>IF(AND($A4070&lt;&gt;"",$O4070=1,$L4070="Débit",N($Q4070)&gt;0,$A4070&gt;=Visualisation!$B$1,$A4070&lt;Visualisation!$D$1),MAX($V$1:V4069)+1,"")</f>
        <v/>
      </c>
    </row>
    <row r="4071" spans="1:22" x14ac:dyDescent="0.25">
      <c r="A4071" s="9"/>
      <c r="E4071" s="10"/>
      <c r="K4071" s="11" t="str">
        <f>IF($E4071="","",ROUND($E4071*IF(ISNA(MATCH($C4071,'Paramètres'!$D:$D,0)),1,IF(INDEX('Paramètres'!$J:$J,MATCH($C4071,'Paramètres'!$D:$D,0))="",1,INDEX('Paramètres'!$J:$J,MATCH($C4071,'Paramètres'!$D:$D,0)))),2))</f>
        <v/>
      </c>
      <c r="L4071" s="6" t="str">
        <f>IF($D4071="","",IF($F4071&lt;&gt;"",$F4071,IF(ISNA(MATCH($D4071,'Paramètres'!$M:$M,0)),"⚠ Type inconnu",IFERROR(INDEX('Paramètres'!$P:$P,MATCH($D4071,'Paramètres'!$M:$M,0))&amp;"",""))))</f>
        <v/>
      </c>
      <c r="M4071" s="6" t="str">
        <f>IF($D4071="","",IF(ISNA(MATCH($D4071,'Paramètres'!$M:$M,0)),"⚠ Type inconnu",IF($L4071="Crédit","",IFERROR(INDEX('Paramètres'!$O:$O,MATCH($D4071,'Paramètres'!$M:$M,0))&amp;"",""))))</f>
        <v/>
      </c>
      <c r="N4071" s="6" t="str">
        <f>IF($D4071="","",IFERROR(INDEX('Paramètres'!$Q:$Q,MATCH($D4071,'Paramètres'!$M:$M,0))&amp;"",""))</f>
        <v/>
      </c>
      <c r="O4071" s="6" t="str">
        <f>IF($A4071="","",IF(OR($J4071&lt;&gt;"x",$A4071&lt;=FinReleve),1,0))</f>
        <v/>
      </c>
      <c r="P4071" s="6" t="str">
        <f>IF($D4071="","",IF(AND($L4071="Crédit",OR(IFERROR(INDEX('Paramètres'!$O:$O,MATCH($D4071,'Paramètres'!$M:$M,0))&amp;"","")&lt;&gt;"",ISNUMBER(SEARCH("remboursement",IFERROR(INDEX('Paramètres'!$N:$N,MATCH($D4071,'Paramètres'!$M:$M,0))&amp;"",""))))),1,0))</f>
        <v/>
      </c>
      <c r="Q4071" s="6" t="str">
        <f>IF($K4071="","",IF(ISNUMBER(SEARCH("transfert-interne",IFERROR(INDEX('Paramètres'!$N:$N,MATCH($D4071,'Paramètres'!$M:$M,0))&amp;"",""))),0,IF($L4071="Débit",$K4071,IF($P4071=1,-$K4071,0))))</f>
        <v/>
      </c>
      <c r="R4071" s="6" t="str">
        <f>IF($K4071="","",IF($L4071="Crédit",$K4071,-$K4071))</f>
        <v/>
      </c>
      <c r="S4071" s="6" t="str">
        <f>IF($C4071="","",IFERROR(INDEX('Paramètres'!$H:$H,MATCH($C4071,'Paramètres'!$D:$D,0))&amp;"",""))</f>
        <v/>
      </c>
      <c r="T4071" s="6" t="str">
        <f>IF($K4071="","",IF($S4071="",0,IF(ISNUMBER(SEARCH("apport-exterieur",IFERROR(INDEX('Paramètres'!$N:$N,MATCH($D4071,'Paramètres'!$M:$M,0))&amp;"",""))),0,IF(OR(IFERROR(INDEX('Paramètres'!$I:$I,MATCH($C4071,'Paramètres'!$D:$D,0))&amp;"","")="Les deux",IFERROR(INDEX('Paramètres'!$I:$I,MATCH($C4071,'Paramètres'!$D:$D,0))&amp;"","")=IF($P4071=1,"Débit",$L4071)),-IF($P4071=1,-$K4071,$K4071),0))))</f>
        <v/>
      </c>
      <c r="U4071" s="6" t="str">
        <f>IF($K4071="","",IF(ISNUMBER(SEARCH("sortie-epargne",IFERROR(INDEX('Paramètres'!$N:$N,MATCH($D4071,'Paramètres'!$M:$M,0))&amp;"",""))),$K4071,0))</f>
        <v/>
      </c>
      <c r="V4071" s="6" t="str">
        <f>IF(AND($A4071&lt;&gt;"",$O4071=1,$L4071="Débit",N($Q4071)&gt;0,$A4071&gt;=Visualisation!$B$1,$A4071&lt;Visualisation!$D$1),MAX($V$1:V4070)+1,"")</f>
        <v/>
      </c>
    </row>
    <row r="4072" spans="1:22" x14ac:dyDescent="0.25">
      <c r="A4072" s="9"/>
      <c r="E4072" s="10"/>
      <c r="K4072" s="11" t="str">
        <f>IF($E4072="","",ROUND($E4072*IF(ISNA(MATCH($C4072,'Paramètres'!$D:$D,0)),1,IF(INDEX('Paramètres'!$J:$J,MATCH($C4072,'Paramètres'!$D:$D,0))="",1,INDEX('Paramètres'!$J:$J,MATCH($C4072,'Paramètres'!$D:$D,0)))),2))</f>
        <v/>
      </c>
      <c r="L4072" s="6" t="str">
        <f>IF($D4072="","",IF($F4072&lt;&gt;"",$F4072,IF(ISNA(MATCH($D4072,'Paramètres'!$M:$M,0)),"⚠ Type inconnu",IFERROR(INDEX('Paramètres'!$P:$P,MATCH($D4072,'Paramètres'!$M:$M,0))&amp;"",""))))</f>
        <v/>
      </c>
      <c r="M4072" s="6" t="str">
        <f>IF($D4072="","",IF(ISNA(MATCH($D4072,'Paramètres'!$M:$M,0)),"⚠ Type inconnu",IF($L4072="Crédit","",IFERROR(INDEX('Paramètres'!$O:$O,MATCH($D4072,'Paramètres'!$M:$M,0))&amp;"",""))))</f>
        <v/>
      </c>
      <c r="N4072" s="6" t="str">
        <f>IF($D4072="","",IFERROR(INDEX('Paramètres'!$Q:$Q,MATCH($D4072,'Paramètres'!$M:$M,0))&amp;"",""))</f>
        <v/>
      </c>
      <c r="O4072" s="6" t="str">
        <f>IF($A4072="","",IF(OR($J4072&lt;&gt;"x",$A4072&lt;=FinReleve),1,0))</f>
        <v/>
      </c>
      <c r="P4072" s="6" t="str">
        <f>IF($D4072="","",IF(AND($L4072="Crédit",OR(IFERROR(INDEX('Paramètres'!$O:$O,MATCH($D4072,'Paramètres'!$M:$M,0))&amp;"","")&lt;&gt;"",ISNUMBER(SEARCH("remboursement",IFERROR(INDEX('Paramètres'!$N:$N,MATCH($D4072,'Paramètres'!$M:$M,0))&amp;"",""))))),1,0))</f>
        <v/>
      </c>
      <c r="Q4072" s="6" t="str">
        <f>IF($K4072="","",IF(ISNUMBER(SEARCH("transfert-interne",IFERROR(INDEX('Paramètres'!$N:$N,MATCH($D4072,'Paramètres'!$M:$M,0))&amp;"",""))),0,IF($L4072="Débit",$K4072,IF($P4072=1,-$K4072,0))))</f>
        <v/>
      </c>
      <c r="R4072" s="6" t="str">
        <f>IF($K4072="","",IF($L4072="Crédit",$K4072,-$K4072))</f>
        <v/>
      </c>
      <c r="S4072" s="6" t="str">
        <f>IF($C4072="","",IFERROR(INDEX('Paramètres'!$H:$H,MATCH($C4072,'Paramètres'!$D:$D,0))&amp;"",""))</f>
        <v/>
      </c>
      <c r="T4072" s="6" t="str">
        <f>IF($K4072="","",IF($S4072="",0,IF(ISNUMBER(SEARCH("apport-exterieur",IFERROR(INDEX('Paramètres'!$N:$N,MATCH($D4072,'Paramètres'!$M:$M,0))&amp;"",""))),0,IF(OR(IFERROR(INDEX('Paramètres'!$I:$I,MATCH($C4072,'Paramètres'!$D:$D,0))&amp;"","")="Les deux",IFERROR(INDEX('Paramètres'!$I:$I,MATCH($C4072,'Paramètres'!$D:$D,0))&amp;"","")=IF($P4072=1,"Débit",$L4072)),-IF($P4072=1,-$K4072,$K4072),0))))</f>
        <v/>
      </c>
      <c r="U4072" s="6" t="str">
        <f>IF($K4072="","",IF(ISNUMBER(SEARCH("sortie-epargne",IFERROR(INDEX('Paramètres'!$N:$N,MATCH($D4072,'Paramètres'!$M:$M,0))&amp;"",""))),$K4072,0))</f>
        <v/>
      </c>
      <c r="V4072" s="6" t="str">
        <f>IF(AND($A4072&lt;&gt;"",$O4072=1,$L4072="Débit",N($Q4072)&gt;0,$A4072&gt;=Visualisation!$B$1,$A4072&lt;Visualisation!$D$1),MAX($V$1:V4071)+1,"")</f>
        <v/>
      </c>
    </row>
    <row r="4073" spans="1:22" x14ac:dyDescent="0.25">
      <c r="A4073" s="9"/>
      <c r="E4073" s="10"/>
      <c r="K4073" s="11" t="str">
        <f>IF($E4073="","",ROUND($E4073*IF(ISNA(MATCH($C4073,'Paramètres'!$D:$D,0)),1,IF(INDEX('Paramètres'!$J:$J,MATCH($C4073,'Paramètres'!$D:$D,0))="",1,INDEX('Paramètres'!$J:$J,MATCH($C4073,'Paramètres'!$D:$D,0)))),2))</f>
        <v/>
      </c>
      <c r="L4073" s="6" t="str">
        <f>IF($D4073="","",IF($F4073&lt;&gt;"",$F4073,IF(ISNA(MATCH($D4073,'Paramètres'!$M:$M,0)),"⚠ Type inconnu",IFERROR(INDEX('Paramètres'!$P:$P,MATCH($D4073,'Paramètres'!$M:$M,0))&amp;"",""))))</f>
        <v/>
      </c>
      <c r="M4073" s="6" t="str">
        <f>IF($D4073="","",IF(ISNA(MATCH($D4073,'Paramètres'!$M:$M,0)),"⚠ Type inconnu",IF($L4073="Crédit","",IFERROR(INDEX('Paramètres'!$O:$O,MATCH($D4073,'Paramètres'!$M:$M,0))&amp;"",""))))</f>
        <v/>
      </c>
      <c r="N4073" s="6" t="str">
        <f>IF($D4073="","",IFERROR(INDEX('Paramètres'!$Q:$Q,MATCH($D4073,'Paramètres'!$M:$M,0))&amp;"",""))</f>
        <v/>
      </c>
      <c r="O4073" s="6" t="str">
        <f>IF($A4073="","",IF(OR($J4073&lt;&gt;"x",$A4073&lt;=FinReleve),1,0))</f>
        <v/>
      </c>
      <c r="P4073" s="6" t="str">
        <f>IF($D4073="","",IF(AND($L4073="Crédit",OR(IFERROR(INDEX('Paramètres'!$O:$O,MATCH($D4073,'Paramètres'!$M:$M,0))&amp;"","")&lt;&gt;"",ISNUMBER(SEARCH("remboursement",IFERROR(INDEX('Paramètres'!$N:$N,MATCH($D4073,'Paramètres'!$M:$M,0))&amp;"",""))))),1,0))</f>
        <v/>
      </c>
      <c r="Q4073" s="6" t="str">
        <f>IF($K4073="","",IF(ISNUMBER(SEARCH("transfert-interne",IFERROR(INDEX('Paramètres'!$N:$N,MATCH($D4073,'Paramètres'!$M:$M,0))&amp;"",""))),0,IF($L4073="Débit",$K4073,IF($P4073=1,-$K4073,0))))</f>
        <v/>
      </c>
      <c r="R4073" s="6" t="str">
        <f>IF($K4073="","",IF($L4073="Crédit",$K4073,-$K4073))</f>
        <v/>
      </c>
      <c r="S4073" s="6" t="str">
        <f>IF($C4073="","",IFERROR(INDEX('Paramètres'!$H:$H,MATCH($C4073,'Paramètres'!$D:$D,0))&amp;"",""))</f>
        <v/>
      </c>
      <c r="T4073" s="6" t="str">
        <f>IF($K4073="","",IF($S4073="",0,IF(ISNUMBER(SEARCH("apport-exterieur",IFERROR(INDEX('Paramètres'!$N:$N,MATCH($D4073,'Paramètres'!$M:$M,0))&amp;"",""))),0,IF(OR(IFERROR(INDEX('Paramètres'!$I:$I,MATCH($C4073,'Paramètres'!$D:$D,0))&amp;"","")="Les deux",IFERROR(INDEX('Paramètres'!$I:$I,MATCH($C4073,'Paramètres'!$D:$D,0))&amp;"","")=IF($P4073=1,"Débit",$L4073)),-IF($P4073=1,-$K4073,$K4073),0))))</f>
        <v/>
      </c>
      <c r="U4073" s="6" t="str">
        <f>IF($K4073="","",IF(ISNUMBER(SEARCH("sortie-epargne",IFERROR(INDEX('Paramètres'!$N:$N,MATCH($D4073,'Paramètres'!$M:$M,0))&amp;"",""))),$K4073,0))</f>
        <v/>
      </c>
      <c r="V4073" s="6" t="str">
        <f>IF(AND($A4073&lt;&gt;"",$O4073=1,$L4073="Débit",N($Q4073)&gt;0,$A4073&gt;=Visualisation!$B$1,$A4073&lt;Visualisation!$D$1),MAX($V$1:V4072)+1,"")</f>
        <v/>
      </c>
    </row>
    <row r="4074" spans="1:22" x14ac:dyDescent="0.25">
      <c r="A4074" s="9"/>
      <c r="E4074" s="10"/>
      <c r="K4074" s="11" t="str">
        <f>IF($E4074="","",ROUND($E4074*IF(ISNA(MATCH($C4074,'Paramètres'!$D:$D,0)),1,IF(INDEX('Paramètres'!$J:$J,MATCH($C4074,'Paramètres'!$D:$D,0))="",1,INDEX('Paramètres'!$J:$J,MATCH($C4074,'Paramètres'!$D:$D,0)))),2))</f>
        <v/>
      </c>
      <c r="L4074" s="6" t="str">
        <f>IF($D4074="","",IF($F4074&lt;&gt;"",$F4074,IF(ISNA(MATCH($D4074,'Paramètres'!$M:$M,0)),"⚠ Type inconnu",IFERROR(INDEX('Paramètres'!$P:$P,MATCH($D4074,'Paramètres'!$M:$M,0))&amp;"",""))))</f>
        <v/>
      </c>
      <c r="M4074" s="6" t="str">
        <f>IF($D4074="","",IF(ISNA(MATCH($D4074,'Paramètres'!$M:$M,0)),"⚠ Type inconnu",IF($L4074="Crédit","",IFERROR(INDEX('Paramètres'!$O:$O,MATCH($D4074,'Paramètres'!$M:$M,0))&amp;"",""))))</f>
        <v/>
      </c>
      <c r="N4074" s="6" t="str">
        <f>IF($D4074="","",IFERROR(INDEX('Paramètres'!$Q:$Q,MATCH($D4074,'Paramètres'!$M:$M,0))&amp;"",""))</f>
        <v/>
      </c>
      <c r="O4074" s="6" t="str">
        <f>IF($A4074="","",IF(OR($J4074&lt;&gt;"x",$A4074&lt;=FinReleve),1,0))</f>
        <v/>
      </c>
      <c r="P4074" s="6" t="str">
        <f>IF($D4074="","",IF(AND($L4074="Crédit",OR(IFERROR(INDEX('Paramètres'!$O:$O,MATCH($D4074,'Paramètres'!$M:$M,0))&amp;"","")&lt;&gt;"",ISNUMBER(SEARCH("remboursement",IFERROR(INDEX('Paramètres'!$N:$N,MATCH($D4074,'Paramètres'!$M:$M,0))&amp;"",""))))),1,0))</f>
        <v/>
      </c>
      <c r="Q4074" s="6" t="str">
        <f>IF($K4074="","",IF(ISNUMBER(SEARCH("transfert-interne",IFERROR(INDEX('Paramètres'!$N:$N,MATCH($D4074,'Paramètres'!$M:$M,0))&amp;"",""))),0,IF($L4074="Débit",$K4074,IF($P4074=1,-$K4074,0))))</f>
        <v/>
      </c>
      <c r="R4074" s="6" t="str">
        <f>IF($K4074="","",IF($L4074="Crédit",$K4074,-$K4074))</f>
        <v/>
      </c>
      <c r="S4074" s="6" t="str">
        <f>IF($C4074="","",IFERROR(INDEX('Paramètres'!$H:$H,MATCH($C4074,'Paramètres'!$D:$D,0))&amp;"",""))</f>
        <v/>
      </c>
      <c r="T4074" s="6" t="str">
        <f>IF($K4074="","",IF($S4074="",0,IF(ISNUMBER(SEARCH("apport-exterieur",IFERROR(INDEX('Paramètres'!$N:$N,MATCH($D4074,'Paramètres'!$M:$M,0))&amp;"",""))),0,IF(OR(IFERROR(INDEX('Paramètres'!$I:$I,MATCH($C4074,'Paramètres'!$D:$D,0))&amp;"","")="Les deux",IFERROR(INDEX('Paramètres'!$I:$I,MATCH($C4074,'Paramètres'!$D:$D,0))&amp;"","")=IF($P4074=1,"Débit",$L4074)),-IF($P4074=1,-$K4074,$K4074),0))))</f>
        <v/>
      </c>
      <c r="U4074" s="6" t="str">
        <f>IF($K4074="","",IF(ISNUMBER(SEARCH("sortie-epargne",IFERROR(INDEX('Paramètres'!$N:$N,MATCH($D4074,'Paramètres'!$M:$M,0))&amp;"",""))),$K4074,0))</f>
        <v/>
      </c>
      <c r="V4074" s="6" t="str">
        <f>IF(AND($A4074&lt;&gt;"",$O4074=1,$L4074="Débit",N($Q4074)&gt;0,$A4074&gt;=Visualisation!$B$1,$A4074&lt;Visualisation!$D$1),MAX($V$1:V4073)+1,"")</f>
        <v/>
      </c>
    </row>
    <row r="4075" spans="1:22" x14ac:dyDescent="0.25">
      <c r="A4075" s="9"/>
      <c r="E4075" s="10"/>
      <c r="K4075" s="11" t="str">
        <f>IF($E4075="","",ROUND($E4075*IF(ISNA(MATCH($C4075,'Paramètres'!$D:$D,0)),1,IF(INDEX('Paramètres'!$J:$J,MATCH($C4075,'Paramètres'!$D:$D,0))="",1,INDEX('Paramètres'!$J:$J,MATCH($C4075,'Paramètres'!$D:$D,0)))),2))</f>
        <v/>
      </c>
      <c r="L4075" s="6" t="str">
        <f>IF($D4075="","",IF($F4075&lt;&gt;"",$F4075,IF(ISNA(MATCH($D4075,'Paramètres'!$M:$M,0)),"⚠ Type inconnu",IFERROR(INDEX('Paramètres'!$P:$P,MATCH($D4075,'Paramètres'!$M:$M,0))&amp;"",""))))</f>
        <v/>
      </c>
      <c r="M4075" s="6" t="str">
        <f>IF($D4075="","",IF(ISNA(MATCH($D4075,'Paramètres'!$M:$M,0)),"⚠ Type inconnu",IF($L4075="Crédit","",IFERROR(INDEX('Paramètres'!$O:$O,MATCH($D4075,'Paramètres'!$M:$M,0))&amp;"",""))))</f>
        <v/>
      </c>
      <c r="N4075" s="6" t="str">
        <f>IF($D4075="","",IFERROR(INDEX('Paramètres'!$Q:$Q,MATCH($D4075,'Paramètres'!$M:$M,0))&amp;"",""))</f>
        <v/>
      </c>
      <c r="O4075" s="6" t="str">
        <f>IF($A4075="","",IF(OR($J4075&lt;&gt;"x",$A4075&lt;=FinReleve),1,0))</f>
        <v/>
      </c>
      <c r="P4075" s="6" t="str">
        <f>IF($D4075="","",IF(AND($L4075="Crédit",OR(IFERROR(INDEX('Paramètres'!$O:$O,MATCH($D4075,'Paramètres'!$M:$M,0))&amp;"","")&lt;&gt;"",ISNUMBER(SEARCH("remboursement",IFERROR(INDEX('Paramètres'!$N:$N,MATCH($D4075,'Paramètres'!$M:$M,0))&amp;"",""))))),1,0))</f>
        <v/>
      </c>
      <c r="Q4075" s="6" t="str">
        <f>IF($K4075="","",IF(ISNUMBER(SEARCH("transfert-interne",IFERROR(INDEX('Paramètres'!$N:$N,MATCH($D4075,'Paramètres'!$M:$M,0))&amp;"",""))),0,IF($L4075="Débit",$K4075,IF($P4075=1,-$K4075,0))))</f>
        <v/>
      </c>
      <c r="R4075" s="6" t="str">
        <f>IF($K4075="","",IF($L4075="Crédit",$K4075,-$K4075))</f>
        <v/>
      </c>
      <c r="S4075" s="6" t="str">
        <f>IF($C4075="","",IFERROR(INDEX('Paramètres'!$H:$H,MATCH($C4075,'Paramètres'!$D:$D,0))&amp;"",""))</f>
        <v/>
      </c>
      <c r="T4075" s="6" t="str">
        <f>IF($K4075="","",IF($S4075="",0,IF(ISNUMBER(SEARCH("apport-exterieur",IFERROR(INDEX('Paramètres'!$N:$N,MATCH($D4075,'Paramètres'!$M:$M,0))&amp;"",""))),0,IF(OR(IFERROR(INDEX('Paramètres'!$I:$I,MATCH($C4075,'Paramètres'!$D:$D,0))&amp;"","")="Les deux",IFERROR(INDEX('Paramètres'!$I:$I,MATCH($C4075,'Paramètres'!$D:$D,0))&amp;"","")=IF($P4075=1,"Débit",$L4075)),-IF($P4075=1,-$K4075,$K4075),0))))</f>
        <v/>
      </c>
      <c r="U4075" s="6" t="str">
        <f>IF($K4075="","",IF(ISNUMBER(SEARCH("sortie-epargne",IFERROR(INDEX('Paramètres'!$N:$N,MATCH($D4075,'Paramètres'!$M:$M,0))&amp;"",""))),$K4075,0))</f>
        <v/>
      </c>
      <c r="V4075" s="6" t="str">
        <f>IF(AND($A4075&lt;&gt;"",$O4075=1,$L4075="Débit",N($Q4075)&gt;0,$A4075&gt;=Visualisation!$B$1,$A4075&lt;Visualisation!$D$1),MAX($V$1:V4074)+1,"")</f>
        <v/>
      </c>
    </row>
    <row r="4076" spans="1:22" x14ac:dyDescent="0.25">
      <c r="A4076" s="9"/>
      <c r="E4076" s="10"/>
      <c r="K4076" s="11" t="str">
        <f>IF($E4076="","",ROUND($E4076*IF(ISNA(MATCH($C4076,'Paramètres'!$D:$D,0)),1,IF(INDEX('Paramètres'!$J:$J,MATCH($C4076,'Paramètres'!$D:$D,0))="",1,INDEX('Paramètres'!$J:$J,MATCH($C4076,'Paramètres'!$D:$D,0)))),2))</f>
        <v/>
      </c>
      <c r="L4076" s="6" t="str">
        <f>IF($D4076="","",IF($F4076&lt;&gt;"",$F4076,IF(ISNA(MATCH($D4076,'Paramètres'!$M:$M,0)),"⚠ Type inconnu",IFERROR(INDEX('Paramètres'!$P:$P,MATCH($D4076,'Paramètres'!$M:$M,0))&amp;"",""))))</f>
        <v/>
      </c>
      <c r="M4076" s="6" t="str">
        <f>IF($D4076="","",IF(ISNA(MATCH($D4076,'Paramètres'!$M:$M,0)),"⚠ Type inconnu",IF($L4076="Crédit","",IFERROR(INDEX('Paramètres'!$O:$O,MATCH($D4076,'Paramètres'!$M:$M,0))&amp;"",""))))</f>
        <v/>
      </c>
      <c r="N4076" s="6" t="str">
        <f>IF($D4076="","",IFERROR(INDEX('Paramètres'!$Q:$Q,MATCH($D4076,'Paramètres'!$M:$M,0))&amp;"",""))</f>
        <v/>
      </c>
      <c r="O4076" s="6" t="str">
        <f>IF($A4076="","",IF(OR($J4076&lt;&gt;"x",$A4076&lt;=FinReleve),1,0))</f>
        <v/>
      </c>
      <c r="P4076" s="6" t="str">
        <f>IF($D4076="","",IF(AND($L4076="Crédit",OR(IFERROR(INDEX('Paramètres'!$O:$O,MATCH($D4076,'Paramètres'!$M:$M,0))&amp;"","")&lt;&gt;"",ISNUMBER(SEARCH("remboursement",IFERROR(INDEX('Paramètres'!$N:$N,MATCH($D4076,'Paramètres'!$M:$M,0))&amp;"",""))))),1,0))</f>
        <v/>
      </c>
      <c r="Q4076" s="6" t="str">
        <f>IF($K4076="","",IF(ISNUMBER(SEARCH("transfert-interne",IFERROR(INDEX('Paramètres'!$N:$N,MATCH($D4076,'Paramètres'!$M:$M,0))&amp;"",""))),0,IF($L4076="Débit",$K4076,IF($P4076=1,-$K4076,0))))</f>
        <v/>
      </c>
      <c r="R4076" s="6" t="str">
        <f>IF($K4076="","",IF($L4076="Crédit",$K4076,-$K4076))</f>
        <v/>
      </c>
      <c r="S4076" s="6" t="str">
        <f>IF($C4076="","",IFERROR(INDEX('Paramètres'!$H:$H,MATCH($C4076,'Paramètres'!$D:$D,0))&amp;"",""))</f>
        <v/>
      </c>
      <c r="T4076" s="6" t="str">
        <f>IF($K4076="","",IF($S4076="",0,IF(ISNUMBER(SEARCH("apport-exterieur",IFERROR(INDEX('Paramètres'!$N:$N,MATCH($D4076,'Paramètres'!$M:$M,0))&amp;"",""))),0,IF(OR(IFERROR(INDEX('Paramètres'!$I:$I,MATCH($C4076,'Paramètres'!$D:$D,0))&amp;"","")="Les deux",IFERROR(INDEX('Paramètres'!$I:$I,MATCH($C4076,'Paramètres'!$D:$D,0))&amp;"","")=IF($P4076=1,"Débit",$L4076)),-IF($P4076=1,-$K4076,$K4076),0))))</f>
        <v/>
      </c>
      <c r="U4076" s="6" t="str">
        <f>IF($K4076="","",IF(ISNUMBER(SEARCH("sortie-epargne",IFERROR(INDEX('Paramètres'!$N:$N,MATCH($D4076,'Paramètres'!$M:$M,0))&amp;"",""))),$K4076,0))</f>
        <v/>
      </c>
      <c r="V4076" s="6" t="str">
        <f>IF(AND($A4076&lt;&gt;"",$O4076=1,$L4076="Débit",N($Q4076)&gt;0,$A4076&gt;=Visualisation!$B$1,$A4076&lt;Visualisation!$D$1),MAX($V$1:V4075)+1,"")</f>
        <v/>
      </c>
    </row>
    <row r="4077" spans="1:22" x14ac:dyDescent="0.25">
      <c r="A4077" s="9"/>
      <c r="E4077" s="10"/>
      <c r="K4077" s="11" t="str">
        <f>IF($E4077="","",ROUND($E4077*IF(ISNA(MATCH($C4077,'Paramètres'!$D:$D,0)),1,IF(INDEX('Paramètres'!$J:$J,MATCH($C4077,'Paramètres'!$D:$D,0))="",1,INDEX('Paramètres'!$J:$J,MATCH($C4077,'Paramètres'!$D:$D,0)))),2))</f>
        <v/>
      </c>
      <c r="L4077" s="6" t="str">
        <f>IF($D4077="","",IF($F4077&lt;&gt;"",$F4077,IF(ISNA(MATCH($D4077,'Paramètres'!$M:$M,0)),"⚠ Type inconnu",IFERROR(INDEX('Paramètres'!$P:$P,MATCH($D4077,'Paramètres'!$M:$M,0))&amp;"",""))))</f>
        <v/>
      </c>
      <c r="M4077" s="6" t="str">
        <f>IF($D4077="","",IF(ISNA(MATCH($D4077,'Paramètres'!$M:$M,0)),"⚠ Type inconnu",IF($L4077="Crédit","",IFERROR(INDEX('Paramètres'!$O:$O,MATCH($D4077,'Paramètres'!$M:$M,0))&amp;"",""))))</f>
        <v/>
      </c>
      <c r="N4077" s="6" t="str">
        <f>IF($D4077="","",IFERROR(INDEX('Paramètres'!$Q:$Q,MATCH($D4077,'Paramètres'!$M:$M,0))&amp;"",""))</f>
        <v/>
      </c>
      <c r="O4077" s="6" t="str">
        <f>IF($A4077="","",IF(OR($J4077&lt;&gt;"x",$A4077&lt;=FinReleve),1,0))</f>
        <v/>
      </c>
      <c r="P4077" s="6" t="str">
        <f>IF($D4077="","",IF(AND($L4077="Crédit",OR(IFERROR(INDEX('Paramètres'!$O:$O,MATCH($D4077,'Paramètres'!$M:$M,0))&amp;"","")&lt;&gt;"",ISNUMBER(SEARCH("remboursement",IFERROR(INDEX('Paramètres'!$N:$N,MATCH($D4077,'Paramètres'!$M:$M,0))&amp;"",""))))),1,0))</f>
        <v/>
      </c>
      <c r="Q4077" s="6" t="str">
        <f>IF($K4077="","",IF(ISNUMBER(SEARCH("transfert-interne",IFERROR(INDEX('Paramètres'!$N:$N,MATCH($D4077,'Paramètres'!$M:$M,0))&amp;"",""))),0,IF($L4077="Débit",$K4077,IF($P4077=1,-$K4077,0))))</f>
        <v/>
      </c>
      <c r="R4077" s="6" t="str">
        <f>IF($K4077="","",IF($L4077="Crédit",$K4077,-$K4077))</f>
        <v/>
      </c>
      <c r="S4077" s="6" t="str">
        <f>IF($C4077="","",IFERROR(INDEX('Paramètres'!$H:$H,MATCH($C4077,'Paramètres'!$D:$D,0))&amp;"",""))</f>
        <v/>
      </c>
      <c r="T4077" s="6" t="str">
        <f>IF($K4077="","",IF($S4077="",0,IF(ISNUMBER(SEARCH("apport-exterieur",IFERROR(INDEX('Paramètres'!$N:$N,MATCH($D4077,'Paramètres'!$M:$M,0))&amp;"",""))),0,IF(OR(IFERROR(INDEX('Paramètres'!$I:$I,MATCH($C4077,'Paramètres'!$D:$D,0))&amp;"","")="Les deux",IFERROR(INDEX('Paramètres'!$I:$I,MATCH($C4077,'Paramètres'!$D:$D,0))&amp;"","")=IF($P4077=1,"Débit",$L4077)),-IF($P4077=1,-$K4077,$K4077),0))))</f>
        <v/>
      </c>
      <c r="U4077" s="6" t="str">
        <f>IF($K4077="","",IF(ISNUMBER(SEARCH("sortie-epargne",IFERROR(INDEX('Paramètres'!$N:$N,MATCH($D4077,'Paramètres'!$M:$M,0))&amp;"",""))),$K4077,0))</f>
        <v/>
      </c>
      <c r="V4077" s="6" t="str">
        <f>IF(AND($A4077&lt;&gt;"",$O4077=1,$L4077="Débit",N($Q4077)&gt;0,$A4077&gt;=Visualisation!$B$1,$A4077&lt;Visualisation!$D$1),MAX($V$1:V4076)+1,"")</f>
        <v/>
      </c>
    </row>
    <row r="4078" spans="1:22" x14ac:dyDescent="0.25">
      <c r="A4078" s="9"/>
      <c r="E4078" s="10"/>
      <c r="K4078" s="11" t="str">
        <f>IF($E4078="","",ROUND($E4078*IF(ISNA(MATCH($C4078,'Paramètres'!$D:$D,0)),1,IF(INDEX('Paramètres'!$J:$J,MATCH($C4078,'Paramètres'!$D:$D,0))="",1,INDEX('Paramètres'!$J:$J,MATCH($C4078,'Paramètres'!$D:$D,0)))),2))</f>
        <v/>
      </c>
      <c r="L4078" s="6" t="str">
        <f>IF($D4078="","",IF($F4078&lt;&gt;"",$F4078,IF(ISNA(MATCH($D4078,'Paramètres'!$M:$M,0)),"⚠ Type inconnu",IFERROR(INDEX('Paramètres'!$P:$P,MATCH($D4078,'Paramètres'!$M:$M,0))&amp;"",""))))</f>
        <v/>
      </c>
      <c r="M4078" s="6" t="str">
        <f>IF($D4078="","",IF(ISNA(MATCH($D4078,'Paramètres'!$M:$M,0)),"⚠ Type inconnu",IF($L4078="Crédit","",IFERROR(INDEX('Paramètres'!$O:$O,MATCH($D4078,'Paramètres'!$M:$M,0))&amp;"",""))))</f>
        <v/>
      </c>
      <c r="N4078" s="6" t="str">
        <f>IF($D4078="","",IFERROR(INDEX('Paramètres'!$Q:$Q,MATCH($D4078,'Paramètres'!$M:$M,0))&amp;"",""))</f>
        <v/>
      </c>
      <c r="O4078" s="6" t="str">
        <f>IF($A4078="","",IF(OR($J4078&lt;&gt;"x",$A4078&lt;=FinReleve),1,0))</f>
        <v/>
      </c>
      <c r="P4078" s="6" t="str">
        <f>IF($D4078="","",IF(AND($L4078="Crédit",OR(IFERROR(INDEX('Paramètres'!$O:$O,MATCH($D4078,'Paramètres'!$M:$M,0))&amp;"","")&lt;&gt;"",ISNUMBER(SEARCH("remboursement",IFERROR(INDEX('Paramètres'!$N:$N,MATCH($D4078,'Paramètres'!$M:$M,0))&amp;"",""))))),1,0))</f>
        <v/>
      </c>
      <c r="Q4078" s="6" t="str">
        <f>IF($K4078="","",IF(ISNUMBER(SEARCH("transfert-interne",IFERROR(INDEX('Paramètres'!$N:$N,MATCH($D4078,'Paramètres'!$M:$M,0))&amp;"",""))),0,IF($L4078="Débit",$K4078,IF($P4078=1,-$K4078,0))))</f>
        <v/>
      </c>
      <c r="R4078" s="6" t="str">
        <f>IF($K4078="","",IF($L4078="Crédit",$K4078,-$K4078))</f>
        <v/>
      </c>
      <c r="S4078" s="6" t="str">
        <f>IF($C4078="","",IFERROR(INDEX('Paramètres'!$H:$H,MATCH($C4078,'Paramètres'!$D:$D,0))&amp;"",""))</f>
        <v/>
      </c>
      <c r="T4078" s="6" t="str">
        <f>IF($K4078="","",IF($S4078="",0,IF(ISNUMBER(SEARCH("apport-exterieur",IFERROR(INDEX('Paramètres'!$N:$N,MATCH($D4078,'Paramètres'!$M:$M,0))&amp;"",""))),0,IF(OR(IFERROR(INDEX('Paramètres'!$I:$I,MATCH($C4078,'Paramètres'!$D:$D,0))&amp;"","")="Les deux",IFERROR(INDEX('Paramètres'!$I:$I,MATCH($C4078,'Paramètres'!$D:$D,0))&amp;"","")=IF($P4078=1,"Débit",$L4078)),-IF($P4078=1,-$K4078,$K4078),0))))</f>
        <v/>
      </c>
      <c r="U4078" s="6" t="str">
        <f>IF($K4078="","",IF(ISNUMBER(SEARCH("sortie-epargne",IFERROR(INDEX('Paramètres'!$N:$N,MATCH($D4078,'Paramètres'!$M:$M,0))&amp;"",""))),$K4078,0))</f>
        <v/>
      </c>
      <c r="V4078" s="6" t="str">
        <f>IF(AND($A4078&lt;&gt;"",$O4078=1,$L4078="Débit",N($Q4078)&gt;0,$A4078&gt;=Visualisation!$B$1,$A4078&lt;Visualisation!$D$1),MAX($V$1:V4077)+1,"")</f>
        <v/>
      </c>
    </row>
    <row r="4079" spans="1:22" x14ac:dyDescent="0.25">
      <c r="A4079" s="9"/>
      <c r="E4079" s="10"/>
      <c r="K4079" s="11" t="str">
        <f>IF($E4079="","",ROUND($E4079*IF(ISNA(MATCH($C4079,'Paramètres'!$D:$D,0)),1,IF(INDEX('Paramètres'!$J:$J,MATCH($C4079,'Paramètres'!$D:$D,0))="",1,INDEX('Paramètres'!$J:$J,MATCH($C4079,'Paramètres'!$D:$D,0)))),2))</f>
        <v/>
      </c>
      <c r="L4079" s="6" t="str">
        <f>IF($D4079="","",IF($F4079&lt;&gt;"",$F4079,IF(ISNA(MATCH($D4079,'Paramètres'!$M:$M,0)),"⚠ Type inconnu",IFERROR(INDEX('Paramètres'!$P:$P,MATCH($D4079,'Paramètres'!$M:$M,0))&amp;"",""))))</f>
        <v/>
      </c>
      <c r="M4079" s="6" t="str">
        <f>IF($D4079="","",IF(ISNA(MATCH($D4079,'Paramètres'!$M:$M,0)),"⚠ Type inconnu",IF($L4079="Crédit","",IFERROR(INDEX('Paramètres'!$O:$O,MATCH($D4079,'Paramètres'!$M:$M,0))&amp;"",""))))</f>
        <v/>
      </c>
      <c r="N4079" s="6" t="str">
        <f>IF($D4079="","",IFERROR(INDEX('Paramètres'!$Q:$Q,MATCH($D4079,'Paramètres'!$M:$M,0))&amp;"",""))</f>
        <v/>
      </c>
      <c r="O4079" s="6" t="str">
        <f>IF($A4079="","",IF(OR($J4079&lt;&gt;"x",$A4079&lt;=FinReleve),1,0))</f>
        <v/>
      </c>
      <c r="P4079" s="6" t="str">
        <f>IF($D4079="","",IF(AND($L4079="Crédit",OR(IFERROR(INDEX('Paramètres'!$O:$O,MATCH($D4079,'Paramètres'!$M:$M,0))&amp;"","")&lt;&gt;"",ISNUMBER(SEARCH("remboursement",IFERROR(INDEX('Paramètres'!$N:$N,MATCH($D4079,'Paramètres'!$M:$M,0))&amp;"",""))))),1,0))</f>
        <v/>
      </c>
      <c r="Q4079" s="6" t="str">
        <f>IF($K4079="","",IF(ISNUMBER(SEARCH("transfert-interne",IFERROR(INDEX('Paramètres'!$N:$N,MATCH($D4079,'Paramètres'!$M:$M,0))&amp;"",""))),0,IF($L4079="Débit",$K4079,IF($P4079=1,-$K4079,0))))</f>
        <v/>
      </c>
      <c r="R4079" s="6" t="str">
        <f>IF($K4079="","",IF($L4079="Crédit",$K4079,-$K4079))</f>
        <v/>
      </c>
      <c r="S4079" s="6" t="str">
        <f>IF($C4079="","",IFERROR(INDEX('Paramètres'!$H:$H,MATCH($C4079,'Paramètres'!$D:$D,0))&amp;"",""))</f>
        <v/>
      </c>
      <c r="T4079" s="6" t="str">
        <f>IF($K4079="","",IF($S4079="",0,IF(ISNUMBER(SEARCH("apport-exterieur",IFERROR(INDEX('Paramètres'!$N:$N,MATCH($D4079,'Paramètres'!$M:$M,0))&amp;"",""))),0,IF(OR(IFERROR(INDEX('Paramètres'!$I:$I,MATCH($C4079,'Paramètres'!$D:$D,0))&amp;"","")="Les deux",IFERROR(INDEX('Paramètres'!$I:$I,MATCH($C4079,'Paramètres'!$D:$D,0))&amp;"","")=IF($P4079=1,"Débit",$L4079)),-IF($P4079=1,-$K4079,$K4079),0))))</f>
        <v/>
      </c>
      <c r="U4079" s="6" t="str">
        <f>IF($K4079="","",IF(ISNUMBER(SEARCH("sortie-epargne",IFERROR(INDEX('Paramètres'!$N:$N,MATCH($D4079,'Paramètres'!$M:$M,0))&amp;"",""))),$K4079,0))</f>
        <v/>
      </c>
      <c r="V4079" s="6" t="str">
        <f>IF(AND($A4079&lt;&gt;"",$O4079=1,$L4079="Débit",N($Q4079)&gt;0,$A4079&gt;=Visualisation!$B$1,$A4079&lt;Visualisation!$D$1),MAX($V$1:V4078)+1,"")</f>
        <v/>
      </c>
    </row>
    <row r="4080" spans="1:22" x14ac:dyDescent="0.25">
      <c r="A4080" s="9"/>
      <c r="E4080" s="10"/>
      <c r="K4080" s="11" t="str">
        <f>IF($E4080="","",ROUND($E4080*IF(ISNA(MATCH($C4080,'Paramètres'!$D:$D,0)),1,IF(INDEX('Paramètres'!$J:$J,MATCH($C4080,'Paramètres'!$D:$D,0))="",1,INDEX('Paramètres'!$J:$J,MATCH($C4080,'Paramètres'!$D:$D,0)))),2))</f>
        <v/>
      </c>
      <c r="L4080" s="6" t="str">
        <f>IF($D4080="","",IF($F4080&lt;&gt;"",$F4080,IF(ISNA(MATCH($D4080,'Paramètres'!$M:$M,0)),"⚠ Type inconnu",IFERROR(INDEX('Paramètres'!$P:$P,MATCH($D4080,'Paramètres'!$M:$M,0))&amp;"",""))))</f>
        <v/>
      </c>
      <c r="M4080" s="6" t="str">
        <f>IF($D4080="","",IF(ISNA(MATCH($D4080,'Paramètres'!$M:$M,0)),"⚠ Type inconnu",IF($L4080="Crédit","",IFERROR(INDEX('Paramètres'!$O:$O,MATCH($D4080,'Paramètres'!$M:$M,0))&amp;"",""))))</f>
        <v/>
      </c>
      <c r="N4080" s="6" t="str">
        <f>IF($D4080="","",IFERROR(INDEX('Paramètres'!$Q:$Q,MATCH($D4080,'Paramètres'!$M:$M,0))&amp;"",""))</f>
        <v/>
      </c>
      <c r="O4080" s="6" t="str">
        <f>IF($A4080="","",IF(OR($J4080&lt;&gt;"x",$A4080&lt;=FinReleve),1,0))</f>
        <v/>
      </c>
      <c r="P4080" s="6" t="str">
        <f>IF($D4080="","",IF(AND($L4080="Crédit",OR(IFERROR(INDEX('Paramètres'!$O:$O,MATCH($D4080,'Paramètres'!$M:$M,0))&amp;"","")&lt;&gt;"",ISNUMBER(SEARCH("remboursement",IFERROR(INDEX('Paramètres'!$N:$N,MATCH($D4080,'Paramètres'!$M:$M,0))&amp;"",""))))),1,0))</f>
        <v/>
      </c>
      <c r="Q4080" s="6" t="str">
        <f>IF($K4080="","",IF(ISNUMBER(SEARCH("transfert-interne",IFERROR(INDEX('Paramètres'!$N:$N,MATCH($D4080,'Paramètres'!$M:$M,0))&amp;"",""))),0,IF($L4080="Débit",$K4080,IF($P4080=1,-$K4080,0))))</f>
        <v/>
      </c>
      <c r="R4080" s="6" t="str">
        <f>IF($K4080="","",IF($L4080="Crédit",$K4080,-$K4080))</f>
        <v/>
      </c>
      <c r="S4080" s="6" t="str">
        <f>IF($C4080="","",IFERROR(INDEX('Paramètres'!$H:$H,MATCH($C4080,'Paramètres'!$D:$D,0))&amp;"",""))</f>
        <v/>
      </c>
      <c r="T4080" s="6" t="str">
        <f>IF($K4080="","",IF($S4080="",0,IF(ISNUMBER(SEARCH("apport-exterieur",IFERROR(INDEX('Paramètres'!$N:$N,MATCH($D4080,'Paramètres'!$M:$M,0))&amp;"",""))),0,IF(OR(IFERROR(INDEX('Paramètres'!$I:$I,MATCH($C4080,'Paramètres'!$D:$D,0))&amp;"","")="Les deux",IFERROR(INDEX('Paramètres'!$I:$I,MATCH($C4080,'Paramètres'!$D:$D,0))&amp;"","")=IF($P4080=1,"Débit",$L4080)),-IF($P4080=1,-$K4080,$K4080),0))))</f>
        <v/>
      </c>
      <c r="U4080" s="6" t="str">
        <f>IF($K4080="","",IF(ISNUMBER(SEARCH("sortie-epargne",IFERROR(INDEX('Paramètres'!$N:$N,MATCH($D4080,'Paramètres'!$M:$M,0))&amp;"",""))),$K4080,0))</f>
        <v/>
      </c>
      <c r="V4080" s="6" t="str">
        <f>IF(AND($A4080&lt;&gt;"",$O4080=1,$L4080="Débit",N($Q4080)&gt;0,$A4080&gt;=Visualisation!$B$1,$A4080&lt;Visualisation!$D$1),MAX($V$1:V4079)+1,"")</f>
        <v/>
      </c>
    </row>
    <row r="4081" spans="1:22" x14ac:dyDescent="0.25">
      <c r="A4081" s="9"/>
      <c r="E4081" s="10"/>
      <c r="K4081" s="11" t="str">
        <f>IF($E4081="","",ROUND($E4081*IF(ISNA(MATCH($C4081,'Paramètres'!$D:$D,0)),1,IF(INDEX('Paramètres'!$J:$J,MATCH($C4081,'Paramètres'!$D:$D,0))="",1,INDEX('Paramètres'!$J:$J,MATCH($C4081,'Paramètres'!$D:$D,0)))),2))</f>
        <v/>
      </c>
      <c r="L4081" s="6" t="str">
        <f>IF($D4081="","",IF($F4081&lt;&gt;"",$F4081,IF(ISNA(MATCH($D4081,'Paramètres'!$M:$M,0)),"⚠ Type inconnu",IFERROR(INDEX('Paramètres'!$P:$P,MATCH($D4081,'Paramètres'!$M:$M,0))&amp;"",""))))</f>
        <v/>
      </c>
      <c r="M4081" s="6" t="str">
        <f>IF($D4081="","",IF(ISNA(MATCH($D4081,'Paramètres'!$M:$M,0)),"⚠ Type inconnu",IF($L4081="Crédit","",IFERROR(INDEX('Paramètres'!$O:$O,MATCH($D4081,'Paramètres'!$M:$M,0))&amp;"",""))))</f>
        <v/>
      </c>
      <c r="N4081" s="6" t="str">
        <f>IF($D4081="","",IFERROR(INDEX('Paramètres'!$Q:$Q,MATCH($D4081,'Paramètres'!$M:$M,0))&amp;"",""))</f>
        <v/>
      </c>
      <c r="O4081" s="6" t="str">
        <f>IF($A4081="","",IF(OR($J4081&lt;&gt;"x",$A4081&lt;=FinReleve),1,0))</f>
        <v/>
      </c>
      <c r="P4081" s="6" t="str">
        <f>IF($D4081="","",IF(AND($L4081="Crédit",OR(IFERROR(INDEX('Paramètres'!$O:$O,MATCH($D4081,'Paramètres'!$M:$M,0))&amp;"","")&lt;&gt;"",ISNUMBER(SEARCH("remboursement",IFERROR(INDEX('Paramètres'!$N:$N,MATCH($D4081,'Paramètres'!$M:$M,0))&amp;"",""))))),1,0))</f>
        <v/>
      </c>
      <c r="Q4081" s="6" t="str">
        <f>IF($K4081="","",IF(ISNUMBER(SEARCH("transfert-interne",IFERROR(INDEX('Paramètres'!$N:$N,MATCH($D4081,'Paramètres'!$M:$M,0))&amp;"",""))),0,IF($L4081="Débit",$K4081,IF($P4081=1,-$K4081,0))))</f>
        <v/>
      </c>
      <c r="R4081" s="6" t="str">
        <f>IF($K4081="","",IF($L4081="Crédit",$K4081,-$K4081))</f>
        <v/>
      </c>
      <c r="S4081" s="6" t="str">
        <f>IF($C4081="","",IFERROR(INDEX('Paramètres'!$H:$H,MATCH($C4081,'Paramètres'!$D:$D,0))&amp;"",""))</f>
        <v/>
      </c>
      <c r="T4081" s="6" t="str">
        <f>IF($K4081="","",IF($S4081="",0,IF(ISNUMBER(SEARCH("apport-exterieur",IFERROR(INDEX('Paramètres'!$N:$N,MATCH($D4081,'Paramètres'!$M:$M,0))&amp;"",""))),0,IF(OR(IFERROR(INDEX('Paramètres'!$I:$I,MATCH($C4081,'Paramètres'!$D:$D,0))&amp;"","")="Les deux",IFERROR(INDEX('Paramètres'!$I:$I,MATCH($C4081,'Paramètres'!$D:$D,0))&amp;"","")=IF($P4081=1,"Débit",$L4081)),-IF($P4081=1,-$K4081,$K4081),0))))</f>
        <v/>
      </c>
      <c r="U4081" s="6" t="str">
        <f>IF($K4081="","",IF(ISNUMBER(SEARCH("sortie-epargne",IFERROR(INDEX('Paramètres'!$N:$N,MATCH($D4081,'Paramètres'!$M:$M,0))&amp;"",""))),$K4081,0))</f>
        <v/>
      </c>
      <c r="V4081" s="6" t="str">
        <f>IF(AND($A4081&lt;&gt;"",$O4081=1,$L4081="Débit",N($Q4081)&gt;0,$A4081&gt;=Visualisation!$B$1,$A4081&lt;Visualisation!$D$1),MAX($V$1:V4080)+1,"")</f>
        <v/>
      </c>
    </row>
    <row r="4082" spans="1:22" x14ac:dyDescent="0.25">
      <c r="A4082" s="9"/>
      <c r="E4082" s="10"/>
      <c r="K4082" s="11" t="str">
        <f>IF($E4082="","",ROUND($E4082*IF(ISNA(MATCH($C4082,'Paramètres'!$D:$D,0)),1,IF(INDEX('Paramètres'!$J:$J,MATCH($C4082,'Paramètres'!$D:$D,0))="",1,INDEX('Paramètres'!$J:$J,MATCH($C4082,'Paramètres'!$D:$D,0)))),2))</f>
        <v/>
      </c>
      <c r="L4082" s="6" t="str">
        <f>IF($D4082="","",IF($F4082&lt;&gt;"",$F4082,IF(ISNA(MATCH($D4082,'Paramètres'!$M:$M,0)),"⚠ Type inconnu",IFERROR(INDEX('Paramètres'!$P:$P,MATCH($D4082,'Paramètres'!$M:$M,0))&amp;"",""))))</f>
        <v/>
      </c>
      <c r="M4082" s="6" t="str">
        <f>IF($D4082="","",IF(ISNA(MATCH($D4082,'Paramètres'!$M:$M,0)),"⚠ Type inconnu",IF($L4082="Crédit","",IFERROR(INDEX('Paramètres'!$O:$O,MATCH($D4082,'Paramètres'!$M:$M,0))&amp;"",""))))</f>
        <v/>
      </c>
      <c r="N4082" s="6" t="str">
        <f>IF($D4082="","",IFERROR(INDEX('Paramètres'!$Q:$Q,MATCH($D4082,'Paramètres'!$M:$M,0))&amp;"",""))</f>
        <v/>
      </c>
      <c r="O4082" s="6" t="str">
        <f>IF($A4082="","",IF(OR($J4082&lt;&gt;"x",$A4082&lt;=FinReleve),1,0))</f>
        <v/>
      </c>
      <c r="P4082" s="6" t="str">
        <f>IF($D4082="","",IF(AND($L4082="Crédit",OR(IFERROR(INDEX('Paramètres'!$O:$O,MATCH($D4082,'Paramètres'!$M:$M,0))&amp;"","")&lt;&gt;"",ISNUMBER(SEARCH("remboursement",IFERROR(INDEX('Paramètres'!$N:$N,MATCH($D4082,'Paramètres'!$M:$M,0))&amp;"",""))))),1,0))</f>
        <v/>
      </c>
      <c r="Q4082" s="6" t="str">
        <f>IF($K4082="","",IF(ISNUMBER(SEARCH("transfert-interne",IFERROR(INDEX('Paramètres'!$N:$N,MATCH($D4082,'Paramètres'!$M:$M,0))&amp;"",""))),0,IF($L4082="Débit",$K4082,IF($P4082=1,-$K4082,0))))</f>
        <v/>
      </c>
      <c r="R4082" s="6" t="str">
        <f>IF($K4082="","",IF($L4082="Crédit",$K4082,-$K4082))</f>
        <v/>
      </c>
      <c r="S4082" s="6" t="str">
        <f>IF($C4082="","",IFERROR(INDEX('Paramètres'!$H:$H,MATCH($C4082,'Paramètres'!$D:$D,0))&amp;"",""))</f>
        <v/>
      </c>
      <c r="T4082" s="6" t="str">
        <f>IF($K4082="","",IF($S4082="",0,IF(ISNUMBER(SEARCH("apport-exterieur",IFERROR(INDEX('Paramètres'!$N:$N,MATCH($D4082,'Paramètres'!$M:$M,0))&amp;"",""))),0,IF(OR(IFERROR(INDEX('Paramètres'!$I:$I,MATCH($C4082,'Paramètres'!$D:$D,0))&amp;"","")="Les deux",IFERROR(INDEX('Paramètres'!$I:$I,MATCH($C4082,'Paramètres'!$D:$D,0))&amp;"","")=IF($P4082=1,"Débit",$L4082)),-IF($P4082=1,-$K4082,$K4082),0))))</f>
        <v/>
      </c>
      <c r="U4082" s="6" t="str">
        <f>IF($K4082="","",IF(ISNUMBER(SEARCH("sortie-epargne",IFERROR(INDEX('Paramètres'!$N:$N,MATCH($D4082,'Paramètres'!$M:$M,0))&amp;"",""))),$K4082,0))</f>
        <v/>
      </c>
      <c r="V4082" s="6" t="str">
        <f>IF(AND($A4082&lt;&gt;"",$O4082=1,$L4082="Débit",N($Q4082)&gt;0,$A4082&gt;=Visualisation!$B$1,$A4082&lt;Visualisation!$D$1),MAX($V$1:V4081)+1,"")</f>
        <v/>
      </c>
    </row>
    <row r="4083" spans="1:22" x14ac:dyDescent="0.25">
      <c r="A4083" s="9"/>
      <c r="E4083" s="10"/>
      <c r="K4083" s="11" t="str">
        <f>IF($E4083="","",ROUND($E4083*IF(ISNA(MATCH($C4083,'Paramètres'!$D:$D,0)),1,IF(INDEX('Paramètres'!$J:$J,MATCH($C4083,'Paramètres'!$D:$D,0))="",1,INDEX('Paramètres'!$J:$J,MATCH($C4083,'Paramètres'!$D:$D,0)))),2))</f>
        <v/>
      </c>
      <c r="L4083" s="6" t="str">
        <f>IF($D4083="","",IF($F4083&lt;&gt;"",$F4083,IF(ISNA(MATCH($D4083,'Paramètres'!$M:$M,0)),"⚠ Type inconnu",IFERROR(INDEX('Paramètres'!$P:$P,MATCH($D4083,'Paramètres'!$M:$M,0))&amp;"",""))))</f>
        <v/>
      </c>
      <c r="M4083" s="6" t="str">
        <f>IF($D4083="","",IF(ISNA(MATCH($D4083,'Paramètres'!$M:$M,0)),"⚠ Type inconnu",IF($L4083="Crédit","",IFERROR(INDEX('Paramètres'!$O:$O,MATCH($D4083,'Paramètres'!$M:$M,0))&amp;"",""))))</f>
        <v/>
      </c>
      <c r="N4083" s="6" t="str">
        <f>IF($D4083="","",IFERROR(INDEX('Paramètres'!$Q:$Q,MATCH($D4083,'Paramètres'!$M:$M,0))&amp;"",""))</f>
        <v/>
      </c>
      <c r="O4083" s="6" t="str">
        <f>IF($A4083="","",IF(OR($J4083&lt;&gt;"x",$A4083&lt;=FinReleve),1,0))</f>
        <v/>
      </c>
      <c r="P4083" s="6" t="str">
        <f>IF($D4083="","",IF(AND($L4083="Crédit",OR(IFERROR(INDEX('Paramètres'!$O:$O,MATCH($D4083,'Paramètres'!$M:$M,0))&amp;"","")&lt;&gt;"",ISNUMBER(SEARCH("remboursement",IFERROR(INDEX('Paramètres'!$N:$N,MATCH($D4083,'Paramètres'!$M:$M,0))&amp;"",""))))),1,0))</f>
        <v/>
      </c>
      <c r="Q4083" s="6" t="str">
        <f>IF($K4083="","",IF(ISNUMBER(SEARCH("transfert-interne",IFERROR(INDEX('Paramètres'!$N:$N,MATCH($D4083,'Paramètres'!$M:$M,0))&amp;"",""))),0,IF($L4083="Débit",$K4083,IF($P4083=1,-$K4083,0))))</f>
        <v/>
      </c>
      <c r="R4083" s="6" t="str">
        <f>IF($K4083="","",IF($L4083="Crédit",$K4083,-$K4083))</f>
        <v/>
      </c>
      <c r="S4083" s="6" t="str">
        <f>IF($C4083="","",IFERROR(INDEX('Paramètres'!$H:$H,MATCH($C4083,'Paramètres'!$D:$D,0))&amp;"",""))</f>
        <v/>
      </c>
      <c r="T4083" s="6" t="str">
        <f>IF($K4083="","",IF($S4083="",0,IF(ISNUMBER(SEARCH("apport-exterieur",IFERROR(INDEX('Paramètres'!$N:$N,MATCH($D4083,'Paramètres'!$M:$M,0))&amp;"",""))),0,IF(OR(IFERROR(INDEX('Paramètres'!$I:$I,MATCH($C4083,'Paramètres'!$D:$D,0))&amp;"","")="Les deux",IFERROR(INDEX('Paramètres'!$I:$I,MATCH($C4083,'Paramètres'!$D:$D,0))&amp;"","")=IF($P4083=1,"Débit",$L4083)),-IF($P4083=1,-$K4083,$K4083),0))))</f>
        <v/>
      </c>
      <c r="U4083" s="6" t="str">
        <f>IF($K4083="","",IF(ISNUMBER(SEARCH("sortie-epargne",IFERROR(INDEX('Paramètres'!$N:$N,MATCH($D4083,'Paramètres'!$M:$M,0))&amp;"",""))),$K4083,0))</f>
        <v/>
      </c>
      <c r="V4083" s="6" t="str">
        <f>IF(AND($A4083&lt;&gt;"",$O4083=1,$L4083="Débit",N($Q4083)&gt;0,$A4083&gt;=Visualisation!$B$1,$A4083&lt;Visualisation!$D$1),MAX($V$1:V4082)+1,"")</f>
        <v/>
      </c>
    </row>
    <row r="4084" spans="1:22" x14ac:dyDescent="0.25">
      <c r="A4084" s="9"/>
      <c r="E4084" s="10"/>
      <c r="K4084" s="11" t="str">
        <f>IF($E4084="","",ROUND($E4084*IF(ISNA(MATCH($C4084,'Paramètres'!$D:$D,0)),1,IF(INDEX('Paramètres'!$J:$J,MATCH($C4084,'Paramètres'!$D:$D,0))="",1,INDEX('Paramètres'!$J:$J,MATCH($C4084,'Paramètres'!$D:$D,0)))),2))</f>
        <v/>
      </c>
      <c r="L4084" s="6" t="str">
        <f>IF($D4084="","",IF($F4084&lt;&gt;"",$F4084,IF(ISNA(MATCH($D4084,'Paramètres'!$M:$M,0)),"⚠ Type inconnu",IFERROR(INDEX('Paramètres'!$P:$P,MATCH($D4084,'Paramètres'!$M:$M,0))&amp;"",""))))</f>
        <v/>
      </c>
      <c r="M4084" s="6" t="str">
        <f>IF($D4084="","",IF(ISNA(MATCH($D4084,'Paramètres'!$M:$M,0)),"⚠ Type inconnu",IF($L4084="Crédit","",IFERROR(INDEX('Paramètres'!$O:$O,MATCH($D4084,'Paramètres'!$M:$M,0))&amp;"",""))))</f>
        <v/>
      </c>
      <c r="N4084" s="6" t="str">
        <f>IF($D4084="","",IFERROR(INDEX('Paramètres'!$Q:$Q,MATCH($D4084,'Paramètres'!$M:$M,0))&amp;"",""))</f>
        <v/>
      </c>
      <c r="O4084" s="6" t="str">
        <f>IF($A4084="","",IF(OR($J4084&lt;&gt;"x",$A4084&lt;=FinReleve),1,0))</f>
        <v/>
      </c>
      <c r="P4084" s="6" t="str">
        <f>IF($D4084="","",IF(AND($L4084="Crédit",OR(IFERROR(INDEX('Paramètres'!$O:$O,MATCH($D4084,'Paramètres'!$M:$M,0))&amp;"","")&lt;&gt;"",ISNUMBER(SEARCH("remboursement",IFERROR(INDEX('Paramètres'!$N:$N,MATCH($D4084,'Paramètres'!$M:$M,0))&amp;"",""))))),1,0))</f>
        <v/>
      </c>
      <c r="Q4084" s="6" t="str">
        <f>IF($K4084="","",IF(ISNUMBER(SEARCH("transfert-interne",IFERROR(INDEX('Paramètres'!$N:$N,MATCH($D4084,'Paramètres'!$M:$M,0))&amp;"",""))),0,IF($L4084="Débit",$K4084,IF($P4084=1,-$K4084,0))))</f>
        <v/>
      </c>
      <c r="R4084" s="6" t="str">
        <f>IF($K4084="","",IF($L4084="Crédit",$K4084,-$K4084))</f>
        <v/>
      </c>
      <c r="S4084" s="6" t="str">
        <f>IF($C4084="","",IFERROR(INDEX('Paramètres'!$H:$H,MATCH($C4084,'Paramètres'!$D:$D,0))&amp;"",""))</f>
        <v/>
      </c>
      <c r="T4084" s="6" t="str">
        <f>IF($K4084="","",IF($S4084="",0,IF(ISNUMBER(SEARCH("apport-exterieur",IFERROR(INDEX('Paramètres'!$N:$N,MATCH($D4084,'Paramètres'!$M:$M,0))&amp;"",""))),0,IF(OR(IFERROR(INDEX('Paramètres'!$I:$I,MATCH($C4084,'Paramètres'!$D:$D,0))&amp;"","")="Les deux",IFERROR(INDEX('Paramètres'!$I:$I,MATCH($C4084,'Paramètres'!$D:$D,0))&amp;"","")=IF($P4084=1,"Débit",$L4084)),-IF($P4084=1,-$K4084,$K4084),0))))</f>
        <v/>
      </c>
      <c r="U4084" s="6" t="str">
        <f>IF($K4084="","",IF(ISNUMBER(SEARCH("sortie-epargne",IFERROR(INDEX('Paramètres'!$N:$N,MATCH($D4084,'Paramètres'!$M:$M,0))&amp;"",""))),$K4084,0))</f>
        <v/>
      </c>
      <c r="V4084" s="6" t="str">
        <f>IF(AND($A4084&lt;&gt;"",$O4084=1,$L4084="Débit",N($Q4084)&gt;0,$A4084&gt;=Visualisation!$B$1,$A4084&lt;Visualisation!$D$1),MAX($V$1:V4083)+1,"")</f>
        <v/>
      </c>
    </row>
    <row r="4085" spans="1:22" x14ac:dyDescent="0.25">
      <c r="A4085" s="9"/>
      <c r="E4085" s="10"/>
      <c r="K4085" s="11" t="str">
        <f>IF($E4085="","",ROUND($E4085*IF(ISNA(MATCH($C4085,'Paramètres'!$D:$D,0)),1,IF(INDEX('Paramètres'!$J:$J,MATCH($C4085,'Paramètres'!$D:$D,0))="",1,INDEX('Paramètres'!$J:$J,MATCH($C4085,'Paramètres'!$D:$D,0)))),2))</f>
        <v/>
      </c>
      <c r="L4085" s="6" t="str">
        <f>IF($D4085="","",IF($F4085&lt;&gt;"",$F4085,IF(ISNA(MATCH($D4085,'Paramètres'!$M:$M,0)),"⚠ Type inconnu",IFERROR(INDEX('Paramètres'!$P:$P,MATCH($D4085,'Paramètres'!$M:$M,0))&amp;"",""))))</f>
        <v/>
      </c>
      <c r="M4085" s="6" t="str">
        <f>IF($D4085="","",IF(ISNA(MATCH($D4085,'Paramètres'!$M:$M,0)),"⚠ Type inconnu",IF($L4085="Crédit","",IFERROR(INDEX('Paramètres'!$O:$O,MATCH($D4085,'Paramètres'!$M:$M,0))&amp;"",""))))</f>
        <v/>
      </c>
      <c r="N4085" s="6" t="str">
        <f>IF($D4085="","",IFERROR(INDEX('Paramètres'!$Q:$Q,MATCH($D4085,'Paramètres'!$M:$M,0))&amp;"",""))</f>
        <v/>
      </c>
      <c r="O4085" s="6" t="str">
        <f>IF($A4085="","",IF(OR($J4085&lt;&gt;"x",$A4085&lt;=FinReleve),1,0))</f>
        <v/>
      </c>
      <c r="P4085" s="6" t="str">
        <f>IF($D4085="","",IF(AND($L4085="Crédit",OR(IFERROR(INDEX('Paramètres'!$O:$O,MATCH($D4085,'Paramètres'!$M:$M,0))&amp;"","")&lt;&gt;"",ISNUMBER(SEARCH("remboursement",IFERROR(INDEX('Paramètres'!$N:$N,MATCH($D4085,'Paramètres'!$M:$M,0))&amp;"",""))))),1,0))</f>
        <v/>
      </c>
      <c r="Q4085" s="6" t="str">
        <f>IF($K4085="","",IF(ISNUMBER(SEARCH("transfert-interne",IFERROR(INDEX('Paramètres'!$N:$N,MATCH($D4085,'Paramètres'!$M:$M,0))&amp;"",""))),0,IF($L4085="Débit",$K4085,IF($P4085=1,-$K4085,0))))</f>
        <v/>
      </c>
      <c r="R4085" s="6" t="str">
        <f>IF($K4085="","",IF($L4085="Crédit",$K4085,-$K4085))</f>
        <v/>
      </c>
      <c r="S4085" s="6" t="str">
        <f>IF($C4085="","",IFERROR(INDEX('Paramètres'!$H:$H,MATCH($C4085,'Paramètres'!$D:$D,0))&amp;"",""))</f>
        <v/>
      </c>
      <c r="T4085" s="6" t="str">
        <f>IF($K4085="","",IF($S4085="",0,IF(ISNUMBER(SEARCH("apport-exterieur",IFERROR(INDEX('Paramètres'!$N:$N,MATCH($D4085,'Paramètres'!$M:$M,0))&amp;"",""))),0,IF(OR(IFERROR(INDEX('Paramètres'!$I:$I,MATCH($C4085,'Paramètres'!$D:$D,0))&amp;"","")="Les deux",IFERROR(INDEX('Paramètres'!$I:$I,MATCH($C4085,'Paramètres'!$D:$D,0))&amp;"","")=IF($P4085=1,"Débit",$L4085)),-IF($P4085=1,-$K4085,$K4085),0))))</f>
        <v/>
      </c>
      <c r="U4085" s="6" t="str">
        <f>IF($K4085="","",IF(ISNUMBER(SEARCH("sortie-epargne",IFERROR(INDEX('Paramètres'!$N:$N,MATCH($D4085,'Paramètres'!$M:$M,0))&amp;"",""))),$K4085,0))</f>
        <v/>
      </c>
      <c r="V4085" s="6" t="str">
        <f>IF(AND($A4085&lt;&gt;"",$O4085=1,$L4085="Débit",N($Q4085)&gt;0,$A4085&gt;=Visualisation!$B$1,$A4085&lt;Visualisation!$D$1),MAX($V$1:V4084)+1,"")</f>
        <v/>
      </c>
    </row>
    <row r="4086" spans="1:22" x14ac:dyDescent="0.25">
      <c r="A4086" s="9"/>
      <c r="E4086" s="10"/>
      <c r="K4086" s="11" t="str">
        <f>IF($E4086="","",ROUND($E4086*IF(ISNA(MATCH($C4086,'Paramètres'!$D:$D,0)),1,IF(INDEX('Paramètres'!$J:$J,MATCH($C4086,'Paramètres'!$D:$D,0))="",1,INDEX('Paramètres'!$J:$J,MATCH($C4086,'Paramètres'!$D:$D,0)))),2))</f>
        <v/>
      </c>
      <c r="L4086" s="6" t="str">
        <f>IF($D4086="","",IF($F4086&lt;&gt;"",$F4086,IF(ISNA(MATCH($D4086,'Paramètres'!$M:$M,0)),"⚠ Type inconnu",IFERROR(INDEX('Paramètres'!$P:$P,MATCH($D4086,'Paramètres'!$M:$M,0))&amp;"",""))))</f>
        <v/>
      </c>
      <c r="M4086" s="6" t="str">
        <f>IF($D4086="","",IF(ISNA(MATCH($D4086,'Paramètres'!$M:$M,0)),"⚠ Type inconnu",IF($L4086="Crédit","",IFERROR(INDEX('Paramètres'!$O:$O,MATCH($D4086,'Paramètres'!$M:$M,0))&amp;"",""))))</f>
        <v/>
      </c>
      <c r="N4086" s="6" t="str">
        <f>IF($D4086="","",IFERROR(INDEX('Paramètres'!$Q:$Q,MATCH($D4086,'Paramètres'!$M:$M,0))&amp;"",""))</f>
        <v/>
      </c>
      <c r="O4086" s="6" t="str">
        <f>IF($A4086="","",IF(OR($J4086&lt;&gt;"x",$A4086&lt;=FinReleve),1,0))</f>
        <v/>
      </c>
      <c r="P4086" s="6" t="str">
        <f>IF($D4086="","",IF(AND($L4086="Crédit",OR(IFERROR(INDEX('Paramètres'!$O:$O,MATCH($D4086,'Paramètres'!$M:$M,0))&amp;"","")&lt;&gt;"",ISNUMBER(SEARCH("remboursement",IFERROR(INDEX('Paramètres'!$N:$N,MATCH($D4086,'Paramètres'!$M:$M,0))&amp;"",""))))),1,0))</f>
        <v/>
      </c>
      <c r="Q4086" s="6" t="str">
        <f>IF($K4086="","",IF(ISNUMBER(SEARCH("transfert-interne",IFERROR(INDEX('Paramètres'!$N:$N,MATCH($D4086,'Paramètres'!$M:$M,0))&amp;"",""))),0,IF($L4086="Débit",$K4086,IF($P4086=1,-$K4086,0))))</f>
        <v/>
      </c>
      <c r="R4086" s="6" t="str">
        <f>IF($K4086="","",IF($L4086="Crédit",$K4086,-$K4086))</f>
        <v/>
      </c>
      <c r="S4086" s="6" t="str">
        <f>IF($C4086="","",IFERROR(INDEX('Paramètres'!$H:$H,MATCH($C4086,'Paramètres'!$D:$D,0))&amp;"",""))</f>
        <v/>
      </c>
      <c r="T4086" s="6" t="str">
        <f>IF($K4086="","",IF($S4086="",0,IF(ISNUMBER(SEARCH("apport-exterieur",IFERROR(INDEX('Paramètres'!$N:$N,MATCH($D4086,'Paramètres'!$M:$M,0))&amp;"",""))),0,IF(OR(IFERROR(INDEX('Paramètres'!$I:$I,MATCH($C4086,'Paramètres'!$D:$D,0))&amp;"","")="Les deux",IFERROR(INDEX('Paramètres'!$I:$I,MATCH($C4086,'Paramètres'!$D:$D,0))&amp;"","")=IF($P4086=1,"Débit",$L4086)),-IF($P4086=1,-$K4086,$K4086),0))))</f>
        <v/>
      </c>
      <c r="U4086" s="6" t="str">
        <f>IF($K4086="","",IF(ISNUMBER(SEARCH("sortie-epargne",IFERROR(INDEX('Paramètres'!$N:$N,MATCH($D4086,'Paramètres'!$M:$M,0))&amp;"",""))),$K4086,0))</f>
        <v/>
      </c>
      <c r="V4086" s="6" t="str">
        <f>IF(AND($A4086&lt;&gt;"",$O4086=1,$L4086="Débit",N($Q4086)&gt;0,$A4086&gt;=Visualisation!$B$1,$A4086&lt;Visualisation!$D$1),MAX($V$1:V4085)+1,"")</f>
        <v/>
      </c>
    </row>
    <row r="4087" spans="1:22" x14ac:dyDescent="0.25">
      <c r="A4087" s="9"/>
      <c r="E4087" s="10"/>
      <c r="K4087" s="11" t="str">
        <f>IF($E4087="","",ROUND($E4087*IF(ISNA(MATCH($C4087,'Paramètres'!$D:$D,0)),1,IF(INDEX('Paramètres'!$J:$J,MATCH($C4087,'Paramètres'!$D:$D,0))="",1,INDEX('Paramètres'!$J:$J,MATCH($C4087,'Paramètres'!$D:$D,0)))),2))</f>
        <v/>
      </c>
      <c r="L4087" s="6" t="str">
        <f>IF($D4087="","",IF($F4087&lt;&gt;"",$F4087,IF(ISNA(MATCH($D4087,'Paramètres'!$M:$M,0)),"⚠ Type inconnu",IFERROR(INDEX('Paramètres'!$P:$P,MATCH($D4087,'Paramètres'!$M:$M,0))&amp;"",""))))</f>
        <v/>
      </c>
      <c r="M4087" s="6" t="str">
        <f>IF($D4087="","",IF(ISNA(MATCH($D4087,'Paramètres'!$M:$M,0)),"⚠ Type inconnu",IF($L4087="Crédit","",IFERROR(INDEX('Paramètres'!$O:$O,MATCH($D4087,'Paramètres'!$M:$M,0))&amp;"",""))))</f>
        <v/>
      </c>
      <c r="N4087" s="6" t="str">
        <f>IF($D4087="","",IFERROR(INDEX('Paramètres'!$Q:$Q,MATCH($D4087,'Paramètres'!$M:$M,0))&amp;"",""))</f>
        <v/>
      </c>
      <c r="O4087" s="6" t="str">
        <f>IF($A4087="","",IF(OR($J4087&lt;&gt;"x",$A4087&lt;=FinReleve),1,0))</f>
        <v/>
      </c>
      <c r="P4087" s="6" t="str">
        <f>IF($D4087="","",IF(AND($L4087="Crédit",OR(IFERROR(INDEX('Paramètres'!$O:$O,MATCH($D4087,'Paramètres'!$M:$M,0))&amp;"","")&lt;&gt;"",ISNUMBER(SEARCH("remboursement",IFERROR(INDEX('Paramètres'!$N:$N,MATCH($D4087,'Paramètres'!$M:$M,0))&amp;"",""))))),1,0))</f>
        <v/>
      </c>
      <c r="Q4087" s="6" t="str">
        <f>IF($K4087="","",IF(ISNUMBER(SEARCH("transfert-interne",IFERROR(INDEX('Paramètres'!$N:$N,MATCH($D4087,'Paramètres'!$M:$M,0))&amp;"",""))),0,IF($L4087="Débit",$K4087,IF($P4087=1,-$K4087,0))))</f>
        <v/>
      </c>
      <c r="R4087" s="6" t="str">
        <f>IF($K4087="","",IF($L4087="Crédit",$K4087,-$K4087))</f>
        <v/>
      </c>
      <c r="S4087" s="6" t="str">
        <f>IF($C4087="","",IFERROR(INDEX('Paramètres'!$H:$H,MATCH($C4087,'Paramètres'!$D:$D,0))&amp;"",""))</f>
        <v/>
      </c>
      <c r="T4087" s="6" t="str">
        <f>IF($K4087="","",IF($S4087="",0,IF(ISNUMBER(SEARCH("apport-exterieur",IFERROR(INDEX('Paramètres'!$N:$N,MATCH($D4087,'Paramètres'!$M:$M,0))&amp;"",""))),0,IF(OR(IFERROR(INDEX('Paramètres'!$I:$I,MATCH($C4087,'Paramètres'!$D:$D,0))&amp;"","")="Les deux",IFERROR(INDEX('Paramètres'!$I:$I,MATCH($C4087,'Paramètres'!$D:$D,0))&amp;"","")=IF($P4087=1,"Débit",$L4087)),-IF($P4087=1,-$K4087,$K4087),0))))</f>
        <v/>
      </c>
      <c r="U4087" s="6" t="str">
        <f>IF($K4087="","",IF(ISNUMBER(SEARCH("sortie-epargne",IFERROR(INDEX('Paramètres'!$N:$N,MATCH($D4087,'Paramètres'!$M:$M,0))&amp;"",""))),$K4087,0))</f>
        <v/>
      </c>
      <c r="V4087" s="6" t="str">
        <f>IF(AND($A4087&lt;&gt;"",$O4087=1,$L4087="Débit",N($Q4087)&gt;0,$A4087&gt;=Visualisation!$B$1,$A4087&lt;Visualisation!$D$1),MAX($V$1:V4086)+1,"")</f>
        <v/>
      </c>
    </row>
    <row r="4088" spans="1:22" x14ac:dyDescent="0.25">
      <c r="A4088" s="9"/>
      <c r="E4088" s="10"/>
      <c r="K4088" s="11" t="str">
        <f>IF($E4088="","",ROUND($E4088*IF(ISNA(MATCH($C4088,'Paramètres'!$D:$D,0)),1,IF(INDEX('Paramètres'!$J:$J,MATCH($C4088,'Paramètres'!$D:$D,0))="",1,INDEX('Paramètres'!$J:$J,MATCH($C4088,'Paramètres'!$D:$D,0)))),2))</f>
        <v/>
      </c>
      <c r="L4088" s="6" t="str">
        <f>IF($D4088="","",IF($F4088&lt;&gt;"",$F4088,IF(ISNA(MATCH($D4088,'Paramètres'!$M:$M,0)),"⚠ Type inconnu",IFERROR(INDEX('Paramètres'!$P:$P,MATCH($D4088,'Paramètres'!$M:$M,0))&amp;"",""))))</f>
        <v/>
      </c>
      <c r="M4088" s="6" t="str">
        <f>IF($D4088="","",IF(ISNA(MATCH($D4088,'Paramètres'!$M:$M,0)),"⚠ Type inconnu",IF($L4088="Crédit","",IFERROR(INDEX('Paramètres'!$O:$O,MATCH($D4088,'Paramètres'!$M:$M,0))&amp;"",""))))</f>
        <v/>
      </c>
      <c r="N4088" s="6" t="str">
        <f>IF($D4088="","",IFERROR(INDEX('Paramètres'!$Q:$Q,MATCH($D4088,'Paramètres'!$M:$M,0))&amp;"",""))</f>
        <v/>
      </c>
      <c r="O4088" s="6" t="str">
        <f>IF($A4088="","",IF(OR($J4088&lt;&gt;"x",$A4088&lt;=FinReleve),1,0))</f>
        <v/>
      </c>
      <c r="P4088" s="6" t="str">
        <f>IF($D4088="","",IF(AND($L4088="Crédit",OR(IFERROR(INDEX('Paramètres'!$O:$O,MATCH($D4088,'Paramètres'!$M:$M,0))&amp;"","")&lt;&gt;"",ISNUMBER(SEARCH("remboursement",IFERROR(INDEX('Paramètres'!$N:$N,MATCH($D4088,'Paramètres'!$M:$M,0))&amp;"",""))))),1,0))</f>
        <v/>
      </c>
      <c r="Q4088" s="6" t="str">
        <f>IF($K4088="","",IF(ISNUMBER(SEARCH("transfert-interne",IFERROR(INDEX('Paramètres'!$N:$N,MATCH($D4088,'Paramètres'!$M:$M,0))&amp;"",""))),0,IF($L4088="Débit",$K4088,IF($P4088=1,-$K4088,0))))</f>
        <v/>
      </c>
      <c r="R4088" s="6" t="str">
        <f>IF($K4088="","",IF($L4088="Crédit",$K4088,-$K4088))</f>
        <v/>
      </c>
      <c r="S4088" s="6" t="str">
        <f>IF($C4088="","",IFERROR(INDEX('Paramètres'!$H:$H,MATCH($C4088,'Paramètres'!$D:$D,0))&amp;"",""))</f>
        <v/>
      </c>
      <c r="T4088" s="6" t="str">
        <f>IF($K4088="","",IF($S4088="",0,IF(ISNUMBER(SEARCH("apport-exterieur",IFERROR(INDEX('Paramètres'!$N:$N,MATCH($D4088,'Paramètres'!$M:$M,0))&amp;"",""))),0,IF(OR(IFERROR(INDEX('Paramètres'!$I:$I,MATCH($C4088,'Paramètres'!$D:$D,0))&amp;"","")="Les deux",IFERROR(INDEX('Paramètres'!$I:$I,MATCH($C4088,'Paramètres'!$D:$D,0))&amp;"","")=IF($P4088=1,"Débit",$L4088)),-IF($P4088=1,-$K4088,$K4088),0))))</f>
        <v/>
      </c>
      <c r="U4088" s="6" t="str">
        <f>IF($K4088="","",IF(ISNUMBER(SEARCH("sortie-epargne",IFERROR(INDEX('Paramètres'!$N:$N,MATCH($D4088,'Paramètres'!$M:$M,0))&amp;"",""))),$K4088,0))</f>
        <v/>
      </c>
      <c r="V4088" s="6" t="str">
        <f>IF(AND($A4088&lt;&gt;"",$O4088=1,$L4088="Débit",N($Q4088)&gt;0,$A4088&gt;=Visualisation!$B$1,$A4088&lt;Visualisation!$D$1),MAX($V$1:V4087)+1,"")</f>
        <v/>
      </c>
    </row>
    <row r="4089" spans="1:22" x14ac:dyDescent="0.25">
      <c r="A4089" s="9"/>
      <c r="E4089" s="10"/>
      <c r="K4089" s="11" t="str">
        <f>IF($E4089="","",ROUND($E4089*IF(ISNA(MATCH($C4089,'Paramètres'!$D:$D,0)),1,IF(INDEX('Paramètres'!$J:$J,MATCH($C4089,'Paramètres'!$D:$D,0))="",1,INDEX('Paramètres'!$J:$J,MATCH($C4089,'Paramètres'!$D:$D,0)))),2))</f>
        <v/>
      </c>
      <c r="L4089" s="6" t="str">
        <f>IF($D4089="","",IF($F4089&lt;&gt;"",$F4089,IF(ISNA(MATCH($D4089,'Paramètres'!$M:$M,0)),"⚠ Type inconnu",IFERROR(INDEX('Paramètres'!$P:$P,MATCH($D4089,'Paramètres'!$M:$M,0))&amp;"",""))))</f>
        <v/>
      </c>
      <c r="M4089" s="6" t="str">
        <f>IF($D4089="","",IF(ISNA(MATCH($D4089,'Paramètres'!$M:$M,0)),"⚠ Type inconnu",IF($L4089="Crédit","",IFERROR(INDEX('Paramètres'!$O:$O,MATCH($D4089,'Paramètres'!$M:$M,0))&amp;"",""))))</f>
        <v/>
      </c>
      <c r="N4089" s="6" t="str">
        <f>IF($D4089="","",IFERROR(INDEX('Paramètres'!$Q:$Q,MATCH($D4089,'Paramètres'!$M:$M,0))&amp;"",""))</f>
        <v/>
      </c>
      <c r="O4089" s="6" t="str">
        <f>IF($A4089="","",IF(OR($J4089&lt;&gt;"x",$A4089&lt;=FinReleve),1,0))</f>
        <v/>
      </c>
      <c r="P4089" s="6" t="str">
        <f>IF($D4089="","",IF(AND($L4089="Crédit",OR(IFERROR(INDEX('Paramètres'!$O:$O,MATCH($D4089,'Paramètres'!$M:$M,0))&amp;"","")&lt;&gt;"",ISNUMBER(SEARCH("remboursement",IFERROR(INDEX('Paramètres'!$N:$N,MATCH($D4089,'Paramètres'!$M:$M,0))&amp;"",""))))),1,0))</f>
        <v/>
      </c>
      <c r="Q4089" s="6" t="str">
        <f>IF($K4089="","",IF(ISNUMBER(SEARCH("transfert-interne",IFERROR(INDEX('Paramètres'!$N:$N,MATCH($D4089,'Paramètres'!$M:$M,0))&amp;"",""))),0,IF($L4089="Débit",$K4089,IF($P4089=1,-$K4089,0))))</f>
        <v/>
      </c>
      <c r="R4089" s="6" t="str">
        <f>IF($K4089="","",IF($L4089="Crédit",$K4089,-$K4089))</f>
        <v/>
      </c>
      <c r="S4089" s="6" t="str">
        <f>IF($C4089="","",IFERROR(INDEX('Paramètres'!$H:$H,MATCH($C4089,'Paramètres'!$D:$D,0))&amp;"",""))</f>
        <v/>
      </c>
      <c r="T4089" s="6" t="str">
        <f>IF($K4089="","",IF($S4089="",0,IF(ISNUMBER(SEARCH("apport-exterieur",IFERROR(INDEX('Paramètres'!$N:$N,MATCH($D4089,'Paramètres'!$M:$M,0))&amp;"",""))),0,IF(OR(IFERROR(INDEX('Paramètres'!$I:$I,MATCH($C4089,'Paramètres'!$D:$D,0))&amp;"","")="Les deux",IFERROR(INDEX('Paramètres'!$I:$I,MATCH($C4089,'Paramètres'!$D:$D,0))&amp;"","")=IF($P4089=1,"Débit",$L4089)),-IF($P4089=1,-$K4089,$K4089),0))))</f>
        <v/>
      </c>
      <c r="U4089" s="6" t="str">
        <f>IF($K4089="","",IF(ISNUMBER(SEARCH("sortie-epargne",IFERROR(INDEX('Paramètres'!$N:$N,MATCH($D4089,'Paramètres'!$M:$M,0))&amp;"",""))),$K4089,0))</f>
        <v/>
      </c>
      <c r="V4089" s="6" t="str">
        <f>IF(AND($A4089&lt;&gt;"",$O4089=1,$L4089="Débit",N($Q4089)&gt;0,$A4089&gt;=Visualisation!$B$1,$A4089&lt;Visualisation!$D$1),MAX($V$1:V4088)+1,"")</f>
        <v/>
      </c>
    </row>
    <row r="4090" spans="1:22" x14ac:dyDescent="0.25">
      <c r="A4090" s="9"/>
      <c r="E4090" s="10"/>
      <c r="K4090" s="11" t="str">
        <f>IF($E4090="","",ROUND($E4090*IF(ISNA(MATCH($C4090,'Paramètres'!$D:$D,0)),1,IF(INDEX('Paramètres'!$J:$J,MATCH($C4090,'Paramètres'!$D:$D,0))="",1,INDEX('Paramètres'!$J:$J,MATCH($C4090,'Paramètres'!$D:$D,0)))),2))</f>
        <v/>
      </c>
      <c r="L4090" s="6" t="str">
        <f>IF($D4090="","",IF($F4090&lt;&gt;"",$F4090,IF(ISNA(MATCH($D4090,'Paramètres'!$M:$M,0)),"⚠ Type inconnu",IFERROR(INDEX('Paramètres'!$P:$P,MATCH($D4090,'Paramètres'!$M:$M,0))&amp;"",""))))</f>
        <v/>
      </c>
      <c r="M4090" s="6" t="str">
        <f>IF($D4090="","",IF(ISNA(MATCH($D4090,'Paramètres'!$M:$M,0)),"⚠ Type inconnu",IF($L4090="Crédit","",IFERROR(INDEX('Paramètres'!$O:$O,MATCH($D4090,'Paramètres'!$M:$M,0))&amp;"",""))))</f>
        <v/>
      </c>
      <c r="N4090" s="6" t="str">
        <f>IF($D4090="","",IFERROR(INDEX('Paramètres'!$Q:$Q,MATCH($D4090,'Paramètres'!$M:$M,0))&amp;"",""))</f>
        <v/>
      </c>
      <c r="O4090" s="6" t="str">
        <f>IF($A4090="","",IF(OR($J4090&lt;&gt;"x",$A4090&lt;=FinReleve),1,0))</f>
        <v/>
      </c>
      <c r="P4090" s="6" t="str">
        <f>IF($D4090="","",IF(AND($L4090="Crédit",OR(IFERROR(INDEX('Paramètres'!$O:$O,MATCH($D4090,'Paramètres'!$M:$M,0))&amp;"","")&lt;&gt;"",ISNUMBER(SEARCH("remboursement",IFERROR(INDEX('Paramètres'!$N:$N,MATCH($D4090,'Paramètres'!$M:$M,0))&amp;"",""))))),1,0))</f>
        <v/>
      </c>
      <c r="Q4090" s="6" t="str">
        <f>IF($K4090="","",IF(ISNUMBER(SEARCH("transfert-interne",IFERROR(INDEX('Paramètres'!$N:$N,MATCH($D4090,'Paramètres'!$M:$M,0))&amp;"",""))),0,IF($L4090="Débit",$K4090,IF($P4090=1,-$K4090,0))))</f>
        <v/>
      </c>
      <c r="R4090" s="6" t="str">
        <f>IF($K4090="","",IF($L4090="Crédit",$K4090,-$K4090))</f>
        <v/>
      </c>
      <c r="S4090" s="6" t="str">
        <f>IF($C4090="","",IFERROR(INDEX('Paramètres'!$H:$H,MATCH($C4090,'Paramètres'!$D:$D,0))&amp;"",""))</f>
        <v/>
      </c>
      <c r="T4090" s="6" t="str">
        <f>IF($K4090="","",IF($S4090="",0,IF(ISNUMBER(SEARCH("apport-exterieur",IFERROR(INDEX('Paramètres'!$N:$N,MATCH($D4090,'Paramètres'!$M:$M,0))&amp;"",""))),0,IF(OR(IFERROR(INDEX('Paramètres'!$I:$I,MATCH($C4090,'Paramètres'!$D:$D,0))&amp;"","")="Les deux",IFERROR(INDEX('Paramètres'!$I:$I,MATCH($C4090,'Paramètres'!$D:$D,0))&amp;"","")=IF($P4090=1,"Débit",$L4090)),-IF($P4090=1,-$K4090,$K4090),0))))</f>
        <v/>
      </c>
      <c r="U4090" s="6" t="str">
        <f>IF($K4090="","",IF(ISNUMBER(SEARCH("sortie-epargne",IFERROR(INDEX('Paramètres'!$N:$N,MATCH($D4090,'Paramètres'!$M:$M,0))&amp;"",""))),$K4090,0))</f>
        <v/>
      </c>
      <c r="V4090" s="6" t="str">
        <f>IF(AND($A4090&lt;&gt;"",$O4090=1,$L4090="Débit",N($Q4090)&gt;0,$A4090&gt;=Visualisation!$B$1,$A4090&lt;Visualisation!$D$1),MAX($V$1:V4089)+1,"")</f>
        <v/>
      </c>
    </row>
    <row r="4091" spans="1:22" x14ac:dyDescent="0.25">
      <c r="A4091" s="9"/>
      <c r="E4091" s="10"/>
      <c r="K4091" s="11" t="str">
        <f>IF($E4091="","",ROUND($E4091*IF(ISNA(MATCH($C4091,'Paramètres'!$D:$D,0)),1,IF(INDEX('Paramètres'!$J:$J,MATCH($C4091,'Paramètres'!$D:$D,0))="",1,INDEX('Paramètres'!$J:$J,MATCH($C4091,'Paramètres'!$D:$D,0)))),2))</f>
        <v/>
      </c>
      <c r="L4091" s="6" t="str">
        <f>IF($D4091="","",IF($F4091&lt;&gt;"",$F4091,IF(ISNA(MATCH($D4091,'Paramètres'!$M:$M,0)),"⚠ Type inconnu",IFERROR(INDEX('Paramètres'!$P:$P,MATCH($D4091,'Paramètres'!$M:$M,0))&amp;"",""))))</f>
        <v/>
      </c>
      <c r="M4091" s="6" t="str">
        <f>IF($D4091="","",IF(ISNA(MATCH($D4091,'Paramètres'!$M:$M,0)),"⚠ Type inconnu",IF($L4091="Crédit","",IFERROR(INDEX('Paramètres'!$O:$O,MATCH($D4091,'Paramètres'!$M:$M,0))&amp;"",""))))</f>
        <v/>
      </c>
      <c r="N4091" s="6" t="str">
        <f>IF($D4091="","",IFERROR(INDEX('Paramètres'!$Q:$Q,MATCH($D4091,'Paramètres'!$M:$M,0))&amp;"",""))</f>
        <v/>
      </c>
      <c r="O4091" s="6" t="str">
        <f>IF($A4091="","",IF(OR($J4091&lt;&gt;"x",$A4091&lt;=FinReleve),1,0))</f>
        <v/>
      </c>
      <c r="P4091" s="6" t="str">
        <f>IF($D4091="","",IF(AND($L4091="Crédit",OR(IFERROR(INDEX('Paramètres'!$O:$O,MATCH($D4091,'Paramètres'!$M:$M,0))&amp;"","")&lt;&gt;"",ISNUMBER(SEARCH("remboursement",IFERROR(INDEX('Paramètres'!$N:$N,MATCH($D4091,'Paramètres'!$M:$M,0))&amp;"",""))))),1,0))</f>
        <v/>
      </c>
      <c r="Q4091" s="6" t="str">
        <f>IF($K4091="","",IF(ISNUMBER(SEARCH("transfert-interne",IFERROR(INDEX('Paramètres'!$N:$N,MATCH($D4091,'Paramètres'!$M:$M,0))&amp;"",""))),0,IF($L4091="Débit",$K4091,IF($P4091=1,-$K4091,0))))</f>
        <v/>
      </c>
      <c r="R4091" s="6" t="str">
        <f>IF($K4091="","",IF($L4091="Crédit",$K4091,-$K4091))</f>
        <v/>
      </c>
      <c r="S4091" s="6" t="str">
        <f>IF($C4091="","",IFERROR(INDEX('Paramètres'!$H:$H,MATCH($C4091,'Paramètres'!$D:$D,0))&amp;"",""))</f>
        <v/>
      </c>
      <c r="T4091" s="6" t="str">
        <f>IF($K4091="","",IF($S4091="",0,IF(ISNUMBER(SEARCH("apport-exterieur",IFERROR(INDEX('Paramètres'!$N:$N,MATCH($D4091,'Paramètres'!$M:$M,0))&amp;"",""))),0,IF(OR(IFERROR(INDEX('Paramètres'!$I:$I,MATCH($C4091,'Paramètres'!$D:$D,0))&amp;"","")="Les deux",IFERROR(INDEX('Paramètres'!$I:$I,MATCH($C4091,'Paramètres'!$D:$D,0))&amp;"","")=IF($P4091=1,"Débit",$L4091)),-IF($P4091=1,-$K4091,$K4091),0))))</f>
        <v/>
      </c>
      <c r="U4091" s="6" t="str">
        <f>IF($K4091="","",IF(ISNUMBER(SEARCH("sortie-epargne",IFERROR(INDEX('Paramètres'!$N:$N,MATCH($D4091,'Paramètres'!$M:$M,0))&amp;"",""))),$K4091,0))</f>
        <v/>
      </c>
      <c r="V4091" s="6" t="str">
        <f>IF(AND($A4091&lt;&gt;"",$O4091=1,$L4091="Débit",N($Q4091)&gt;0,$A4091&gt;=Visualisation!$B$1,$A4091&lt;Visualisation!$D$1),MAX($V$1:V4090)+1,"")</f>
        <v/>
      </c>
    </row>
    <row r="4092" spans="1:22" x14ac:dyDescent="0.25">
      <c r="A4092" s="9"/>
      <c r="E4092" s="10"/>
      <c r="K4092" s="11" t="str">
        <f>IF($E4092="","",ROUND($E4092*IF(ISNA(MATCH($C4092,'Paramètres'!$D:$D,0)),1,IF(INDEX('Paramètres'!$J:$J,MATCH($C4092,'Paramètres'!$D:$D,0))="",1,INDEX('Paramètres'!$J:$J,MATCH($C4092,'Paramètres'!$D:$D,0)))),2))</f>
        <v/>
      </c>
      <c r="L4092" s="6" t="str">
        <f>IF($D4092="","",IF($F4092&lt;&gt;"",$F4092,IF(ISNA(MATCH($D4092,'Paramètres'!$M:$M,0)),"⚠ Type inconnu",IFERROR(INDEX('Paramètres'!$P:$P,MATCH($D4092,'Paramètres'!$M:$M,0))&amp;"",""))))</f>
        <v/>
      </c>
      <c r="M4092" s="6" t="str">
        <f>IF($D4092="","",IF(ISNA(MATCH($D4092,'Paramètres'!$M:$M,0)),"⚠ Type inconnu",IF($L4092="Crédit","",IFERROR(INDEX('Paramètres'!$O:$O,MATCH($D4092,'Paramètres'!$M:$M,0))&amp;"",""))))</f>
        <v/>
      </c>
      <c r="N4092" s="6" t="str">
        <f>IF($D4092="","",IFERROR(INDEX('Paramètres'!$Q:$Q,MATCH($D4092,'Paramètres'!$M:$M,0))&amp;"",""))</f>
        <v/>
      </c>
      <c r="O4092" s="6" t="str">
        <f>IF($A4092="","",IF(OR($J4092&lt;&gt;"x",$A4092&lt;=FinReleve),1,0))</f>
        <v/>
      </c>
      <c r="P4092" s="6" t="str">
        <f>IF($D4092="","",IF(AND($L4092="Crédit",OR(IFERROR(INDEX('Paramètres'!$O:$O,MATCH($D4092,'Paramètres'!$M:$M,0))&amp;"","")&lt;&gt;"",ISNUMBER(SEARCH("remboursement",IFERROR(INDEX('Paramètres'!$N:$N,MATCH($D4092,'Paramètres'!$M:$M,0))&amp;"",""))))),1,0))</f>
        <v/>
      </c>
      <c r="Q4092" s="6" t="str">
        <f>IF($K4092="","",IF(ISNUMBER(SEARCH("transfert-interne",IFERROR(INDEX('Paramètres'!$N:$N,MATCH($D4092,'Paramètres'!$M:$M,0))&amp;"",""))),0,IF($L4092="Débit",$K4092,IF($P4092=1,-$K4092,0))))</f>
        <v/>
      </c>
      <c r="R4092" s="6" t="str">
        <f>IF($K4092="","",IF($L4092="Crédit",$K4092,-$K4092))</f>
        <v/>
      </c>
      <c r="S4092" s="6" t="str">
        <f>IF($C4092="","",IFERROR(INDEX('Paramètres'!$H:$H,MATCH($C4092,'Paramètres'!$D:$D,0))&amp;"",""))</f>
        <v/>
      </c>
      <c r="T4092" s="6" t="str">
        <f>IF($K4092="","",IF($S4092="",0,IF(ISNUMBER(SEARCH("apport-exterieur",IFERROR(INDEX('Paramètres'!$N:$N,MATCH($D4092,'Paramètres'!$M:$M,0))&amp;"",""))),0,IF(OR(IFERROR(INDEX('Paramètres'!$I:$I,MATCH($C4092,'Paramètres'!$D:$D,0))&amp;"","")="Les deux",IFERROR(INDEX('Paramètres'!$I:$I,MATCH($C4092,'Paramètres'!$D:$D,0))&amp;"","")=IF($P4092=1,"Débit",$L4092)),-IF($P4092=1,-$K4092,$K4092),0))))</f>
        <v/>
      </c>
      <c r="U4092" s="6" t="str">
        <f>IF($K4092="","",IF(ISNUMBER(SEARCH("sortie-epargne",IFERROR(INDEX('Paramètres'!$N:$N,MATCH($D4092,'Paramètres'!$M:$M,0))&amp;"",""))),$K4092,0))</f>
        <v/>
      </c>
      <c r="V4092" s="6" t="str">
        <f>IF(AND($A4092&lt;&gt;"",$O4092=1,$L4092="Débit",N($Q4092)&gt;0,$A4092&gt;=Visualisation!$B$1,$A4092&lt;Visualisation!$D$1),MAX($V$1:V4091)+1,"")</f>
        <v/>
      </c>
    </row>
    <row r="4093" spans="1:22" x14ac:dyDescent="0.25">
      <c r="A4093" s="9"/>
      <c r="E4093" s="10"/>
      <c r="K4093" s="11" t="str">
        <f>IF($E4093="","",ROUND($E4093*IF(ISNA(MATCH($C4093,'Paramètres'!$D:$D,0)),1,IF(INDEX('Paramètres'!$J:$J,MATCH($C4093,'Paramètres'!$D:$D,0))="",1,INDEX('Paramètres'!$J:$J,MATCH($C4093,'Paramètres'!$D:$D,0)))),2))</f>
        <v/>
      </c>
      <c r="L4093" s="6" t="str">
        <f>IF($D4093="","",IF($F4093&lt;&gt;"",$F4093,IF(ISNA(MATCH($D4093,'Paramètres'!$M:$M,0)),"⚠ Type inconnu",IFERROR(INDEX('Paramètres'!$P:$P,MATCH($D4093,'Paramètres'!$M:$M,0))&amp;"",""))))</f>
        <v/>
      </c>
      <c r="M4093" s="6" t="str">
        <f>IF($D4093="","",IF(ISNA(MATCH($D4093,'Paramètres'!$M:$M,0)),"⚠ Type inconnu",IF($L4093="Crédit","",IFERROR(INDEX('Paramètres'!$O:$O,MATCH($D4093,'Paramètres'!$M:$M,0))&amp;"",""))))</f>
        <v/>
      </c>
      <c r="N4093" s="6" t="str">
        <f>IF($D4093="","",IFERROR(INDEX('Paramètres'!$Q:$Q,MATCH($D4093,'Paramètres'!$M:$M,0))&amp;"",""))</f>
        <v/>
      </c>
      <c r="O4093" s="6" t="str">
        <f>IF($A4093="","",IF(OR($J4093&lt;&gt;"x",$A4093&lt;=FinReleve),1,0))</f>
        <v/>
      </c>
      <c r="P4093" s="6" t="str">
        <f>IF($D4093="","",IF(AND($L4093="Crédit",OR(IFERROR(INDEX('Paramètres'!$O:$O,MATCH($D4093,'Paramètres'!$M:$M,0))&amp;"","")&lt;&gt;"",ISNUMBER(SEARCH("remboursement",IFERROR(INDEX('Paramètres'!$N:$N,MATCH($D4093,'Paramètres'!$M:$M,0))&amp;"",""))))),1,0))</f>
        <v/>
      </c>
      <c r="Q4093" s="6" t="str">
        <f>IF($K4093="","",IF(ISNUMBER(SEARCH("transfert-interne",IFERROR(INDEX('Paramètres'!$N:$N,MATCH($D4093,'Paramètres'!$M:$M,0))&amp;"",""))),0,IF($L4093="Débit",$K4093,IF($P4093=1,-$K4093,0))))</f>
        <v/>
      </c>
      <c r="R4093" s="6" t="str">
        <f>IF($K4093="","",IF($L4093="Crédit",$K4093,-$K4093))</f>
        <v/>
      </c>
      <c r="S4093" s="6" t="str">
        <f>IF($C4093="","",IFERROR(INDEX('Paramètres'!$H:$H,MATCH($C4093,'Paramètres'!$D:$D,0))&amp;"",""))</f>
        <v/>
      </c>
      <c r="T4093" s="6" t="str">
        <f>IF($K4093="","",IF($S4093="",0,IF(ISNUMBER(SEARCH("apport-exterieur",IFERROR(INDEX('Paramètres'!$N:$N,MATCH($D4093,'Paramètres'!$M:$M,0))&amp;"",""))),0,IF(OR(IFERROR(INDEX('Paramètres'!$I:$I,MATCH($C4093,'Paramètres'!$D:$D,0))&amp;"","")="Les deux",IFERROR(INDEX('Paramètres'!$I:$I,MATCH($C4093,'Paramètres'!$D:$D,0))&amp;"","")=IF($P4093=1,"Débit",$L4093)),-IF($P4093=1,-$K4093,$K4093),0))))</f>
        <v/>
      </c>
      <c r="U4093" s="6" t="str">
        <f>IF($K4093="","",IF(ISNUMBER(SEARCH("sortie-epargne",IFERROR(INDEX('Paramètres'!$N:$N,MATCH($D4093,'Paramètres'!$M:$M,0))&amp;"",""))),$K4093,0))</f>
        <v/>
      </c>
      <c r="V4093" s="6" t="str">
        <f>IF(AND($A4093&lt;&gt;"",$O4093=1,$L4093="Débit",N($Q4093)&gt;0,$A4093&gt;=Visualisation!$B$1,$A4093&lt;Visualisation!$D$1),MAX($V$1:V4092)+1,"")</f>
        <v/>
      </c>
    </row>
    <row r="4094" spans="1:22" x14ac:dyDescent="0.25">
      <c r="A4094" s="9"/>
      <c r="E4094" s="10"/>
      <c r="K4094" s="11" t="str">
        <f>IF($E4094="","",ROUND($E4094*IF(ISNA(MATCH($C4094,'Paramètres'!$D:$D,0)),1,IF(INDEX('Paramètres'!$J:$J,MATCH($C4094,'Paramètres'!$D:$D,0))="",1,INDEX('Paramètres'!$J:$J,MATCH($C4094,'Paramètres'!$D:$D,0)))),2))</f>
        <v/>
      </c>
      <c r="L4094" s="6" t="str">
        <f>IF($D4094="","",IF($F4094&lt;&gt;"",$F4094,IF(ISNA(MATCH($D4094,'Paramètres'!$M:$M,0)),"⚠ Type inconnu",IFERROR(INDEX('Paramètres'!$P:$P,MATCH($D4094,'Paramètres'!$M:$M,0))&amp;"",""))))</f>
        <v/>
      </c>
      <c r="M4094" s="6" t="str">
        <f>IF($D4094="","",IF(ISNA(MATCH($D4094,'Paramètres'!$M:$M,0)),"⚠ Type inconnu",IF($L4094="Crédit","",IFERROR(INDEX('Paramètres'!$O:$O,MATCH($D4094,'Paramètres'!$M:$M,0))&amp;"",""))))</f>
        <v/>
      </c>
      <c r="N4094" s="6" t="str">
        <f>IF($D4094="","",IFERROR(INDEX('Paramètres'!$Q:$Q,MATCH($D4094,'Paramètres'!$M:$M,0))&amp;"",""))</f>
        <v/>
      </c>
      <c r="O4094" s="6" t="str">
        <f>IF($A4094="","",IF(OR($J4094&lt;&gt;"x",$A4094&lt;=FinReleve),1,0))</f>
        <v/>
      </c>
      <c r="P4094" s="6" t="str">
        <f>IF($D4094="","",IF(AND($L4094="Crédit",OR(IFERROR(INDEX('Paramètres'!$O:$O,MATCH($D4094,'Paramètres'!$M:$M,0))&amp;"","")&lt;&gt;"",ISNUMBER(SEARCH("remboursement",IFERROR(INDEX('Paramètres'!$N:$N,MATCH($D4094,'Paramètres'!$M:$M,0))&amp;"",""))))),1,0))</f>
        <v/>
      </c>
      <c r="Q4094" s="6" t="str">
        <f>IF($K4094="","",IF(ISNUMBER(SEARCH("transfert-interne",IFERROR(INDEX('Paramètres'!$N:$N,MATCH($D4094,'Paramètres'!$M:$M,0))&amp;"",""))),0,IF($L4094="Débit",$K4094,IF($P4094=1,-$K4094,0))))</f>
        <v/>
      </c>
      <c r="R4094" s="6" t="str">
        <f>IF($K4094="","",IF($L4094="Crédit",$K4094,-$K4094))</f>
        <v/>
      </c>
      <c r="S4094" s="6" t="str">
        <f>IF($C4094="","",IFERROR(INDEX('Paramètres'!$H:$H,MATCH($C4094,'Paramètres'!$D:$D,0))&amp;"",""))</f>
        <v/>
      </c>
      <c r="T4094" s="6" t="str">
        <f>IF($K4094="","",IF($S4094="",0,IF(ISNUMBER(SEARCH("apport-exterieur",IFERROR(INDEX('Paramètres'!$N:$N,MATCH($D4094,'Paramètres'!$M:$M,0))&amp;"",""))),0,IF(OR(IFERROR(INDEX('Paramètres'!$I:$I,MATCH($C4094,'Paramètres'!$D:$D,0))&amp;"","")="Les deux",IFERROR(INDEX('Paramètres'!$I:$I,MATCH($C4094,'Paramètres'!$D:$D,0))&amp;"","")=IF($P4094=1,"Débit",$L4094)),-IF($P4094=1,-$K4094,$K4094),0))))</f>
        <v/>
      </c>
      <c r="U4094" s="6" t="str">
        <f>IF($K4094="","",IF(ISNUMBER(SEARCH("sortie-epargne",IFERROR(INDEX('Paramètres'!$N:$N,MATCH($D4094,'Paramètres'!$M:$M,0))&amp;"",""))),$K4094,0))</f>
        <v/>
      </c>
      <c r="V4094" s="6" t="str">
        <f>IF(AND($A4094&lt;&gt;"",$O4094=1,$L4094="Débit",N($Q4094)&gt;0,$A4094&gt;=Visualisation!$B$1,$A4094&lt;Visualisation!$D$1),MAX($V$1:V4093)+1,"")</f>
        <v/>
      </c>
    </row>
    <row r="4095" spans="1:22" x14ac:dyDescent="0.25">
      <c r="A4095" s="9"/>
      <c r="E4095" s="10"/>
      <c r="K4095" s="11" t="str">
        <f>IF($E4095="","",ROUND($E4095*IF(ISNA(MATCH($C4095,'Paramètres'!$D:$D,0)),1,IF(INDEX('Paramètres'!$J:$J,MATCH($C4095,'Paramètres'!$D:$D,0))="",1,INDEX('Paramètres'!$J:$J,MATCH($C4095,'Paramètres'!$D:$D,0)))),2))</f>
        <v/>
      </c>
      <c r="L4095" s="6" t="str">
        <f>IF($D4095="","",IF($F4095&lt;&gt;"",$F4095,IF(ISNA(MATCH($D4095,'Paramètres'!$M:$M,0)),"⚠ Type inconnu",IFERROR(INDEX('Paramètres'!$P:$P,MATCH($D4095,'Paramètres'!$M:$M,0))&amp;"",""))))</f>
        <v/>
      </c>
      <c r="M4095" s="6" t="str">
        <f>IF($D4095="","",IF(ISNA(MATCH($D4095,'Paramètres'!$M:$M,0)),"⚠ Type inconnu",IF($L4095="Crédit","",IFERROR(INDEX('Paramètres'!$O:$O,MATCH($D4095,'Paramètres'!$M:$M,0))&amp;"",""))))</f>
        <v/>
      </c>
      <c r="N4095" s="6" t="str">
        <f>IF($D4095="","",IFERROR(INDEX('Paramètres'!$Q:$Q,MATCH($D4095,'Paramètres'!$M:$M,0))&amp;"",""))</f>
        <v/>
      </c>
      <c r="O4095" s="6" t="str">
        <f>IF($A4095="","",IF(OR($J4095&lt;&gt;"x",$A4095&lt;=FinReleve),1,0))</f>
        <v/>
      </c>
      <c r="P4095" s="6" t="str">
        <f>IF($D4095="","",IF(AND($L4095="Crédit",OR(IFERROR(INDEX('Paramètres'!$O:$O,MATCH($D4095,'Paramètres'!$M:$M,0))&amp;"","")&lt;&gt;"",ISNUMBER(SEARCH("remboursement",IFERROR(INDEX('Paramètres'!$N:$N,MATCH($D4095,'Paramètres'!$M:$M,0))&amp;"",""))))),1,0))</f>
        <v/>
      </c>
      <c r="Q4095" s="6" t="str">
        <f>IF($K4095="","",IF(ISNUMBER(SEARCH("transfert-interne",IFERROR(INDEX('Paramètres'!$N:$N,MATCH($D4095,'Paramètres'!$M:$M,0))&amp;"",""))),0,IF($L4095="Débit",$K4095,IF($P4095=1,-$K4095,0))))</f>
        <v/>
      </c>
      <c r="R4095" s="6" t="str">
        <f>IF($K4095="","",IF($L4095="Crédit",$K4095,-$K4095))</f>
        <v/>
      </c>
      <c r="S4095" s="6" t="str">
        <f>IF($C4095="","",IFERROR(INDEX('Paramètres'!$H:$H,MATCH($C4095,'Paramètres'!$D:$D,0))&amp;"",""))</f>
        <v/>
      </c>
      <c r="T4095" s="6" t="str">
        <f>IF($K4095="","",IF($S4095="",0,IF(ISNUMBER(SEARCH("apport-exterieur",IFERROR(INDEX('Paramètres'!$N:$N,MATCH($D4095,'Paramètres'!$M:$M,0))&amp;"",""))),0,IF(OR(IFERROR(INDEX('Paramètres'!$I:$I,MATCH($C4095,'Paramètres'!$D:$D,0))&amp;"","")="Les deux",IFERROR(INDEX('Paramètres'!$I:$I,MATCH($C4095,'Paramètres'!$D:$D,0))&amp;"","")=IF($P4095=1,"Débit",$L4095)),-IF($P4095=1,-$K4095,$K4095),0))))</f>
        <v/>
      </c>
      <c r="U4095" s="6" t="str">
        <f>IF($K4095="","",IF(ISNUMBER(SEARCH("sortie-epargne",IFERROR(INDEX('Paramètres'!$N:$N,MATCH($D4095,'Paramètres'!$M:$M,0))&amp;"",""))),$K4095,0))</f>
        <v/>
      </c>
      <c r="V4095" s="6" t="str">
        <f>IF(AND($A4095&lt;&gt;"",$O4095=1,$L4095="Débit",N($Q4095)&gt;0,$A4095&gt;=Visualisation!$B$1,$A4095&lt;Visualisation!$D$1),MAX($V$1:V4094)+1,"")</f>
        <v/>
      </c>
    </row>
    <row r="4096" spans="1:22" x14ac:dyDescent="0.25">
      <c r="A4096" s="9"/>
      <c r="E4096" s="10"/>
      <c r="K4096" s="11" t="str">
        <f>IF($E4096="","",ROUND($E4096*IF(ISNA(MATCH($C4096,'Paramètres'!$D:$D,0)),1,IF(INDEX('Paramètres'!$J:$J,MATCH($C4096,'Paramètres'!$D:$D,0))="",1,INDEX('Paramètres'!$J:$J,MATCH($C4096,'Paramètres'!$D:$D,0)))),2))</f>
        <v/>
      </c>
      <c r="L4096" s="6" t="str">
        <f>IF($D4096="","",IF($F4096&lt;&gt;"",$F4096,IF(ISNA(MATCH($D4096,'Paramètres'!$M:$M,0)),"⚠ Type inconnu",IFERROR(INDEX('Paramètres'!$P:$P,MATCH($D4096,'Paramètres'!$M:$M,0))&amp;"",""))))</f>
        <v/>
      </c>
      <c r="M4096" s="6" t="str">
        <f>IF($D4096="","",IF(ISNA(MATCH($D4096,'Paramètres'!$M:$M,0)),"⚠ Type inconnu",IF($L4096="Crédit","",IFERROR(INDEX('Paramètres'!$O:$O,MATCH($D4096,'Paramètres'!$M:$M,0))&amp;"",""))))</f>
        <v/>
      </c>
      <c r="N4096" s="6" t="str">
        <f>IF($D4096="","",IFERROR(INDEX('Paramètres'!$Q:$Q,MATCH($D4096,'Paramètres'!$M:$M,0))&amp;"",""))</f>
        <v/>
      </c>
      <c r="O4096" s="6" t="str">
        <f>IF($A4096="","",IF(OR($J4096&lt;&gt;"x",$A4096&lt;=FinReleve),1,0))</f>
        <v/>
      </c>
      <c r="P4096" s="6" t="str">
        <f>IF($D4096="","",IF(AND($L4096="Crédit",OR(IFERROR(INDEX('Paramètres'!$O:$O,MATCH($D4096,'Paramètres'!$M:$M,0))&amp;"","")&lt;&gt;"",ISNUMBER(SEARCH("remboursement",IFERROR(INDEX('Paramètres'!$N:$N,MATCH($D4096,'Paramètres'!$M:$M,0))&amp;"",""))))),1,0))</f>
        <v/>
      </c>
      <c r="Q4096" s="6" t="str">
        <f>IF($K4096="","",IF(ISNUMBER(SEARCH("transfert-interne",IFERROR(INDEX('Paramètres'!$N:$N,MATCH($D4096,'Paramètres'!$M:$M,0))&amp;"",""))),0,IF($L4096="Débit",$K4096,IF($P4096=1,-$K4096,0))))</f>
        <v/>
      </c>
      <c r="R4096" s="6" t="str">
        <f>IF($K4096="","",IF($L4096="Crédit",$K4096,-$K4096))</f>
        <v/>
      </c>
      <c r="S4096" s="6" t="str">
        <f>IF($C4096="","",IFERROR(INDEX('Paramètres'!$H:$H,MATCH($C4096,'Paramètres'!$D:$D,0))&amp;"",""))</f>
        <v/>
      </c>
      <c r="T4096" s="6" t="str">
        <f>IF($K4096="","",IF($S4096="",0,IF(ISNUMBER(SEARCH("apport-exterieur",IFERROR(INDEX('Paramètres'!$N:$N,MATCH($D4096,'Paramètres'!$M:$M,0))&amp;"",""))),0,IF(OR(IFERROR(INDEX('Paramètres'!$I:$I,MATCH($C4096,'Paramètres'!$D:$D,0))&amp;"","")="Les deux",IFERROR(INDEX('Paramètres'!$I:$I,MATCH($C4096,'Paramètres'!$D:$D,0))&amp;"","")=IF($P4096=1,"Débit",$L4096)),-IF($P4096=1,-$K4096,$K4096),0))))</f>
        <v/>
      </c>
      <c r="U4096" s="6" t="str">
        <f>IF($K4096="","",IF(ISNUMBER(SEARCH("sortie-epargne",IFERROR(INDEX('Paramètres'!$N:$N,MATCH($D4096,'Paramètres'!$M:$M,0))&amp;"",""))),$K4096,0))</f>
        <v/>
      </c>
      <c r="V4096" s="6" t="str">
        <f>IF(AND($A4096&lt;&gt;"",$O4096=1,$L4096="Débit",N($Q4096)&gt;0,$A4096&gt;=Visualisation!$B$1,$A4096&lt;Visualisation!$D$1),MAX($V$1:V4095)+1,"")</f>
        <v/>
      </c>
    </row>
    <row r="4097" spans="1:22" x14ac:dyDescent="0.25">
      <c r="A4097" s="9"/>
      <c r="E4097" s="10"/>
      <c r="K4097" s="11" t="str">
        <f>IF($E4097="","",ROUND($E4097*IF(ISNA(MATCH($C4097,'Paramètres'!$D:$D,0)),1,IF(INDEX('Paramètres'!$J:$J,MATCH($C4097,'Paramètres'!$D:$D,0))="",1,INDEX('Paramètres'!$J:$J,MATCH($C4097,'Paramètres'!$D:$D,0)))),2))</f>
        <v/>
      </c>
      <c r="L4097" s="6" t="str">
        <f>IF($D4097="","",IF($F4097&lt;&gt;"",$F4097,IF(ISNA(MATCH($D4097,'Paramètres'!$M:$M,0)),"⚠ Type inconnu",IFERROR(INDEX('Paramètres'!$P:$P,MATCH($D4097,'Paramètres'!$M:$M,0))&amp;"",""))))</f>
        <v/>
      </c>
      <c r="M4097" s="6" t="str">
        <f>IF($D4097="","",IF(ISNA(MATCH($D4097,'Paramètres'!$M:$M,0)),"⚠ Type inconnu",IF($L4097="Crédit","",IFERROR(INDEX('Paramètres'!$O:$O,MATCH($D4097,'Paramètres'!$M:$M,0))&amp;"",""))))</f>
        <v/>
      </c>
      <c r="N4097" s="6" t="str">
        <f>IF($D4097="","",IFERROR(INDEX('Paramètres'!$Q:$Q,MATCH($D4097,'Paramètres'!$M:$M,0))&amp;"",""))</f>
        <v/>
      </c>
      <c r="O4097" s="6" t="str">
        <f>IF($A4097="","",IF(OR($J4097&lt;&gt;"x",$A4097&lt;=FinReleve),1,0))</f>
        <v/>
      </c>
      <c r="P4097" s="6" t="str">
        <f>IF($D4097="","",IF(AND($L4097="Crédit",OR(IFERROR(INDEX('Paramètres'!$O:$O,MATCH($D4097,'Paramètres'!$M:$M,0))&amp;"","")&lt;&gt;"",ISNUMBER(SEARCH("remboursement",IFERROR(INDEX('Paramètres'!$N:$N,MATCH($D4097,'Paramètres'!$M:$M,0))&amp;"",""))))),1,0))</f>
        <v/>
      </c>
      <c r="Q4097" s="6" t="str">
        <f>IF($K4097="","",IF(ISNUMBER(SEARCH("transfert-interne",IFERROR(INDEX('Paramètres'!$N:$N,MATCH($D4097,'Paramètres'!$M:$M,0))&amp;"",""))),0,IF($L4097="Débit",$K4097,IF($P4097=1,-$K4097,0))))</f>
        <v/>
      </c>
      <c r="R4097" s="6" t="str">
        <f>IF($K4097="","",IF($L4097="Crédit",$K4097,-$K4097))</f>
        <v/>
      </c>
      <c r="S4097" s="6" t="str">
        <f>IF($C4097="","",IFERROR(INDEX('Paramètres'!$H:$H,MATCH($C4097,'Paramètres'!$D:$D,0))&amp;"",""))</f>
        <v/>
      </c>
      <c r="T4097" s="6" t="str">
        <f>IF($K4097="","",IF($S4097="",0,IF(ISNUMBER(SEARCH("apport-exterieur",IFERROR(INDEX('Paramètres'!$N:$N,MATCH($D4097,'Paramètres'!$M:$M,0))&amp;"",""))),0,IF(OR(IFERROR(INDEX('Paramètres'!$I:$I,MATCH($C4097,'Paramètres'!$D:$D,0))&amp;"","")="Les deux",IFERROR(INDEX('Paramètres'!$I:$I,MATCH($C4097,'Paramètres'!$D:$D,0))&amp;"","")=IF($P4097=1,"Débit",$L4097)),-IF($P4097=1,-$K4097,$K4097),0))))</f>
        <v/>
      </c>
      <c r="U4097" s="6" t="str">
        <f>IF($K4097="","",IF(ISNUMBER(SEARCH("sortie-epargne",IFERROR(INDEX('Paramètres'!$N:$N,MATCH($D4097,'Paramètres'!$M:$M,0))&amp;"",""))),$K4097,0))</f>
        <v/>
      </c>
      <c r="V4097" s="6" t="str">
        <f>IF(AND($A4097&lt;&gt;"",$O4097=1,$L4097="Débit",N($Q4097)&gt;0,$A4097&gt;=Visualisation!$B$1,$A4097&lt;Visualisation!$D$1),MAX($V$1:V4096)+1,"")</f>
        <v/>
      </c>
    </row>
    <row r="4098" spans="1:22" x14ac:dyDescent="0.25">
      <c r="A4098" s="9"/>
      <c r="E4098" s="10"/>
      <c r="K4098" s="11" t="str">
        <f>IF($E4098="","",ROUND($E4098*IF(ISNA(MATCH($C4098,'Paramètres'!$D:$D,0)),1,IF(INDEX('Paramètres'!$J:$J,MATCH($C4098,'Paramètres'!$D:$D,0))="",1,INDEX('Paramètres'!$J:$J,MATCH($C4098,'Paramètres'!$D:$D,0)))),2))</f>
        <v/>
      </c>
      <c r="L4098" s="6" t="str">
        <f>IF($D4098="","",IF($F4098&lt;&gt;"",$F4098,IF(ISNA(MATCH($D4098,'Paramètres'!$M:$M,0)),"⚠ Type inconnu",IFERROR(INDEX('Paramètres'!$P:$P,MATCH($D4098,'Paramètres'!$M:$M,0))&amp;"",""))))</f>
        <v/>
      </c>
      <c r="M4098" s="6" t="str">
        <f>IF($D4098="","",IF(ISNA(MATCH($D4098,'Paramètres'!$M:$M,0)),"⚠ Type inconnu",IF($L4098="Crédit","",IFERROR(INDEX('Paramètres'!$O:$O,MATCH($D4098,'Paramètres'!$M:$M,0))&amp;"",""))))</f>
        <v/>
      </c>
      <c r="N4098" s="6" t="str">
        <f>IF($D4098="","",IFERROR(INDEX('Paramètres'!$Q:$Q,MATCH($D4098,'Paramètres'!$M:$M,0))&amp;"",""))</f>
        <v/>
      </c>
      <c r="O4098" s="6" t="str">
        <f>IF($A4098="","",IF(OR($J4098&lt;&gt;"x",$A4098&lt;=FinReleve),1,0))</f>
        <v/>
      </c>
      <c r="P4098" s="6" t="str">
        <f>IF($D4098="","",IF(AND($L4098="Crédit",OR(IFERROR(INDEX('Paramètres'!$O:$O,MATCH($D4098,'Paramètres'!$M:$M,0))&amp;"","")&lt;&gt;"",ISNUMBER(SEARCH("remboursement",IFERROR(INDEX('Paramètres'!$N:$N,MATCH($D4098,'Paramètres'!$M:$M,0))&amp;"",""))))),1,0))</f>
        <v/>
      </c>
      <c r="Q4098" s="6" t="str">
        <f>IF($K4098="","",IF(ISNUMBER(SEARCH("transfert-interne",IFERROR(INDEX('Paramètres'!$N:$N,MATCH($D4098,'Paramètres'!$M:$M,0))&amp;"",""))),0,IF($L4098="Débit",$K4098,IF($P4098=1,-$K4098,0))))</f>
        <v/>
      </c>
      <c r="R4098" s="6" t="str">
        <f>IF($K4098="","",IF($L4098="Crédit",$K4098,-$K4098))</f>
        <v/>
      </c>
      <c r="S4098" s="6" t="str">
        <f>IF($C4098="","",IFERROR(INDEX('Paramètres'!$H:$H,MATCH($C4098,'Paramètres'!$D:$D,0))&amp;"",""))</f>
        <v/>
      </c>
      <c r="T4098" s="6" t="str">
        <f>IF($K4098="","",IF($S4098="",0,IF(ISNUMBER(SEARCH("apport-exterieur",IFERROR(INDEX('Paramètres'!$N:$N,MATCH($D4098,'Paramètres'!$M:$M,0))&amp;"",""))),0,IF(OR(IFERROR(INDEX('Paramètres'!$I:$I,MATCH($C4098,'Paramètres'!$D:$D,0))&amp;"","")="Les deux",IFERROR(INDEX('Paramètres'!$I:$I,MATCH($C4098,'Paramètres'!$D:$D,0))&amp;"","")=IF($P4098=1,"Débit",$L4098)),-IF($P4098=1,-$K4098,$K4098),0))))</f>
        <v/>
      </c>
      <c r="U4098" s="6" t="str">
        <f>IF($K4098="","",IF(ISNUMBER(SEARCH("sortie-epargne",IFERROR(INDEX('Paramètres'!$N:$N,MATCH($D4098,'Paramètres'!$M:$M,0))&amp;"",""))),$K4098,0))</f>
        <v/>
      </c>
      <c r="V4098" s="6" t="str">
        <f>IF(AND($A4098&lt;&gt;"",$O4098=1,$L4098="Débit",N($Q4098)&gt;0,$A4098&gt;=Visualisation!$B$1,$A4098&lt;Visualisation!$D$1),MAX($V$1:V4097)+1,"")</f>
        <v/>
      </c>
    </row>
    <row r="4099" spans="1:22" x14ac:dyDescent="0.25">
      <c r="A4099" s="9"/>
      <c r="E4099" s="10"/>
      <c r="K4099" s="11" t="str">
        <f>IF($E4099="","",ROUND($E4099*IF(ISNA(MATCH($C4099,'Paramètres'!$D:$D,0)),1,IF(INDEX('Paramètres'!$J:$J,MATCH($C4099,'Paramètres'!$D:$D,0))="",1,INDEX('Paramètres'!$J:$J,MATCH($C4099,'Paramètres'!$D:$D,0)))),2))</f>
        <v/>
      </c>
      <c r="L4099" s="6" t="str">
        <f>IF($D4099="","",IF($F4099&lt;&gt;"",$F4099,IF(ISNA(MATCH($D4099,'Paramètres'!$M:$M,0)),"⚠ Type inconnu",IFERROR(INDEX('Paramètres'!$P:$P,MATCH($D4099,'Paramètres'!$M:$M,0))&amp;"",""))))</f>
        <v/>
      </c>
      <c r="M4099" s="6" t="str">
        <f>IF($D4099="","",IF(ISNA(MATCH($D4099,'Paramètres'!$M:$M,0)),"⚠ Type inconnu",IF($L4099="Crédit","",IFERROR(INDEX('Paramètres'!$O:$O,MATCH($D4099,'Paramètres'!$M:$M,0))&amp;"",""))))</f>
        <v/>
      </c>
      <c r="N4099" s="6" t="str">
        <f>IF($D4099="","",IFERROR(INDEX('Paramètres'!$Q:$Q,MATCH($D4099,'Paramètres'!$M:$M,0))&amp;"",""))</f>
        <v/>
      </c>
      <c r="O4099" s="6" t="str">
        <f>IF($A4099="","",IF(OR($J4099&lt;&gt;"x",$A4099&lt;=FinReleve),1,0))</f>
        <v/>
      </c>
      <c r="P4099" s="6" t="str">
        <f>IF($D4099="","",IF(AND($L4099="Crédit",OR(IFERROR(INDEX('Paramètres'!$O:$O,MATCH($D4099,'Paramètres'!$M:$M,0))&amp;"","")&lt;&gt;"",ISNUMBER(SEARCH("remboursement",IFERROR(INDEX('Paramètres'!$N:$N,MATCH($D4099,'Paramètres'!$M:$M,0))&amp;"",""))))),1,0))</f>
        <v/>
      </c>
      <c r="Q4099" s="6" t="str">
        <f>IF($K4099="","",IF(ISNUMBER(SEARCH("transfert-interne",IFERROR(INDEX('Paramètres'!$N:$N,MATCH($D4099,'Paramètres'!$M:$M,0))&amp;"",""))),0,IF($L4099="Débit",$K4099,IF($P4099=1,-$K4099,0))))</f>
        <v/>
      </c>
      <c r="R4099" s="6" t="str">
        <f>IF($K4099="","",IF($L4099="Crédit",$K4099,-$K4099))</f>
        <v/>
      </c>
      <c r="S4099" s="6" t="str">
        <f>IF($C4099="","",IFERROR(INDEX('Paramètres'!$H:$H,MATCH($C4099,'Paramètres'!$D:$D,0))&amp;"",""))</f>
        <v/>
      </c>
      <c r="T4099" s="6" t="str">
        <f>IF($K4099="","",IF($S4099="",0,IF(ISNUMBER(SEARCH("apport-exterieur",IFERROR(INDEX('Paramètres'!$N:$N,MATCH($D4099,'Paramètres'!$M:$M,0))&amp;"",""))),0,IF(OR(IFERROR(INDEX('Paramètres'!$I:$I,MATCH($C4099,'Paramètres'!$D:$D,0))&amp;"","")="Les deux",IFERROR(INDEX('Paramètres'!$I:$I,MATCH($C4099,'Paramètres'!$D:$D,0))&amp;"","")=IF($P4099=1,"Débit",$L4099)),-IF($P4099=1,-$K4099,$K4099),0))))</f>
        <v/>
      </c>
      <c r="U4099" s="6" t="str">
        <f>IF($K4099="","",IF(ISNUMBER(SEARCH("sortie-epargne",IFERROR(INDEX('Paramètres'!$N:$N,MATCH($D4099,'Paramètres'!$M:$M,0))&amp;"",""))),$K4099,0))</f>
        <v/>
      </c>
      <c r="V4099" s="6" t="str">
        <f>IF(AND($A4099&lt;&gt;"",$O4099=1,$L4099="Débit",N($Q4099)&gt;0,$A4099&gt;=Visualisation!$B$1,$A4099&lt;Visualisation!$D$1),MAX($V$1:V4098)+1,"")</f>
        <v/>
      </c>
    </row>
    <row r="4100" spans="1:22" x14ac:dyDescent="0.25">
      <c r="A4100" s="9"/>
      <c r="E4100" s="10"/>
      <c r="K4100" s="11" t="str">
        <f>IF($E4100="","",ROUND($E4100*IF(ISNA(MATCH($C4100,'Paramètres'!$D:$D,0)),1,IF(INDEX('Paramètres'!$J:$J,MATCH($C4100,'Paramètres'!$D:$D,0))="",1,INDEX('Paramètres'!$J:$J,MATCH($C4100,'Paramètres'!$D:$D,0)))),2))</f>
        <v/>
      </c>
      <c r="L4100" s="6" t="str">
        <f>IF($D4100="","",IF($F4100&lt;&gt;"",$F4100,IF(ISNA(MATCH($D4100,'Paramètres'!$M:$M,0)),"⚠ Type inconnu",IFERROR(INDEX('Paramètres'!$P:$P,MATCH($D4100,'Paramètres'!$M:$M,0))&amp;"",""))))</f>
        <v/>
      </c>
      <c r="M4100" s="6" t="str">
        <f>IF($D4100="","",IF(ISNA(MATCH($D4100,'Paramètres'!$M:$M,0)),"⚠ Type inconnu",IF($L4100="Crédit","",IFERROR(INDEX('Paramètres'!$O:$O,MATCH($D4100,'Paramètres'!$M:$M,0))&amp;"",""))))</f>
        <v/>
      </c>
      <c r="N4100" s="6" t="str">
        <f>IF($D4100="","",IFERROR(INDEX('Paramètres'!$Q:$Q,MATCH($D4100,'Paramètres'!$M:$M,0))&amp;"",""))</f>
        <v/>
      </c>
      <c r="O4100" s="6" t="str">
        <f>IF($A4100="","",IF(OR($J4100&lt;&gt;"x",$A4100&lt;=FinReleve),1,0))</f>
        <v/>
      </c>
      <c r="P4100" s="6" t="str">
        <f>IF($D4100="","",IF(AND($L4100="Crédit",OR(IFERROR(INDEX('Paramètres'!$O:$O,MATCH($D4100,'Paramètres'!$M:$M,0))&amp;"","")&lt;&gt;"",ISNUMBER(SEARCH("remboursement",IFERROR(INDEX('Paramètres'!$N:$N,MATCH($D4100,'Paramètres'!$M:$M,0))&amp;"",""))))),1,0))</f>
        <v/>
      </c>
      <c r="Q4100" s="6" t="str">
        <f>IF($K4100="","",IF(ISNUMBER(SEARCH("transfert-interne",IFERROR(INDEX('Paramètres'!$N:$N,MATCH($D4100,'Paramètres'!$M:$M,0))&amp;"",""))),0,IF($L4100="Débit",$K4100,IF($P4100=1,-$K4100,0))))</f>
        <v/>
      </c>
      <c r="R4100" s="6" t="str">
        <f>IF($K4100="","",IF($L4100="Crédit",$K4100,-$K4100))</f>
        <v/>
      </c>
      <c r="S4100" s="6" t="str">
        <f>IF($C4100="","",IFERROR(INDEX('Paramètres'!$H:$H,MATCH($C4100,'Paramètres'!$D:$D,0))&amp;"",""))</f>
        <v/>
      </c>
      <c r="T4100" s="6" t="str">
        <f>IF($K4100="","",IF($S4100="",0,IF(ISNUMBER(SEARCH("apport-exterieur",IFERROR(INDEX('Paramètres'!$N:$N,MATCH($D4100,'Paramètres'!$M:$M,0))&amp;"",""))),0,IF(OR(IFERROR(INDEX('Paramètres'!$I:$I,MATCH($C4100,'Paramètres'!$D:$D,0))&amp;"","")="Les deux",IFERROR(INDEX('Paramètres'!$I:$I,MATCH($C4100,'Paramètres'!$D:$D,0))&amp;"","")=IF($P4100=1,"Débit",$L4100)),-IF($P4100=1,-$K4100,$K4100),0))))</f>
        <v/>
      </c>
      <c r="U4100" s="6" t="str">
        <f>IF($K4100="","",IF(ISNUMBER(SEARCH("sortie-epargne",IFERROR(INDEX('Paramètres'!$N:$N,MATCH($D4100,'Paramètres'!$M:$M,0))&amp;"",""))),$K4100,0))</f>
        <v/>
      </c>
      <c r="V4100" s="6" t="str">
        <f>IF(AND($A4100&lt;&gt;"",$O4100=1,$L4100="Débit",N($Q4100)&gt;0,$A4100&gt;=Visualisation!$B$1,$A4100&lt;Visualisation!$D$1),MAX($V$1:V4099)+1,"")</f>
        <v/>
      </c>
    </row>
    <row r="4101" spans="1:22" x14ac:dyDescent="0.25">
      <c r="A4101" s="9"/>
      <c r="E4101" s="10"/>
      <c r="K4101" s="11" t="str">
        <f>IF($E4101="","",ROUND($E4101*IF(ISNA(MATCH($C4101,'Paramètres'!$D:$D,0)),1,IF(INDEX('Paramètres'!$J:$J,MATCH($C4101,'Paramètres'!$D:$D,0))="",1,INDEX('Paramètres'!$J:$J,MATCH($C4101,'Paramètres'!$D:$D,0)))),2))</f>
        <v/>
      </c>
      <c r="L4101" s="6" t="str">
        <f>IF($D4101="","",IF($F4101&lt;&gt;"",$F4101,IF(ISNA(MATCH($D4101,'Paramètres'!$M:$M,0)),"⚠ Type inconnu",IFERROR(INDEX('Paramètres'!$P:$P,MATCH($D4101,'Paramètres'!$M:$M,0))&amp;"",""))))</f>
        <v/>
      </c>
      <c r="M4101" s="6" t="str">
        <f>IF($D4101="","",IF(ISNA(MATCH($D4101,'Paramètres'!$M:$M,0)),"⚠ Type inconnu",IF($L4101="Crédit","",IFERROR(INDEX('Paramètres'!$O:$O,MATCH($D4101,'Paramètres'!$M:$M,0))&amp;"",""))))</f>
        <v/>
      </c>
      <c r="N4101" s="6" t="str">
        <f>IF($D4101="","",IFERROR(INDEX('Paramètres'!$Q:$Q,MATCH($D4101,'Paramètres'!$M:$M,0))&amp;"",""))</f>
        <v/>
      </c>
      <c r="O4101" s="6" t="str">
        <f>IF($A4101="","",IF(OR($J4101&lt;&gt;"x",$A4101&lt;=FinReleve),1,0))</f>
        <v/>
      </c>
      <c r="P4101" s="6" t="str">
        <f>IF($D4101="","",IF(AND($L4101="Crédit",OR(IFERROR(INDEX('Paramètres'!$O:$O,MATCH($D4101,'Paramètres'!$M:$M,0))&amp;"","")&lt;&gt;"",ISNUMBER(SEARCH("remboursement",IFERROR(INDEX('Paramètres'!$N:$N,MATCH($D4101,'Paramètres'!$M:$M,0))&amp;"",""))))),1,0))</f>
        <v/>
      </c>
      <c r="Q4101" s="6" t="str">
        <f>IF($K4101="","",IF(ISNUMBER(SEARCH("transfert-interne",IFERROR(INDEX('Paramètres'!$N:$N,MATCH($D4101,'Paramètres'!$M:$M,0))&amp;"",""))),0,IF($L4101="Débit",$K4101,IF($P4101=1,-$K4101,0))))</f>
        <v/>
      </c>
      <c r="R4101" s="6" t="str">
        <f>IF($K4101="","",IF($L4101="Crédit",$K4101,-$K4101))</f>
        <v/>
      </c>
      <c r="S4101" s="6" t="str">
        <f>IF($C4101="","",IFERROR(INDEX('Paramètres'!$H:$H,MATCH($C4101,'Paramètres'!$D:$D,0))&amp;"",""))</f>
        <v/>
      </c>
      <c r="T4101" s="6" t="str">
        <f>IF($K4101="","",IF($S4101="",0,IF(ISNUMBER(SEARCH("apport-exterieur",IFERROR(INDEX('Paramètres'!$N:$N,MATCH($D4101,'Paramètres'!$M:$M,0))&amp;"",""))),0,IF(OR(IFERROR(INDEX('Paramètres'!$I:$I,MATCH($C4101,'Paramètres'!$D:$D,0))&amp;"","")="Les deux",IFERROR(INDEX('Paramètres'!$I:$I,MATCH($C4101,'Paramètres'!$D:$D,0))&amp;"","")=IF($P4101=1,"Débit",$L4101)),-IF($P4101=1,-$K4101,$K4101),0))))</f>
        <v/>
      </c>
      <c r="U4101" s="6" t="str">
        <f>IF($K4101="","",IF(ISNUMBER(SEARCH("sortie-epargne",IFERROR(INDEX('Paramètres'!$N:$N,MATCH($D4101,'Paramètres'!$M:$M,0))&amp;"",""))),$K4101,0))</f>
        <v/>
      </c>
      <c r="V4101" s="6" t="str">
        <f>IF(AND($A4101&lt;&gt;"",$O4101=1,$L4101="Débit",N($Q4101)&gt;0,$A4101&gt;=Visualisation!$B$1,$A4101&lt;Visualisation!$D$1),MAX($V$1:V4100)+1,"")</f>
        <v/>
      </c>
    </row>
    <row r="4102" spans="1:22" x14ac:dyDescent="0.25">
      <c r="A4102" s="9"/>
      <c r="E4102" s="10"/>
      <c r="K4102" s="11" t="str">
        <f>IF($E4102="","",ROUND($E4102*IF(ISNA(MATCH($C4102,'Paramètres'!$D:$D,0)),1,IF(INDEX('Paramètres'!$J:$J,MATCH($C4102,'Paramètres'!$D:$D,0))="",1,INDEX('Paramètres'!$J:$J,MATCH($C4102,'Paramètres'!$D:$D,0)))),2))</f>
        <v/>
      </c>
      <c r="L4102" s="6" t="str">
        <f>IF($D4102="","",IF($F4102&lt;&gt;"",$F4102,IF(ISNA(MATCH($D4102,'Paramètres'!$M:$M,0)),"⚠ Type inconnu",IFERROR(INDEX('Paramètres'!$P:$P,MATCH($D4102,'Paramètres'!$M:$M,0))&amp;"",""))))</f>
        <v/>
      </c>
      <c r="M4102" s="6" t="str">
        <f>IF($D4102="","",IF(ISNA(MATCH($D4102,'Paramètres'!$M:$M,0)),"⚠ Type inconnu",IF($L4102="Crédit","",IFERROR(INDEX('Paramètres'!$O:$O,MATCH($D4102,'Paramètres'!$M:$M,0))&amp;"",""))))</f>
        <v/>
      </c>
      <c r="N4102" s="6" t="str">
        <f>IF($D4102="","",IFERROR(INDEX('Paramètres'!$Q:$Q,MATCH($D4102,'Paramètres'!$M:$M,0))&amp;"",""))</f>
        <v/>
      </c>
      <c r="O4102" s="6" t="str">
        <f>IF($A4102="","",IF(OR($J4102&lt;&gt;"x",$A4102&lt;=FinReleve),1,0))</f>
        <v/>
      </c>
      <c r="P4102" s="6" t="str">
        <f>IF($D4102="","",IF(AND($L4102="Crédit",OR(IFERROR(INDEX('Paramètres'!$O:$O,MATCH($D4102,'Paramètres'!$M:$M,0))&amp;"","")&lt;&gt;"",ISNUMBER(SEARCH("remboursement",IFERROR(INDEX('Paramètres'!$N:$N,MATCH($D4102,'Paramètres'!$M:$M,0))&amp;"",""))))),1,0))</f>
        <v/>
      </c>
      <c r="Q4102" s="6" t="str">
        <f>IF($K4102="","",IF(ISNUMBER(SEARCH("transfert-interne",IFERROR(INDEX('Paramètres'!$N:$N,MATCH($D4102,'Paramètres'!$M:$M,0))&amp;"",""))),0,IF($L4102="Débit",$K4102,IF($P4102=1,-$K4102,0))))</f>
        <v/>
      </c>
      <c r="R4102" s="6" t="str">
        <f>IF($K4102="","",IF($L4102="Crédit",$K4102,-$K4102))</f>
        <v/>
      </c>
      <c r="S4102" s="6" t="str">
        <f>IF($C4102="","",IFERROR(INDEX('Paramètres'!$H:$H,MATCH($C4102,'Paramètres'!$D:$D,0))&amp;"",""))</f>
        <v/>
      </c>
      <c r="T4102" s="6" t="str">
        <f>IF($K4102="","",IF($S4102="",0,IF(ISNUMBER(SEARCH("apport-exterieur",IFERROR(INDEX('Paramètres'!$N:$N,MATCH($D4102,'Paramètres'!$M:$M,0))&amp;"",""))),0,IF(OR(IFERROR(INDEX('Paramètres'!$I:$I,MATCH($C4102,'Paramètres'!$D:$D,0))&amp;"","")="Les deux",IFERROR(INDEX('Paramètres'!$I:$I,MATCH($C4102,'Paramètres'!$D:$D,0))&amp;"","")=IF($P4102=1,"Débit",$L4102)),-IF($P4102=1,-$K4102,$K4102),0))))</f>
        <v/>
      </c>
      <c r="U4102" s="6" t="str">
        <f>IF($K4102="","",IF(ISNUMBER(SEARCH("sortie-epargne",IFERROR(INDEX('Paramètres'!$N:$N,MATCH($D4102,'Paramètres'!$M:$M,0))&amp;"",""))),$K4102,0))</f>
        <v/>
      </c>
      <c r="V4102" s="6" t="str">
        <f>IF(AND($A4102&lt;&gt;"",$O4102=1,$L4102="Débit",N($Q4102)&gt;0,$A4102&gt;=Visualisation!$B$1,$A4102&lt;Visualisation!$D$1),MAX($V$1:V4101)+1,"")</f>
        <v/>
      </c>
    </row>
    <row r="4103" spans="1:22" x14ac:dyDescent="0.25">
      <c r="A4103" s="9"/>
      <c r="E4103" s="10"/>
      <c r="K4103" s="11" t="str">
        <f>IF($E4103="","",ROUND($E4103*IF(ISNA(MATCH($C4103,'Paramètres'!$D:$D,0)),1,IF(INDEX('Paramètres'!$J:$J,MATCH($C4103,'Paramètres'!$D:$D,0))="",1,INDEX('Paramètres'!$J:$J,MATCH($C4103,'Paramètres'!$D:$D,0)))),2))</f>
        <v/>
      </c>
      <c r="L4103" s="6" t="str">
        <f>IF($D4103="","",IF($F4103&lt;&gt;"",$F4103,IF(ISNA(MATCH($D4103,'Paramètres'!$M:$M,0)),"⚠ Type inconnu",IFERROR(INDEX('Paramètres'!$P:$P,MATCH($D4103,'Paramètres'!$M:$M,0))&amp;"",""))))</f>
        <v/>
      </c>
      <c r="M4103" s="6" t="str">
        <f>IF($D4103="","",IF(ISNA(MATCH($D4103,'Paramètres'!$M:$M,0)),"⚠ Type inconnu",IF($L4103="Crédit","",IFERROR(INDEX('Paramètres'!$O:$O,MATCH($D4103,'Paramètres'!$M:$M,0))&amp;"",""))))</f>
        <v/>
      </c>
      <c r="N4103" s="6" t="str">
        <f>IF($D4103="","",IFERROR(INDEX('Paramètres'!$Q:$Q,MATCH($D4103,'Paramètres'!$M:$M,0))&amp;"",""))</f>
        <v/>
      </c>
      <c r="O4103" s="6" t="str">
        <f>IF($A4103="","",IF(OR($J4103&lt;&gt;"x",$A4103&lt;=FinReleve),1,0))</f>
        <v/>
      </c>
      <c r="P4103" s="6" t="str">
        <f>IF($D4103="","",IF(AND($L4103="Crédit",OR(IFERROR(INDEX('Paramètres'!$O:$O,MATCH($D4103,'Paramètres'!$M:$M,0))&amp;"","")&lt;&gt;"",ISNUMBER(SEARCH("remboursement",IFERROR(INDEX('Paramètres'!$N:$N,MATCH($D4103,'Paramètres'!$M:$M,0))&amp;"",""))))),1,0))</f>
        <v/>
      </c>
      <c r="Q4103" s="6" t="str">
        <f>IF($K4103="","",IF(ISNUMBER(SEARCH("transfert-interne",IFERROR(INDEX('Paramètres'!$N:$N,MATCH($D4103,'Paramètres'!$M:$M,0))&amp;"",""))),0,IF($L4103="Débit",$K4103,IF($P4103=1,-$K4103,0))))</f>
        <v/>
      </c>
      <c r="R4103" s="6" t="str">
        <f>IF($K4103="","",IF($L4103="Crédit",$K4103,-$K4103))</f>
        <v/>
      </c>
      <c r="S4103" s="6" t="str">
        <f>IF($C4103="","",IFERROR(INDEX('Paramètres'!$H:$H,MATCH($C4103,'Paramètres'!$D:$D,0))&amp;"",""))</f>
        <v/>
      </c>
      <c r="T4103" s="6" t="str">
        <f>IF($K4103="","",IF($S4103="",0,IF(ISNUMBER(SEARCH("apport-exterieur",IFERROR(INDEX('Paramètres'!$N:$N,MATCH($D4103,'Paramètres'!$M:$M,0))&amp;"",""))),0,IF(OR(IFERROR(INDEX('Paramètres'!$I:$I,MATCH($C4103,'Paramètres'!$D:$D,0))&amp;"","")="Les deux",IFERROR(INDEX('Paramètres'!$I:$I,MATCH($C4103,'Paramètres'!$D:$D,0))&amp;"","")=IF($P4103=1,"Débit",$L4103)),-IF($P4103=1,-$K4103,$K4103),0))))</f>
        <v/>
      </c>
      <c r="U4103" s="6" t="str">
        <f>IF($K4103="","",IF(ISNUMBER(SEARCH("sortie-epargne",IFERROR(INDEX('Paramètres'!$N:$N,MATCH($D4103,'Paramètres'!$M:$M,0))&amp;"",""))),$K4103,0))</f>
        <v/>
      </c>
      <c r="V4103" s="6" t="str">
        <f>IF(AND($A4103&lt;&gt;"",$O4103=1,$L4103="Débit",N($Q4103)&gt;0,$A4103&gt;=Visualisation!$B$1,$A4103&lt;Visualisation!$D$1),MAX($V$1:V4102)+1,"")</f>
        <v/>
      </c>
    </row>
    <row r="4104" spans="1:22" x14ac:dyDescent="0.25">
      <c r="A4104" s="9"/>
      <c r="E4104" s="10"/>
      <c r="K4104" s="11" t="str">
        <f>IF($E4104="","",ROUND($E4104*IF(ISNA(MATCH($C4104,'Paramètres'!$D:$D,0)),1,IF(INDEX('Paramètres'!$J:$J,MATCH($C4104,'Paramètres'!$D:$D,0))="",1,INDEX('Paramètres'!$J:$J,MATCH($C4104,'Paramètres'!$D:$D,0)))),2))</f>
        <v/>
      </c>
      <c r="L4104" s="6" t="str">
        <f>IF($D4104="","",IF($F4104&lt;&gt;"",$F4104,IF(ISNA(MATCH($D4104,'Paramètres'!$M:$M,0)),"⚠ Type inconnu",IFERROR(INDEX('Paramètres'!$P:$P,MATCH($D4104,'Paramètres'!$M:$M,0))&amp;"",""))))</f>
        <v/>
      </c>
      <c r="M4104" s="6" t="str">
        <f>IF($D4104="","",IF(ISNA(MATCH($D4104,'Paramètres'!$M:$M,0)),"⚠ Type inconnu",IF($L4104="Crédit","",IFERROR(INDEX('Paramètres'!$O:$O,MATCH($D4104,'Paramètres'!$M:$M,0))&amp;"",""))))</f>
        <v/>
      </c>
      <c r="N4104" s="6" t="str">
        <f>IF($D4104="","",IFERROR(INDEX('Paramètres'!$Q:$Q,MATCH($D4104,'Paramètres'!$M:$M,0))&amp;"",""))</f>
        <v/>
      </c>
      <c r="O4104" s="6" t="str">
        <f>IF($A4104="","",IF(OR($J4104&lt;&gt;"x",$A4104&lt;=FinReleve),1,0))</f>
        <v/>
      </c>
      <c r="P4104" s="6" t="str">
        <f>IF($D4104="","",IF(AND($L4104="Crédit",OR(IFERROR(INDEX('Paramètres'!$O:$O,MATCH($D4104,'Paramètres'!$M:$M,0))&amp;"","")&lt;&gt;"",ISNUMBER(SEARCH("remboursement",IFERROR(INDEX('Paramètres'!$N:$N,MATCH($D4104,'Paramètres'!$M:$M,0))&amp;"",""))))),1,0))</f>
        <v/>
      </c>
      <c r="Q4104" s="6" t="str">
        <f>IF($K4104="","",IF(ISNUMBER(SEARCH("transfert-interne",IFERROR(INDEX('Paramètres'!$N:$N,MATCH($D4104,'Paramètres'!$M:$M,0))&amp;"",""))),0,IF($L4104="Débit",$K4104,IF($P4104=1,-$K4104,0))))</f>
        <v/>
      </c>
      <c r="R4104" s="6" t="str">
        <f>IF($K4104="","",IF($L4104="Crédit",$K4104,-$K4104))</f>
        <v/>
      </c>
      <c r="S4104" s="6" t="str">
        <f>IF($C4104="","",IFERROR(INDEX('Paramètres'!$H:$H,MATCH($C4104,'Paramètres'!$D:$D,0))&amp;"",""))</f>
        <v/>
      </c>
      <c r="T4104" s="6" t="str">
        <f>IF($K4104="","",IF($S4104="",0,IF(ISNUMBER(SEARCH("apport-exterieur",IFERROR(INDEX('Paramètres'!$N:$N,MATCH($D4104,'Paramètres'!$M:$M,0))&amp;"",""))),0,IF(OR(IFERROR(INDEX('Paramètres'!$I:$I,MATCH($C4104,'Paramètres'!$D:$D,0))&amp;"","")="Les deux",IFERROR(INDEX('Paramètres'!$I:$I,MATCH($C4104,'Paramètres'!$D:$D,0))&amp;"","")=IF($P4104=1,"Débit",$L4104)),-IF($P4104=1,-$K4104,$K4104),0))))</f>
        <v/>
      </c>
      <c r="U4104" s="6" t="str">
        <f>IF($K4104="","",IF(ISNUMBER(SEARCH("sortie-epargne",IFERROR(INDEX('Paramètres'!$N:$N,MATCH($D4104,'Paramètres'!$M:$M,0))&amp;"",""))),$K4104,0))</f>
        <v/>
      </c>
      <c r="V4104" s="6" t="str">
        <f>IF(AND($A4104&lt;&gt;"",$O4104=1,$L4104="Débit",N($Q4104)&gt;0,$A4104&gt;=Visualisation!$B$1,$A4104&lt;Visualisation!$D$1),MAX($V$1:V4103)+1,"")</f>
        <v/>
      </c>
    </row>
    <row r="4105" spans="1:22" x14ac:dyDescent="0.25">
      <c r="A4105" s="9"/>
      <c r="E4105" s="10"/>
      <c r="K4105" s="11" t="str">
        <f>IF($E4105="","",ROUND($E4105*IF(ISNA(MATCH($C4105,'Paramètres'!$D:$D,0)),1,IF(INDEX('Paramètres'!$J:$J,MATCH($C4105,'Paramètres'!$D:$D,0))="",1,INDEX('Paramètres'!$J:$J,MATCH($C4105,'Paramètres'!$D:$D,0)))),2))</f>
        <v/>
      </c>
      <c r="L4105" s="6" t="str">
        <f>IF($D4105="","",IF($F4105&lt;&gt;"",$F4105,IF(ISNA(MATCH($D4105,'Paramètres'!$M:$M,0)),"⚠ Type inconnu",IFERROR(INDEX('Paramètres'!$P:$P,MATCH($D4105,'Paramètres'!$M:$M,0))&amp;"",""))))</f>
        <v/>
      </c>
      <c r="M4105" s="6" t="str">
        <f>IF($D4105="","",IF(ISNA(MATCH($D4105,'Paramètres'!$M:$M,0)),"⚠ Type inconnu",IF($L4105="Crédit","",IFERROR(INDEX('Paramètres'!$O:$O,MATCH($D4105,'Paramètres'!$M:$M,0))&amp;"",""))))</f>
        <v/>
      </c>
      <c r="N4105" s="6" t="str">
        <f>IF($D4105="","",IFERROR(INDEX('Paramètres'!$Q:$Q,MATCH($D4105,'Paramètres'!$M:$M,0))&amp;"",""))</f>
        <v/>
      </c>
      <c r="O4105" s="6" t="str">
        <f>IF($A4105="","",IF(OR($J4105&lt;&gt;"x",$A4105&lt;=FinReleve),1,0))</f>
        <v/>
      </c>
      <c r="P4105" s="6" t="str">
        <f>IF($D4105="","",IF(AND($L4105="Crédit",OR(IFERROR(INDEX('Paramètres'!$O:$O,MATCH($D4105,'Paramètres'!$M:$M,0))&amp;"","")&lt;&gt;"",ISNUMBER(SEARCH("remboursement",IFERROR(INDEX('Paramètres'!$N:$N,MATCH($D4105,'Paramètres'!$M:$M,0))&amp;"",""))))),1,0))</f>
        <v/>
      </c>
      <c r="Q4105" s="6" t="str">
        <f>IF($K4105="","",IF(ISNUMBER(SEARCH("transfert-interne",IFERROR(INDEX('Paramètres'!$N:$N,MATCH($D4105,'Paramètres'!$M:$M,0))&amp;"",""))),0,IF($L4105="Débit",$K4105,IF($P4105=1,-$K4105,0))))</f>
        <v/>
      </c>
      <c r="R4105" s="6" t="str">
        <f>IF($K4105="","",IF($L4105="Crédit",$K4105,-$K4105))</f>
        <v/>
      </c>
      <c r="S4105" s="6" t="str">
        <f>IF($C4105="","",IFERROR(INDEX('Paramètres'!$H:$H,MATCH($C4105,'Paramètres'!$D:$D,0))&amp;"",""))</f>
        <v/>
      </c>
      <c r="T4105" s="6" t="str">
        <f>IF($K4105="","",IF($S4105="",0,IF(ISNUMBER(SEARCH("apport-exterieur",IFERROR(INDEX('Paramètres'!$N:$N,MATCH($D4105,'Paramètres'!$M:$M,0))&amp;"",""))),0,IF(OR(IFERROR(INDEX('Paramètres'!$I:$I,MATCH($C4105,'Paramètres'!$D:$D,0))&amp;"","")="Les deux",IFERROR(INDEX('Paramètres'!$I:$I,MATCH($C4105,'Paramètres'!$D:$D,0))&amp;"","")=IF($P4105=1,"Débit",$L4105)),-IF($P4105=1,-$K4105,$K4105),0))))</f>
        <v/>
      </c>
      <c r="U4105" s="6" t="str">
        <f>IF($K4105="","",IF(ISNUMBER(SEARCH("sortie-epargne",IFERROR(INDEX('Paramètres'!$N:$N,MATCH($D4105,'Paramètres'!$M:$M,0))&amp;"",""))),$K4105,0))</f>
        <v/>
      </c>
      <c r="V4105" s="6" t="str">
        <f>IF(AND($A4105&lt;&gt;"",$O4105=1,$L4105="Débit",N($Q4105)&gt;0,$A4105&gt;=Visualisation!$B$1,$A4105&lt;Visualisation!$D$1),MAX($V$1:V4104)+1,"")</f>
        <v/>
      </c>
    </row>
    <row r="4106" spans="1:22" x14ac:dyDescent="0.25">
      <c r="A4106" s="9"/>
      <c r="E4106" s="10"/>
      <c r="K4106" s="11" t="str">
        <f>IF($E4106="","",ROUND($E4106*IF(ISNA(MATCH($C4106,'Paramètres'!$D:$D,0)),1,IF(INDEX('Paramètres'!$J:$J,MATCH($C4106,'Paramètres'!$D:$D,0))="",1,INDEX('Paramètres'!$J:$J,MATCH($C4106,'Paramètres'!$D:$D,0)))),2))</f>
        <v/>
      </c>
      <c r="L4106" s="6" t="str">
        <f>IF($D4106="","",IF($F4106&lt;&gt;"",$F4106,IF(ISNA(MATCH($D4106,'Paramètres'!$M:$M,0)),"⚠ Type inconnu",IFERROR(INDEX('Paramètres'!$P:$P,MATCH($D4106,'Paramètres'!$M:$M,0))&amp;"",""))))</f>
        <v/>
      </c>
      <c r="M4106" s="6" t="str">
        <f>IF($D4106="","",IF(ISNA(MATCH($D4106,'Paramètres'!$M:$M,0)),"⚠ Type inconnu",IF($L4106="Crédit","",IFERROR(INDEX('Paramètres'!$O:$O,MATCH($D4106,'Paramètres'!$M:$M,0))&amp;"",""))))</f>
        <v/>
      </c>
      <c r="N4106" s="6" t="str">
        <f>IF($D4106="","",IFERROR(INDEX('Paramètres'!$Q:$Q,MATCH($D4106,'Paramètres'!$M:$M,0))&amp;"",""))</f>
        <v/>
      </c>
      <c r="O4106" s="6" t="str">
        <f>IF($A4106="","",IF(OR($J4106&lt;&gt;"x",$A4106&lt;=FinReleve),1,0))</f>
        <v/>
      </c>
      <c r="P4106" s="6" t="str">
        <f>IF($D4106="","",IF(AND($L4106="Crédit",OR(IFERROR(INDEX('Paramètres'!$O:$O,MATCH($D4106,'Paramètres'!$M:$M,0))&amp;"","")&lt;&gt;"",ISNUMBER(SEARCH("remboursement",IFERROR(INDEX('Paramètres'!$N:$N,MATCH($D4106,'Paramètres'!$M:$M,0))&amp;"",""))))),1,0))</f>
        <v/>
      </c>
      <c r="Q4106" s="6" t="str">
        <f>IF($K4106="","",IF(ISNUMBER(SEARCH("transfert-interne",IFERROR(INDEX('Paramètres'!$N:$N,MATCH($D4106,'Paramètres'!$M:$M,0))&amp;"",""))),0,IF($L4106="Débit",$K4106,IF($P4106=1,-$K4106,0))))</f>
        <v/>
      </c>
      <c r="R4106" s="6" t="str">
        <f>IF($K4106="","",IF($L4106="Crédit",$K4106,-$K4106))</f>
        <v/>
      </c>
      <c r="S4106" s="6" t="str">
        <f>IF($C4106="","",IFERROR(INDEX('Paramètres'!$H:$H,MATCH($C4106,'Paramètres'!$D:$D,0))&amp;"",""))</f>
        <v/>
      </c>
      <c r="T4106" s="6" t="str">
        <f>IF($K4106="","",IF($S4106="",0,IF(ISNUMBER(SEARCH("apport-exterieur",IFERROR(INDEX('Paramètres'!$N:$N,MATCH($D4106,'Paramètres'!$M:$M,0))&amp;"",""))),0,IF(OR(IFERROR(INDEX('Paramètres'!$I:$I,MATCH($C4106,'Paramètres'!$D:$D,0))&amp;"","")="Les deux",IFERROR(INDEX('Paramètres'!$I:$I,MATCH($C4106,'Paramètres'!$D:$D,0))&amp;"","")=IF($P4106=1,"Débit",$L4106)),-IF($P4106=1,-$K4106,$K4106),0))))</f>
        <v/>
      </c>
      <c r="U4106" s="6" t="str">
        <f>IF($K4106="","",IF(ISNUMBER(SEARCH("sortie-epargne",IFERROR(INDEX('Paramètres'!$N:$N,MATCH($D4106,'Paramètres'!$M:$M,0))&amp;"",""))),$K4106,0))</f>
        <v/>
      </c>
      <c r="V4106" s="6" t="str">
        <f>IF(AND($A4106&lt;&gt;"",$O4106=1,$L4106="Débit",N($Q4106)&gt;0,$A4106&gt;=Visualisation!$B$1,$A4106&lt;Visualisation!$D$1),MAX($V$1:V4105)+1,"")</f>
        <v/>
      </c>
    </row>
    <row r="4107" spans="1:22" x14ac:dyDescent="0.25">
      <c r="A4107" s="9"/>
      <c r="E4107" s="10"/>
      <c r="K4107" s="11" t="str">
        <f>IF($E4107="","",ROUND($E4107*IF(ISNA(MATCH($C4107,'Paramètres'!$D:$D,0)),1,IF(INDEX('Paramètres'!$J:$J,MATCH($C4107,'Paramètres'!$D:$D,0))="",1,INDEX('Paramètres'!$J:$J,MATCH($C4107,'Paramètres'!$D:$D,0)))),2))</f>
        <v/>
      </c>
      <c r="L4107" s="6" t="str">
        <f>IF($D4107="","",IF($F4107&lt;&gt;"",$F4107,IF(ISNA(MATCH($D4107,'Paramètres'!$M:$M,0)),"⚠ Type inconnu",IFERROR(INDEX('Paramètres'!$P:$P,MATCH($D4107,'Paramètres'!$M:$M,0))&amp;"",""))))</f>
        <v/>
      </c>
      <c r="M4107" s="6" t="str">
        <f>IF($D4107="","",IF(ISNA(MATCH($D4107,'Paramètres'!$M:$M,0)),"⚠ Type inconnu",IF($L4107="Crédit","",IFERROR(INDEX('Paramètres'!$O:$O,MATCH($D4107,'Paramètres'!$M:$M,0))&amp;"",""))))</f>
        <v/>
      </c>
      <c r="N4107" s="6" t="str">
        <f>IF($D4107="","",IFERROR(INDEX('Paramètres'!$Q:$Q,MATCH($D4107,'Paramètres'!$M:$M,0))&amp;"",""))</f>
        <v/>
      </c>
      <c r="O4107" s="6" t="str">
        <f>IF($A4107="","",IF(OR($J4107&lt;&gt;"x",$A4107&lt;=FinReleve),1,0))</f>
        <v/>
      </c>
      <c r="P4107" s="6" t="str">
        <f>IF($D4107="","",IF(AND($L4107="Crédit",OR(IFERROR(INDEX('Paramètres'!$O:$O,MATCH($D4107,'Paramètres'!$M:$M,0))&amp;"","")&lt;&gt;"",ISNUMBER(SEARCH("remboursement",IFERROR(INDEX('Paramètres'!$N:$N,MATCH($D4107,'Paramètres'!$M:$M,0))&amp;"",""))))),1,0))</f>
        <v/>
      </c>
      <c r="Q4107" s="6" t="str">
        <f>IF($K4107="","",IF(ISNUMBER(SEARCH("transfert-interne",IFERROR(INDEX('Paramètres'!$N:$N,MATCH($D4107,'Paramètres'!$M:$M,0))&amp;"",""))),0,IF($L4107="Débit",$K4107,IF($P4107=1,-$K4107,0))))</f>
        <v/>
      </c>
      <c r="R4107" s="6" t="str">
        <f>IF($K4107="","",IF($L4107="Crédit",$K4107,-$K4107))</f>
        <v/>
      </c>
      <c r="S4107" s="6" t="str">
        <f>IF($C4107="","",IFERROR(INDEX('Paramètres'!$H:$H,MATCH($C4107,'Paramètres'!$D:$D,0))&amp;"",""))</f>
        <v/>
      </c>
      <c r="T4107" s="6" t="str">
        <f>IF($K4107="","",IF($S4107="",0,IF(ISNUMBER(SEARCH("apport-exterieur",IFERROR(INDEX('Paramètres'!$N:$N,MATCH($D4107,'Paramètres'!$M:$M,0))&amp;"",""))),0,IF(OR(IFERROR(INDEX('Paramètres'!$I:$I,MATCH($C4107,'Paramètres'!$D:$D,0))&amp;"","")="Les deux",IFERROR(INDEX('Paramètres'!$I:$I,MATCH($C4107,'Paramètres'!$D:$D,0))&amp;"","")=IF($P4107=1,"Débit",$L4107)),-IF($P4107=1,-$K4107,$K4107),0))))</f>
        <v/>
      </c>
      <c r="U4107" s="6" t="str">
        <f>IF($K4107="","",IF(ISNUMBER(SEARCH("sortie-epargne",IFERROR(INDEX('Paramètres'!$N:$N,MATCH($D4107,'Paramètres'!$M:$M,0))&amp;"",""))),$K4107,0))</f>
        <v/>
      </c>
      <c r="V4107" s="6" t="str">
        <f>IF(AND($A4107&lt;&gt;"",$O4107=1,$L4107="Débit",N($Q4107)&gt;0,$A4107&gt;=Visualisation!$B$1,$A4107&lt;Visualisation!$D$1),MAX($V$1:V4106)+1,"")</f>
        <v/>
      </c>
    </row>
    <row r="4108" spans="1:22" x14ac:dyDescent="0.25">
      <c r="A4108" s="9"/>
      <c r="E4108" s="10"/>
      <c r="K4108" s="11" t="str">
        <f>IF($E4108="","",ROUND($E4108*IF(ISNA(MATCH($C4108,'Paramètres'!$D:$D,0)),1,IF(INDEX('Paramètres'!$J:$J,MATCH($C4108,'Paramètres'!$D:$D,0))="",1,INDEX('Paramètres'!$J:$J,MATCH($C4108,'Paramètres'!$D:$D,0)))),2))</f>
        <v/>
      </c>
      <c r="L4108" s="6" t="str">
        <f>IF($D4108="","",IF($F4108&lt;&gt;"",$F4108,IF(ISNA(MATCH($D4108,'Paramètres'!$M:$M,0)),"⚠ Type inconnu",IFERROR(INDEX('Paramètres'!$P:$P,MATCH($D4108,'Paramètres'!$M:$M,0))&amp;"",""))))</f>
        <v/>
      </c>
      <c r="M4108" s="6" t="str">
        <f>IF($D4108="","",IF(ISNA(MATCH($D4108,'Paramètres'!$M:$M,0)),"⚠ Type inconnu",IF($L4108="Crédit","",IFERROR(INDEX('Paramètres'!$O:$O,MATCH($D4108,'Paramètres'!$M:$M,0))&amp;"",""))))</f>
        <v/>
      </c>
      <c r="N4108" s="6" t="str">
        <f>IF($D4108="","",IFERROR(INDEX('Paramètres'!$Q:$Q,MATCH($D4108,'Paramètres'!$M:$M,0))&amp;"",""))</f>
        <v/>
      </c>
      <c r="O4108" s="6" t="str">
        <f>IF($A4108="","",IF(OR($J4108&lt;&gt;"x",$A4108&lt;=FinReleve),1,0))</f>
        <v/>
      </c>
      <c r="P4108" s="6" t="str">
        <f>IF($D4108="","",IF(AND($L4108="Crédit",OR(IFERROR(INDEX('Paramètres'!$O:$O,MATCH($D4108,'Paramètres'!$M:$M,0))&amp;"","")&lt;&gt;"",ISNUMBER(SEARCH("remboursement",IFERROR(INDEX('Paramètres'!$N:$N,MATCH($D4108,'Paramètres'!$M:$M,0))&amp;"",""))))),1,0))</f>
        <v/>
      </c>
      <c r="Q4108" s="6" t="str">
        <f>IF($K4108="","",IF(ISNUMBER(SEARCH("transfert-interne",IFERROR(INDEX('Paramètres'!$N:$N,MATCH($D4108,'Paramètres'!$M:$M,0))&amp;"",""))),0,IF($L4108="Débit",$K4108,IF($P4108=1,-$K4108,0))))</f>
        <v/>
      </c>
      <c r="R4108" s="6" t="str">
        <f>IF($K4108="","",IF($L4108="Crédit",$K4108,-$K4108))</f>
        <v/>
      </c>
      <c r="S4108" s="6" t="str">
        <f>IF($C4108="","",IFERROR(INDEX('Paramètres'!$H:$H,MATCH($C4108,'Paramètres'!$D:$D,0))&amp;"",""))</f>
        <v/>
      </c>
      <c r="T4108" s="6" t="str">
        <f>IF($K4108="","",IF($S4108="",0,IF(ISNUMBER(SEARCH("apport-exterieur",IFERROR(INDEX('Paramètres'!$N:$N,MATCH($D4108,'Paramètres'!$M:$M,0))&amp;"",""))),0,IF(OR(IFERROR(INDEX('Paramètres'!$I:$I,MATCH($C4108,'Paramètres'!$D:$D,0))&amp;"","")="Les deux",IFERROR(INDEX('Paramètres'!$I:$I,MATCH($C4108,'Paramètres'!$D:$D,0))&amp;"","")=IF($P4108=1,"Débit",$L4108)),-IF($P4108=1,-$K4108,$K4108),0))))</f>
        <v/>
      </c>
      <c r="U4108" s="6" t="str">
        <f>IF($K4108="","",IF(ISNUMBER(SEARCH("sortie-epargne",IFERROR(INDEX('Paramètres'!$N:$N,MATCH($D4108,'Paramètres'!$M:$M,0))&amp;"",""))),$K4108,0))</f>
        <v/>
      </c>
      <c r="V4108" s="6" t="str">
        <f>IF(AND($A4108&lt;&gt;"",$O4108=1,$L4108="Débit",N($Q4108)&gt;0,$A4108&gt;=Visualisation!$B$1,$A4108&lt;Visualisation!$D$1),MAX($V$1:V4107)+1,"")</f>
        <v/>
      </c>
    </row>
    <row r="4109" spans="1:22" x14ac:dyDescent="0.25">
      <c r="A4109" s="9"/>
      <c r="E4109" s="10"/>
      <c r="K4109" s="11" t="str">
        <f>IF($E4109="","",ROUND($E4109*IF(ISNA(MATCH($C4109,'Paramètres'!$D:$D,0)),1,IF(INDEX('Paramètres'!$J:$J,MATCH($C4109,'Paramètres'!$D:$D,0))="",1,INDEX('Paramètres'!$J:$J,MATCH($C4109,'Paramètres'!$D:$D,0)))),2))</f>
        <v/>
      </c>
      <c r="L4109" s="6" t="str">
        <f>IF($D4109="","",IF($F4109&lt;&gt;"",$F4109,IF(ISNA(MATCH($D4109,'Paramètres'!$M:$M,0)),"⚠ Type inconnu",IFERROR(INDEX('Paramètres'!$P:$P,MATCH($D4109,'Paramètres'!$M:$M,0))&amp;"",""))))</f>
        <v/>
      </c>
      <c r="M4109" s="6" t="str">
        <f>IF($D4109="","",IF(ISNA(MATCH($D4109,'Paramètres'!$M:$M,0)),"⚠ Type inconnu",IF($L4109="Crédit","",IFERROR(INDEX('Paramètres'!$O:$O,MATCH($D4109,'Paramètres'!$M:$M,0))&amp;"",""))))</f>
        <v/>
      </c>
      <c r="N4109" s="6" t="str">
        <f>IF($D4109="","",IFERROR(INDEX('Paramètres'!$Q:$Q,MATCH($D4109,'Paramètres'!$M:$M,0))&amp;"",""))</f>
        <v/>
      </c>
      <c r="O4109" s="6" t="str">
        <f>IF($A4109="","",IF(OR($J4109&lt;&gt;"x",$A4109&lt;=FinReleve),1,0))</f>
        <v/>
      </c>
      <c r="P4109" s="6" t="str">
        <f>IF($D4109="","",IF(AND($L4109="Crédit",OR(IFERROR(INDEX('Paramètres'!$O:$O,MATCH($D4109,'Paramètres'!$M:$M,0))&amp;"","")&lt;&gt;"",ISNUMBER(SEARCH("remboursement",IFERROR(INDEX('Paramètres'!$N:$N,MATCH($D4109,'Paramètres'!$M:$M,0))&amp;"",""))))),1,0))</f>
        <v/>
      </c>
      <c r="Q4109" s="6" t="str">
        <f>IF($K4109="","",IF(ISNUMBER(SEARCH("transfert-interne",IFERROR(INDEX('Paramètres'!$N:$N,MATCH($D4109,'Paramètres'!$M:$M,0))&amp;"",""))),0,IF($L4109="Débit",$K4109,IF($P4109=1,-$K4109,0))))</f>
        <v/>
      </c>
      <c r="R4109" s="6" t="str">
        <f>IF($K4109="","",IF($L4109="Crédit",$K4109,-$K4109))</f>
        <v/>
      </c>
      <c r="S4109" s="6" t="str">
        <f>IF($C4109="","",IFERROR(INDEX('Paramètres'!$H:$H,MATCH($C4109,'Paramètres'!$D:$D,0))&amp;"",""))</f>
        <v/>
      </c>
      <c r="T4109" s="6" t="str">
        <f>IF($K4109="","",IF($S4109="",0,IF(ISNUMBER(SEARCH("apport-exterieur",IFERROR(INDEX('Paramètres'!$N:$N,MATCH($D4109,'Paramètres'!$M:$M,0))&amp;"",""))),0,IF(OR(IFERROR(INDEX('Paramètres'!$I:$I,MATCH($C4109,'Paramètres'!$D:$D,0))&amp;"","")="Les deux",IFERROR(INDEX('Paramètres'!$I:$I,MATCH($C4109,'Paramètres'!$D:$D,0))&amp;"","")=IF($P4109=1,"Débit",$L4109)),-IF($P4109=1,-$K4109,$K4109),0))))</f>
        <v/>
      </c>
      <c r="U4109" s="6" t="str">
        <f>IF($K4109="","",IF(ISNUMBER(SEARCH("sortie-epargne",IFERROR(INDEX('Paramètres'!$N:$N,MATCH($D4109,'Paramètres'!$M:$M,0))&amp;"",""))),$K4109,0))</f>
        <v/>
      </c>
      <c r="V4109" s="6" t="str">
        <f>IF(AND($A4109&lt;&gt;"",$O4109=1,$L4109="Débit",N($Q4109)&gt;0,$A4109&gt;=Visualisation!$B$1,$A4109&lt;Visualisation!$D$1),MAX($V$1:V4108)+1,"")</f>
        <v/>
      </c>
    </row>
    <row r="4110" spans="1:22" x14ac:dyDescent="0.25">
      <c r="A4110" s="9"/>
      <c r="E4110" s="10"/>
      <c r="K4110" s="11" t="str">
        <f>IF($E4110="","",ROUND($E4110*IF(ISNA(MATCH($C4110,'Paramètres'!$D:$D,0)),1,IF(INDEX('Paramètres'!$J:$J,MATCH($C4110,'Paramètres'!$D:$D,0))="",1,INDEX('Paramètres'!$J:$J,MATCH($C4110,'Paramètres'!$D:$D,0)))),2))</f>
        <v/>
      </c>
      <c r="L4110" s="6" t="str">
        <f>IF($D4110="","",IF($F4110&lt;&gt;"",$F4110,IF(ISNA(MATCH($D4110,'Paramètres'!$M:$M,0)),"⚠ Type inconnu",IFERROR(INDEX('Paramètres'!$P:$P,MATCH($D4110,'Paramètres'!$M:$M,0))&amp;"",""))))</f>
        <v/>
      </c>
      <c r="M4110" s="6" t="str">
        <f>IF($D4110="","",IF(ISNA(MATCH($D4110,'Paramètres'!$M:$M,0)),"⚠ Type inconnu",IF($L4110="Crédit","",IFERROR(INDEX('Paramètres'!$O:$O,MATCH($D4110,'Paramètres'!$M:$M,0))&amp;"",""))))</f>
        <v/>
      </c>
      <c r="N4110" s="6" t="str">
        <f>IF($D4110="","",IFERROR(INDEX('Paramètres'!$Q:$Q,MATCH($D4110,'Paramètres'!$M:$M,0))&amp;"",""))</f>
        <v/>
      </c>
      <c r="O4110" s="6" t="str">
        <f>IF($A4110="","",IF(OR($J4110&lt;&gt;"x",$A4110&lt;=FinReleve),1,0))</f>
        <v/>
      </c>
      <c r="P4110" s="6" t="str">
        <f>IF($D4110="","",IF(AND($L4110="Crédit",OR(IFERROR(INDEX('Paramètres'!$O:$O,MATCH($D4110,'Paramètres'!$M:$M,0))&amp;"","")&lt;&gt;"",ISNUMBER(SEARCH("remboursement",IFERROR(INDEX('Paramètres'!$N:$N,MATCH($D4110,'Paramètres'!$M:$M,0))&amp;"",""))))),1,0))</f>
        <v/>
      </c>
      <c r="Q4110" s="6" t="str">
        <f>IF($K4110="","",IF(ISNUMBER(SEARCH("transfert-interne",IFERROR(INDEX('Paramètres'!$N:$N,MATCH($D4110,'Paramètres'!$M:$M,0))&amp;"",""))),0,IF($L4110="Débit",$K4110,IF($P4110=1,-$K4110,0))))</f>
        <v/>
      </c>
      <c r="R4110" s="6" t="str">
        <f>IF($K4110="","",IF($L4110="Crédit",$K4110,-$K4110))</f>
        <v/>
      </c>
      <c r="S4110" s="6" t="str">
        <f>IF($C4110="","",IFERROR(INDEX('Paramètres'!$H:$H,MATCH($C4110,'Paramètres'!$D:$D,0))&amp;"",""))</f>
        <v/>
      </c>
      <c r="T4110" s="6" t="str">
        <f>IF($K4110="","",IF($S4110="",0,IF(ISNUMBER(SEARCH("apport-exterieur",IFERROR(INDEX('Paramètres'!$N:$N,MATCH($D4110,'Paramètres'!$M:$M,0))&amp;"",""))),0,IF(OR(IFERROR(INDEX('Paramètres'!$I:$I,MATCH($C4110,'Paramètres'!$D:$D,0))&amp;"","")="Les deux",IFERROR(INDEX('Paramètres'!$I:$I,MATCH($C4110,'Paramètres'!$D:$D,0))&amp;"","")=IF($P4110=1,"Débit",$L4110)),-IF($P4110=1,-$K4110,$K4110),0))))</f>
        <v/>
      </c>
      <c r="U4110" s="6" t="str">
        <f>IF($K4110="","",IF(ISNUMBER(SEARCH("sortie-epargne",IFERROR(INDEX('Paramètres'!$N:$N,MATCH($D4110,'Paramètres'!$M:$M,0))&amp;"",""))),$K4110,0))</f>
        <v/>
      </c>
      <c r="V4110" s="6" t="str">
        <f>IF(AND($A4110&lt;&gt;"",$O4110=1,$L4110="Débit",N($Q4110)&gt;0,$A4110&gt;=Visualisation!$B$1,$A4110&lt;Visualisation!$D$1),MAX($V$1:V4109)+1,"")</f>
        <v/>
      </c>
    </row>
    <row r="4111" spans="1:22" x14ac:dyDescent="0.25">
      <c r="A4111" s="9"/>
      <c r="E4111" s="10"/>
      <c r="K4111" s="11" t="str">
        <f>IF($E4111="","",ROUND($E4111*IF(ISNA(MATCH($C4111,'Paramètres'!$D:$D,0)),1,IF(INDEX('Paramètres'!$J:$J,MATCH($C4111,'Paramètres'!$D:$D,0))="",1,INDEX('Paramètres'!$J:$J,MATCH($C4111,'Paramètres'!$D:$D,0)))),2))</f>
        <v/>
      </c>
      <c r="L4111" s="6" t="str">
        <f>IF($D4111="","",IF($F4111&lt;&gt;"",$F4111,IF(ISNA(MATCH($D4111,'Paramètres'!$M:$M,0)),"⚠ Type inconnu",IFERROR(INDEX('Paramètres'!$P:$P,MATCH($D4111,'Paramètres'!$M:$M,0))&amp;"",""))))</f>
        <v/>
      </c>
      <c r="M4111" s="6" t="str">
        <f>IF($D4111="","",IF(ISNA(MATCH($D4111,'Paramètres'!$M:$M,0)),"⚠ Type inconnu",IF($L4111="Crédit","",IFERROR(INDEX('Paramètres'!$O:$O,MATCH($D4111,'Paramètres'!$M:$M,0))&amp;"",""))))</f>
        <v/>
      </c>
      <c r="N4111" s="6" t="str">
        <f>IF($D4111="","",IFERROR(INDEX('Paramètres'!$Q:$Q,MATCH($D4111,'Paramètres'!$M:$M,0))&amp;"",""))</f>
        <v/>
      </c>
      <c r="O4111" s="6" t="str">
        <f>IF($A4111="","",IF(OR($J4111&lt;&gt;"x",$A4111&lt;=FinReleve),1,0))</f>
        <v/>
      </c>
      <c r="P4111" s="6" t="str">
        <f>IF($D4111="","",IF(AND($L4111="Crédit",OR(IFERROR(INDEX('Paramètres'!$O:$O,MATCH($D4111,'Paramètres'!$M:$M,0))&amp;"","")&lt;&gt;"",ISNUMBER(SEARCH("remboursement",IFERROR(INDEX('Paramètres'!$N:$N,MATCH($D4111,'Paramètres'!$M:$M,0))&amp;"",""))))),1,0))</f>
        <v/>
      </c>
      <c r="Q4111" s="6" t="str">
        <f>IF($K4111="","",IF(ISNUMBER(SEARCH("transfert-interne",IFERROR(INDEX('Paramètres'!$N:$N,MATCH($D4111,'Paramètres'!$M:$M,0))&amp;"",""))),0,IF($L4111="Débit",$K4111,IF($P4111=1,-$K4111,0))))</f>
        <v/>
      </c>
      <c r="R4111" s="6" t="str">
        <f>IF($K4111="","",IF($L4111="Crédit",$K4111,-$K4111))</f>
        <v/>
      </c>
      <c r="S4111" s="6" t="str">
        <f>IF($C4111="","",IFERROR(INDEX('Paramètres'!$H:$H,MATCH($C4111,'Paramètres'!$D:$D,0))&amp;"",""))</f>
        <v/>
      </c>
      <c r="T4111" s="6" t="str">
        <f>IF($K4111="","",IF($S4111="",0,IF(ISNUMBER(SEARCH("apport-exterieur",IFERROR(INDEX('Paramètres'!$N:$N,MATCH($D4111,'Paramètres'!$M:$M,0))&amp;"",""))),0,IF(OR(IFERROR(INDEX('Paramètres'!$I:$I,MATCH($C4111,'Paramètres'!$D:$D,0))&amp;"","")="Les deux",IFERROR(INDEX('Paramètres'!$I:$I,MATCH($C4111,'Paramètres'!$D:$D,0))&amp;"","")=IF($P4111=1,"Débit",$L4111)),-IF($P4111=1,-$K4111,$K4111),0))))</f>
        <v/>
      </c>
      <c r="U4111" s="6" t="str">
        <f>IF($K4111="","",IF(ISNUMBER(SEARCH("sortie-epargne",IFERROR(INDEX('Paramètres'!$N:$N,MATCH($D4111,'Paramètres'!$M:$M,0))&amp;"",""))),$K4111,0))</f>
        <v/>
      </c>
      <c r="V4111" s="6" t="str">
        <f>IF(AND($A4111&lt;&gt;"",$O4111=1,$L4111="Débit",N($Q4111)&gt;0,$A4111&gt;=Visualisation!$B$1,$A4111&lt;Visualisation!$D$1),MAX($V$1:V4110)+1,"")</f>
        <v/>
      </c>
    </row>
    <row r="4112" spans="1:22" x14ac:dyDescent="0.25">
      <c r="A4112" s="9"/>
      <c r="E4112" s="10"/>
      <c r="K4112" s="11" t="str">
        <f>IF($E4112="","",ROUND($E4112*IF(ISNA(MATCH($C4112,'Paramètres'!$D:$D,0)),1,IF(INDEX('Paramètres'!$J:$J,MATCH($C4112,'Paramètres'!$D:$D,0))="",1,INDEX('Paramètres'!$J:$J,MATCH($C4112,'Paramètres'!$D:$D,0)))),2))</f>
        <v/>
      </c>
      <c r="L4112" s="6" t="str">
        <f>IF($D4112="","",IF($F4112&lt;&gt;"",$F4112,IF(ISNA(MATCH($D4112,'Paramètres'!$M:$M,0)),"⚠ Type inconnu",IFERROR(INDEX('Paramètres'!$P:$P,MATCH($D4112,'Paramètres'!$M:$M,0))&amp;"",""))))</f>
        <v/>
      </c>
      <c r="M4112" s="6" t="str">
        <f>IF($D4112="","",IF(ISNA(MATCH($D4112,'Paramètres'!$M:$M,0)),"⚠ Type inconnu",IF($L4112="Crédit","",IFERROR(INDEX('Paramètres'!$O:$O,MATCH($D4112,'Paramètres'!$M:$M,0))&amp;"",""))))</f>
        <v/>
      </c>
      <c r="N4112" s="6" t="str">
        <f>IF($D4112="","",IFERROR(INDEX('Paramètres'!$Q:$Q,MATCH($D4112,'Paramètres'!$M:$M,0))&amp;"",""))</f>
        <v/>
      </c>
      <c r="O4112" s="6" t="str">
        <f>IF($A4112="","",IF(OR($J4112&lt;&gt;"x",$A4112&lt;=FinReleve),1,0))</f>
        <v/>
      </c>
      <c r="P4112" s="6" t="str">
        <f>IF($D4112="","",IF(AND($L4112="Crédit",OR(IFERROR(INDEX('Paramètres'!$O:$O,MATCH($D4112,'Paramètres'!$M:$M,0))&amp;"","")&lt;&gt;"",ISNUMBER(SEARCH("remboursement",IFERROR(INDEX('Paramètres'!$N:$N,MATCH($D4112,'Paramètres'!$M:$M,0))&amp;"",""))))),1,0))</f>
        <v/>
      </c>
      <c r="Q4112" s="6" t="str">
        <f>IF($K4112="","",IF(ISNUMBER(SEARCH("transfert-interne",IFERROR(INDEX('Paramètres'!$N:$N,MATCH($D4112,'Paramètres'!$M:$M,0))&amp;"",""))),0,IF($L4112="Débit",$K4112,IF($P4112=1,-$K4112,0))))</f>
        <v/>
      </c>
      <c r="R4112" s="6" t="str">
        <f>IF($K4112="","",IF($L4112="Crédit",$K4112,-$K4112))</f>
        <v/>
      </c>
      <c r="S4112" s="6" t="str">
        <f>IF($C4112="","",IFERROR(INDEX('Paramètres'!$H:$H,MATCH($C4112,'Paramètres'!$D:$D,0))&amp;"",""))</f>
        <v/>
      </c>
      <c r="T4112" s="6" t="str">
        <f>IF($K4112="","",IF($S4112="",0,IF(ISNUMBER(SEARCH("apport-exterieur",IFERROR(INDEX('Paramètres'!$N:$N,MATCH($D4112,'Paramètres'!$M:$M,0))&amp;"",""))),0,IF(OR(IFERROR(INDEX('Paramètres'!$I:$I,MATCH($C4112,'Paramètres'!$D:$D,0))&amp;"","")="Les deux",IFERROR(INDEX('Paramètres'!$I:$I,MATCH($C4112,'Paramètres'!$D:$D,0))&amp;"","")=IF($P4112=1,"Débit",$L4112)),-IF($P4112=1,-$K4112,$K4112),0))))</f>
        <v/>
      </c>
      <c r="U4112" s="6" t="str">
        <f>IF($K4112="","",IF(ISNUMBER(SEARCH("sortie-epargne",IFERROR(INDEX('Paramètres'!$N:$N,MATCH($D4112,'Paramètres'!$M:$M,0))&amp;"",""))),$K4112,0))</f>
        <v/>
      </c>
      <c r="V4112" s="6" t="str">
        <f>IF(AND($A4112&lt;&gt;"",$O4112=1,$L4112="Débit",N($Q4112)&gt;0,$A4112&gt;=Visualisation!$B$1,$A4112&lt;Visualisation!$D$1),MAX($V$1:V4111)+1,"")</f>
        <v/>
      </c>
    </row>
    <row r="4113" spans="1:22" x14ac:dyDescent="0.25">
      <c r="A4113" s="9"/>
      <c r="E4113" s="10"/>
      <c r="K4113" s="11" t="str">
        <f>IF($E4113="","",ROUND($E4113*IF(ISNA(MATCH($C4113,'Paramètres'!$D:$D,0)),1,IF(INDEX('Paramètres'!$J:$J,MATCH($C4113,'Paramètres'!$D:$D,0))="",1,INDEX('Paramètres'!$J:$J,MATCH($C4113,'Paramètres'!$D:$D,0)))),2))</f>
        <v/>
      </c>
      <c r="L4113" s="6" t="str">
        <f>IF($D4113="","",IF($F4113&lt;&gt;"",$F4113,IF(ISNA(MATCH($D4113,'Paramètres'!$M:$M,0)),"⚠ Type inconnu",IFERROR(INDEX('Paramètres'!$P:$P,MATCH($D4113,'Paramètres'!$M:$M,0))&amp;"",""))))</f>
        <v/>
      </c>
      <c r="M4113" s="6" t="str">
        <f>IF($D4113="","",IF(ISNA(MATCH($D4113,'Paramètres'!$M:$M,0)),"⚠ Type inconnu",IF($L4113="Crédit","",IFERROR(INDEX('Paramètres'!$O:$O,MATCH($D4113,'Paramètres'!$M:$M,0))&amp;"",""))))</f>
        <v/>
      </c>
      <c r="N4113" s="6" t="str">
        <f>IF($D4113="","",IFERROR(INDEX('Paramètres'!$Q:$Q,MATCH($D4113,'Paramètres'!$M:$M,0))&amp;"",""))</f>
        <v/>
      </c>
      <c r="O4113" s="6" t="str">
        <f>IF($A4113="","",IF(OR($J4113&lt;&gt;"x",$A4113&lt;=FinReleve),1,0))</f>
        <v/>
      </c>
      <c r="P4113" s="6" t="str">
        <f>IF($D4113="","",IF(AND($L4113="Crédit",OR(IFERROR(INDEX('Paramètres'!$O:$O,MATCH($D4113,'Paramètres'!$M:$M,0))&amp;"","")&lt;&gt;"",ISNUMBER(SEARCH("remboursement",IFERROR(INDEX('Paramètres'!$N:$N,MATCH($D4113,'Paramètres'!$M:$M,0))&amp;"",""))))),1,0))</f>
        <v/>
      </c>
      <c r="Q4113" s="6" t="str">
        <f>IF($K4113="","",IF(ISNUMBER(SEARCH("transfert-interne",IFERROR(INDEX('Paramètres'!$N:$N,MATCH($D4113,'Paramètres'!$M:$M,0))&amp;"",""))),0,IF($L4113="Débit",$K4113,IF($P4113=1,-$K4113,0))))</f>
        <v/>
      </c>
      <c r="R4113" s="6" t="str">
        <f>IF($K4113="","",IF($L4113="Crédit",$K4113,-$K4113))</f>
        <v/>
      </c>
      <c r="S4113" s="6" t="str">
        <f>IF($C4113="","",IFERROR(INDEX('Paramètres'!$H:$H,MATCH($C4113,'Paramètres'!$D:$D,0))&amp;"",""))</f>
        <v/>
      </c>
      <c r="T4113" s="6" t="str">
        <f>IF($K4113="","",IF($S4113="",0,IF(ISNUMBER(SEARCH("apport-exterieur",IFERROR(INDEX('Paramètres'!$N:$N,MATCH($D4113,'Paramètres'!$M:$M,0))&amp;"",""))),0,IF(OR(IFERROR(INDEX('Paramètres'!$I:$I,MATCH($C4113,'Paramètres'!$D:$D,0))&amp;"","")="Les deux",IFERROR(INDEX('Paramètres'!$I:$I,MATCH($C4113,'Paramètres'!$D:$D,0))&amp;"","")=IF($P4113=1,"Débit",$L4113)),-IF($P4113=1,-$K4113,$K4113),0))))</f>
        <v/>
      </c>
      <c r="U4113" s="6" t="str">
        <f>IF($K4113="","",IF(ISNUMBER(SEARCH("sortie-epargne",IFERROR(INDEX('Paramètres'!$N:$N,MATCH($D4113,'Paramètres'!$M:$M,0))&amp;"",""))),$K4113,0))</f>
        <v/>
      </c>
      <c r="V4113" s="6" t="str">
        <f>IF(AND($A4113&lt;&gt;"",$O4113=1,$L4113="Débit",N($Q4113)&gt;0,$A4113&gt;=Visualisation!$B$1,$A4113&lt;Visualisation!$D$1),MAX($V$1:V4112)+1,"")</f>
        <v/>
      </c>
    </row>
    <row r="4114" spans="1:22" x14ac:dyDescent="0.25">
      <c r="A4114" s="9"/>
      <c r="E4114" s="10"/>
      <c r="K4114" s="11" t="str">
        <f>IF($E4114="","",ROUND($E4114*IF(ISNA(MATCH($C4114,'Paramètres'!$D:$D,0)),1,IF(INDEX('Paramètres'!$J:$J,MATCH($C4114,'Paramètres'!$D:$D,0))="",1,INDEX('Paramètres'!$J:$J,MATCH($C4114,'Paramètres'!$D:$D,0)))),2))</f>
        <v/>
      </c>
      <c r="L4114" s="6" t="str">
        <f>IF($D4114="","",IF($F4114&lt;&gt;"",$F4114,IF(ISNA(MATCH($D4114,'Paramètres'!$M:$M,0)),"⚠ Type inconnu",IFERROR(INDEX('Paramètres'!$P:$P,MATCH($D4114,'Paramètres'!$M:$M,0))&amp;"",""))))</f>
        <v/>
      </c>
      <c r="M4114" s="6" t="str">
        <f>IF($D4114="","",IF(ISNA(MATCH($D4114,'Paramètres'!$M:$M,0)),"⚠ Type inconnu",IF($L4114="Crédit","",IFERROR(INDEX('Paramètres'!$O:$O,MATCH($D4114,'Paramètres'!$M:$M,0))&amp;"",""))))</f>
        <v/>
      </c>
      <c r="N4114" s="6" t="str">
        <f>IF($D4114="","",IFERROR(INDEX('Paramètres'!$Q:$Q,MATCH($D4114,'Paramètres'!$M:$M,0))&amp;"",""))</f>
        <v/>
      </c>
      <c r="O4114" s="6" t="str">
        <f>IF($A4114="","",IF(OR($J4114&lt;&gt;"x",$A4114&lt;=FinReleve),1,0))</f>
        <v/>
      </c>
      <c r="P4114" s="6" t="str">
        <f>IF($D4114="","",IF(AND($L4114="Crédit",OR(IFERROR(INDEX('Paramètres'!$O:$O,MATCH($D4114,'Paramètres'!$M:$M,0))&amp;"","")&lt;&gt;"",ISNUMBER(SEARCH("remboursement",IFERROR(INDEX('Paramètres'!$N:$N,MATCH($D4114,'Paramètres'!$M:$M,0))&amp;"",""))))),1,0))</f>
        <v/>
      </c>
      <c r="Q4114" s="6" t="str">
        <f>IF($K4114="","",IF(ISNUMBER(SEARCH("transfert-interne",IFERROR(INDEX('Paramètres'!$N:$N,MATCH($D4114,'Paramètres'!$M:$M,0))&amp;"",""))),0,IF($L4114="Débit",$K4114,IF($P4114=1,-$K4114,0))))</f>
        <v/>
      </c>
      <c r="R4114" s="6" t="str">
        <f>IF($K4114="","",IF($L4114="Crédit",$K4114,-$K4114))</f>
        <v/>
      </c>
      <c r="S4114" s="6" t="str">
        <f>IF($C4114="","",IFERROR(INDEX('Paramètres'!$H:$H,MATCH($C4114,'Paramètres'!$D:$D,0))&amp;"",""))</f>
        <v/>
      </c>
      <c r="T4114" s="6" t="str">
        <f>IF($K4114="","",IF($S4114="",0,IF(ISNUMBER(SEARCH("apport-exterieur",IFERROR(INDEX('Paramètres'!$N:$N,MATCH($D4114,'Paramètres'!$M:$M,0))&amp;"",""))),0,IF(OR(IFERROR(INDEX('Paramètres'!$I:$I,MATCH($C4114,'Paramètres'!$D:$D,0))&amp;"","")="Les deux",IFERROR(INDEX('Paramètres'!$I:$I,MATCH($C4114,'Paramètres'!$D:$D,0))&amp;"","")=IF($P4114=1,"Débit",$L4114)),-IF($P4114=1,-$K4114,$K4114),0))))</f>
        <v/>
      </c>
      <c r="U4114" s="6" t="str">
        <f>IF($K4114="","",IF(ISNUMBER(SEARCH("sortie-epargne",IFERROR(INDEX('Paramètres'!$N:$N,MATCH($D4114,'Paramètres'!$M:$M,0))&amp;"",""))),$K4114,0))</f>
        <v/>
      </c>
      <c r="V4114" s="6" t="str">
        <f>IF(AND($A4114&lt;&gt;"",$O4114=1,$L4114="Débit",N($Q4114)&gt;0,$A4114&gt;=Visualisation!$B$1,$A4114&lt;Visualisation!$D$1),MAX($V$1:V4113)+1,"")</f>
        <v/>
      </c>
    </row>
    <row r="4115" spans="1:22" x14ac:dyDescent="0.25">
      <c r="A4115" s="9"/>
      <c r="E4115" s="10"/>
      <c r="K4115" s="11" t="str">
        <f>IF($E4115="","",ROUND($E4115*IF(ISNA(MATCH($C4115,'Paramètres'!$D:$D,0)),1,IF(INDEX('Paramètres'!$J:$J,MATCH($C4115,'Paramètres'!$D:$D,0))="",1,INDEX('Paramètres'!$J:$J,MATCH($C4115,'Paramètres'!$D:$D,0)))),2))</f>
        <v/>
      </c>
      <c r="L4115" s="6" t="str">
        <f>IF($D4115="","",IF($F4115&lt;&gt;"",$F4115,IF(ISNA(MATCH($D4115,'Paramètres'!$M:$M,0)),"⚠ Type inconnu",IFERROR(INDEX('Paramètres'!$P:$P,MATCH($D4115,'Paramètres'!$M:$M,0))&amp;"",""))))</f>
        <v/>
      </c>
      <c r="M4115" s="6" t="str">
        <f>IF($D4115="","",IF(ISNA(MATCH($D4115,'Paramètres'!$M:$M,0)),"⚠ Type inconnu",IF($L4115="Crédit","",IFERROR(INDEX('Paramètres'!$O:$O,MATCH($D4115,'Paramètres'!$M:$M,0))&amp;"",""))))</f>
        <v/>
      </c>
      <c r="N4115" s="6" t="str">
        <f>IF($D4115="","",IFERROR(INDEX('Paramètres'!$Q:$Q,MATCH($D4115,'Paramètres'!$M:$M,0))&amp;"",""))</f>
        <v/>
      </c>
      <c r="O4115" s="6" t="str">
        <f>IF($A4115="","",IF(OR($J4115&lt;&gt;"x",$A4115&lt;=FinReleve),1,0))</f>
        <v/>
      </c>
      <c r="P4115" s="6" t="str">
        <f>IF($D4115="","",IF(AND($L4115="Crédit",OR(IFERROR(INDEX('Paramètres'!$O:$O,MATCH($D4115,'Paramètres'!$M:$M,0))&amp;"","")&lt;&gt;"",ISNUMBER(SEARCH("remboursement",IFERROR(INDEX('Paramètres'!$N:$N,MATCH($D4115,'Paramètres'!$M:$M,0))&amp;"",""))))),1,0))</f>
        <v/>
      </c>
      <c r="Q4115" s="6" t="str">
        <f>IF($K4115="","",IF(ISNUMBER(SEARCH("transfert-interne",IFERROR(INDEX('Paramètres'!$N:$N,MATCH($D4115,'Paramètres'!$M:$M,0))&amp;"",""))),0,IF($L4115="Débit",$K4115,IF($P4115=1,-$K4115,0))))</f>
        <v/>
      </c>
      <c r="R4115" s="6" t="str">
        <f>IF($K4115="","",IF($L4115="Crédit",$K4115,-$K4115))</f>
        <v/>
      </c>
      <c r="S4115" s="6" t="str">
        <f>IF($C4115="","",IFERROR(INDEX('Paramètres'!$H:$H,MATCH($C4115,'Paramètres'!$D:$D,0))&amp;"",""))</f>
        <v/>
      </c>
      <c r="T4115" s="6" t="str">
        <f>IF($K4115="","",IF($S4115="",0,IF(ISNUMBER(SEARCH("apport-exterieur",IFERROR(INDEX('Paramètres'!$N:$N,MATCH($D4115,'Paramètres'!$M:$M,0))&amp;"",""))),0,IF(OR(IFERROR(INDEX('Paramètres'!$I:$I,MATCH($C4115,'Paramètres'!$D:$D,0))&amp;"","")="Les deux",IFERROR(INDEX('Paramètres'!$I:$I,MATCH($C4115,'Paramètres'!$D:$D,0))&amp;"","")=IF($P4115=1,"Débit",$L4115)),-IF($P4115=1,-$K4115,$K4115),0))))</f>
        <v/>
      </c>
      <c r="U4115" s="6" t="str">
        <f>IF($K4115="","",IF(ISNUMBER(SEARCH("sortie-epargne",IFERROR(INDEX('Paramètres'!$N:$N,MATCH($D4115,'Paramètres'!$M:$M,0))&amp;"",""))),$K4115,0))</f>
        <v/>
      </c>
      <c r="V4115" s="6" t="str">
        <f>IF(AND($A4115&lt;&gt;"",$O4115=1,$L4115="Débit",N($Q4115)&gt;0,$A4115&gt;=Visualisation!$B$1,$A4115&lt;Visualisation!$D$1),MAX($V$1:V4114)+1,"")</f>
        <v/>
      </c>
    </row>
    <row r="4116" spans="1:22" x14ac:dyDescent="0.25">
      <c r="A4116" s="9"/>
      <c r="E4116" s="10"/>
      <c r="K4116" s="11" t="str">
        <f>IF($E4116="","",ROUND($E4116*IF(ISNA(MATCH($C4116,'Paramètres'!$D:$D,0)),1,IF(INDEX('Paramètres'!$J:$J,MATCH($C4116,'Paramètres'!$D:$D,0))="",1,INDEX('Paramètres'!$J:$J,MATCH($C4116,'Paramètres'!$D:$D,0)))),2))</f>
        <v/>
      </c>
      <c r="L4116" s="6" t="str">
        <f>IF($D4116="","",IF($F4116&lt;&gt;"",$F4116,IF(ISNA(MATCH($D4116,'Paramètres'!$M:$M,0)),"⚠ Type inconnu",IFERROR(INDEX('Paramètres'!$P:$P,MATCH($D4116,'Paramètres'!$M:$M,0))&amp;"",""))))</f>
        <v/>
      </c>
      <c r="M4116" s="6" t="str">
        <f>IF($D4116="","",IF(ISNA(MATCH($D4116,'Paramètres'!$M:$M,0)),"⚠ Type inconnu",IF($L4116="Crédit","",IFERROR(INDEX('Paramètres'!$O:$O,MATCH($D4116,'Paramètres'!$M:$M,0))&amp;"",""))))</f>
        <v/>
      </c>
      <c r="N4116" s="6" t="str">
        <f>IF($D4116="","",IFERROR(INDEX('Paramètres'!$Q:$Q,MATCH($D4116,'Paramètres'!$M:$M,0))&amp;"",""))</f>
        <v/>
      </c>
      <c r="O4116" s="6" t="str">
        <f>IF($A4116="","",IF(OR($J4116&lt;&gt;"x",$A4116&lt;=FinReleve),1,0))</f>
        <v/>
      </c>
      <c r="P4116" s="6" t="str">
        <f>IF($D4116="","",IF(AND($L4116="Crédit",OR(IFERROR(INDEX('Paramètres'!$O:$O,MATCH($D4116,'Paramètres'!$M:$M,0))&amp;"","")&lt;&gt;"",ISNUMBER(SEARCH("remboursement",IFERROR(INDEX('Paramètres'!$N:$N,MATCH($D4116,'Paramètres'!$M:$M,0))&amp;"",""))))),1,0))</f>
        <v/>
      </c>
      <c r="Q4116" s="6" t="str">
        <f>IF($K4116="","",IF(ISNUMBER(SEARCH("transfert-interne",IFERROR(INDEX('Paramètres'!$N:$N,MATCH($D4116,'Paramètres'!$M:$M,0))&amp;"",""))),0,IF($L4116="Débit",$K4116,IF($P4116=1,-$K4116,0))))</f>
        <v/>
      </c>
      <c r="R4116" s="6" t="str">
        <f>IF($K4116="","",IF($L4116="Crédit",$K4116,-$K4116))</f>
        <v/>
      </c>
      <c r="S4116" s="6" t="str">
        <f>IF($C4116="","",IFERROR(INDEX('Paramètres'!$H:$H,MATCH($C4116,'Paramètres'!$D:$D,0))&amp;"",""))</f>
        <v/>
      </c>
      <c r="T4116" s="6" t="str">
        <f>IF($K4116="","",IF($S4116="",0,IF(ISNUMBER(SEARCH("apport-exterieur",IFERROR(INDEX('Paramètres'!$N:$N,MATCH($D4116,'Paramètres'!$M:$M,0))&amp;"",""))),0,IF(OR(IFERROR(INDEX('Paramètres'!$I:$I,MATCH($C4116,'Paramètres'!$D:$D,0))&amp;"","")="Les deux",IFERROR(INDEX('Paramètres'!$I:$I,MATCH($C4116,'Paramètres'!$D:$D,0))&amp;"","")=IF($P4116=1,"Débit",$L4116)),-IF($P4116=1,-$K4116,$K4116),0))))</f>
        <v/>
      </c>
      <c r="U4116" s="6" t="str">
        <f>IF($K4116="","",IF(ISNUMBER(SEARCH("sortie-epargne",IFERROR(INDEX('Paramètres'!$N:$N,MATCH($D4116,'Paramètres'!$M:$M,0))&amp;"",""))),$K4116,0))</f>
        <v/>
      </c>
      <c r="V4116" s="6" t="str">
        <f>IF(AND($A4116&lt;&gt;"",$O4116=1,$L4116="Débit",N($Q4116)&gt;0,$A4116&gt;=Visualisation!$B$1,$A4116&lt;Visualisation!$D$1),MAX($V$1:V4115)+1,"")</f>
        <v/>
      </c>
    </row>
    <row r="4117" spans="1:22" x14ac:dyDescent="0.25">
      <c r="A4117" s="9"/>
      <c r="E4117" s="10"/>
      <c r="K4117" s="11" t="str">
        <f>IF($E4117="","",ROUND($E4117*IF(ISNA(MATCH($C4117,'Paramètres'!$D:$D,0)),1,IF(INDEX('Paramètres'!$J:$J,MATCH($C4117,'Paramètres'!$D:$D,0))="",1,INDEX('Paramètres'!$J:$J,MATCH($C4117,'Paramètres'!$D:$D,0)))),2))</f>
        <v/>
      </c>
      <c r="L4117" s="6" t="str">
        <f>IF($D4117="","",IF($F4117&lt;&gt;"",$F4117,IF(ISNA(MATCH($D4117,'Paramètres'!$M:$M,0)),"⚠ Type inconnu",IFERROR(INDEX('Paramètres'!$P:$P,MATCH($D4117,'Paramètres'!$M:$M,0))&amp;"",""))))</f>
        <v/>
      </c>
      <c r="M4117" s="6" t="str">
        <f>IF($D4117="","",IF(ISNA(MATCH($D4117,'Paramètres'!$M:$M,0)),"⚠ Type inconnu",IF($L4117="Crédit","",IFERROR(INDEX('Paramètres'!$O:$O,MATCH($D4117,'Paramètres'!$M:$M,0))&amp;"",""))))</f>
        <v/>
      </c>
      <c r="N4117" s="6" t="str">
        <f>IF($D4117="","",IFERROR(INDEX('Paramètres'!$Q:$Q,MATCH($D4117,'Paramètres'!$M:$M,0))&amp;"",""))</f>
        <v/>
      </c>
      <c r="O4117" s="6" t="str">
        <f>IF($A4117="","",IF(OR($J4117&lt;&gt;"x",$A4117&lt;=FinReleve),1,0))</f>
        <v/>
      </c>
      <c r="P4117" s="6" t="str">
        <f>IF($D4117="","",IF(AND($L4117="Crédit",OR(IFERROR(INDEX('Paramètres'!$O:$O,MATCH($D4117,'Paramètres'!$M:$M,0))&amp;"","")&lt;&gt;"",ISNUMBER(SEARCH("remboursement",IFERROR(INDEX('Paramètres'!$N:$N,MATCH($D4117,'Paramètres'!$M:$M,0))&amp;"",""))))),1,0))</f>
        <v/>
      </c>
      <c r="Q4117" s="6" t="str">
        <f>IF($K4117="","",IF(ISNUMBER(SEARCH("transfert-interne",IFERROR(INDEX('Paramètres'!$N:$N,MATCH($D4117,'Paramètres'!$M:$M,0))&amp;"",""))),0,IF($L4117="Débit",$K4117,IF($P4117=1,-$K4117,0))))</f>
        <v/>
      </c>
      <c r="R4117" s="6" t="str">
        <f>IF($K4117="","",IF($L4117="Crédit",$K4117,-$K4117))</f>
        <v/>
      </c>
      <c r="S4117" s="6" t="str">
        <f>IF($C4117="","",IFERROR(INDEX('Paramètres'!$H:$H,MATCH($C4117,'Paramètres'!$D:$D,0))&amp;"",""))</f>
        <v/>
      </c>
      <c r="T4117" s="6" t="str">
        <f>IF($K4117="","",IF($S4117="",0,IF(ISNUMBER(SEARCH("apport-exterieur",IFERROR(INDEX('Paramètres'!$N:$N,MATCH($D4117,'Paramètres'!$M:$M,0))&amp;"",""))),0,IF(OR(IFERROR(INDEX('Paramètres'!$I:$I,MATCH($C4117,'Paramètres'!$D:$D,0))&amp;"","")="Les deux",IFERROR(INDEX('Paramètres'!$I:$I,MATCH($C4117,'Paramètres'!$D:$D,0))&amp;"","")=IF($P4117=1,"Débit",$L4117)),-IF($P4117=1,-$K4117,$K4117),0))))</f>
        <v/>
      </c>
      <c r="U4117" s="6" t="str">
        <f>IF($K4117="","",IF(ISNUMBER(SEARCH("sortie-epargne",IFERROR(INDEX('Paramètres'!$N:$N,MATCH($D4117,'Paramètres'!$M:$M,0))&amp;"",""))),$K4117,0))</f>
        <v/>
      </c>
      <c r="V4117" s="6" t="str">
        <f>IF(AND($A4117&lt;&gt;"",$O4117=1,$L4117="Débit",N($Q4117)&gt;0,$A4117&gt;=Visualisation!$B$1,$A4117&lt;Visualisation!$D$1),MAX($V$1:V4116)+1,"")</f>
        <v/>
      </c>
    </row>
    <row r="4118" spans="1:22" x14ac:dyDescent="0.25">
      <c r="A4118" s="9"/>
      <c r="E4118" s="10"/>
      <c r="K4118" s="11" t="str">
        <f>IF($E4118="","",ROUND($E4118*IF(ISNA(MATCH($C4118,'Paramètres'!$D:$D,0)),1,IF(INDEX('Paramètres'!$J:$J,MATCH($C4118,'Paramètres'!$D:$D,0))="",1,INDEX('Paramètres'!$J:$J,MATCH($C4118,'Paramètres'!$D:$D,0)))),2))</f>
        <v/>
      </c>
      <c r="L4118" s="6" t="str">
        <f>IF($D4118="","",IF($F4118&lt;&gt;"",$F4118,IF(ISNA(MATCH($D4118,'Paramètres'!$M:$M,0)),"⚠ Type inconnu",IFERROR(INDEX('Paramètres'!$P:$P,MATCH($D4118,'Paramètres'!$M:$M,0))&amp;"",""))))</f>
        <v/>
      </c>
      <c r="M4118" s="6" t="str">
        <f>IF($D4118="","",IF(ISNA(MATCH($D4118,'Paramètres'!$M:$M,0)),"⚠ Type inconnu",IF($L4118="Crédit","",IFERROR(INDEX('Paramètres'!$O:$O,MATCH($D4118,'Paramètres'!$M:$M,0))&amp;"",""))))</f>
        <v/>
      </c>
      <c r="N4118" s="6" t="str">
        <f>IF($D4118="","",IFERROR(INDEX('Paramètres'!$Q:$Q,MATCH($D4118,'Paramètres'!$M:$M,0))&amp;"",""))</f>
        <v/>
      </c>
      <c r="O4118" s="6" t="str">
        <f>IF($A4118="","",IF(OR($J4118&lt;&gt;"x",$A4118&lt;=FinReleve),1,0))</f>
        <v/>
      </c>
      <c r="P4118" s="6" t="str">
        <f>IF($D4118="","",IF(AND($L4118="Crédit",OR(IFERROR(INDEX('Paramètres'!$O:$O,MATCH($D4118,'Paramètres'!$M:$M,0))&amp;"","")&lt;&gt;"",ISNUMBER(SEARCH("remboursement",IFERROR(INDEX('Paramètres'!$N:$N,MATCH($D4118,'Paramètres'!$M:$M,0))&amp;"",""))))),1,0))</f>
        <v/>
      </c>
      <c r="Q4118" s="6" t="str">
        <f>IF($K4118="","",IF(ISNUMBER(SEARCH("transfert-interne",IFERROR(INDEX('Paramètres'!$N:$N,MATCH($D4118,'Paramètres'!$M:$M,0))&amp;"",""))),0,IF($L4118="Débit",$K4118,IF($P4118=1,-$K4118,0))))</f>
        <v/>
      </c>
      <c r="R4118" s="6" t="str">
        <f>IF($K4118="","",IF($L4118="Crédit",$K4118,-$K4118))</f>
        <v/>
      </c>
      <c r="S4118" s="6" t="str">
        <f>IF($C4118="","",IFERROR(INDEX('Paramètres'!$H:$H,MATCH($C4118,'Paramètres'!$D:$D,0))&amp;"",""))</f>
        <v/>
      </c>
      <c r="T4118" s="6" t="str">
        <f>IF($K4118="","",IF($S4118="",0,IF(ISNUMBER(SEARCH("apport-exterieur",IFERROR(INDEX('Paramètres'!$N:$N,MATCH($D4118,'Paramètres'!$M:$M,0))&amp;"",""))),0,IF(OR(IFERROR(INDEX('Paramètres'!$I:$I,MATCH($C4118,'Paramètres'!$D:$D,0))&amp;"","")="Les deux",IFERROR(INDEX('Paramètres'!$I:$I,MATCH($C4118,'Paramètres'!$D:$D,0))&amp;"","")=IF($P4118=1,"Débit",$L4118)),-IF($P4118=1,-$K4118,$K4118),0))))</f>
        <v/>
      </c>
      <c r="U4118" s="6" t="str">
        <f>IF($K4118="","",IF(ISNUMBER(SEARCH("sortie-epargne",IFERROR(INDEX('Paramètres'!$N:$N,MATCH($D4118,'Paramètres'!$M:$M,0))&amp;"",""))),$K4118,0))</f>
        <v/>
      </c>
      <c r="V4118" s="6" t="str">
        <f>IF(AND($A4118&lt;&gt;"",$O4118=1,$L4118="Débit",N($Q4118)&gt;0,$A4118&gt;=Visualisation!$B$1,$A4118&lt;Visualisation!$D$1),MAX($V$1:V4117)+1,"")</f>
        <v/>
      </c>
    </row>
    <row r="4119" spans="1:22" x14ac:dyDescent="0.25">
      <c r="A4119" s="9"/>
      <c r="E4119" s="10"/>
      <c r="K4119" s="11" t="str">
        <f>IF($E4119="","",ROUND($E4119*IF(ISNA(MATCH($C4119,'Paramètres'!$D:$D,0)),1,IF(INDEX('Paramètres'!$J:$J,MATCH($C4119,'Paramètres'!$D:$D,0))="",1,INDEX('Paramètres'!$J:$J,MATCH($C4119,'Paramètres'!$D:$D,0)))),2))</f>
        <v/>
      </c>
      <c r="L4119" s="6" t="str">
        <f>IF($D4119="","",IF($F4119&lt;&gt;"",$F4119,IF(ISNA(MATCH($D4119,'Paramètres'!$M:$M,0)),"⚠ Type inconnu",IFERROR(INDEX('Paramètres'!$P:$P,MATCH($D4119,'Paramètres'!$M:$M,0))&amp;"",""))))</f>
        <v/>
      </c>
      <c r="M4119" s="6" t="str">
        <f>IF($D4119="","",IF(ISNA(MATCH($D4119,'Paramètres'!$M:$M,0)),"⚠ Type inconnu",IF($L4119="Crédit","",IFERROR(INDEX('Paramètres'!$O:$O,MATCH($D4119,'Paramètres'!$M:$M,0))&amp;"",""))))</f>
        <v/>
      </c>
      <c r="N4119" s="6" t="str">
        <f>IF($D4119="","",IFERROR(INDEX('Paramètres'!$Q:$Q,MATCH($D4119,'Paramètres'!$M:$M,0))&amp;"",""))</f>
        <v/>
      </c>
      <c r="O4119" s="6" t="str">
        <f>IF($A4119="","",IF(OR($J4119&lt;&gt;"x",$A4119&lt;=FinReleve),1,0))</f>
        <v/>
      </c>
      <c r="P4119" s="6" t="str">
        <f>IF($D4119="","",IF(AND($L4119="Crédit",OR(IFERROR(INDEX('Paramètres'!$O:$O,MATCH($D4119,'Paramètres'!$M:$M,0))&amp;"","")&lt;&gt;"",ISNUMBER(SEARCH("remboursement",IFERROR(INDEX('Paramètres'!$N:$N,MATCH($D4119,'Paramètres'!$M:$M,0))&amp;"",""))))),1,0))</f>
        <v/>
      </c>
      <c r="Q4119" s="6" t="str">
        <f>IF($K4119="","",IF(ISNUMBER(SEARCH("transfert-interne",IFERROR(INDEX('Paramètres'!$N:$N,MATCH($D4119,'Paramètres'!$M:$M,0))&amp;"",""))),0,IF($L4119="Débit",$K4119,IF($P4119=1,-$K4119,0))))</f>
        <v/>
      </c>
      <c r="R4119" s="6" t="str">
        <f>IF($K4119="","",IF($L4119="Crédit",$K4119,-$K4119))</f>
        <v/>
      </c>
      <c r="S4119" s="6" t="str">
        <f>IF($C4119="","",IFERROR(INDEX('Paramètres'!$H:$H,MATCH($C4119,'Paramètres'!$D:$D,0))&amp;"",""))</f>
        <v/>
      </c>
      <c r="T4119" s="6" t="str">
        <f>IF($K4119="","",IF($S4119="",0,IF(ISNUMBER(SEARCH("apport-exterieur",IFERROR(INDEX('Paramètres'!$N:$N,MATCH($D4119,'Paramètres'!$M:$M,0))&amp;"",""))),0,IF(OR(IFERROR(INDEX('Paramètres'!$I:$I,MATCH($C4119,'Paramètres'!$D:$D,0))&amp;"","")="Les deux",IFERROR(INDEX('Paramètres'!$I:$I,MATCH($C4119,'Paramètres'!$D:$D,0))&amp;"","")=IF($P4119=1,"Débit",$L4119)),-IF($P4119=1,-$K4119,$K4119),0))))</f>
        <v/>
      </c>
      <c r="U4119" s="6" t="str">
        <f>IF($K4119="","",IF(ISNUMBER(SEARCH("sortie-epargne",IFERROR(INDEX('Paramètres'!$N:$N,MATCH($D4119,'Paramètres'!$M:$M,0))&amp;"",""))),$K4119,0))</f>
        <v/>
      </c>
      <c r="V4119" s="6" t="str">
        <f>IF(AND($A4119&lt;&gt;"",$O4119=1,$L4119="Débit",N($Q4119)&gt;0,$A4119&gt;=Visualisation!$B$1,$A4119&lt;Visualisation!$D$1),MAX($V$1:V4118)+1,"")</f>
        <v/>
      </c>
    </row>
    <row r="4120" spans="1:22" x14ac:dyDescent="0.25">
      <c r="A4120" s="9"/>
      <c r="E4120" s="10"/>
      <c r="K4120" s="11" t="str">
        <f>IF($E4120="","",ROUND($E4120*IF(ISNA(MATCH($C4120,'Paramètres'!$D:$D,0)),1,IF(INDEX('Paramètres'!$J:$J,MATCH($C4120,'Paramètres'!$D:$D,0))="",1,INDEX('Paramètres'!$J:$J,MATCH($C4120,'Paramètres'!$D:$D,0)))),2))</f>
        <v/>
      </c>
      <c r="L4120" s="6" t="str">
        <f>IF($D4120="","",IF($F4120&lt;&gt;"",$F4120,IF(ISNA(MATCH($D4120,'Paramètres'!$M:$M,0)),"⚠ Type inconnu",IFERROR(INDEX('Paramètres'!$P:$P,MATCH($D4120,'Paramètres'!$M:$M,0))&amp;"",""))))</f>
        <v/>
      </c>
      <c r="M4120" s="6" t="str">
        <f>IF($D4120="","",IF(ISNA(MATCH($D4120,'Paramètres'!$M:$M,0)),"⚠ Type inconnu",IF($L4120="Crédit","",IFERROR(INDEX('Paramètres'!$O:$O,MATCH($D4120,'Paramètres'!$M:$M,0))&amp;"",""))))</f>
        <v/>
      </c>
      <c r="N4120" s="6" t="str">
        <f>IF($D4120="","",IFERROR(INDEX('Paramètres'!$Q:$Q,MATCH($D4120,'Paramètres'!$M:$M,0))&amp;"",""))</f>
        <v/>
      </c>
      <c r="O4120" s="6" t="str">
        <f>IF($A4120="","",IF(OR($J4120&lt;&gt;"x",$A4120&lt;=FinReleve),1,0))</f>
        <v/>
      </c>
      <c r="P4120" s="6" t="str">
        <f>IF($D4120="","",IF(AND($L4120="Crédit",OR(IFERROR(INDEX('Paramètres'!$O:$O,MATCH($D4120,'Paramètres'!$M:$M,0))&amp;"","")&lt;&gt;"",ISNUMBER(SEARCH("remboursement",IFERROR(INDEX('Paramètres'!$N:$N,MATCH($D4120,'Paramètres'!$M:$M,0))&amp;"",""))))),1,0))</f>
        <v/>
      </c>
      <c r="Q4120" s="6" t="str">
        <f>IF($K4120="","",IF(ISNUMBER(SEARCH("transfert-interne",IFERROR(INDEX('Paramètres'!$N:$N,MATCH($D4120,'Paramètres'!$M:$M,0))&amp;"",""))),0,IF($L4120="Débit",$K4120,IF($P4120=1,-$K4120,0))))</f>
        <v/>
      </c>
      <c r="R4120" s="6" t="str">
        <f>IF($K4120="","",IF($L4120="Crédit",$K4120,-$K4120))</f>
        <v/>
      </c>
      <c r="S4120" s="6" t="str">
        <f>IF($C4120="","",IFERROR(INDEX('Paramètres'!$H:$H,MATCH($C4120,'Paramètres'!$D:$D,0))&amp;"",""))</f>
        <v/>
      </c>
      <c r="T4120" s="6" t="str">
        <f>IF($K4120="","",IF($S4120="",0,IF(ISNUMBER(SEARCH("apport-exterieur",IFERROR(INDEX('Paramètres'!$N:$N,MATCH($D4120,'Paramètres'!$M:$M,0))&amp;"",""))),0,IF(OR(IFERROR(INDEX('Paramètres'!$I:$I,MATCH($C4120,'Paramètres'!$D:$D,0))&amp;"","")="Les deux",IFERROR(INDEX('Paramètres'!$I:$I,MATCH($C4120,'Paramètres'!$D:$D,0))&amp;"","")=IF($P4120=1,"Débit",$L4120)),-IF($P4120=1,-$K4120,$K4120),0))))</f>
        <v/>
      </c>
      <c r="U4120" s="6" t="str">
        <f>IF($K4120="","",IF(ISNUMBER(SEARCH("sortie-epargne",IFERROR(INDEX('Paramètres'!$N:$N,MATCH($D4120,'Paramètres'!$M:$M,0))&amp;"",""))),$K4120,0))</f>
        <v/>
      </c>
      <c r="V4120" s="6" t="str">
        <f>IF(AND($A4120&lt;&gt;"",$O4120=1,$L4120="Débit",N($Q4120)&gt;0,$A4120&gt;=Visualisation!$B$1,$A4120&lt;Visualisation!$D$1),MAX($V$1:V4119)+1,"")</f>
        <v/>
      </c>
    </row>
    <row r="4121" spans="1:22" x14ac:dyDescent="0.25">
      <c r="A4121" s="9"/>
      <c r="E4121" s="10"/>
      <c r="K4121" s="11" t="str">
        <f>IF($E4121="","",ROUND($E4121*IF(ISNA(MATCH($C4121,'Paramètres'!$D:$D,0)),1,IF(INDEX('Paramètres'!$J:$J,MATCH($C4121,'Paramètres'!$D:$D,0))="",1,INDEX('Paramètres'!$J:$J,MATCH($C4121,'Paramètres'!$D:$D,0)))),2))</f>
        <v/>
      </c>
      <c r="L4121" s="6" t="str">
        <f>IF($D4121="","",IF($F4121&lt;&gt;"",$F4121,IF(ISNA(MATCH($D4121,'Paramètres'!$M:$M,0)),"⚠ Type inconnu",IFERROR(INDEX('Paramètres'!$P:$P,MATCH($D4121,'Paramètres'!$M:$M,0))&amp;"",""))))</f>
        <v/>
      </c>
      <c r="M4121" s="6" t="str">
        <f>IF($D4121="","",IF(ISNA(MATCH($D4121,'Paramètres'!$M:$M,0)),"⚠ Type inconnu",IF($L4121="Crédit","",IFERROR(INDEX('Paramètres'!$O:$O,MATCH($D4121,'Paramètres'!$M:$M,0))&amp;"",""))))</f>
        <v/>
      </c>
      <c r="N4121" s="6" t="str">
        <f>IF($D4121="","",IFERROR(INDEX('Paramètres'!$Q:$Q,MATCH($D4121,'Paramètres'!$M:$M,0))&amp;"",""))</f>
        <v/>
      </c>
      <c r="O4121" s="6" t="str">
        <f>IF($A4121="","",IF(OR($J4121&lt;&gt;"x",$A4121&lt;=FinReleve),1,0))</f>
        <v/>
      </c>
      <c r="P4121" s="6" t="str">
        <f>IF($D4121="","",IF(AND($L4121="Crédit",OR(IFERROR(INDEX('Paramètres'!$O:$O,MATCH($D4121,'Paramètres'!$M:$M,0))&amp;"","")&lt;&gt;"",ISNUMBER(SEARCH("remboursement",IFERROR(INDEX('Paramètres'!$N:$N,MATCH($D4121,'Paramètres'!$M:$M,0))&amp;"",""))))),1,0))</f>
        <v/>
      </c>
      <c r="Q4121" s="6" t="str">
        <f>IF($K4121="","",IF(ISNUMBER(SEARCH("transfert-interne",IFERROR(INDEX('Paramètres'!$N:$N,MATCH($D4121,'Paramètres'!$M:$M,0))&amp;"",""))),0,IF($L4121="Débit",$K4121,IF($P4121=1,-$K4121,0))))</f>
        <v/>
      </c>
      <c r="R4121" s="6" t="str">
        <f>IF($K4121="","",IF($L4121="Crédit",$K4121,-$K4121))</f>
        <v/>
      </c>
      <c r="S4121" s="6" t="str">
        <f>IF($C4121="","",IFERROR(INDEX('Paramètres'!$H:$H,MATCH($C4121,'Paramètres'!$D:$D,0))&amp;"",""))</f>
        <v/>
      </c>
      <c r="T4121" s="6" t="str">
        <f>IF($K4121="","",IF($S4121="",0,IF(ISNUMBER(SEARCH("apport-exterieur",IFERROR(INDEX('Paramètres'!$N:$N,MATCH($D4121,'Paramètres'!$M:$M,0))&amp;"",""))),0,IF(OR(IFERROR(INDEX('Paramètres'!$I:$I,MATCH($C4121,'Paramètres'!$D:$D,0))&amp;"","")="Les deux",IFERROR(INDEX('Paramètres'!$I:$I,MATCH($C4121,'Paramètres'!$D:$D,0))&amp;"","")=IF($P4121=1,"Débit",$L4121)),-IF($P4121=1,-$K4121,$K4121),0))))</f>
        <v/>
      </c>
      <c r="U4121" s="6" t="str">
        <f>IF($K4121="","",IF(ISNUMBER(SEARCH("sortie-epargne",IFERROR(INDEX('Paramètres'!$N:$N,MATCH($D4121,'Paramètres'!$M:$M,0))&amp;"",""))),$K4121,0))</f>
        <v/>
      </c>
      <c r="V4121" s="6" t="str">
        <f>IF(AND($A4121&lt;&gt;"",$O4121=1,$L4121="Débit",N($Q4121)&gt;0,$A4121&gt;=Visualisation!$B$1,$A4121&lt;Visualisation!$D$1),MAX($V$1:V4120)+1,"")</f>
        <v/>
      </c>
    </row>
    <row r="4122" spans="1:22" x14ac:dyDescent="0.25">
      <c r="A4122" s="9"/>
      <c r="E4122" s="10"/>
      <c r="K4122" s="11" t="str">
        <f>IF($E4122="","",ROUND($E4122*IF(ISNA(MATCH($C4122,'Paramètres'!$D:$D,0)),1,IF(INDEX('Paramètres'!$J:$J,MATCH($C4122,'Paramètres'!$D:$D,0))="",1,INDEX('Paramètres'!$J:$J,MATCH($C4122,'Paramètres'!$D:$D,0)))),2))</f>
        <v/>
      </c>
      <c r="L4122" s="6" t="str">
        <f>IF($D4122="","",IF($F4122&lt;&gt;"",$F4122,IF(ISNA(MATCH($D4122,'Paramètres'!$M:$M,0)),"⚠ Type inconnu",IFERROR(INDEX('Paramètres'!$P:$P,MATCH($D4122,'Paramètres'!$M:$M,0))&amp;"",""))))</f>
        <v/>
      </c>
      <c r="M4122" s="6" t="str">
        <f>IF($D4122="","",IF(ISNA(MATCH($D4122,'Paramètres'!$M:$M,0)),"⚠ Type inconnu",IF($L4122="Crédit","",IFERROR(INDEX('Paramètres'!$O:$O,MATCH($D4122,'Paramètres'!$M:$M,0))&amp;"",""))))</f>
        <v/>
      </c>
      <c r="N4122" s="6" t="str">
        <f>IF($D4122="","",IFERROR(INDEX('Paramètres'!$Q:$Q,MATCH($D4122,'Paramètres'!$M:$M,0))&amp;"",""))</f>
        <v/>
      </c>
      <c r="O4122" s="6" t="str">
        <f>IF($A4122="","",IF(OR($J4122&lt;&gt;"x",$A4122&lt;=FinReleve),1,0))</f>
        <v/>
      </c>
      <c r="P4122" s="6" t="str">
        <f>IF($D4122="","",IF(AND($L4122="Crédit",OR(IFERROR(INDEX('Paramètres'!$O:$O,MATCH($D4122,'Paramètres'!$M:$M,0))&amp;"","")&lt;&gt;"",ISNUMBER(SEARCH("remboursement",IFERROR(INDEX('Paramètres'!$N:$N,MATCH($D4122,'Paramètres'!$M:$M,0))&amp;"",""))))),1,0))</f>
        <v/>
      </c>
      <c r="Q4122" s="6" t="str">
        <f>IF($K4122="","",IF(ISNUMBER(SEARCH("transfert-interne",IFERROR(INDEX('Paramètres'!$N:$N,MATCH($D4122,'Paramètres'!$M:$M,0))&amp;"",""))),0,IF($L4122="Débit",$K4122,IF($P4122=1,-$K4122,0))))</f>
        <v/>
      </c>
      <c r="R4122" s="6" t="str">
        <f>IF($K4122="","",IF($L4122="Crédit",$K4122,-$K4122))</f>
        <v/>
      </c>
      <c r="S4122" s="6" t="str">
        <f>IF($C4122="","",IFERROR(INDEX('Paramètres'!$H:$H,MATCH($C4122,'Paramètres'!$D:$D,0))&amp;"",""))</f>
        <v/>
      </c>
      <c r="T4122" s="6" t="str">
        <f>IF($K4122="","",IF($S4122="",0,IF(ISNUMBER(SEARCH("apport-exterieur",IFERROR(INDEX('Paramètres'!$N:$N,MATCH($D4122,'Paramètres'!$M:$M,0))&amp;"",""))),0,IF(OR(IFERROR(INDEX('Paramètres'!$I:$I,MATCH($C4122,'Paramètres'!$D:$D,0))&amp;"","")="Les deux",IFERROR(INDEX('Paramètres'!$I:$I,MATCH($C4122,'Paramètres'!$D:$D,0))&amp;"","")=IF($P4122=1,"Débit",$L4122)),-IF($P4122=1,-$K4122,$K4122),0))))</f>
        <v/>
      </c>
      <c r="U4122" s="6" t="str">
        <f>IF($K4122="","",IF(ISNUMBER(SEARCH("sortie-epargne",IFERROR(INDEX('Paramètres'!$N:$N,MATCH($D4122,'Paramètres'!$M:$M,0))&amp;"",""))),$K4122,0))</f>
        <v/>
      </c>
      <c r="V4122" s="6" t="str">
        <f>IF(AND($A4122&lt;&gt;"",$O4122=1,$L4122="Débit",N($Q4122)&gt;0,$A4122&gt;=Visualisation!$B$1,$A4122&lt;Visualisation!$D$1),MAX($V$1:V4121)+1,"")</f>
        <v/>
      </c>
    </row>
    <row r="4123" spans="1:22" x14ac:dyDescent="0.25">
      <c r="A4123" s="9"/>
      <c r="E4123" s="10"/>
      <c r="K4123" s="11" t="str">
        <f>IF($E4123="","",ROUND($E4123*IF(ISNA(MATCH($C4123,'Paramètres'!$D:$D,0)),1,IF(INDEX('Paramètres'!$J:$J,MATCH($C4123,'Paramètres'!$D:$D,0))="",1,INDEX('Paramètres'!$J:$J,MATCH($C4123,'Paramètres'!$D:$D,0)))),2))</f>
        <v/>
      </c>
      <c r="L4123" s="6" t="str">
        <f>IF($D4123="","",IF($F4123&lt;&gt;"",$F4123,IF(ISNA(MATCH($D4123,'Paramètres'!$M:$M,0)),"⚠ Type inconnu",IFERROR(INDEX('Paramètres'!$P:$P,MATCH($D4123,'Paramètres'!$M:$M,0))&amp;"",""))))</f>
        <v/>
      </c>
      <c r="M4123" s="6" t="str">
        <f>IF($D4123="","",IF(ISNA(MATCH($D4123,'Paramètres'!$M:$M,0)),"⚠ Type inconnu",IF($L4123="Crédit","",IFERROR(INDEX('Paramètres'!$O:$O,MATCH($D4123,'Paramètres'!$M:$M,0))&amp;"",""))))</f>
        <v/>
      </c>
      <c r="N4123" s="6" t="str">
        <f>IF($D4123="","",IFERROR(INDEX('Paramètres'!$Q:$Q,MATCH($D4123,'Paramètres'!$M:$M,0))&amp;"",""))</f>
        <v/>
      </c>
      <c r="O4123" s="6" t="str">
        <f>IF($A4123="","",IF(OR($J4123&lt;&gt;"x",$A4123&lt;=FinReleve),1,0))</f>
        <v/>
      </c>
      <c r="P4123" s="6" t="str">
        <f>IF($D4123="","",IF(AND($L4123="Crédit",OR(IFERROR(INDEX('Paramètres'!$O:$O,MATCH($D4123,'Paramètres'!$M:$M,0))&amp;"","")&lt;&gt;"",ISNUMBER(SEARCH("remboursement",IFERROR(INDEX('Paramètres'!$N:$N,MATCH($D4123,'Paramètres'!$M:$M,0))&amp;"",""))))),1,0))</f>
        <v/>
      </c>
      <c r="Q4123" s="6" t="str">
        <f>IF($K4123="","",IF(ISNUMBER(SEARCH("transfert-interne",IFERROR(INDEX('Paramètres'!$N:$N,MATCH($D4123,'Paramètres'!$M:$M,0))&amp;"",""))),0,IF($L4123="Débit",$K4123,IF($P4123=1,-$K4123,0))))</f>
        <v/>
      </c>
      <c r="R4123" s="6" t="str">
        <f>IF($K4123="","",IF($L4123="Crédit",$K4123,-$K4123))</f>
        <v/>
      </c>
      <c r="S4123" s="6" t="str">
        <f>IF($C4123="","",IFERROR(INDEX('Paramètres'!$H:$H,MATCH($C4123,'Paramètres'!$D:$D,0))&amp;"",""))</f>
        <v/>
      </c>
      <c r="T4123" s="6" t="str">
        <f>IF($K4123="","",IF($S4123="",0,IF(ISNUMBER(SEARCH("apport-exterieur",IFERROR(INDEX('Paramètres'!$N:$N,MATCH($D4123,'Paramètres'!$M:$M,0))&amp;"",""))),0,IF(OR(IFERROR(INDEX('Paramètres'!$I:$I,MATCH($C4123,'Paramètres'!$D:$D,0))&amp;"","")="Les deux",IFERROR(INDEX('Paramètres'!$I:$I,MATCH($C4123,'Paramètres'!$D:$D,0))&amp;"","")=IF($P4123=1,"Débit",$L4123)),-IF($P4123=1,-$K4123,$K4123),0))))</f>
        <v/>
      </c>
      <c r="U4123" s="6" t="str">
        <f>IF($K4123="","",IF(ISNUMBER(SEARCH("sortie-epargne",IFERROR(INDEX('Paramètres'!$N:$N,MATCH($D4123,'Paramètres'!$M:$M,0))&amp;"",""))),$K4123,0))</f>
        <v/>
      </c>
      <c r="V4123" s="6" t="str">
        <f>IF(AND($A4123&lt;&gt;"",$O4123=1,$L4123="Débit",N($Q4123)&gt;0,$A4123&gt;=Visualisation!$B$1,$A4123&lt;Visualisation!$D$1),MAX($V$1:V4122)+1,"")</f>
        <v/>
      </c>
    </row>
    <row r="4124" spans="1:22" x14ac:dyDescent="0.25">
      <c r="A4124" s="9"/>
      <c r="E4124" s="10"/>
      <c r="K4124" s="11" t="str">
        <f>IF($E4124="","",ROUND($E4124*IF(ISNA(MATCH($C4124,'Paramètres'!$D:$D,0)),1,IF(INDEX('Paramètres'!$J:$J,MATCH($C4124,'Paramètres'!$D:$D,0))="",1,INDEX('Paramètres'!$J:$J,MATCH($C4124,'Paramètres'!$D:$D,0)))),2))</f>
        <v/>
      </c>
      <c r="L4124" s="6" t="str">
        <f>IF($D4124="","",IF($F4124&lt;&gt;"",$F4124,IF(ISNA(MATCH($D4124,'Paramètres'!$M:$M,0)),"⚠ Type inconnu",IFERROR(INDEX('Paramètres'!$P:$P,MATCH($D4124,'Paramètres'!$M:$M,0))&amp;"",""))))</f>
        <v/>
      </c>
      <c r="M4124" s="6" t="str">
        <f>IF($D4124="","",IF(ISNA(MATCH($D4124,'Paramètres'!$M:$M,0)),"⚠ Type inconnu",IF($L4124="Crédit","",IFERROR(INDEX('Paramètres'!$O:$O,MATCH($D4124,'Paramètres'!$M:$M,0))&amp;"",""))))</f>
        <v/>
      </c>
      <c r="N4124" s="6" t="str">
        <f>IF($D4124="","",IFERROR(INDEX('Paramètres'!$Q:$Q,MATCH($D4124,'Paramètres'!$M:$M,0))&amp;"",""))</f>
        <v/>
      </c>
      <c r="O4124" s="6" t="str">
        <f>IF($A4124="","",IF(OR($J4124&lt;&gt;"x",$A4124&lt;=FinReleve),1,0))</f>
        <v/>
      </c>
      <c r="P4124" s="6" t="str">
        <f>IF($D4124="","",IF(AND($L4124="Crédit",OR(IFERROR(INDEX('Paramètres'!$O:$O,MATCH($D4124,'Paramètres'!$M:$M,0))&amp;"","")&lt;&gt;"",ISNUMBER(SEARCH("remboursement",IFERROR(INDEX('Paramètres'!$N:$N,MATCH($D4124,'Paramètres'!$M:$M,0))&amp;"",""))))),1,0))</f>
        <v/>
      </c>
      <c r="Q4124" s="6" t="str">
        <f>IF($K4124="","",IF(ISNUMBER(SEARCH("transfert-interne",IFERROR(INDEX('Paramètres'!$N:$N,MATCH($D4124,'Paramètres'!$M:$M,0))&amp;"",""))),0,IF($L4124="Débit",$K4124,IF($P4124=1,-$K4124,0))))</f>
        <v/>
      </c>
      <c r="R4124" s="6" t="str">
        <f>IF($K4124="","",IF($L4124="Crédit",$K4124,-$K4124))</f>
        <v/>
      </c>
      <c r="S4124" s="6" t="str">
        <f>IF($C4124="","",IFERROR(INDEX('Paramètres'!$H:$H,MATCH($C4124,'Paramètres'!$D:$D,0))&amp;"",""))</f>
        <v/>
      </c>
      <c r="T4124" s="6" t="str">
        <f>IF($K4124="","",IF($S4124="",0,IF(ISNUMBER(SEARCH("apport-exterieur",IFERROR(INDEX('Paramètres'!$N:$N,MATCH($D4124,'Paramètres'!$M:$M,0))&amp;"",""))),0,IF(OR(IFERROR(INDEX('Paramètres'!$I:$I,MATCH($C4124,'Paramètres'!$D:$D,0))&amp;"","")="Les deux",IFERROR(INDEX('Paramètres'!$I:$I,MATCH($C4124,'Paramètres'!$D:$D,0))&amp;"","")=IF($P4124=1,"Débit",$L4124)),-IF($P4124=1,-$K4124,$K4124),0))))</f>
        <v/>
      </c>
      <c r="U4124" s="6" t="str">
        <f>IF($K4124="","",IF(ISNUMBER(SEARCH("sortie-epargne",IFERROR(INDEX('Paramètres'!$N:$N,MATCH($D4124,'Paramètres'!$M:$M,0))&amp;"",""))),$K4124,0))</f>
        <v/>
      </c>
      <c r="V4124" s="6" t="str">
        <f>IF(AND($A4124&lt;&gt;"",$O4124=1,$L4124="Débit",N($Q4124)&gt;0,$A4124&gt;=Visualisation!$B$1,$A4124&lt;Visualisation!$D$1),MAX($V$1:V4123)+1,"")</f>
        <v/>
      </c>
    </row>
    <row r="4125" spans="1:22" x14ac:dyDescent="0.25">
      <c r="A4125" s="9"/>
      <c r="E4125" s="10"/>
      <c r="K4125" s="11" t="str">
        <f>IF($E4125="","",ROUND($E4125*IF(ISNA(MATCH($C4125,'Paramètres'!$D:$D,0)),1,IF(INDEX('Paramètres'!$J:$J,MATCH($C4125,'Paramètres'!$D:$D,0))="",1,INDEX('Paramètres'!$J:$J,MATCH($C4125,'Paramètres'!$D:$D,0)))),2))</f>
        <v/>
      </c>
      <c r="L4125" s="6" t="str">
        <f>IF($D4125="","",IF($F4125&lt;&gt;"",$F4125,IF(ISNA(MATCH($D4125,'Paramètres'!$M:$M,0)),"⚠ Type inconnu",IFERROR(INDEX('Paramètres'!$P:$P,MATCH($D4125,'Paramètres'!$M:$M,0))&amp;"",""))))</f>
        <v/>
      </c>
      <c r="M4125" s="6" t="str">
        <f>IF($D4125="","",IF(ISNA(MATCH($D4125,'Paramètres'!$M:$M,0)),"⚠ Type inconnu",IF($L4125="Crédit","",IFERROR(INDEX('Paramètres'!$O:$O,MATCH($D4125,'Paramètres'!$M:$M,0))&amp;"",""))))</f>
        <v/>
      </c>
      <c r="N4125" s="6" t="str">
        <f>IF($D4125="","",IFERROR(INDEX('Paramètres'!$Q:$Q,MATCH($D4125,'Paramètres'!$M:$M,0))&amp;"",""))</f>
        <v/>
      </c>
      <c r="O4125" s="6" t="str">
        <f>IF($A4125="","",IF(OR($J4125&lt;&gt;"x",$A4125&lt;=FinReleve),1,0))</f>
        <v/>
      </c>
      <c r="P4125" s="6" t="str">
        <f>IF($D4125="","",IF(AND($L4125="Crédit",OR(IFERROR(INDEX('Paramètres'!$O:$O,MATCH($D4125,'Paramètres'!$M:$M,0))&amp;"","")&lt;&gt;"",ISNUMBER(SEARCH("remboursement",IFERROR(INDEX('Paramètres'!$N:$N,MATCH($D4125,'Paramètres'!$M:$M,0))&amp;"",""))))),1,0))</f>
        <v/>
      </c>
      <c r="Q4125" s="6" t="str">
        <f>IF($K4125="","",IF(ISNUMBER(SEARCH("transfert-interne",IFERROR(INDEX('Paramètres'!$N:$N,MATCH($D4125,'Paramètres'!$M:$M,0))&amp;"",""))),0,IF($L4125="Débit",$K4125,IF($P4125=1,-$K4125,0))))</f>
        <v/>
      </c>
      <c r="R4125" s="6" t="str">
        <f>IF($K4125="","",IF($L4125="Crédit",$K4125,-$K4125))</f>
        <v/>
      </c>
      <c r="S4125" s="6" t="str">
        <f>IF($C4125="","",IFERROR(INDEX('Paramètres'!$H:$H,MATCH($C4125,'Paramètres'!$D:$D,0))&amp;"",""))</f>
        <v/>
      </c>
      <c r="T4125" s="6" t="str">
        <f>IF($K4125="","",IF($S4125="",0,IF(ISNUMBER(SEARCH("apport-exterieur",IFERROR(INDEX('Paramètres'!$N:$N,MATCH($D4125,'Paramètres'!$M:$M,0))&amp;"",""))),0,IF(OR(IFERROR(INDEX('Paramètres'!$I:$I,MATCH($C4125,'Paramètres'!$D:$D,0))&amp;"","")="Les deux",IFERROR(INDEX('Paramètres'!$I:$I,MATCH($C4125,'Paramètres'!$D:$D,0))&amp;"","")=IF($P4125=1,"Débit",$L4125)),-IF($P4125=1,-$K4125,$K4125),0))))</f>
        <v/>
      </c>
      <c r="U4125" s="6" t="str">
        <f>IF($K4125="","",IF(ISNUMBER(SEARCH("sortie-epargne",IFERROR(INDEX('Paramètres'!$N:$N,MATCH($D4125,'Paramètres'!$M:$M,0))&amp;"",""))),$K4125,0))</f>
        <v/>
      </c>
      <c r="V4125" s="6" t="str">
        <f>IF(AND($A4125&lt;&gt;"",$O4125=1,$L4125="Débit",N($Q4125)&gt;0,$A4125&gt;=Visualisation!$B$1,$A4125&lt;Visualisation!$D$1),MAX($V$1:V4124)+1,"")</f>
        <v/>
      </c>
    </row>
    <row r="4126" spans="1:22" x14ac:dyDescent="0.25">
      <c r="A4126" s="9"/>
      <c r="E4126" s="10"/>
      <c r="K4126" s="11" t="str">
        <f>IF($E4126="","",ROUND($E4126*IF(ISNA(MATCH($C4126,'Paramètres'!$D:$D,0)),1,IF(INDEX('Paramètres'!$J:$J,MATCH($C4126,'Paramètres'!$D:$D,0))="",1,INDEX('Paramètres'!$J:$J,MATCH($C4126,'Paramètres'!$D:$D,0)))),2))</f>
        <v/>
      </c>
      <c r="L4126" s="6" t="str">
        <f>IF($D4126="","",IF($F4126&lt;&gt;"",$F4126,IF(ISNA(MATCH($D4126,'Paramètres'!$M:$M,0)),"⚠ Type inconnu",IFERROR(INDEX('Paramètres'!$P:$P,MATCH($D4126,'Paramètres'!$M:$M,0))&amp;"",""))))</f>
        <v/>
      </c>
      <c r="M4126" s="6" t="str">
        <f>IF($D4126="","",IF(ISNA(MATCH($D4126,'Paramètres'!$M:$M,0)),"⚠ Type inconnu",IF($L4126="Crédit","",IFERROR(INDEX('Paramètres'!$O:$O,MATCH($D4126,'Paramètres'!$M:$M,0))&amp;"",""))))</f>
        <v/>
      </c>
      <c r="N4126" s="6" t="str">
        <f>IF($D4126="","",IFERROR(INDEX('Paramètres'!$Q:$Q,MATCH($D4126,'Paramètres'!$M:$M,0))&amp;"",""))</f>
        <v/>
      </c>
      <c r="O4126" s="6" t="str">
        <f>IF($A4126="","",IF(OR($J4126&lt;&gt;"x",$A4126&lt;=FinReleve),1,0))</f>
        <v/>
      </c>
      <c r="P4126" s="6" t="str">
        <f>IF($D4126="","",IF(AND($L4126="Crédit",OR(IFERROR(INDEX('Paramètres'!$O:$O,MATCH($D4126,'Paramètres'!$M:$M,0))&amp;"","")&lt;&gt;"",ISNUMBER(SEARCH("remboursement",IFERROR(INDEX('Paramètres'!$N:$N,MATCH($D4126,'Paramètres'!$M:$M,0))&amp;"",""))))),1,0))</f>
        <v/>
      </c>
      <c r="Q4126" s="6" t="str">
        <f>IF($K4126="","",IF(ISNUMBER(SEARCH("transfert-interne",IFERROR(INDEX('Paramètres'!$N:$N,MATCH($D4126,'Paramètres'!$M:$M,0))&amp;"",""))),0,IF($L4126="Débit",$K4126,IF($P4126=1,-$K4126,0))))</f>
        <v/>
      </c>
      <c r="R4126" s="6" t="str">
        <f>IF($K4126="","",IF($L4126="Crédit",$K4126,-$K4126))</f>
        <v/>
      </c>
      <c r="S4126" s="6" t="str">
        <f>IF($C4126="","",IFERROR(INDEX('Paramètres'!$H:$H,MATCH($C4126,'Paramètres'!$D:$D,0))&amp;"",""))</f>
        <v/>
      </c>
      <c r="T4126" s="6" t="str">
        <f>IF($K4126="","",IF($S4126="",0,IF(ISNUMBER(SEARCH("apport-exterieur",IFERROR(INDEX('Paramètres'!$N:$N,MATCH($D4126,'Paramètres'!$M:$M,0))&amp;"",""))),0,IF(OR(IFERROR(INDEX('Paramètres'!$I:$I,MATCH($C4126,'Paramètres'!$D:$D,0))&amp;"","")="Les deux",IFERROR(INDEX('Paramètres'!$I:$I,MATCH($C4126,'Paramètres'!$D:$D,0))&amp;"","")=IF($P4126=1,"Débit",$L4126)),-IF($P4126=1,-$K4126,$K4126),0))))</f>
        <v/>
      </c>
      <c r="U4126" s="6" t="str">
        <f>IF($K4126="","",IF(ISNUMBER(SEARCH("sortie-epargne",IFERROR(INDEX('Paramètres'!$N:$N,MATCH($D4126,'Paramètres'!$M:$M,0))&amp;"",""))),$K4126,0))</f>
        <v/>
      </c>
      <c r="V4126" s="6" t="str">
        <f>IF(AND($A4126&lt;&gt;"",$O4126=1,$L4126="Débit",N($Q4126)&gt;0,$A4126&gt;=Visualisation!$B$1,$A4126&lt;Visualisation!$D$1),MAX($V$1:V4125)+1,"")</f>
        <v/>
      </c>
    </row>
    <row r="4127" spans="1:22" x14ac:dyDescent="0.25">
      <c r="A4127" s="9"/>
      <c r="E4127" s="10"/>
      <c r="K4127" s="11" t="str">
        <f>IF($E4127="","",ROUND($E4127*IF(ISNA(MATCH($C4127,'Paramètres'!$D:$D,0)),1,IF(INDEX('Paramètres'!$J:$J,MATCH($C4127,'Paramètres'!$D:$D,0))="",1,INDEX('Paramètres'!$J:$J,MATCH($C4127,'Paramètres'!$D:$D,0)))),2))</f>
        <v/>
      </c>
      <c r="L4127" s="6" t="str">
        <f>IF($D4127="","",IF($F4127&lt;&gt;"",$F4127,IF(ISNA(MATCH($D4127,'Paramètres'!$M:$M,0)),"⚠ Type inconnu",IFERROR(INDEX('Paramètres'!$P:$P,MATCH($D4127,'Paramètres'!$M:$M,0))&amp;"",""))))</f>
        <v/>
      </c>
      <c r="M4127" s="6" t="str">
        <f>IF($D4127="","",IF(ISNA(MATCH($D4127,'Paramètres'!$M:$M,0)),"⚠ Type inconnu",IF($L4127="Crédit","",IFERROR(INDEX('Paramètres'!$O:$O,MATCH($D4127,'Paramètres'!$M:$M,0))&amp;"",""))))</f>
        <v/>
      </c>
      <c r="N4127" s="6" t="str">
        <f>IF($D4127="","",IFERROR(INDEX('Paramètres'!$Q:$Q,MATCH($D4127,'Paramètres'!$M:$M,0))&amp;"",""))</f>
        <v/>
      </c>
      <c r="O4127" s="6" t="str">
        <f>IF($A4127="","",IF(OR($J4127&lt;&gt;"x",$A4127&lt;=FinReleve),1,0))</f>
        <v/>
      </c>
      <c r="P4127" s="6" t="str">
        <f>IF($D4127="","",IF(AND($L4127="Crédit",OR(IFERROR(INDEX('Paramètres'!$O:$O,MATCH($D4127,'Paramètres'!$M:$M,0))&amp;"","")&lt;&gt;"",ISNUMBER(SEARCH("remboursement",IFERROR(INDEX('Paramètres'!$N:$N,MATCH($D4127,'Paramètres'!$M:$M,0))&amp;"",""))))),1,0))</f>
        <v/>
      </c>
      <c r="Q4127" s="6" t="str">
        <f>IF($K4127="","",IF(ISNUMBER(SEARCH("transfert-interne",IFERROR(INDEX('Paramètres'!$N:$N,MATCH($D4127,'Paramètres'!$M:$M,0))&amp;"",""))),0,IF($L4127="Débit",$K4127,IF($P4127=1,-$K4127,0))))</f>
        <v/>
      </c>
      <c r="R4127" s="6" t="str">
        <f>IF($K4127="","",IF($L4127="Crédit",$K4127,-$K4127))</f>
        <v/>
      </c>
      <c r="S4127" s="6" t="str">
        <f>IF($C4127="","",IFERROR(INDEX('Paramètres'!$H:$H,MATCH($C4127,'Paramètres'!$D:$D,0))&amp;"",""))</f>
        <v/>
      </c>
      <c r="T4127" s="6" t="str">
        <f>IF($K4127="","",IF($S4127="",0,IF(ISNUMBER(SEARCH("apport-exterieur",IFERROR(INDEX('Paramètres'!$N:$N,MATCH($D4127,'Paramètres'!$M:$M,0))&amp;"",""))),0,IF(OR(IFERROR(INDEX('Paramètres'!$I:$I,MATCH($C4127,'Paramètres'!$D:$D,0))&amp;"","")="Les deux",IFERROR(INDEX('Paramètres'!$I:$I,MATCH($C4127,'Paramètres'!$D:$D,0))&amp;"","")=IF($P4127=1,"Débit",$L4127)),-IF($P4127=1,-$K4127,$K4127),0))))</f>
        <v/>
      </c>
      <c r="U4127" s="6" t="str">
        <f>IF($K4127="","",IF(ISNUMBER(SEARCH("sortie-epargne",IFERROR(INDEX('Paramètres'!$N:$N,MATCH($D4127,'Paramètres'!$M:$M,0))&amp;"",""))),$K4127,0))</f>
        <v/>
      </c>
      <c r="V4127" s="6" t="str">
        <f>IF(AND($A4127&lt;&gt;"",$O4127=1,$L4127="Débit",N($Q4127)&gt;0,$A4127&gt;=Visualisation!$B$1,$A4127&lt;Visualisation!$D$1),MAX($V$1:V4126)+1,"")</f>
        <v/>
      </c>
    </row>
    <row r="4128" spans="1:22" x14ac:dyDescent="0.25">
      <c r="A4128" s="9"/>
      <c r="E4128" s="10"/>
      <c r="K4128" s="11" t="str">
        <f>IF($E4128="","",ROUND($E4128*IF(ISNA(MATCH($C4128,'Paramètres'!$D:$D,0)),1,IF(INDEX('Paramètres'!$J:$J,MATCH($C4128,'Paramètres'!$D:$D,0))="",1,INDEX('Paramètres'!$J:$J,MATCH($C4128,'Paramètres'!$D:$D,0)))),2))</f>
        <v/>
      </c>
      <c r="L4128" s="6" t="str">
        <f>IF($D4128="","",IF($F4128&lt;&gt;"",$F4128,IF(ISNA(MATCH($D4128,'Paramètres'!$M:$M,0)),"⚠ Type inconnu",IFERROR(INDEX('Paramètres'!$P:$P,MATCH($D4128,'Paramètres'!$M:$M,0))&amp;"",""))))</f>
        <v/>
      </c>
      <c r="M4128" s="6" t="str">
        <f>IF($D4128="","",IF(ISNA(MATCH($D4128,'Paramètres'!$M:$M,0)),"⚠ Type inconnu",IF($L4128="Crédit","",IFERROR(INDEX('Paramètres'!$O:$O,MATCH($D4128,'Paramètres'!$M:$M,0))&amp;"",""))))</f>
        <v/>
      </c>
      <c r="N4128" s="6" t="str">
        <f>IF($D4128="","",IFERROR(INDEX('Paramètres'!$Q:$Q,MATCH($D4128,'Paramètres'!$M:$M,0))&amp;"",""))</f>
        <v/>
      </c>
      <c r="O4128" s="6" t="str">
        <f>IF($A4128="","",IF(OR($J4128&lt;&gt;"x",$A4128&lt;=FinReleve),1,0))</f>
        <v/>
      </c>
      <c r="P4128" s="6" t="str">
        <f>IF($D4128="","",IF(AND($L4128="Crédit",OR(IFERROR(INDEX('Paramètres'!$O:$O,MATCH($D4128,'Paramètres'!$M:$M,0))&amp;"","")&lt;&gt;"",ISNUMBER(SEARCH("remboursement",IFERROR(INDEX('Paramètres'!$N:$N,MATCH($D4128,'Paramètres'!$M:$M,0))&amp;"",""))))),1,0))</f>
        <v/>
      </c>
      <c r="Q4128" s="6" t="str">
        <f>IF($K4128="","",IF(ISNUMBER(SEARCH("transfert-interne",IFERROR(INDEX('Paramètres'!$N:$N,MATCH($D4128,'Paramètres'!$M:$M,0))&amp;"",""))),0,IF($L4128="Débit",$K4128,IF($P4128=1,-$K4128,0))))</f>
        <v/>
      </c>
      <c r="R4128" s="6" t="str">
        <f>IF($K4128="","",IF($L4128="Crédit",$K4128,-$K4128))</f>
        <v/>
      </c>
      <c r="S4128" s="6" t="str">
        <f>IF($C4128="","",IFERROR(INDEX('Paramètres'!$H:$H,MATCH($C4128,'Paramètres'!$D:$D,0))&amp;"",""))</f>
        <v/>
      </c>
      <c r="T4128" s="6" t="str">
        <f>IF($K4128="","",IF($S4128="",0,IF(ISNUMBER(SEARCH("apport-exterieur",IFERROR(INDEX('Paramètres'!$N:$N,MATCH($D4128,'Paramètres'!$M:$M,0))&amp;"",""))),0,IF(OR(IFERROR(INDEX('Paramètres'!$I:$I,MATCH($C4128,'Paramètres'!$D:$D,0))&amp;"","")="Les deux",IFERROR(INDEX('Paramètres'!$I:$I,MATCH($C4128,'Paramètres'!$D:$D,0))&amp;"","")=IF($P4128=1,"Débit",$L4128)),-IF($P4128=1,-$K4128,$K4128),0))))</f>
        <v/>
      </c>
      <c r="U4128" s="6" t="str">
        <f>IF($K4128="","",IF(ISNUMBER(SEARCH("sortie-epargne",IFERROR(INDEX('Paramètres'!$N:$N,MATCH($D4128,'Paramètres'!$M:$M,0))&amp;"",""))),$K4128,0))</f>
        <v/>
      </c>
      <c r="V4128" s="6" t="str">
        <f>IF(AND($A4128&lt;&gt;"",$O4128=1,$L4128="Débit",N($Q4128)&gt;0,$A4128&gt;=Visualisation!$B$1,$A4128&lt;Visualisation!$D$1),MAX($V$1:V4127)+1,"")</f>
        <v/>
      </c>
    </row>
    <row r="4129" spans="1:22" x14ac:dyDescent="0.25">
      <c r="A4129" s="9"/>
      <c r="E4129" s="10"/>
      <c r="K4129" s="11" t="str">
        <f>IF($E4129="","",ROUND($E4129*IF(ISNA(MATCH($C4129,'Paramètres'!$D:$D,0)),1,IF(INDEX('Paramètres'!$J:$J,MATCH($C4129,'Paramètres'!$D:$D,0))="",1,INDEX('Paramètres'!$J:$J,MATCH($C4129,'Paramètres'!$D:$D,0)))),2))</f>
        <v/>
      </c>
      <c r="L4129" s="6" t="str">
        <f>IF($D4129="","",IF($F4129&lt;&gt;"",$F4129,IF(ISNA(MATCH($D4129,'Paramètres'!$M:$M,0)),"⚠ Type inconnu",IFERROR(INDEX('Paramètres'!$P:$P,MATCH($D4129,'Paramètres'!$M:$M,0))&amp;"",""))))</f>
        <v/>
      </c>
      <c r="M4129" s="6" t="str">
        <f>IF($D4129="","",IF(ISNA(MATCH($D4129,'Paramètres'!$M:$M,0)),"⚠ Type inconnu",IF($L4129="Crédit","",IFERROR(INDEX('Paramètres'!$O:$O,MATCH($D4129,'Paramètres'!$M:$M,0))&amp;"",""))))</f>
        <v/>
      </c>
      <c r="N4129" s="6" t="str">
        <f>IF($D4129="","",IFERROR(INDEX('Paramètres'!$Q:$Q,MATCH($D4129,'Paramètres'!$M:$M,0))&amp;"",""))</f>
        <v/>
      </c>
      <c r="O4129" s="6" t="str">
        <f>IF($A4129="","",IF(OR($J4129&lt;&gt;"x",$A4129&lt;=FinReleve),1,0))</f>
        <v/>
      </c>
      <c r="P4129" s="6" t="str">
        <f>IF($D4129="","",IF(AND($L4129="Crédit",OR(IFERROR(INDEX('Paramètres'!$O:$O,MATCH($D4129,'Paramètres'!$M:$M,0))&amp;"","")&lt;&gt;"",ISNUMBER(SEARCH("remboursement",IFERROR(INDEX('Paramètres'!$N:$N,MATCH($D4129,'Paramètres'!$M:$M,0))&amp;"",""))))),1,0))</f>
        <v/>
      </c>
      <c r="Q4129" s="6" t="str">
        <f>IF($K4129="","",IF(ISNUMBER(SEARCH("transfert-interne",IFERROR(INDEX('Paramètres'!$N:$N,MATCH($D4129,'Paramètres'!$M:$M,0))&amp;"",""))),0,IF($L4129="Débit",$K4129,IF($P4129=1,-$K4129,0))))</f>
        <v/>
      </c>
      <c r="R4129" s="6" t="str">
        <f>IF($K4129="","",IF($L4129="Crédit",$K4129,-$K4129))</f>
        <v/>
      </c>
      <c r="S4129" s="6" t="str">
        <f>IF($C4129="","",IFERROR(INDEX('Paramètres'!$H:$H,MATCH($C4129,'Paramètres'!$D:$D,0))&amp;"",""))</f>
        <v/>
      </c>
      <c r="T4129" s="6" t="str">
        <f>IF($K4129="","",IF($S4129="",0,IF(ISNUMBER(SEARCH("apport-exterieur",IFERROR(INDEX('Paramètres'!$N:$N,MATCH($D4129,'Paramètres'!$M:$M,0))&amp;"",""))),0,IF(OR(IFERROR(INDEX('Paramètres'!$I:$I,MATCH($C4129,'Paramètres'!$D:$D,0))&amp;"","")="Les deux",IFERROR(INDEX('Paramètres'!$I:$I,MATCH($C4129,'Paramètres'!$D:$D,0))&amp;"","")=IF($P4129=1,"Débit",$L4129)),-IF($P4129=1,-$K4129,$K4129),0))))</f>
        <v/>
      </c>
      <c r="U4129" s="6" t="str">
        <f>IF($K4129="","",IF(ISNUMBER(SEARCH("sortie-epargne",IFERROR(INDEX('Paramètres'!$N:$N,MATCH($D4129,'Paramètres'!$M:$M,0))&amp;"",""))),$K4129,0))</f>
        <v/>
      </c>
      <c r="V4129" s="6" t="str">
        <f>IF(AND($A4129&lt;&gt;"",$O4129=1,$L4129="Débit",N($Q4129)&gt;0,$A4129&gt;=Visualisation!$B$1,$A4129&lt;Visualisation!$D$1),MAX($V$1:V4128)+1,"")</f>
        <v/>
      </c>
    </row>
    <row r="4130" spans="1:22" x14ac:dyDescent="0.25">
      <c r="A4130" s="9"/>
      <c r="E4130" s="10"/>
      <c r="K4130" s="11" t="str">
        <f>IF($E4130="","",ROUND($E4130*IF(ISNA(MATCH($C4130,'Paramètres'!$D:$D,0)),1,IF(INDEX('Paramètres'!$J:$J,MATCH($C4130,'Paramètres'!$D:$D,0))="",1,INDEX('Paramètres'!$J:$J,MATCH($C4130,'Paramètres'!$D:$D,0)))),2))</f>
        <v/>
      </c>
      <c r="L4130" s="6" t="str">
        <f>IF($D4130="","",IF($F4130&lt;&gt;"",$F4130,IF(ISNA(MATCH($D4130,'Paramètres'!$M:$M,0)),"⚠ Type inconnu",IFERROR(INDEX('Paramètres'!$P:$P,MATCH($D4130,'Paramètres'!$M:$M,0))&amp;"",""))))</f>
        <v/>
      </c>
      <c r="M4130" s="6" t="str">
        <f>IF($D4130="","",IF(ISNA(MATCH($D4130,'Paramètres'!$M:$M,0)),"⚠ Type inconnu",IF($L4130="Crédit","",IFERROR(INDEX('Paramètres'!$O:$O,MATCH($D4130,'Paramètres'!$M:$M,0))&amp;"",""))))</f>
        <v/>
      </c>
      <c r="N4130" s="6" t="str">
        <f>IF($D4130="","",IFERROR(INDEX('Paramètres'!$Q:$Q,MATCH($D4130,'Paramètres'!$M:$M,0))&amp;"",""))</f>
        <v/>
      </c>
      <c r="O4130" s="6" t="str">
        <f>IF($A4130="","",IF(OR($J4130&lt;&gt;"x",$A4130&lt;=FinReleve),1,0))</f>
        <v/>
      </c>
      <c r="P4130" s="6" t="str">
        <f>IF($D4130="","",IF(AND($L4130="Crédit",OR(IFERROR(INDEX('Paramètres'!$O:$O,MATCH($D4130,'Paramètres'!$M:$M,0))&amp;"","")&lt;&gt;"",ISNUMBER(SEARCH("remboursement",IFERROR(INDEX('Paramètres'!$N:$N,MATCH($D4130,'Paramètres'!$M:$M,0))&amp;"",""))))),1,0))</f>
        <v/>
      </c>
      <c r="Q4130" s="6" t="str">
        <f>IF($K4130="","",IF(ISNUMBER(SEARCH("transfert-interne",IFERROR(INDEX('Paramètres'!$N:$N,MATCH($D4130,'Paramètres'!$M:$M,0))&amp;"",""))),0,IF($L4130="Débit",$K4130,IF($P4130=1,-$K4130,0))))</f>
        <v/>
      </c>
      <c r="R4130" s="6" t="str">
        <f>IF($K4130="","",IF($L4130="Crédit",$K4130,-$K4130))</f>
        <v/>
      </c>
      <c r="S4130" s="6" t="str">
        <f>IF($C4130="","",IFERROR(INDEX('Paramètres'!$H:$H,MATCH($C4130,'Paramètres'!$D:$D,0))&amp;"",""))</f>
        <v/>
      </c>
      <c r="T4130" s="6" t="str">
        <f>IF($K4130="","",IF($S4130="",0,IF(ISNUMBER(SEARCH("apport-exterieur",IFERROR(INDEX('Paramètres'!$N:$N,MATCH($D4130,'Paramètres'!$M:$M,0))&amp;"",""))),0,IF(OR(IFERROR(INDEX('Paramètres'!$I:$I,MATCH($C4130,'Paramètres'!$D:$D,0))&amp;"","")="Les deux",IFERROR(INDEX('Paramètres'!$I:$I,MATCH($C4130,'Paramètres'!$D:$D,0))&amp;"","")=IF($P4130=1,"Débit",$L4130)),-IF($P4130=1,-$K4130,$K4130),0))))</f>
        <v/>
      </c>
      <c r="U4130" s="6" t="str">
        <f>IF($K4130="","",IF(ISNUMBER(SEARCH("sortie-epargne",IFERROR(INDEX('Paramètres'!$N:$N,MATCH($D4130,'Paramètres'!$M:$M,0))&amp;"",""))),$K4130,0))</f>
        <v/>
      </c>
      <c r="V4130" s="6" t="str">
        <f>IF(AND($A4130&lt;&gt;"",$O4130=1,$L4130="Débit",N($Q4130)&gt;0,$A4130&gt;=Visualisation!$B$1,$A4130&lt;Visualisation!$D$1),MAX($V$1:V4129)+1,"")</f>
        <v/>
      </c>
    </row>
    <row r="4131" spans="1:22" x14ac:dyDescent="0.25">
      <c r="A4131" s="9"/>
      <c r="E4131" s="10"/>
      <c r="K4131" s="11" t="str">
        <f>IF($E4131="","",ROUND($E4131*IF(ISNA(MATCH($C4131,'Paramètres'!$D:$D,0)),1,IF(INDEX('Paramètres'!$J:$J,MATCH($C4131,'Paramètres'!$D:$D,0))="",1,INDEX('Paramètres'!$J:$J,MATCH($C4131,'Paramètres'!$D:$D,0)))),2))</f>
        <v/>
      </c>
      <c r="L4131" s="6" t="str">
        <f>IF($D4131="","",IF($F4131&lt;&gt;"",$F4131,IF(ISNA(MATCH($D4131,'Paramètres'!$M:$M,0)),"⚠ Type inconnu",IFERROR(INDEX('Paramètres'!$P:$P,MATCH($D4131,'Paramètres'!$M:$M,0))&amp;"",""))))</f>
        <v/>
      </c>
      <c r="M4131" s="6" t="str">
        <f>IF($D4131="","",IF(ISNA(MATCH($D4131,'Paramètres'!$M:$M,0)),"⚠ Type inconnu",IF($L4131="Crédit","",IFERROR(INDEX('Paramètres'!$O:$O,MATCH($D4131,'Paramètres'!$M:$M,0))&amp;"",""))))</f>
        <v/>
      </c>
      <c r="N4131" s="6" t="str">
        <f>IF($D4131="","",IFERROR(INDEX('Paramètres'!$Q:$Q,MATCH($D4131,'Paramètres'!$M:$M,0))&amp;"",""))</f>
        <v/>
      </c>
      <c r="O4131" s="6" t="str">
        <f>IF($A4131="","",IF(OR($J4131&lt;&gt;"x",$A4131&lt;=FinReleve),1,0))</f>
        <v/>
      </c>
      <c r="P4131" s="6" t="str">
        <f>IF($D4131="","",IF(AND($L4131="Crédit",OR(IFERROR(INDEX('Paramètres'!$O:$O,MATCH($D4131,'Paramètres'!$M:$M,0))&amp;"","")&lt;&gt;"",ISNUMBER(SEARCH("remboursement",IFERROR(INDEX('Paramètres'!$N:$N,MATCH($D4131,'Paramètres'!$M:$M,0))&amp;"",""))))),1,0))</f>
        <v/>
      </c>
      <c r="Q4131" s="6" t="str">
        <f>IF($K4131="","",IF(ISNUMBER(SEARCH("transfert-interne",IFERROR(INDEX('Paramètres'!$N:$N,MATCH($D4131,'Paramètres'!$M:$M,0))&amp;"",""))),0,IF($L4131="Débit",$K4131,IF($P4131=1,-$K4131,0))))</f>
        <v/>
      </c>
      <c r="R4131" s="6" t="str">
        <f>IF($K4131="","",IF($L4131="Crédit",$K4131,-$K4131))</f>
        <v/>
      </c>
      <c r="S4131" s="6" t="str">
        <f>IF($C4131="","",IFERROR(INDEX('Paramètres'!$H:$H,MATCH($C4131,'Paramètres'!$D:$D,0))&amp;"",""))</f>
        <v/>
      </c>
      <c r="T4131" s="6" t="str">
        <f>IF($K4131="","",IF($S4131="",0,IF(ISNUMBER(SEARCH("apport-exterieur",IFERROR(INDEX('Paramètres'!$N:$N,MATCH($D4131,'Paramètres'!$M:$M,0))&amp;"",""))),0,IF(OR(IFERROR(INDEX('Paramètres'!$I:$I,MATCH($C4131,'Paramètres'!$D:$D,0))&amp;"","")="Les deux",IFERROR(INDEX('Paramètres'!$I:$I,MATCH($C4131,'Paramètres'!$D:$D,0))&amp;"","")=IF($P4131=1,"Débit",$L4131)),-IF($P4131=1,-$K4131,$K4131),0))))</f>
        <v/>
      </c>
      <c r="U4131" s="6" t="str">
        <f>IF($K4131="","",IF(ISNUMBER(SEARCH("sortie-epargne",IFERROR(INDEX('Paramètres'!$N:$N,MATCH($D4131,'Paramètres'!$M:$M,0))&amp;"",""))),$K4131,0))</f>
        <v/>
      </c>
      <c r="V4131" s="6" t="str">
        <f>IF(AND($A4131&lt;&gt;"",$O4131=1,$L4131="Débit",N($Q4131)&gt;0,$A4131&gt;=Visualisation!$B$1,$A4131&lt;Visualisation!$D$1),MAX($V$1:V4130)+1,"")</f>
        <v/>
      </c>
    </row>
    <row r="4132" spans="1:22" x14ac:dyDescent="0.25">
      <c r="A4132" s="9"/>
      <c r="E4132" s="10"/>
      <c r="K4132" s="11" t="str">
        <f>IF($E4132="","",ROUND($E4132*IF(ISNA(MATCH($C4132,'Paramètres'!$D:$D,0)),1,IF(INDEX('Paramètres'!$J:$J,MATCH($C4132,'Paramètres'!$D:$D,0))="",1,INDEX('Paramètres'!$J:$J,MATCH($C4132,'Paramètres'!$D:$D,0)))),2))</f>
        <v/>
      </c>
      <c r="L4132" s="6" t="str">
        <f>IF($D4132="","",IF($F4132&lt;&gt;"",$F4132,IF(ISNA(MATCH($D4132,'Paramètres'!$M:$M,0)),"⚠ Type inconnu",IFERROR(INDEX('Paramètres'!$P:$P,MATCH($D4132,'Paramètres'!$M:$M,0))&amp;"",""))))</f>
        <v/>
      </c>
      <c r="M4132" s="6" t="str">
        <f>IF($D4132="","",IF(ISNA(MATCH($D4132,'Paramètres'!$M:$M,0)),"⚠ Type inconnu",IF($L4132="Crédit","",IFERROR(INDEX('Paramètres'!$O:$O,MATCH($D4132,'Paramètres'!$M:$M,0))&amp;"",""))))</f>
        <v/>
      </c>
      <c r="N4132" s="6" t="str">
        <f>IF($D4132="","",IFERROR(INDEX('Paramètres'!$Q:$Q,MATCH($D4132,'Paramètres'!$M:$M,0))&amp;"",""))</f>
        <v/>
      </c>
      <c r="O4132" s="6" t="str">
        <f>IF($A4132="","",IF(OR($J4132&lt;&gt;"x",$A4132&lt;=FinReleve),1,0))</f>
        <v/>
      </c>
      <c r="P4132" s="6" t="str">
        <f>IF($D4132="","",IF(AND($L4132="Crédit",OR(IFERROR(INDEX('Paramètres'!$O:$O,MATCH($D4132,'Paramètres'!$M:$M,0))&amp;"","")&lt;&gt;"",ISNUMBER(SEARCH("remboursement",IFERROR(INDEX('Paramètres'!$N:$N,MATCH($D4132,'Paramètres'!$M:$M,0))&amp;"",""))))),1,0))</f>
        <v/>
      </c>
      <c r="Q4132" s="6" t="str">
        <f>IF($K4132="","",IF(ISNUMBER(SEARCH("transfert-interne",IFERROR(INDEX('Paramètres'!$N:$N,MATCH($D4132,'Paramètres'!$M:$M,0))&amp;"",""))),0,IF($L4132="Débit",$K4132,IF($P4132=1,-$K4132,0))))</f>
        <v/>
      </c>
      <c r="R4132" s="6" t="str">
        <f>IF($K4132="","",IF($L4132="Crédit",$K4132,-$K4132))</f>
        <v/>
      </c>
      <c r="S4132" s="6" t="str">
        <f>IF($C4132="","",IFERROR(INDEX('Paramètres'!$H:$H,MATCH($C4132,'Paramètres'!$D:$D,0))&amp;"",""))</f>
        <v/>
      </c>
      <c r="T4132" s="6" t="str">
        <f>IF($K4132="","",IF($S4132="",0,IF(ISNUMBER(SEARCH("apport-exterieur",IFERROR(INDEX('Paramètres'!$N:$N,MATCH($D4132,'Paramètres'!$M:$M,0))&amp;"",""))),0,IF(OR(IFERROR(INDEX('Paramètres'!$I:$I,MATCH($C4132,'Paramètres'!$D:$D,0))&amp;"","")="Les deux",IFERROR(INDEX('Paramètres'!$I:$I,MATCH($C4132,'Paramètres'!$D:$D,0))&amp;"","")=IF($P4132=1,"Débit",$L4132)),-IF($P4132=1,-$K4132,$K4132),0))))</f>
        <v/>
      </c>
      <c r="U4132" s="6" t="str">
        <f>IF($K4132="","",IF(ISNUMBER(SEARCH("sortie-epargne",IFERROR(INDEX('Paramètres'!$N:$N,MATCH($D4132,'Paramètres'!$M:$M,0))&amp;"",""))),$K4132,0))</f>
        <v/>
      </c>
      <c r="V4132" s="6" t="str">
        <f>IF(AND($A4132&lt;&gt;"",$O4132=1,$L4132="Débit",N($Q4132)&gt;0,$A4132&gt;=Visualisation!$B$1,$A4132&lt;Visualisation!$D$1),MAX($V$1:V4131)+1,"")</f>
        <v/>
      </c>
    </row>
    <row r="4133" spans="1:22" x14ac:dyDescent="0.25">
      <c r="A4133" s="9"/>
      <c r="E4133" s="10"/>
      <c r="K4133" s="11" t="str">
        <f>IF($E4133="","",ROUND($E4133*IF(ISNA(MATCH($C4133,'Paramètres'!$D:$D,0)),1,IF(INDEX('Paramètres'!$J:$J,MATCH($C4133,'Paramètres'!$D:$D,0))="",1,INDEX('Paramètres'!$J:$J,MATCH($C4133,'Paramètres'!$D:$D,0)))),2))</f>
        <v/>
      </c>
      <c r="L4133" s="6" t="str">
        <f>IF($D4133="","",IF($F4133&lt;&gt;"",$F4133,IF(ISNA(MATCH($D4133,'Paramètres'!$M:$M,0)),"⚠ Type inconnu",IFERROR(INDEX('Paramètres'!$P:$P,MATCH($D4133,'Paramètres'!$M:$M,0))&amp;"",""))))</f>
        <v/>
      </c>
      <c r="M4133" s="6" t="str">
        <f>IF($D4133="","",IF(ISNA(MATCH($D4133,'Paramètres'!$M:$M,0)),"⚠ Type inconnu",IF($L4133="Crédit","",IFERROR(INDEX('Paramètres'!$O:$O,MATCH($D4133,'Paramètres'!$M:$M,0))&amp;"",""))))</f>
        <v/>
      </c>
      <c r="N4133" s="6" t="str">
        <f>IF($D4133="","",IFERROR(INDEX('Paramètres'!$Q:$Q,MATCH($D4133,'Paramètres'!$M:$M,0))&amp;"",""))</f>
        <v/>
      </c>
      <c r="O4133" s="6" t="str">
        <f>IF($A4133="","",IF(OR($J4133&lt;&gt;"x",$A4133&lt;=FinReleve),1,0))</f>
        <v/>
      </c>
      <c r="P4133" s="6" t="str">
        <f>IF($D4133="","",IF(AND($L4133="Crédit",OR(IFERROR(INDEX('Paramètres'!$O:$O,MATCH($D4133,'Paramètres'!$M:$M,0))&amp;"","")&lt;&gt;"",ISNUMBER(SEARCH("remboursement",IFERROR(INDEX('Paramètres'!$N:$N,MATCH($D4133,'Paramètres'!$M:$M,0))&amp;"",""))))),1,0))</f>
        <v/>
      </c>
      <c r="Q4133" s="6" t="str">
        <f>IF($K4133="","",IF(ISNUMBER(SEARCH("transfert-interne",IFERROR(INDEX('Paramètres'!$N:$N,MATCH($D4133,'Paramètres'!$M:$M,0))&amp;"",""))),0,IF($L4133="Débit",$K4133,IF($P4133=1,-$K4133,0))))</f>
        <v/>
      </c>
      <c r="R4133" s="6" t="str">
        <f>IF($K4133="","",IF($L4133="Crédit",$K4133,-$K4133))</f>
        <v/>
      </c>
      <c r="S4133" s="6" t="str">
        <f>IF($C4133="","",IFERROR(INDEX('Paramètres'!$H:$H,MATCH($C4133,'Paramètres'!$D:$D,0))&amp;"",""))</f>
        <v/>
      </c>
      <c r="T4133" s="6" t="str">
        <f>IF($K4133="","",IF($S4133="",0,IF(ISNUMBER(SEARCH("apport-exterieur",IFERROR(INDEX('Paramètres'!$N:$N,MATCH($D4133,'Paramètres'!$M:$M,0))&amp;"",""))),0,IF(OR(IFERROR(INDEX('Paramètres'!$I:$I,MATCH($C4133,'Paramètres'!$D:$D,0))&amp;"","")="Les deux",IFERROR(INDEX('Paramètres'!$I:$I,MATCH($C4133,'Paramètres'!$D:$D,0))&amp;"","")=IF($P4133=1,"Débit",$L4133)),-IF($P4133=1,-$K4133,$K4133),0))))</f>
        <v/>
      </c>
      <c r="U4133" s="6" t="str">
        <f>IF($K4133="","",IF(ISNUMBER(SEARCH("sortie-epargne",IFERROR(INDEX('Paramètres'!$N:$N,MATCH($D4133,'Paramètres'!$M:$M,0))&amp;"",""))),$K4133,0))</f>
        <v/>
      </c>
      <c r="V4133" s="6" t="str">
        <f>IF(AND($A4133&lt;&gt;"",$O4133=1,$L4133="Débit",N($Q4133)&gt;0,$A4133&gt;=Visualisation!$B$1,$A4133&lt;Visualisation!$D$1),MAX($V$1:V4132)+1,"")</f>
        <v/>
      </c>
    </row>
    <row r="4134" spans="1:22" x14ac:dyDescent="0.25">
      <c r="A4134" s="9"/>
      <c r="E4134" s="10"/>
      <c r="K4134" s="11" t="str">
        <f>IF($E4134="","",ROUND($E4134*IF(ISNA(MATCH($C4134,'Paramètres'!$D:$D,0)),1,IF(INDEX('Paramètres'!$J:$J,MATCH($C4134,'Paramètres'!$D:$D,0))="",1,INDEX('Paramètres'!$J:$J,MATCH($C4134,'Paramètres'!$D:$D,0)))),2))</f>
        <v/>
      </c>
      <c r="L4134" s="6" t="str">
        <f>IF($D4134="","",IF($F4134&lt;&gt;"",$F4134,IF(ISNA(MATCH($D4134,'Paramètres'!$M:$M,0)),"⚠ Type inconnu",IFERROR(INDEX('Paramètres'!$P:$P,MATCH($D4134,'Paramètres'!$M:$M,0))&amp;"",""))))</f>
        <v/>
      </c>
      <c r="M4134" s="6" t="str">
        <f>IF($D4134="","",IF(ISNA(MATCH($D4134,'Paramètres'!$M:$M,0)),"⚠ Type inconnu",IF($L4134="Crédit","",IFERROR(INDEX('Paramètres'!$O:$O,MATCH($D4134,'Paramètres'!$M:$M,0))&amp;"",""))))</f>
        <v/>
      </c>
      <c r="N4134" s="6" t="str">
        <f>IF($D4134="","",IFERROR(INDEX('Paramètres'!$Q:$Q,MATCH($D4134,'Paramètres'!$M:$M,0))&amp;"",""))</f>
        <v/>
      </c>
      <c r="O4134" s="6" t="str">
        <f>IF($A4134="","",IF(OR($J4134&lt;&gt;"x",$A4134&lt;=FinReleve),1,0))</f>
        <v/>
      </c>
      <c r="P4134" s="6" t="str">
        <f>IF($D4134="","",IF(AND($L4134="Crédit",OR(IFERROR(INDEX('Paramètres'!$O:$O,MATCH($D4134,'Paramètres'!$M:$M,0))&amp;"","")&lt;&gt;"",ISNUMBER(SEARCH("remboursement",IFERROR(INDEX('Paramètres'!$N:$N,MATCH($D4134,'Paramètres'!$M:$M,0))&amp;"",""))))),1,0))</f>
        <v/>
      </c>
      <c r="Q4134" s="6" t="str">
        <f>IF($K4134="","",IF(ISNUMBER(SEARCH("transfert-interne",IFERROR(INDEX('Paramètres'!$N:$N,MATCH($D4134,'Paramètres'!$M:$M,0))&amp;"",""))),0,IF($L4134="Débit",$K4134,IF($P4134=1,-$K4134,0))))</f>
        <v/>
      </c>
      <c r="R4134" s="6" t="str">
        <f>IF($K4134="","",IF($L4134="Crédit",$K4134,-$K4134))</f>
        <v/>
      </c>
      <c r="S4134" s="6" t="str">
        <f>IF($C4134="","",IFERROR(INDEX('Paramètres'!$H:$H,MATCH($C4134,'Paramètres'!$D:$D,0))&amp;"",""))</f>
        <v/>
      </c>
      <c r="T4134" s="6" t="str">
        <f>IF($K4134="","",IF($S4134="",0,IF(ISNUMBER(SEARCH("apport-exterieur",IFERROR(INDEX('Paramètres'!$N:$N,MATCH($D4134,'Paramètres'!$M:$M,0))&amp;"",""))),0,IF(OR(IFERROR(INDEX('Paramètres'!$I:$I,MATCH($C4134,'Paramètres'!$D:$D,0))&amp;"","")="Les deux",IFERROR(INDEX('Paramètres'!$I:$I,MATCH($C4134,'Paramètres'!$D:$D,0))&amp;"","")=IF($P4134=1,"Débit",$L4134)),-IF($P4134=1,-$K4134,$K4134),0))))</f>
        <v/>
      </c>
      <c r="U4134" s="6" t="str">
        <f>IF($K4134="","",IF(ISNUMBER(SEARCH("sortie-epargne",IFERROR(INDEX('Paramètres'!$N:$N,MATCH($D4134,'Paramètres'!$M:$M,0))&amp;"",""))),$K4134,0))</f>
        <v/>
      </c>
      <c r="V4134" s="6" t="str">
        <f>IF(AND($A4134&lt;&gt;"",$O4134=1,$L4134="Débit",N($Q4134)&gt;0,$A4134&gt;=Visualisation!$B$1,$A4134&lt;Visualisation!$D$1),MAX($V$1:V4133)+1,"")</f>
        <v/>
      </c>
    </row>
    <row r="4135" spans="1:22" x14ac:dyDescent="0.25">
      <c r="A4135" s="9"/>
      <c r="E4135" s="10"/>
      <c r="K4135" s="11" t="str">
        <f>IF($E4135="","",ROUND($E4135*IF(ISNA(MATCH($C4135,'Paramètres'!$D:$D,0)),1,IF(INDEX('Paramètres'!$J:$J,MATCH($C4135,'Paramètres'!$D:$D,0))="",1,INDEX('Paramètres'!$J:$J,MATCH($C4135,'Paramètres'!$D:$D,0)))),2))</f>
        <v/>
      </c>
      <c r="L4135" s="6" t="str">
        <f>IF($D4135="","",IF($F4135&lt;&gt;"",$F4135,IF(ISNA(MATCH($D4135,'Paramètres'!$M:$M,0)),"⚠ Type inconnu",IFERROR(INDEX('Paramètres'!$P:$P,MATCH($D4135,'Paramètres'!$M:$M,0))&amp;"",""))))</f>
        <v/>
      </c>
      <c r="M4135" s="6" t="str">
        <f>IF($D4135="","",IF(ISNA(MATCH($D4135,'Paramètres'!$M:$M,0)),"⚠ Type inconnu",IF($L4135="Crédit","",IFERROR(INDEX('Paramètres'!$O:$O,MATCH($D4135,'Paramètres'!$M:$M,0))&amp;"",""))))</f>
        <v/>
      </c>
      <c r="N4135" s="6" t="str">
        <f>IF($D4135="","",IFERROR(INDEX('Paramètres'!$Q:$Q,MATCH($D4135,'Paramètres'!$M:$M,0))&amp;"",""))</f>
        <v/>
      </c>
      <c r="O4135" s="6" t="str">
        <f>IF($A4135="","",IF(OR($J4135&lt;&gt;"x",$A4135&lt;=FinReleve),1,0))</f>
        <v/>
      </c>
      <c r="P4135" s="6" t="str">
        <f>IF($D4135="","",IF(AND($L4135="Crédit",OR(IFERROR(INDEX('Paramètres'!$O:$O,MATCH($D4135,'Paramètres'!$M:$M,0))&amp;"","")&lt;&gt;"",ISNUMBER(SEARCH("remboursement",IFERROR(INDEX('Paramètres'!$N:$N,MATCH($D4135,'Paramètres'!$M:$M,0))&amp;"",""))))),1,0))</f>
        <v/>
      </c>
      <c r="Q4135" s="6" t="str">
        <f>IF($K4135="","",IF(ISNUMBER(SEARCH("transfert-interne",IFERROR(INDEX('Paramètres'!$N:$N,MATCH($D4135,'Paramètres'!$M:$M,0))&amp;"",""))),0,IF($L4135="Débit",$K4135,IF($P4135=1,-$K4135,0))))</f>
        <v/>
      </c>
      <c r="R4135" s="6" t="str">
        <f>IF($K4135="","",IF($L4135="Crédit",$K4135,-$K4135))</f>
        <v/>
      </c>
      <c r="S4135" s="6" t="str">
        <f>IF($C4135="","",IFERROR(INDEX('Paramètres'!$H:$H,MATCH($C4135,'Paramètres'!$D:$D,0))&amp;"",""))</f>
        <v/>
      </c>
      <c r="T4135" s="6" t="str">
        <f>IF($K4135="","",IF($S4135="",0,IF(ISNUMBER(SEARCH("apport-exterieur",IFERROR(INDEX('Paramètres'!$N:$N,MATCH($D4135,'Paramètres'!$M:$M,0))&amp;"",""))),0,IF(OR(IFERROR(INDEX('Paramètres'!$I:$I,MATCH($C4135,'Paramètres'!$D:$D,0))&amp;"","")="Les deux",IFERROR(INDEX('Paramètres'!$I:$I,MATCH($C4135,'Paramètres'!$D:$D,0))&amp;"","")=IF($P4135=1,"Débit",$L4135)),-IF($P4135=1,-$K4135,$K4135),0))))</f>
        <v/>
      </c>
      <c r="U4135" s="6" t="str">
        <f>IF($K4135="","",IF(ISNUMBER(SEARCH("sortie-epargne",IFERROR(INDEX('Paramètres'!$N:$N,MATCH($D4135,'Paramètres'!$M:$M,0))&amp;"",""))),$K4135,0))</f>
        <v/>
      </c>
      <c r="V4135" s="6" t="str">
        <f>IF(AND($A4135&lt;&gt;"",$O4135=1,$L4135="Débit",N($Q4135)&gt;0,$A4135&gt;=Visualisation!$B$1,$A4135&lt;Visualisation!$D$1),MAX($V$1:V4134)+1,"")</f>
        <v/>
      </c>
    </row>
    <row r="4136" spans="1:22" x14ac:dyDescent="0.25">
      <c r="A4136" s="9"/>
      <c r="E4136" s="10"/>
      <c r="K4136" s="11" t="str">
        <f>IF($E4136="","",ROUND($E4136*IF(ISNA(MATCH($C4136,'Paramètres'!$D:$D,0)),1,IF(INDEX('Paramètres'!$J:$J,MATCH($C4136,'Paramètres'!$D:$D,0))="",1,INDEX('Paramètres'!$J:$J,MATCH($C4136,'Paramètres'!$D:$D,0)))),2))</f>
        <v/>
      </c>
      <c r="L4136" s="6" t="str">
        <f>IF($D4136="","",IF($F4136&lt;&gt;"",$F4136,IF(ISNA(MATCH($D4136,'Paramètres'!$M:$M,0)),"⚠ Type inconnu",IFERROR(INDEX('Paramètres'!$P:$P,MATCH($D4136,'Paramètres'!$M:$M,0))&amp;"",""))))</f>
        <v/>
      </c>
      <c r="M4136" s="6" t="str">
        <f>IF($D4136="","",IF(ISNA(MATCH($D4136,'Paramètres'!$M:$M,0)),"⚠ Type inconnu",IF($L4136="Crédit","",IFERROR(INDEX('Paramètres'!$O:$O,MATCH($D4136,'Paramètres'!$M:$M,0))&amp;"",""))))</f>
        <v/>
      </c>
      <c r="N4136" s="6" t="str">
        <f>IF($D4136="","",IFERROR(INDEX('Paramètres'!$Q:$Q,MATCH($D4136,'Paramètres'!$M:$M,0))&amp;"",""))</f>
        <v/>
      </c>
      <c r="O4136" s="6" t="str">
        <f>IF($A4136="","",IF(OR($J4136&lt;&gt;"x",$A4136&lt;=FinReleve),1,0))</f>
        <v/>
      </c>
      <c r="P4136" s="6" t="str">
        <f>IF($D4136="","",IF(AND($L4136="Crédit",OR(IFERROR(INDEX('Paramètres'!$O:$O,MATCH($D4136,'Paramètres'!$M:$M,0))&amp;"","")&lt;&gt;"",ISNUMBER(SEARCH("remboursement",IFERROR(INDEX('Paramètres'!$N:$N,MATCH($D4136,'Paramètres'!$M:$M,0))&amp;"",""))))),1,0))</f>
        <v/>
      </c>
      <c r="Q4136" s="6" t="str">
        <f>IF($K4136="","",IF(ISNUMBER(SEARCH("transfert-interne",IFERROR(INDEX('Paramètres'!$N:$N,MATCH($D4136,'Paramètres'!$M:$M,0))&amp;"",""))),0,IF($L4136="Débit",$K4136,IF($P4136=1,-$K4136,0))))</f>
        <v/>
      </c>
      <c r="R4136" s="6" t="str">
        <f>IF($K4136="","",IF($L4136="Crédit",$K4136,-$K4136))</f>
        <v/>
      </c>
      <c r="S4136" s="6" t="str">
        <f>IF($C4136="","",IFERROR(INDEX('Paramètres'!$H:$H,MATCH($C4136,'Paramètres'!$D:$D,0))&amp;"",""))</f>
        <v/>
      </c>
      <c r="T4136" s="6" t="str">
        <f>IF($K4136="","",IF($S4136="",0,IF(ISNUMBER(SEARCH("apport-exterieur",IFERROR(INDEX('Paramètres'!$N:$N,MATCH($D4136,'Paramètres'!$M:$M,0))&amp;"",""))),0,IF(OR(IFERROR(INDEX('Paramètres'!$I:$I,MATCH($C4136,'Paramètres'!$D:$D,0))&amp;"","")="Les deux",IFERROR(INDEX('Paramètres'!$I:$I,MATCH($C4136,'Paramètres'!$D:$D,0))&amp;"","")=IF($P4136=1,"Débit",$L4136)),-IF($P4136=1,-$K4136,$K4136),0))))</f>
        <v/>
      </c>
      <c r="U4136" s="6" t="str">
        <f>IF($K4136="","",IF(ISNUMBER(SEARCH("sortie-epargne",IFERROR(INDEX('Paramètres'!$N:$N,MATCH($D4136,'Paramètres'!$M:$M,0))&amp;"",""))),$K4136,0))</f>
        <v/>
      </c>
      <c r="V4136" s="6" t="str">
        <f>IF(AND($A4136&lt;&gt;"",$O4136=1,$L4136="Débit",N($Q4136)&gt;0,$A4136&gt;=Visualisation!$B$1,$A4136&lt;Visualisation!$D$1),MAX($V$1:V4135)+1,"")</f>
        <v/>
      </c>
    </row>
    <row r="4137" spans="1:22" x14ac:dyDescent="0.25">
      <c r="A4137" s="9"/>
      <c r="E4137" s="10"/>
      <c r="K4137" s="11" t="str">
        <f>IF($E4137="","",ROUND($E4137*IF(ISNA(MATCH($C4137,'Paramètres'!$D:$D,0)),1,IF(INDEX('Paramètres'!$J:$J,MATCH($C4137,'Paramètres'!$D:$D,0))="",1,INDEX('Paramètres'!$J:$J,MATCH($C4137,'Paramètres'!$D:$D,0)))),2))</f>
        <v/>
      </c>
      <c r="L4137" s="6" t="str">
        <f>IF($D4137="","",IF($F4137&lt;&gt;"",$F4137,IF(ISNA(MATCH($D4137,'Paramètres'!$M:$M,0)),"⚠ Type inconnu",IFERROR(INDEX('Paramètres'!$P:$P,MATCH($D4137,'Paramètres'!$M:$M,0))&amp;"",""))))</f>
        <v/>
      </c>
      <c r="M4137" s="6" t="str">
        <f>IF($D4137="","",IF(ISNA(MATCH($D4137,'Paramètres'!$M:$M,0)),"⚠ Type inconnu",IF($L4137="Crédit","",IFERROR(INDEX('Paramètres'!$O:$O,MATCH($D4137,'Paramètres'!$M:$M,0))&amp;"",""))))</f>
        <v/>
      </c>
      <c r="N4137" s="6" t="str">
        <f>IF($D4137="","",IFERROR(INDEX('Paramètres'!$Q:$Q,MATCH($D4137,'Paramètres'!$M:$M,0))&amp;"",""))</f>
        <v/>
      </c>
      <c r="O4137" s="6" t="str">
        <f>IF($A4137="","",IF(OR($J4137&lt;&gt;"x",$A4137&lt;=FinReleve),1,0))</f>
        <v/>
      </c>
      <c r="P4137" s="6" t="str">
        <f>IF($D4137="","",IF(AND($L4137="Crédit",OR(IFERROR(INDEX('Paramètres'!$O:$O,MATCH($D4137,'Paramètres'!$M:$M,0))&amp;"","")&lt;&gt;"",ISNUMBER(SEARCH("remboursement",IFERROR(INDEX('Paramètres'!$N:$N,MATCH($D4137,'Paramètres'!$M:$M,0))&amp;"",""))))),1,0))</f>
        <v/>
      </c>
      <c r="Q4137" s="6" t="str">
        <f>IF($K4137="","",IF(ISNUMBER(SEARCH("transfert-interne",IFERROR(INDEX('Paramètres'!$N:$N,MATCH($D4137,'Paramètres'!$M:$M,0))&amp;"",""))),0,IF($L4137="Débit",$K4137,IF($P4137=1,-$K4137,0))))</f>
        <v/>
      </c>
      <c r="R4137" s="6" t="str">
        <f>IF($K4137="","",IF($L4137="Crédit",$K4137,-$K4137))</f>
        <v/>
      </c>
      <c r="S4137" s="6" t="str">
        <f>IF($C4137="","",IFERROR(INDEX('Paramètres'!$H:$H,MATCH($C4137,'Paramètres'!$D:$D,0))&amp;"",""))</f>
        <v/>
      </c>
      <c r="T4137" s="6" t="str">
        <f>IF($K4137="","",IF($S4137="",0,IF(ISNUMBER(SEARCH("apport-exterieur",IFERROR(INDEX('Paramètres'!$N:$N,MATCH($D4137,'Paramètres'!$M:$M,0))&amp;"",""))),0,IF(OR(IFERROR(INDEX('Paramètres'!$I:$I,MATCH($C4137,'Paramètres'!$D:$D,0))&amp;"","")="Les deux",IFERROR(INDEX('Paramètres'!$I:$I,MATCH($C4137,'Paramètres'!$D:$D,0))&amp;"","")=IF($P4137=1,"Débit",$L4137)),-IF($P4137=1,-$K4137,$K4137),0))))</f>
        <v/>
      </c>
      <c r="U4137" s="6" t="str">
        <f>IF($K4137="","",IF(ISNUMBER(SEARCH("sortie-epargne",IFERROR(INDEX('Paramètres'!$N:$N,MATCH($D4137,'Paramètres'!$M:$M,0))&amp;"",""))),$K4137,0))</f>
        <v/>
      </c>
      <c r="V4137" s="6" t="str">
        <f>IF(AND($A4137&lt;&gt;"",$O4137=1,$L4137="Débit",N($Q4137)&gt;0,$A4137&gt;=Visualisation!$B$1,$A4137&lt;Visualisation!$D$1),MAX($V$1:V4136)+1,"")</f>
        <v/>
      </c>
    </row>
    <row r="4138" spans="1:22" x14ac:dyDescent="0.25">
      <c r="A4138" s="9"/>
      <c r="E4138" s="10"/>
      <c r="K4138" s="11" t="str">
        <f>IF($E4138="","",ROUND($E4138*IF(ISNA(MATCH($C4138,'Paramètres'!$D:$D,0)),1,IF(INDEX('Paramètres'!$J:$J,MATCH($C4138,'Paramètres'!$D:$D,0))="",1,INDEX('Paramètres'!$J:$J,MATCH($C4138,'Paramètres'!$D:$D,0)))),2))</f>
        <v/>
      </c>
      <c r="L4138" s="6" t="str">
        <f>IF($D4138="","",IF($F4138&lt;&gt;"",$F4138,IF(ISNA(MATCH($D4138,'Paramètres'!$M:$M,0)),"⚠ Type inconnu",IFERROR(INDEX('Paramètres'!$P:$P,MATCH($D4138,'Paramètres'!$M:$M,0))&amp;"",""))))</f>
        <v/>
      </c>
      <c r="M4138" s="6" t="str">
        <f>IF($D4138="","",IF(ISNA(MATCH($D4138,'Paramètres'!$M:$M,0)),"⚠ Type inconnu",IF($L4138="Crédit","",IFERROR(INDEX('Paramètres'!$O:$O,MATCH($D4138,'Paramètres'!$M:$M,0))&amp;"",""))))</f>
        <v/>
      </c>
      <c r="N4138" s="6" t="str">
        <f>IF($D4138="","",IFERROR(INDEX('Paramètres'!$Q:$Q,MATCH($D4138,'Paramètres'!$M:$M,0))&amp;"",""))</f>
        <v/>
      </c>
      <c r="O4138" s="6" t="str">
        <f>IF($A4138="","",IF(OR($J4138&lt;&gt;"x",$A4138&lt;=FinReleve),1,0))</f>
        <v/>
      </c>
      <c r="P4138" s="6" t="str">
        <f>IF($D4138="","",IF(AND($L4138="Crédit",OR(IFERROR(INDEX('Paramètres'!$O:$O,MATCH($D4138,'Paramètres'!$M:$M,0))&amp;"","")&lt;&gt;"",ISNUMBER(SEARCH("remboursement",IFERROR(INDEX('Paramètres'!$N:$N,MATCH($D4138,'Paramètres'!$M:$M,0))&amp;"",""))))),1,0))</f>
        <v/>
      </c>
      <c r="Q4138" s="6" t="str">
        <f>IF($K4138="","",IF(ISNUMBER(SEARCH("transfert-interne",IFERROR(INDEX('Paramètres'!$N:$N,MATCH($D4138,'Paramètres'!$M:$M,0))&amp;"",""))),0,IF($L4138="Débit",$K4138,IF($P4138=1,-$K4138,0))))</f>
        <v/>
      </c>
      <c r="R4138" s="6" t="str">
        <f>IF($K4138="","",IF($L4138="Crédit",$K4138,-$K4138))</f>
        <v/>
      </c>
      <c r="S4138" s="6" t="str">
        <f>IF($C4138="","",IFERROR(INDEX('Paramètres'!$H:$H,MATCH($C4138,'Paramètres'!$D:$D,0))&amp;"",""))</f>
        <v/>
      </c>
      <c r="T4138" s="6" t="str">
        <f>IF($K4138="","",IF($S4138="",0,IF(ISNUMBER(SEARCH("apport-exterieur",IFERROR(INDEX('Paramètres'!$N:$N,MATCH($D4138,'Paramètres'!$M:$M,0))&amp;"",""))),0,IF(OR(IFERROR(INDEX('Paramètres'!$I:$I,MATCH($C4138,'Paramètres'!$D:$D,0))&amp;"","")="Les deux",IFERROR(INDEX('Paramètres'!$I:$I,MATCH($C4138,'Paramètres'!$D:$D,0))&amp;"","")=IF($P4138=1,"Débit",$L4138)),-IF($P4138=1,-$K4138,$K4138),0))))</f>
        <v/>
      </c>
      <c r="U4138" s="6" t="str">
        <f>IF($K4138="","",IF(ISNUMBER(SEARCH("sortie-epargne",IFERROR(INDEX('Paramètres'!$N:$N,MATCH($D4138,'Paramètres'!$M:$M,0))&amp;"",""))),$K4138,0))</f>
        <v/>
      </c>
      <c r="V4138" s="6" t="str">
        <f>IF(AND($A4138&lt;&gt;"",$O4138=1,$L4138="Débit",N($Q4138)&gt;0,$A4138&gt;=Visualisation!$B$1,$A4138&lt;Visualisation!$D$1),MAX($V$1:V4137)+1,"")</f>
        <v/>
      </c>
    </row>
    <row r="4139" spans="1:22" x14ac:dyDescent="0.25">
      <c r="A4139" s="9"/>
      <c r="E4139" s="10"/>
      <c r="K4139" s="11" t="str">
        <f>IF($E4139="","",ROUND($E4139*IF(ISNA(MATCH($C4139,'Paramètres'!$D:$D,0)),1,IF(INDEX('Paramètres'!$J:$J,MATCH($C4139,'Paramètres'!$D:$D,0))="",1,INDEX('Paramètres'!$J:$J,MATCH($C4139,'Paramètres'!$D:$D,0)))),2))</f>
        <v/>
      </c>
      <c r="L4139" s="6" t="str">
        <f>IF($D4139="","",IF($F4139&lt;&gt;"",$F4139,IF(ISNA(MATCH($D4139,'Paramètres'!$M:$M,0)),"⚠ Type inconnu",IFERROR(INDEX('Paramètres'!$P:$P,MATCH($D4139,'Paramètres'!$M:$M,0))&amp;"",""))))</f>
        <v/>
      </c>
      <c r="M4139" s="6" t="str">
        <f>IF($D4139="","",IF(ISNA(MATCH($D4139,'Paramètres'!$M:$M,0)),"⚠ Type inconnu",IF($L4139="Crédit","",IFERROR(INDEX('Paramètres'!$O:$O,MATCH($D4139,'Paramètres'!$M:$M,0))&amp;"",""))))</f>
        <v/>
      </c>
      <c r="N4139" s="6" t="str">
        <f>IF($D4139="","",IFERROR(INDEX('Paramètres'!$Q:$Q,MATCH($D4139,'Paramètres'!$M:$M,0))&amp;"",""))</f>
        <v/>
      </c>
      <c r="O4139" s="6" t="str">
        <f>IF($A4139="","",IF(OR($J4139&lt;&gt;"x",$A4139&lt;=FinReleve),1,0))</f>
        <v/>
      </c>
      <c r="P4139" s="6" t="str">
        <f>IF($D4139="","",IF(AND($L4139="Crédit",OR(IFERROR(INDEX('Paramètres'!$O:$O,MATCH($D4139,'Paramètres'!$M:$M,0))&amp;"","")&lt;&gt;"",ISNUMBER(SEARCH("remboursement",IFERROR(INDEX('Paramètres'!$N:$N,MATCH($D4139,'Paramètres'!$M:$M,0))&amp;"",""))))),1,0))</f>
        <v/>
      </c>
      <c r="Q4139" s="6" t="str">
        <f>IF($K4139="","",IF(ISNUMBER(SEARCH("transfert-interne",IFERROR(INDEX('Paramètres'!$N:$N,MATCH($D4139,'Paramètres'!$M:$M,0))&amp;"",""))),0,IF($L4139="Débit",$K4139,IF($P4139=1,-$K4139,0))))</f>
        <v/>
      </c>
      <c r="R4139" s="6" t="str">
        <f>IF($K4139="","",IF($L4139="Crédit",$K4139,-$K4139))</f>
        <v/>
      </c>
      <c r="S4139" s="6" t="str">
        <f>IF($C4139="","",IFERROR(INDEX('Paramètres'!$H:$H,MATCH($C4139,'Paramètres'!$D:$D,0))&amp;"",""))</f>
        <v/>
      </c>
      <c r="T4139" s="6" t="str">
        <f>IF($K4139="","",IF($S4139="",0,IF(ISNUMBER(SEARCH("apport-exterieur",IFERROR(INDEX('Paramètres'!$N:$N,MATCH($D4139,'Paramètres'!$M:$M,0))&amp;"",""))),0,IF(OR(IFERROR(INDEX('Paramètres'!$I:$I,MATCH($C4139,'Paramètres'!$D:$D,0))&amp;"","")="Les deux",IFERROR(INDEX('Paramètres'!$I:$I,MATCH($C4139,'Paramètres'!$D:$D,0))&amp;"","")=IF($P4139=1,"Débit",$L4139)),-IF($P4139=1,-$K4139,$K4139),0))))</f>
        <v/>
      </c>
      <c r="U4139" s="6" t="str">
        <f>IF($K4139="","",IF(ISNUMBER(SEARCH("sortie-epargne",IFERROR(INDEX('Paramètres'!$N:$N,MATCH($D4139,'Paramètres'!$M:$M,0))&amp;"",""))),$K4139,0))</f>
        <v/>
      </c>
      <c r="V4139" s="6" t="str">
        <f>IF(AND($A4139&lt;&gt;"",$O4139=1,$L4139="Débit",N($Q4139)&gt;0,$A4139&gt;=Visualisation!$B$1,$A4139&lt;Visualisation!$D$1),MAX($V$1:V4138)+1,"")</f>
        <v/>
      </c>
    </row>
    <row r="4140" spans="1:22" x14ac:dyDescent="0.25">
      <c r="A4140" s="9"/>
      <c r="E4140" s="10"/>
      <c r="K4140" s="11" t="str">
        <f>IF($E4140="","",ROUND($E4140*IF(ISNA(MATCH($C4140,'Paramètres'!$D:$D,0)),1,IF(INDEX('Paramètres'!$J:$J,MATCH($C4140,'Paramètres'!$D:$D,0))="",1,INDEX('Paramètres'!$J:$J,MATCH($C4140,'Paramètres'!$D:$D,0)))),2))</f>
        <v/>
      </c>
      <c r="L4140" s="6" t="str">
        <f>IF($D4140="","",IF($F4140&lt;&gt;"",$F4140,IF(ISNA(MATCH($D4140,'Paramètres'!$M:$M,0)),"⚠ Type inconnu",IFERROR(INDEX('Paramètres'!$P:$P,MATCH($D4140,'Paramètres'!$M:$M,0))&amp;"",""))))</f>
        <v/>
      </c>
      <c r="M4140" s="6" t="str">
        <f>IF($D4140="","",IF(ISNA(MATCH($D4140,'Paramètres'!$M:$M,0)),"⚠ Type inconnu",IF($L4140="Crédit","",IFERROR(INDEX('Paramètres'!$O:$O,MATCH($D4140,'Paramètres'!$M:$M,0))&amp;"",""))))</f>
        <v/>
      </c>
      <c r="N4140" s="6" t="str">
        <f>IF($D4140="","",IFERROR(INDEX('Paramètres'!$Q:$Q,MATCH($D4140,'Paramètres'!$M:$M,0))&amp;"",""))</f>
        <v/>
      </c>
      <c r="O4140" s="6" t="str">
        <f>IF($A4140="","",IF(OR($J4140&lt;&gt;"x",$A4140&lt;=FinReleve),1,0))</f>
        <v/>
      </c>
      <c r="P4140" s="6" t="str">
        <f>IF($D4140="","",IF(AND($L4140="Crédit",OR(IFERROR(INDEX('Paramètres'!$O:$O,MATCH($D4140,'Paramètres'!$M:$M,0))&amp;"","")&lt;&gt;"",ISNUMBER(SEARCH("remboursement",IFERROR(INDEX('Paramètres'!$N:$N,MATCH($D4140,'Paramètres'!$M:$M,0))&amp;"",""))))),1,0))</f>
        <v/>
      </c>
      <c r="Q4140" s="6" t="str">
        <f>IF($K4140="","",IF(ISNUMBER(SEARCH("transfert-interne",IFERROR(INDEX('Paramètres'!$N:$N,MATCH($D4140,'Paramètres'!$M:$M,0))&amp;"",""))),0,IF($L4140="Débit",$K4140,IF($P4140=1,-$K4140,0))))</f>
        <v/>
      </c>
      <c r="R4140" s="6" t="str">
        <f>IF($K4140="","",IF($L4140="Crédit",$K4140,-$K4140))</f>
        <v/>
      </c>
      <c r="S4140" s="6" t="str">
        <f>IF($C4140="","",IFERROR(INDEX('Paramètres'!$H:$H,MATCH($C4140,'Paramètres'!$D:$D,0))&amp;"",""))</f>
        <v/>
      </c>
      <c r="T4140" s="6" t="str">
        <f>IF($K4140="","",IF($S4140="",0,IF(ISNUMBER(SEARCH("apport-exterieur",IFERROR(INDEX('Paramètres'!$N:$N,MATCH($D4140,'Paramètres'!$M:$M,0))&amp;"",""))),0,IF(OR(IFERROR(INDEX('Paramètres'!$I:$I,MATCH($C4140,'Paramètres'!$D:$D,0))&amp;"","")="Les deux",IFERROR(INDEX('Paramètres'!$I:$I,MATCH($C4140,'Paramètres'!$D:$D,0))&amp;"","")=IF($P4140=1,"Débit",$L4140)),-IF($P4140=1,-$K4140,$K4140),0))))</f>
        <v/>
      </c>
      <c r="U4140" s="6" t="str">
        <f>IF($K4140="","",IF(ISNUMBER(SEARCH("sortie-epargne",IFERROR(INDEX('Paramètres'!$N:$N,MATCH($D4140,'Paramètres'!$M:$M,0))&amp;"",""))),$K4140,0))</f>
        <v/>
      </c>
      <c r="V4140" s="6" t="str">
        <f>IF(AND($A4140&lt;&gt;"",$O4140=1,$L4140="Débit",N($Q4140)&gt;0,$A4140&gt;=Visualisation!$B$1,$A4140&lt;Visualisation!$D$1),MAX($V$1:V4139)+1,"")</f>
        <v/>
      </c>
    </row>
    <row r="4141" spans="1:22" x14ac:dyDescent="0.25">
      <c r="A4141" s="9"/>
      <c r="E4141" s="10"/>
      <c r="K4141" s="11" t="str">
        <f>IF($E4141="","",ROUND($E4141*IF(ISNA(MATCH($C4141,'Paramètres'!$D:$D,0)),1,IF(INDEX('Paramètres'!$J:$J,MATCH($C4141,'Paramètres'!$D:$D,0))="",1,INDEX('Paramètres'!$J:$J,MATCH($C4141,'Paramètres'!$D:$D,0)))),2))</f>
        <v/>
      </c>
      <c r="L4141" s="6" t="str">
        <f>IF($D4141="","",IF($F4141&lt;&gt;"",$F4141,IF(ISNA(MATCH($D4141,'Paramètres'!$M:$M,0)),"⚠ Type inconnu",IFERROR(INDEX('Paramètres'!$P:$P,MATCH($D4141,'Paramètres'!$M:$M,0))&amp;"",""))))</f>
        <v/>
      </c>
      <c r="M4141" s="6" t="str">
        <f>IF($D4141="","",IF(ISNA(MATCH($D4141,'Paramètres'!$M:$M,0)),"⚠ Type inconnu",IF($L4141="Crédit","",IFERROR(INDEX('Paramètres'!$O:$O,MATCH($D4141,'Paramètres'!$M:$M,0))&amp;"",""))))</f>
        <v/>
      </c>
      <c r="N4141" s="6" t="str">
        <f>IF($D4141="","",IFERROR(INDEX('Paramètres'!$Q:$Q,MATCH($D4141,'Paramètres'!$M:$M,0))&amp;"",""))</f>
        <v/>
      </c>
      <c r="O4141" s="6" t="str">
        <f>IF($A4141="","",IF(OR($J4141&lt;&gt;"x",$A4141&lt;=FinReleve),1,0))</f>
        <v/>
      </c>
      <c r="P4141" s="6" t="str">
        <f>IF($D4141="","",IF(AND($L4141="Crédit",OR(IFERROR(INDEX('Paramètres'!$O:$O,MATCH($D4141,'Paramètres'!$M:$M,0))&amp;"","")&lt;&gt;"",ISNUMBER(SEARCH("remboursement",IFERROR(INDEX('Paramètres'!$N:$N,MATCH($D4141,'Paramètres'!$M:$M,0))&amp;"",""))))),1,0))</f>
        <v/>
      </c>
      <c r="Q4141" s="6" t="str">
        <f>IF($K4141="","",IF(ISNUMBER(SEARCH("transfert-interne",IFERROR(INDEX('Paramètres'!$N:$N,MATCH($D4141,'Paramètres'!$M:$M,0))&amp;"",""))),0,IF($L4141="Débit",$K4141,IF($P4141=1,-$K4141,0))))</f>
        <v/>
      </c>
      <c r="R4141" s="6" t="str">
        <f>IF($K4141="","",IF($L4141="Crédit",$K4141,-$K4141))</f>
        <v/>
      </c>
      <c r="S4141" s="6" t="str">
        <f>IF($C4141="","",IFERROR(INDEX('Paramètres'!$H:$H,MATCH($C4141,'Paramètres'!$D:$D,0))&amp;"",""))</f>
        <v/>
      </c>
      <c r="T4141" s="6" t="str">
        <f>IF($K4141="","",IF($S4141="",0,IF(ISNUMBER(SEARCH("apport-exterieur",IFERROR(INDEX('Paramètres'!$N:$N,MATCH($D4141,'Paramètres'!$M:$M,0))&amp;"",""))),0,IF(OR(IFERROR(INDEX('Paramètres'!$I:$I,MATCH($C4141,'Paramètres'!$D:$D,0))&amp;"","")="Les deux",IFERROR(INDEX('Paramètres'!$I:$I,MATCH($C4141,'Paramètres'!$D:$D,0))&amp;"","")=IF($P4141=1,"Débit",$L4141)),-IF($P4141=1,-$K4141,$K4141),0))))</f>
        <v/>
      </c>
      <c r="U4141" s="6" t="str">
        <f>IF($K4141="","",IF(ISNUMBER(SEARCH("sortie-epargne",IFERROR(INDEX('Paramètres'!$N:$N,MATCH($D4141,'Paramètres'!$M:$M,0))&amp;"",""))),$K4141,0))</f>
        <v/>
      </c>
      <c r="V4141" s="6" t="str">
        <f>IF(AND($A4141&lt;&gt;"",$O4141=1,$L4141="Débit",N($Q4141)&gt;0,$A4141&gt;=Visualisation!$B$1,$A4141&lt;Visualisation!$D$1),MAX($V$1:V4140)+1,"")</f>
        <v/>
      </c>
    </row>
    <row r="4142" spans="1:22" x14ac:dyDescent="0.25">
      <c r="A4142" s="9"/>
      <c r="E4142" s="10"/>
      <c r="K4142" s="11" t="str">
        <f>IF($E4142="","",ROUND($E4142*IF(ISNA(MATCH($C4142,'Paramètres'!$D:$D,0)),1,IF(INDEX('Paramètres'!$J:$J,MATCH($C4142,'Paramètres'!$D:$D,0))="",1,INDEX('Paramètres'!$J:$J,MATCH($C4142,'Paramètres'!$D:$D,0)))),2))</f>
        <v/>
      </c>
      <c r="L4142" s="6" t="str">
        <f>IF($D4142="","",IF($F4142&lt;&gt;"",$F4142,IF(ISNA(MATCH($D4142,'Paramètres'!$M:$M,0)),"⚠ Type inconnu",IFERROR(INDEX('Paramètres'!$P:$P,MATCH($D4142,'Paramètres'!$M:$M,0))&amp;"",""))))</f>
        <v/>
      </c>
      <c r="M4142" s="6" t="str">
        <f>IF($D4142="","",IF(ISNA(MATCH($D4142,'Paramètres'!$M:$M,0)),"⚠ Type inconnu",IF($L4142="Crédit","",IFERROR(INDEX('Paramètres'!$O:$O,MATCH($D4142,'Paramètres'!$M:$M,0))&amp;"",""))))</f>
        <v/>
      </c>
      <c r="N4142" s="6" t="str">
        <f>IF($D4142="","",IFERROR(INDEX('Paramètres'!$Q:$Q,MATCH($D4142,'Paramètres'!$M:$M,0))&amp;"",""))</f>
        <v/>
      </c>
      <c r="O4142" s="6" t="str">
        <f>IF($A4142="","",IF(OR($J4142&lt;&gt;"x",$A4142&lt;=FinReleve),1,0))</f>
        <v/>
      </c>
      <c r="P4142" s="6" t="str">
        <f>IF($D4142="","",IF(AND($L4142="Crédit",OR(IFERROR(INDEX('Paramètres'!$O:$O,MATCH($D4142,'Paramètres'!$M:$M,0))&amp;"","")&lt;&gt;"",ISNUMBER(SEARCH("remboursement",IFERROR(INDEX('Paramètres'!$N:$N,MATCH($D4142,'Paramètres'!$M:$M,0))&amp;"",""))))),1,0))</f>
        <v/>
      </c>
      <c r="Q4142" s="6" t="str">
        <f>IF($K4142="","",IF(ISNUMBER(SEARCH("transfert-interne",IFERROR(INDEX('Paramètres'!$N:$N,MATCH($D4142,'Paramètres'!$M:$M,0))&amp;"",""))),0,IF($L4142="Débit",$K4142,IF($P4142=1,-$K4142,0))))</f>
        <v/>
      </c>
      <c r="R4142" s="6" t="str">
        <f>IF($K4142="","",IF($L4142="Crédit",$K4142,-$K4142))</f>
        <v/>
      </c>
      <c r="S4142" s="6" t="str">
        <f>IF($C4142="","",IFERROR(INDEX('Paramètres'!$H:$H,MATCH($C4142,'Paramètres'!$D:$D,0))&amp;"",""))</f>
        <v/>
      </c>
      <c r="T4142" s="6" t="str">
        <f>IF($K4142="","",IF($S4142="",0,IF(ISNUMBER(SEARCH("apport-exterieur",IFERROR(INDEX('Paramètres'!$N:$N,MATCH($D4142,'Paramètres'!$M:$M,0))&amp;"",""))),0,IF(OR(IFERROR(INDEX('Paramètres'!$I:$I,MATCH($C4142,'Paramètres'!$D:$D,0))&amp;"","")="Les deux",IFERROR(INDEX('Paramètres'!$I:$I,MATCH($C4142,'Paramètres'!$D:$D,0))&amp;"","")=IF($P4142=1,"Débit",$L4142)),-IF($P4142=1,-$K4142,$K4142),0))))</f>
        <v/>
      </c>
      <c r="U4142" s="6" t="str">
        <f>IF($K4142="","",IF(ISNUMBER(SEARCH("sortie-epargne",IFERROR(INDEX('Paramètres'!$N:$N,MATCH($D4142,'Paramètres'!$M:$M,0))&amp;"",""))),$K4142,0))</f>
        <v/>
      </c>
      <c r="V4142" s="6" t="str">
        <f>IF(AND($A4142&lt;&gt;"",$O4142=1,$L4142="Débit",N($Q4142)&gt;0,$A4142&gt;=Visualisation!$B$1,$A4142&lt;Visualisation!$D$1),MAX($V$1:V4141)+1,"")</f>
        <v/>
      </c>
    </row>
    <row r="4143" spans="1:22" x14ac:dyDescent="0.25">
      <c r="A4143" s="9"/>
      <c r="E4143" s="10"/>
      <c r="K4143" s="11" t="str">
        <f>IF($E4143="","",ROUND($E4143*IF(ISNA(MATCH($C4143,'Paramètres'!$D:$D,0)),1,IF(INDEX('Paramètres'!$J:$J,MATCH($C4143,'Paramètres'!$D:$D,0))="",1,INDEX('Paramètres'!$J:$J,MATCH($C4143,'Paramètres'!$D:$D,0)))),2))</f>
        <v/>
      </c>
      <c r="L4143" s="6" t="str">
        <f>IF($D4143="","",IF($F4143&lt;&gt;"",$F4143,IF(ISNA(MATCH($D4143,'Paramètres'!$M:$M,0)),"⚠ Type inconnu",IFERROR(INDEX('Paramètres'!$P:$P,MATCH($D4143,'Paramètres'!$M:$M,0))&amp;"",""))))</f>
        <v/>
      </c>
      <c r="M4143" s="6" t="str">
        <f>IF($D4143="","",IF(ISNA(MATCH($D4143,'Paramètres'!$M:$M,0)),"⚠ Type inconnu",IF($L4143="Crédit","",IFERROR(INDEX('Paramètres'!$O:$O,MATCH($D4143,'Paramètres'!$M:$M,0))&amp;"",""))))</f>
        <v/>
      </c>
      <c r="N4143" s="6" t="str">
        <f>IF($D4143="","",IFERROR(INDEX('Paramètres'!$Q:$Q,MATCH($D4143,'Paramètres'!$M:$M,0))&amp;"",""))</f>
        <v/>
      </c>
      <c r="O4143" s="6" t="str">
        <f>IF($A4143="","",IF(OR($J4143&lt;&gt;"x",$A4143&lt;=FinReleve),1,0))</f>
        <v/>
      </c>
      <c r="P4143" s="6" t="str">
        <f>IF($D4143="","",IF(AND($L4143="Crédit",OR(IFERROR(INDEX('Paramètres'!$O:$O,MATCH($D4143,'Paramètres'!$M:$M,0))&amp;"","")&lt;&gt;"",ISNUMBER(SEARCH("remboursement",IFERROR(INDEX('Paramètres'!$N:$N,MATCH($D4143,'Paramètres'!$M:$M,0))&amp;"",""))))),1,0))</f>
        <v/>
      </c>
      <c r="Q4143" s="6" t="str">
        <f>IF($K4143="","",IF(ISNUMBER(SEARCH("transfert-interne",IFERROR(INDEX('Paramètres'!$N:$N,MATCH($D4143,'Paramètres'!$M:$M,0))&amp;"",""))),0,IF($L4143="Débit",$K4143,IF($P4143=1,-$K4143,0))))</f>
        <v/>
      </c>
      <c r="R4143" s="6" t="str">
        <f>IF($K4143="","",IF($L4143="Crédit",$K4143,-$K4143))</f>
        <v/>
      </c>
      <c r="S4143" s="6" t="str">
        <f>IF($C4143="","",IFERROR(INDEX('Paramètres'!$H:$H,MATCH($C4143,'Paramètres'!$D:$D,0))&amp;"",""))</f>
        <v/>
      </c>
      <c r="T4143" s="6" t="str">
        <f>IF($K4143="","",IF($S4143="",0,IF(ISNUMBER(SEARCH("apport-exterieur",IFERROR(INDEX('Paramètres'!$N:$N,MATCH($D4143,'Paramètres'!$M:$M,0))&amp;"",""))),0,IF(OR(IFERROR(INDEX('Paramètres'!$I:$I,MATCH($C4143,'Paramètres'!$D:$D,0))&amp;"","")="Les deux",IFERROR(INDEX('Paramètres'!$I:$I,MATCH($C4143,'Paramètres'!$D:$D,0))&amp;"","")=IF($P4143=1,"Débit",$L4143)),-IF($P4143=1,-$K4143,$K4143),0))))</f>
        <v/>
      </c>
      <c r="U4143" s="6" t="str">
        <f>IF($K4143="","",IF(ISNUMBER(SEARCH("sortie-epargne",IFERROR(INDEX('Paramètres'!$N:$N,MATCH($D4143,'Paramètres'!$M:$M,0))&amp;"",""))),$K4143,0))</f>
        <v/>
      </c>
      <c r="V4143" s="6" t="str">
        <f>IF(AND($A4143&lt;&gt;"",$O4143=1,$L4143="Débit",N($Q4143)&gt;0,$A4143&gt;=Visualisation!$B$1,$A4143&lt;Visualisation!$D$1),MAX($V$1:V4142)+1,"")</f>
        <v/>
      </c>
    </row>
    <row r="4144" spans="1:22" x14ac:dyDescent="0.25">
      <c r="A4144" s="9"/>
      <c r="E4144" s="10"/>
      <c r="K4144" s="11" t="str">
        <f>IF($E4144="","",ROUND($E4144*IF(ISNA(MATCH($C4144,'Paramètres'!$D:$D,0)),1,IF(INDEX('Paramètres'!$J:$J,MATCH($C4144,'Paramètres'!$D:$D,0))="",1,INDEX('Paramètres'!$J:$J,MATCH($C4144,'Paramètres'!$D:$D,0)))),2))</f>
        <v/>
      </c>
      <c r="L4144" s="6" t="str">
        <f>IF($D4144="","",IF($F4144&lt;&gt;"",$F4144,IF(ISNA(MATCH($D4144,'Paramètres'!$M:$M,0)),"⚠ Type inconnu",IFERROR(INDEX('Paramètres'!$P:$P,MATCH($D4144,'Paramètres'!$M:$M,0))&amp;"",""))))</f>
        <v/>
      </c>
      <c r="M4144" s="6" t="str">
        <f>IF($D4144="","",IF(ISNA(MATCH($D4144,'Paramètres'!$M:$M,0)),"⚠ Type inconnu",IF($L4144="Crédit","",IFERROR(INDEX('Paramètres'!$O:$O,MATCH($D4144,'Paramètres'!$M:$M,0))&amp;"",""))))</f>
        <v/>
      </c>
      <c r="N4144" s="6" t="str">
        <f>IF($D4144="","",IFERROR(INDEX('Paramètres'!$Q:$Q,MATCH($D4144,'Paramètres'!$M:$M,0))&amp;"",""))</f>
        <v/>
      </c>
      <c r="O4144" s="6" t="str">
        <f>IF($A4144="","",IF(OR($J4144&lt;&gt;"x",$A4144&lt;=FinReleve),1,0))</f>
        <v/>
      </c>
      <c r="P4144" s="6" t="str">
        <f>IF($D4144="","",IF(AND($L4144="Crédit",OR(IFERROR(INDEX('Paramètres'!$O:$O,MATCH($D4144,'Paramètres'!$M:$M,0))&amp;"","")&lt;&gt;"",ISNUMBER(SEARCH("remboursement",IFERROR(INDEX('Paramètres'!$N:$N,MATCH($D4144,'Paramètres'!$M:$M,0))&amp;"",""))))),1,0))</f>
        <v/>
      </c>
      <c r="Q4144" s="6" t="str">
        <f>IF($K4144="","",IF(ISNUMBER(SEARCH("transfert-interne",IFERROR(INDEX('Paramètres'!$N:$N,MATCH($D4144,'Paramètres'!$M:$M,0))&amp;"",""))),0,IF($L4144="Débit",$K4144,IF($P4144=1,-$K4144,0))))</f>
        <v/>
      </c>
      <c r="R4144" s="6" t="str">
        <f>IF($K4144="","",IF($L4144="Crédit",$K4144,-$K4144))</f>
        <v/>
      </c>
      <c r="S4144" s="6" t="str">
        <f>IF($C4144="","",IFERROR(INDEX('Paramètres'!$H:$H,MATCH($C4144,'Paramètres'!$D:$D,0))&amp;"",""))</f>
        <v/>
      </c>
      <c r="T4144" s="6" t="str">
        <f>IF($K4144="","",IF($S4144="",0,IF(ISNUMBER(SEARCH("apport-exterieur",IFERROR(INDEX('Paramètres'!$N:$N,MATCH($D4144,'Paramètres'!$M:$M,0))&amp;"",""))),0,IF(OR(IFERROR(INDEX('Paramètres'!$I:$I,MATCH($C4144,'Paramètres'!$D:$D,0))&amp;"","")="Les deux",IFERROR(INDEX('Paramètres'!$I:$I,MATCH($C4144,'Paramètres'!$D:$D,0))&amp;"","")=IF($P4144=1,"Débit",$L4144)),-IF($P4144=1,-$K4144,$K4144),0))))</f>
        <v/>
      </c>
      <c r="U4144" s="6" t="str">
        <f>IF($K4144="","",IF(ISNUMBER(SEARCH("sortie-epargne",IFERROR(INDEX('Paramètres'!$N:$N,MATCH($D4144,'Paramètres'!$M:$M,0))&amp;"",""))),$K4144,0))</f>
        <v/>
      </c>
      <c r="V4144" s="6" t="str">
        <f>IF(AND($A4144&lt;&gt;"",$O4144=1,$L4144="Débit",N($Q4144)&gt;0,$A4144&gt;=Visualisation!$B$1,$A4144&lt;Visualisation!$D$1),MAX($V$1:V4143)+1,"")</f>
        <v/>
      </c>
    </row>
    <row r="4145" spans="1:22" x14ac:dyDescent="0.25">
      <c r="A4145" s="9"/>
      <c r="E4145" s="10"/>
      <c r="K4145" s="11" t="str">
        <f>IF($E4145="","",ROUND($E4145*IF(ISNA(MATCH($C4145,'Paramètres'!$D:$D,0)),1,IF(INDEX('Paramètres'!$J:$J,MATCH($C4145,'Paramètres'!$D:$D,0))="",1,INDEX('Paramètres'!$J:$J,MATCH($C4145,'Paramètres'!$D:$D,0)))),2))</f>
        <v/>
      </c>
      <c r="L4145" s="6" t="str">
        <f>IF($D4145="","",IF($F4145&lt;&gt;"",$F4145,IF(ISNA(MATCH($D4145,'Paramètres'!$M:$M,0)),"⚠ Type inconnu",IFERROR(INDEX('Paramètres'!$P:$P,MATCH($D4145,'Paramètres'!$M:$M,0))&amp;"",""))))</f>
        <v/>
      </c>
      <c r="M4145" s="6" t="str">
        <f>IF($D4145="","",IF(ISNA(MATCH($D4145,'Paramètres'!$M:$M,0)),"⚠ Type inconnu",IF($L4145="Crédit","",IFERROR(INDEX('Paramètres'!$O:$O,MATCH($D4145,'Paramètres'!$M:$M,0))&amp;"",""))))</f>
        <v/>
      </c>
      <c r="N4145" s="6" t="str">
        <f>IF($D4145="","",IFERROR(INDEX('Paramètres'!$Q:$Q,MATCH($D4145,'Paramètres'!$M:$M,0))&amp;"",""))</f>
        <v/>
      </c>
      <c r="O4145" s="6" t="str">
        <f>IF($A4145="","",IF(OR($J4145&lt;&gt;"x",$A4145&lt;=FinReleve),1,0))</f>
        <v/>
      </c>
      <c r="P4145" s="6" t="str">
        <f>IF($D4145="","",IF(AND($L4145="Crédit",OR(IFERROR(INDEX('Paramètres'!$O:$O,MATCH($D4145,'Paramètres'!$M:$M,0))&amp;"","")&lt;&gt;"",ISNUMBER(SEARCH("remboursement",IFERROR(INDEX('Paramètres'!$N:$N,MATCH($D4145,'Paramètres'!$M:$M,0))&amp;"",""))))),1,0))</f>
        <v/>
      </c>
      <c r="Q4145" s="6" t="str">
        <f>IF($K4145="","",IF(ISNUMBER(SEARCH("transfert-interne",IFERROR(INDEX('Paramètres'!$N:$N,MATCH($D4145,'Paramètres'!$M:$M,0))&amp;"",""))),0,IF($L4145="Débit",$K4145,IF($P4145=1,-$K4145,0))))</f>
        <v/>
      </c>
      <c r="R4145" s="6" t="str">
        <f>IF($K4145="","",IF($L4145="Crédit",$K4145,-$K4145))</f>
        <v/>
      </c>
      <c r="S4145" s="6" t="str">
        <f>IF($C4145="","",IFERROR(INDEX('Paramètres'!$H:$H,MATCH($C4145,'Paramètres'!$D:$D,0))&amp;"",""))</f>
        <v/>
      </c>
      <c r="T4145" s="6" t="str">
        <f>IF($K4145="","",IF($S4145="",0,IF(ISNUMBER(SEARCH("apport-exterieur",IFERROR(INDEX('Paramètres'!$N:$N,MATCH($D4145,'Paramètres'!$M:$M,0))&amp;"",""))),0,IF(OR(IFERROR(INDEX('Paramètres'!$I:$I,MATCH($C4145,'Paramètres'!$D:$D,0))&amp;"","")="Les deux",IFERROR(INDEX('Paramètres'!$I:$I,MATCH($C4145,'Paramètres'!$D:$D,0))&amp;"","")=IF($P4145=1,"Débit",$L4145)),-IF($P4145=1,-$K4145,$K4145),0))))</f>
        <v/>
      </c>
      <c r="U4145" s="6" t="str">
        <f>IF($K4145="","",IF(ISNUMBER(SEARCH("sortie-epargne",IFERROR(INDEX('Paramètres'!$N:$N,MATCH($D4145,'Paramètres'!$M:$M,0))&amp;"",""))),$K4145,0))</f>
        <v/>
      </c>
      <c r="V4145" s="6" t="str">
        <f>IF(AND($A4145&lt;&gt;"",$O4145=1,$L4145="Débit",N($Q4145)&gt;0,$A4145&gt;=Visualisation!$B$1,$A4145&lt;Visualisation!$D$1),MAX($V$1:V4144)+1,"")</f>
        <v/>
      </c>
    </row>
    <row r="4146" spans="1:22" x14ac:dyDescent="0.25">
      <c r="A4146" s="9"/>
      <c r="E4146" s="10"/>
      <c r="K4146" s="11" t="str">
        <f>IF($E4146="","",ROUND($E4146*IF(ISNA(MATCH($C4146,'Paramètres'!$D:$D,0)),1,IF(INDEX('Paramètres'!$J:$J,MATCH($C4146,'Paramètres'!$D:$D,0))="",1,INDEX('Paramètres'!$J:$J,MATCH($C4146,'Paramètres'!$D:$D,0)))),2))</f>
        <v/>
      </c>
      <c r="L4146" s="6" t="str">
        <f>IF($D4146="","",IF($F4146&lt;&gt;"",$F4146,IF(ISNA(MATCH($D4146,'Paramètres'!$M:$M,0)),"⚠ Type inconnu",IFERROR(INDEX('Paramètres'!$P:$P,MATCH($D4146,'Paramètres'!$M:$M,0))&amp;"",""))))</f>
        <v/>
      </c>
      <c r="M4146" s="6" t="str">
        <f>IF($D4146="","",IF(ISNA(MATCH($D4146,'Paramètres'!$M:$M,0)),"⚠ Type inconnu",IF($L4146="Crédit","",IFERROR(INDEX('Paramètres'!$O:$O,MATCH($D4146,'Paramètres'!$M:$M,0))&amp;"",""))))</f>
        <v/>
      </c>
      <c r="N4146" s="6" t="str">
        <f>IF($D4146="","",IFERROR(INDEX('Paramètres'!$Q:$Q,MATCH($D4146,'Paramètres'!$M:$M,0))&amp;"",""))</f>
        <v/>
      </c>
      <c r="O4146" s="6" t="str">
        <f>IF($A4146="","",IF(OR($J4146&lt;&gt;"x",$A4146&lt;=FinReleve),1,0))</f>
        <v/>
      </c>
      <c r="P4146" s="6" t="str">
        <f>IF($D4146="","",IF(AND($L4146="Crédit",OR(IFERROR(INDEX('Paramètres'!$O:$O,MATCH($D4146,'Paramètres'!$M:$M,0))&amp;"","")&lt;&gt;"",ISNUMBER(SEARCH("remboursement",IFERROR(INDEX('Paramètres'!$N:$N,MATCH($D4146,'Paramètres'!$M:$M,0))&amp;"",""))))),1,0))</f>
        <v/>
      </c>
      <c r="Q4146" s="6" t="str">
        <f>IF($K4146="","",IF(ISNUMBER(SEARCH("transfert-interne",IFERROR(INDEX('Paramètres'!$N:$N,MATCH($D4146,'Paramètres'!$M:$M,0))&amp;"",""))),0,IF($L4146="Débit",$K4146,IF($P4146=1,-$K4146,0))))</f>
        <v/>
      </c>
      <c r="R4146" s="6" t="str">
        <f>IF($K4146="","",IF($L4146="Crédit",$K4146,-$K4146))</f>
        <v/>
      </c>
      <c r="S4146" s="6" t="str">
        <f>IF($C4146="","",IFERROR(INDEX('Paramètres'!$H:$H,MATCH($C4146,'Paramètres'!$D:$D,0))&amp;"",""))</f>
        <v/>
      </c>
      <c r="T4146" s="6" t="str">
        <f>IF($K4146="","",IF($S4146="",0,IF(ISNUMBER(SEARCH("apport-exterieur",IFERROR(INDEX('Paramètres'!$N:$N,MATCH($D4146,'Paramètres'!$M:$M,0))&amp;"",""))),0,IF(OR(IFERROR(INDEX('Paramètres'!$I:$I,MATCH($C4146,'Paramètres'!$D:$D,0))&amp;"","")="Les deux",IFERROR(INDEX('Paramètres'!$I:$I,MATCH($C4146,'Paramètres'!$D:$D,0))&amp;"","")=IF($P4146=1,"Débit",$L4146)),-IF($P4146=1,-$K4146,$K4146),0))))</f>
        <v/>
      </c>
      <c r="U4146" s="6" t="str">
        <f>IF($K4146="","",IF(ISNUMBER(SEARCH("sortie-epargne",IFERROR(INDEX('Paramètres'!$N:$N,MATCH($D4146,'Paramètres'!$M:$M,0))&amp;"",""))),$K4146,0))</f>
        <v/>
      </c>
      <c r="V4146" s="6" t="str">
        <f>IF(AND($A4146&lt;&gt;"",$O4146=1,$L4146="Débit",N($Q4146)&gt;0,$A4146&gt;=Visualisation!$B$1,$A4146&lt;Visualisation!$D$1),MAX($V$1:V4145)+1,"")</f>
        <v/>
      </c>
    </row>
    <row r="4147" spans="1:22" x14ac:dyDescent="0.25">
      <c r="A4147" s="9"/>
      <c r="E4147" s="10"/>
      <c r="K4147" s="11" t="str">
        <f>IF($E4147="","",ROUND($E4147*IF(ISNA(MATCH($C4147,'Paramètres'!$D:$D,0)),1,IF(INDEX('Paramètres'!$J:$J,MATCH($C4147,'Paramètres'!$D:$D,0))="",1,INDEX('Paramètres'!$J:$J,MATCH($C4147,'Paramètres'!$D:$D,0)))),2))</f>
        <v/>
      </c>
      <c r="L4147" s="6" t="str">
        <f>IF($D4147="","",IF($F4147&lt;&gt;"",$F4147,IF(ISNA(MATCH($D4147,'Paramètres'!$M:$M,0)),"⚠ Type inconnu",IFERROR(INDEX('Paramètres'!$P:$P,MATCH($D4147,'Paramètres'!$M:$M,0))&amp;"",""))))</f>
        <v/>
      </c>
      <c r="M4147" s="6" t="str">
        <f>IF($D4147="","",IF(ISNA(MATCH($D4147,'Paramètres'!$M:$M,0)),"⚠ Type inconnu",IF($L4147="Crédit","",IFERROR(INDEX('Paramètres'!$O:$O,MATCH($D4147,'Paramètres'!$M:$M,0))&amp;"",""))))</f>
        <v/>
      </c>
      <c r="N4147" s="6" t="str">
        <f>IF($D4147="","",IFERROR(INDEX('Paramètres'!$Q:$Q,MATCH($D4147,'Paramètres'!$M:$M,0))&amp;"",""))</f>
        <v/>
      </c>
      <c r="O4147" s="6" t="str">
        <f>IF($A4147="","",IF(OR($J4147&lt;&gt;"x",$A4147&lt;=FinReleve),1,0))</f>
        <v/>
      </c>
      <c r="P4147" s="6" t="str">
        <f>IF($D4147="","",IF(AND($L4147="Crédit",OR(IFERROR(INDEX('Paramètres'!$O:$O,MATCH($D4147,'Paramètres'!$M:$M,0))&amp;"","")&lt;&gt;"",ISNUMBER(SEARCH("remboursement",IFERROR(INDEX('Paramètres'!$N:$N,MATCH($D4147,'Paramètres'!$M:$M,0))&amp;"",""))))),1,0))</f>
        <v/>
      </c>
      <c r="Q4147" s="6" t="str">
        <f>IF($K4147="","",IF(ISNUMBER(SEARCH("transfert-interne",IFERROR(INDEX('Paramètres'!$N:$N,MATCH($D4147,'Paramètres'!$M:$M,0))&amp;"",""))),0,IF($L4147="Débit",$K4147,IF($P4147=1,-$K4147,0))))</f>
        <v/>
      </c>
      <c r="R4147" s="6" t="str">
        <f>IF($K4147="","",IF($L4147="Crédit",$K4147,-$K4147))</f>
        <v/>
      </c>
      <c r="S4147" s="6" t="str">
        <f>IF($C4147="","",IFERROR(INDEX('Paramètres'!$H:$H,MATCH($C4147,'Paramètres'!$D:$D,0))&amp;"",""))</f>
        <v/>
      </c>
      <c r="T4147" s="6" t="str">
        <f>IF($K4147="","",IF($S4147="",0,IF(ISNUMBER(SEARCH("apport-exterieur",IFERROR(INDEX('Paramètres'!$N:$N,MATCH($D4147,'Paramètres'!$M:$M,0))&amp;"",""))),0,IF(OR(IFERROR(INDEX('Paramètres'!$I:$I,MATCH($C4147,'Paramètres'!$D:$D,0))&amp;"","")="Les deux",IFERROR(INDEX('Paramètres'!$I:$I,MATCH($C4147,'Paramètres'!$D:$D,0))&amp;"","")=IF($P4147=1,"Débit",$L4147)),-IF($P4147=1,-$K4147,$K4147),0))))</f>
        <v/>
      </c>
      <c r="U4147" s="6" t="str">
        <f>IF($K4147="","",IF(ISNUMBER(SEARCH("sortie-epargne",IFERROR(INDEX('Paramètres'!$N:$N,MATCH($D4147,'Paramètres'!$M:$M,0))&amp;"",""))),$K4147,0))</f>
        <v/>
      </c>
      <c r="V4147" s="6" t="str">
        <f>IF(AND($A4147&lt;&gt;"",$O4147=1,$L4147="Débit",N($Q4147)&gt;0,$A4147&gt;=Visualisation!$B$1,$A4147&lt;Visualisation!$D$1),MAX($V$1:V4146)+1,"")</f>
        <v/>
      </c>
    </row>
    <row r="4148" spans="1:22" x14ac:dyDescent="0.25">
      <c r="A4148" s="9"/>
      <c r="E4148" s="10"/>
      <c r="K4148" s="11" t="str">
        <f>IF($E4148="","",ROUND($E4148*IF(ISNA(MATCH($C4148,'Paramètres'!$D:$D,0)),1,IF(INDEX('Paramètres'!$J:$J,MATCH($C4148,'Paramètres'!$D:$D,0))="",1,INDEX('Paramètres'!$J:$J,MATCH($C4148,'Paramètres'!$D:$D,0)))),2))</f>
        <v/>
      </c>
      <c r="L4148" s="6" t="str">
        <f>IF($D4148="","",IF($F4148&lt;&gt;"",$F4148,IF(ISNA(MATCH($D4148,'Paramètres'!$M:$M,0)),"⚠ Type inconnu",IFERROR(INDEX('Paramètres'!$P:$P,MATCH($D4148,'Paramètres'!$M:$M,0))&amp;"",""))))</f>
        <v/>
      </c>
      <c r="M4148" s="6" t="str">
        <f>IF($D4148="","",IF(ISNA(MATCH($D4148,'Paramètres'!$M:$M,0)),"⚠ Type inconnu",IF($L4148="Crédit","",IFERROR(INDEX('Paramètres'!$O:$O,MATCH($D4148,'Paramètres'!$M:$M,0))&amp;"",""))))</f>
        <v/>
      </c>
      <c r="N4148" s="6" t="str">
        <f>IF($D4148="","",IFERROR(INDEX('Paramètres'!$Q:$Q,MATCH($D4148,'Paramètres'!$M:$M,0))&amp;"",""))</f>
        <v/>
      </c>
      <c r="O4148" s="6" t="str">
        <f>IF($A4148="","",IF(OR($J4148&lt;&gt;"x",$A4148&lt;=FinReleve),1,0))</f>
        <v/>
      </c>
      <c r="P4148" s="6" t="str">
        <f>IF($D4148="","",IF(AND($L4148="Crédit",OR(IFERROR(INDEX('Paramètres'!$O:$O,MATCH($D4148,'Paramètres'!$M:$M,0))&amp;"","")&lt;&gt;"",ISNUMBER(SEARCH("remboursement",IFERROR(INDEX('Paramètres'!$N:$N,MATCH($D4148,'Paramètres'!$M:$M,0))&amp;"",""))))),1,0))</f>
        <v/>
      </c>
      <c r="Q4148" s="6" t="str">
        <f>IF($K4148="","",IF(ISNUMBER(SEARCH("transfert-interne",IFERROR(INDEX('Paramètres'!$N:$N,MATCH($D4148,'Paramètres'!$M:$M,0))&amp;"",""))),0,IF($L4148="Débit",$K4148,IF($P4148=1,-$K4148,0))))</f>
        <v/>
      </c>
      <c r="R4148" s="6" t="str">
        <f>IF($K4148="","",IF($L4148="Crédit",$K4148,-$K4148))</f>
        <v/>
      </c>
      <c r="S4148" s="6" t="str">
        <f>IF($C4148="","",IFERROR(INDEX('Paramètres'!$H:$H,MATCH($C4148,'Paramètres'!$D:$D,0))&amp;"",""))</f>
        <v/>
      </c>
      <c r="T4148" s="6" t="str">
        <f>IF($K4148="","",IF($S4148="",0,IF(ISNUMBER(SEARCH("apport-exterieur",IFERROR(INDEX('Paramètres'!$N:$N,MATCH($D4148,'Paramètres'!$M:$M,0))&amp;"",""))),0,IF(OR(IFERROR(INDEX('Paramètres'!$I:$I,MATCH($C4148,'Paramètres'!$D:$D,0))&amp;"","")="Les deux",IFERROR(INDEX('Paramètres'!$I:$I,MATCH($C4148,'Paramètres'!$D:$D,0))&amp;"","")=IF($P4148=1,"Débit",$L4148)),-IF($P4148=1,-$K4148,$K4148),0))))</f>
        <v/>
      </c>
      <c r="U4148" s="6" t="str">
        <f>IF($K4148="","",IF(ISNUMBER(SEARCH("sortie-epargne",IFERROR(INDEX('Paramètres'!$N:$N,MATCH($D4148,'Paramètres'!$M:$M,0))&amp;"",""))),$K4148,0))</f>
        <v/>
      </c>
      <c r="V4148" s="6" t="str">
        <f>IF(AND($A4148&lt;&gt;"",$O4148=1,$L4148="Débit",N($Q4148)&gt;0,$A4148&gt;=Visualisation!$B$1,$A4148&lt;Visualisation!$D$1),MAX($V$1:V4147)+1,"")</f>
        <v/>
      </c>
    </row>
    <row r="4149" spans="1:22" x14ac:dyDescent="0.25">
      <c r="A4149" s="9"/>
      <c r="E4149" s="10"/>
      <c r="K4149" s="11" t="str">
        <f>IF($E4149="","",ROUND($E4149*IF(ISNA(MATCH($C4149,'Paramètres'!$D:$D,0)),1,IF(INDEX('Paramètres'!$J:$J,MATCH($C4149,'Paramètres'!$D:$D,0))="",1,INDEX('Paramètres'!$J:$J,MATCH($C4149,'Paramètres'!$D:$D,0)))),2))</f>
        <v/>
      </c>
      <c r="L4149" s="6" t="str">
        <f>IF($D4149="","",IF($F4149&lt;&gt;"",$F4149,IF(ISNA(MATCH($D4149,'Paramètres'!$M:$M,0)),"⚠ Type inconnu",IFERROR(INDEX('Paramètres'!$P:$P,MATCH($D4149,'Paramètres'!$M:$M,0))&amp;"",""))))</f>
        <v/>
      </c>
      <c r="M4149" s="6" t="str">
        <f>IF($D4149="","",IF(ISNA(MATCH($D4149,'Paramètres'!$M:$M,0)),"⚠ Type inconnu",IF($L4149="Crédit","",IFERROR(INDEX('Paramètres'!$O:$O,MATCH($D4149,'Paramètres'!$M:$M,0))&amp;"",""))))</f>
        <v/>
      </c>
      <c r="N4149" s="6" t="str">
        <f>IF($D4149="","",IFERROR(INDEX('Paramètres'!$Q:$Q,MATCH($D4149,'Paramètres'!$M:$M,0))&amp;"",""))</f>
        <v/>
      </c>
      <c r="O4149" s="6" t="str">
        <f>IF($A4149="","",IF(OR($J4149&lt;&gt;"x",$A4149&lt;=FinReleve),1,0))</f>
        <v/>
      </c>
      <c r="P4149" s="6" t="str">
        <f>IF($D4149="","",IF(AND($L4149="Crédit",OR(IFERROR(INDEX('Paramètres'!$O:$O,MATCH($D4149,'Paramètres'!$M:$M,0))&amp;"","")&lt;&gt;"",ISNUMBER(SEARCH("remboursement",IFERROR(INDEX('Paramètres'!$N:$N,MATCH($D4149,'Paramètres'!$M:$M,0))&amp;"",""))))),1,0))</f>
        <v/>
      </c>
      <c r="Q4149" s="6" t="str">
        <f>IF($K4149="","",IF(ISNUMBER(SEARCH("transfert-interne",IFERROR(INDEX('Paramètres'!$N:$N,MATCH($D4149,'Paramètres'!$M:$M,0))&amp;"",""))),0,IF($L4149="Débit",$K4149,IF($P4149=1,-$K4149,0))))</f>
        <v/>
      </c>
      <c r="R4149" s="6" t="str">
        <f>IF($K4149="","",IF($L4149="Crédit",$K4149,-$K4149))</f>
        <v/>
      </c>
      <c r="S4149" s="6" t="str">
        <f>IF($C4149="","",IFERROR(INDEX('Paramètres'!$H:$H,MATCH($C4149,'Paramètres'!$D:$D,0))&amp;"",""))</f>
        <v/>
      </c>
      <c r="T4149" s="6" t="str">
        <f>IF($K4149="","",IF($S4149="",0,IF(ISNUMBER(SEARCH("apport-exterieur",IFERROR(INDEX('Paramètres'!$N:$N,MATCH($D4149,'Paramètres'!$M:$M,0))&amp;"",""))),0,IF(OR(IFERROR(INDEX('Paramètres'!$I:$I,MATCH($C4149,'Paramètres'!$D:$D,0))&amp;"","")="Les deux",IFERROR(INDEX('Paramètres'!$I:$I,MATCH($C4149,'Paramètres'!$D:$D,0))&amp;"","")=IF($P4149=1,"Débit",$L4149)),-IF($P4149=1,-$K4149,$K4149),0))))</f>
        <v/>
      </c>
      <c r="U4149" s="6" t="str">
        <f>IF($K4149="","",IF(ISNUMBER(SEARCH("sortie-epargne",IFERROR(INDEX('Paramètres'!$N:$N,MATCH($D4149,'Paramètres'!$M:$M,0))&amp;"",""))),$K4149,0))</f>
        <v/>
      </c>
      <c r="V4149" s="6" t="str">
        <f>IF(AND($A4149&lt;&gt;"",$O4149=1,$L4149="Débit",N($Q4149)&gt;0,$A4149&gt;=Visualisation!$B$1,$A4149&lt;Visualisation!$D$1),MAX($V$1:V4148)+1,"")</f>
        <v/>
      </c>
    </row>
    <row r="4150" spans="1:22" x14ac:dyDescent="0.25">
      <c r="A4150" s="9"/>
      <c r="E4150" s="10"/>
      <c r="K4150" s="11" t="str">
        <f>IF($E4150="","",ROUND($E4150*IF(ISNA(MATCH($C4150,'Paramètres'!$D:$D,0)),1,IF(INDEX('Paramètres'!$J:$J,MATCH($C4150,'Paramètres'!$D:$D,0))="",1,INDEX('Paramètres'!$J:$J,MATCH($C4150,'Paramètres'!$D:$D,0)))),2))</f>
        <v/>
      </c>
      <c r="L4150" s="6" t="str">
        <f>IF($D4150="","",IF($F4150&lt;&gt;"",$F4150,IF(ISNA(MATCH($D4150,'Paramètres'!$M:$M,0)),"⚠ Type inconnu",IFERROR(INDEX('Paramètres'!$P:$P,MATCH($D4150,'Paramètres'!$M:$M,0))&amp;"",""))))</f>
        <v/>
      </c>
      <c r="M4150" s="6" t="str">
        <f>IF($D4150="","",IF(ISNA(MATCH($D4150,'Paramètres'!$M:$M,0)),"⚠ Type inconnu",IF($L4150="Crédit","",IFERROR(INDEX('Paramètres'!$O:$O,MATCH($D4150,'Paramètres'!$M:$M,0))&amp;"",""))))</f>
        <v/>
      </c>
      <c r="N4150" s="6" t="str">
        <f>IF($D4150="","",IFERROR(INDEX('Paramètres'!$Q:$Q,MATCH($D4150,'Paramètres'!$M:$M,0))&amp;"",""))</f>
        <v/>
      </c>
      <c r="O4150" s="6" t="str">
        <f>IF($A4150="","",IF(OR($J4150&lt;&gt;"x",$A4150&lt;=FinReleve),1,0))</f>
        <v/>
      </c>
      <c r="P4150" s="6" t="str">
        <f>IF($D4150="","",IF(AND($L4150="Crédit",OR(IFERROR(INDEX('Paramètres'!$O:$O,MATCH($D4150,'Paramètres'!$M:$M,0))&amp;"","")&lt;&gt;"",ISNUMBER(SEARCH("remboursement",IFERROR(INDEX('Paramètres'!$N:$N,MATCH($D4150,'Paramètres'!$M:$M,0))&amp;"",""))))),1,0))</f>
        <v/>
      </c>
      <c r="Q4150" s="6" t="str">
        <f>IF($K4150="","",IF(ISNUMBER(SEARCH("transfert-interne",IFERROR(INDEX('Paramètres'!$N:$N,MATCH($D4150,'Paramètres'!$M:$M,0))&amp;"",""))),0,IF($L4150="Débit",$K4150,IF($P4150=1,-$K4150,0))))</f>
        <v/>
      </c>
      <c r="R4150" s="6" t="str">
        <f>IF($K4150="","",IF($L4150="Crédit",$K4150,-$K4150))</f>
        <v/>
      </c>
      <c r="S4150" s="6" t="str">
        <f>IF($C4150="","",IFERROR(INDEX('Paramètres'!$H:$H,MATCH($C4150,'Paramètres'!$D:$D,0))&amp;"",""))</f>
        <v/>
      </c>
      <c r="T4150" s="6" t="str">
        <f>IF($K4150="","",IF($S4150="",0,IF(ISNUMBER(SEARCH("apport-exterieur",IFERROR(INDEX('Paramètres'!$N:$N,MATCH($D4150,'Paramètres'!$M:$M,0))&amp;"",""))),0,IF(OR(IFERROR(INDEX('Paramètres'!$I:$I,MATCH($C4150,'Paramètres'!$D:$D,0))&amp;"","")="Les deux",IFERROR(INDEX('Paramètres'!$I:$I,MATCH($C4150,'Paramètres'!$D:$D,0))&amp;"","")=IF($P4150=1,"Débit",$L4150)),-IF($P4150=1,-$K4150,$K4150),0))))</f>
        <v/>
      </c>
      <c r="U4150" s="6" t="str">
        <f>IF($K4150="","",IF(ISNUMBER(SEARCH("sortie-epargne",IFERROR(INDEX('Paramètres'!$N:$N,MATCH($D4150,'Paramètres'!$M:$M,0))&amp;"",""))),$K4150,0))</f>
        <v/>
      </c>
      <c r="V4150" s="6" t="str">
        <f>IF(AND($A4150&lt;&gt;"",$O4150=1,$L4150="Débit",N($Q4150)&gt;0,$A4150&gt;=Visualisation!$B$1,$A4150&lt;Visualisation!$D$1),MAX($V$1:V4149)+1,"")</f>
        <v/>
      </c>
    </row>
    <row r="4151" spans="1:22" x14ac:dyDescent="0.25">
      <c r="A4151" s="9"/>
      <c r="E4151" s="10"/>
      <c r="K4151" s="11" t="str">
        <f>IF($E4151="","",ROUND($E4151*IF(ISNA(MATCH($C4151,'Paramètres'!$D:$D,0)),1,IF(INDEX('Paramètres'!$J:$J,MATCH($C4151,'Paramètres'!$D:$D,0))="",1,INDEX('Paramètres'!$J:$J,MATCH($C4151,'Paramètres'!$D:$D,0)))),2))</f>
        <v/>
      </c>
      <c r="L4151" s="6" t="str">
        <f>IF($D4151="","",IF($F4151&lt;&gt;"",$F4151,IF(ISNA(MATCH($D4151,'Paramètres'!$M:$M,0)),"⚠ Type inconnu",IFERROR(INDEX('Paramètres'!$P:$P,MATCH($D4151,'Paramètres'!$M:$M,0))&amp;"",""))))</f>
        <v/>
      </c>
      <c r="M4151" s="6" t="str">
        <f>IF($D4151="","",IF(ISNA(MATCH($D4151,'Paramètres'!$M:$M,0)),"⚠ Type inconnu",IF($L4151="Crédit","",IFERROR(INDEX('Paramètres'!$O:$O,MATCH($D4151,'Paramètres'!$M:$M,0))&amp;"",""))))</f>
        <v/>
      </c>
      <c r="N4151" s="6" t="str">
        <f>IF($D4151="","",IFERROR(INDEX('Paramètres'!$Q:$Q,MATCH($D4151,'Paramètres'!$M:$M,0))&amp;"",""))</f>
        <v/>
      </c>
      <c r="O4151" s="6" t="str">
        <f>IF($A4151="","",IF(OR($J4151&lt;&gt;"x",$A4151&lt;=FinReleve),1,0))</f>
        <v/>
      </c>
      <c r="P4151" s="6" t="str">
        <f>IF($D4151="","",IF(AND($L4151="Crédit",OR(IFERROR(INDEX('Paramètres'!$O:$O,MATCH($D4151,'Paramètres'!$M:$M,0))&amp;"","")&lt;&gt;"",ISNUMBER(SEARCH("remboursement",IFERROR(INDEX('Paramètres'!$N:$N,MATCH($D4151,'Paramètres'!$M:$M,0))&amp;"",""))))),1,0))</f>
        <v/>
      </c>
      <c r="Q4151" s="6" t="str">
        <f>IF($K4151="","",IF(ISNUMBER(SEARCH("transfert-interne",IFERROR(INDEX('Paramètres'!$N:$N,MATCH($D4151,'Paramètres'!$M:$M,0))&amp;"",""))),0,IF($L4151="Débit",$K4151,IF($P4151=1,-$K4151,0))))</f>
        <v/>
      </c>
      <c r="R4151" s="6" t="str">
        <f>IF($K4151="","",IF($L4151="Crédit",$K4151,-$K4151))</f>
        <v/>
      </c>
      <c r="S4151" s="6" t="str">
        <f>IF($C4151="","",IFERROR(INDEX('Paramètres'!$H:$H,MATCH($C4151,'Paramètres'!$D:$D,0))&amp;"",""))</f>
        <v/>
      </c>
      <c r="T4151" s="6" t="str">
        <f>IF($K4151="","",IF($S4151="",0,IF(ISNUMBER(SEARCH("apport-exterieur",IFERROR(INDEX('Paramètres'!$N:$N,MATCH($D4151,'Paramètres'!$M:$M,0))&amp;"",""))),0,IF(OR(IFERROR(INDEX('Paramètres'!$I:$I,MATCH($C4151,'Paramètres'!$D:$D,0))&amp;"","")="Les deux",IFERROR(INDEX('Paramètres'!$I:$I,MATCH($C4151,'Paramètres'!$D:$D,0))&amp;"","")=IF($P4151=1,"Débit",$L4151)),-IF($P4151=1,-$K4151,$K4151),0))))</f>
        <v/>
      </c>
      <c r="U4151" s="6" t="str">
        <f>IF($K4151="","",IF(ISNUMBER(SEARCH("sortie-epargne",IFERROR(INDEX('Paramètres'!$N:$N,MATCH($D4151,'Paramètres'!$M:$M,0))&amp;"",""))),$K4151,0))</f>
        <v/>
      </c>
      <c r="V4151" s="6" t="str">
        <f>IF(AND($A4151&lt;&gt;"",$O4151=1,$L4151="Débit",N($Q4151)&gt;0,$A4151&gt;=Visualisation!$B$1,$A4151&lt;Visualisation!$D$1),MAX($V$1:V4150)+1,"")</f>
        <v/>
      </c>
    </row>
    <row r="4152" spans="1:22" x14ac:dyDescent="0.25">
      <c r="A4152" s="9"/>
      <c r="E4152" s="10"/>
      <c r="K4152" s="11" t="str">
        <f>IF($E4152="","",ROUND($E4152*IF(ISNA(MATCH($C4152,'Paramètres'!$D:$D,0)),1,IF(INDEX('Paramètres'!$J:$J,MATCH($C4152,'Paramètres'!$D:$D,0))="",1,INDEX('Paramètres'!$J:$J,MATCH($C4152,'Paramètres'!$D:$D,0)))),2))</f>
        <v/>
      </c>
      <c r="L4152" s="6" t="str">
        <f>IF($D4152="","",IF($F4152&lt;&gt;"",$F4152,IF(ISNA(MATCH($D4152,'Paramètres'!$M:$M,0)),"⚠ Type inconnu",IFERROR(INDEX('Paramètres'!$P:$P,MATCH($D4152,'Paramètres'!$M:$M,0))&amp;"",""))))</f>
        <v/>
      </c>
      <c r="M4152" s="6" t="str">
        <f>IF($D4152="","",IF(ISNA(MATCH($D4152,'Paramètres'!$M:$M,0)),"⚠ Type inconnu",IF($L4152="Crédit","",IFERROR(INDEX('Paramètres'!$O:$O,MATCH($D4152,'Paramètres'!$M:$M,0))&amp;"",""))))</f>
        <v/>
      </c>
      <c r="N4152" s="6" t="str">
        <f>IF($D4152="","",IFERROR(INDEX('Paramètres'!$Q:$Q,MATCH($D4152,'Paramètres'!$M:$M,0))&amp;"",""))</f>
        <v/>
      </c>
      <c r="O4152" s="6" t="str">
        <f>IF($A4152="","",IF(OR($J4152&lt;&gt;"x",$A4152&lt;=FinReleve),1,0))</f>
        <v/>
      </c>
      <c r="P4152" s="6" t="str">
        <f>IF($D4152="","",IF(AND($L4152="Crédit",OR(IFERROR(INDEX('Paramètres'!$O:$O,MATCH($D4152,'Paramètres'!$M:$M,0))&amp;"","")&lt;&gt;"",ISNUMBER(SEARCH("remboursement",IFERROR(INDEX('Paramètres'!$N:$N,MATCH($D4152,'Paramètres'!$M:$M,0))&amp;"",""))))),1,0))</f>
        <v/>
      </c>
      <c r="Q4152" s="6" t="str">
        <f>IF($K4152="","",IF(ISNUMBER(SEARCH("transfert-interne",IFERROR(INDEX('Paramètres'!$N:$N,MATCH($D4152,'Paramètres'!$M:$M,0))&amp;"",""))),0,IF($L4152="Débit",$K4152,IF($P4152=1,-$K4152,0))))</f>
        <v/>
      </c>
      <c r="R4152" s="6" t="str">
        <f>IF($K4152="","",IF($L4152="Crédit",$K4152,-$K4152))</f>
        <v/>
      </c>
      <c r="S4152" s="6" t="str">
        <f>IF($C4152="","",IFERROR(INDEX('Paramètres'!$H:$H,MATCH($C4152,'Paramètres'!$D:$D,0))&amp;"",""))</f>
        <v/>
      </c>
      <c r="T4152" s="6" t="str">
        <f>IF($K4152="","",IF($S4152="",0,IF(ISNUMBER(SEARCH("apport-exterieur",IFERROR(INDEX('Paramètres'!$N:$N,MATCH($D4152,'Paramètres'!$M:$M,0))&amp;"",""))),0,IF(OR(IFERROR(INDEX('Paramètres'!$I:$I,MATCH($C4152,'Paramètres'!$D:$D,0))&amp;"","")="Les deux",IFERROR(INDEX('Paramètres'!$I:$I,MATCH($C4152,'Paramètres'!$D:$D,0))&amp;"","")=IF($P4152=1,"Débit",$L4152)),-IF($P4152=1,-$K4152,$K4152),0))))</f>
        <v/>
      </c>
      <c r="U4152" s="6" t="str">
        <f>IF($K4152="","",IF(ISNUMBER(SEARCH("sortie-epargne",IFERROR(INDEX('Paramètres'!$N:$N,MATCH($D4152,'Paramètres'!$M:$M,0))&amp;"",""))),$K4152,0))</f>
        <v/>
      </c>
      <c r="V4152" s="6" t="str">
        <f>IF(AND($A4152&lt;&gt;"",$O4152=1,$L4152="Débit",N($Q4152)&gt;0,$A4152&gt;=Visualisation!$B$1,$A4152&lt;Visualisation!$D$1),MAX($V$1:V4151)+1,"")</f>
        <v/>
      </c>
    </row>
    <row r="4153" spans="1:22" x14ac:dyDescent="0.25">
      <c r="A4153" s="9"/>
      <c r="E4153" s="10"/>
      <c r="K4153" s="11" t="str">
        <f>IF($E4153="","",ROUND($E4153*IF(ISNA(MATCH($C4153,'Paramètres'!$D:$D,0)),1,IF(INDEX('Paramètres'!$J:$J,MATCH($C4153,'Paramètres'!$D:$D,0))="",1,INDEX('Paramètres'!$J:$J,MATCH($C4153,'Paramètres'!$D:$D,0)))),2))</f>
        <v/>
      </c>
      <c r="L4153" s="6" t="str">
        <f>IF($D4153="","",IF($F4153&lt;&gt;"",$F4153,IF(ISNA(MATCH($D4153,'Paramètres'!$M:$M,0)),"⚠ Type inconnu",IFERROR(INDEX('Paramètres'!$P:$P,MATCH($D4153,'Paramètres'!$M:$M,0))&amp;"",""))))</f>
        <v/>
      </c>
      <c r="M4153" s="6" t="str">
        <f>IF($D4153="","",IF(ISNA(MATCH($D4153,'Paramètres'!$M:$M,0)),"⚠ Type inconnu",IF($L4153="Crédit","",IFERROR(INDEX('Paramètres'!$O:$O,MATCH($D4153,'Paramètres'!$M:$M,0))&amp;"",""))))</f>
        <v/>
      </c>
      <c r="N4153" s="6" t="str">
        <f>IF($D4153="","",IFERROR(INDEX('Paramètres'!$Q:$Q,MATCH($D4153,'Paramètres'!$M:$M,0))&amp;"",""))</f>
        <v/>
      </c>
      <c r="O4153" s="6" t="str">
        <f>IF($A4153="","",IF(OR($J4153&lt;&gt;"x",$A4153&lt;=FinReleve),1,0))</f>
        <v/>
      </c>
      <c r="P4153" s="6" t="str">
        <f>IF($D4153="","",IF(AND($L4153="Crédit",OR(IFERROR(INDEX('Paramètres'!$O:$O,MATCH($D4153,'Paramètres'!$M:$M,0))&amp;"","")&lt;&gt;"",ISNUMBER(SEARCH("remboursement",IFERROR(INDEX('Paramètres'!$N:$N,MATCH($D4153,'Paramètres'!$M:$M,0))&amp;"",""))))),1,0))</f>
        <v/>
      </c>
      <c r="Q4153" s="6" t="str">
        <f>IF($K4153="","",IF(ISNUMBER(SEARCH("transfert-interne",IFERROR(INDEX('Paramètres'!$N:$N,MATCH($D4153,'Paramètres'!$M:$M,0))&amp;"",""))),0,IF($L4153="Débit",$K4153,IF($P4153=1,-$K4153,0))))</f>
        <v/>
      </c>
      <c r="R4153" s="6" t="str">
        <f>IF($K4153="","",IF($L4153="Crédit",$K4153,-$K4153))</f>
        <v/>
      </c>
      <c r="S4153" s="6" t="str">
        <f>IF($C4153="","",IFERROR(INDEX('Paramètres'!$H:$H,MATCH($C4153,'Paramètres'!$D:$D,0))&amp;"",""))</f>
        <v/>
      </c>
      <c r="T4153" s="6" t="str">
        <f>IF($K4153="","",IF($S4153="",0,IF(ISNUMBER(SEARCH("apport-exterieur",IFERROR(INDEX('Paramètres'!$N:$N,MATCH($D4153,'Paramètres'!$M:$M,0))&amp;"",""))),0,IF(OR(IFERROR(INDEX('Paramètres'!$I:$I,MATCH($C4153,'Paramètres'!$D:$D,0))&amp;"","")="Les deux",IFERROR(INDEX('Paramètres'!$I:$I,MATCH($C4153,'Paramètres'!$D:$D,0))&amp;"","")=IF($P4153=1,"Débit",$L4153)),-IF($P4153=1,-$K4153,$K4153),0))))</f>
        <v/>
      </c>
      <c r="U4153" s="6" t="str">
        <f>IF($K4153="","",IF(ISNUMBER(SEARCH("sortie-epargne",IFERROR(INDEX('Paramètres'!$N:$N,MATCH($D4153,'Paramètres'!$M:$M,0))&amp;"",""))),$K4153,0))</f>
        <v/>
      </c>
      <c r="V4153" s="6" t="str">
        <f>IF(AND($A4153&lt;&gt;"",$O4153=1,$L4153="Débit",N($Q4153)&gt;0,$A4153&gt;=Visualisation!$B$1,$A4153&lt;Visualisation!$D$1),MAX($V$1:V4152)+1,"")</f>
        <v/>
      </c>
    </row>
    <row r="4154" spans="1:22" x14ac:dyDescent="0.25">
      <c r="A4154" s="9"/>
      <c r="E4154" s="10"/>
      <c r="K4154" s="11" t="str">
        <f>IF($E4154="","",ROUND($E4154*IF(ISNA(MATCH($C4154,'Paramètres'!$D:$D,0)),1,IF(INDEX('Paramètres'!$J:$J,MATCH($C4154,'Paramètres'!$D:$D,0))="",1,INDEX('Paramètres'!$J:$J,MATCH($C4154,'Paramètres'!$D:$D,0)))),2))</f>
        <v/>
      </c>
      <c r="L4154" s="6" t="str">
        <f>IF($D4154="","",IF($F4154&lt;&gt;"",$F4154,IF(ISNA(MATCH($D4154,'Paramètres'!$M:$M,0)),"⚠ Type inconnu",IFERROR(INDEX('Paramètres'!$P:$P,MATCH($D4154,'Paramètres'!$M:$M,0))&amp;"",""))))</f>
        <v/>
      </c>
      <c r="M4154" s="6" t="str">
        <f>IF($D4154="","",IF(ISNA(MATCH($D4154,'Paramètres'!$M:$M,0)),"⚠ Type inconnu",IF($L4154="Crédit","",IFERROR(INDEX('Paramètres'!$O:$O,MATCH($D4154,'Paramètres'!$M:$M,0))&amp;"",""))))</f>
        <v/>
      </c>
      <c r="N4154" s="6" t="str">
        <f>IF($D4154="","",IFERROR(INDEX('Paramètres'!$Q:$Q,MATCH($D4154,'Paramètres'!$M:$M,0))&amp;"",""))</f>
        <v/>
      </c>
      <c r="O4154" s="6" t="str">
        <f>IF($A4154="","",IF(OR($J4154&lt;&gt;"x",$A4154&lt;=FinReleve),1,0))</f>
        <v/>
      </c>
      <c r="P4154" s="6" t="str">
        <f>IF($D4154="","",IF(AND($L4154="Crédit",OR(IFERROR(INDEX('Paramètres'!$O:$O,MATCH($D4154,'Paramètres'!$M:$M,0))&amp;"","")&lt;&gt;"",ISNUMBER(SEARCH("remboursement",IFERROR(INDEX('Paramètres'!$N:$N,MATCH($D4154,'Paramètres'!$M:$M,0))&amp;"",""))))),1,0))</f>
        <v/>
      </c>
      <c r="Q4154" s="6" t="str">
        <f>IF($K4154="","",IF(ISNUMBER(SEARCH("transfert-interne",IFERROR(INDEX('Paramètres'!$N:$N,MATCH($D4154,'Paramètres'!$M:$M,0))&amp;"",""))),0,IF($L4154="Débit",$K4154,IF($P4154=1,-$K4154,0))))</f>
        <v/>
      </c>
      <c r="R4154" s="6" t="str">
        <f>IF($K4154="","",IF($L4154="Crédit",$K4154,-$K4154))</f>
        <v/>
      </c>
      <c r="S4154" s="6" t="str">
        <f>IF($C4154="","",IFERROR(INDEX('Paramètres'!$H:$H,MATCH($C4154,'Paramètres'!$D:$D,0))&amp;"",""))</f>
        <v/>
      </c>
      <c r="T4154" s="6" t="str">
        <f>IF($K4154="","",IF($S4154="",0,IF(ISNUMBER(SEARCH("apport-exterieur",IFERROR(INDEX('Paramètres'!$N:$N,MATCH($D4154,'Paramètres'!$M:$M,0))&amp;"",""))),0,IF(OR(IFERROR(INDEX('Paramètres'!$I:$I,MATCH($C4154,'Paramètres'!$D:$D,0))&amp;"","")="Les deux",IFERROR(INDEX('Paramètres'!$I:$I,MATCH($C4154,'Paramètres'!$D:$D,0))&amp;"","")=IF($P4154=1,"Débit",$L4154)),-IF($P4154=1,-$K4154,$K4154),0))))</f>
        <v/>
      </c>
      <c r="U4154" s="6" t="str">
        <f>IF($K4154="","",IF(ISNUMBER(SEARCH("sortie-epargne",IFERROR(INDEX('Paramètres'!$N:$N,MATCH($D4154,'Paramètres'!$M:$M,0))&amp;"",""))),$K4154,0))</f>
        <v/>
      </c>
      <c r="V4154" s="6" t="str">
        <f>IF(AND($A4154&lt;&gt;"",$O4154=1,$L4154="Débit",N($Q4154)&gt;0,$A4154&gt;=Visualisation!$B$1,$A4154&lt;Visualisation!$D$1),MAX($V$1:V4153)+1,"")</f>
        <v/>
      </c>
    </row>
    <row r="4155" spans="1:22" x14ac:dyDescent="0.25">
      <c r="A4155" s="9"/>
      <c r="E4155" s="10"/>
      <c r="K4155" s="11" t="str">
        <f>IF($E4155="","",ROUND($E4155*IF(ISNA(MATCH($C4155,'Paramètres'!$D:$D,0)),1,IF(INDEX('Paramètres'!$J:$J,MATCH($C4155,'Paramètres'!$D:$D,0))="",1,INDEX('Paramètres'!$J:$J,MATCH($C4155,'Paramètres'!$D:$D,0)))),2))</f>
        <v/>
      </c>
      <c r="L4155" s="6" t="str">
        <f>IF($D4155="","",IF($F4155&lt;&gt;"",$F4155,IF(ISNA(MATCH($D4155,'Paramètres'!$M:$M,0)),"⚠ Type inconnu",IFERROR(INDEX('Paramètres'!$P:$P,MATCH($D4155,'Paramètres'!$M:$M,0))&amp;"",""))))</f>
        <v/>
      </c>
      <c r="M4155" s="6" t="str">
        <f>IF($D4155="","",IF(ISNA(MATCH($D4155,'Paramètres'!$M:$M,0)),"⚠ Type inconnu",IF($L4155="Crédit","",IFERROR(INDEX('Paramètres'!$O:$O,MATCH($D4155,'Paramètres'!$M:$M,0))&amp;"",""))))</f>
        <v/>
      </c>
      <c r="N4155" s="6" t="str">
        <f>IF($D4155="","",IFERROR(INDEX('Paramètres'!$Q:$Q,MATCH($D4155,'Paramètres'!$M:$M,0))&amp;"",""))</f>
        <v/>
      </c>
      <c r="O4155" s="6" t="str">
        <f>IF($A4155="","",IF(OR($J4155&lt;&gt;"x",$A4155&lt;=FinReleve),1,0))</f>
        <v/>
      </c>
      <c r="P4155" s="6" t="str">
        <f>IF($D4155="","",IF(AND($L4155="Crédit",OR(IFERROR(INDEX('Paramètres'!$O:$O,MATCH($D4155,'Paramètres'!$M:$M,0))&amp;"","")&lt;&gt;"",ISNUMBER(SEARCH("remboursement",IFERROR(INDEX('Paramètres'!$N:$N,MATCH($D4155,'Paramètres'!$M:$M,0))&amp;"",""))))),1,0))</f>
        <v/>
      </c>
      <c r="Q4155" s="6" t="str">
        <f>IF($K4155="","",IF(ISNUMBER(SEARCH("transfert-interne",IFERROR(INDEX('Paramètres'!$N:$N,MATCH($D4155,'Paramètres'!$M:$M,0))&amp;"",""))),0,IF($L4155="Débit",$K4155,IF($P4155=1,-$K4155,0))))</f>
        <v/>
      </c>
      <c r="R4155" s="6" t="str">
        <f>IF($K4155="","",IF($L4155="Crédit",$K4155,-$K4155))</f>
        <v/>
      </c>
      <c r="S4155" s="6" t="str">
        <f>IF($C4155="","",IFERROR(INDEX('Paramètres'!$H:$H,MATCH($C4155,'Paramètres'!$D:$D,0))&amp;"",""))</f>
        <v/>
      </c>
      <c r="T4155" s="6" t="str">
        <f>IF($K4155="","",IF($S4155="",0,IF(ISNUMBER(SEARCH("apport-exterieur",IFERROR(INDEX('Paramètres'!$N:$N,MATCH($D4155,'Paramètres'!$M:$M,0))&amp;"",""))),0,IF(OR(IFERROR(INDEX('Paramètres'!$I:$I,MATCH($C4155,'Paramètres'!$D:$D,0))&amp;"","")="Les deux",IFERROR(INDEX('Paramètres'!$I:$I,MATCH($C4155,'Paramètres'!$D:$D,0))&amp;"","")=IF($P4155=1,"Débit",$L4155)),-IF($P4155=1,-$K4155,$K4155),0))))</f>
        <v/>
      </c>
      <c r="U4155" s="6" t="str">
        <f>IF($K4155="","",IF(ISNUMBER(SEARCH("sortie-epargne",IFERROR(INDEX('Paramètres'!$N:$N,MATCH($D4155,'Paramètres'!$M:$M,0))&amp;"",""))),$K4155,0))</f>
        <v/>
      </c>
      <c r="V4155" s="6" t="str">
        <f>IF(AND($A4155&lt;&gt;"",$O4155=1,$L4155="Débit",N($Q4155)&gt;0,$A4155&gt;=Visualisation!$B$1,$A4155&lt;Visualisation!$D$1),MAX($V$1:V4154)+1,"")</f>
        <v/>
      </c>
    </row>
    <row r="4156" spans="1:22" x14ac:dyDescent="0.25">
      <c r="A4156" s="9"/>
      <c r="E4156" s="10"/>
      <c r="K4156" s="11" t="str">
        <f>IF($E4156="","",ROUND($E4156*IF(ISNA(MATCH($C4156,'Paramètres'!$D:$D,0)),1,IF(INDEX('Paramètres'!$J:$J,MATCH($C4156,'Paramètres'!$D:$D,0))="",1,INDEX('Paramètres'!$J:$J,MATCH($C4156,'Paramètres'!$D:$D,0)))),2))</f>
        <v/>
      </c>
      <c r="L4156" s="6" t="str">
        <f>IF($D4156="","",IF($F4156&lt;&gt;"",$F4156,IF(ISNA(MATCH($D4156,'Paramètres'!$M:$M,0)),"⚠ Type inconnu",IFERROR(INDEX('Paramètres'!$P:$P,MATCH($D4156,'Paramètres'!$M:$M,0))&amp;"",""))))</f>
        <v/>
      </c>
      <c r="M4156" s="6" t="str">
        <f>IF($D4156="","",IF(ISNA(MATCH($D4156,'Paramètres'!$M:$M,0)),"⚠ Type inconnu",IF($L4156="Crédit","",IFERROR(INDEX('Paramètres'!$O:$O,MATCH($D4156,'Paramètres'!$M:$M,0))&amp;"",""))))</f>
        <v/>
      </c>
      <c r="N4156" s="6" t="str">
        <f>IF($D4156="","",IFERROR(INDEX('Paramètres'!$Q:$Q,MATCH($D4156,'Paramètres'!$M:$M,0))&amp;"",""))</f>
        <v/>
      </c>
      <c r="O4156" s="6" t="str">
        <f>IF($A4156="","",IF(OR($J4156&lt;&gt;"x",$A4156&lt;=FinReleve),1,0))</f>
        <v/>
      </c>
      <c r="P4156" s="6" t="str">
        <f>IF($D4156="","",IF(AND($L4156="Crédit",OR(IFERROR(INDEX('Paramètres'!$O:$O,MATCH($D4156,'Paramètres'!$M:$M,0))&amp;"","")&lt;&gt;"",ISNUMBER(SEARCH("remboursement",IFERROR(INDEX('Paramètres'!$N:$N,MATCH($D4156,'Paramètres'!$M:$M,0))&amp;"",""))))),1,0))</f>
        <v/>
      </c>
      <c r="Q4156" s="6" t="str">
        <f>IF($K4156="","",IF(ISNUMBER(SEARCH("transfert-interne",IFERROR(INDEX('Paramètres'!$N:$N,MATCH($D4156,'Paramètres'!$M:$M,0))&amp;"",""))),0,IF($L4156="Débit",$K4156,IF($P4156=1,-$K4156,0))))</f>
        <v/>
      </c>
      <c r="R4156" s="6" t="str">
        <f>IF($K4156="","",IF($L4156="Crédit",$K4156,-$K4156))</f>
        <v/>
      </c>
      <c r="S4156" s="6" t="str">
        <f>IF($C4156="","",IFERROR(INDEX('Paramètres'!$H:$H,MATCH($C4156,'Paramètres'!$D:$D,0))&amp;"",""))</f>
        <v/>
      </c>
      <c r="T4156" s="6" t="str">
        <f>IF($K4156="","",IF($S4156="",0,IF(ISNUMBER(SEARCH("apport-exterieur",IFERROR(INDEX('Paramètres'!$N:$N,MATCH($D4156,'Paramètres'!$M:$M,0))&amp;"",""))),0,IF(OR(IFERROR(INDEX('Paramètres'!$I:$I,MATCH($C4156,'Paramètres'!$D:$D,0))&amp;"","")="Les deux",IFERROR(INDEX('Paramètres'!$I:$I,MATCH($C4156,'Paramètres'!$D:$D,0))&amp;"","")=IF($P4156=1,"Débit",$L4156)),-IF($P4156=1,-$K4156,$K4156),0))))</f>
        <v/>
      </c>
      <c r="U4156" s="6" t="str">
        <f>IF($K4156="","",IF(ISNUMBER(SEARCH("sortie-epargne",IFERROR(INDEX('Paramètres'!$N:$N,MATCH($D4156,'Paramètres'!$M:$M,0))&amp;"",""))),$K4156,0))</f>
        <v/>
      </c>
      <c r="V4156" s="6" t="str">
        <f>IF(AND($A4156&lt;&gt;"",$O4156=1,$L4156="Débit",N($Q4156)&gt;0,$A4156&gt;=Visualisation!$B$1,$A4156&lt;Visualisation!$D$1),MAX($V$1:V4155)+1,"")</f>
        <v/>
      </c>
    </row>
    <row r="4157" spans="1:22" x14ac:dyDescent="0.25">
      <c r="A4157" s="9"/>
      <c r="E4157" s="10"/>
      <c r="K4157" s="11" t="str">
        <f>IF($E4157="","",ROUND($E4157*IF(ISNA(MATCH($C4157,'Paramètres'!$D:$D,0)),1,IF(INDEX('Paramètres'!$J:$J,MATCH($C4157,'Paramètres'!$D:$D,0))="",1,INDEX('Paramètres'!$J:$J,MATCH($C4157,'Paramètres'!$D:$D,0)))),2))</f>
        <v/>
      </c>
      <c r="L4157" s="6" t="str">
        <f>IF($D4157="","",IF($F4157&lt;&gt;"",$F4157,IF(ISNA(MATCH($D4157,'Paramètres'!$M:$M,0)),"⚠ Type inconnu",IFERROR(INDEX('Paramètres'!$P:$P,MATCH($D4157,'Paramètres'!$M:$M,0))&amp;"",""))))</f>
        <v/>
      </c>
      <c r="M4157" s="6" t="str">
        <f>IF($D4157="","",IF(ISNA(MATCH($D4157,'Paramètres'!$M:$M,0)),"⚠ Type inconnu",IF($L4157="Crédit","",IFERROR(INDEX('Paramètres'!$O:$O,MATCH($D4157,'Paramètres'!$M:$M,0))&amp;"",""))))</f>
        <v/>
      </c>
      <c r="N4157" s="6" t="str">
        <f>IF($D4157="","",IFERROR(INDEX('Paramètres'!$Q:$Q,MATCH($D4157,'Paramètres'!$M:$M,0))&amp;"",""))</f>
        <v/>
      </c>
      <c r="O4157" s="6" t="str">
        <f>IF($A4157="","",IF(OR($J4157&lt;&gt;"x",$A4157&lt;=FinReleve),1,0))</f>
        <v/>
      </c>
      <c r="P4157" s="6" t="str">
        <f>IF($D4157="","",IF(AND($L4157="Crédit",OR(IFERROR(INDEX('Paramètres'!$O:$O,MATCH($D4157,'Paramètres'!$M:$M,0))&amp;"","")&lt;&gt;"",ISNUMBER(SEARCH("remboursement",IFERROR(INDEX('Paramètres'!$N:$N,MATCH($D4157,'Paramètres'!$M:$M,0))&amp;"",""))))),1,0))</f>
        <v/>
      </c>
      <c r="Q4157" s="6" t="str">
        <f>IF($K4157="","",IF(ISNUMBER(SEARCH("transfert-interne",IFERROR(INDEX('Paramètres'!$N:$N,MATCH($D4157,'Paramètres'!$M:$M,0))&amp;"",""))),0,IF($L4157="Débit",$K4157,IF($P4157=1,-$K4157,0))))</f>
        <v/>
      </c>
      <c r="R4157" s="6" t="str">
        <f>IF($K4157="","",IF($L4157="Crédit",$K4157,-$K4157))</f>
        <v/>
      </c>
      <c r="S4157" s="6" t="str">
        <f>IF($C4157="","",IFERROR(INDEX('Paramètres'!$H:$H,MATCH($C4157,'Paramètres'!$D:$D,0))&amp;"",""))</f>
        <v/>
      </c>
      <c r="T4157" s="6" t="str">
        <f>IF($K4157="","",IF($S4157="",0,IF(ISNUMBER(SEARCH("apport-exterieur",IFERROR(INDEX('Paramètres'!$N:$N,MATCH($D4157,'Paramètres'!$M:$M,0))&amp;"",""))),0,IF(OR(IFERROR(INDEX('Paramètres'!$I:$I,MATCH($C4157,'Paramètres'!$D:$D,0))&amp;"","")="Les deux",IFERROR(INDEX('Paramètres'!$I:$I,MATCH($C4157,'Paramètres'!$D:$D,0))&amp;"","")=IF($P4157=1,"Débit",$L4157)),-IF($P4157=1,-$K4157,$K4157),0))))</f>
        <v/>
      </c>
      <c r="U4157" s="6" t="str">
        <f>IF($K4157="","",IF(ISNUMBER(SEARCH("sortie-epargne",IFERROR(INDEX('Paramètres'!$N:$N,MATCH($D4157,'Paramètres'!$M:$M,0))&amp;"",""))),$K4157,0))</f>
        <v/>
      </c>
      <c r="V4157" s="6" t="str">
        <f>IF(AND($A4157&lt;&gt;"",$O4157=1,$L4157="Débit",N($Q4157)&gt;0,$A4157&gt;=Visualisation!$B$1,$A4157&lt;Visualisation!$D$1),MAX($V$1:V4156)+1,"")</f>
        <v/>
      </c>
    </row>
    <row r="4158" spans="1:22" x14ac:dyDescent="0.25">
      <c r="A4158" s="9"/>
      <c r="E4158" s="10"/>
      <c r="K4158" s="11" t="str">
        <f>IF($E4158="","",ROUND($E4158*IF(ISNA(MATCH($C4158,'Paramètres'!$D:$D,0)),1,IF(INDEX('Paramètres'!$J:$J,MATCH($C4158,'Paramètres'!$D:$D,0))="",1,INDEX('Paramètres'!$J:$J,MATCH($C4158,'Paramètres'!$D:$D,0)))),2))</f>
        <v/>
      </c>
      <c r="L4158" s="6" t="str">
        <f>IF($D4158="","",IF($F4158&lt;&gt;"",$F4158,IF(ISNA(MATCH($D4158,'Paramètres'!$M:$M,0)),"⚠ Type inconnu",IFERROR(INDEX('Paramètres'!$P:$P,MATCH($D4158,'Paramètres'!$M:$M,0))&amp;"",""))))</f>
        <v/>
      </c>
      <c r="M4158" s="6" t="str">
        <f>IF($D4158="","",IF(ISNA(MATCH($D4158,'Paramètres'!$M:$M,0)),"⚠ Type inconnu",IF($L4158="Crédit","",IFERROR(INDEX('Paramètres'!$O:$O,MATCH($D4158,'Paramètres'!$M:$M,0))&amp;"",""))))</f>
        <v/>
      </c>
      <c r="N4158" s="6" t="str">
        <f>IF($D4158="","",IFERROR(INDEX('Paramètres'!$Q:$Q,MATCH($D4158,'Paramètres'!$M:$M,0))&amp;"",""))</f>
        <v/>
      </c>
      <c r="O4158" s="6" t="str">
        <f>IF($A4158="","",IF(OR($J4158&lt;&gt;"x",$A4158&lt;=FinReleve),1,0))</f>
        <v/>
      </c>
      <c r="P4158" s="6" t="str">
        <f>IF($D4158="","",IF(AND($L4158="Crédit",OR(IFERROR(INDEX('Paramètres'!$O:$O,MATCH($D4158,'Paramètres'!$M:$M,0))&amp;"","")&lt;&gt;"",ISNUMBER(SEARCH("remboursement",IFERROR(INDEX('Paramètres'!$N:$N,MATCH($D4158,'Paramètres'!$M:$M,0))&amp;"",""))))),1,0))</f>
        <v/>
      </c>
      <c r="Q4158" s="6" t="str">
        <f>IF($K4158="","",IF(ISNUMBER(SEARCH("transfert-interne",IFERROR(INDEX('Paramètres'!$N:$N,MATCH($D4158,'Paramètres'!$M:$M,0))&amp;"",""))),0,IF($L4158="Débit",$K4158,IF($P4158=1,-$K4158,0))))</f>
        <v/>
      </c>
      <c r="R4158" s="6" t="str">
        <f>IF($K4158="","",IF($L4158="Crédit",$K4158,-$K4158))</f>
        <v/>
      </c>
      <c r="S4158" s="6" t="str">
        <f>IF($C4158="","",IFERROR(INDEX('Paramètres'!$H:$H,MATCH($C4158,'Paramètres'!$D:$D,0))&amp;"",""))</f>
        <v/>
      </c>
      <c r="T4158" s="6" t="str">
        <f>IF($K4158="","",IF($S4158="",0,IF(ISNUMBER(SEARCH("apport-exterieur",IFERROR(INDEX('Paramètres'!$N:$N,MATCH($D4158,'Paramètres'!$M:$M,0))&amp;"",""))),0,IF(OR(IFERROR(INDEX('Paramètres'!$I:$I,MATCH($C4158,'Paramètres'!$D:$D,0))&amp;"","")="Les deux",IFERROR(INDEX('Paramètres'!$I:$I,MATCH($C4158,'Paramètres'!$D:$D,0))&amp;"","")=IF($P4158=1,"Débit",$L4158)),-IF($P4158=1,-$K4158,$K4158),0))))</f>
        <v/>
      </c>
      <c r="U4158" s="6" t="str">
        <f>IF($K4158="","",IF(ISNUMBER(SEARCH("sortie-epargne",IFERROR(INDEX('Paramètres'!$N:$N,MATCH($D4158,'Paramètres'!$M:$M,0))&amp;"",""))),$K4158,0))</f>
        <v/>
      </c>
      <c r="V4158" s="6" t="str">
        <f>IF(AND($A4158&lt;&gt;"",$O4158=1,$L4158="Débit",N($Q4158)&gt;0,$A4158&gt;=Visualisation!$B$1,$A4158&lt;Visualisation!$D$1),MAX($V$1:V4157)+1,"")</f>
        <v/>
      </c>
    </row>
    <row r="4159" spans="1:22" x14ac:dyDescent="0.25">
      <c r="A4159" s="9"/>
      <c r="E4159" s="10"/>
      <c r="K4159" s="11" t="str">
        <f>IF($E4159="","",ROUND($E4159*IF(ISNA(MATCH($C4159,'Paramètres'!$D:$D,0)),1,IF(INDEX('Paramètres'!$J:$J,MATCH($C4159,'Paramètres'!$D:$D,0))="",1,INDEX('Paramètres'!$J:$J,MATCH($C4159,'Paramètres'!$D:$D,0)))),2))</f>
        <v/>
      </c>
      <c r="L4159" s="6" t="str">
        <f>IF($D4159="","",IF($F4159&lt;&gt;"",$F4159,IF(ISNA(MATCH($D4159,'Paramètres'!$M:$M,0)),"⚠ Type inconnu",IFERROR(INDEX('Paramètres'!$P:$P,MATCH($D4159,'Paramètres'!$M:$M,0))&amp;"",""))))</f>
        <v/>
      </c>
      <c r="M4159" s="6" t="str">
        <f>IF($D4159="","",IF(ISNA(MATCH($D4159,'Paramètres'!$M:$M,0)),"⚠ Type inconnu",IF($L4159="Crédit","",IFERROR(INDEX('Paramètres'!$O:$O,MATCH($D4159,'Paramètres'!$M:$M,0))&amp;"",""))))</f>
        <v/>
      </c>
      <c r="N4159" s="6" t="str">
        <f>IF($D4159="","",IFERROR(INDEX('Paramètres'!$Q:$Q,MATCH($D4159,'Paramètres'!$M:$M,0))&amp;"",""))</f>
        <v/>
      </c>
      <c r="O4159" s="6" t="str">
        <f>IF($A4159="","",IF(OR($J4159&lt;&gt;"x",$A4159&lt;=FinReleve),1,0))</f>
        <v/>
      </c>
      <c r="P4159" s="6" t="str">
        <f>IF($D4159="","",IF(AND($L4159="Crédit",OR(IFERROR(INDEX('Paramètres'!$O:$O,MATCH($D4159,'Paramètres'!$M:$M,0))&amp;"","")&lt;&gt;"",ISNUMBER(SEARCH("remboursement",IFERROR(INDEX('Paramètres'!$N:$N,MATCH($D4159,'Paramètres'!$M:$M,0))&amp;"",""))))),1,0))</f>
        <v/>
      </c>
      <c r="Q4159" s="6" t="str">
        <f>IF($K4159="","",IF(ISNUMBER(SEARCH("transfert-interne",IFERROR(INDEX('Paramètres'!$N:$N,MATCH($D4159,'Paramètres'!$M:$M,0))&amp;"",""))),0,IF($L4159="Débit",$K4159,IF($P4159=1,-$K4159,0))))</f>
        <v/>
      </c>
      <c r="R4159" s="6" t="str">
        <f>IF($K4159="","",IF($L4159="Crédit",$K4159,-$K4159))</f>
        <v/>
      </c>
      <c r="S4159" s="6" t="str">
        <f>IF($C4159="","",IFERROR(INDEX('Paramètres'!$H:$H,MATCH($C4159,'Paramètres'!$D:$D,0))&amp;"",""))</f>
        <v/>
      </c>
      <c r="T4159" s="6" t="str">
        <f>IF($K4159="","",IF($S4159="",0,IF(ISNUMBER(SEARCH("apport-exterieur",IFERROR(INDEX('Paramètres'!$N:$N,MATCH($D4159,'Paramètres'!$M:$M,0))&amp;"",""))),0,IF(OR(IFERROR(INDEX('Paramètres'!$I:$I,MATCH($C4159,'Paramètres'!$D:$D,0))&amp;"","")="Les deux",IFERROR(INDEX('Paramètres'!$I:$I,MATCH($C4159,'Paramètres'!$D:$D,0))&amp;"","")=IF($P4159=1,"Débit",$L4159)),-IF($P4159=1,-$K4159,$K4159),0))))</f>
        <v/>
      </c>
      <c r="U4159" s="6" t="str">
        <f>IF($K4159="","",IF(ISNUMBER(SEARCH("sortie-epargne",IFERROR(INDEX('Paramètres'!$N:$N,MATCH($D4159,'Paramètres'!$M:$M,0))&amp;"",""))),$K4159,0))</f>
        <v/>
      </c>
      <c r="V4159" s="6" t="str">
        <f>IF(AND($A4159&lt;&gt;"",$O4159=1,$L4159="Débit",N($Q4159)&gt;0,$A4159&gt;=Visualisation!$B$1,$A4159&lt;Visualisation!$D$1),MAX($V$1:V4158)+1,"")</f>
        <v/>
      </c>
    </row>
    <row r="4160" spans="1:22" x14ac:dyDescent="0.25">
      <c r="A4160" s="9"/>
      <c r="E4160" s="10"/>
      <c r="K4160" s="11" t="str">
        <f>IF($E4160="","",ROUND($E4160*IF(ISNA(MATCH($C4160,'Paramètres'!$D:$D,0)),1,IF(INDEX('Paramètres'!$J:$J,MATCH($C4160,'Paramètres'!$D:$D,0))="",1,INDEX('Paramètres'!$J:$J,MATCH($C4160,'Paramètres'!$D:$D,0)))),2))</f>
        <v/>
      </c>
      <c r="L4160" s="6" t="str">
        <f>IF($D4160="","",IF($F4160&lt;&gt;"",$F4160,IF(ISNA(MATCH($D4160,'Paramètres'!$M:$M,0)),"⚠ Type inconnu",IFERROR(INDEX('Paramètres'!$P:$P,MATCH($D4160,'Paramètres'!$M:$M,0))&amp;"",""))))</f>
        <v/>
      </c>
      <c r="M4160" s="6" t="str">
        <f>IF($D4160="","",IF(ISNA(MATCH($D4160,'Paramètres'!$M:$M,0)),"⚠ Type inconnu",IF($L4160="Crédit","",IFERROR(INDEX('Paramètres'!$O:$O,MATCH($D4160,'Paramètres'!$M:$M,0))&amp;"",""))))</f>
        <v/>
      </c>
      <c r="N4160" s="6" t="str">
        <f>IF($D4160="","",IFERROR(INDEX('Paramètres'!$Q:$Q,MATCH($D4160,'Paramètres'!$M:$M,0))&amp;"",""))</f>
        <v/>
      </c>
      <c r="O4160" s="6" t="str">
        <f>IF($A4160="","",IF(OR($J4160&lt;&gt;"x",$A4160&lt;=FinReleve),1,0))</f>
        <v/>
      </c>
      <c r="P4160" s="6" t="str">
        <f>IF($D4160="","",IF(AND($L4160="Crédit",OR(IFERROR(INDEX('Paramètres'!$O:$O,MATCH($D4160,'Paramètres'!$M:$M,0))&amp;"","")&lt;&gt;"",ISNUMBER(SEARCH("remboursement",IFERROR(INDEX('Paramètres'!$N:$N,MATCH($D4160,'Paramètres'!$M:$M,0))&amp;"",""))))),1,0))</f>
        <v/>
      </c>
      <c r="Q4160" s="6" t="str">
        <f>IF($K4160="","",IF(ISNUMBER(SEARCH("transfert-interne",IFERROR(INDEX('Paramètres'!$N:$N,MATCH($D4160,'Paramètres'!$M:$M,0))&amp;"",""))),0,IF($L4160="Débit",$K4160,IF($P4160=1,-$K4160,0))))</f>
        <v/>
      </c>
      <c r="R4160" s="6" t="str">
        <f>IF($K4160="","",IF($L4160="Crédit",$K4160,-$K4160))</f>
        <v/>
      </c>
      <c r="S4160" s="6" t="str">
        <f>IF($C4160="","",IFERROR(INDEX('Paramètres'!$H:$H,MATCH($C4160,'Paramètres'!$D:$D,0))&amp;"",""))</f>
        <v/>
      </c>
      <c r="T4160" s="6" t="str">
        <f>IF($K4160="","",IF($S4160="",0,IF(ISNUMBER(SEARCH("apport-exterieur",IFERROR(INDEX('Paramètres'!$N:$N,MATCH($D4160,'Paramètres'!$M:$M,0))&amp;"",""))),0,IF(OR(IFERROR(INDEX('Paramètres'!$I:$I,MATCH($C4160,'Paramètres'!$D:$D,0))&amp;"","")="Les deux",IFERROR(INDEX('Paramètres'!$I:$I,MATCH($C4160,'Paramètres'!$D:$D,0))&amp;"","")=IF($P4160=1,"Débit",$L4160)),-IF($P4160=1,-$K4160,$K4160),0))))</f>
        <v/>
      </c>
      <c r="U4160" s="6" t="str">
        <f>IF($K4160="","",IF(ISNUMBER(SEARCH("sortie-epargne",IFERROR(INDEX('Paramètres'!$N:$N,MATCH($D4160,'Paramètres'!$M:$M,0))&amp;"",""))),$K4160,0))</f>
        <v/>
      </c>
      <c r="V4160" s="6" t="str">
        <f>IF(AND($A4160&lt;&gt;"",$O4160=1,$L4160="Débit",N($Q4160)&gt;0,$A4160&gt;=Visualisation!$B$1,$A4160&lt;Visualisation!$D$1),MAX($V$1:V4159)+1,"")</f>
        <v/>
      </c>
    </row>
    <row r="4161" spans="1:22" x14ac:dyDescent="0.25">
      <c r="A4161" s="9"/>
      <c r="E4161" s="10"/>
      <c r="K4161" s="11" t="str">
        <f>IF($E4161="","",ROUND($E4161*IF(ISNA(MATCH($C4161,'Paramètres'!$D:$D,0)),1,IF(INDEX('Paramètres'!$J:$J,MATCH($C4161,'Paramètres'!$D:$D,0))="",1,INDEX('Paramètres'!$J:$J,MATCH($C4161,'Paramètres'!$D:$D,0)))),2))</f>
        <v/>
      </c>
      <c r="L4161" s="6" t="str">
        <f>IF($D4161="","",IF($F4161&lt;&gt;"",$F4161,IF(ISNA(MATCH($D4161,'Paramètres'!$M:$M,0)),"⚠ Type inconnu",IFERROR(INDEX('Paramètres'!$P:$P,MATCH($D4161,'Paramètres'!$M:$M,0))&amp;"",""))))</f>
        <v/>
      </c>
      <c r="M4161" s="6" t="str">
        <f>IF($D4161="","",IF(ISNA(MATCH($D4161,'Paramètres'!$M:$M,0)),"⚠ Type inconnu",IF($L4161="Crédit","",IFERROR(INDEX('Paramètres'!$O:$O,MATCH($D4161,'Paramètres'!$M:$M,0))&amp;"",""))))</f>
        <v/>
      </c>
      <c r="N4161" s="6" t="str">
        <f>IF($D4161="","",IFERROR(INDEX('Paramètres'!$Q:$Q,MATCH($D4161,'Paramètres'!$M:$M,0))&amp;"",""))</f>
        <v/>
      </c>
      <c r="O4161" s="6" t="str">
        <f>IF($A4161="","",IF(OR($J4161&lt;&gt;"x",$A4161&lt;=FinReleve),1,0))</f>
        <v/>
      </c>
      <c r="P4161" s="6" t="str">
        <f>IF($D4161="","",IF(AND($L4161="Crédit",OR(IFERROR(INDEX('Paramètres'!$O:$O,MATCH($D4161,'Paramètres'!$M:$M,0))&amp;"","")&lt;&gt;"",ISNUMBER(SEARCH("remboursement",IFERROR(INDEX('Paramètres'!$N:$N,MATCH($D4161,'Paramètres'!$M:$M,0))&amp;"",""))))),1,0))</f>
        <v/>
      </c>
      <c r="Q4161" s="6" t="str">
        <f>IF($K4161="","",IF(ISNUMBER(SEARCH("transfert-interne",IFERROR(INDEX('Paramètres'!$N:$N,MATCH($D4161,'Paramètres'!$M:$M,0))&amp;"",""))),0,IF($L4161="Débit",$K4161,IF($P4161=1,-$K4161,0))))</f>
        <v/>
      </c>
      <c r="R4161" s="6" t="str">
        <f>IF($K4161="","",IF($L4161="Crédit",$K4161,-$K4161))</f>
        <v/>
      </c>
      <c r="S4161" s="6" t="str">
        <f>IF($C4161="","",IFERROR(INDEX('Paramètres'!$H:$H,MATCH($C4161,'Paramètres'!$D:$D,0))&amp;"",""))</f>
        <v/>
      </c>
      <c r="T4161" s="6" t="str">
        <f>IF($K4161="","",IF($S4161="",0,IF(ISNUMBER(SEARCH("apport-exterieur",IFERROR(INDEX('Paramètres'!$N:$N,MATCH($D4161,'Paramètres'!$M:$M,0))&amp;"",""))),0,IF(OR(IFERROR(INDEX('Paramètres'!$I:$I,MATCH($C4161,'Paramètres'!$D:$D,0))&amp;"","")="Les deux",IFERROR(INDEX('Paramètres'!$I:$I,MATCH($C4161,'Paramètres'!$D:$D,0))&amp;"","")=IF($P4161=1,"Débit",$L4161)),-IF($P4161=1,-$K4161,$K4161),0))))</f>
        <v/>
      </c>
      <c r="U4161" s="6" t="str">
        <f>IF($K4161="","",IF(ISNUMBER(SEARCH("sortie-epargne",IFERROR(INDEX('Paramètres'!$N:$N,MATCH($D4161,'Paramètres'!$M:$M,0))&amp;"",""))),$K4161,0))</f>
        <v/>
      </c>
      <c r="V4161" s="6" t="str">
        <f>IF(AND($A4161&lt;&gt;"",$O4161=1,$L4161="Débit",N($Q4161)&gt;0,$A4161&gt;=Visualisation!$B$1,$A4161&lt;Visualisation!$D$1),MAX($V$1:V4160)+1,"")</f>
        <v/>
      </c>
    </row>
    <row r="4162" spans="1:22" x14ac:dyDescent="0.25">
      <c r="A4162" s="9"/>
      <c r="E4162" s="10"/>
      <c r="K4162" s="11" t="str">
        <f>IF($E4162="","",ROUND($E4162*IF(ISNA(MATCH($C4162,'Paramètres'!$D:$D,0)),1,IF(INDEX('Paramètres'!$J:$J,MATCH($C4162,'Paramètres'!$D:$D,0))="",1,INDEX('Paramètres'!$J:$J,MATCH($C4162,'Paramètres'!$D:$D,0)))),2))</f>
        <v/>
      </c>
      <c r="L4162" s="6" t="str">
        <f>IF($D4162="","",IF($F4162&lt;&gt;"",$F4162,IF(ISNA(MATCH($D4162,'Paramètres'!$M:$M,0)),"⚠ Type inconnu",IFERROR(INDEX('Paramètres'!$P:$P,MATCH($D4162,'Paramètres'!$M:$M,0))&amp;"",""))))</f>
        <v/>
      </c>
      <c r="M4162" s="6" t="str">
        <f>IF($D4162="","",IF(ISNA(MATCH($D4162,'Paramètres'!$M:$M,0)),"⚠ Type inconnu",IF($L4162="Crédit","",IFERROR(INDEX('Paramètres'!$O:$O,MATCH($D4162,'Paramètres'!$M:$M,0))&amp;"",""))))</f>
        <v/>
      </c>
      <c r="N4162" s="6" t="str">
        <f>IF($D4162="","",IFERROR(INDEX('Paramètres'!$Q:$Q,MATCH($D4162,'Paramètres'!$M:$M,0))&amp;"",""))</f>
        <v/>
      </c>
      <c r="O4162" s="6" t="str">
        <f>IF($A4162="","",IF(OR($J4162&lt;&gt;"x",$A4162&lt;=FinReleve),1,0))</f>
        <v/>
      </c>
      <c r="P4162" s="6" t="str">
        <f>IF($D4162="","",IF(AND($L4162="Crédit",OR(IFERROR(INDEX('Paramètres'!$O:$O,MATCH($D4162,'Paramètres'!$M:$M,0))&amp;"","")&lt;&gt;"",ISNUMBER(SEARCH("remboursement",IFERROR(INDEX('Paramètres'!$N:$N,MATCH($D4162,'Paramètres'!$M:$M,0))&amp;"",""))))),1,0))</f>
        <v/>
      </c>
      <c r="Q4162" s="6" t="str">
        <f>IF($K4162="","",IF(ISNUMBER(SEARCH("transfert-interne",IFERROR(INDEX('Paramètres'!$N:$N,MATCH($D4162,'Paramètres'!$M:$M,0))&amp;"",""))),0,IF($L4162="Débit",$K4162,IF($P4162=1,-$K4162,0))))</f>
        <v/>
      </c>
      <c r="R4162" s="6" t="str">
        <f>IF($K4162="","",IF($L4162="Crédit",$K4162,-$K4162))</f>
        <v/>
      </c>
      <c r="S4162" s="6" t="str">
        <f>IF($C4162="","",IFERROR(INDEX('Paramètres'!$H:$H,MATCH($C4162,'Paramètres'!$D:$D,0))&amp;"",""))</f>
        <v/>
      </c>
      <c r="T4162" s="6" t="str">
        <f>IF($K4162="","",IF($S4162="",0,IF(ISNUMBER(SEARCH("apport-exterieur",IFERROR(INDEX('Paramètres'!$N:$N,MATCH($D4162,'Paramètres'!$M:$M,0))&amp;"",""))),0,IF(OR(IFERROR(INDEX('Paramètres'!$I:$I,MATCH($C4162,'Paramètres'!$D:$D,0))&amp;"","")="Les deux",IFERROR(INDEX('Paramètres'!$I:$I,MATCH($C4162,'Paramètres'!$D:$D,0))&amp;"","")=IF($P4162=1,"Débit",$L4162)),-IF($P4162=1,-$K4162,$K4162),0))))</f>
        <v/>
      </c>
      <c r="U4162" s="6" t="str">
        <f>IF($K4162="","",IF(ISNUMBER(SEARCH("sortie-epargne",IFERROR(INDEX('Paramètres'!$N:$N,MATCH($D4162,'Paramètres'!$M:$M,0))&amp;"",""))),$K4162,0))</f>
        <v/>
      </c>
      <c r="V4162" s="6" t="str">
        <f>IF(AND($A4162&lt;&gt;"",$O4162=1,$L4162="Débit",N($Q4162)&gt;0,$A4162&gt;=Visualisation!$B$1,$A4162&lt;Visualisation!$D$1),MAX($V$1:V4161)+1,"")</f>
        <v/>
      </c>
    </row>
    <row r="4163" spans="1:22" x14ac:dyDescent="0.25">
      <c r="A4163" s="9"/>
      <c r="E4163" s="10"/>
      <c r="K4163" s="11" t="str">
        <f>IF($E4163="","",ROUND($E4163*IF(ISNA(MATCH($C4163,'Paramètres'!$D:$D,0)),1,IF(INDEX('Paramètres'!$J:$J,MATCH($C4163,'Paramètres'!$D:$D,0))="",1,INDEX('Paramètres'!$J:$J,MATCH($C4163,'Paramètres'!$D:$D,0)))),2))</f>
        <v/>
      </c>
      <c r="L4163" s="6" t="str">
        <f>IF($D4163="","",IF($F4163&lt;&gt;"",$F4163,IF(ISNA(MATCH($D4163,'Paramètres'!$M:$M,0)),"⚠ Type inconnu",IFERROR(INDEX('Paramètres'!$P:$P,MATCH($D4163,'Paramètres'!$M:$M,0))&amp;"",""))))</f>
        <v/>
      </c>
      <c r="M4163" s="6" t="str">
        <f>IF($D4163="","",IF(ISNA(MATCH($D4163,'Paramètres'!$M:$M,0)),"⚠ Type inconnu",IF($L4163="Crédit","",IFERROR(INDEX('Paramètres'!$O:$O,MATCH($D4163,'Paramètres'!$M:$M,0))&amp;"",""))))</f>
        <v/>
      </c>
      <c r="N4163" s="6" t="str">
        <f>IF($D4163="","",IFERROR(INDEX('Paramètres'!$Q:$Q,MATCH($D4163,'Paramètres'!$M:$M,0))&amp;"",""))</f>
        <v/>
      </c>
      <c r="O4163" s="6" t="str">
        <f>IF($A4163="","",IF(OR($J4163&lt;&gt;"x",$A4163&lt;=FinReleve),1,0))</f>
        <v/>
      </c>
      <c r="P4163" s="6" t="str">
        <f>IF($D4163="","",IF(AND($L4163="Crédit",OR(IFERROR(INDEX('Paramètres'!$O:$O,MATCH($D4163,'Paramètres'!$M:$M,0))&amp;"","")&lt;&gt;"",ISNUMBER(SEARCH("remboursement",IFERROR(INDEX('Paramètres'!$N:$N,MATCH($D4163,'Paramètres'!$M:$M,0))&amp;"",""))))),1,0))</f>
        <v/>
      </c>
      <c r="Q4163" s="6" t="str">
        <f>IF($K4163="","",IF(ISNUMBER(SEARCH("transfert-interne",IFERROR(INDEX('Paramètres'!$N:$N,MATCH($D4163,'Paramètres'!$M:$M,0))&amp;"",""))),0,IF($L4163="Débit",$K4163,IF($P4163=1,-$K4163,0))))</f>
        <v/>
      </c>
      <c r="R4163" s="6" t="str">
        <f>IF($K4163="","",IF($L4163="Crédit",$K4163,-$K4163))</f>
        <v/>
      </c>
      <c r="S4163" s="6" t="str">
        <f>IF($C4163="","",IFERROR(INDEX('Paramètres'!$H:$H,MATCH($C4163,'Paramètres'!$D:$D,0))&amp;"",""))</f>
        <v/>
      </c>
      <c r="T4163" s="6" t="str">
        <f>IF($K4163="","",IF($S4163="",0,IF(ISNUMBER(SEARCH("apport-exterieur",IFERROR(INDEX('Paramètres'!$N:$N,MATCH($D4163,'Paramètres'!$M:$M,0))&amp;"",""))),0,IF(OR(IFERROR(INDEX('Paramètres'!$I:$I,MATCH($C4163,'Paramètres'!$D:$D,0))&amp;"","")="Les deux",IFERROR(INDEX('Paramètres'!$I:$I,MATCH($C4163,'Paramètres'!$D:$D,0))&amp;"","")=IF($P4163=1,"Débit",$L4163)),-IF($P4163=1,-$K4163,$K4163),0))))</f>
        <v/>
      </c>
      <c r="U4163" s="6" t="str">
        <f>IF($K4163="","",IF(ISNUMBER(SEARCH("sortie-epargne",IFERROR(INDEX('Paramètres'!$N:$N,MATCH($D4163,'Paramètres'!$M:$M,0))&amp;"",""))),$K4163,0))</f>
        <v/>
      </c>
      <c r="V4163" s="6" t="str">
        <f>IF(AND($A4163&lt;&gt;"",$O4163=1,$L4163="Débit",N($Q4163)&gt;0,$A4163&gt;=Visualisation!$B$1,$A4163&lt;Visualisation!$D$1),MAX($V$1:V4162)+1,"")</f>
        <v/>
      </c>
    </row>
    <row r="4164" spans="1:22" x14ac:dyDescent="0.25">
      <c r="A4164" s="9"/>
      <c r="E4164" s="10"/>
      <c r="K4164" s="11" t="str">
        <f>IF($E4164="","",ROUND($E4164*IF(ISNA(MATCH($C4164,'Paramètres'!$D:$D,0)),1,IF(INDEX('Paramètres'!$J:$J,MATCH($C4164,'Paramètres'!$D:$D,0))="",1,INDEX('Paramètres'!$J:$J,MATCH($C4164,'Paramètres'!$D:$D,0)))),2))</f>
        <v/>
      </c>
      <c r="L4164" s="6" t="str">
        <f>IF($D4164="","",IF($F4164&lt;&gt;"",$F4164,IF(ISNA(MATCH($D4164,'Paramètres'!$M:$M,0)),"⚠ Type inconnu",IFERROR(INDEX('Paramètres'!$P:$P,MATCH($D4164,'Paramètres'!$M:$M,0))&amp;"",""))))</f>
        <v/>
      </c>
      <c r="M4164" s="6" t="str">
        <f>IF($D4164="","",IF(ISNA(MATCH($D4164,'Paramètres'!$M:$M,0)),"⚠ Type inconnu",IF($L4164="Crédit","",IFERROR(INDEX('Paramètres'!$O:$O,MATCH($D4164,'Paramètres'!$M:$M,0))&amp;"",""))))</f>
        <v/>
      </c>
      <c r="N4164" s="6" t="str">
        <f>IF($D4164="","",IFERROR(INDEX('Paramètres'!$Q:$Q,MATCH($D4164,'Paramètres'!$M:$M,0))&amp;"",""))</f>
        <v/>
      </c>
      <c r="O4164" s="6" t="str">
        <f>IF($A4164="","",IF(OR($J4164&lt;&gt;"x",$A4164&lt;=FinReleve),1,0))</f>
        <v/>
      </c>
      <c r="P4164" s="6" t="str">
        <f>IF($D4164="","",IF(AND($L4164="Crédit",OR(IFERROR(INDEX('Paramètres'!$O:$O,MATCH($D4164,'Paramètres'!$M:$M,0))&amp;"","")&lt;&gt;"",ISNUMBER(SEARCH("remboursement",IFERROR(INDEX('Paramètres'!$N:$N,MATCH($D4164,'Paramètres'!$M:$M,0))&amp;"",""))))),1,0))</f>
        <v/>
      </c>
      <c r="Q4164" s="6" t="str">
        <f>IF($K4164="","",IF(ISNUMBER(SEARCH("transfert-interne",IFERROR(INDEX('Paramètres'!$N:$N,MATCH($D4164,'Paramètres'!$M:$M,0))&amp;"",""))),0,IF($L4164="Débit",$K4164,IF($P4164=1,-$K4164,0))))</f>
        <v/>
      </c>
      <c r="R4164" s="6" t="str">
        <f>IF($K4164="","",IF($L4164="Crédit",$K4164,-$K4164))</f>
        <v/>
      </c>
      <c r="S4164" s="6" t="str">
        <f>IF($C4164="","",IFERROR(INDEX('Paramètres'!$H:$H,MATCH($C4164,'Paramètres'!$D:$D,0))&amp;"",""))</f>
        <v/>
      </c>
      <c r="T4164" s="6" t="str">
        <f>IF($K4164="","",IF($S4164="",0,IF(ISNUMBER(SEARCH("apport-exterieur",IFERROR(INDEX('Paramètres'!$N:$N,MATCH($D4164,'Paramètres'!$M:$M,0))&amp;"",""))),0,IF(OR(IFERROR(INDEX('Paramètres'!$I:$I,MATCH($C4164,'Paramètres'!$D:$D,0))&amp;"","")="Les deux",IFERROR(INDEX('Paramètres'!$I:$I,MATCH($C4164,'Paramètres'!$D:$D,0))&amp;"","")=IF($P4164=1,"Débit",$L4164)),-IF($P4164=1,-$K4164,$K4164),0))))</f>
        <v/>
      </c>
      <c r="U4164" s="6" t="str">
        <f>IF($K4164="","",IF(ISNUMBER(SEARCH("sortie-epargne",IFERROR(INDEX('Paramètres'!$N:$N,MATCH($D4164,'Paramètres'!$M:$M,0))&amp;"",""))),$K4164,0))</f>
        <v/>
      </c>
      <c r="V4164" s="6" t="str">
        <f>IF(AND($A4164&lt;&gt;"",$O4164=1,$L4164="Débit",N($Q4164)&gt;0,$A4164&gt;=Visualisation!$B$1,$A4164&lt;Visualisation!$D$1),MAX($V$1:V4163)+1,"")</f>
        <v/>
      </c>
    </row>
    <row r="4165" spans="1:22" x14ac:dyDescent="0.25">
      <c r="A4165" s="9"/>
      <c r="E4165" s="10"/>
      <c r="K4165" s="11" t="str">
        <f>IF($E4165="","",ROUND($E4165*IF(ISNA(MATCH($C4165,'Paramètres'!$D:$D,0)),1,IF(INDEX('Paramètres'!$J:$J,MATCH($C4165,'Paramètres'!$D:$D,0))="",1,INDEX('Paramètres'!$J:$J,MATCH($C4165,'Paramètres'!$D:$D,0)))),2))</f>
        <v/>
      </c>
      <c r="L4165" s="6" t="str">
        <f>IF($D4165="","",IF($F4165&lt;&gt;"",$F4165,IF(ISNA(MATCH($D4165,'Paramètres'!$M:$M,0)),"⚠ Type inconnu",IFERROR(INDEX('Paramètres'!$P:$P,MATCH($D4165,'Paramètres'!$M:$M,0))&amp;"",""))))</f>
        <v/>
      </c>
      <c r="M4165" s="6" t="str">
        <f>IF($D4165="","",IF(ISNA(MATCH($D4165,'Paramètres'!$M:$M,0)),"⚠ Type inconnu",IF($L4165="Crédit","",IFERROR(INDEX('Paramètres'!$O:$O,MATCH($D4165,'Paramètres'!$M:$M,0))&amp;"",""))))</f>
        <v/>
      </c>
      <c r="N4165" s="6" t="str">
        <f>IF($D4165="","",IFERROR(INDEX('Paramètres'!$Q:$Q,MATCH($D4165,'Paramètres'!$M:$M,0))&amp;"",""))</f>
        <v/>
      </c>
      <c r="O4165" s="6" t="str">
        <f>IF($A4165="","",IF(OR($J4165&lt;&gt;"x",$A4165&lt;=FinReleve),1,0))</f>
        <v/>
      </c>
      <c r="P4165" s="6" t="str">
        <f>IF($D4165="","",IF(AND($L4165="Crédit",OR(IFERROR(INDEX('Paramètres'!$O:$O,MATCH($D4165,'Paramètres'!$M:$M,0))&amp;"","")&lt;&gt;"",ISNUMBER(SEARCH("remboursement",IFERROR(INDEX('Paramètres'!$N:$N,MATCH($D4165,'Paramètres'!$M:$M,0))&amp;"",""))))),1,0))</f>
        <v/>
      </c>
      <c r="Q4165" s="6" t="str">
        <f>IF($K4165="","",IF(ISNUMBER(SEARCH("transfert-interne",IFERROR(INDEX('Paramètres'!$N:$N,MATCH($D4165,'Paramètres'!$M:$M,0))&amp;"",""))),0,IF($L4165="Débit",$K4165,IF($P4165=1,-$K4165,0))))</f>
        <v/>
      </c>
      <c r="R4165" s="6" t="str">
        <f>IF($K4165="","",IF($L4165="Crédit",$K4165,-$K4165))</f>
        <v/>
      </c>
      <c r="S4165" s="6" t="str">
        <f>IF($C4165="","",IFERROR(INDEX('Paramètres'!$H:$H,MATCH($C4165,'Paramètres'!$D:$D,0))&amp;"",""))</f>
        <v/>
      </c>
      <c r="T4165" s="6" t="str">
        <f>IF($K4165="","",IF($S4165="",0,IF(ISNUMBER(SEARCH("apport-exterieur",IFERROR(INDEX('Paramètres'!$N:$N,MATCH($D4165,'Paramètres'!$M:$M,0))&amp;"",""))),0,IF(OR(IFERROR(INDEX('Paramètres'!$I:$I,MATCH($C4165,'Paramètres'!$D:$D,0))&amp;"","")="Les deux",IFERROR(INDEX('Paramètres'!$I:$I,MATCH($C4165,'Paramètres'!$D:$D,0))&amp;"","")=IF($P4165=1,"Débit",$L4165)),-IF($P4165=1,-$K4165,$K4165),0))))</f>
        <v/>
      </c>
      <c r="U4165" s="6" t="str">
        <f>IF($K4165="","",IF(ISNUMBER(SEARCH("sortie-epargne",IFERROR(INDEX('Paramètres'!$N:$N,MATCH($D4165,'Paramètres'!$M:$M,0))&amp;"",""))),$K4165,0))</f>
        <v/>
      </c>
      <c r="V4165" s="6" t="str">
        <f>IF(AND($A4165&lt;&gt;"",$O4165=1,$L4165="Débit",N($Q4165)&gt;0,$A4165&gt;=Visualisation!$B$1,$A4165&lt;Visualisation!$D$1),MAX($V$1:V4164)+1,"")</f>
        <v/>
      </c>
    </row>
    <row r="4166" spans="1:22" x14ac:dyDescent="0.25">
      <c r="A4166" s="9"/>
      <c r="E4166" s="10"/>
      <c r="K4166" s="11" t="str">
        <f>IF($E4166="","",ROUND($E4166*IF(ISNA(MATCH($C4166,'Paramètres'!$D:$D,0)),1,IF(INDEX('Paramètres'!$J:$J,MATCH($C4166,'Paramètres'!$D:$D,0))="",1,INDEX('Paramètres'!$J:$J,MATCH($C4166,'Paramètres'!$D:$D,0)))),2))</f>
        <v/>
      </c>
      <c r="L4166" s="6" t="str">
        <f>IF($D4166="","",IF($F4166&lt;&gt;"",$F4166,IF(ISNA(MATCH($D4166,'Paramètres'!$M:$M,0)),"⚠ Type inconnu",IFERROR(INDEX('Paramètres'!$P:$P,MATCH($D4166,'Paramètres'!$M:$M,0))&amp;"",""))))</f>
        <v/>
      </c>
      <c r="M4166" s="6" t="str">
        <f>IF($D4166="","",IF(ISNA(MATCH($D4166,'Paramètres'!$M:$M,0)),"⚠ Type inconnu",IF($L4166="Crédit","",IFERROR(INDEX('Paramètres'!$O:$O,MATCH($D4166,'Paramètres'!$M:$M,0))&amp;"",""))))</f>
        <v/>
      </c>
      <c r="N4166" s="6" t="str">
        <f>IF($D4166="","",IFERROR(INDEX('Paramètres'!$Q:$Q,MATCH($D4166,'Paramètres'!$M:$M,0))&amp;"",""))</f>
        <v/>
      </c>
      <c r="O4166" s="6" t="str">
        <f>IF($A4166="","",IF(OR($J4166&lt;&gt;"x",$A4166&lt;=FinReleve),1,0))</f>
        <v/>
      </c>
      <c r="P4166" s="6" t="str">
        <f>IF($D4166="","",IF(AND($L4166="Crédit",OR(IFERROR(INDEX('Paramètres'!$O:$O,MATCH($D4166,'Paramètres'!$M:$M,0))&amp;"","")&lt;&gt;"",ISNUMBER(SEARCH("remboursement",IFERROR(INDEX('Paramètres'!$N:$N,MATCH($D4166,'Paramètres'!$M:$M,0))&amp;"",""))))),1,0))</f>
        <v/>
      </c>
      <c r="Q4166" s="6" t="str">
        <f>IF($K4166="","",IF(ISNUMBER(SEARCH("transfert-interne",IFERROR(INDEX('Paramètres'!$N:$N,MATCH($D4166,'Paramètres'!$M:$M,0))&amp;"",""))),0,IF($L4166="Débit",$K4166,IF($P4166=1,-$K4166,0))))</f>
        <v/>
      </c>
      <c r="R4166" s="6" t="str">
        <f>IF($K4166="","",IF($L4166="Crédit",$K4166,-$K4166))</f>
        <v/>
      </c>
      <c r="S4166" s="6" t="str">
        <f>IF($C4166="","",IFERROR(INDEX('Paramètres'!$H:$H,MATCH($C4166,'Paramètres'!$D:$D,0))&amp;"",""))</f>
        <v/>
      </c>
      <c r="T4166" s="6" t="str">
        <f>IF($K4166="","",IF($S4166="",0,IF(ISNUMBER(SEARCH("apport-exterieur",IFERROR(INDEX('Paramètres'!$N:$N,MATCH($D4166,'Paramètres'!$M:$M,0))&amp;"",""))),0,IF(OR(IFERROR(INDEX('Paramètres'!$I:$I,MATCH($C4166,'Paramètres'!$D:$D,0))&amp;"","")="Les deux",IFERROR(INDEX('Paramètres'!$I:$I,MATCH($C4166,'Paramètres'!$D:$D,0))&amp;"","")=IF($P4166=1,"Débit",$L4166)),-IF($P4166=1,-$K4166,$K4166),0))))</f>
        <v/>
      </c>
      <c r="U4166" s="6" t="str">
        <f>IF($K4166="","",IF(ISNUMBER(SEARCH("sortie-epargne",IFERROR(INDEX('Paramètres'!$N:$N,MATCH($D4166,'Paramètres'!$M:$M,0))&amp;"",""))),$K4166,0))</f>
        <v/>
      </c>
      <c r="V4166" s="6" t="str">
        <f>IF(AND($A4166&lt;&gt;"",$O4166=1,$L4166="Débit",N($Q4166)&gt;0,$A4166&gt;=Visualisation!$B$1,$A4166&lt;Visualisation!$D$1),MAX($V$1:V4165)+1,"")</f>
        <v/>
      </c>
    </row>
    <row r="4167" spans="1:22" x14ac:dyDescent="0.25">
      <c r="A4167" s="9"/>
      <c r="E4167" s="10"/>
      <c r="K4167" s="11" t="str">
        <f>IF($E4167="","",ROUND($E4167*IF(ISNA(MATCH($C4167,'Paramètres'!$D:$D,0)),1,IF(INDEX('Paramètres'!$J:$J,MATCH($C4167,'Paramètres'!$D:$D,0))="",1,INDEX('Paramètres'!$J:$J,MATCH($C4167,'Paramètres'!$D:$D,0)))),2))</f>
        <v/>
      </c>
      <c r="L4167" s="6" t="str">
        <f>IF($D4167="","",IF($F4167&lt;&gt;"",$F4167,IF(ISNA(MATCH($D4167,'Paramètres'!$M:$M,0)),"⚠ Type inconnu",IFERROR(INDEX('Paramètres'!$P:$P,MATCH($D4167,'Paramètres'!$M:$M,0))&amp;"",""))))</f>
        <v/>
      </c>
      <c r="M4167" s="6" t="str">
        <f>IF($D4167="","",IF(ISNA(MATCH($D4167,'Paramètres'!$M:$M,0)),"⚠ Type inconnu",IF($L4167="Crédit","",IFERROR(INDEX('Paramètres'!$O:$O,MATCH($D4167,'Paramètres'!$M:$M,0))&amp;"",""))))</f>
        <v/>
      </c>
      <c r="N4167" s="6" t="str">
        <f>IF($D4167="","",IFERROR(INDEX('Paramètres'!$Q:$Q,MATCH($D4167,'Paramètres'!$M:$M,0))&amp;"",""))</f>
        <v/>
      </c>
      <c r="O4167" s="6" t="str">
        <f>IF($A4167="","",IF(OR($J4167&lt;&gt;"x",$A4167&lt;=FinReleve),1,0))</f>
        <v/>
      </c>
      <c r="P4167" s="6" t="str">
        <f>IF($D4167="","",IF(AND($L4167="Crédit",OR(IFERROR(INDEX('Paramètres'!$O:$O,MATCH($D4167,'Paramètres'!$M:$M,0))&amp;"","")&lt;&gt;"",ISNUMBER(SEARCH("remboursement",IFERROR(INDEX('Paramètres'!$N:$N,MATCH($D4167,'Paramètres'!$M:$M,0))&amp;"",""))))),1,0))</f>
        <v/>
      </c>
      <c r="Q4167" s="6" t="str">
        <f>IF($K4167="","",IF(ISNUMBER(SEARCH("transfert-interne",IFERROR(INDEX('Paramètres'!$N:$N,MATCH($D4167,'Paramètres'!$M:$M,0))&amp;"",""))),0,IF($L4167="Débit",$K4167,IF($P4167=1,-$K4167,0))))</f>
        <v/>
      </c>
      <c r="R4167" s="6" t="str">
        <f>IF($K4167="","",IF($L4167="Crédit",$K4167,-$K4167))</f>
        <v/>
      </c>
      <c r="S4167" s="6" t="str">
        <f>IF($C4167="","",IFERROR(INDEX('Paramètres'!$H:$H,MATCH($C4167,'Paramètres'!$D:$D,0))&amp;"",""))</f>
        <v/>
      </c>
      <c r="T4167" s="6" t="str">
        <f>IF($K4167="","",IF($S4167="",0,IF(ISNUMBER(SEARCH("apport-exterieur",IFERROR(INDEX('Paramètres'!$N:$N,MATCH($D4167,'Paramètres'!$M:$M,0))&amp;"",""))),0,IF(OR(IFERROR(INDEX('Paramètres'!$I:$I,MATCH($C4167,'Paramètres'!$D:$D,0))&amp;"","")="Les deux",IFERROR(INDEX('Paramètres'!$I:$I,MATCH($C4167,'Paramètres'!$D:$D,0))&amp;"","")=IF($P4167=1,"Débit",$L4167)),-IF($P4167=1,-$K4167,$K4167),0))))</f>
        <v/>
      </c>
      <c r="U4167" s="6" t="str">
        <f>IF($K4167="","",IF(ISNUMBER(SEARCH("sortie-epargne",IFERROR(INDEX('Paramètres'!$N:$N,MATCH($D4167,'Paramètres'!$M:$M,0))&amp;"",""))),$K4167,0))</f>
        <v/>
      </c>
      <c r="V4167" s="6" t="str">
        <f>IF(AND($A4167&lt;&gt;"",$O4167=1,$L4167="Débit",N($Q4167)&gt;0,$A4167&gt;=Visualisation!$B$1,$A4167&lt;Visualisation!$D$1),MAX($V$1:V4166)+1,"")</f>
        <v/>
      </c>
    </row>
    <row r="4168" spans="1:22" x14ac:dyDescent="0.25">
      <c r="A4168" s="9"/>
      <c r="E4168" s="10"/>
      <c r="K4168" s="11" t="str">
        <f>IF($E4168="","",ROUND($E4168*IF(ISNA(MATCH($C4168,'Paramètres'!$D:$D,0)),1,IF(INDEX('Paramètres'!$J:$J,MATCH($C4168,'Paramètres'!$D:$D,0))="",1,INDEX('Paramètres'!$J:$J,MATCH($C4168,'Paramètres'!$D:$D,0)))),2))</f>
        <v/>
      </c>
      <c r="L4168" s="6" t="str">
        <f>IF($D4168="","",IF($F4168&lt;&gt;"",$F4168,IF(ISNA(MATCH($D4168,'Paramètres'!$M:$M,0)),"⚠ Type inconnu",IFERROR(INDEX('Paramètres'!$P:$P,MATCH($D4168,'Paramètres'!$M:$M,0))&amp;"",""))))</f>
        <v/>
      </c>
      <c r="M4168" s="6" t="str">
        <f>IF($D4168="","",IF(ISNA(MATCH($D4168,'Paramètres'!$M:$M,0)),"⚠ Type inconnu",IF($L4168="Crédit","",IFERROR(INDEX('Paramètres'!$O:$O,MATCH($D4168,'Paramètres'!$M:$M,0))&amp;"",""))))</f>
        <v/>
      </c>
      <c r="N4168" s="6" t="str">
        <f>IF($D4168="","",IFERROR(INDEX('Paramètres'!$Q:$Q,MATCH($D4168,'Paramètres'!$M:$M,0))&amp;"",""))</f>
        <v/>
      </c>
      <c r="O4168" s="6" t="str">
        <f>IF($A4168="","",IF(OR($J4168&lt;&gt;"x",$A4168&lt;=FinReleve),1,0))</f>
        <v/>
      </c>
      <c r="P4168" s="6" t="str">
        <f>IF($D4168="","",IF(AND($L4168="Crédit",OR(IFERROR(INDEX('Paramètres'!$O:$O,MATCH($D4168,'Paramètres'!$M:$M,0))&amp;"","")&lt;&gt;"",ISNUMBER(SEARCH("remboursement",IFERROR(INDEX('Paramètres'!$N:$N,MATCH($D4168,'Paramètres'!$M:$M,0))&amp;"",""))))),1,0))</f>
        <v/>
      </c>
      <c r="Q4168" s="6" t="str">
        <f>IF($K4168="","",IF(ISNUMBER(SEARCH("transfert-interne",IFERROR(INDEX('Paramètres'!$N:$N,MATCH($D4168,'Paramètres'!$M:$M,0))&amp;"",""))),0,IF($L4168="Débit",$K4168,IF($P4168=1,-$K4168,0))))</f>
        <v/>
      </c>
      <c r="R4168" s="6" t="str">
        <f>IF($K4168="","",IF($L4168="Crédit",$K4168,-$K4168))</f>
        <v/>
      </c>
      <c r="S4168" s="6" t="str">
        <f>IF($C4168="","",IFERROR(INDEX('Paramètres'!$H:$H,MATCH($C4168,'Paramètres'!$D:$D,0))&amp;"",""))</f>
        <v/>
      </c>
      <c r="T4168" s="6" t="str">
        <f>IF($K4168="","",IF($S4168="",0,IF(ISNUMBER(SEARCH("apport-exterieur",IFERROR(INDEX('Paramètres'!$N:$N,MATCH($D4168,'Paramètres'!$M:$M,0))&amp;"",""))),0,IF(OR(IFERROR(INDEX('Paramètres'!$I:$I,MATCH($C4168,'Paramètres'!$D:$D,0))&amp;"","")="Les deux",IFERROR(INDEX('Paramètres'!$I:$I,MATCH($C4168,'Paramètres'!$D:$D,0))&amp;"","")=IF($P4168=1,"Débit",$L4168)),-IF($P4168=1,-$K4168,$K4168),0))))</f>
        <v/>
      </c>
      <c r="U4168" s="6" t="str">
        <f>IF($K4168="","",IF(ISNUMBER(SEARCH("sortie-epargne",IFERROR(INDEX('Paramètres'!$N:$N,MATCH($D4168,'Paramètres'!$M:$M,0))&amp;"",""))),$K4168,0))</f>
        <v/>
      </c>
      <c r="V4168" s="6" t="str">
        <f>IF(AND($A4168&lt;&gt;"",$O4168=1,$L4168="Débit",N($Q4168)&gt;0,$A4168&gt;=Visualisation!$B$1,$A4168&lt;Visualisation!$D$1),MAX($V$1:V4167)+1,"")</f>
        <v/>
      </c>
    </row>
    <row r="4169" spans="1:22" x14ac:dyDescent="0.25">
      <c r="A4169" s="9"/>
      <c r="E4169" s="10"/>
      <c r="K4169" s="11" t="str">
        <f>IF($E4169="","",ROUND($E4169*IF(ISNA(MATCH($C4169,'Paramètres'!$D:$D,0)),1,IF(INDEX('Paramètres'!$J:$J,MATCH($C4169,'Paramètres'!$D:$D,0))="",1,INDEX('Paramètres'!$J:$J,MATCH($C4169,'Paramètres'!$D:$D,0)))),2))</f>
        <v/>
      </c>
      <c r="L4169" s="6" t="str">
        <f>IF($D4169="","",IF($F4169&lt;&gt;"",$F4169,IF(ISNA(MATCH($D4169,'Paramètres'!$M:$M,0)),"⚠ Type inconnu",IFERROR(INDEX('Paramètres'!$P:$P,MATCH($D4169,'Paramètres'!$M:$M,0))&amp;"",""))))</f>
        <v/>
      </c>
      <c r="M4169" s="6" t="str">
        <f>IF($D4169="","",IF(ISNA(MATCH($D4169,'Paramètres'!$M:$M,0)),"⚠ Type inconnu",IF($L4169="Crédit","",IFERROR(INDEX('Paramètres'!$O:$O,MATCH($D4169,'Paramètres'!$M:$M,0))&amp;"",""))))</f>
        <v/>
      </c>
      <c r="N4169" s="6" t="str">
        <f>IF($D4169="","",IFERROR(INDEX('Paramètres'!$Q:$Q,MATCH($D4169,'Paramètres'!$M:$M,0))&amp;"",""))</f>
        <v/>
      </c>
      <c r="O4169" s="6" t="str">
        <f>IF($A4169="","",IF(OR($J4169&lt;&gt;"x",$A4169&lt;=FinReleve),1,0))</f>
        <v/>
      </c>
      <c r="P4169" s="6" t="str">
        <f>IF($D4169="","",IF(AND($L4169="Crédit",OR(IFERROR(INDEX('Paramètres'!$O:$O,MATCH($D4169,'Paramètres'!$M:$M,0))&amp;"","")&lt;&gt;"",ISNUMBER(SEARCH("remboursement",IFERROR(INDEX('Paramètres'!$N:$N,MATCH($D4169,'Paramètres'!$M:$M,0))&amp;"",""))))),1,0))</f>
        <v/>
      </c>
      <c r="Q4169" s="6" t="str">
        <f>IF($K4169="","",IF(ISNUMBER(SEARCH("transfert-interne",IFERROR(INDEX('Paramètres'!$N:$N,MATCH($D4169,'Paramètres'!$M:$M,0))&amp;"",""))),0,IF($L4169="Débit",$K4169,IF($P4169=1,-$K4169,0))))</f>
        <v/>
      </c>
      <c r="R4169" s="6" t="str">
        <f>IF($K4169="","",IF($L4169="Crédit",$K4169,-$K4169))</f>
        <v/>
      </c>
      <c r="S4169" s="6" t="str">
        <f>IF($C4169="","",IFERROR(INDEX('Paramètres'!$H:$H,MATCH($C4169,'Paramètres'!$D:$D,0))&amp;"",""))</f>
        <v/>
      </c>
      <c r="T4169" s="6" t="str">
        <f>IF($K4169="","",IF($S4169="",0,IF(ISNUMBER(SEARCH("apport-exterieur",IFERROR(INDEX('Paramètres'!$N:$N,MATCH($D4169,'Paramètres'!$M:$M,0))&amp;"",""))),0,IF(OR(IFERROR(INDEX('Paramètres'!$I:$I,MATCH($C4169,'Paramètres'!$D:$D,0))&amp;"","")="Les deux",IFERROR(INDEX('Paramètres'!$I:$I,MATCH($C4169,'Paramètres'!$D:$D,0))&amp;"","")=IF($P4169=1,"Débit",$L4169)),-IF($P4169=1,-$K4169,$K4169),0))))</f>
        <v/>
      </c>
      <c r="U4169" s="6" t="str">
        <f>IF($K4169="","",IF(ISNUMBER(SEARCH("sortie-epargne",IFERROR(INDEX('Paramètres'!$N:$N,MATCH($D4169,'Paramètres'!$M:$M,0))&amp;"",""))),$K4169,0))</f>
        <v/>
      </c>
      <c r="V4169" s="6" t="str">
        <f>IF(AND($A4169&lt;&gt;"",$O4169=1,$L4169="Débit",N($Q4169)&gt;0,$A4169&gt;=Visualisation!$B$1,$A4169&lt;Visualisation!$D$1),MAX($V$1:V4168)+1,"")</f>
        <v/>
      </c>
    </row>
    <row r="4170" spans="1:22" x14ac:dyDescent="0.25">
      <c r="A4170" s="9"/>
      <c r="E4170" s="10"/>
      <c r="K4170" s="11" t="str">
        <f>IF($E4170="","",ROUND($E4170*IF(ISNA(MATCH($C4170,'Paramètres'!$D:$D,0)),1,IF(INDEX('Paramètres'!$J:$J,MATCH($C4170,'Paramètres'!$D:$D,0))="",1,INDEX('Paramètres'!$J:$J,MATCH($C4170,'Paramètres'!$D:$D,0)))),2))</f>
        <v/>
      </c>
      <c r="L4170" s="6" t="str">
        <f>IF($D4170="","",IF($F4170&lt;&gt;"",$F4170,IF(ISNA(MATCH($D4170,'Paramètres'!$M:$M,0)),"⚠ Type inconnu",IFERROR(INDEX('Paramètres'!$P:$P,MATCH($D4170,'Paramètres'!$M:$M,0))&amp;"",""))))</f>
        <v/>
      </c>
      <c r="M4170" s="6" t="str">
        <f>IF($D4170="","",IF(ISNA(MATCH($D4170,'Paramètres'!$M:$M,0)),"⚠ Type inconnu",IF($L4170="Crédit","",IFERROR(INDEX('Paramètres'!$O:$O,MATCH($D4170,'Paramètres'!$M:$M,0))&amp;"",""))))</f>
        <v/>
      </c>
      <c r="N4170" s="6" t="str">
        <f>IF($D4170="","",IFERROR(INDEX('Paramètres'!$Q:$Q,MATCH($D4170,'Paramètres'!$M:$M,0))&amp;"",""))</f>
        <v/>
      </c>
      <c r="O4170" s="6" t="str">
        <f>IF($A4170="","",IF(OR($J4170&lt;&gt;"x",$A4170&lt;=FinReleve),1,0))</f>
        <v/>
      </c>
      <c r="P4170" s="6" t="str">
        <f>IF($D4170="","",IF(AND($L4170="Crédit",OR(IFERROR(INDEX('Paramètres'!$O:$O,MATCH($D4170,'Paramètres'!$M:$M,0))&amp;"","")&lt;&gt;"",ISNUMBER(SEARCH("remboursement",IFERROR(INDEX('Paramètres'!$N:$N,MATCH($D4170,'Paramètres'!$M:$M,0))&amp;"",""))))),1,0))</f>
        <v/>
      </c>
      <c r="Q4170" s="6" t="str">
        <f>IF($K4170="","",IF(ISNUMBER(SEARCH("transfert-interne",IFERROR(INDEX('Paramètres'!$N:$N,MATCH($D4170,'Paramètres'!$M:$M,0))&amp;"",""))),0,IF($L4170="Débit",$K4170,IF($P4170=1,-$K4170,0))))</f>
        <v/>
      </c>
      <c r="R4170" s="6" t="str">
        <f>IF($K4170="","",IF($L4170="Crédit",$K4170,-$K4170))</f>
        <v/>
      </c>
      <c r="S4170" s="6" t="str">
        <f>IF($C4170="","",IFERROR(INDEX('Paramètres'!$H:$H,MATCH($C4170,'Paramètres'!$D:$D,0))&amp;"",""))</f>
        <v/>
      </c>
      <c r="T4170" s="6" t="str">
        <f>IF($K4170="","",IF($S4170="",0,IF(ISNUMBER(SEARCH("apport-exterieur",IFERROR(INDEX('Paramètres'!$N:$N,MATCH($D4170,'Paramètres'!$M:$M,0))&amp;"",""))),0,IF(OR(IFERROR(INDEX('Paramètres'!$I:$I,MATCH($C4170,'Paramètres'!$D:$D,0))&amp;"","")="Les deux",IFERROR(INDEX('Paramètres'!$I:$I,MATCH($C4170,'Paramètres'!$D:$D,0))&amp;"","")=IF($P4170=1,"Débit",$L4170)),-IF($P4170=1,-$K4170,$K4170),0))))</f>
        <v/>
      </c>
      <c r="U4170" s="6" t="str">
        <f>IF($K4170="","",IF(ISNUMBER(SEARCH("sortie-epargne",IFERROR(INDEX('Paramètres'!$N:$N,MATCH($D4170,'Paramètres'!$M:$M,0))&amp;"",""))),$K4170,0))</f>
        <v/>
      </c>
      <c r="V4170" s="6" t="str">
        <f>IF(AND($A4170&lt;&gt;"",$O4170=1,$L4170="Débit",N($Q4170)&gt;0,$A4170&gt;=Visualisation!$B$1,$A4170&lt;Visualisation!$D$1),MAX($V$1:V4169)+1,"")</f>
        <v/>
      </c>
    </row>
    <row r="4171" spans="1:22" x14ac:dyDescent="0.25">
      <c r="A4171" s="9"/>
      <c r="E4171" s="10"/>
      <c r="K4171" s="11" t="str">
        <f>IF($E4171="","",ROUND($E4171*IF(ISNA(MATCH($C4171,'Paramètres'!$D:$D,0)),1,IF(INDEX('Paramètres'!$J:$J,MATCH($C4171,'Paramètres'!$D:$D,0))="",1,INDEX('Paramètres'!$J:$J,MATCH($C4171,'Paramètres'!$D:$D,0)))),2))</f>
        <v/>
      </c>
      <c r="L4171" s="6" t="str">
        <f>IF($D4171="","",IF($F4171&lt;&gt;"",$F4171,IF(ISNA(MATCH($D4171,'Paramètres'!$M:$M,0)),"⚠ Type inconnu",IFERROR(INDEX('Paramètres'!$P:$P,MATCH($D4171,'Paramètres'!$M:$M,0))&amp;"",""))))</f>
        <v/>
      </c>
      <c r="M4171" s="6" t="str">
        <f>IF($D4171="","",IF(ISNA(MATCH($D4171,'Paramètres'!$M:$M,0)),"⚠ Type inconnu",IF($L4171="Crédit","",IFERROR(INDEX('Paramètres'!$O:$O,MATCH($D4171,'Paramètres'!$M:$M,0))&amp;"",""))))</f>
        <v/>
      </c>
      <c r="N4171" s="6" t="str">
        <f>IF($D4171="","",IFERROR(INDEX('Paramètres'!$Q:$Q,MATCH($D4171,'Paramètres'!$M:$M,0))&amp;"",""))</f>
        <v/>
      </c>
      <c r="O4171" s="6" t="str">
        <f>IF($A4171="","",IF(OR($J4171&lt;&gt;"x",$A4171&lt;=FinReleve),1,0))</f>
        <v/>
      </c>
      <c r="P4171" s="6" t="str">
        <f>IF($D4171="","",IF(AND($L4171="Crédit",OR(IFERROR(INDEX('Paramètres'!$O:$O,MATCH($D4171,'Paramètres'!$M:$M,0))&amp;"","")&lt;&gt;"",ISNUMBER(SEARCH("remboursement",IFERROR(INDEX('Paramètres'!$N:$N,MATCH($D4171,'Paramètres'!$M:$M,0))&amp;"",""))))),1,0))</f>
        <v/>
      </c>
      <c r="Q4171" s="6" t="str">
        <f>IF($K4171="","",IF(ISNUMBER(SEARCH("transfert-interne",IFERROR(INDEX('Paramètres'!$N:$N,MATCH($D4171,'Paramètres'!$M:$M,0))&amp;"",""))),0,IF($L4171="Débit",$K4171,IF($P4171=1,-$K4171,0))))</f>
        <v/>
      </c>
      <c r="R4171" s="6" t="str">
        <f>IF($K4171="","",IF($L4171="Crédit",$K4171,-$K4171))</f>
        <v/>
      </c>
      <c r="S4171" s="6" t="str">
        <f>IF($C4171="","",IFERROR(INDEX('Paramètres'!$H:$H,MATCH($C4171,'Paramètres'!$D:$D,0))&amp;"",""))</f>
        <v/>
      </c>
      <c r="T4171" s="6" t="str">
        <f>IF($K4171="","",IF($S4171="",0,IF(ISNUMBER(SEARCH("apport-exterieur",IFERROR(INDEX('Paramètres'!$N:$N,MATCH($D4171,'Paramètres'!$M:$M,0))&amp;"",""))),0,IF(OR(IFERROR(INDEX('Paramètres'!$I:$I,MATCH($C4171,'Paramètres'!$D:$D,0))&amp;"","")="Les deux",IFERROR(INDEX('Paramètres'!$I:$I,MATCH($C4171,'Paramètres'!$D:$D,0))&amp;"","")=IF($P4171=1,"Débit",$L4171)),-IF($P4171=1,-$K4171,$K4171),0))))</f>
        <v/>
      </c>
      <c r="U4171" s="6" t="str">
        <f>IF($K4171="","",IF(ISNUMBER(SEARCH("sortie-epargne",IFERROR(INDEX('Paramètres'!$N:$N,MATCH($D4171,'Paramètres'!$M:$M,0))&amp;"",""))),$K4171,0))</f>
        <v/>
      </c>
      <c r="V4171" s="6" t="str">
        <f>IF(AND($A4171&lt;&gt;"",$O4171=1,$L4171="Débit",N($Q4171)&gt;0,$A4171&gt;=Visualisation!$B$1,$A4171&lt;Visualisation!$D$1),MAX($V$1:V4170)+1,"")</f>
        <v/>
      </c>
    </row>
    <row r="4172" spans="1:22" x14ac:dyDescent="0.25">
      <c r="A4172" s="9"/>
      <c r="E4172" s="10"/>
      <c r="K4172" s="11" t="str">
        <f>IF($E4172="","",ROUND($E4172*IF(ISNA(MATCH($C4172,'Paramètres'!$D:$D,0)),1,IF(INDEX('Paramètres'!$J:$J,MATCH($C4172,'Paramètres'!$D:$D,0))="",1,INDEX('Paramètres'!$J:$J,MATCH($C4172,'Paramètres'!$D:$D,0)))),2))</f>
        <v/>
      </c>
      <c r="L4172" s="6" t="str">
        <f>IF($D4172="","",IF($F4172&lt;&gt;"",$F4172,IF(ISNA(MATCH($D4172,'Paramètres'!$M:$M,0)),"⚠ Type inconnu",IFERROR(INDEX('Paramètres'!$P:$P,MATCH($D4172,'Paramètres'!$M:$M,0))&amp;"",""))))</f>
        <v/>
      </c>
      <c r="M4172" s="6" t="str">
        <f>IF($D4172="","",IF(ISNA(MATCH($D4172,'Paramètres'!$M:$M,0)),"⚠ Type inconnu",IF($L4172="Crédit","",IFERROR(INDEX('Paramètres'!$O:$O,MATCH($D4172,'Paramètres'!$M:$M,0))&amp;"",""))))</f>
        <v/>
      </c>
      <c r="N4172" s="6" t="str">
        <f>IF($D4172="","",IFERROR(INDEX('Paramètres'!$Q:$Q,MATCH($D4172,'Paramètres'!$M:$M,0))&amp;"",""))</f>
        <v/>
      </c>
      <c r="O4172" s="6" t="str">
        <f>IF($A4172="","",IF(OR($J4172&lt;&gt;"x",$A4172&lt;=FinReleve),1,0))</f>
        <v/>
      </c>
      <c r="P4172" s="6" t="str">
        <f>IF($D4172="","",IF(AND($L4172="Crédit",OR(IFERROR(INDEX('Paramètres'!$O:$O,MATCH($D4172,'Paramètres'!$M:$M,0))&amp;"","")&lt;&gt;"",ISNUMBER(SEARCH("remboursement",IFERROR(INDEX('Paramètres'!$N:$N,MATCH($D4172,'Paramètres'!$M:$M,0))&amp;"",""))))),1,0))</f>
        <v/>
      </c>
      <c r="Q4172" s="6" t="str">
        <f>IF($K4172="","",IF(ISNUMBER(SEARCH("transfert-interne",IFERROR(INDEX('Paramètres'!$N:$N,MATCH($D4172,'Paramètres'!$M:$M,0))&amp;"",""))),0,IF($L4172="Débit",$K4172,IF($P4172=1,-$K4172,0))))</f>
        <v/>
      </c>
      <c r="R4172" s="6" t="str">
        <f>IF($K4172="","",IF($L4172="Crédit",$K4172,-$K4172))</f>
        <v/>
      </c>
      <c r="S4172" s="6" t="str">
        <f>IF($C4172="","",IFERROR(INDEX('Paramètres'!$H:$H,MATCH($C4172,'Paramètres'!$D:$D,0))&amp;"",""))</f>
        <v/>
      </c>
      <c r="T4172" s="6" t="str">
        <f>IF($K4172="","",IF($S4172="",0,IF(ISNUMBER(SEARCH("apport-exterieur",IFERROR(INDEX('Paramètres'!$N:$N,MATCH($D4172,'Paramètres'!$M:$M,0))&amp;"",""))),0,IF(OR(IFERROR(INDEX('Paramètres'!$I:$I,MATCH($C4172,'Paramètres'!$D:$D,0))&amp;"","")="Les deux",IFERROR(INDEX('Paramètres'!$I:$I,MATCH($C4172,'Paramètres'!$D:$D,0))&amp;"","")=IF($P4172=1,"Débit",$L4172)),-IF($P4172=1,-$K4172,$K4172),0))))</f>
        <v/>
      </c>
      <c r="U4172" s="6" t="str">
        <f>IF($K4172="","",IF(ISNUMBER(SEARCH("sortie-epargne",IFERROR(INDEX('Paramètres'!$N:$N,MATCH($D4172,'Paramètres'!$M:$M,0))&amp;"",""))),$K4172,0))</f>
        <v/>
      </c>
      <c r="V4172" s="6" t="str">
        <f>IF(AND($A4172&lt;&gt;"",$O4172=1,$L4172="Débit",N($Q4172)&gt;0,$A4172&gt;=Visualisation!$B$1,$A4172&lt;Visualisation!$D$1),MAX($V$1:V4171)+1,"")</f>
        <v/>
      </c>
    </row>
    <row r="4173" spans="1:22" x14ac:dyDescent="0.25">
      <c r="A4173" s="9"/>
      <c r="E4173" s="10"/>
      <c r="K4173" s="11" t="str">
        <f>IF($E4173="","",ROUND($E4173*IF(ISNA(MATCH($C4173,'Paramètres'!$D:$D,0)),1,IF(INDEX('Paramètres'!$J:$J,MATCH($C4173,'Paramètres'!$D:$D,0))="",1,INDEX('Paramètres'!$J:$J,MATCH($C4173,'Paramètres'!$D:$D,0)))),2))</f>
        <v/>
      </c>
      <c r="L4173" s="6" t="str">
        <f>IF($D4173="","",IF($F4173&lt;&gt;"",$F4173,IF(ISNA(MATCH($D4173,'Paramètres'!$M:$M,0)),"⚠ Type inconnu",IFERROR(INDEX('Paramètres'!$P:$P,MATCH($D4173,'Paramètres'!$M:$M,0))&amp;"",""))))</f>
        <v/>
      </c>
      <c r="M4173" s="6" t="str">
        <f>IF($D4173="","",IF(ISNA(MATCH($D4173,'Paramètres'!$M:$M,0)),"⚠ Type inconnu",IF($L4173="Crédit","",IFERROR(INDEX('Paramètres'!$O:$O,MATCH($D4173,'Paramètres'!$M:$M,0))&amp;"",""))))</f>
        <v/>
      </c>
      <c r="N4173" s="6" t="str">
        <f>IF($D4173="","",IFERROR(INDEX('Paramètres'!$Q:$Q,MATCH($D4173,'Paramètres'!$M:$M,0))&amp;"",""))</f>
        <v/>
      </c>
      <c r="O4173" s="6" t="str">
        <f>IF($A4173="","",IF(OR($J4173&lt;&gt;"x",$A4173&lt;=FinReleve),1,0))</f>
        <v/>
      </c>
      <c r="P4173" s="6" t="str">
        <f>IF($D4173="","",IF(AND($L4173="Crédit",OR(IFERROR(INDEX('Paramètres'!$O:$O,MATCH($D4173,'Paramètres'!$M:$M,0))&amp;"","")&lt;&gt;"",ISNUMBER(SEARCH("remboursement",IFERROR(INDEX('Paramètres'!$N:$N,MATCH($D4173,'Paramètres'!$M:$M,0))&amp;"",""))))),1,0))</f>
        <v/>
      </c>
      <c r="Q4173" s="6" t="str">
        <f>IF($K4173="","",IF(ISNUMBER(SEARCH("transfert-interne",IFERROR(INDEX('Paramètres'!$N:$N,MATCH($D4173,'Paramètres'!$M:$M,0))&amp;"",""))),0,IF($L4173="Débit",$K4173,IF($P4173=1,-$K4173,0))))</f>
        <v/>
      </c>
      <c r="R4173" s="6" t="str">
        <f>IF($K4173="","",IF($L4173="Crédit",$K4173,-$K4173))</f>
        <v/>
      </c>
      <c r="S4173" s="6" t="str">
        <f>IF($C4173="","",IFERROR(INDEX('Paramètres'!$H:$H,MATCH($C4173,'Paramètres'!$D:$D,0))&amp;"",""))</f>
        <v/>
      </c>
      <c r="T4173" s="6" t="str">
        <f>IF($K4173="","",IF($S4173="",0,IF(ISNUMBER(SEARCH("apport-exterieur",IFERROR(INDEX('Paramètres'!$N:$N,MATCH($D4173,'Paramètres'!$M:$M,0))&amp;"",""))),0,IF(OR(IFERROR(INDEX('Paramètres'!$I:$I,MATCH($C4173,'Paramètres'!$D:$D,0))&amp;"","")="Les deux",IFERROR(INDEX('Paramètres'!$I:$I,MATCH($C4173,'Paramètres'!$D:$D,0))&amp;"","")=IF($P4173=1,"Débit",$L4173)),-IF($P4173=1,-$K4173,$K4173),0))))</f>
        <v/>
      </c>
      <c r="U4173" s="6" t="str">
        <f>IF($K4173="","",IF(ISNUMBER(SEARCH("sortie-epargne",IFERROR(INDEX('Paramètres'!$N:$N,MATCH($D4173,'Paramètres'!$M:$M,0))&amp;"",""))),$K4173,0))</f>
        <v/>
      </c>
      <c r="V4173" s="6" t="str">
        <f>IF(AND($A4173&lt;&gt;"",$O4173=1,$L4173="Débit",N($Q4173)&gt;0,$A4173&gt;=Visualisation!$B$1,$A4173&lt;Visualisation!$D$1),MAX($V$1:V4172)+1,"")</f>
        <v/>
      </c>
    </row>
    <row r="4174" spans="1:22" x14ac:dyDescent="0.25">
      <c r="A4174" s="9"/>
      <c r="E4174" s="10"/>
      <c r="K4174" s="11" t="str">
        <f>IF($E4174="","",ROUND($E4174*IF(ISNA(MATCH($C4174,'Paramètres'!$D:$D,0)),1,IF(INDEX('Paramètres'!$J:$J,MATCH($C4174,'Paramètres'!$D:$D,0))="",1,INDEX('Paramètres'!$J:$J,MATCH($C4174,'Paramètres'!$D:$D,0)))),2))</f>
        <v/>
      </c>
      <c r="L4174" s="6" t="str">
        <f>IF($D4174="","",IF($F4174&lt;&gt;"",$F4174,IF(ISNA(MATCH($D4174,'Paramètres'!$M:$M,0)),"⚠ Type inconnu",IFERROR(INDEX('Paramètres'!$P:$P,MATCH($D4174,'Paramètres'!$M:$M,0))&amp;"",""))))</f>
        <v/>
      </c>
      <c r="M4174" s="6" t="str">
        <f>IF($D4174="","",IF(ISNA(MATCH($D4174,'Paramètres'!$M:$M,0)),"⚠ Type inconnu",IF($L4174="Crédit","",IFERROR(INDEX('Paramètres'!$O:$O,MATCH($D4174,'Paramètres'!$M:$M,0))&amp;"",""))))</f>
        <v/>
      </c>
      <c r="N4174" s="6" t="str">
        <f>IF($D4174="","",IFERROR(INDEX('Paramètres'!$Q:$Q,MATCH($D4174,'Paramètres'!$M:$M,0))&amp;"",""))</f>
        <v/>
      </c>
      <c r="O4174" s="6" t="str">
        <f>IF($A4174="","",IF(OR($J4174&lt;&gt;"x",$A4174&lt;=FinReleve),1,0))</f>
        <v/>
      </c>
      <c r="P4174" s="6" t="str">
        <f>IF($D4174="","",IF(AND($L4174="Crédit",OR(IFERROR(INDEX('Paramètres'!$O:$O,MATCH($D4174,'Paramètres'!$M:$M,0))&amp;"","")&lt;&gt;"",ISNUMBER(SEARCH("remboursement",IFERROR(INDEX('Paramètres'!$N:$N,MATCH($D4174,'Paramètres'!$M:$M,0))&amp;"",""))))),1,0))</f>
        <v/>
      </c>
      <c r="Q4174" s="6" t="str">
        <f>IF($K4174="","",IF(ISNUMBER(SEARCH("transfert-interne",IFERROR(INDEX('Paramètres'!$N:$N,MATCH($D4174,'Paramètres'!$M:$M,0))&amp;"",""))),0,IF($L4174="Débit",$K4174,IF($P4174=1,-$K4174,0))))</f>
        <v/>
      </c>
      <c r="R4174" s="6" t="str">
        <f>IF($K4174="","",IF($L4174="Crédit",$K4174,-$K4174))</f>
        <v/>
      </c>
      <c r="S4174" s="6" t="str">
        <f>IF($C4174="","",IFERROR(INDEX('Paramètres'!$H:$H,MATCH($C4174,'Paramètres'!$D:$D,0))&amp;"",""))</f>
        <v/>
      </c>
      <c r="T4174" s="6" t="str">
        <f>IF($K4174="","",IF($S4174="",0,IF(ISNUMBER(SEARCH("apport-exterieur",IFERROR(INDEX('Paramètres'!$N:$N,MATCH($D4174,'Paramètres'!$M:$M,0))&amp;"",""))),0,IF(OR(IFERROR(INDEX('Paramètres'!$I:$I,MATCH($C4174,'Paramètres'!$D:$D,0))&amp;"","")="Les deux",IFERROR(INDEX('Paramètres'!$I:$I,MATCH($C4174,'Paramètres'!$D:$D,0))&amp;"","")=IF($P4174=1,"Débit",$L4174)),-IF($P4174=1,-$K4174,$K4174),0))))</f>
        <v/>
      </c>
      <c r="U4174" s="6" t="str">
        <f>IF($K4174="","",IF(ISNUMBER(SEARCH("sortie-epargne",IFERROR(INDEX('Paramètres'!$N:$N,MATCH($D4174,'Paramètres'!$M:$M,0))&amp;"",""))),$K4174,0))</f>
        <v/>
      </c>
      <c r="V4174" s="6" t="str">
        <f>IF(AND($A4174&lt;&gt;"",$O4174=1,$L4174="Débit",N($Q4174)&gt;0,$A4174&gt;=Visualisation!$B$1,$A4174&lt;Visualisation!$D$1),MAX($V$1:V4173)+1,"")</f>
        <v/>
      </c>
    </row>
    <row r="4175" spans="1:22" x14ac:dyDescent="0.25">
      <c r="A4175" s="9"/>
      <c r="E4175" s="10"/>
      <c r="K4175" s="11" t="str">
        <f>IF($E4175="","",ROUND($E4175*IF(ISNA(MATCH($C4175,'Paramètres'!$D:$D,0)),1,IF(INDEX('Paramètres'!$J:$J,MATCH($C4175,'Paramètres'!$D:$D,0))="",1,INDEX('Paramètres'!$J:$J,MATCH($C4175,'Paramètres'!$D:$D,0)))),2))</f>
        <v/>
      </c>
      <c r="L4175" s="6" t="str">
        <f>IF($D4175="","",IF($F4175&lt;&gt;"",$F4175,IF(ISNA(MATCH($D4175,'Paramètres'!$M:$M,0)),"⚠ Type inconnu",IFERROR(INDEX('Paramètres'!$P:$P,MATCH($D4175,'Paramètres'!$M:$M,0))&amp;"",""))))</f>
        <v/>
      </c>
      <c r="M4175" s="6" t="str">
        <f>IF($D4175="","",IF(ISNA(MATCH($D4175,'Paramètres'!$M:$M,0)),"⚠ Type inconnu",IF($L4175="Crédit","",IFERROR(INDEX('Paramètres'!$O:$O,MATCH($D4175,'Paramètres'!$M:$M,0))&amp;"",""))))</f>
        <v/>
      </c>
      <c r="N4175" s="6" t="str">
        <f>IF($D4175="","",IFERROR(INDEX('Paramètres'!$Q:$Q,MATCH($D4175,'Paramètres'!$M:$M,0))&amp;"",""))</f>
        <v/>
      </c>
      <c r="O4175" s="6" t="str">
        <f>IF($A4175="","",IF(OR($J4175&lt;&gt;"x",$A4175&lt;=FinReleve),1,0))</f>
        <v/>
      </c>
      <c r="P4175" s="6" t="str">
        <f>IF($D4175="","",IF(AND($L4175="Crédit",OR(IFERROR(INDEX('Paramètres'!$O:$O,MATCH($D4175,'Paramètres'!$M:$M,0))&amp;"","")&lt;&gt;"",ISNUMBER(SEARCH("remboursement",IFERROR(INDEX('Paramètres'!$N:$N,MATCH($D4175,'Paramètres'!$M:$M,0))&amp;"",""))))),1,0))</f>
        <v/>
      </c>
      <c r="Q4175" s="6" t="str">
        <f>IF($K4175="","",IF(ISNUMBER(SEARCH("transfert-interne",IFERROR(INDEX('Paramètres'!$N:$N,MATCH($D4175,'Paramètres'!$M:$M,0))&amp;"",""))),0,IF($L4175="Débit",$K4175,IF($P4175=1,-$K4175,0))))</f>
        <v/>
      </c>
      <c r="R4175" s="6" t="str">
        <f>IF($K4175="","",IF($L4175="Crédit",$K4175,-$K4175))</f>
        <v/>
      </c>
      <c r="S4175" s="6" t="str">
        <f>IF($C4175="","",IFERROR(INDEX('Paramètres'!$H:$H,MATCH($C4175,'Paramètres'!$D:$D,0))&amp;"",""))</f>
        <v/>
      </c>
      <c r="T4175" s="6" t="str">
        <f>IF($K4175="","",IF($S4175="",0,IF(ISNUMBER(SEARCH("apport-exterieur",IFERROR(INDEX('Paramètres'!$N:$N,MATCH($D4175,'Paramètres'!$M:$M,0))&amp;"",""))),0,IF(OR(IFERROR(INDEX('Paramètres'!$I:$I,MATCH($C4175,'Paramètres'!$D:$D,0))&amp;"","")="Les deux",IFERROR(INDEX('Paramètres'!$I:$I,MATCH($C4175,'Paramètres'!$D:$D,0))&amp;"","")=IF($P4175=1,"Débit",$L4175)),-IF($P4175=1,-$K4175,$K4175),0))))</f>
        <v/>
      </c>
      <c r="U4175" s="6" t="str">
        <f>IF($K4175="","",IF(ISNUMBER(SEARCH("sortie-epargne",IFERROR(INDEX('Paramètres'!$N:$N,MATCH($D4175,'Paramètres'!$M:$M,0))&amp;"",""))),$K4175,0))</f>
        <v/>
      </c>
      <c r="V4175" s="6" t="str">
        <f>IF(AND($A4175&lt;&gt;"",$O4175=1,$L4175="Débit",N($Q4175)&gt;0,$A4175&gt;=Visualisation!$B$1,$A4175&lt;Visualisation!$D$1),MAX($V$1:V4174)+1,"")</f>
        <v/>
      </c>
    </row>
    <row r="4176" spans="1:22" x14ac:dyDescent="0.25">
      <c r="A4176" s="9"/>
      <c r="E4176" s="10"/>
      <c r="K4176" s="11" t="str">
        <f>IF($E4176="","",ROUND($E4176*IF(ISNA(MATCH($C4176,'Paramètres'!$D:$D,0)),1,IF(INDEX('Paramètres'!$J:$J,MATCH($C4176,'Paramètres'!$D:$D,0))="",1,INDEX('Paramètres'!$J:$J,MATCH($C4176,'Paramètres'!$D:$D,0)))),2))</f>
        <v/>
      </c>
      <c r="L4176" s="6" t="str">
        <f>IF($D4176="","",IF($F4176&lt;&gt;"",$F4176,IF(ISNA(MATCH($D4176,'Paramètres'!$M:$M,0)),"⚠ Type inconnu",IFERROR(INDEX('Paramètres'!$P:$P,MATCH($D4176,'Paramètres'!$M:$M,0))&amp;"",""))))</f>
        <v/>
      </c>
      <c r="M4176" s="6" t="str">
        <f>IF($D4176="","",IF(ISNA(MATCH($D4176,'Paramètres'!$M:$M,0)),"⚠ Type inconnu",IF($L4176="Crédit","",IFERROR(INDEX('Paramètres'!$O:$O,MATCH($D4176,'Paramètres'!$M:$M,0))&amp;"",""))))</f>
        <v/>
      </c>
      <c r="N4176" s="6" t="str">
        <f>IF($D4176="","",IFERROR(INDEX('Paramètres'!$Q:$Q,MATCH($D4176,'Paramètres'!$M:$M,0))&amp;"",""))</f>
        <v/>
      </c>
      <c r="O4176" s="6" t="str">
        <f>IF($A4176="","",IF(OR($J4176&lt;&gt;"x",$A4176&lt;=FinReleve),1,0))</f>
        <v/>
      </c>
      <c r="P4176" s="6" t="str">
        <f>IF($D4176="","",IF(AND($L4176="Crédit",OR(IFERROR(INDEX('Paramètres'!$O:$O,MATCH($D4176,'Paramètres'!$M:$M,0))&amp;"","")&lt;&gt;"",ISNUMBER(SEARCH("remboursement",IFERROR(INDEX('Paramètres'!$N:$N,MATCH($D4176,'Paramètres'!$M:$M,0))&amp;"",""))))),1,0))</f>
        <v/>
      </c>
      <c r="Q4176" s="6" t="str">
        <f>IF($K4176="","",IF(ISNUMBER(SEARCH("transfert-interne",IFERROR(INDEX('Paramètres'!$N:$N,MATCH($D4176,'Paramètres'!$M:$M,0))&amp;"",""))),0,IF($L4176="Débit",$K4176,IF($P4176=1,-$K4176,0))))</f>
        <v/>
      </c>
      <c r="R4176" s="6" t="str">
        <f>IF($K4176="","",IF($L4176="Crédit",$K4176,-$K4176))</f>
        <v/>
      </c>
      <c r="S4176" s="6" t="str">
        <f>IF($C4176="","",IFERROR(INDEX('Paramètres'!$H:$H,MATCH($C4176,'Paramètres'!$D:$D,0))&amp;"",""))</f>
        <v/>
      </c>
      <c r="T4176" s="6" t="str">
        <f>IF($K4176="","",IF($S4176="",0,IF(ISNUMBER(SEARCH("apport-exterieur",IFERROR(INDEX('Paramètres'!$N:$N,MATCH($D4176,'Paramètres'!$M:$M,0))&amp;"",""))),0,IF(OR(IFERROR(INDEX('Paramètres'!$I:$I,MATCH($C4176,'Paramètres'!$D:$D,0))&amp;"","")="Les deux",IFERROR(INDEX('Paramètres'!$I:$I,MATCH($C4176,'Paramètres'!$D:$D,0))&amp;"","")=IF($P4176=1,"Débit",$L4176)),-IF($P4176=1,-$K4176,$K4176),0))))</f>
        <v/>
      </c>
      <c r="U4176" s="6" t="str">
        <f>IF($K4176="","",IF(ISNUMBER(SEARCH("sortie-epargne",IFERROR(INDEX('Paramètres'!$N:$N,MATCH($D4176,'Paramètres'!$M:$M,0))&amp;"",""))),$K4176,0))</f>
        <v/>
      </c>
      <c r="V4176" s="6" t="str">
        <f>IF(AND($A4176&lt;&gt;"",$O4176=1,$L4176="Débit",N($Q4176)&gt;0,$A4176&gt;=Visualisation!$B$1,$A4176&lt;Visualisation!$D$1),MAX($V$1:V4175)+1,"")</f>
        <v/>
      </c>
    </row>
    <row r="4177" spans="1:22" x14ac:dyDescent="0.25">
      <c r="A4177" s="9"/>
      <c r="E4177" s="10"/>
      <c r="K4177" s="11" t="str">
        <f>IF($E4177="","",ROUND($E4177*IF(ISNA(MATCH($C4177,'Paramètres'!$D:$D,0)),1,IF(INDEX('Paramètres'!$J:$J,MATCH($C4177,'Paramètres'!$D:$D,0))="",1,INDEX('Paramètres'!$J:$J,MATCH($C4177,'Paramètres'!$D:$D,0)))),2))</f>
        <v/>
      </c>
      <c r="L4177" s="6" t="str">
        <f>IF($D4177="","",IF($F4177&lt;&gt;"",$F4177,IF(ISNA(MATCH($D4177,'Paramètres'!$M:$M,0)),"⚠ Type inconnu",IFERROR(INDEX('Paramètres'!$P:$P,MATCH($D4177,'Paramètres'!$M:$M,0))&amp;"",""))))</f>
        <v/>
      </c>
      <c r="M4177" s="6" t="str">
        <f>IF($D4177="","",IF(ISNA(MATCH($D4177,'Paramètres'!$M:$M,0)),"⚠ Type inconnu",IF($L4177="Crédit","",IFERROR(INDEX('Paramètres'!$O:$O,MATCH($D4177,'Paramètres'!$M:$M,0))&amp;"",""))))</f>
        <v/>
      </c>
      <c r="N4177" s="6" t="str">
        <f>IF($D4177="","",IFERROR(INDEX('Paramètres'!$Q:$Q,MATCH($D4177,'Paramètres'!$M:$M,0))&amp;"",""))</f>
        <v/>
      </c>
      <c r="O4177" s="6" t="str">
        <f>IF($A4177="","",IF(OR($J4177&lt;&gt;"x",$A4177&lt;=FinReleve),1,0))</f>
        <v/>
      </c>
      <c r="P4177" s="6" t="str">
        <f>IF($D4177="","",IF(AND($L4177="Crédit",OR(IFERROR(INDEX('Paramètres'!$O:$O,MATCH($D4177,'Paramètres'!$M:$M,0))&amp;"","")&lt;&gt;"",ISNUMBER(SEARCH("remboursement",IFERROR(INDEX('Paramètres'!$N:$N,MATCH($D4177,'Paramètres'!$M:$M,0))&amp;"",""))))),1,0))</f>
        <v/>
      </c>
      <c r="Q4177" s="6" t="str">
        <f>IF($K4177="","",IF(ISNUMBER(SEARCH("transfert-interne",IFERROR(INDEX('Paramètres'!$N:$N,MATCH($D4177,'Paramètres'!$M:$M,0))&amp;"",""))),0,IF($L4177="Débit",$K4177,IF($P4177=1,-$K4177,0))))</f>
        <v/>
      </c>
      <c r="R4177" s="6" t="str">
        <f>IF($K4177="","",IF($L4177="Crédit",$K4177,-$K4177))</f>
        <v/>
      </c>
      <c r="S4177" s="6" t="str">
        <f>IF($C4177="","",IFERROR(INDEX('Paramètres'!$H:$H,MATCH($C4177,'Paramètres'!$D:$D,0))&amp;"",""))</f>
        <v/>
      </c>
      <c r="T4177" s="6" t="str">
        <f>IF($K4177="","",IF($S4177="",0,IF(ISNUMBER(SEARCH("apport-exterieur",IFERROR(INDEX('Paramètres'!$N:$N,MATCH($D4177,'Paramètres'!$M:$M,0))&amp;"",""))),0,IF(OR(IFERROR(INDEX('Paramètres'!$I:$I,MATCH($C4177,'Paramètres'!$D:$D,0))&amp;"","")="Les deux",IFERROR(INDEX('Paramètres'!$I:$I,MATCH($C4177,'Paramètres'!$D:$D,0))&amp;"","")=IF($P4177=1,"Débit",$L4177)),-IF($P4177=1,-$K4177,$K4177),0))))</f>
        <v/>
      </c>
      <c r="U4177" s="6" t="str">
        <f>IF($K4177="","",IF(ISNUMBER(SEARCH("sortie-epargne",IFERROR(INDEX('Paramètres'!$N:$N,MATCH($D4177,'Paramètres'!$M:$M,0))&amp;"",""))),$K4177,0))</f>
        <v/>
      </c>
      <c r="V4177" s="6" t="str">
        <f>IF(AND($A4177&lt;&gt;"",$O4177=1,$L4177="Débit",N($Q4177)&gt;0,$A4177&gt;=Visualisation!$B$1,$A4177&lt;Visualisation!$D$1),MAX($V$1:V4176)+1,"")</f>
        <v/>
      </c>
    </row>
    <row r="4178" spans="1:22" x14ac:dyDescent="0.25">
      <c r="A4178" s="9"/>
      <c r="E4178" s="10"/>
      <c r="K4178" s="11" t="str">
        <f>IF($E4178="","",ROUND($E4178*IF(ISNA(MATCH($C4178,'Paramètres'!$D:$D,0)),1,IF(INDEX('Paramètres'!$J:$J,MATCH($C4178,'Paramètres'!$D:$D,0))="",1,INDEX('Paramètres'!$J:$J,MATCH($C4178,'Paramètres'!$D:$D,0)))),2))</f>
        <v/>
      </c>
      <c r="L4178" s="6" t="str">
        <f>IF($D4178="","",IF($F4178&lt;&gt;"",$F4178,IF(ISNA(MATCH($D4178,'Paramètres'!$M:$M,0)),"⚠ Type inconnu",IFERROR(INDEX('Paramètres'!$P:$P,MATCH($D4178,'Paramètres'!$M:$M,0))&amp;"",""))))</f>
        <v/>
      </c>
      <c r="M4178" s="6" t="str">
        <f>IF($D4178="","",IF(ISNA(MATCH($D4178,'Paramètres'!$M:$M,0)),"⚠ Type inconnu",IF($L4178="Crédit","",IFERROR(INDEX('Paramètres'!$O:$O,MATCH($D4178,'Paramètres'!$M:$M,0))&amp;"",""))))</f>
        <v/>
      </c>
      <c r="N4178" s="6" t="str">
        <f>IF($D4178="","",IFERROR(INDEX('Paramètres'!$Q:$Q,MATCH($D4178,'Paramètres'!$M:$M,0))&amp;"",""))</f>
        <v/>
      </c>
      <c r="O4178" s="6" t="str">
        <f>IF($A4178="","",IF(OR($J4178&lt;&gt;"x",$A4178&lt;=FinReleve),1,0))</f>
        <v/>
      </c>
      <c r="P4178" s="6" t="str">
        <f>IF($D4178="","",IF(AND($L4178="Crédit",OR(IFERROR(INDEX('Paramètres'!$O:$O,MATCH($D4178,'Paramètres'!$M:$M,0))&amp;"","")&lt;&gt;"",ISNUMBER(SEARCH("remboursement",IFERROR(INDEX('Paramètres'!$N:$N,MATCH($D4178,'Paramètres'!$M:$M,0))&amp;"",""))))),1,0))</f>
        <v/>
      </c>
      <c r="Q4178" s="6" t="str">
        <f>IF($K4178="","",IF(ISNUMBER(SEARCH("transfert-interne",IFERROR(INDEX('Paramètres'!$N:$N,MATCH($D4178,'Paramètres'!$M:$M,0))&amp;"",""))),0,IF($L4178="Débit",$K4178,IF($P4178=1,-$K4178,0))))</f>
        <v/>
      </c>
      <c r="R4178" s="6" t="str">
        <f>IF($K4178="","",IF($L4178="Crédit",$K4178,-$K4178))</f>
        <v/>
      </c>
      <c r="S4178" s="6" t="str">
        <f>IF($C4178="","",IFERROR(INDEX('Paramètres'!$H:$H,MATCH($C4178,'Paramètres'!$D:$D,0))&amp;"",""))</f>
        <v/>
      </c>
      <c r="T4178" s="6" t="str">
        <f>IF($K4178="","",IF($S4178="",0,IF(ISNUMBER(SEARCH("apport-exterieur",IFERROR(INDEX('Paramètres'!$N:$N,MATCH($D4178,'Paramètres'!$M:$M,0))&amp;"",""))),0,IF(OR(IFERROR(INDEX('Paramètres'!$I:$I,MATCH($C4178,'Paramètres'!$D:$D,0))&amp;"","")="Les deux",IFERROR(INDEX('Paramètres'!$I:$I,MATCH($C4178,'Paramètres'!$D:$D,0))&amp;"","")=IF($P4178=1,"Débit",$L4178)),-IF($P4178=1,-$K4178,$K4178),0))))</f>
        <v/>
      </c>
      <c r="U4178" s="6" t="str">
        <f>IF($K4178="","",IF(ISNUMBER(SEARCH("sortie-epargne",IFERROR(INDEX('Paramètres'!$N:$N,MATCH($D4178,'Paramètres'!$M:$M,0))&amp;"",""))),$K4178,0))</f>
        <v/>
      </c>
      <c r="V4178" s="6" t="str">
        <f>IF(AND($A4178&lt;&gt;"",$O4178=1,$L4178="Débit",N($Q4178)&gt;0,$A4178&gt;=Visualisation!$B$1,$A4178&lt;Visualisation!$D$1),MAX($V$1:V4177)+1,"")</f>
        <v/>
      </c>
    </row>
    <row r="4179" spans="1:22" x14ac:dyDescent="0.25">
      <c r="A4179" s="9"/>
      <c r="E4179" s="10"/>
      <c r="K4179" s="11" t="str">
        <f>IF($E4179="","",ROUND($E4179*IF(ISNA(MATCH($C4179,'Paramètres'!$D:$D,0)),1,IF(INDEX('Paramètres'!$J:$J,MATCH($C4179,'Paramètres'!$D:$D,0))="",1,INDEX('Paramètres'!$J:$J,MATCH($C4179,'Paramètres'!$D:$D,0)))),2))</f>
        <v/>
      </c>
      <c r="L4179" s="6" t="str">
        <f>IF($D4179="","",IF($F4179&lt;&gt;"",$F4179,IF(ISNA(MATCH($D4179,'Paramètres'!$M:$M,0)),"⚠ Type inconnu",IFERROR(INDEX('Paramètres'!$P:$P,MATCH($D4179,'Paramètres'!$M:$M,0))&amp;"",""))))</f>
        <v/>
      </c>
      <c r="M4179" s="6" t="str">
        <f>IF($D4179="","",IF(ISNA(MATCH($D4179,'Paramètres'!$M:$M,0)),"⚠ Type inconnu",IF($L4179="Crédit","",IFERROR(INDEX('Paramètres'!$O:$O,MATCH($D4179,'Paramètres'!$M:$M,0))&amp;"",""))))</f>
        <v/>
      </c>
      <c r="N4179" s="6" t="str">
        <f>IF($D4179="","",IFERROR(INDEX('Paramètres'!$Q:$Q,MATCH($D4179,'Paramètres'!$M:$M,0))&amp;"",""))</f>
        <v/>
      </c>
      <c r="O4179" s="6" t="str">
        <f>IF($A4179="","",IF(OR($J4179&lt;&gt;"x",$A4179&lt;=FinReleve),1,0))</f>
        <v/>
      </c>
      <c r="P4179" s="6" t="str">
        <f>IF($D4179="","",IF(AND($L4179="Crédit",OR(IFERROR(INDEX('Paramètres'!$O:$O,MATCH($D4179,'Paramètres'!$M:$M,0))&amp;"","")&lt;&gt;"",ISNUMBER(SEARCH("remboursement",IFERROR(INDEX('Paramètres'!$N:$N,MATCH($D4179,'Paramètres'!$M:$M,0))&amp;"",""))))),1,0))</f>
        <v/>
      </c>
      <c r="Q4179" s="6" t="str">
        <f>IF($K4179="","",IF(ISNUMBER(SEARCH("transfert-interne",IFERROR(INDEX('Paramètres'!$N:$N,MATCH($D4179,'Paramètres'!$M:$M,0))&amp;"",""))),0,IF($L4179="Débit",$K4179,IF($P4179=1,-$K4179,0))))</f>
        <v/>
      </c>
      <c r="R4179" s="6" t="str">
        <f>IF($K4179="","",IF($L4179="Crédit",$K4179,-$K4179))</f>
        <v/>
      </c>
      <c r="S4179" s="6" t="str">
        <f>IF($C4179="","",IFERROR(INDEX('Paramètres'!$H:$H,MATCH($C4179,'Paramètres'!$D:$D,0))&amp;"",""))</f>
        <v/>
      </c>
      <c r="T4179" s="6" t="str">
        <f>IF($K4179="","",IF($S4179="",0,IF(ISNUMBER(SEARCH("apport-exterieur",IFERROR(INDEX('Paramètres'!$N:$N,MATCH($D4179,'Paramètres'!$M:$M,0))&amp;"",""))),0,IF(OR(IFERROR(INDEX('Paramètres'!$I:$I,MATCH($C4179,'Paramètres'!$D:$D,0))&amp;"","")="Les deux",IFERROR(INDEX('Paramètres'!$I:$I,MATCH($C4179,'Paramètres'!$D:$D,0))&amp;"","")=IF($P4179=1,"Débit",$L4179)),-IF($P4179=1,-$K4179,$K4179),0))))</f>
        <v/>
      </c>
      <c r="U4179" s="6" t="str">
        <f>IF($K4179="","",IF(ISNUMBER(SEARCH("sortie-epargne",IFERROR(INDEX('Paramètres'!$N:$N,MATCH($D4179,'Paramètres'!$M:$M,0))&amp;"",""))),$K4179,0))</f>
        <v/>
      </c>
      <c r="V4179" s="6" t="str">
        <f>IF(AND($A4179&lt;&gt;"",$O4179=1,$L4179="Débit",N($Q4179)&gt;0,$A4179&gt;=Visualisation!$B$1,$A4179&lt;Visualisation!$D$1),MAX($V$1:V4178)+1,"")</f>
        <v/>
      </c>
    </row>
    <row r="4180" spans="1:22" x14ac:dyDescent="0.25">
      <c r="A4180" s="9"/>
      <c r="E4180" s="10"/>
      <c r="K4180" s="11" t="str">
        <f>IF($E4180="","",ROUND($E4180*IF(ISNA(MATCH($C4180,'Paramètres'!$D:$D,0)),1,IF(INDEX('Paramètres'!$J:$J,MATCH($C4180,'Paramètres'!$D:$D,0))="",1,INDEX('Paramètres'!$J:$J,MATCH($C4180,'Paramètres'!$D:$D,0)))),2))</f>
        <v/>
      </c>
      <c r="L4180" s="6" t="str">
        <f>IF($D4180="","",IF($F4180&lt;&gt;"",$F4180,IF(ISNA(MATCH($D4180,'Paramètres'!$M:$M,0)),"⚠ Type inconnu",IFERROR(INDEX('Paramètres'!$P:$P,MATCH($D4180,'Paramètres'!$M:$M,0))&amp;"",""))))</f>
        <v/>
      </c>
      <c r="M4180" s="6" t="str">
        <f>IF($D4180="","",IF(ISNA(MATCH($D4180,'Paramètres'!$M:$M,0)),"⚠ Type inconnu",IF($L4180="Crédit","",IFERROR(INDEX('Paramètres'!$O:$O,MATCH($D4180,'Paramètres'!$M:$M,0))&amp;"",""))))</f>
        <v/>
      </c>
      <c r="N4180" s="6" t="str">
        <f>IF($D4180="","",IFERROR(INDEX('Paramètres'!$Q:$Q,MATCH($D4180,'Paramètres'!$M:$M,0))&amp;"",""))</f>
        <v/>
      </c>
      <c r="O4180" s="6" t="str">
        <f>IF($A4180="","",IF(OR($J4180&lt;&gt;"x",$A4180&lt;=FinReleve),1,0))</f>
        <v/>
      </c>
      <c r="P4180" s="6" t="str">
        <f>IF($D4180="","",IF(AND($L4180="Crédit",OR(IFERROR(INDEX('Paramètres'!$O:$O,MATCH($D4180,'Paramètres'!$M:$M,0))&amp;"","")&lt;&gt;"",ISNUMBER(SEARCH("remboursement",IFERROR(INDEX('Paramètres'!$N:$N,MATCH($D4180,'Paramètres'!$M:$M,0))&amp;"",""))))),1,0))</f>
        <v/>
      </c>
      <c r="Q4180" s="6" t="str">
        <f>IF($K4180="","",IF(ISNUMBER(SEARCH("transfert-interne",IFERROR(INDEX('Paramètres'!$N:$N,MATCH($D4180,'Paramètres'!$M:$M,0))&amp;"",""))),0,IF($L4180="Débit",$K4180,IF($P4180=1,-$K4180,0))))</f>
        <v/>
      </c>
      <c r="R4180" s="6" t="str">
        <f>IF($K4180="","",IF($L4180="Crédit",$K4180,-$K4180))</f>
        <v/>
      </c>
      <c r="S4180" s="6" t="str">
        <f>IF($C4180="","",IFERROR(INDEX('Paramètres'!$H:$H,MATCH($C4180,'Paramètres'!$D:$D,0))&amp;"",""))</f>
        <v/>
      </c>
      <c r="T4180" s="6" t="str">
        <f>IF($K4180="","",IF($S4180="",0,IF(ISNUMBER(SEARCH("apport-exterieur",IFERROR(INDEX('Paramètres'!$N:$N,MATCH($D4180,'Paramètres'!$M:$M,0))&amp;"",""))),0,IF(OR(IFERROR(INDEX('Paramètres'!$I:$I,MATCH($C4180,'Paramètres'!$D:$D,0))&amp;"","")="Les deux",IFERROR(INDEX('Paramètres'!$I:$I,MATCH($C4180,'Paramètres'!$D:$D,0))&amp;"","")=IF($P4180=1,"Débit",$L4180)),-IF($P4180=1,-$K4180,$K4180),0))))</f>
        <v/>
      </c>
      <c r="U4180" s="6" t="str">
        <f>IF($K4180="","",IF(ISNUMBER(SEARCH("sortie-epargne",IFERROR(INDEX('Paramètres'!$N:$N,MATCH($D4180,'Paramètres'!$M:$M,0))&amp;"",""))),$K4180,0))</f>
        <v/>
      </c>
      <c r="V4180" s="6" t="str">
        <f>IF(AND($A4180&lt;&gt;"",$O4180=1,$L4180="Débit",N($Q4180)&gt;0,$A4180&gt;=Visualisation!$B$1,$A4180&lt;Visualisation!$D$1),MAX($V$1:V4179)+1,"")</f>
        <v/>
      </c>
    </row>
    <row r="4181" spans="1:22" x14ac:dyDescent="0.25">
      <c r="A4181" s="9"/>
      <c r="E4181" s="10"/>
      <c r="K4181" s="11" t="str">
        <f>IF($E4181="","",ROUND($E4181*IF(ISNA(MATCH($C4181,'Paramètres'!$D:$D,0)),1,IF(INDEX('Paramètres'!$J:$J,MATCH($C4181,'Paramètres'!$D:$D,0))="",1,INDEX('Paramètres'!$J:$J,MATCH($C4181,'Paramètres'!$D:$D,0)))),2))</f>
        <v/>
      </c>
      <c r="L4181" s="6" t="str">
        <f>IF($D4181="","",IF($F4181&lt;&gt;"",$F4181,IF(ISNA(MATCH($D4181,'Paramètres'!$M:$M,0)),"⚠ Type inconnu",IFERROR(INDEX('Paramètres'!$P:$P,MATCH($D4181,'Paramètres'!$M:$M,0))&amp;"",""))))</f>
        <v/>
      </c>
      <c r="M4181" s="6" t="str">
        <f>IF($D4181="","",IF(ISNA(MATCH($D4181,'Paramètres'!$M:$M,0)),"⚠ Type inconnu",IF($L4181="Crédit","",IFERROR(INDEX('Paramètres'!$O:$O,MATCH($D4181,'Paramètres'!$M:$M,0))&amp;"",""))))</f>
        <v/>
      </c>
      <c r="N4181" s="6" t="str">
        <f>IF($D4181="","",IFERROR(INDEX('Paramètres'!$Q:$Q,MATCH($D4181,'Paramètres'!$M:$M,0))&amp;"",""))</f>
        <v/>
      </c>
      <c r="O4181" s="6" t="str">
        <f>IF($A4181="","",IF(OR($J4181&lt;&gt;"x",$A4181&lt;=FinReleve),1,0))</f>
        <v/>
      </c>
      <c r="P4181" s="6" t="str">
        <f>IF($D4181="","",IF(AND($L4181="Crédit",OR(IFERROR(INDEX('Paramètres'!$O:$O,MATCH($D4181,'Paramètres'!$M:$M,0))&amp;"","")&lt;&gt;"",ISNUMBER(SEARCH("remboursement",IFERROR(INDEX('Paramètres'!$N:$N,MATCH($D4181,'Paramètres'!$M:$M,0))&amp;"",""))))),1,0))</f>
        <v/>
      </c>
      <c r="Q4181" s="6" t="str">
        <f>IF($K4181="","",IF(ISNUMBER(SEARCH("transfert-interne",IFERROR(INDEX('Paramètres'!$N:$N,MATCH($D4181,'Paramètres'!$M:$M,0))&amp;"",""))),0,IF($L4181="Débit",$K4181,IF($P4181=1,-$K4181,0))))</f>
        <v/>
      </c>
      <c r="R4181" s="6" t="str">
        <f>IF($K4181="","",IF($L4181="Crédit",$K4181,-$K4181))</f>
        <v/>
      </c>
      <c r="S4181" s="6" t="str">
        <f>IF($C4181="","",IFERROR(INDEX('Paramètres'!$H:$H,MATCH($C4181,'Paramètres'!$D:$D,0))&amp;"",""))</f>
        <v/>
      </c>
      <c r="T4181" s="6" t="str">
        <f>IF($K4181="","",IF($S4181="",0,IF(ISNUMBER(SEARCH("apport-exterieur",IFERROR(INDEX('Paramètres'!$N:$N,MATCH($D4181,'Paramètres'!$M:$M,0))&amp;"",""))),0,IF(OR(IFERROR(INDEX('Paramètres'!$I:$I,MATCH($C4181,'Paramètres'!$D:$D,0))&amp;"","")="Les deux",IFERROR(INDEX('Paramètres'!$I:$I,MATCH($C4181,'Paramètres'!$D:$D,0))&amp;"","")=IF($P4181=1,"Débit",$L4181)),-IF($P4181=1,-$K4181,$K4181),0))))</f>
        <v/>
      </c>
      <c r="U4181" s="6" t="str">
        <f>IF($K4181="","",IF(ISNUMBER(SEARCH("sortie-epargne",IFERROR(INDEX('Paramètres'!$N:$N,MATCH($D4181,'Paramètres'!$M:$M,0))&amp;"",""))),$K4181,0))</f>
        <v/>
      </c>
      <c r="V4181" s="6" t="str">
        <f>IF(AND($A4181&lt;&gt;"",$O4181=1,$L4181="Débit",N($Q4181)&gt;0,$A4181&gt;=Visualisation!$B$1,$A4181&lt;Visualisation!$D$1),MAX($V$1:V4180)+1,"")</f>
        <v/>
      </c>
    </row>
    <row r="4182" spans="1:22" x14ac:dyDescent="0.25">
      <c r="A4182" s="9"/>
      <c r="E4182" s="10"/>
      <c r="K4182" s="11" t="str">
        <f>IF($E4182="","",ROUND($E4182*IF(ISNA(MATCH($C4182,'Paramètres'!$D:$D,0)),1,IF(INDEX('Paramètres'!$J:$J,MATCH($C4182,'Paramètres'!$D:$D,0))="",1,INDEX('Paramètres'!$J:$J,MATCH($C4182,'Paramètres'!$D:$D,0)))),2))</f>
        <v/>
      </c>
      <c r="L4182" s="6" t="str">
        <f>IF($D4182="","",IF($F4182&lt;&gt;"",$F4182,IF(ISNA(MATCH($D4182,'Paramètres'!$M:$M,0)),"⚠ Type inconnu",IFERROR(INDEX('Paramètres'!$P:$P,MATCH($D4182,'Paramètres'!$M:$M,0))&amp;"",""))))</f>
        <v/>
      </c>
      <c r="M4182" s="6" t="str">
        <f>IF($D4182="","",IF(ISNA(MATCH($D4182,'Paramètres'!$M:$M,0)),"⚠ Type inconnu",IF($L4182="Crédit","",IFERROR(INDEX('Paramètres'!$O:$O,MATCH($D4182,'Paramètres'!$M:$M,0))&amp;"",""))))</f>
        <v/>
      </c>
      <c r="N4182" s="6" t="str">
        <f>IF($D4182="","",IFERROR(INDEX('Paramètres'!$Q:$Q,MATCH($D4182,'Paramètres'!$M:$M,0))&amp;"",""))</f>
        <v/>
      </c>
      <c r="O4182" s="6" t="str">
        <f>IF($A4182="","",IF(OR($J4182&lt;&gt;"x",$A4182&lt;=FinReleve),1,0))</f>
        <v/>
      </c>
      <c r="P4182" s="6" t="str">
        <f>IF($D4182="","",IF(AND($L4182="Crédit",OR(IFERROR(INDEX('Paramètres'!$O:$O,MATCH($D4182,'Paramètres'!$M:$M,0))&amp;"","")&lt;&gt;"",ISNUMBER(SEARCH("remboursement",IFERROR(INDEX('Paramètres'!$N:$N,MATCH($D4182,'Paramètres'!$M:$M,0))&amp;"",""))))),1,0))</f>
        <v/>
      </c>
      <c r="Q4182" s="6" t="str">
        <f>IF($K4182="","",IF(ISNUMBER(SEARCH("transfert-interne",IFERROR(INDEX('Paramètres'!$N:$N,MATCH($D4182,'Paramètres'!$M:$M,0))&amp;"",""))),0,IF($L4182="Débit",$K4182,IF($P4182=1,-$K4182,0))))</f>
        <v/>
      </c>
      <c r="R4182" s="6" t="str">
        <f>IF($K4182="","",IF($L4182="Crédit",$K4182,-$K4182))</f>
        <v/>
      </c>
      <c r="S4182" s="6" t="str">
        <f>IF($C4182="","",IFERROR(INDEX('Paramètres'!$H:$H,MATCH($C4182,'Paramètres'!$D:$D,0))&amp;"",""))</f>
        <v/>
      </c>
      <c r="T4182" s="6" t="str">
        <f>IF($K4182="","",IF($S4182="",0,IF(ISNUMBER(SEARCH("apport-exterieur",IFERROR(INDEX('Paramètres'!$N:$N,MATCH($D4182,'Paramètres'!$M:$M,0))&amp;"",""))),0,IF(OR(IFERROR(INDEX('Paramètres'!$I:$I,MATCH($C4182,'Paramètres'!$D:$D,0))&amp;"","")="Les deux",IFERROR(INDEX('Paramètres'!$I:$I,MATCH($C4182,'Paramètres'!$D:$D,0))&amp;"","")=IF($P4182=1,"Débit",$L4182)),-IF($P4182=1,-$K4182,$K4182),0))))</f>
        <v/>
      </c>
      <c r="U4182" s="6" t="str">
        <f>IF($K4182="","",IF(ISNUMBER(SEARCH("sortie-epargne",IFERROR(INDEX('Paramètres'!$N:$N,MATCH($D4182,'Paramètres'!$M:$M,0))&amp;"",""))),$K4182,0))</f>
        <v/>
      </c>
      <c r="V4182" s="6" t="str">
        <f>IF(AND($A4182&lt;&gt;"",$O4182=1,$L4182="Débit",N($Q4182)&gt;0,$A4182&gt;=Visualisation!$B$1,$A4182&lt;Visualisation!$D$1),MAX($V$1:V4181)+1,"")</f>
        <v/>
      </c>
    </row>
    <row r="4183" spans="1:22" x14ac:dyDescent="0.25">
      <c r="A4183" s="9"/>
      <c r="E4183" s="10"/>
      <c r="K4183" s="11" t="str">
        <f>IF($E4183="","",ROUND($E4183*IF(ISNA(MATCH($C4183,'Paramètres'!$D:$D,0)),1,IF(INDEX('Paramètres'!$J:$J,MATCH($C4183,'Paramètres'!$D:$D,0))="",1,INDEX('Paramètres'!$J:$J,MATCH($C4183,'Paramètres'!$D:$D,0)))),2))</f>
        <v/>
      </c>
      <c r="L4183" s="6" t="str">
        <f>IF($D4183="","",IF($F4183&lt;&gt;"",$F4183,IF(ISNA(MATCH($D4183,'Paramètres'!$M:$M,0)),"⚠ Type inconnu",IFERROR(INDEX('Paramètres'!$P:$P,MATCH($D4183,'Paramètres'!$M:$M,0))&amp;"",""))))</f>
        <v/>
      </c>
      <c r="M4183" s="6" t="str">
        <f>IF($D4183="","",IF(ISNA(MATCH($D4183,'Paramètres'!$M:$M,0)),"⚠ Type inconnu",IF($L4183="Crédit","",IFERROR(INDEX('Paramètres'!$O:$O,MATCH($D4183,'Paramètres'!$M:$M,0))&amp;"",""))))</f>
        <v/>
      </c>
      <c r="N4183" s="6" t="str">
        <f>IF($D4183="","",IFERROR(INDEX('Paramètres'!$Q:$Q,MATCH($D4183,'Paramètres'!$M:$M,0))&amp;"",""))</f>
        <v/>
      </c>
      <c r="O4183" s="6" t="str">
        <f>IF($A4183="","",IF(OR($J4183&lt;&gt;"x",$A4183&lt;=FinReleve),1,0))</f>
        <v/>
      </c>
      <c r="P4183" s="6" t="str">
        <f>IF($D4183="","",IF(AND($L4183="Crédit",OR(IFERROR(INDEX('Paramètres'!$O:$O,MATCH($D4183,'Paramètres'!$M:$M,0))&amp;"","")&lt;&gt;"",ISNUMBER(SEARCH("remboursement",IFERROR(INDEX('Paramètres'!$N:$N,MATCH($D4183,'Paramètres'!$M:$M,0))&amp;"",""))))),1,0))</f>
        <v/>
      </c>
      <c r="Q4183" s="6" t="str">
        <f>IF($K4183="","",IF(ISNUMBER(SEARCH("transfert-interne",IFERROR(INDEX('Paramètres'!$N:$N,MATCH($D4183,'Paramètres'!$M:$M,0))&amp;"",""))),0,IF($L4183="Débit",$K4183,IF($P4183=1,-$K4183,0))))</f>
        <v/>
      </c>
      <c r="R4183" s="6" t="str">
        <f>IF($K4183="","",IF($L4183="Crédit",$K4183,-$K4183))</f>
        <v/>
      </c>
      <c r="S4183" s="6" t="str">
        <f>IF($C4183="","",IFERROR(INDEX('Paramètres'!$H:$H,MATCH($C4183,'Paramètres'!$D:$D,0))&amp;"",""))</f>
        <v/>
      </c>
      <c r="T4183" s="6" t="str">
        <f>IF($K4183="","",IF($S4183="",0,IF(ISNUMBER(SEARCH("apport-exterieur",IFERROR(INDEX('Paramètres'!$N:$N,MATCH($D4183,'Paramètres'!$M:$M,0))&amp;"",""))),0,IF(OR(IFERROR(INDEX('Paramètres'!$I:$I,MATCH($C4183,'Paramètres'!$D:$D,0))&amp;"","")="Les deux",IFERROR(INDEX('Paramètres'!$I:$I,MATCH($C4183,'Paramètres'!$D:$D,0))&amp;"","")=IF($P4183=1,"Débit",$L4183)),-IF($P4183=1,-$K4183,$K4183),0))))</f>
        <v/>
      </c>
      <c r="U4183" s="6" t="str">
        <f>IF($K4183="","",IF(ISNUMBER(SEARCH("sortie-epargne",IFERROR(INDEX('Paramètres'!$N:$N,MATCH($D4183,'Paramètres'!$M:$M,0))&amp;"",""))),$K4183,0))</f>
        <v/>
      </c>
      <c r="V4183" s="6" t="str">
        <f>IF(AND($A4183&lt;&gt;"",$O4183=1,$L4183="Débit",N($Q4183)&gt;0,$A4183&gt;=Visualisation!$B$1,$A4183&lt;Visualisation!$D$1),MAX($V$1:V4182)+1,"")</f>
        <v/>
      </c>
    </row>
    <row r="4184" spans="1:22" x14ac:dyDescent="0.25">
      <c r="A4184" s="9"/>
      <c r="E4184" s="10"/>
      <c r="K4184" s="11" t="str">
        <f>IF($E4184="","",ROUND($E4184*IF(ISNA(MATCH($C4184,'Paramètres'!$D:$D,0)),1,IF(INDEX('Paramètres'!$J:$J,MATCH($C4184,'Paramètres'!$D:$D,0))="",1,INDEX('Paramètres'!$J:$J,MATCH($C4184,'Paramètres'!$D:$D,0)))),2))</f>
        <v/>
      </c>
      <c r="L4184" s="6" t="str">
        <f>IF($D4184="","",IF($F4184&lt;&gt;"",$F4184,IF(ISNA(MATCH($D4184,'Paramètres'!$M:$M,0)),"⚠ Type inconnu",IFERROR(INDEX('Paramètres'!$P:$P,MATCH($D4184,'Paramètres'!$M:$M,0))&amp;"",""))))</f>
        <v/>
      </c>
      <c r="M4184" s="6" t="str">
        <f>IF($D4184="","",IF(ISNA(MATCH($D4184,'Paramètres'!$M:$M,0)),"⚠ Type inconnu",IF($L4184="Crédit","",IFERROR(INDEX('Paramètres'!$O:$O,MATCH($D4184,'Paramètres'!$M:$M,0))&amp;"",""))))</f>
        <v/>
      </c>
      <c r="N4184" s="6" t="str">
        <f>IF($D4184="","",IFERROR(INDEX('Paramètres'!$Q:$Q,MATCH($D4184,'Paramètres'!$M:$M,0))&amp;"",""))</f>
        <v/>
      </c>
      <c r="O4184" s="6" t="str">
        <f>IF($A4184="","",IF(OR($J4184&lt;&gt;"x",$A4184&lt;=FinReleve),1,0))</f>
        <v/>
      </c>
      <c r="P4184" s="6" t="str">
        <f>IF($D4184="","",IF(AND($L4184="Crédit",OR(IFERROR(INDEX('Paramètres'!$O:$O,MATCH($D4184,'Paramètres'!$M:$M,0))&amp;"","")&lt;&gt;"",ISNUMBER(SEARCH("remboursement",IFERROR(INDEX('Paramètres'!$N:$N,MATCH($D4184,'Paramètres'!$M:$M,0))&amp;"",""))))),1,0))</f>
        <v/>
      </c>
      <c r="Q4184" s="6" t="str">
        <f>IF($K4184="","",IF(ISNUMBER(SEARCH("transfert-interne",IFERROR(INDEX('Paramètres'!$N:$N,MATCH($D4184,'Paramètres'!$M:$M,0))&amp;"",""))),0,IF($L4184="Débit",$K4184,IF($P4184=1,-$K4184,0))))</f>
        <v/>
      </c>
      <c r="R4184" s="6" t="str">
        <f>IF($K4184="","",IF($L4184="Crédit",$K4184,-$K4184))</f>
        <v/>
      </c>
      <c r="S4184" s="6" t="str">
        <f>IF($C4184="","",IFERROR(INDEX('Paramètres'!$H:$H,MATCH($C4184,'Paramètres'!$D:$D,0))&amp;"",""))</f>
        <v/>
      </c>
      <c r="T4184" s="6" t="str">
        <f>IF($K4184="","",IF($S4184="",0,IF(ISNUMBER(SEARCH("apport-exterieur",IFERROR(INDEX('Paramètres'!$N:$N,MATCH($D4184,'Paramètres'!$M:$M,0))&amp;"",""))),0,IF(OR(IFERROR(INDEX('Paramètres'!$I:$I,MATCH($C4184,'Paramètres'!$D:$D,0))&amp;"","")="Les deux",IFERROR(INDEX('Paramètres'!$I:$I,MATCH($C4184,'Paramètres'!$D:$D,0))&amp;"","")=IF($P4184=1,"Débit",$L4184)),-IF($P4184=1,-$K4184,$K4184),0))))</f>
        <v/>
      </c>
      <c r="U4184" s="6" t="str">
        <f>IF($K4184="","",IF(ISNUMBER(SEARCH("sortie-epargne",IFERROR(INDEX('Paramètres'!$N:$N,MATCH($D4184,'Paramètres'!$M:$M,0))&amp;"",""))),$K4184,0))</f>
        <v/>
      </c>
      <c r="V4184" s="6" t="str">
        <f>IF(AND($A4184&lt;&gt;"",$O4184=1,$L4184="Débit",N($Q4184)&gt;0,$A4184&gt;=Visualisation!$B$1,$A4184&lt;Visualisation!$D$1),MAX($V$1:V4183)+1,"")</f>
        <v/>
      </c>
    </row>
    <row r="4185" spans="1:22" x14ac:dyDescent="0.25">
      <c r="A4185" s="9"/>
      <c r="E4185" s="10"/>
      <c r="K4185" s="11" t="str">
        <f>IF($E4185="","",ROUND($E4185*IF(ISNA(MATCH($C4185,'Paramètres'!$D:$D,0)),1,IF(INDEX('Paramètres'!$J:$J,MATCH($C4185,'Paramètres'!$D:$D,0))="",1,INDEX('Paramètres'!$J:$J,MATCH($C4185,'Paramètres'!$D:$D,0)))),2))</f>
        <v/>
      </c>
      <c r="L4185" s="6" t="str">
        <f>IF($D4185="","",IF($F4185&lt;&gt;"",$F4185,IF(ISNA(MATCH($D4185,'Paramètres'!$M:$M,0)),"⚠ Type inconnu",IFERROR(INDEX('Paramètres'!$P:$P,MATCH($D4185,'Paramètres'!$M:$M,0))&amp;"",""))))</f>
        <v/>
      </c>
      <c r="M4185" s="6" t="str">
        <f>IF($D4185="","",IF(ISNA(MATCH($D4185,'Paramètres'!$M:$M,0)),"⚠ Type inconnu",IF($L4185="Crédit","",IFERROR(INDEX('Paramètres'!$O:$O,MATCH($D4185,'Paramètres'!$M:$M,0))&amp;"",""))))</f>
        <v/>
      </c>
      <c r="N4185" s="6" t="str">
        <f>IF($D4185="","",IFERROR(INDEX('Paramètres'!$Q:$Q,MATCH($D4185,'Paramètres'!$M:$M,0))&amp;"",""))</f>
        <v/>
      </c>
      <c r="O4185" s="6" t="str">
        <f>IF($A4185="","",IF(OR($J4185&lt;&gt;"x",$A4185&lt;=FinReleve),1,0))</f>
        <v/>
      </c>
      <c r="P4185" s="6" t="str">
        <f>IF($D4185="","",IF(AND($L4185="Crédit",OR(IFERROR(INDEX('Paramètres'!$O:$O,MATCH($D4185,'Paramètres'!$M:$M,0))&amp;"","")&lt;&gt;"",ISNUMBER(SEARCH("remboursement",IFERROR(INDEX('Paramètres'!$N:$N,MATCH($D4185,'Paramètres'!$M:$M,0))&amp;"",""))))),1,0))</f>
        <v/>
      </c>
      <c r="Q4185" s="6" t="str">
        <f>IF($K4185="","",IF(ISNUMBER(SEARCH("transfert-interne",IFERROR(INDEX('Paramètres'!$N:$N,MATCH($D4185,'Paramètres'!$M:$M,0))&amp;"",""))),0,IF($L4185="Débit",$K4185,IF($P4185=1,-$K4185,0))))</f>
        <v/>
      </c>
      <c r="R4185" s="6" t="str">
        <f>IF($K4185="","",IF($L4185="Crédit",$K4185,-$K4185))</f>
        <v/>
      </c>
      <c r="S4185" s="6" t="str">
        <f>IF($C4185="","",IFERROR(INDEX('Paramètres'!$H:$H,MATCH($C4185,'Paramètres'!$D:$D,0))&amp;"",""))</f>
        <v/>
      </c>
      <c r="T4185" s="6" t="str">
        <f>IF($K4185="","",IF($S4185="",0,IF(ISNUMBER(SEARCH("apport-exterieur",IFERROR(INDEX('Paramètres'!$N:$N,MATCH($D4185,'Paramètres'!$M:$M,0))&amp;"",""))),0,IF(OR(IFERROR(INDEX('Paramètres'!$I:$I,MATCH($C4185,'Paramètres'!$D:$D,0))&amp;"","")="Les deux",IFERROR(INDEX('Paramètres'!$I:$I,MATCH($C4185,'Paramètres'!$D:$D,0))&amp;"","")=IF($P4185=1,"Débit",$L4185)),-IF($P4185=1,-$K4185,$K4185),0))))</f>
        <v/>
      </c>
      <c r="U4185" s="6" t="str">
        <f>IF($K4185="","",IF(ISNUMBER(SEARCH("sortie-epargne",IFERROR(INDEX('Paramètres'!$N:$N,MATCH($D4185,'Paramètres'!$M:$M,0))&amp;"",""))),$K4185,0))</f>
        <v/>
      </c>
      <c r="V4185" s="6" t="str">
        <f>IF(AND($A4185&lt;&gt;"",$O4185=1,$L4185="Débit",N($Q4185)&gt;0,$A4185&gt;=Visualisation!$B$1,$A4185&lt;Visualisation!$D$1),MAX($V$1:V4184)+1,"")</f>
        <v/>
      </c>
    </row>
    <row r="4186" spans="1:22" x14ac:dyDescent="0.25">
      <c r="A4186" s="9"/>
      <c r="E4186" s="10"/>
      <c r="K4186" s="11" t="str">
        <f>IF($E4186="","",ROUND($E4186*IF(ISNA(MATCH($C4186,'Paramètres'!$D:$D,0)),1,IF(INDEX('Paramètres'!$J:$J,MATCH($C4186,'Paramètres'!$D:$D,0))="",1,INDEX('Paramètres'!$J:$J,MATCH($C4186,'Paramètres'!$D:$D,0)))),2))</f>
        <v/>
      </c>
      <c r="L4186" s="6" t="str">
        <f>IF($D4186="","",IF($F4186&lt;&gt;"",$F4186,IF(ISNA(MATCH($D4186,'Paramètres'!$M:$M,0)),"⚠ Type inconnu",IFERROR(INDEX('Paramètres'!$P:$P,MATCH($D4186,'Paramètres'!$M:$M,0))&amp;"",""))))</f>
        <v/>
      </c>
      <c r="M4186" s="6" t="str">
        <f>IF($D4186="","",IF(ISNA(MATCH($D4186,'Paramètres'!$M:$M,0)),"⚠ Type inconnu",IF($L4186="Crédit","",IFERROR(INDEX('Paramètres'!$O:$O,MATCH($D4186,'Paramètres'!$M:$M,0))&amp;"",""))))</f>
        <v/>
      </c>
      <c r="N4186" s="6" t="str">
        <f>IF($D4186="","",IFERROR(INDEX('Paramètres'!$Q:$Q,MATCH($D4186,'Paramètres'!$M:$M,0))&amp;"",""))</f>
        <v/>
      </c>
      <c r="O4186" s="6" t="str">
        <f>IF($A4186="","",IF(OR($J4186&lt;&gt;"x",$A4186&lt;=FinReleve),1,0))</f>
        <v/>
      </c>
      <c r="P4186" s="6" t="str">
        <f>IF($D4186="","",IF(AND($L4186="Crédit",OR(IFERROR(INDEX('Paramètres'!$O:$O,MATCH($D4186,'Paramètres'!$M:$M,0))&amp;"","")&lt;&gt;"",ISNUMBER(SEARCH("remboursement",IFERROR(INDEX('Paramètres'!$N:$N,MATCH($D4186,'Paramètres'!$M:$M,0))&amp;"",""))))),1,0))</f>
        <v/>
      </c>
      <c r="Q4186" s="6" t="str">
        <f>IF($K4186="","",IF(ISNUMBER(SEARCH("transfert-interne",IFERROR(INDEX('Paramètres'!$N:$N,MATCH($D4186,'Paramètres'!$M:$M,0))&amp;"",""))),0,IF($L4186="Débit",$K4186,IF($P4186=1,-$K4186,0))))</f>
        <v/>
      </c>
      <c r="R4186" s="6" t="str">
        <f>IF($K4186="","",IF($L4186="Crédit",$K4186,-$K4186))</f>
        <v/>
      </c>
      <c r="S4186" s="6" t="str">
        <f>IF($C4186="","",IFERROR(INDEX('Paramètres'!$H:$H,MATCH($C4186,'Paramètres'!$D:$D,0))&amp;"",""))</f>
        <v/>
      </c>
      <c r="T4186" s="6" t="str">
        <f>IF($K4186="","",IF($S4186="",0,IF(ISNUMBER(SEARCH("apport-exterieur",IFERROR(INDEX('Paramètres'!$N:$N,MATCH($D4186,'Paramètres'!$M:$M,0))&amp;"",""))),0,IF(OR(IFERROR(INDEX('Paramètres'!$I:$I,MATCH($C4186,'Paramètres'!$D:$D,0))&amp;"","")="Les deux",IFERROR(INDEX('Paramètres'!$I:$I,MATCH($C4186,'Paramètres'!$D:$D,0))&amp;"","")=IF($P4186=1,"Débit",$L4186)),-IF($P4186=1,-$K4186,$K4186),0))))</f>
        <v/>
      </c>
      <c r="U4186" s="6" t="str">
        <f>IF($K4186="","",IF(ISNUMBER(SEARCH("sortie-epargne",IFERROR(INDEX('Paramètres'!$N:$N,MATCH($D4186,'Paramètres'!$M:$M,0))&amp;"",""))),$K4186,0))</f>
        <v/>
      </c>
      <c r="V4186" s="6" t="str">
        <f>IF(AND($A4186&lt;&gt;"",$O4186=1,$L4186="Débit",N($Q4186)&gt;0,$A4186&gt;=Visualisation!$B$1,$A4186&lt;Visualisation!$D$1),MAX($V$1:V4185)+1,"")</f>
        <v/>
      </c>
    </row>
    <row r="4187" spans="1:22" x14ac:dyDescent="0.25">
      <c r="A4187" s="9"/>
      <c r="E4187" s="10"/>
      <c r="K4187" s="11" t="str">
        <f>IF($E4187="","",ROUND($E4187*IF(ISNA(MATCH($C4187,'Paramètres'!$D:$D,0)),1,IF(INDEX('Paramètres'!$J:$J,MATCH($C4187,'Paramètres'!$D:$D,0))="",1,INDEX('Paramètres'!$J:$J,MATCH($C4187,'Paramètres'!$D:$D,0)))),2))</f>
        <v/>
      </c>
      <c r="L4187" s="6" t="str">
        <f>IF($D4187="","",IF($F4187&lt;&gt;"",$F4187,IF(ISNA(MATCH($D4187,'Paramètres'!$M:$M,0)),"⚠ Type inconnu",IFERROR(INDEX('Paramètres'!$P:$P,MATCH($D4187,'Paramètres'!$M:$M,0))&amp;"",""))))</f>
        <v/>
      </c>
      <c r="M4187" s="6" t="str">
        <f>IF($D4187="","",IF(ISNA(MATCH($D4187,'Paramètres'!$M:$M,0)),"⚠ Type inconnu",IF($L4187="Crédit","",IFERROR(INDEX('Paramètres'!$O:$O,MATCH($D4187,'Paramètres'!$M:$M,0))&amp;"",""))))</f>
        <v/>
      </c>
      <c r="N4187" s="6" t="str">
        <f>IF($D4187="","",IFERROR(INDEX('Paramètres'!$Q:$Q,MATCH($D4187,'Paramètres'!$M:$M,0))&amp;"",""))</f>
        <v/>
      </c>
      <c r="O4187" s="6" t="str">
        <f>IF($A4187="","",IF(OR($J4187&lt;&gt;"x",$A4187&lt;=FinReleve),1,0))</f>
        <v/>
      </c>
      <c r="P4187" s="6" t="str">
        <f>IF($D4187="","",IF(AND($L4187="Crédit",OR(IFERROR(INDEX('Paramètres'!$O:$O,MATCH($D4187,'Paramètres'!$M:$M,0))&amp;"","")&lt;&gt;"",ISNUMBER(SEARCH("remboursement",IFERROR(INDEX('Paramètres'!$N:$N,MATCH($D4187,'Paramètres'!$M:$M,0))&amp;"",""))))),1,0))</f>
        <v/>
      </c>
      <c r="Q4187" s="6" t="str">
        <f>IF($K4187="","",IF(ISNUMBER(SEARCH("transfert-interne",IFERROR(INDEX('Paramètres'!$N:$N,MATCH($D4187,'Paramètres'!$M:$M,0))&amp;"",""))),0,IF($L4187="Débit",$K4187,IF($P4187=1,-$K4187,0))))</f>
        <v/>
      </c>
      <c r="R4187" s="6" t="str">
        <f>IF($K4187="","",IF($L4187="Crédit",$K4187,-$K4187))</f>
        <v/>
      </c>
      <c r="S4187" s="6" t="str">
        <f>IF($C4187="","",IFERROR(INDEX('Paramètres'!$H:$H,MATCH($C4187,'Paramètres'!$D:$D,0))&amp;"",""))</f>
        <v/>
      </c>
      <c r="T4187" s="6" t="str">
        <f>IF($K4187="","",IF($S4187="",0,IF(ISNUMBER(SEARCH("apport-exterieur",IFERROR(INDEX('Paramètres'!$N:$N,MATCH($D4187,'Paramètres'!$M:$M,0))&amp;"",""))),0,IF(OR(IFERROR(INDEX('Paramètres'!$I:$I,MATCH($C4187,'Paramètres'!$D:$D,0))&amp;"","")="Les deux",IFERROR(INDEX('Paramètres'!$I:$I,MATCH($C4187,'Paramètres'!$D:$D,0))&amp;"","")=IF($P4187=1,"Débit",$L4187)),-IF($P4187=1,-$K4187,$K4187),0))))</f>
        <v/>
      </c>
      <c r="U4187" s="6" t="str">
        <f>IF($K4187="","",IF(ISNUMBER(SEARCH("sortie-epargne",IFERROR(INDEX('Paramètres'!$N:$N,MATCH($D4187,'Paramètres'!$M:$M,0))&amp;"",""))),$K4187,0))</f>
        <v/>
      </c>
      <c r="V4187" s="6" t="str">
        <f>IF(AND($A4187&lt;&gt;"",$O4187=1,$L4187="Débit",N($Q4187)&gt;0,$A4187&gt;=Visualisation!$B$1,$A4187&lt;Visualisation!$D$1),MAX($V$1:V4186)+1,"")</f>
        <v/>
      </c>
    </row>
    <row r="4188" spans="1:22" x14ac:dyDescent="0.25">
      <c r="A4188" s="9"/>
      <c r="E4188" s="10"/>
      <c r="K4188" s="11" t="str">
        <f>IF($E4188="","",ROUND($E4188*IF(ISNA(MATCH($C4188,'Paramètres'!$D:$D,0)),1,IF(INDEX('Paramètres'!$J:$J,MATCH($C4188,'Paramètres'!$D:$D,0))="",1,INDEX('Paramètres'!$J:$J,MATCH($C4188,'Paramètres'!$D:$D,0)))),2))</f>
        <v/>
      </c>
      <c r="L4188" s="6" t="str">
        <f>IF($D4188="","",IF($F4188&lt;&gt;"",$F4188,IF(ISNA(MATCH($D4188,'Paramètres'!$M:$M,0)),"⚠ Type inconnu",IFERROR(INDEX('Paramètres'!$P:$P,MATCH($D4188,'Paramètres'!$M:$M,0))&amp;"",""))))</f>
        <v/>
      </c>
      <c r="M4188" s="6" t="str">
        <f>IF($D4188="","",IF(ISNA(MATCH($D4188,'Paramètres'!$M:$M,0)),"⚠ Type inconnu",IF($L4188="Crédit","",IFERROR(INDEX('Paramètres'!$O:$O,MATCH($D4188,'Paramètres'!$M:$M,0))&amp;"",""))))</f>
        <v/>
      </c>
      <c r="N4188" s="6" t="str">
        <f>IF($D4188="","",IFERROR(INDEX('Paramètres'!$Q:$Q,MATCH($D4188,'Paramètres'!$M:$M,0))&amp;"",""))</f>
        <v/>
      </c>
      <c r="O4188" s="6" t="str">
        <f>IF($A4188="","",IF(OR($J4188&lt;&gt;"x",$A4188&lt;=FinReleve),1,0))</f>
        <v/>
      </c>
      <c r="P4188" s="6" t="str">
        <f>IF($D4188="","",IF(AND($L4188="Crédit",OR(IFERROR(INDEX('Paramètres'!$O:$O,MATCH($D4188,'Paramètres'!$M:$M,0))&amp;"","")&lt;&gt;"",ISNUMBER(SEARCH("remboursement",IFERROR(INDEX('Paramètres'!$N:$N,MATCH($D4188,'Paramètres'!$M:$M,0))&amp;"",""))))),1,0))</f>
        <v/>
      </c>
      <c r="Q4188" s="6" t="str">
        <f>IF($K4188="","",IF(ISNUMBER(SEARCH("transfert-interne",IFERROR(INDEX('Paramètres'!$N:$N,MATCH($D4188,'Paramètres'!$M:$M,0))&amp;"",""))),0,IF($L4188="Débit",$K4188,IF($P4188=1,-$K4188,0))))</f>
        <v/>
      </c>
      <c r="R4188" s="6" t="str">
        <f>IF($K4188="","",IF($L4188="Crédit",$K4188,-$K4188))</f>
        <v/>
      </c>
      <c r="S4188" s="6" t="str">
        <f>IF($C4188="","",IFERROR(INDEX('Paramètres'!$H:$H,MATCH($C4188,'Paramètres'!$D:$D,0))&amp;"",""))</f>
        <v/>
      </c>
      <c r="T4188" s="6" t="str">
        <f>IF($K4188="","",IF($S4188="",0,IF(ISNUMBER(SEARCH("apport-exterieur",IFERROR(INDEX('Paramètres'!$N:$N,MATCH($D4188,'Paramètres'!$M:$M,0))&amp;"",""))),0,IF(OR(IFERROR(INDEX('Paramètres'!$I:$I,MATCH($C4188,'Paramètres'!$D:$D,0))&amp;"","")="Les deux",IFERROR(INDEX('Paramètres'!$I:$I,MATCH($C4188,'Paramètres'!$D:$D,0))&amp;"","")=IF($P4188=1,"Débit",$L4188)),-IF($P4188=1,-$K4188,$K4188),0))))</f>
        <v/>
      </c>
      <c r="U4188" s="6" t="str">
        <f>IF($K4188="","",IF(ISNUMBER(SEARCH("sortie-epargne",IFERROR(INDEX('Paramètres'!$N:$N,MATCH($D4188,'Paramètres'!$M:$M,0))&amp;"",""))),$K4188,0))</f>
        <v/>
      </c>
      <c r="V4188" s="6" t="str">
        <f>IF(AND($A4188&lt;&gt;"",$O4188=1,$L4188="Débit",N($Q4188)&gt;0,$A4188&gt;=Visualisation!$B$1,$A4188&lt;Visualisation!$D$1),MAX($V$1:V4187)+1,"")</f>
        <v/>
      </c>
    </row>
    <row r="4189" spans="1:22" x14ac:dyDescent="0.25">
      <c r="A4189" s="9"/>
      <c r="E4189" s="10"/>
      <c r="K4189" s="11" t="str">
        <f>IF($E4189="","",ROUND($E4189*IF(ISNA(MATCH($C4189,'Paramètres'!$D:$D,0)),1,IF(INDEX('Paramètres'!$J:$J,MATCH($C4189,'Paramètres'!$D:$D,0))="",1,INDEX('Paramètres'!$J:$J,MATCH($C4189,'Paramètres'!$D:$D,0)))),2))</f>
        <v/>
      </c>
      <c r="L4189" s="6" t="str">
        <f>IF($D4189="","",IF($F4189&lt;&gt;"",$F4189,IF(ISNA(MATCH($D4189,'Paramètres'!$M:$M,0)),"⚠ Type inconnu",IFERROR(INDEX('Paramètres'!$P:$P,MATCH($D4189,'Paramètres'!$M:$M,0))&amp;"",""))))</f>
        <v/>
      </c>
      <c r="M4189" s="6" t="str">
        <f>IF($D4189="","",IF(ISNA(MATCH($D4189,'Paramètres'!$M:$M,0)),"⚠ Type inconnu",IF($L4189="Crédit","",IFERROR(INDEX('Paramètres'!$O:$O,MATCH($D4189,'Paramètres'!$M:$M,0))&amp;"",""))))</f>
        <v/>
      </c>
      <c r="N4189" s="6" t="str">
        <f>IF($D4189="","",IFERROR(INDEX('Paramètres'!$Q:$Q,MATCH($D4189,'Paramètres'!$M:$M,0))&amp;"",""))</f>
        <v/>
      </c>
      <c r="O4189" s="6" t="str">
        <f>IF($A4189="","",IF(OR($J4189&lt;&gt;"x",$A4189&lt;=FinReleve),1,0))</f>
        <v/>
      </c>
      <c r="P4189" s="6" t="str">
        <f>IF($D4189="","",IF(AND($L4189="Crédit",OR(IFERROR(INDEX('Paramètres'!$O:$O,MATCH($D4189,'Paramètres'!$M:$M,0))&amp;"","")&lt;&gt;"",ISNUMBER(SEARCH("remboursement",IFERROR(INDEX('Paramètres'!$N:$N,MATCH($D4189,'Paramètres'!$M:$M,0))&amp;"",""))))),1,0))</f>
        <v/>
      </c>
      <c r="Q4189" s="6" t="str">
        <f>IF($K4189="","",IF(ISNUMBER(SEARCH("transfert-interne",IFERROR(INDEX('Paramètres'!$N:$N,MATCH($D4189,'Paramètres'!$M:$M,0))&amp;"",""))),0,IF($L4189="Débit",$K4189,IF($P4189=1,-$K4189,0))))</f>
        <v/>
      </c>
      <c r="R4189" s="6" t="str">
        <f>IF($K4189="","",IF($L4189="Crédit",$K4189,-$K4189))</f>
        <v/>
      </c>
      <c r="S4189" s="6" t="str">
        <f>IF($C4189="","",IFERROR(INDEX('Paramètres'!$H:$H,MATCH($C4189,'Paramètres'!$D:$D,0))&amp;"",""))</f>
        <v/>
      </c>
      <c r="T4189" s="6" t="str">
        <f>IF($K4189="","",IF($S4189="",0,IF(ISNUMBER(SEARCH("apport-exterieur",IFERROR(INDEX('Paramètres'!$N:$N,MATCH($D4189,'Paramètres'!$M:$M,0))&amp;"",""))),0,IF(OR(IFERROR(INDEX('Paramètres'!$I:$I,MATCH($C4189,'Paramètres'!$D:$D,0))&amp;"","")="Les deux",IFERROR(INDEX('Paramètres'!$I:$I,MATCH($C4189,'Paramètres'!$D:$D,0))&amp;"","")=IF($P4189=1,"Débit",$L4189)),-IF($P4189=1,-$K4189,$K4189),0))))</f>
        <v/>
      </c>
      <c r="U4189" s="6" t="str">
        <f>IF($K4189="","",IF(ISNUMBER(SEARCH("sortie-epargne",IFERROR(INDEX('Paramètres'!$N:$N,MATCH($D4189,'Paramètres'!$M:$M,0))&amp;"",""))),$K4189,0))</f>
        <v/>
      </c>
      <c r="V4189" s="6" t="str">
        <f>IF(AND($A4189&lt;&gt;"",$O4189=1,$L4189="Débit",N($Q4189)&gt;0,$A4189&gt;=Visualisation!$B$1,$A4189&lt;Visualisation!$D$1),MAX($V$1:V4188)+1,"")</f>
        <v/>
      </c>
    </row>
    <row r="4190" spans="1:22" x14ac:dyDescent="0.25">
      <c r="A4190" s="9"/>
      <c r="E4190" s="10"/>
      <c r="K4190" s="11" t="str">
        <f>IF($E4190="","",ROUND($E4190*IF(ISNA(MATCH($C4190,'Paramètres'!$D:$D,0)),1,IF(INDEX('Paramètres'!$J:$J,MATCH($C4190,'Paramètres'!$D:$D,0))="",1,INDEX('Paramètres'!$J:$J,MATCH($C4190,'Paramètres'!$D:$D,0)))),2))</f>
        <v/>
      </c>
      <c r="L4190" s="6" t="str">
        <f>IF($D4190="","",IF($F4190&lt;&gt;"",$F4190,IF(ISNA(MATCH($D4190,'Paramètres'!$M:$M,0)),"⚠ Type inconnu",IFERROR(INDEX('Paramètres'!$P:$P,MATCH($D4190,'Paramètres'!$M:$M,0))&amp;"",""))))</f>
        <v/>
      </c>
      <c r="M4190" s="6" t="str">
        <f>IF($D4190="","",IF(ISNA(MATCH($D4190,'Paramètres'!$M:$M,0)),"⚠ Type inconnu",IF($L4190="Crédit","",IFERROR(INDEX('Paramètres'!$O:$O,MATCH($D4190,'Paramètres'!$M:$M,0))&amp;"",""))))</f>
        <v/>
      </c>
      <c r="N4190" s="6" t="str">
        <f>IF($D4190="","",IFERROR(INDEX('Paramètres'!$Q:$Q,MATCH($D4190,'Paramètres'!$M:$M,0))&amp;"",""))</f>
        <v/>
      </c>
      <c r="O4190" s="6" t="str">
        <f>IF($A4190="","",IF(OR($J4190&lt;&gt;"x",$A4190&lt;=FinReleve),1,0))</f>
        <v/>
      </c>
      <c r="P4190" s="6" t="str">
        <f>IF($D4190="","",IF(AND($L4190="Crédit",OR(IFERROR(INDEX('Paramètres'!$O:$O,MATCH($D4190,'Paramètres'!$M:$M,0))&amp;"","")&lt;&gt;"",ISNUMBER(SEARCH("remboursement",IFERROR(INDEX('Paramètres'!$N:$N,MATCH($D4190,'Paramètres'!$M:$M,0))&amp;"",""))))),1,0))</f>
        <v/>
      </c>
      <c r="Q4190" s="6" t="str">
        <f>IF($K4190="","",IF(ISNUMBER(SEARCH("transfert-interne",IFERROR(INDEX('Paramètres'!$N:$N,MATCH($D4190,'Paramètres'!$M:$M,0))&amp;"",""))),0,IF($L4190="Débit",$K4190,IF($P4190=1,-$K4190,0))))</f>
        <v/>
      </c>
      <c r="R4190" s="6" t="str">
        <f>IF($K4190="","",IF($L4190="Crédit",$K4190,-$K4190))</f>
        <v/>
      </c>
      <c r="S4190" s="6" t="str">
        <f>IF($C4190="","",IFERROR(INDEX('Paramètres'!$H:$H,MATCH($C4190,'Paramètres'!$D:$D,0))&amp;"",""))</f>
        <v/>
      </c>
      <c r="T4190" s="6" t="str">
        <f>IF($K4190="","",IF($S4190="",0,IF(ISNUMBER(SEARCH("apport-exterieur",IFERROR(INDEX('Paramètres'!$N:$N,MATCH($D4190,'Paramètres'!$M:$M,0))&amp;"",""))),0,IF(OR(IFERROR(INDEX('Paramètres'!$I:$I,MATCH($C4190,'Paramètres'!$D:$D,0))&amp;"","")="Les deux",IFERROR(INDEX('Paramètres'!$I:$I,MATCH($C4190,'Paramètres'!$D:$D,0))&amp;"","")=IF($P4190=1,"Débit",$L4190)),-IF($P4190=1,-$K4190,$K4190),0))))</f>
        <v/>
      </c>
      <c r="U4190" s="6" t="str">
        <f>IF($K4190="","",IF(ISNUMBER(SEARCH("sortie-epargne",IFERROR(INDEX('Paramètres'!$N:$N,MATCH($D4190,'Paramètres'!$M:$M,0))&amp;"",""))),$K4190,0))</f>
        <v/>
      </c>
      <c r="V4190" s="6" t="str">
        <f>IF(AND($A4190&lt;&gt;"",$O4190=1,$L4190="Débit",N($Q4190)&gt;0,$A4190&gt;=Visualisation!$B$1,$A4190&lt;Visualisation!$D$1),MAX($V$1:V4189)+1,"")</f>
        <v/>
      </c>
    </row>
    <row r="4191" spans="1:22" x14ac:dyDescent="0.25">
      <c r="A4191" s="9"/>
      <c r="E4191" s="10"/>
      <c r="K4191" s="11" t="str">
        <f>IF($E4191="","",ROUND($E4191*IF(ISNA(MATCH($C4191,'Paramètres'!$D:$D,0)),1,IF(INDEX('Paramètres'!$J:$J,MATCH($C4191,'Paramètres'!$D:$D,0))="",1,INDEX('Paramètres'!$J:$J,MATCH($C4191,'Paramètres'!$D:$D,0)))),2))</f>
        <v/>
      </c>
      <c r="L4191" s="6" t="str">
        <f>IF($D4191="","",IF($F4191&lt;&gt;"",$F4191,IF(ISNA(MATCH($D4191,'Paramètres'!$M:$M,0)),"⚠ Type inconnu",IFERROR(INDEX('Paramètres'!$P:$P,MATCH($D4191,'Paramètres'!$M:$M,0))&amp;"",""))))</f>
        <v/>
      </c>
      <c r="M4191" s="6" t="str">
        <f>IF($D4191="","",IF(ISNA(MATCH($D4191,'Paramètres'!$M:$M,0)),"⚠ Type inconnu",IF($L4191="Crédit","",IFERROR(INDEX('Paramètres'!$O:$O,MATCH($D4191,'Paramètres'!$M:$M,0))&amp;"",""))))</f>
        <v/>
      </c>
      <c r="N4191" s="6" t="str">
        <f>IF($D4191="","",IFERROR(INDEX('Paramètres'!$Q:$Q,MATCH($D4191,'Paramètres'!$M:$M,0))&amp;"",""))</f>
        <v/>
      </c>
      <c r="O4191" s="6" t="str">
        <f>IF($A4191="","",IF(OR($J4191&lt;&gt;"x",$A4191&lt;=FinReleve),1,0))</f>
        <v/>
      </c>
      <c r="P4191" s="6" t="str">
        <f>IF($D4191="","",IF(AND($L4191="Crédit",OR(IFERROR(INDEX('Paramètres'!$O:$O,MATCH($D4191,'Paramètres'!$M:$M,0))&amp;"","")&lt;&gt;"",ISNUMBER(SEARCH("remboursement",IFERROR(INDEX('Paramètres'!$N:$N,MATCH($D4191,'Paramètres'!$M:$M,0))&amp;"",""))))),1,0))</f>
        <v/>
      </c>
      <c r="Q4191" s="6" t="str">
        <f>IF($K4191="","",IF(ISNUMBER(SEARCH("transfert-interne",IFERROR(INDEX('Paramètres'!$N:$N,MATCH($D4191,'Paramètres'!$M:$M,0))&amp;"",""))),0,IF($L4191="Débit",$K4191,IF($P4191=1,-$K4191,0))))</f>
        <v/>
      </c>
      <c r="R4191" s="6" t="str">
        <f>IF($K4191="","",IF($L4191="Crédit",$K4191,-$K4191))</f>
        <v/>
      </c>
      <c r="S4191" s="6" t="str">
        <f>IF($C4191="","",IFERROR(INDEX('Paramètres'!$H:$H,MATCH($C4191,'Paramètres'!$D:$D,0))&amp;"",""))</f>
        <v/>
      </c>
      <c r="T4191" s="6" t="str">
        <f>IF($K4191="","",IF($S4191="",0,IF(ISNUMBER(SEARCH("apport-exterieur",IFERROR(INDEX('Paramètres'!$N:$N,MATCH($D4191,'Paramètres'!$M:$M,0))&amp;"",""))),0,IF(OR(IFERROR(INDEX('Paramètres'!$I:$I,MATCH($C4191,'Paramètres'!$D:$D,0))&amp;"","")="Les deux",IFERROR(INDEX('Paramètres'!$I:$I,MATCH($C4191,'Paramètres'!$D:$D,0))&amp;"","")=IF($P4191=1,"Débit",$L4191)),-IF($P4191=1,-$K4191,$K4191),0))))</f>
        <v/>
      </c>
      <c r="U4191" s="6" t="str">
        <f>IF($K4191="","",IF(ISNUMBER(SEARCH("sortie-epargne",IFERROR(INDEX('Paramètres'!$N:$N,MATCH($D4191,'Paramètres'!$M:$M,0))&amp;"",""))),$K4191,0))</f>
        <v/>
      </c>
      <c r="V4191" s="6" t="str">
        <f>IF(AND($A4191&lt;&gt;"",$O4191=1,$L4191="Débit",N($Q4191)&gt;0,$A4191&gt;=Visualisation!$B$1,$A4191&lt;Visualisation!$D$1),MAX($V$1:V4190)+1,"")</f>
        <v/>
      </c>
    </row>
    <row r="4192" spans="1:22" x14ac:dyDescent="0.25">
      <c r="A4192" s="9"/>
      <c r="E4192" s="10"/>
      <c r="K4192" s="11" t="str">
        <f>IF($E4192="","",ROUND($E4192*IF(ISNA(MATCH($C4192,'Paramètres'!$D:$D,0)),1,IF(INDEX('Paramètres'!$J:$J,MATCH($C4192,'Paramètres'!$D:$D,0))="",1,INDEX('Paramètres'!$J:$J,MATCH($C4192,'Paramètres'!$D:$D,0)))),2))</f>
        <v/>
      </c>
      <c r="L4192" s="6" t="str">
        <f>IF($D4192="","",IF($F4192&lt;&gt;"",$F4192,IF(ISNA(MATCH($D4192,'Paramètres'!$M:$M,0)),"⚠ Type inconnu",IFERROR(INDEX('Paramètres'!$P:$P,MATCH($D4192,'Paramètres'!$M:$M,0))&amp;"",""))))</f>
        <v/>
      </c>
      <c r="M4192" s="6" t="str">
        <f>IF($D4192="","",IF(ISNA(MATCH($D4192,'Paramètres'!$M:$M,0)),"⚠ Type inconnu",IF($L4192="Crédit","",IFERROR(INDEX('Paramètres'!$O:$O,MATCH($D4192,'Paramètres'!$M:$M,0))&amp;"",""))))</f>
        <v/>
      </c>
      <c r="N4192" s="6" t="str">
        <f>IF($D4192="","",IFERROR(INDEX('Paramètres'!$Q:$Q,MATCH($D4192,'Paramètres'!$M:$M,0))&amp;"",""))</f>
        <v/>
      </c>
      <c r="O4192" s="6" t="str">
        <f>IF($A4192="","",IF(OR($J4192&lt;&gt;"x",$A4192&lt;=FinReleve),1,0))</f>
        <v/>
      </c>
      <c r="P4192" s="6" t="str">
        <f>IF($D4192="","",IF(AND($L4192="Crédit",OR(IFERROR(INDEX('Paramètres'!$O:$O,MATCH($D4192,'Paramètres'!$M:$M,0))&amp;"","")&lt;&gt;"",ISNUMBER(SEARCH("remboursement",IFERROR(INDEX('Paramètres'!$N:$N,MATCH($D4192,'Paramètres'!$M:$M,0))&amp;"",""))))),1,0))</f>
        <v/>
      </c>
      <c r="Q4192" s="6" t="str">
        <f>IF($K4192="","",IF(ISNUMBER(SEARCH("transfert-interne",IFERROR(INDEX('Paramètres'!$N:$N,MATCH($D4192,'Paramètres'!$M:$M,0))&amp;"",""))),0,IF($L4192="Débit",$K4192,IF($P4192=1,-$K4192,0))))</f>
        <v/>
      </c>
      <c r="R4192" s="6" t="str">
        <f>IF($K4192="","",IF($L4192="Crédit",$K4192,-$K4192))</f>
        <v/>
      </c>
      <c r="S4192" s="6" t="str">
        <f>IF($C4192="","",IFERROR(INDEX('Paramètres'!$H:$H,MATCH($C4192,'Paramètres'!$D:$D,0))&amp;"",""))</f>
        <v/>
      </c>
      <c r="T4192" s="6" t="str">
        <f>IF($K4192="","",IF($S4192="",0,IF(ISNUMBER(SEARCH("apport-exterieur",IFERROR(INDEX('Paramètres'!$N:$N,MATCH($D4192,'Paramètres'!$M:$M,0))&amp;"",""))),0,IF(OR(IFERROR(INDEX('Paramètres'!$I:$I,MATCH($C4192,'Paramètres'!$D:$D,0))&amp;"","")="Les deux",IFERROR(INDEX('Paramètres'!$I:$I,MATCH($C4192,'Paramètres'!$D:$D,0))&amp;"","")=IF($P4192=1,"Débit",$L4192)),-IF($P4192=1,-$K4192,$K4192),0))))</f>
        <v/>
      </c>
      <c r="U4192" s="6" t="str">
        <f>IF($K4192="","",IF(ISNUMBER(SEARCH("sortie-epargne",IFERROR(INDEX('Paramètres'!$N:$N,MATCH($D4192,'Paramètres'!$M:$M,0))&amp;"",""))),$K4192,0))</f>
        <v/>
      </c>
      <c r="V4192" s="6" t="str">
        <f>IF(AND($A4192&lt;&gt;"",$O4192=1,$L4192="Débit",N($Q4192)&gt;0,$A4192&gt;=Visualisation!$B$1,$A4192&lt;Visualisation!$D$1),MAX($V$1:V4191)+1,"")</f>
        <v/>
      </c>
    </row>
    <row r="4193" spans="1:22" x14ac:dyDescent="0.25">
      <c r="A4193" s="9"/>
      <c r="E4193" s="10"/>
      <c r="K4193" s="11" t="str">
        <f>IF($E4193="","",ROUND($E4193*IF(ISNA(MATCH($C4193,'Paramètres'!$D:$D,0)),1,IF(INDEX('Paramètres'!$J:$J,MATCH($C4193,'Paramètres'!$D:$D,0))="",1,INDEX('Paramètres'!$J:$J,MATCH($C4193,'Paramètres'!$D:$D,0)))),2))</f>
        <v/>
      </c>
      <c r="L4193" s="6" t="str">
        <f>IF($D4193="","",IF($F4193&lt;&gt;"",$F4193,IF(ISNA(MATCH($D4193,'Paramètres'!$M:$M,0)),"⚠ Type inconnu",IFERROR(INDEX('Paramètres'!$P:$P,MATCH($D4193,'Paramètres'!$M:$M,0))&amp;"",""))))</f>
        <v/>
      </c>
      <c r="M4193" s="6" t="str">
        <f>IF($D4193="","",IF(ISNA(MATCH($D4193,'Paramètres'!$M:$M,0)),"⚠ Type inconnu",IF($L4193="Crédit","",IFERROR(INDEX('Paramètres'!$O:$O,MATCH($D4193,'Paramètres'!$M:$M,0))&amp;"",""))))</f>
        <v/>
      </c>
      <c r="N4193" s="6" t="str">
        <f>IF($D4193="","",IFERROR(INDEX('Paramètres'!$Q:$Q,MATCH($D4193,'Paramètres'!$M:$M,0))&amp;"",""))</f>
        <v/>
      </c>
      <c r="O4193" s="6" t="str">
        <f>IF($A4193="","",IF(OR($J4193&lt;&gt;"x",$A4193&lt;=FinReleve),1,0))</f>
        <v/>
      </c>
      <c r="P4193" s="6" t="str">
        <f>IF($D4193="","",IF(AND($L4193="Crédit",OR(IFERROR(INDEX('Paramètres'!$O:$O,MATCH($D4193,'Paramètres'!$M:$M,0))&amp;"","")&lt;&gt;"",ISNUMBER(SEARCH("remboursement",IFERROR(INDEX('Paramètres'!$N:$N,MATCH($D4193,'Paramètres'!$M:$M,0))&amp;"",""))))),1,0))</f>
        <v/>
      </c>
      <c r="Q4193" s="6" t="str">
        <f>IF($K4193="","",IF(ISNUMBER(SEARCH("transfert-interne",IFERROR(INDEX('Paramètres'!$N:$N,MATCH($D4193,'Paramètres'!$M:$M,0))&amp;"",""))),0,IF($L4193="Débit",$K4193,IF($P4193=1,-$K4193,0))))</f>
        <v/>
      </c>
      <c r="R4193" s="6" t="str">
        <f>IF($K4193="","",IF($L4193="Crédit",$K4193,-$K4193))</f>
        <v/>
      </c>
      <c r="S4193" s="6" t="str">
        <f>IF($C4193="","",IFERROR(INDEX('Paramètres'!$H:$H,MATCH($C4193,'Paramètres'!$D:$D,0))&amp;"",""))</f>
        <v/>
      </c>
      <c r="T4193" s="6" t="str">
        <f>IF($K4193="","",IF($S4193="",0,IF(ISNUMBER(SEARCH("apport-exterieur",IFERROR(INDEX('Paramètres'!$N:$N,MATCH($D4193,'Paramètres'!$M:$M,0))&amp;"",""))),0,IF(OR(IFERROR(INDEX('Paramètres'!$I:$I,MATCH($C4193,'Paramètres'!$D:$D,0))&amp;"","")="Les deux",IFERROR(INDEX('Paramètres'!$I:$I,MATCH($C4193,'Paramètres'!$D:$D,0))&amp;"","")=IF($P4193=1,"Débit",$L4193)),-IF($P4193=1,-$K4193,$K4193),0))))</f>
        <v/>
      </c>
      <c r="U4193" s="6" t="str">
        <f>IF($K4193="","",IF(ISNUMBER(SEARCH("sortie-epargne",IFERROR(INDEX('Paramètres'!$N:$N,MATCH($D4193,'Paramètres'!$M:$M,0))&amp;"",""))),$K4193,0))</f>
        <v/>
      </c>
      <c r="V4193" s="6" t="str">
        <f>IF(AND($A4193&lt;&gt;"",$O4193=1,$L4193="Débit",N($Q4193)&gt;0,$A4193&gt;=Visualisation!$B$1,$A4193&lt;Visualisation!$D$1),MAX($V$1:V4192)+1,"")</f>
        <v/>
      </c>
    </row>
    <row r="4194" spans="1:22" x14ac:dyDescent="0.25">
      <c r="A4194" s="9"/>
      <c r="E4194" s="10"/>
      <c r="K4194" s="11" t="str">
        <f>IF($E4194="","",ROUND($E4194*IF(ISNA(MATCH($C4194,'Paramètres'!$D:$D,0)),1,IF(INDEX('Paramètres'!$J:$J,MATCH($C4194,'Paramètres'!$D:$D,0))="",1,INDEX('Paramètres'!$J:$J,MATCH($C4194,'Paramètres'!$D:$D,0)))),2))</f>
        <v/>
      </c>
      <c r="L4194" s="6" t="str">
        <f>IF($D4194="","",IF($F4194&lt;&gt;"",$F4194,IF(ISNA(MATCH($D4194,'Paramètres'!$M:$M,0)),"⚠ Type inconnu",IFERROR(INDEX('Paramètres'!$P:$P,MATCH($D4194,'Paramètres'!$M:$M,0))&amp;"",""))))</f>
        <v/>
      </c>
      <c r="M4194" s="6" t="str">
        <f>IF($D4194="","",IF(ISNA(MATCH($D4194,'Paramètres'!$M:$M,0)),"⚠ Type inconnu",IF($L4194="Crédit","",IFERROR(INDEX('Paramètres'!$O:$O,MATCH($D4194,'Paramètres'!$M:$M,0))&amp;"",""))))</f>
        <v/>
      </c>
      <c r="N4194" s="6" t="str">
        <f>IF($D4194="","",IFERROR(INDEX('Paramètres'!$Q:$Q,MATCH($D4194,'Paramètres'!$M:$M,0))&amp;"",""))</f>
        <v/>
      </c>
      <c r="O4194" s="6" t="str">
        <f>IF($A4194="","",IF(OR($J4194&lt;&gt;"x",$A4194&lt;=FinReleve),1,0))</f>
        <v/>
      </c>
      <c r="P4194" s="6" t="str">
        <f>IF($D4194="","",IF(AND($L4194="Crédit",OR(IFERROR(INDEX('Paramètres'!$O:$O,MATCH($D4194,'Paramètres'!$M:$M,0))&amp;"","")&lt;&gt;"",ISNUMBER(SEARCH("remboursement",IFERROR(INDEX('Paramètres'!$N:$N,MATCH($D4194,'Paramètres'!$M:$M,0))&amp;"",""))))),1,0))</f>
        <v/>
      </c>
      <c r="Q4194" s="6" t="str">
        <f>IF($K4194="","",IF(ISNUMBER(SEARCH("transfert-interne",IFERROR(INDEX('Paramètres'!$N:$N,MATCH($D4194,'Paramètres'!$M:$M,0))&amp;"",""))),0,IF($L4194="Débit",$K4194,IF($P4194=1,-$K4194,0))))</f>
        <v/>
      </c>
      <c r="R4194" s="6" t="str">
        <f>IF($K4194="","",IF($L4194="Crédit",$K4194,-$K4194))</f>
        <v/>
      </c>
      <c r="S4194" s="6" t="str">
        <f>IF($C4194="","",IFERROR(INDEX('Paramètres'!$H:$H,MATCH($C4194,'Paramètres'!$D:$D,0))&amp;"",""))</f>
        <v/>
      </c>
      <c r="T4194" s="6" t="str">
        <f>IF($K4194="","",IF($S4194="",0,IF(ISNUMBER(SEARCH("apport-exterieur",IFERROR(INDEX('Paramètres'!$N:$N,MATCH($D4194,'Paramètres'!$M:$M,0))&amp;"",""))),0,IF(OR(IFERROR(INDEX('Paramètres'!$I:$I,MATCH($C4194,'Paramètres'!$D:$D,0))&amp;"","")="Les deux",IFERROR(INDEX('Paramètres'!$I:$I,MATCH($C4194,'Paramètres'!$D:$D,0))&amp;"","")=IF($P4194=1,"Débit",$L4194)),-IF($P4194=1,-$K4194,$K4194),0))))</f>
        <v/>
      </c>
      <c r="U4194" s="6" t="str">
        <f>IF($K4194="","",IF(ISNUMBER(SEARCH("sortie-epargne",IFERROR(INDEX('Paramètres'!$N:$N,MATCH($D4194,'Paramètres'!$M:$M,0))&amp;"",""))),$K4194,0))</f>
        <v/>
      </c>
      <c r="V4194" s="6" t="str">
        <f>IF(AND($A4194&lt;&gt;"",$O4194=1,$L4194="Débit",N($Q4194)&gt;0,$A4194&gt;=Visualisation!$B$1,$A4194&lt;Visualisation!$D$1),MAX($V$1:V4193)+1,"")</f>
        <v/>
      </c>
    </row>
    <row r="4195" spans="1:22" x14ac:dyDescent="0.25">
      <c r="A4195" s="9"/>
      <c r="E4195" s="10"/>
      <c r="K4195" s="11" t="str">
        <f>IF($E4195="","",ROUND($E4195*IF(ISNA(MATCH($C4195,'Paramètres'!$D:$D,0)),1,IF(INDEX('Paramètres'!$J:$J,MATCH($C4195,'Paramètres'!$D:$D,0))="",1,INDEX('Paramètres'!$J:$J,MATCH($C4195,'Paramètres'!$D:$D,0)))),2))</f>
        <v/>
      </c>
      <c r="L4195" s="6" t="str">
        <f>IF($D4195="","",IF($F4195&lt;&gt;"",$F4195,IF(ISNA(MATCH($D4195,'Paramètres'!$M:$M,0)),"⚠ Type inconnu",IFERROR(INDEX('Paramètres'!$P:$P,MATCH($D4195,'Paramètres'!$M:$M,0))&amp;"",""))))</f>
        <v/>
      </c>
      <c r="M4195" s="6" t="str">
        <f>IF($D4195="","",IF(ISNA(MATCH($D4195,'Paramètres'!$M:$M,0)),"⚠ Type inconnu",IF($L4195="Crédit","",IFERROR(INDEX('Paramètres'!$O:$O,MATCH($D4195,'Paramètres'!$M:$M,0))&amp;"",""))))</f>
        <v/>
      </c>
      <c r="N4195" s="6" t="str">
        <f>IF($D4195="","",IFERROR(INDEX('Paramètres'!$Q:$Q,MATCH($D4195,'Paramètres'!$M:$M,0))&amp;"",""))</f>
        <v/>
      </c>
      <c r="O4195" s="6" t="str">
        <f>IF($A4195="","",IF(OR($J4195&lt;&gt;"x",$A4195&lt;=FinReleve),1,0))</f>
        <v/>
      </c>
      <c r="P4195" s="6" t="str">
        <f>IF($D4195="","",IF(AND($L4195="Crédit",OR(IFERROR(INDEX('Paramètres'!$O:$O,MATCH($D4195,'Paramètres'!$M:$M,0))&amp;"","")&lt;&gt;"",ISNUMBER(SEARCH("remboursement",IFERROR(INDEX('Paramètres'!$N:$N,MATCH($D4195,'Paramètres'!$M:$M,0))&amp;"",""))))),1,0))</f>
        <v/>
      </c>
      <c r="Q4195" s="6" t="str">
        <f>IF($K4195="","",IF(ISNUMBER(SEARCH("transfert-interne",IFERROR(INDEX('Paramètres'!$N:$N,MATCH($D4195,'Paramètres'!$M:$M,0))&amp;"",""))),0,IF($L4195="Débit",$K4195,IF($P4195=1,-$K4195,0))))</f>
        <v/>
      </c>
      <c r="R4195" s="6" t="str">
        <f>IF($K4195="","",IF($L4195="Crédit",$K4195,-$K4195))</f>
        <v/>
      </c>
      <c r="S4195" s="6" t="str">
        <f>IF($C4195="","",IFERROR(INDEX('Paramètres'!$H:$H,MATCH($C4195,'Paramètres'!$D:$D,0))&amp;"",""))</f>
        <v/>
      </c>
      <c r="T4195" s="6" t="str">
        <f>IF($K4195="","",IF($S4195="",0,IF(ISNUMBER(SEARCH("apport-exterieur",IFERROR(INDEX('Paramètres'!$N:$N,MATCH($D4195,'Paramètres'!$M:$M,0))&amp;"",""))),0,IF(OR(IFERROR(INDEX('Paramètres'!$I:$I,MATCH($C4195,'Paramètres'!$D:$D,0))&amp;"","")="Les deux",IFERROR(INDEX('Paramètres'!$I:$I,MATCH($C4195,'Paramètres'!$D:$D,0))&amp;"","")=IF($P4195=1,"Débit",$L4195)),-IF($P4195=1,-$K4195,$K4195),0))))</f>
        <v/>
      </c>
      <c r="U4195" s="6" t="str">
        <f>IF($K4195="","",IF(ISNUMBER(SEARCH("sortie-epargne",IFERROR(INDEX('Paramètres'!$N:$N,MATCH($D4195,'Paramètres'!$M:$M,0))&amp;"",""))),$K4195,0))</f>
        <v/>
      </c>
      <c r="V4195" s="6" t="str">
        <f>IF(AND($A4195&lt;&gt;"",$O4195=1,$L4195="Débit",N($Q4195)&gt;0,$A4195&gt;=Visualisation!$B$1,$A4195&lt;Visualisation!$D$1),MAX($V$1:V4194)+1,"")</f>
        <v/>
      </c>
    </row>
    <row r="4196" spans="1:22" x14ac:dyDescent="0.25">
      <c r="A4196" s="9"/>
      <c r="E4196" s="10"/>
      <c r="K4196" s="11" t="str">
        <f>IF($E4196="","",ROUND($E4196*IF(ISNA(MATCH($C4196,'Paramètres'!$D:$D,0)),1,IF(INDEX('Paramètres'!$J:$J,MATCH($C4196,'Paramètres'!$D:$D,0))="",1,INDEX('Paramètres'!$J:$J,MATCH($C4196,'Paramètres'!$D:$D,0)))),2))</f>
        <v/>
      </c>
      <c r="L4196" s="6" t="str">
        <f>IF($D4196="","",IF($F4196&lt;&gt;"",$F4196,IF(ISNA(MATCH($D4196,'Paramètres'!$M:$M,0)),"⚠ Type inconnu",IFERROR(INDEX('Paramètres'!$P:$P,MATCH($D4196,'Paramètres'!$M:$M,0))&amp;"",""))))</f>
        <v/>
      </c>
      <c r="M4196" s="6" t="str">
        <f>IF($D4196="","",IF(ISNA(MATCH($D4196,'Paramètres'!$M:$M,0)),"⚠ Type inconnu",IF($L4196="Crédit","",IFERROR(INDEX('Paramètres'!$O:$O,MATCH($D4196,'Paramètres'!$M:$M,0))&amp;"",""))))</f>
        <v/>
      </c>
      <c r="N4196" s="6" t="str">
        <f>IF($D4196="","",IFERROR(INDEX('Paramètres'!$Q:$Q,MATCH($D4196,'Paramètres'!$M:$M,0))&amp;"",""))</f>
        <v/>
      </c>
      <c r="O4196" s="6" t="str">
        <f>IF($A4196="","",IF(OR($J4196&lt;&gt;"x",$A4196&lt;=FinReleve),1,0))</f>
        <v/>
      </c>
      <c r="P4196" s="6" t="str">
        <f>IF($D4196="","",IF(AND($L4196="Crédit",OR(IFERROR(INDEX('Paramètres'!$O:$O,MATCH($D4196,'Paramètres'!$M:$M,0))&amp;"","")&lt;&gt;"",ISNUMBER(SEARCH("remboursement",IFERROR(INDEX('Paramètres'!$N:$N,MATCH($D4196,'Paramètres'!$M:$M,0))&amp;"",""))))),1,0))</f>
        <v/>
      </c>
      <c r="Q4196" s="6" t="str">
        <f>IF($K4196="","",IF(ISNUMBER(SEARCH("transfert-interne",IFERROR(INDEX('Paramètres'!$N:$N,MATCH($D4196,'Paramètres'!$M:$M,0))&amp;"",""))),0,IF($L4196="Débit",$K4196,IF($P4196=1,-$K4196,0))))</f>
        <v/>
      </c>
      <c r="R4196" s="6" t="str">
        <f>IF($K4196="","",IF($L4196="Crédit",$K4196,-$K4196))</f>
        <v/>
      </c>
      <c r="S4196" s="6" t="str">
        <f>IF($C4196="","",IFERROR(INDEX('Paramètres'!$H:$H,MATCH($C4196,'Paramètres'!$D:$D,0))&amp;"",""))</f>
        <v/>
      </c>
      <c r="T4196" s="6" t="str">
        <f>IF($K4196="","",IF($S4196="",0,IF(ISNUMBER(SEARCH("apport-exterieur",IFERROR(INDEX('Paramètres'!$N:$N,MATCH($D4196,'Paramètres'!$M:$M,0))&amp;"",""))),0,IF(OR(IFERROR(INDEX('Paramètres'!$I:$I,MATCH($C4196,'Paramètres'!$D:$D,0))&amp;"","")="Les deux",IFERROR(INDEX('Paramètres'!$I:$I,MATCH($C4196,'Paramètres'!$D:$D,0))&amp;"","")=IF($P4196=1,"Débit",$L4196)),-IF($P4196=1,-$K4196,$K4196),0))))</f>
        <v/>
      </c>
      <c r="U4196" s="6" t="str">
        <f>IF($K4196="","",IF(ISNUMBER(SEARCH("sortie-epargne",IFERROR(INDEX('Paramètres'!$N:$N,MATCH($D4196,'Paramètres'!$M:$M,0))&amp;"",""))),$K4196,0))</f>
        <v/>
      </c>
      <c r="V4196" s="6" t="str">
        <f>IF(AND($A4196&lt;&gt;"",$O4196=1,$L4196="Débit",N($Q4196)&gt;0,$A4196&gt;=Visualisation!$B$1,$A4196&lt;Visualisation!$D$1),MAX($V$1:V4195)+1,"")</f>
        <v/>
      </c>
    </row>
    <row r="4197" spans="1:22" x14ac:dyDescent="0.25">
      <c r="A4197" s="9"/>
      <c r="E4197" s="10"/>
      <c r="K4197" s="11" t="str">
        <f>IF($E4197="","",ROUND($E4197*IF(ISNA(MATCH($C4197,'Paramètres'!$D:$D,0)),1,IF(INDEX('Paramètres'!$J:$J,MATCH($C4197,'Paramètres'!$D:$D,0))="",1,INDEX('Paramètres'!$J:$J,MATCH($C4197,'Paramètres'!$D:$D,0)))),2))</f>
        <v/>
      </c>
      <c r="L4197" s="6" t="str">
        <f>IF($D4197="","",IF($F4197&lt;&gt;"",$F4197,IF(ISNA(MATCH($D4197,'Paramètres'!$M:$M,0)),"⚠ Type inconnu",IFERROR(INDEX('Paramètres'!$P:$P,MATCH($D4197,'Paramètres'!$M:$M,0))&amp;"",""))))</f>
        <v/>
      </c>
      <c r="M4197" s="6" t="str">
        <f>IF($D4197="","",IF(ISNA(MATCH($D4197,'Paramètres'!$M:$M,0)),"⚠ Type inconnu",IF($L4197="Crédit","",IFERROR(INDEX('Paramètres'!$O:$O,MATCH($D4197,'Paramètres'!$M:$M,0))&amp;"",""))))</f>
        <v/>
      </c>
      <c r="N4197" s="6" t="str">
        <f>IF($D4197="","",IFERROR(INDEX('Paramètres'!$Q:$Q,MATCH($D4197,'Paramètres'!$M:$M,0))&amp;"",""))</f>
        <v/>
      </c>
      <c r="O4197" s="6" t="str">
        <f>IF($A4197="","",IF(OR($J4197&lt;&gt;"x",$A4197&lt;=FinReleve),1,0))</f>
        <v/>
      </c>
      <c r="P4197" s="6" t="str">
        <f>IF($D4197="","",IF(AND($L4197="Crédit",OR(IFERROR(INDEX('Paramètres'!$O:$O,MATCH($D4197,'Paramètres'!$M:$M,0))&amp;"","")&lt;&gt;"",ISNUMBER(SEARCH("remboursement",IFERROR(INDEX('Paramètres'!$N:$N,MATCH($D4197,'Paramètres'!$M:$M,0))&amp;"",""))))),1,0))</f>
        <v/>
      </c>
      <c r="Q4197" s="6" t="str">
        <f>IF($K4197="","",IF(ISNUMBER(SEARCH("transfert-interne",IFERROR(INDEX('Paramètres'!$N:$N,MATCH($D4197,'Paramètres'!$M:$M,0))&amp;"",""))),0,IF($L4197="Débit",$K4197,IF($P4197=1,-$K4197,0))))</f>
        <v/>
      </c>
      <c r="R4197" s="6" t="str">
        <f>IF($K4197="","",IF($L4197="Crédit",$K4197,-$K4197))</f>
        <v/>
      </c>
      <c r="S4197" s="6" t="str">
        <f>IF($C4197="","",IFERROR(INDEX('Paramètres'!$H:$H,MATCH($C4197,'Paramètres'!$D:$D,0))&amp;"",""))</f>
        <v/>
      </c>
      <c r="T4197" s="6" t="str">
        <f>IF($K4197="","",IF($S4197="",0,IF(ISNUMBER(SEARCH("apport-exterieur",IFERROR(INDEX('Paramètres'!$N:$N,MATCH($D4197,'Paramètres'!$M:$M,0))&amp;"",""))),0,IF(OR(IFERROR(INDEX('Paramètres'!$I:$I,MATCH($C4197,'Paramètres'!$D:$D,0))&amp;"","")="Les deux",IFERROR(INDEX('Paramètres'!$I:$I,MATCH($C4197,'Paramètres'!$D:$D,0))&amp;"","")=IF($P4197=1,"Débit",$L4197)),-IF($P4197=1,-$K4197,$K4197),0))))</f>
        <v/>
      </c>
      <c r="U4197" s="6" t="str">
        <f>IF($K4197="","",IF(ISNUMBER(SEARCH("sortie-epargne",IFERROR(INDEX('Paramètres'!$N:$N,MATCH($D4197,'Paramètres'!$M:$M,0))&amp;"",""))),$K4197,0))</f>
        <v/>
      </c>
      <c r="V4197" s="6" t="str">
        <f>IF(AND($A4197&lt;&gt;"",$O4197=1,$L4197="Débit",N($Q4197)&gt;0,$A4197&gt;=Visualisation!$B$1,$A4197&lt;Visualisation!$D$1),MAX($V$1:V4196)+1,"")</f>
        <v/>
      </c>
    </row>
    <row r="4198" spans="1:22" x14ac:dyDescent="0.25">
      <c r="A4198" s="9"/>
      <c r="E4198" s="10"/>
      <c r="K4198" s="11" t="str">
        <f>IF($E4198="","",ROUND($E4198*IF(ISNA(MATCH($C4198,'Paramètres'!$D:$D,0)),1,IF(INDEX('Paramètres'!$J:$J,MATCH($C4198,'Paramètres'!$D:$D,0))="",1,INDEX('Paramètres'!$J:$J,MATCH($C4198,'Paramètres'!$D:$D,0)))),2))</f>
        <v/>
      </c>
      <c r="L4198" s="6" t="str">
        <f>IF($D4198="","",IF($F4198&lt;&gt;"",$F4198,IF(ISNA(MATCH($D4198,'Paramètres'!$M:$M,0)),"⚠ Type inconnu",IFERROR(INDEX('Paramètres'!$P:$P,MATCH($D4198,'Paramètres'!$M:$M,0))&amp;"",""))))</f>
        <v/>
      </c>
      <c r="M4198" s="6" t="str">
        <f>IF($D4198="","",IF(ISNA(MATCH($D4198,'Paramètres'!$M:$M,0)),"⚠ Type inconnu",IF($L4198="Crédit","",IFERROR(INDEX('Paramètres'!$O:$O,MATCH($D4198,'Paramètres'!$M:$M,0))&amp;"",""))))</f>
        <v/>
      </c>
      <c r="N4198" s="6" t="str">
        <f>IF($D4198="","",IFERROR(INDEX('Paramètres'!$Q:$Q,MATCH($D4198,'Paramètres'!$M:$M,0))&amp;"",""))</f>
        <v/>
      </c>
      <c r="O4198" s="6" t="str">
        <f>IF($A4198="","",IF(OR($J4198&lt;&gt;"x",$A4198&lt;=FinReleve),1,0))</f>
        <v/>
      </c>
      <c r="P4198" s="6" t="str">
        <f>IF($D4198="","",IF(AND($L4198="Crédit",OR(IFERROR(INDEX('Paramètres'!$O:$O,MATCH($D4198,'Paramètres'!$M:$M,0))&amp;"","")&lt;&gt;"",ISNUMBER(SEARCH("remboursement",IFERROR(INDEX('Paramètres'!$N:$N,MATCH($D4198,'Paramètres'!$M:$M,0))&amp;"",""))))),1,0))</f>
        <v/>
      </c>
      <c r="Q4198" s="6" t="str">
        <f>IF($K4198="","",IF(ISNUMBER(SEARCH("transfert-interne",IFERROR(INDEX('Paramètres'!$N:$N,MATCH($D4198,'Paramètres'!$M:$M,0))&amp;"",""))),0,IF($L4198="Débit",$K4198,IF($P4198=1,-$K4198,0))))</f>
        <v/>
      </c>
      <c r="R4198" s="6" t="str">
        <f>IF($K4198="","",IF($L4198="Crédit",$K4198,-$K4198))</f>
        <v/>
      </c>
      <c r="S4198" s="6" t="str">
        <f>IF($C4198="","",IFERROR(INDEX('Paramètres'!$H:$H,MATCH($C4198,'Paramètres'!$D:$D,0))&amp;"",""))</f>
        <v/>
      </c>
      <c r="T4198" s="6" t="str">
        <f>IF($K4198="","",IF($S4198="",0,IF(ISNUMBER(SEARCH("apport-exterieur",IFERROR(INDEX('Paramètres'!$N:$N,MATCH($D4198,'Paramètres'!$M:$M,0))&amp;"",""))),0,IF(OR(IFERROR(INDEX('Paramètres'!$I:$I,MATCH($C4198,'Paramètres'!$D:$D,0))&amp;"","")="Les deux",IFERROR(INDEX('Paramètres'!$I:$I,MATCH($C4198,'Paramètres'!$D:$D,0))&amp;"","")=IF($P4198=1,"Débit",$L4198)),-IF($P4198=1,-$K4198,$K4198),0))))</f>
        <v/>
      </c>
      <c r="U4198" s="6" t="str">
        <f>IF($K4198="","",IF(ISNUMBER(SEARCH("sortie-epargne",IFERROR(INDEX('Paramètres'!$N:$N,MATCH($D4198,'Paramètres'!$M:$M,0))&amp;"",""))),$K4198,0))</f>
        <v/>
      </c>
      <c r="V4198" s="6" t="str">
        <f>IF(AND($A4198&lt;&gt;"",$O4198=1,$L4198="Débit",N($Q4198)&gt;0,$A4198&gt;=Visualisation!$B$1,$A4198&lt;Visualisation!$D$1),MAX($V$1:V4197)+1,"")</f>
        <v/>
      </c>
    </row>
    <row r="4199" spans="1:22" x14ac:dyDescent="0.25">
      <c r="A4199" s="9"/>
      <c r="E4199" s="10"/>
      <c r="K4199" s="11" t="str">
        <f>IF($E4199="","",ROUND($E4199*IF(ISNA(MATCH($C4199,'Paramètres'!$D:$D,0)),1,IF(INDEX('Paramètres'!$J:$J,MATCH($C4199,'Paramètres'!$D:$D,0))="",1,INDEX('Paramètres'!$J:$J,MATCH($C4199,'Paramètres'!$D:$D,0)))),2))</f>
        <v/>
      </c>
      <c r="L4199" s="6" t="str">
        <f>IF($D4199="","",IF($F4199&lt;&gt;"",$F4199,IF(ISNA(MATCH($D4199,'Paramètres'!$M:$M,0)),"⚠ Type inconnu",IFERROR(INDEX('Paramètres'!$P:$P,MATCH($D4199,'Paramètres'!$M:$M,0))&amp;"",""))))</f>
        <v/>
      </c>
      <c r="M4199" s="6" t="str">
        <f>IF($D4199="","",IF(ISNA(MATCH($D4199,'Paramètres'!$M:$M,0)),"⚠ Type inconnu",IF($L4199="Crédit","",IFERROR(INDEX('Paramètres'!$O:$O,MATCH($D4199,'Paramètres'!$M:$M,0))&amp;"",""))))</f>
        <v/>
      </c>
      <c r="N4199" s="6" t="str">
        <f>IF($D4199="","",IFERROR(INDEX('Paramètres'!$Q:$Q,MATCH($D4199,'Paramètres'!$M:$M,0))&amp;"",""))</f>
        <v/>
      </c>
      <c r="O4199" s="6" t="str">
        <f>IF($A4199="","",IF(OR($J4199&lt;&gt;"x",$A4199&lt;=FinReleve),1,0))</f>
        <v/>
      </c>
      <c r="P4199" s="6" t="str">
        <f>IF($D4199="","",IF(AND($L4199="Crédit",OR(IFERROR(INDEX('Paramètres'!$O:$O,MATCH($D4199,'Paramètres'!$M:$M,0))&amp;"","")&lt;&gt;"",ISNUMBER(SEARCH("remboursement",IFERROR(INDEX('Paramètres'!$N:$N,MATCH($D4199,'Paramètres'!$M:$M,0))&amp;"",""))))),1,0))</f>
        <v/>
      </c>
      <c r="Q4199" s="6" t="str">
        <f>IF($K4199="","",IF(ISNUMBER(SEARCH("transfert-interne",IFERROR(INDEX('Paramètres'!$N:$N,MATCH($D4199,'Paramètres'!$M:$M,0))&amp;"",""))),0,IF($L4199="Débit",$K4199,IF($P4199=1,-$K4199,0))))</f>
        <v/>
      </c>
      <c r="R4199" s="6" t="str">
        <f>IF($K4199="","",IF($L4199="Crédit",$K4199,-$K4199))</f>
        <v/>
      </c>
      <c r="S4199" s="6" t="str">
        <f>IF($C4199="","",IFERROR(INDEX('Paramètres'!$H:$H,MATCH($C4199,'Paramètres'!$D:$D,0))&amp;"",""))</f>
        <v/>
      </c>
      <c r="T4199" s="6" t="str">
        <f>IF($K4199="","",IF($S4199="",0,IF(ISNUMBER(SEARCH("apport-exterieur",IFERROR(INDEX('Paramètres'!$N:$N,MATCH($D4199,'Paramètres'!$M:$M,0))&amp;"",""))),0,IF(OR(IFERROR(INDEX('Paramètres'!$I:$I,MATCH($C4199,'Paramètres'!$D:$D,0))&amp;"","")="Les deux",IFERROR(INDEX('Paramètres'!$I:$I,MATCH($C4199,'Paramètres'!$D:$D,0))&amp;"","")=IF($P4199=1,"Débit",$L4199)),-IF($P4199=1,-$K4199,$K4199),0))))</f>
        <v/>
      </c>
      <c r="U4199" s="6" t="str">
        <f>IF($K4199="","",IF(ISNUMBER(SEARCH("sortie-epargne",IFERROR(INDEX('Paramètres'!$N:$N,MATCH($D4199,'Paramètres'!$M:$M,0))&amp;"",""))),$K4199,0))</f>
        <v/>
      </c>
      <c r="V4199" s="6" t="str">
        <f>IF(AND($A4199&lt;&gt;"",$O4199=1,$L4199="Débit",N($Q4199)&gt;0,$A4199&gt;=Visualisation!$B$1,$A4199&lt;Visualisation!$D$1),MAX($V$1:V4198)+1,"")</f>
        <v/>
      </c>
    </row>
    <row r="4200" spans="1:22" x14ac:dyDescent="0.25">
      <c r="A4200" s="9"/>
      <c r="E4200" s="10"/>
      <c r="K4200" s="11" t="str">
        <f>IF($E4200="","",ROUND($E4200*IF(ISNA(MATCH($C4200,'Paramètres'!$D:$D,0)),1,IF(INDEX('Paramètres'!$J:$J,MATCH($C4200,'Paramètres'!$D:$D,0))="",1,INDEX('Paramètres'!$J:$J,MATCH($C4200,'Paramètres'!$D:$D,0)))),2))</f>
        <v/>
      </c>
      <c r="L4200" s="6" t="str">
        <f>IF($D4200="","",IF($F4200&lt;&gt;"",$F4200,IF(ISNA(MATCH($D4200,'Paramètres'!$M:$M,0)),"⚠ Type inconnu",IFERROR(INDEX('Paramètres'!$P:$P,MATCH($D4200,'Paramètres'!$M:$M,0))&amp;"",""))))</f>
        <v/>
      </c>
      <c r="M4200" s="6" t="str">
        <f>IF($D4200="","",IF(ISNA(MATCH($D4200,'Paramètres'!$M:$M,0)),"⚠ Type inconnu",IF($L4200="Crédit","",IFERROR(INDEX('Paramètres'!$O:$O,MATCH($D4200,'Paramètres'!$M:$M,0))&amp;"",""))))</f>
        <v/>
      </c>
      <c r="N4200" s="6" t="str">
        <f>IF($D4200="","",IFERROR(INDEX('Paramètres'!$Q:$Q,MATCH($D4200,'Paramètres'!$M:$M,0))&amp;"",""))</f>
        <v/>
      </c>
      <c r="O4200" s="6" t="str">
        <f>IF($A4200="","",IF(OR($J4200&lt;&gt;"x",$A4200&lt;=FinReleve),1,0))</f>
        <v/>
      </c>
      <c r="P4200" s="6" t="str">
        <f>IF($D4200="","",IF(AND($L4200="Crédit",OR(IFERROR(INDEX('Paramètres'!$O:$O,MATCH($D4200,'Paramètres'!$M:$M,0))&amp;"","")&lt;&gt;"",ISNUMBER(SEARCH("remboursement",IFERROR(INDEX('Paramètres'!$N:$N,MATCH($D4200,'Paramètres'!$M:$M,0))&amp;"",""))))),1,0))</f>
        <v/>
      </c>
      <c r="Q4200" s="6" t="str">
        <f>IF($K4200="","",IF(ISNUMBER(SEARCH("transfert-interne",IFERROR(INDEX('Paramètres'!$N:$N,MATCH($D4200,'Paramètres'!$M:$M,0))&amp;"",""))),0,IF($L4200="Débit",$K4200,IF($P4200=1,-$K4200,0))))</f>
        <v/>
      </c>
      <c r="R4200" s="6" t="str">
        <f>IF($K4200="","",IF($L4200="Crédit",$K4200,-$K4200))</f>
        <v/>
      </c>
      <c r="S4200" s="6" t="str">
        <f>IF($C4200="","",IFERROR(INDEX('Paramètres'!$H:$H,MATCH($C4200,'Paramètres'!$D:$D,0))&amp;"",""))</f>
        <v/>
      </c>
      <c r="T4200" s="6" t="str">
        <f>IF($K4200="","",IF($S4200="",0,IF(ISNUMBER(SEARCH("apport-exterieur",IFERROR(INDEX('Paramètres'!$N:$N,MATCH($D4200,'Paramètres'!$M:$M,0))&amp;"",""))),0,IF(OR(IFERROR(INDEX('Paramètres'!$I:$I,MATCH($C4200,'Paramètres'!$D:$D,0))&amp;"","")="Les deux",IFERROR(INDEX('Paramètres'!$I:$I,MATCH($C4200,'Paramètres'!$D:$D,0))&amp;"","")=IF($P4200=1,"Débit",$L4200)),-IF($P4200=1,-$K4200,$K4200),0))))</f>
        <v/>
      </c>
      <c r="U4200" s="6" t="str">
        <f>IF($K4200="","",IF(ISNUMBER(SEARCH("sortie-epargne",IFERROR(INDEX('Paramètres'!$N:$N,MATCH($D4200,'Paramètres'!$M:$M,0))&amp;"",""))),$K4200,0))</f>
        <v/>
      </c>
      <c r="V4200" s="6" t="str">
        <f>IF(AND($A4200&lt;&gt;"",$O4200=1,$L4200="Débit",N($Q4200)&gt;0,$A4200&gt;=Visualisation!$B$1,$A4200&lt;Visualisation!$D$1),MAX($V$1:V4199)+1,"")</f>
        <v/>
      </c>
    </row>
    <row r="4201" spans="1:22" x14ac:dyDescent="0.25">
      <c r="A4201" s="9"/>
      <c r="E4201" s="10"/>
      <c r="K4201" s="11" t="str">
        <f>IF($E4201="","",ROUND($E4201*IF(ISNA(MATCH($C4201,'Paramètres'!$D:$D,0)),1,IF(INDEX('Paramètres'!$J:$J,MATCH($C4201,'Paramètres'!$D:$D,0))="",1,INDEX('Paramètres'!$J:$J,MATCH($C4201,'Paramètres'!$D:$D,0)))),2))</f>
        <v/>
      </c>
      <c r="L4201" s="6" t="str">
        <f>IF($D4201="","",IF($F4201&lt;&gt;"",$F4201,IF(ISNA(MATCH($D4201,'Paramètres'!$M:$M,0)),"⚠ Type inconnu",IFERROR(INDEX('Paramètres'!$P:$P,MATCH($D4201,'Paramètres'!$M:$M,0))&amp;"",""))))</f>
        <v/>
      </c>
      <c r="M4201" s="6" t="str">
        <f>IF($D4201="","",IF(ISNA(MATCH($D4201,'Paramètres'!$M:$M,0)),"⚠ Type inconnu",IF($L4201="Crédit","",IFERROR(INDEX('Paramètres'!$O:$O,MATCH($D4201,'Paramètres'!$M:$M,0))&amp;"",""))))</f>
        <v/>
      </c>
      <c r="N4201" s="6" t="str">
        <f>IF($D4201="","",IFERROR(INDEX('Paramètres'!$Q:$Q,MATCH($D4201,'Paramètres'!$M:$M,0))&amp;"",""))</f>
        <v/>
      </c>
      <c r="O4201" s="6" t="str">
        <f>IF($A4201="","",IF(OR($J4201&lt;&gt;"x",$A4201&lt;=FinReleve),1,0))</f>
        <v/>
      </c>
      <c r="P4201" s="6" t="str">
        <f>IF($D4201="","",IF(AND($L4201="Crédit",OR(IFERROR(INDEX('Paramètres'!$O:$O,MATCH($D4201,'Paramètres'!$M:$M,0))&amp;"","")&lt;&gt;"",ISNUMBER(SEARCH("remboursement",IFERROR(INDEX('Paramètres'!$N:$N,MATCH($D4201,'Paramètres'!$M:$M,0))&amp;"",""))))),1,0))</f>
        <v/>
      </c>
      <c r="Q4201" s="6" t="str">
        <f>IF($K4201="","",IF(ISNUMBER(SEARCH("transfert-interne",IFERROR(INDEX('Paramètres'!$N:$N,MATCH($D4201,'Paramètres'!$M:$M,0))&amp;"",""))),0,IF($L4201="Débit",$K4201,IF($P4201=1,-$K4201,0))))</f>
        <v/>
      </c>
      <c r="R4201" s="6" t="str">
        <f>IF($K4201="","",IF($L4201="Crédit",$K4201,-$K4201))</f>
        <v/>
      </c>
      <c r="S4201" s="6" t="str">
        <f>IF($C4201="","",IFERROR(INDEX('Paramètres'!$H:$H,MATCH($C4201,'Paramètres'!$D:$D,0))&amp;"",""))</f>
        <v/>
      </c>
      <c r="T4201" s="6" t="str">
        <f>IF($K4201="","",IF($S4201="",0,IF(ISNUMBER(SEARCH("apport-exterieur",IFERROR(INDEX('Paramètres'!$N:$N,MATCH($D4201,'Paramètres'!$M:$M,0))&amp;"",""))),0,IF(OR(IFERROR(INDEX('Paramètres'!$I:$I,MATCH($C4201,'Paramètres'!$D:$D,0))&amp;"","")="Les deux",IFERROR(INDEX('Paramètres'!$I:$I,MATCH($C4201,'Paramètres'!$D:$D,0))&amp;"","")=IF($P4201=1,"Débit",$L4201)),-IF($P4201=1,-$K4201,$K4201),0))))</f>
        <v/>
      </c>
      <c r="U4201" s="6" t="str">
        <f>IF($K4201="","",IF(ISNUMBER(SEARCH("sortie-epargne",IFERROR(INDEX('Paramètres'!$N:$N,MATCH($D4201,'Paramètres'!$M:$M,0))&amp;"",""))),$K4201,0))</f>
        <v/>
      </c>
      <c r="V4201" s="6" t="str">
        <f>IF(AND($A4201&lt;&gt;"",$O4201=1,$L4201="Débit",N($Q4201)&gt;0,$A4201&gt;=Visualisation!$B$1,$A4201&lt;Visualisation!$D$1),MAX($V$1:V4200)+1,"")</f>
        <v/>
      </c>
    </row>
    <row r="4202" spans="1:22" x14ac:dyDescent="0.25">
      <c r="A4202" s="9"/>
      <c r="E4202" s="10"/>
      <c r="K4202" s="11" t="str">
        <f>IF($E4202="","",ROUND($E4202*IF(ISNA(MATCH($C4202,'Paramètres'!$D:$D,0)),1,IF(INDEX('Paramètres'!$J:$J,MATCH($C4202,'Paramètres'!$D:$D,0))="",1,INDEX('Paramètres'!$J:$J,MATCH($C4202,'Paramètres'!$D:$D,0)))),2))</f>
        <v/>
      </c>
      <c r="L4202" s="6" t="str">
        <f>IF($D4202="","",IF($F4202&lt;&gt;"",$F4202,IF(ISNA(MATCH($D4202,'Paramètres'!$M:$M,0)),"⚠ Type inconnu",IFERROR(INDEX('Paramètres'!$P:$P,MATCH($D4202,'Paramètres'!$M:$M,0))&amp;"",""))))</f>
        <v/>
      </c>
      <c r="M4202" s="6" t="str">
        <f>IF($D4202="","",IF(ISNA(MATCH($D4202,'Paramètres'!$M:$M,0)),"⚠ Type inconnu",IF($L4202="Crédit","",IFERROR(INDEX('Paramètres'!$O:$O,MATCH($D4202,'Paramètres'!$M:$M,0))&amp;"",""))))</f>
        <v/>
      </c>
      <c r="N4202" s="6" t="str">
        <f>IF($D4202="","",IFERROR(INDEX('Paramètres'!$Q:$Q,MATCH($D4202,'Paramètres'!$M:$M,0))&amp;"",""))</f>
        <v/>
      </c>
      <c r="O4202" s="6" t="str">
        <f>IF($A4202="","",IF(OR($J4202&lt;&gt;"x",$A4202&lt;=FinReleve),1,0))</f>
        <v/>
      </c>
      <c r="P4202" s="6" t="str">
        <f>IF($D4202="","",IF(AND($L4202="Crédit",OR(IFERROR(INDEX('Paramètres'!$O:$O,MATCH($D4202,'Paramètres'!$M:$M,0))&amp;"","")&lt;&gt;"",ISNUMBER(SEARCH("remboursement",IFERROR(INDEX('Paramètres'!$N:$N,MATCH($D4202,'Paramètres'!$M:$M,0))&amp;"",""))))),1,0))</f>
        <v/>
      </c>
      <c r="Q4202" s="6" t="str">
        <f>IF($K4202="","",IF(ISNUMBER(SEARCH("transfert-interne",IFERROR(INDEX('Paramètres'!$N:$N,MATCH($D4202,'Paramètres'!$M:$M,0))&amp;"",""))),0,IF($L4202="Débit",$K4202,IF($P4202=1,-$K4202,0))))</f>
        <v/>
      </c>
      <c r="R4202" s="6" t="str">
        <f>IF($K4202="","",IF($L4202="Crédit",$K4202,-$K4202))</f>
        <v/>
      </c>
      <c r="S4202" s="6" t="str">
        <f>IF($C4202="","",IFERROR(INDEX('Paramètres'!$H:$H,MATCH($C4202,'Paramètres'!$D:$D,0))&amp;"",""))</f>
        <v/>
      </c>
      <c r="T4202" s="6" t="str">
        <f>IF($K4202="","",IF($S4202="",0,IF(ISNUMBER(SEARCH("apport-exterieur",IFERROR(INDEX('Paramètres'!$N:$N,MATCH($D4202,'Paramètres'!$M:$M,0))&amp;"",""))),0,IF(OR(IFERROR(INDEX('Paramètres'!$I:$I,MATCH($C4202,'Paramètres'!$D:$D,0))&amp;"","")="Les deux",IFERROR(INDEX('Paramètres'!$I:$I,MATCH($C4202,'Paramètres'!$D:$D,0))&amp;"","")=IF($P4202=1,"Débit",$L4202)),-IF($P4202=1,-$K4202,$K4202),0))))</f>
        <v/>
      </c>
      <c r="U4202" s="6" t="str">
        <f>IF($K4202="","",IF(ISNUMBER(SEARCH("sortie-epargne",IFERROR(INDEX('Paramètres'!$N:$N,MATCH($D4202,'Paramètres'!$M:$M,0))&amp;"",""))),$K4202,0))</f>
        <v/>
      </c>
      <c r="V4202" s="6" t="str">
        <f>IF(AND($A4202&lt;&gt;"",$O4202=1,$L4202="Débit",N($Q4202)&gt;0,$A4202&gt;=Visualisation!$B$1,$A4202&lt;Visualisation!$D$1),MAX($V$1:V4201)+1,"")</f>
        <v/>
      </c>
    </row>
    <row r="4203" spans="1:22" x14ac:dyDescent="0.25">
      <c r="A4203" s="9"/>
      <c r="E4203" s="10"/>
      <c r="K4203" s="11" t="str">
        <f>IF($E4203="","",ROUND($E4203*IF(ISNA(MATCH($C4203,'Paramètres'!$D:$D,0)),1,IF(INDEX('Paramètres'!$J:$J,MATCH($C4203,'Paramètres'!$D:$D,0))="",1,INDEX('Paramètres'!$J:$J,MATCH($C4203,'Paramètres'!$D:$D,0)))),2))</f>
        <v/>
      </c>
      <c r="L4203" s="6" t="str">
        <f>IF($D4203="","",IF($F4203&lt;&gt;"",$F4203,IF(ISNA(MATCH($D4203,'Paramètres'!$M:$M,0)),"⚠ Type inconnu",IFERROR(INDEX('Paramètres'!$P:$P,MATCH($D4203,'Paramètres'!$M:$M,0))&amp;"",""))))</f>
        <v/>
      </c>
      <c r="M4203" s="6" t="str">
        <f>IF($D4203="","",IF(ISNA(MATCH($D4203,'Paramètres'!$M:$M,0)),"⚠ Type inconnu",IF($L4203="Crédit","",IFERROR(INDEX('Paramètres'!$O:$O,MATCH($D4203,'Paramètres'!$M:$M,0))&amp;"",""))))</f>
        <v/>
      </c>
      <c r="N4203" s="6" t="str">
        <f>IF($D4203="","",IFERROR(INDEX('Paramètres'!$Q:$Q,MATCH($D4203,'Paramètres'!$M:$M,0))&amp;"",""))</f>
        <v/>
      </c>
      <c r="O4203" s="6" t="str">
        <f>IF($A4203="","",IF(OR($J4203&lt;&gt;"x",$A4203&lt;=FinReleve),1,0))</f>
        <v/>
      </c>
      <c r="P4203" s="6" t="str">
        <f>IF($D4203="","",IF(AND($L4203="Crédit",OR(IFERROR(INDEX('Paramètres'!$O:$O,MATCH($D4203,'Paramètres'!$M:$M,0))&amp;"","")&lt;&gt;"",ISNUMBER(SEARCH("remboursement",IFERROR(INDEX('Paramètres'!$N:$N,MATCH($D4203,'Paramètres'!$M:$M,0))&amp;"",""))))),1,0))</f>
        <v/>
      </c>
      <c r="Q4203" s="6" t="str">
        <f>IF($K4203="","",IF(ISNUMBER(SEARCH("transfert-interne",IFERROR(INDEX('Paramètres'!$N:$N,MATCH($D4203,'Paramètres'!$M:$M,0))&amp;"",""))),0,IF($L4203="Débit",$K4203,IF($P4203=1,-$K4203,0))))</f>
        <v/>
      </c>
      <c r="R4203" s="6" t="str">
        <f>IF($K4203="","",IF($L4203="Crédit",$K4203,-$K4203))</f>
        <v/>
      </c>
      <c r="S4203" s="6" t="str">
        <f>IF($C4203="","",IFERROR(INDEX('Paramètres'!$H:$H,MATCH($C4203,'Paramètres'!$D:$D,0))&amp;"",""))</f>
        <v/>
      </c>
      <c r="T4203" s="6" t="str">
        <f>IF($K4203="","",IF($S4203="",0,IF(ISNUMBER(SEARCH("apport-exterieur",IFERROR(INDEX('Paramètres'!$N:$N,MATCH($D4203,'Paramètres'!$M:$M,0))&amp;"",""))),0,IF(OR(IFERROR(INDEX('Paramètres'!$I:$I,MATCH($C4203,'Paramètres'!$D:$D,0))&amp;"","")="Les deux",IFERROR(INDEX('Paramètres'!$I:$I,MATCH($C4203,'Paramètres'!$D:$D,0))&amp;"","")=IF($P4203=1,"Débit",$L4203)),-IF($P4203=1,-$K4203,$K4203),0))))</f>
        <v/>
      </c>
      <c r="U4203" s="6" t="str">
        <f>IF($K4203="","",IF(ISNUMBER(SEARCH("sortie-epargne",IFERROR(INDEX('Paramètres'!$N:$N,MATCH($D4203,'Paramètres'!$M:$M,0))&amp;"",""))),$K4203,0))</f>
        <v/>
      </c>
      <c r="V4203" s="6" t="str">
        <f>IF(AND($A4203&lt;&gt;"",$O4203=1,$L4203="Débit",N($Q4203)&gt;0,$A4203&gt;=Visualisation!$B$1,$A4203&lt;Visualisation!$D$1),MAX($V$1:V4202)+1,"")</f>
        <v/>
      </c>
    </row>
    <row r="4204" spans="1:22" x14ac:dyDescent="0.25">
      <c r="A4204" s="9"/>
      <c r="E4204" s="10"/>
      <c r="K4204" s="11" t="str">
        <f>IF($E4204="","",ROUND($E4204*IF(ISNA(MATCH($C4204,'Paramètres'!$D:$D,0)),1,IF(INDEX('Paramètres'!$J:$J,MATCH($C4204,'Paramètres'!$D:$D,0))="",1,INDEX('Paramètres'!$J:$J,MATCH($C4204,'Paramètres'!$D:$D,0)))),2))</f>
        <v/>
      </c>
      <c r="L4204" s="6" t="str">
        <f>IF($D4204="","",IF($F4204&lt;&gt;"",$F4204,IF(ISNA(MATCH($D4204,'Paramètres'!$M:$M,0)),"⚠ Type inconnu",IFERROR(INDEX('Paramètres'!$P:$P,MATCH($D4204,'Paramètres'!$M:$M,0))&amp;"",""))))</f>
        <v/>
      </c>
      <c r="M4204" s="6" t="str">
        <f>IF($D4204="","",IF(ISNA(MATCH($D4204,'Paramètres'!$M:$M,0)),"⚠ Type inconnu",IF($L4204="Crédit","",IFERROR(INDEX('Paramètres'!$O:$O,MATCH($D4204,'Paramètres'!$M:$M,0))&amp;"",""))))</f>
        <v/>
      </c>
      <c r="N4204" s="6" t="str">
        <f>IF($D4204="","",IFERROR(INDEX('Paramètres'!$Q:$Q,MATCH($D4204,'Paramètres'!$M:$M,0))&amp;"",""))</f>
        <v/>
      </c>
      <c r="O4204" s="6" t="str">
        <f>IF($A4204="","",IF(OR($J4204&lt;&gt;"x",$A4204&lt;=FinReleve),1,0))</f>
        <v/>
      </c>
      <c r="P4204" s="6" t="str">
        <f>IF($D4204="","",IF(AND($L4204="Crédit",OR(IFERROR(INDEX('Paramètres'!$O:$O,MATCH($D4204,'Paramètres'!$M:$M,0))&amp;"","")&lt;&gt;"",ISNUMBER(SEARCH("remboursement",IFERROR(INDEX('Paramètres'!$N:$N,MATCH($D4204,'Paramètres'!$M:$M,0))&amp;"",""))))),1,0))</f>
        <v/>
      </c>
      <c r="Q4204" s="6" t="str">
        <f>IF($K4204="","",IF(ISNUMBER(SEARCH("transfert-interne",IFERROR(INDEX('Paramètres'!$N:$N,MATCH($D4204,'Paramètres'!$M:$M,0))&amp;"",""))),0,IF($L4204="Débit",$K4204,IF($P4204=1,-$K4204,0))))</f>
        <v/>
      </c>
      <c r="R4204" s="6" t="str">
        <f>IF($K4204="","",IF($L4204="Crédit",$K4204,-$K4204))</f>
        <v/>
      </c>
      <c r="S4204" s="6" t="str">
        <f>IF($C4204="","",IFERROR(INDEX('Paramètres'!$H:$H,MATCH($C4204,'Paramètres'!$D:$D,0))&amp;"",""))</f>
        <v/>
      </c>
      <c r="T4204" s="6" t="str">
        <f>IF($K4204="","",IF($S4204="",0,IF(ISNUMBER(SEARCH("apport-exterieur",IFERROR(INDEX('Paramètres'!$N:$N,MATCH($D4204,'Paramètres'!$M:$M,0))&amp;"",""))),0,IF(OR(IFERROR(INDEX('Paramètres'!$I:$I,MATCH($C4204,'Paramètres'!$D:$D,0))&amp;"","")="Les deux",IFERROR(INDEX('Paramètres'!$I:$I,MATCH($C4204,'Paramètres'!$D:$D,0))&amp;"","")=IF($P4204=1,"Débit",$L4204)),-IF($P4204=1,-$K4204,$K4204),0))))</f>
        <v/>
      </c>
      <c r="U4204" s="6" t="str">
        <f>IF($K4204="","",IF(ISNUMBER(SEARCH("sortie-epargne",IFERROR(INDEX('Paramètres'!$N:$N,MATCH($D4204,'Paramètres'!$M:$M,0))&amp;"",""))),$K4204,0))</f>
        <v/>
      </c>
      <c r="V4204" s="6" t="str">
        <f>IF(AND($A4204&lt;&gt;"",$O4204=1,$L4204="Débit",N($Q4204)&gt;0,$A4204&gt;=Visualisation!$B$1,$A4204&lt;Visualisation!$D$1),MAX($V$1:V4203)+1,"")</f>
        <v/>
      </c>
    </row>
    <row r="4205" spans="1:22" x14ac:dyDescent="0.25">
      <c r="A4205" s="9"/>
      <c r="E4205" s="10"/>
      <c r="K4205" s="11" t="str">
        <f>IF($E4205="","",ROUND($E4205*IF(ISNA(MATCH($C4205,'Paramètres'!$D:$D,0)),1,IF(INDEX('Paramètres'!$J:$J,MATCH($C4205,'Paramètres'!$D:$D,0))="",1,INDEX('Paramètres'!$J:$J,MATCH($C4205,'Paramètres'!$D:$D,0)))),2))</f>
        <v/>
      </c>
      <c r="L4205" s="6" t="str">
        <f>IF($D4205="","",IF($F4205&lt;&gt;"",$F4205,IF(ISNA(MATCH($D4205,'Paramètres'!$M:$M,0)),"⚠ Type inconnu",IFERROR(INDEX('Paramètres'!$P:$P,MATCH($D4205,'Paramètres'!$M:$M,0))&amp;"",""))))</f>
        <v/>
      </c>
      <c r="M4205" s="6" t="str">
        <f>IF($D4205="","",IF(ISNA(MATCH($D4205,'Paramètres'!$M:$M,0)),"⚠ Type inconnu",IF($L4205="Crédit","",IFERROR(INDEX('Paramètres'!$O:$O,MATCH($D4205,'Paramètres'!$M:$M,0))&amp;"",""))))</f>
        <v/>
      </c>
      <c r="N4205" s="6" t="str">
        <f>IF($D4205="","",IFERROR(INDEX('Paramètres'!$Q:$Q,MATCH($D4205,'Paramètres'!$M:$M,0))&amp;"",""))</f>
        <v/>
      </c>
      <c r="O4205" s="6" t="str">
        <f>IF($A4205="","",IF(OR($J4205&lt;&gt;"x",$A4205&lt;=FinReleve),1,0))</f>
        <v/>
      </c>
      <c r="P4205" s="6" t="str">
        <f>IF($D4205="","",IF(AND($L4205="Crédit",OR(IFERROR(INDEX('Paramètres'!$O:$O,MATCH($D4205,'Paramètres'!$M:$M,0))&amp;"","")&lt;&gt;"",ISNUMBER(SEARCH("remboursement",IFERROR(INDEX('Paramètres'!$N:$N,MATCH($D4205,'Paramètres'!$M:$M,0))&amp;"",""))))),1,0))</f>
        <v/>
      </c>
      <c r="Q4205" s="6" t="str">
        <f>IF($K4205="","",IF(ISNUMBER(SEARCH("transfert-interne",IFERROR(INDEX('Paramètres'!$N:$N,MATCH($D4205,'Paramètres'!$M:$M,0))&amp;"",""))),0,IF($L4205="Débit",$K4205,IF($P4205=1,-$K4205,0))))</f>
        <v/>
      </c>
      <c r="R4205" s="6" t="str">
        <f>IF($K4205="","",IF($L4205="Crédit",$K4205,-$K4205))</f>
        <v/>
      </c>
      <c r="S4205" s="6" t="str">
        <f>IF($C4205="","",IFERROR(INDEX('Paramètres'!$H:$H,MATCH($C4205,'Paramètres'!$D:$D,0))&amp;"",""))</f>
        <v/>
      </c>
      <c r="T4205" s="6" t="str">
        <f>IF($K4205="","",IF($S4205="",0,IF(ISNUMBER(SEARCH("apport-exterieur",IFERROR(INDEX('Paramètres'!$N:$N,MATCH($D4205,'Paramètres'!$M:$M,0))&amp;"",""))),0,IF(OR(IFERROR(INDEX('Paramètres'!$I:$I,MATCH($C4205,'Paramètres'!$D:$D,0))&amp;"","")="Les deux",IFERROR(INDEX('Paramètres'!$I:$I,MATCH($C4205,'Paramètres'!$D:$D,0))&amp;"","")=IF($P4205=1,"Débit",$L4205)),-IF($P4205=1,-$K4205,$K4205),0))))</f>
        <v/>
      </c>
      <c r="U4205" s="6" t="str">
        <f>IF($K4205="","",IF(ISNUMBER(SEARCH("sortie-epargne",IFERROR(INDEX('Paramètres'!$N:$N,MATCH($D4205,'Paramètres'!$M:$M,0))&amp;"",""))),$K4205,0))</f>
        <v/>
      </c>
      <c r="V4205" s="6" t="str">
        <f>IF(AND($A4205&lt;&gt;"",$O4205=1,$L4205="Débit",N($Q4205)&gt;0,$A4205&gt;=Visualisation!$B$1,$A4205&lt;Visualisation!$D$1),MAX($V$1:V4204)+1,"")</f>
        <v/>
      </c>
    </row>
    <row r="4206" spans="1:22" x14ac:dyDescent="0.25">
      <c r="A4206" s="9"/>
      <c r="E4206" s="10"/>
      <c r="K4206" s="11" t="str">
        <f>IF($E4206="","",ROUND($E4206*IF(ISNA(MATCH($C4206,'Paramètres'!$D:$D,0)),1,IF(INDEX('Paramètres'!$J:$J,MATCH($C4206,'Paramètres'!$D:$D,0))="",1,INDEX('Paramètres'!$J:$J,MATCH($C4206,'Paramètres'!$D:$D,0)))),2))</f>
        <v/>
      </c>
      <c r="L4206" s="6" t="str">
        <f>IF($D4206="","",IF($F4206&lt;&gt;"",$F4206,IF(ISNA(MATCH($D4206,'Paramètres'!$M:$M,0)),"⚠ Type inconnu",IFERROR(INDEX('Paramètres'!$P:$P,MATCH($D4206,'Paramètres'!$M:$M,0))&amp;"",""))))</f>
        <v/>
      </c>
      <c r="M4206" s="6" t="str">
        <f>IF($D4206="","",IF(ISNA(MATCH($D4206,'Paramètres'!$M:$M,0)),"⚠ Type inconnu",IF($L4206="Crédit","",IFERROR(INDEX('Paramètres'!$O:$O,MATCH($D4206,'Paramètres'!$M:$M,0))&amp;"",""))))</f>
        <v/>
      </c>
      <c r="N4206" s="6" t="str">
        <f>IF($D4206="","",IFERROR(INDEX('Paramètres'!$Q:$Q,MATCH($D4206,'Paramètres'!$M:$M,0))&amp;"",""))</f>
        <v/>
      </c>
      <c r="O4206" s="6" t="str">
        <f>IF($A4206="","",IF(OR($J4206&lt;&gt;"x",$A4206&lt;=FinReleve),1,0))</f>
        <v/>
      </c>
      <c r="P4206" s="6" t="str">
        <f>IF($D4206="","",IF(AND($L4206="Crédit",OR(IFERROR(INDEX('Paramètres'!$O:$O,MATCH($D4206,'Paramètres'!$M:$M,0))&amp;"","")&lt;&gt;"",ISNUMBER(SEARCH("remboursement",IFERROR(INDEX('Paramètres'!$N:$N,MATCH($D4206,'Paramètres'!$M:$M,0))&amp;"",""))))),1,0))</f>
        <v/>
      </c>
      <c r="Q4206" s="6" t="str">
        <f>IF($K4206="","",IF(ISNUMBER(SEARCH("transfert-interne",IFERROR(INDEX('Paramètres'!$N:$N,MATCH($D4206,'Paramètres'!$M:$M,0))&amp;"",""))),0,IF($L4206="Débit",$K4206,IF($P4206=1,-$K4206,0))))</f>
        <v/>
      </c>
      <c r="R4206" s="6" t="str">
        <f>IF($K4206="","",IF($L4206="Crédit",$K4206,-$K4206))</f>
        <v/>
      </c>
      <c r="S4206" s="6" t="str">
        <f>IF($C4206="","",IFERROR(INDEX('Paramètres'!$H:$H,MATCH($C4206,'Paramètres'!$D:$D,0))&amp;"",""))</f>
        <v/>
      </c>
      <c r="T4206" s="6" t="str">
        <f>IF($K4206="","",IF($S4206="",0,IF(ISNUMBER(SEARCH("apport-exterieur",IFERROR(INDEX('Paramètres'!$N:$N,MATCH($D4206,'Paramètres'!$M:$M,0))&amp;"",""))),0,IF(OR(IFERROR(INDEX('Paramètres'!$I:$I,MATCH($C4206,'Paramètres'!$D:$D,0))&amp;"","")="Les deux",IFERROR(INDEX('Paramètres'!$I:$I,MATCH($C4206,'Paramètres'!$D:$D,0))&amp;"","")=IF($P4206=1,"Débit",$L4206)),-IF($P4206=1,-$K4206,$K4206),0))))</f>
        <v/>
      </c>
      <c r="U4206" s="6" t="str">
        <f>IF($K4206="","",IF(ISNUMBER(SEARCH("sortie-epargne",IFERROR(INDEX('Paramètres'!$N:$N,MATCH($D4206,'Paramètres'!$M:$M,0))&amp;"",""))),$K4206,0))</f>
        <v/>
      </c>
      <c r="V4206" s="6" t="str">
        <f>IF(AND($A4206&lt;&gt;"",$O4206=1,$L4206="Débit",N($Q4206)&gt;0,$A4206&gt;=Visualisation!$B$1,$A4206&lt;Visualisation!$D$1),MAX($V$1:V4205)+1,"")</f>
        <v/>
      </c>
    </row>
    <row r="4207" spans="1:22" x14ac:dyDescent="0.25">
      <c r="A4207" s="9"/>
      <c r="E4207" s="10"/>
      <c r="K4207" s="11" t="str">
        <f>IF($E4207="","",ROUND($E4207*IF(ISNA(MATCH($C4207,'Paramètres'!$D:$D,0)),1,IF(INDEX('Paramètres'!$J:$J,MATCH($C4207,'Paramètres'!$D:$D,0))="",1,INDEX('Paramètres'!$J:$J,MATCH($C4207,'Paramètres'!$D:$D,0)))),2))</f>
        <v/>
      </c>
      <c r="L4207" s="6" t="str">
        <f>IF($D4207="","",IF($F4207&lt;&gt;"",$F4207,IF(ISNA(MATCH($D4207,'Paramètres'!$M:$M,0)),"⚠ Type inconnu",IFERROR(INDEX('Paramètres'!$P:$P,MATCH($D4207,'Paramètres'!$M:$M,0))&amp;"",""))))</f>
        <v/>
      </c>
      <c r="M4207" s="6" t="str">
        <f>IF($D4207="","",IF(ISNA(MATCH($D4207,'Paramètres'!$M:$M,0)),"⚠ Type inconnu",IF($L4207="Crédit","",IFERROR(INDEX('Paramètres'!$O:$O,MATCH($D4207,'Paramètres'!$M:$M,0))&amp;"",""))))</f>
        <v/>
      </c>
      <c r="N4207" s="6" t="str">
        <f>IF($D4207="","",IFERROR(INDEX('Paramètres'!$Q:$Q,MATCH($D4207,'Paramètres'!$M:$M,0))&amp;"",""))</f>
        <v/>
      </c>
      <c r="O4207" s="6" t="str">
        <f>IF($A4207="","",IF(OR($J4207&lt;&gt;"x",$A4207&lt;=FinReleve),1,0))</f>
        <v/>
      </c>
      <c r="P4207" s="6" t="str">
        <f>IF($D4207="","",IF(AND($L4207="Crédit",OR(IFERROR(INDEX('Paramètres'!$O:$O,MATCH($D4207,'Paramètres'!$M:$M,0))&amp;"","")&lt;&gt;"",ISNUMBER(SEARCH("remboursement",IFERROR(INDEX('Paramètres'!$N:$N,MATCH($D4207,'Paramètres'!$M:$M,0))&amp;"",""))))),1,0))</f>
        <v/>
      </c>
      <c r="Q4207" s="6" t="str">
        <f>IF($K4207="","",IF(ISNUMBER(SEARCH("transfert-interne",IFERROR(INDEX('Paramètres'!$N:$N,MATCH($D4207,'Paramètres'!$M:$M,0))&amp;"",""))),0,IF($L4207="Débit",$K4207,IF($P4207=1,-$K4207,0))))</f>
        <v/>
      </c>
      <c r="R4207" s="6" t="str">
        <f>IF($K4207="","",IF($L4207="Crédit",$K4207,-$K4207))</f>
        <v/>
      </c>
      <c r="S4207" s="6" t="str">
        <f>IF($C4207="","",IFERROR(INDEX('Paramètres'!$H:$H,MATCH($C4207,'Paramètres'!$D:$D,0))&amp;"",""))</f>
        <v/>
      </c>
      <c r="T4207" s="6" t="str">
        <f>IF($K4207="","",IF($S4207="",0,IF(ISNUMBER(SEARCH("apport-exterieur",IFERROR(INDEX('Paramètres'!$N:$N,MATCH($D4207,'Paramètres'!$M:$M,0))&amp;"",""))),0,IF(OR(IFERROR(INDEX('Paramètres'!$I:$I,MATCH($C4207,'Paramètres'!$D:$D,0))&amp;"","")="Les deux",IFERROR(INDEX('Paramètres'!$I:$I,MATCH($C4207,'Paramètres'!$D:$D,0))&amp;"","")=IF($P4207=1,"Débit",$L4207)),-IF($P4207=1,-$K4207,$K4207),0))))</f>
        <v/>
      </c>
      <c r="U4207" s="6" t="str">
        <f>IF($K4207="","",IF(ISNUMBER(SEARCH("sortie-epargne",IFERROR(INDEX('Paramètres'!$N:$N,MATCH($D4207,'Paramètres'!$M:$M,0))&amp;"",""))),$K4207,0))</f>
        <v/>
      </c>
      <c r="V4207" s="6" t="str">
        <f>IF(AND($A4207&lt;&gt;"",$O4207=1,$L4207="Débit",N($Q4207)&gt;0,$A4207&gt;=Visualisation!$B$1,$A4207&lt;Visualisation!$D$1),MAX($V$1:V4206)+1,"")</f>
        <v/>
      </c>
    </row>
    <row r="4208" spans="1:22" x14ac:dyDescent="0.25">
      <c r="A4208" s="9"/>
      <c r="E4208" s="10"/>
      <c r="K4208" s="11" t="str">
        <f>IF($E4208="","",ROUND($E4208*IF(ISNA(MATCH($C4208,'Paramètres'!$D:$D,0)),1,IF(INDEX('Paramètres'!$J:$J,MATCH($C4208,'Paramètres'!$D:$D,0))="",1,INDEX('Paramètres'!$J:$J,MATCH($C4208,'Paramètres'!$D:$D,0)))),2))</f>
        <v/>
      </c>
      <c r="L4208" s="6" t="str">
        <f>IF($D4208="","",IF($F4208&lt;&gt;"",$F4208,IF(ISNA(MATCH($D4208,'Paramètres'!$M:$M,0)),"⚠ Type inconnu",IFERROR(INDEX('Paramètres'!$P:$P,MATCH($D4208,'Paramètres'!$M:$M,0))&amp;"",""))))</f>
        <v/>
      </c>
      <c r="M4208" s="6" t="str">
        <f>IF($D4208="","",IF(ISNA(MATCH($D4208,'Paramètres'!$M:$M,0)),"⚠ Type inconnu",IF($L4208="Crédit","",IFERROR(INDEX('Paramètres'!$O:$O,MATCH($D4208,'Paramètres'!$M:$M,0))&amp;"",""))))</f>
        <v/>
      </c>
      <c r="N4208" s="6" t="str">
        <f>IF($D4208="","",IFERROR(INDEX('Paramètres'!$Q:$Q,MATCH($D4208,'Paramètres'!$M:$M,0))&amp;"",""))</f>
        <v/>
      </c>
      <c r="O4208" s="6" t="str">
        <f>IF($A4208="","",IF(OR($J4208&lt;&gt;"x",$A4208&lt;=FinReleve),1,0))</f>
        <v/>
      </c>
      <c r="P4208" s="6" t="str">
        <f>IF($D4208="","",IF(AND($L4208="Crédit",OR(IFERROR(INDEX('Paramètres'!$O:$O,MATCH($D4208,'Paramètres'!$M:$M,0))&amp;"","")&lt;&gt;"",ISNUMBER(SEARCH("remboursement",IFERROR(INDEX('Paramètres'!$N:$N,MATCH($D4208,'Paramètres'!$M:$M,0))&amp;"",""))))),1,0))</f>
        <v/>
      </c>
      <c r="Q4208" s="6" t="str">
        <f>IF($K4208="","",IF(ISNUMBER(SEARCH("transfert-interne",IFERROR(INDEX('Paramètres'!$N:$N,MATCH($D4208,'Paramètres'!$M:$M,0))&amp;"",""))),0,IF($L4208="Débit",$K4208,IF($P4208=1,-$K4208,0))))</f>
        <v/>
      </c>
      <c r="R4208" s="6" t="str">
        <f>IF($K4208="","",IF($L4208="Crédit",$K4208,-$K4208))</f>
        <v/>
      </c>
      <c r="S4208" s="6" t="str">
        <f>IF($C4208="","",IFERROR(INDEX('Paramètres'!$H:$H,MATCH($C4208,'Paramètres'!$D:$D,0))&amp;"",""))</f>
        <v/>
      </c>
      <c r="T4208" s="6" t="str">
        <f>IF($K4208="","",IF($S4208="",0,IF(ISNUMBER(SEARCH("apport-exterieur",IFERROR(INDEX('Paramètres'!$N:$N,MATCH($D4208,'Paramètres'!$M:$M,0))&amp;"",""))),0,IF(OR(IFERROR(INDEX('Paramètres'!$I:$I,MATCH($C4208,'Paramètres'!$D:$D,0))&amp;"","")="Les deux",IFERROR(INDEX('Paramètres'!$I:$I,MATCH($C4208,'Paramètres'!$D:$D,0))&amp;"","")=IF($P4208=1,"Débit",$L4208)),-IF($P4208=1,-$K4208,$K4208),0))))</f>
        <v/>
      </c>
      <c r="U4208" s="6" t="str">
        <f>IF($K4208="","",IF(ISNUMBER(SEARCH("sortie-epargne",IFERROR(INDEX('Paramètres'!$N:$N,MATCH($D4208,'Paramètres'!$M:$M,0))&amp;"",""))),$K4208,0))</f>
        <v/>
      </c>
      <c r="V4208" s="6" t="str">
        <f>IF(AND($A4208&lt;&gt;"",$O4208=1,$L4208="Débit",N($Q4208)&gt;0,$A4208&gt;=Visualisation!$B$1,$A4208&lt;Visualisation!$D$1),MAX($V$1:V4207)+1,"")</f>
        <v/>
      </c>
    </row>
    <row r="4209" spans="1:22" x14ac:dyDescent="0.25">
      <c r="A4209" s="9"/>
      <c r="E4209" s="10"/>
      <c r="K4209" s="11" t="str">
        <f>IF($E4209="","",ROUND($E4209*IF(ISNA(MATCH($C4209,'Paramètres'!$D:$D,0)),1,IF(INDEX('Paramètres'!$J:$J,MATCH($C4209,'Paramètres'!$D:$D,0))="",1,INDEX('Paramètres'!$J:$J,MATCH($C4209,'Paramètres'!$D:$D,0)))),2))</f>
        <v/>
      </c>
      <c r="L4209" s="6" t="str">
        <f>IF($D4209="","",IF($F4209&lt;&gt;"",$F4209,IF(ISNA(MATCH($D4209,'Paramètres'!$M:$M,0)),"⚠ Type inconnu",IFERROR(INDEX('Paramètres'!$P:$P,MATCH($D4209,'Paramètres'!$M:$M,0))&amp;"",""))))</f>
        <v/>
      </c>
      <c r="M4209" s="6" t="str">
        <f>IF($D4209="","",IF(ISNA(MATCH($D4209,'Paramètres'!$M:$M,0)),"⚠ Type inconnu",IF($L4209="Crédit","",IFERROR(INDEX('Paramètres'!$O:$O,MATCH($D4209,'Paramètres'!$M:$M,0))&amp;"",""))))</f>
        <v/>
      </c>
      <c r="N4209" s="6" t="str">
        <f>IF($D4209="","",IFERROR(INDEX('Paramètres'!$Q:$Q,MATCH($D4209,'Paramètres'!$M:$M,0))&amp;"",""))</f>
        <v/>
      </c>
      <c r="O4209" s="6" t="str">
        <f>IF($A4209="","",IF(OR($J4209&lt;&gt;"x",$A4209&lt;=FinReleve),1,0))</f>
        <v/>
      </c>
      <c r="P4209" s="6" t="str">
        <f>IF($D4209="","",IF(AND($L4209="Crédit",OR(IFERROR(INDEX('Paramètres'!$O:$O,MATCH($D4209,'Paramètres'!$M:$M,0))&amp;"","")&lt;&gt;"",ISNUMBER(SEARCH("remboursement",IFERROR(INDEX('Paramètres'!$N:$N,MATCH($D4209,'Paramètres'!$M:$M,0))&amp;"",""))))),1,0))</f>
        <v/>
      </c>
      <c r="Q4209" s="6" t="str">
        <f>IF($K4209="","",IF(ISNUMBER(SEARCH("transfert-interne",IFERROR(INDEX('Paramètres'!$N:$N,MATCH($D4209,'Paramètres'!$M:$M,0))&amp;"",""))),0,IF($L4209="Débit",$K4209,IF($P4209=1,-$K4209,0))))</f>
        <v/>
      </c>
      <c r="R4209" s="6" t="str">
        <f>IF($K4209="","",IF($L4209="Crédit",$K4209,-$K4209))</f>
        <v/>
      </c>
      <c r="S4209" s="6" t="str">
        <f>IF($C4209="","",IFERROR(INDEX('Paramètres'!$H:$H,MATCH($C4209,'Paramètres'!$D:$D,0))&amp;"",""))</f>
        <v/>
      </c>
      <c r="T4209" s="6" t="str">
        <f>IF($K4209="","",IF($S4209="",0,IF(ISNUMBER(SEARCH("apport-exterieur",IFERROR(INDEX('Paramètres'!$N:$N,MATCH($D4209,'Paramètres'!$M:$M,0))&amp;"",""))),0,IF(OR(IFERROR(INDEX('Paramètres'!$I:$I,MATCH($C4209,'Paramètres'!$D:$D,0))&amp;"","")="Les deux",IFERROR(INDEX('Paramètres'!$I:$I,MATCH($C4209,'Paramètres'!$D:$D,0))&amp;"","")=IF($P4209=1,"Débit",$L4209)),-IF($P4209=1,-$K4209,$K4209),0))))</f>
        <v/>
      </c>
      <c r="U4209" s="6" t="str">
        <f>IF($K4209="","",IF(ISNUMBER(SEARCH("sortie-epargne",IFERROR(INDEX('Paramètres'!$N:$N,MATCH($D4209,'Paramètres'!$M:$M,0))&amp;"",""))),$K4209,0))</f>
        <v/>
      </c>
      <c r="V4209" s="6" t="str">
        <f>IF(AND($A4209&lt;&gt;"",$O4209=1,$L4209="Débit",N($Q4209)&gt;0,$A4209&gt;=Visualisation!$B$1,$A4209&lt;Visualisation!$D$1),MAX($V$1:V4208)+1,"")</f>
        <v/>
      </c>
    </row>
    <row r="4210" spans="1:22" x14ac:dyDescent="0.25">
      <c r="A4210" s="9"/>
      <c r="E4210" s="10"/>
      <c r="K4210" s="11" t="str">
        <f>IF($E4210="","",ROUND($E4210*IF(ISNA(MATCH($C4210,'Paramètres'!$D:$D,0)),1,IF(INDEX('Paramètres'!$J:$J,MATCH($C4210,'Paramètres'!$D:$D,0))="",1,INDEX('Paramètres'!$J:$J,MATCH($C4210,'Paramètres'!$D:$D,0)))),2))</f>
        <v/>
      </c>
      <c r="L4210" s="6" t="str">
        <f>IF($D4210="","",IF($F4210&lt;&gt;"",$F4210,IF(ISNA(MATCH($D4210,'Paramètres'!$M:$M,0)),"⚠ Type inconnu",IFERROR(INDEX('Paramètres'!$P:$P,MATCH($D4210,'Paramètres'!$M:$M,0))&amp;"",""))))</f>
        <v/>
      </c>
      <c r="M4210" s="6" t="str">
        <f>IF($D4210="","",IF(ISNA(MATCH($D4210,'Paramètres'!$M:$M,0)),"⚠ Type inconnu",IF($L4210="Crédit","",IFERROR(INDEX('Paramètres'!$O:$O,MATCH($D4210,'Paramètres'!$M:$M,0))&amp;"",""))))</f>
        <v/>
      </c>
      <c r="N4210" s="6" t="str">
        <f>IF($D4210="","",IFERROR(INDEX('Paramètres'!$Q:$Q,MATCH($D4210,'Paramètres'!$M:$M,0))&amp;"",""))</f>
        <v/>
      </c>
      <c r="O4210" s="6" t="str">
        <f>IF($A4210="","",IF(OR($J4210&lt;&gt;"x",$A4210&lt;=FinReleve),1,0))</f>
        <v/>
      </c>
      <c r="P4210" s="6" t="str">
        <f>IF($D4210="","",IF(AND($L4210="Crédit",OR(IFERROR(INDEX('Paramètres'!$O:$O,MATCH($D4210,'Paramètres'!$M:$M,0))&amp;"","")&lt;&gt;"",ISNUMBER(SEARCH("remboursement",IFERROR(INDEX('Paramètres'!$N:$N,MATCH($D4210,'Paramètres'!$M:$M,0))&amp;"",""))))),1,0))</f>
        <v/>
      </c>
      <c r="Q4210" s="6" t="str">
        <f>IF($K4210="","",IF(ISNUMBER(SEARCH("transfert-interne",IFERROR(INDEX('Paramètres'!$N:$N,MATCH($D4210,'Paramètres'!$M:$M,0))&amp;"",""))),0,IF($L4210="Débit",$K4210,IF($P4210=1,-$K4210,0))))</f>
        <v/>
      </c>
      <c r="R4210" s="6" t="str">
        <f>IF($K4210="","",IF($L4210="Crédit",$K4210,-$K4210))</f>
        <v/>
      </c>
      <c r="S4210" s="6" t="str">
        <f>IF($C4210="","",IFERROR(INDEX('Paramètres'!$H:$H,MATCH($C4210,'Paramètres'!$D:$D,0))&amp;"",""))</f>
        <v/>
      </c>
      <c r="T4210" s="6" t="str">
        <f>IF($K4210="","",IF($S4210="",0,IF(ISNUMBER(SEARCH("apport-exterieur",IFERROR(INDEX('Paramètres'!$N:$N,MATCH($D4210,'Paramètres'!$M:$M,0))&amp;"",""))),0,IF(OR(IFERROR(INDEX('Paramètres'!$I:$I,MATCH($C4210,'Paramètres'!$D:$D,0))&amp;"","")="Les deux",IFERROR(INDEX('Paramètres'!$I:$I,MATCH($C4210,'Paramètres'!$D:$D,0))&amp;"","")=IF($P4210=1,"Débit",$L4210)),-IF($P4210=1,-$K4210,$K4210),0))))</f>
        <v/>
      </c>
      <c r="U4210" s="6" t="str">
        <f>IF($K4210="","",IF(ISNUMBER(SEARCH("sortie-epargne",IFERROR(INDEX('Paramètres'!$N:$N,MATCH($D4210,'Paramètres'!$M:$M,0))&amp;"",""))),$K4210,0))</f>
        <v/>
      </c>
      <c r="V4210" s="6" t="str">
        <f>IF(AND($A4210&lt;&gt;"",$O4210=1,$L4210="Débit",N($Q4210)&gt;0,$A4210&gt;=Visualisation!$B$1,$A4210&lt;Visualisation!$D$1),MAX($V$1:V4209)+1,"")</f>
        <v/>
      </c>
    </row>
    <row r="4211" spans="1:22" x14ac:dyDescent="0.25">
      <c r="A4211" s="9"/>
      <c r="E4211" s="10"/>
      <c r="K4211" s="11" t="str">
        <f>IF($E4211="","",ROUND($E4211*IF(ISNA(MATCH($C4211,'Paramètres'!$D:$D,0)),1,IF(INDEX('Paramètres'!$J:$J,MATCH($C4211,'Paramètres'!$D:$D,0))="",1,INDEX('Paramètres'!$J:$J,MATCH($C4211,'Paramètres'!$D:$D,0)))),2))</f>
        <v/>
      </c>
      <c r="L4211" s="6" t="str">
        <f>IF($D4211="","",IF($F4211&lt;&gt;"",$F4211,IF(ISNA(MATCH($D4211,'Paramètres'!$M:$M,0)),"⚠ Type inconnu",IFERROR(INDEX('Paramètres'!$P:$P,MATCH($D4211,'Paramètres'!$M:$M,0))&amp;"",""))))</f>
        <v/>
      </c>
      <c r="M4211" s="6" t="str">
        <f>IF($D4211="","",IF(ISNA(MATCH($D4211,'Paramètres'!$M:$M,0)),"⚠ Type inconnu",IF($L4211="Crédit","",IFERROR(INDEX('Paramètres'!$O:$O,MATCH($D4211,'Paramètres'!$M:$M,0))&amp;"",""))))</f>
        <v/>
      </c>
      <c r="N4211" s="6" t="str">
        <f>IF($D4211="","",IFERROR(INDEX('Paramètres'!$Q:$Q,MATCH($D4211,'Paramètres'!$M:$M,0))&amp;"",""))</f>
        <v/>
      </c>
      <c r="O4211" s="6" t="str">
        <f>IF($A4211="","",IF(OR($J4211&lt;&gt;"x",$A4211&lt;=FinReleve),1,0))</f>
        <v/>
      </c>
      <c r="P4211" s="6" t="str">
        <f>IF($D4211="","",IF(AND($L4211="Crédit",OR(IFERROR(INDEX('Paramètres'!$O:$O,MATCH($D4211,'Paramètres'!$M:$M,0))&amp;"","")&lt;&gt;"",ISNUMBER(SEARCH("remboursement",IFERROR(INDEX('Paramètres'!$N:$N,MATCH($D4211,'Paramètres'!$M:$M,0))&amp;"",""))))),1,0))</f>
        <v/>
      </c>
      <c r="Q4211" s="6" t="str">
        <f>IF($K4211="","",IF(ISNUMBER(SEARCH("transfert-interne",IFERROR(INDEX('Paramètres'!$N:$N,MATCH($D4211,'Paramètres'!$M:$M,0))&amp;"",""))),0,IF($L4211="Débit",$K4211,IF($P4211=1,-$K4211,0))))</f>
        <v/>
      </c>
      <c r="R4211" s="6" t="str">
        <f>IF($K4211="","",IF($L4211="Crédit",$K4211,-$K4211))</f>
        <v/>
      </c>
      <c r="S4211" s="6" t="str">
        <f>IF($C4211="","",IFERROR(INDEX('Paramètres'!$H:$H,MATCH($C4211,'Paramètres'!$D:$D,0))&amp;"",""))</f>
        <v/>
      </c>
      <c r="T4211" s="6" t="str">
        <f>IF($K4211="","",IF($S4211="",0,IF(ISNUMBER(SEARCH("apport-exterieur",IFERROR(INDEX('Paramètres'!$N:$N,MATCH($D4211,'Paramètres'!$M:$M,0))&amp;"",""))),0,IF(OR(IFERROR(INDEX('Paramètres'!$I:$I,MATCH($C4211,'Paramètres'!$D:$D,0))&amp;"","")="Les deux",IFERROR(INDEX('Paramètres'!$I:$I,MATCH($C4211,'Paramètres'!$D:$D,0))&amp;"","")=IF($P4211=1,"Débit",$L4211)),-IF($P4211=1,-$K4211,$K4211),0))))</f>
        <v/>
      </c>
      <c r="U4211" s="6" t="str">
        <f>IF($K4211="","",IF(ISNUMBER(SEARCH("sortie-epargne",IFERROR(INDEX('Paramètres'!$N:$N,MATCH($D4211,'Paramètres'!$M:$M,0))&amp;"",""))),$K4211,0))</f>
        <v/>
      </c>
      <c r="V4211" s="6" t="str">
        <f>IF(AND($A4211&lt;&gt;"",$O4211=1,$L4211="Débit",N($Q4211)&gt;0,$A4211&gt;=Visualisation!$B$1,$A4211&lt;Visualisation!$D$1),MAX($V$1:V4210)+1,"")</f>
        <v/>
      </c>
    </row>
    <row r="4212" spans="1:22" x14ac:dyDescent="0.25">
      <c r="A4212" s="9"/>
      <c r="E4212" s="10"/>
      <c r="K4212" s="11" t="str">
        <f>IF($E4212="","",ROUND($E4212*IF(ISNA(MATCH($C4212,'Paramètres'!$D:$D,0)),1,IF(INDEX('Paramètres'!$J:$J,MATCH($C4212,'Paramètres'!$D:$D,0))="",1,INDEX('Paramètres'!$J:$J,MATCH($C4212,'Paramètres'!$D:$D,0)))),2))</f>
        <v/>
      </c>
      <c r="L4212" s="6" t="str">
        <f>IF($D4212="","",IF($F4212&lt;&gt;"",$F4212,IF(ISNA(MATCH($D4212,'Paramètres'!$M:$M,0)),"⚠ Type inconnu",IFERROR(INDEX('Paramètres'!$P:$P,MATCH($D4212,'Paramètres'!$M:$M,0))&amp;"",""))))</f>
        <v/>
      </c>
      <c r="M4212" s="6" t="str">
        <f>IF($D4212="","",IF(ISNA(MATCH($D4212,'Paramètres'!$M:$M,0)),"⚠ Type inconnu",IF($L4212="Crédit","",IFERROR(INDEX('Paramètres'!$O:$O,MATCH($D4212,'Paramètres'!$M:$M,0))&amp;"",""))))</f>
        <v/>
      </c>
      <c r="N4212" s="6" t="str">
        <f>IF($D4212="","",IFERROR(INDEX('Paramètres'!$Q:$Q,MATCH($D4212,'Paramètres'!$M:$M,0))&amp;"",""))</f>
        <v/>
      </c>
      <c r="O4212" s="6" t="str">
        <f>IF($A4212="","",IF(OR($J4212&lt;&gt;"x",$A4212&lt;=FinReleve),1,0))</f>
        <v/>
      </c>
      <c r="P4212" s="6" t="str">
        <f>IF($D4212="","",IF(AND($L4212="Crédit",OR(IFERROR(INDEX('Paramètres'!$O:$O,MATCH($D4212,'Paramètres'!$M:$M,0))&amp;"","")&lt;&gt;"",ISNUMBER(SEARCH("remboursement",IFERROR(INDEX('Paramètres'!$N:$N,MATCH($D4212,'Paramètres'!$M:$M,0))&amp;"",""))))),1,0))</f>
        <v/>
      </c>
      <c r="Q4212" s="6" t="str">
        <f>IF($K4212="","",IF(ISNUMBER(SEARCH("transfert-interne",IFERROR(INDEX('Paramètres'!$N:$N,MATCH($D4212,'Paramètres'!$M:$M,0))&amp;"",""))),0,IF($L4212="Débit",$K4212,IF($P4212=1,-$K4212,0))))</f>
        <v/>
      </c>
      <c r="R4212" s="6" t="str">
        <f>IF($K4212="","",IF($L4212="Crédit",$K4212,-$K4212))</f>
        <v/>
      </c>
      <c r="S4212" s="6" t="str">
        <f>IF($C4212="","",IFERROR(INDEX('Paramètres'!$H:$H,MATCH($C4212,'Paramètres'!$D:$D,0))&amp;"",""))</f>
        <v/>
      </c>
      <c r="T4212" s="6" t="str">
        <f>IF($K4212="","",IF($S4212="",0,IF(ISNUMBER(SEARCH("apport-exterieur",IFERROR(INDEX('Paramètres'!$N:$N,MATCH($D4212,'Paramètres'!$M:$M,0))&amp;"",""))),0,IF(OR(IFERROR(INDEX('Paramètres'!$I:$I,MATCH($C4212,'Paramètres'!$D:$D,0))&amp;"","")="Les deux",IFERROR(INDEX('Paramètres'!$I:$I,MATCH($C4212,'Paramètres'!$D:$D,0))&amp;"","")=IF($P4212=1,"Débit",$L4212)),-IF($P4212=1,-$K4212,$K4212),0))))</f>
        <v/>
      </c>
      <c r="U4212" s="6" t="str">
        <f>IF($K4212="","",IF(ISNUMBER(SEARCH("sortie-epargne",IFERROR(INDEX('Paramètres'!$N:$N,MATCH($D4212,'Paramètres'!$M:$M,0))&amp;"",""))),$K4212,0))</f>
        <v/>
      </c>
      <c r="V4212" s="6" t="str">
        <f>IF(AND($A4212&lt;&gt;"",$O4212=1,$L4212="Débit",N($Q4212)&gt;0,$A4212&gt;=Visualisation!$B$1,$A4212&lt;Visualisation!$D$1),MAX($V$1:V4211)+1,"")</f>
        <v/>
      </c>
    </row>
    <row r="4213" spans="1:22" x14ac:dyDescent="0.25">
      <c r="A4213" s="9"/>
      <c r="E4213" s="10"/>
      <c r="K4213" s="11" t="str">
        <f>IF($E4213="","",ROUND($E4213*IF(ISNA(MATCH($C4213,'Paramètres'!$D:$D,0)),1,IF(INDEX('Paramètres'!$J:$J,MATCH($C4213,'Paramètres'!$D:$D,0))="",1,INDEX('Paramètres'!$J:$J,MATCH($C4213,'Paramètres'!$D:$D,0)))),2))</f>
        <v/>
      </c>
      <c r="L4213" s="6" t="str">
        <f>IF($D4213="","",IF($F4213&lt;&gt;"",$F4213,IF(ISNA(MATCH($D4213,'Paramètres'!$M:$M,0)),"⚠ Type inconnu",IFERROR(INDEX('Paramètres'!$P:$P,MATCH($D4213,'Paramètres'!$M:$M,0))&amp;"",""))))</f>
        <v/>
      </c>
      <c r="M4213" s="6" t="str">
        <f>IF($D4213="","",IF(ISNA(MATCH($D4213,'Paramètres'!$M:$M,0)),"⚠ Type inconnu",IF($L4213="Crédit","",IFERROR(INDEX('Paramètres'!$O:$O,MATCH($D4213,'Paramètres'!$M:$M,0))&amp;"",""))))</f>
        <v/>
      </c>
      <c r="N4213" s="6" t="str">
        <f>IF($D4213="","",IFERROR(INDEX('Paramètres'!$Q:$Q,MATCH($D4213,'Paramètres'!$M:$M,0))&amp;"",""))</f>
        <v/>
      </c>
      <c r="O4213" s="6" t="str">
        <f>IF($A4213="","",IF(OR($J4213&lt;&gt;"x",$A4213&lt;=FinReleve),1,0))</f>
        <v/>
      </c>
      <c r="P4213" s="6" t="str">
        <f>IF($D4213="","",IF(AND($L4213="Crédit",OR(IFERROR(INDEX('Paramètres'!$O:$O,MATCH($D4213,'Paramètres'!$M:$M,0))&amp;"","")&lt;&gt;"",ISNUMBER(SEARCH("remboursement",IFERROR(INDEX('Paramètres'!$N:$N,MATCH($D4213,'Paramètres'!$M:$M,0))&amp;"",""))))),1,0))</f>
        <v/>
      </c>
      <c r="Q4213" s="6" t="str">
        <f>IF($K4213="","",IF(ISNUMBER(SEARCH("transfert-interne",IFERROR(INDEX('Paramètres'!$N:$N,MATCH($D4213,'Paramètres'!$M:$M,0))&amp;"",""))),0,IF($L4213="Débit",$K4213,IF($P4213=1,-$K4213,0))))</f>
        <v/>
      </c>
      <c r="R4213" s="6" t="str">
        <f>IF($K4213="","",IF($L4213="Crédit",$K4213,-$K4213))</f>
        <v/>
      </c>
      <c r="S4213" s="6" t="str">
        <f>IF($C4213="","",IFERROR(INDEX('Paramètres'!$H:$H,MATCH($C4213,'Paramètres'!$D:$D,0))&amp;"",""))</f>
        <v/>
      </c>
      <c r="T4213" s="6" t="str">
        <f>IF($K4213="","",IF($S4213="",0,IF(ISNUMBER(SEARCH("apport-exterieur",IFERROR(INDEX('Paramètres'!$N:$N,MATCH($D4213,'Paramètres'!$M:$M,0))&amp;"",""))),0,IF(OR(IFERROR(INDEX('Paramètres'!$I:$I,MATCH($C4213,'Paramètres'!$D:$D,0))&amp;"","")="Les deux",IFERROR(INDEX('Paramètres'!$I:$I,MATCH($C4213,'Paramètres'!$D:$D,0))&amp;"","")=IF($P4213=1,"Débit",$L4213)),-IF($P4213=1,-$K4213,$K4213),0))))</f>
        <v/>
      </c>
      <c r="U4213" s="6" t="str">
        <f>IF($K4213="","",IF(ISNUMBER(SEARCH("sortie-epargne",IFERROR(INDEX('Paramètres'!$N:$N,MATCH($D4213,'Paramètres'!$M:$M,0))&amp;"",""))),$K4213,0))</f>
        <v/>
      </c>
      <c r="V4213" s="6" t="str">
        <f>IF(AND($A4213&lt;&gt;"",$O4213=1,$L4213="Débit",N($Q4213)&gt;0,$A4213&gt;=Visualisation!$B$1,$A4213&lt;Visualisation!$D$1),MAX($V$1:V4212)+1,"")</f>
        <v/>
      </c>
    </row>
    <row r="4214" spans="1:22" x14ac:dyDescent="0.25">
      <c r="A4214" s="9"/>
      <c r="E4214" s="10"/>
      <c r="K4214" s="11" t="str">
        <f>IF($E4214="","",ROUND($E4214*IF(ISNA(MATCH($C4214,'Paramètres'!$D:$D,0)),1,IF(INDEX('Paramètres'!$J:$J,MATCH($C4214,'Paramètres'!$D:$D,0))="",1,INDEX('Paramètres'!$J:$J,MATCH($C4214,'Paramètres'!$D:$D,0)))),2))</f>
        <v/>
      </c>
      <c r="L4214" s="6" t="str">
        <f>IF($D4214="","",IF($F4214&lt;&gt;"",$F4214,IF(ISNA(MATCH($D4214,'Paramètres'!$M:$M,0)),"⚠ Type inconnu",IFERROR(INDEX('Paramètres'!$P:$P,MATCH($D4214,'Paramètres'!$M:$M,0))&amp;"",""))))</f>
        <v/>
      </c>
      <c r="M4214" s="6" t="str">
        <f>IF($D4214="","",IF(ISNA(MATCH($D4214,'Paramètres'!$M:$M,0)),"⚠ Type inconnu",IF($L4214="Crédit","",IFERROR(INDEX('Paramètres'!$O:$O,MATCH($D4214,'Paramètres'!$M:$M,0))&amp;"",""))))</f>
        <v/>
      </c>
      <c r="N4214" s="6" t="str">
        <f>IF($D4214="","",IFERROR(INDEX('Paramètres'!$Q:$Q,MATCH($D4214,'Paramètres'!$M:$M,0))&amp;"",""))</f>
        <v/>
      </c>
      <c r="O4214" s="6" t="str">
        <f>IF($A4214="","",IF(OR($J4214&lt;&gt;"x",$A4214&lt;=FinReleve),1,0))</f>
        <v/>
      </c>
      <c r="P4214" s="6" t="str">
        <f>IF($D4214="","",IF(AND($L4214="Crédit",OR(IFERROR(INDEX('Paramètres'!$O:$O,MATCH($D4214,'Paramètres'!$M:$M,0))&amp;"","")&lt;&gt;"",ISNUMBER(SEARCH("remboursement",IFERROR(INDEX('Paramètres'!$N:$N,MATCH($D4214,'Paramètres'!$M:$M,0))&amp;"",""))))),1,0))</f>
        <v/>
      </c>
      <c r="Q4214" s="6" t="str">
        <f>IF($K4214="","",IF(ISNUMBER(SEARCH("transfert-interne",IFERROR(INDEX('Paramètres'!$N:$N,MATCH($D4214,'Paramètres'!$M:$M,0))&amp;"",""))),0,IF($L4214="Débit",$K4214,IF($P4214=1,-$K4214,0))))</f>
        <v/>
      </c>
      <c r="R4214" s="6" t="str">
        <f>IF($K4214="","",IF($L4214="Crédit",$K4214,-$K4214))</f>
        <v/>
      </c>
      <c r="S4214" s="6" t="str">
        <f>IF($C4214="","",IFERROR(INDEX('Paramètres'!$H:$H,MATCH($C4214,'Paramètres'!$D:$D,0))&amp;"",""))</f>
        <v/>
      </c>
      <c r="T4214" s="6" t="str">
        <f>IF($K4214="","",IF($S4214="",0,IF(ISNUMBER(SEARCH("apport-exterieur",IFERROR(INDEX('Paramètres'!$N:$N,MATCH($D4214,'Paramètres'!$M:$M,0))&amp;"",""))),0,IF(OR(IFERROR(INDEX('Paramètres'!$I:$I,MATCH($C4214,'Paramètres'!$D:$D,0))&amp;"","")="Les deux",IFERROR(INDEX('Paramètres'!$I:$I,MATCH($C4214,'Paramètres'!$D:$D,0))&amp;"","")=IF($P4214=1,"Débit",$L4214)),-IF($P4214=1,-$K4214,$K4214),0))))</f>
        <v/>
      </c>
      <c r="U4214" s="6" t="str">
        <f>IF($K4214="","",IF(ISNUMBER(SEARCH("sortie-epargne",IFERROR(INDEX('Paramètres'!$N:$N,MATCH($D4214,'Paramètres'!$M:$M,0))&amp;"",""))),$K4214,0))</f>
        <v/>
      </c>
      <c r="V4214" s="6" t="str">
        <f>IF(AND($A4214&lt;&gt;"",$O4214=1,$L4214="Débit",N($Q4214)&gt;0,$A4214&gt;=Visualisation!$B$1,$A4214&lt;Visualisation!$D$1),MAX($V$1:V4213)+1,"")</f>
        <v/>
      </c>
    </row>
    <row r="4215" spans="1:22" x14ac:dyDescent="0.25">
      <c r="A4215" s="9"/>
      <c r="E4215" s="10"/>
      <c r="K4215" s="11" t="str">
        <f>IF($E4215="","",ROUND($E4215*IF(ISNA(MATCH($C4215,'Paramètres'!$D:$D,0)),1,IF(INDEX('Paramètres'!$J:$J,MATCH($C4215,'Paramètres'!$D:$D,0))="",1,INDEX('Paramètres'!$J:$J,MATCH($C4215,'Paramètres'!$D:$D,0)))),2))</f>
        <v/>
      </c>
      <c r="L4215" s="6" t="str">
        <f>IF($D4215="","",IF($F4215&lt;&gt;"",$F4215,IF(ISNA(MATCH($D4215,'Paramètres'!$M:$M,0)),"⚠ Type inconnu",IFERROR(INDEX('Paramètres'!$P:$P,MATCH($D4215,'Paramètres'!$M:$M,0))&amp;"",""))))</f>
        <v/>
      </c>
      <c r="M4215" s="6" t="str">
        <f>IF($D4215="","",IF(ISNA(MATCH($D4215,'Paramètres'!$M:$M,0)),"⚠ Type inconnu",IF($L4215="Crédit","",IFERROR(INDEX('Paramètres'!$O:$O,MATCH($D4215,'Paramètres'!$M:$M,0))&amp;"",""))))</f>
        <v/>
      </c>
      <c r="N4215" s="6" t="str">
        <f>IF($D4215="","",IFERROR(INDEX('Paramètres'!$Q:$Q,MATCH($D4215,'Paramètres'!$M:$M,0))&amp;"",""))</f>
        <v/>
      </c>
      <c r="O4215" s="6" t="str">
        <f>IF($A4215="","",IF(OR($J4215&lt;&gt;"x",$A4215&lt;=FinReleve),1,0))</f>
        <v/>
      </c>
      <c r="P4215" s="6" t="str">
        <f>IF($D4215="","",IF(AND($L4215="Crédit",OR(IFERROR(INDEX('Paramètres'!$O:$O,MATCH($D4215,'Paramètres'!$M:$M,0))&amp;"","")&lt;&gt;"",ISNUMBER(SEARCH("remboursement",IFERROR(INDEX('Paramètres'!$N:$N,MATCH($D4215,'Paramètres'!$M:$M,0))&amp;"",""))))),1,0))</f>
        <v/>
      </c>
      <c r="Q4215" s="6" t="str">
        <f>IF($K4215="","",IF(ISNUMBER(SEARCH("transfert-interne",IFERROR(INDEX('Paramètres'!$N:$N,MATCH($D4215,'Paramètres'!$M:$M,0))&amp;"",""))),0,IF($L4215="Débit",$K4215,IF($P4215=1,-$K4215,0))))</f>
        <v/>
      </c>
      <c r="R4215" s="6" t="str">
        <f>IF($K4215="","",IF($L4215="Crédit",$K4215,-$K4215))</f>
        <v/>
      </c>
      <c r="S4215" s="6" t="str">
        <f>IF($C4215="","",IFERROR(INDEX('Paramètres'!$H:$H,MATCH($C4215,'Paramètres'!$D:$D,0))&amp;"",""))</f>
        <v/>
      </c>
      <c r="T4215" s="6" t="str">
        <f>IF($K4215="","",IF($S4215="",0,IF(ISNUMBER(SEARCH("apport-exterieur",IFERROR(INDEX('Paramètres'!$N:$N,MATCH($D4215,'Paramètres'!$M:$M,0))&amp;"",""))),0,IF(OR(IFERROR(INDEX('Paramètres'!$I:$I,MATCH($C4215,'Paramètres'!$D:$D,0))&amp;"","")="Les deux",IFERROR(INDEX('Paramètres'!$I:$I,MATCH($C4215,'Paramètres'!$D:$D,0))&amp;"","")=IF($P4215=1,"Débit",$L4215)),-IF($P4215=1,-$K4215,$K4215),0))))</f>
        <v/>
      </c>
      <c r="U4215" s="6" t="str">
        <f>IF($K4215="","",IF(ISNUMBER(SEARCH("sortie-epargne",IFERROR(INDEX('Paramètres'!$N:$N,MATCH($D4215,'Paramètres'!$M:$M,0))&amp;"",""))),$K4215,0))</f>
        <v/>
      </c>
      <c r="V4215" s="6" t="str">
        <f>IF(AND($A4215&lt;&gt;"",$O4215=1,$L4215="Débit",N($Q4215)&gt;0,$A4215&gt;=Visualisation!$B$1,$A4215&lt;Visualisation!$D$1),MAX($V$1:V4214)+1,"")</f>
        <v/>
      </c>
    </row>
    <row r="4216" spans="1:22" x14ac:dyDescent="0.25">
      <c r="A4216" s="9"/>
      <c r="E4216" s="10"/>
      <c r="K4216" s="11" t="str">
        <f>IF($E4216="","",ROUND($E4216*IF(ISNA(MATCH($C4216,'Paramètres'!$D:$D,0)),1,IF(INDEX('Paramètres'!$J:$J,MATCH($C4216,'Paramètres'!$D:$D,0))="",1,INDEX('Paramètres'!$J:$J,MATCH($C4216,'Paramètres'!$D:$D,0)))),2))</f>
        <v/>
      </c>
      <c r="L4216" s="6" t="str">
        <f>IF($D4216="","",IF($F4216&lt;&gt;"",$F4216,IF(ISNA(MATCH($D4216,'Paramètres'!$M:$M,0)),"⚠ Type inconnu",IFERROR(INDEX('Paramètres'!$P:$P,MATCH($D4216,'Paramètres'!$M:$M,0))&amp;"",""))))</f>
        <v/>
      </c>
      <c r="M4216" s="6" t="str">
        <f>IF($D4216="","",IF(ISNA(MATCH($D4216,'Paramètres'!$M:$M,0)),"⚠ Type inconnu",IF($L4216="Crédit","",IFERROR(INDEX('Paramètres'!$O:$O,MATCH($D4216,'Paramètres'!$M:$M,0))&amp;"",""))))</f>
        <v/>
      </c>
      <c r="N4216" s="6" t="str">
        <f>IF($D4216="","",IFERROR(INDEX('Paramètres'!$Q:$Q,MATCH($D4216,'Paramètres'!$M:$M,0))&amp;"",""))</f>
        <v/>
      </c>
      <c r="O4216" s="6" t="str">
        <f>IF($A4216="","",IF(OR($J4216&lt;&gt;"x",$A4216&lt;=FinReleve),1,0))</f>
        <v/>
      </c>
      <c r="P4216" s="6" t="str">
        <f>IF($D4216="","",IF(AND($L4216="Crédit",OR(IFERROR(INDEX('Paramètres'!$O:$O,MATCH($D4216,'Paramètres'!$M:$M,0))&amp;"","")&lt;&gt;"",ISNUMBER(SEARCH("remboursement",IFERROR(INDEX('Paramètres'!$N:$N,MATCH($D4216,'Paramètres'!$M:$M,0))&amp;"",""))))),1,0))</f>
        <v/>
      </c>
      <c r="Q4216" s="6" t="str">
        <f>IF($K4216="","",IF(ISNUMBER(SEARCH("transfert-interne",IFERROR(INDEX('Paramètres'!$N:$N,MATCH($D4216,'Paramètres'!$M:$M,0))&amp;"",""))),0,IF($L4216="Débit",$K4216,IF($P4216=1,-$K4216,0))))</f>
        <v/>
      </c>
      <c r="R4216" s="6" t="str">
        <f>IF($K4216="","",IF($L4216="Crédit",$K4216,-$K4216))</f>
        <v/>
      </c>
      <c r="S4216" s="6" t="str">
        <f>IF($C4216="","",IFERROR(INDEX('Paramètres'!$H:$H,MATCH($C4216,'Paramètres'!$D:$D,0))&amp;"",""))</f>
        <v/>
      </c>
      <c r="T4216" s="6" t="str">
        <f>IF($K4216="","",IF($S4216="",0,IF(ISNUMBER(SEARCH("apport-exterieur",IFERROR(INDEX('Paramètres'!$N:$N,MATCH($D4216,'Paramètres'!$M:$M,0))&amp;"",""))),0,IF(OR(IFERROR(INDEX('Paramètres'!$I:$I,MATCH($C4216,'Paramètres'!$D:$D,0))&amp;"","")="Les deux",IFERROR(INDEX('Paramètres'!$I:$I,MATCH($C4216,'Paramètres'!$D:$D,0))&amp;"","")=IF($P4216=1,"Débit",$L4216)),-IF($P4216=1,-$K4216,$K4216),0))))</f>
        <v/>
      </c>
      <c r="U4216" s="6" t="str">
        <f>IF($K4216="","",IF(ISNUMBER(SEARCH("sortie-epargne",IFERROR(INDEX('Paramètres'!$N:$N,MATCH($D4216,'Paramètres'!$M:$M,0))&amp;"",""))),$K4216,0))</f>
        <v/>
      </c>
      <c r="V4216" s="6" t="str">
        <f>IF(AND($A4216&lt;&gt;"",$O4216=1,$L4216="Débit",N($Q4216)&gt;0,$A4216&gt;=Visualisation!$B$1,$A4216&lt;Visualisation!$D$1),MAX($V$1:V4215)+1,"")</f>
        <v/>
      </c>
    </row>
    <row r="4217" spans="1:22" x14ac:dyDescent="0.25">
      <c r="A4217" s="9"/>
      <c r="E4217" s="10"/>
      <c r="K4217" s="11" t="str">
        <f>IF($E4217="","",ROUND($E4217*IF(ISNA(MATCH($C4217,'Paramètres'!$D:$D,0)),1,IF(INDEX('Paramètres'!$J:$J,MATCH($C4217,'Paramètres'!$D:$D,0))="",1,INDEX('Paramètres'!$J:$J,MATCH($C4217,'Paramètres'!$D:$D,0)))),2))</f>
        <v/>
      </c>
      <c r="L4217" s="6" t="str">
        <f>IF($D4217="","",IF($F4217&lt;&gt;"",$F4217,IF(ISNA(MATCH($D4217,'Paramètres'!$M:$M,0)),"⚠ Type inconnu",IFERROR(INDEX('Paramètres'!$P:$P,MATCH($D4217,'Paramètres'!$M:$M,0))&amp;"",""))))</f>
        <v/>
      </c>
      <c r="M4217" s="6" t="str">
        <f>IF($D4217="","",IF(ISNA(MATCH($D4217,'Paramètres'!$M:$M,0)),"⚠ Type inconnu",IF($L4217="Crédit","",IFERROR(INDEX('Paramètres'!$O:$O,MATCH($D4217,'Paramètres'!$M:$M,0))&amp;"",""))))</f>
        <v/>
      </c>
      <c r="N4217" s="6" t="str">
        <f>IF($D4217="","",IFERROR(INDEX('Paramètres'!$Q:$Q,MATCH($D4217,'Paramètres'!$M:$M,0))&amp;"",""))</f>
        <v/>
      </c>
      <c r="O4217" s="6" t="str">
        <f>IF($A4217="","",IF(OR($J4217&lt;&gt;"x",$A4217&lt;=FinReleve),1,0))</f>
        <v/>
      </c>
      <c r="P4217" s="6" t="str">
        <f>IF($D4217="","",IF(AND($L4217="Crédit",OR(IFERROR(INDEX('Paramètres'!$O:$O,MATCH($D4217,'Paramètres'!$M:$M,0))&amp;"","")&lt;&gt;"",ISNUMBER(SEARCH("remboursement",IFERROR(INDEX('Paramètres'!$N:$N,MATCH($D4217,'Paramètres'!$M:$M,0))&amp;"",""))))),1,0))</f>
        <v/>
      </c>
      <c r="Q4217" s="6" t="str">
        <f>IF($K4217="","",IF(ISNUMBER(SEARCH("transfert-interne",IFERROR(INDEX('Paramètres'!$N:$N,MATCH($D4217,'Paramètres'!$M:$M,0))&amp;"",""))),0,IF($L4217="Débit",$K4217,IF($P4217=1,-$K4217,0))))</f>
        <v/>
      </c>
      <c r="R4217" s="6" t="str">
        <f>IF($K4217="","",IF($L4217="Crédit",$K4217,-$K4217))</f>
        <v/>
      </c>
      <c r="S4217" s="6" t="str">
        <f>IF($C4217="","",IFERROR(INDEX('Paramètres'!$H:$H,MATCH($C4217,'Paramètres'!$D:$D,0))&amp;"",""))</f>
        <v/>
      </c>
      <c r="T4217" s="6" t="str">
        <f>IF($K4217="","",IF($S4217="",0,IF(ISNUMBER(SEARCH("apport-exterieur",IFERROR(INDEX('Paramètres'!$N:$N,MATCH($D4217,'Paramètres'!$M:$M,0))&amp;"",""))),0,IF(OR(IFERROR(INDEX('Paramètres'!$I:$I,MATCH($C4217,'Paramètres'!$D:$D,0))&amp;"","")="Les deux",IFERROR(INDEX('Paramètres'!$I:$I,MATCH($C4217,'Paramètres'!$D:$D,0))&amp;"","")=IF($P4217=1,"Débit",$L4217)),-IF($P4217=1,-$K4217,$K4217),0))))</f>
        <v/>
      </c>
      <c r="U4217" s="6" t="str">
        <f>IF($K4217="","",IF(ISNUMBER(SEARCH("sortie-epargne",IFERROR(INDEX('Paramètres'!$N:$N,MATCH($D4217,'Paramètres'!$M:$M,0))&amp;"",""))),$K4217,0))</f>
        <v/>
      </c>
      <c r="V4217" s="6" t="str">
        <f>IF(AND($A4217&lt;&gt;"",$O4217=1,$L4217="Débit",N($Q4217)&gt;0,$A4217&gt;=Visualisation!$B$1,$A4217&lt;Visualisation!$D$1),MAX($V$1:V4216)+1,"")</f>
        <v/>
      </c>
    </row>
    <row r="4218" spans="1:22" x14ac:dyDescent="0.25">
      <c r="A4218" s="9"/>
      <c r="E4218" s="10"/>
      <c r="K4218" s="11" t="str">
        <f>IF($E4218="","",ROUND($E4218*IF(ISNA(MATCH($C4218,'Paramètres'!$D:$D,0)),1,IF(INDEX('Paramètres'!$J:$J,MATCH($C4218,'Paramètres'!$D:$D,0))="",1,INDEX('Paramètres'!$J:$J,MATCH($C4218,'Paramètres'!$D:$D,0)))),2))</f>
        <v/>
      </c>
      <c r="L4218" s="6" t="str">
        <f>IF($D4218="","",IF($F4218&lt;&gt;"",$F4218,IF(ISNA(MATCH($D4218,'Paramètres'!$M:$M,0)),"⚠ Type inconnu",IFERROR(INDEX('Paramètres'!$P:$P,MATCH($D4218,'Paramètres'!$M:$M,0))&amp;"",""))))</f>
        <v/>
      </c>
      <c r="M4218" s="6" t="str">
        <f>IF($D4218="","",IF(ISNA(MATCH($D4218,'Paramètres'!$M:$M,0)),"⚠ Type inconnu",IF($L4218="Crédit","",IFERROR(INDEX('Paramètres'!$O:$O,MATCH($D4218,'Paramètres'!$M:$M,0))&amp;"",""))))</f>
        <v/>
      </c>
      <c r="N4218" s="6" t="str">
        <f>IF($D4218="","",IFERROR(INDEX('Paramètres'!$Q:$Q,MATCH($D4218,'Paramètres'!$M:$M,0))&amp;"",""))</f>
        <v/>
      </c>
      <c r="O4218" s="6" t="str">
        <f>IF($A4218="","",IF(OR($J4218&lt;&gt;"x",$A4218&lt;=FinReleve),1,0))</f>
        <v/>
      </c>
      <c r="P4218" s="6" t="str">
        <f>IF($D4218="","",IF(AND($L4218="Crédit",OR(IFERROR(INDEX('Paramètres'!$O:$O,MATCH($D4218,'Paramètres'!$M:$M,0))&amp;"","")&lt;&gt;"",ISNUMBER(SEARCH("remboursement",IFERROR(INDEX('Paramètres'!$N:$N,MATCH($D4218,'Paramètres'!$M:$M,0))&amp;"",""))))),1,0))</f>
        <v/>
      </c>
      <c r="Q4218" s="6" t="str">
        <f>IF($K4218="","",IF(ISNUMBER(SEARCH("transfert-interne",IFERROR(INDEX('Paramètres'!$N:$N,MATCH($D4218,'Paramètres'!$M:$M,0))&amp;"",""))),0,IF($L4218="Débit",$K4218,IF($P4218=1,-$K4218,0))))</f>
        <v/>
      </c>
      <c r="R4218" s="6" t="str">
        <f>IF($K4218="","",IF($L4218="Crédit",$K4218,-$K4218))</f>
        <v/>
      </c>
      <c r="S4218" s="6" t="str">
        <f>IF($C4218="","",IFERROR(INDEX('Paramètres'!$H:$H,MATCH($C4218,'Paramètres'!$D:$D,0))&amp;"",""))</f>
        <v/>
      </c>
      <c r="T4218" s="6" t="str">
        <f>IF($K4218="","",IF($S4218="",0,IF(ISNUMBER(SEARCH("apport-exterieur",IFERROR(INDEX('Paramètres'!$N:$N,MATCH($D4218,'Paramètres'!$M:$M,0))&amp;"",""))),0,IF(OR(IFERROR(INDEX('Paramètres'!$I:$I,MATCH($C4218,'Paramètres'!$D:$D,0))&amp;"","")="Les deux",IFERROR(INDEX('Paramètres'!$I:$I,MATCH($C4218,'Paramètres'!$D:$D,0))&amp;"","")=IF($P4218=1,"Débit",$L4218)),-IF($P4218=1,-$K4218,$K4218),0))))</f>
        <v/>
      </c>
      <c r="U4218" s="6" t="str">
        <f>IF($K4218="","",IF(ISNUMBER(SEARCH("sortie-epargne",IFERROR(INDEX('Paramètres'!$N:$N,MATCH($D4218,'Paramètres'!$M:$M,0))&amp;"",""))),$K4218,0))</f>
        <v/>
      </c>
      <c r="V4218" s="6" t="str">
        <f>IF(AND($A4218&lt;&gt;"",$O4218=1,$L4218="Débit",N($Q4218)&gt;0,$A4218&gt;=Visualisation!$B$1,$A4218&lt;Visualisation!$D$1),MAX($V$1:V4217)+1,"")</f>
        <v/>
      </c>
    </row>
    <row r="4219" spans="1:22" x14ac:dyDescent="0.25">
      <c r="A4219" s="9"/>
      <c r="E4219" s="10"/>
      <c r="K4219" s="11" t="str">
        <f>IF($E4219="","",ROUND($E4219*IF(ISNA(MATCH($C4219,'Paramètres'!$D:$D,0)),1,IF(INDEX('Paramètres'!$J:$J,MATCH($C4219,'Paramètres'!$D:$D,0))="",1,INDEX('Paramètres'!$J:$J,MATCH($C4219,'Paramètres'!$D:$D,0)))),2))</f>
        <v/>
      </c>
      <c r="L4219" s="6" t="str">
        <f>IF($D4219="","",IF($F4219&lt;&gt;"",$F4219,IF(ISNA(MATCH($D4219,'Paramètres'!$M:$M,0)),"⚠ Type inconnu",IFERROR(INDEX('Paramètres'!$P:$P,MATCH($D4219,'Paramètres'!$M:$M,0))&amp;"",""))))</f>
        <v/>
      </c>
      <c r="M4219" s="6" t="str">
        <f>IF($D4219="","",IF(ISNA(MATCH($D4219,'Paramètres'!$M:$M,0)),"⚠ Type inconnu",IF($L4219="Crédit","",IFERROR(INDEX('Paramètres'!$O:$O,MATCH($D4219,'Paramètres'!$M:$M,0))&amp;"",""))))</f>
        <v/>
      </c>
      <c r="N4219" s="6" t="str">
        <f>IF($D4219="","",IFERROR(INDEX('Paramètres'!$Q:$Q,MATCH($D4219,'Paramètres'!$M:$M,0))&amp;"",""))</f>
        <v/>
      </c>
      <c r="O4219" s="6" t="str">
        <f>IF($A4219="","",IF(OR($J4219&lt;&gt;"x",$A4219&lt;=FinReleve),1,0))</f>
        <v/>
      </c>
      <c r="P4219" s="6" t="str">
        <f>IF($D4219="","",IF(AND($L4219="Crédit",OR(IFERROR(INDEX('Paramètres'!$O:$O,MATCH($D4219,'Paramètres'!$M:$M,0))&amp;"","")&lt;&gt;"",ISNUMBER(SEARCH("remboursement",IFERROR(INDEX('Paramètres'!$N:$N,MATCH($D4219,'Paramètres'!$M:$M,0))&amp;"",""))))),1,0))</f>
        <v/>
      </c>
      <c r="Q4219" s="6" t="str">
        <f>IF($K4219="","",IF(ISNUMBER(SEARCH("transfert-interne",IFERROR(INDEX('Paramètres'!$N:$N,MATCH($D4219,'Paramètres'!$M:$M,0))&amp;"",""))),0,IF($L4219="Débit",$K4219,IF($P4219=1,-$K4219,0))))</f>
        <v/>
      </c>
      <c r="R4219" s="6" t="str">
        <f>IF($K4219="","",IF($L4219="Crédit",$K4219,-$K4219))</f>
        <v/>
      </c>
      <c r="S4219" s="6" t="str">
        <f>IF($C4219="","",IFERROR(INDEX('Paramètres'!$H:$H,MATCH($C4219,'Paramètres'!$D:$D,0))&amp;"",""))</f>
        <v/>
      </c>
      <c r="T4219" s="6" t="str">
        <f>IF($K4219="","",IF($S4219="",0,IF(ISNUMBER(SEARCH("apport-exterieur",IFERROR(INDEX('Paramètres'!$N:$N,MATCH($D4219,'Paramètres'!$M:$M,0))&amp;"",""))),0,IF(OR(IFERROR(INDEX('Paramètres'!$I:$I,MATCH($C4219,'Paramètres'!$D:$D,0))&amp;"","")="Les deux",IFERROR(INDEX('Paramètres'!$I:$I,MATCH($C4219,'Paramètres'!$D:$D,0))&amp;"","")=IF($P4219=1,"Débit",$L4219)),-IF($P4219=1,-$K4219,$K4219),0))))</f>
        <v/>
      </c>
      <c r="U4219" s="6" t="str">
        <f>IF($K4219="","",IF(ISNUMBER(SEARCH("sortie-epargne",IFERROR(INDEX('Paramètres'!$N:$N,MATCH($D4219,'Paramètres'!$M:$M,0))&amp;"",""))),$K4219,0))</f>
        <v/>
      </c>
      <c r="V4219" s="6" t="str">
        <f>IF(AND($A4219&lt;&gt;"",$O4219=1,$L4219="Débit",N($Q4219)&gt;0,$A4219&gt;=Visualisation!$B$1,$A4219&lt;Visualisation!$D$1),MAX($V$1:V4218)+1,"")</f>
        <v/>
      </c>
    </row>
    <row r="4220" spans="1:22" x14ac:dyDescent="0.25">
      <c r="A4220" s="9"/>
      <c r="E4220" s="10"/>
      <c r="K4220" s="11" t="str">
        <f>IF($E4220="","",ROUND($E4220*IF(ISNA(MATCH($C4220,'Paramètres'!$D:$D,0)),1,IF(INDEX('Paramètres'!$J:$J,MATCH($C4220,'Paramètres'!$D:$D,0))="",1,INDEX('Paramètres'!$J:$J,MATCH($C4220,'Paramètres'!$D:$D,0)))),2))</f>
        <v/>
      </c>
      <c r="L4220" s="6" t="str">
        <f>IF($D4220="","",IF($F4220&lt;&gt;"",$F4220,IF(ISNA(MATCH($D4220,'Paramètres'!$M:$M,0)),"⚠ Type inconnu",IFERROR(INDEX('Paramètres'!$P:$P,MATCH($D4220,'Paramètres'!$M:$M,0))&amp;"",""))))</f>
        <v/>
      </c>
      <c r="M4220" s="6" t="str">
        <f>IF($D4220="","",IF(ISNA(MATCH($D4220,'Paramètres'!$M:$M,0)),"⚠ Type inconnu",IF($L4220="Crédit","",IFERROR(INDEX('Paramètres'!$O:$O,MATCH($D4220,'Paramètres'!$M:$M,0))&amp;"",""))))</f>
        <v/>
      </c>
      <c r="N4220" s="6" t="str">
        <f>IF($D4220="","",IFERROR(INDEX('Paramètres'!$Q:$Q,MATCH($D4220,'Paramètres'!$M:$M,0))&amp;"",""))</f>
        <v/>
      </c>
      <c r="O4220" s="6" t="str">
        <f>IF($A4220="","",IF(OR($J4220&lt;&gt;"x",$A4220&lt;=FinReleve),1,0))</f>
        <v/>
      </c>
      <c r="P4220" s="6" t="str">
        <f>IF($D4220="","",IF(AND($L4220="Crédit",OR(IFERROR(INDEX('Paramètres'!$O:$O,MATCH($D4220,'Paramètres'!$M:$M,0))&amp;"","")&lt;&gt;"",ISNUMBER(SEARCH("remboursement",IFERROR(INDEX('Paramètres'!$N:$N,MATCH($D4220,'Paramètres'!$M:$M,0))&amp;"",""))))),1,0))</f>
        <v/>
      </c>
      <c r="Q4220" s="6" t="str">
        <f>IF($K4220="","",IF(ISNUMBER(SEARCH("transfert-interne",IFERROR(INDEX('Paramètres'!$N:$N,MATCH($D4220,'Paramètres'!$M:$M,0))&amp;"",""))),0,IF($L4220="Débit",$K4220,IF($P4220=1,-$K4220,0))))</f>
        <v/>
      </c>
      <c r="R4220" s="6" t="str">
        <f>IF($K4220="","",IF($L4220="Crédit",$K4220,-$K4220))</f>
        <v/>
      </c>
      <c r="S4220" s="6" t="str">
        <f>IF($C4220="","",IFERROR(INDEX('Paramètres'!$H:$H,MATCH($C4220,'Paramètres'!$D:$D,0))&amp;"",""))</f>
        <v/>
      </c>
      <c r="T4220" s="6" t="str">
        <f>IF($K4220="","",IF($S4220="",0,IF(ISNUMBER(SEARCH("apport-exterieur",IFERROR(INDEX('Paramètres'!$N:$N,MATCH($D4220,'Paramètres'!$M:$M,0))&amp;"",""))),0,IF(OR(IFERROR(INDEX('Paramètres'!$I:$I,MATCH($C4220,'Paramètres'!$D:$D,0))&amp;"","")="Les deux",IFERROR(INDEX('Paramètres'!$I:$I,MATCH($C4220,'Paramètres'!$D:$D,0))&amp;"","")=IF($P4220=1,"Débit",$L4220)),-IF($P4220=1,-$K4220,$K4220),0))))</f>
        <v/>
      </c>
      <c r="U4220" s="6" t="str">
        <f>IF($K4220="","",IF(ISNUMBER(SEARCH("sortie-epargne",IFERROR(INDEX('Paramètres'!$N:$N,MATCH($D4220,'Paramètres'!$M:$M,0))&amp;"",""))),$K4220,0))</f>
        <v/>
      </c>
      <c r="V4220" s="6" t="str">
        <f>IF(AND($A4220&lt;&gt;"",$O4220=1,$L4220="Débit",N($Q4220)&gt;0,$A4220&gt;=Visualisation!$B$1,$A4220&lt;Visualisation!$D$1),MAX($V$1:V4219)+1,"")</f>
        <v/>
      </c>
    </row>
    <row r="4221" spans="1:22" x14ac:dyDescent="0.25">
      <c r="A4221" s="9"/>
      <c r="E4221" s="10"/>
      <c r="K4221" s="11" t="str">
        <f>IF($E4221="","",ROUND($E4221*IF(ISNA(MATCH($C4221,'Paramètres'!$D:$D,0)),1,IF(INDEX('Paramètres'!$J:$J,MATCH($C4221,'Paramètres'!$D:$D,0))="",1,INDEX('Paramètres'!$J:$J,MATCH($C4221,'Paramètres'!$D:$D,0)))),2))</f>
        <v/>
      </c>
      <c r="L4221" s="6" t="str">
        <f>IF($D4221="","",IF($F4221&lt;&gt;"",$F4221,IF(ISNA(MATCH($D4221,'Paramètres'!$M:$M,0)),"⚠ Type inconnu",IFERROR(INDEX('Paramètres'!$P:$P,MATCH($D4221,'Paramètres'!$M:$M,0))&amp;"",""))))</f>
        <v/>
      </c>
      <c r="M4221" s="6" t="str">
        <f>IF($D4221="","",IF(ISNA(MATCH($D4221,'Paramètres'!$M:$M,0)),"⚠ Type inconnu",IF($L4221="Crédit","",IFERROR(INDEX('Paramètres'!$O:$O,MATCH($D4221,'Paramètres'!$M:$M,0))&amp;"",""))))</f>
        <v/>
      </c>
      <c r="N4221" s="6" t="str">
        <f>IF($D4221="","",IFERROR(INDEX('Paramètres'!$Q:$Q,MATCH($D4221,'Paramètres'!$M:$M,0))&amp;"",""))</f>
        <v/>
      </c>
      <c r="O4221" s="6" t="str">
        <f>IF($A4221="","",IF(OR($J4221&lt;&gt;"x",$A4221&lt;=FinReleve),1,0))</f>
        <v/>
      </c>
      <c r="P4221" s="6" t="str">
        <f>IF($D4221="","",IF(AND($L4221="Crédit",OR(IFERROR(INDEX('Paramètres'!$O:$O,MATCH($D4221,'Paramètres'!$M:$M,0))&amp;"","")&lt;&gt;"",ISNUMBER(SEARCH("remboursement",IFERROR(INDEX('Paramètres'!$N:$N,MATCH($D4221,'Paramètres'!$M:$M,0))&amp;"",""))))),1,0))</f>
        <v/>
      </c>
      <c r="Q4221" s="6" t="str">
        <f>IF($K4221="","",IF(ISNUMBER(SEARCH("transfert-interne",IFERROR(INDEX('Paramètres'!$N:$N,MATCH($D4221,'Paramètres'!$M:$M,0))&amp;"",""))),0,IF($L4221="Débit",$K4221,IF($P4221=1,-$K4221,0))))</f>
        <v/>
      </c>
      <c r="R4221" s="6" t="str">
        <f>IF($K4221="","",IF($L4221="Crédit",$K4221,-$K4221))</f>
        <v/>
      </c>
      <c r="S4221" s="6" t="str">
        <f>IF($C4221="","",IFERROR(INDEX('Paramètres'!$H:$H,MATCH($C4221,'Paramètres'!$D:$D,0))&amp;"",""))</f>
        <v/>
      </c>
      <c r="T4221" s="6" t="str">
        <f>IF($K4221="","",IF($S4221="",0,IF(ISNUMBER(SEARCH("apport-exterieur",IFERROR(INDEX('Paramètres'!$N:$N,MATCH($D4221,'Paramètres'!$M:$M,0))&amp;"",""))),0,IF(OR(IFERROR(INDEX('Paramètres'!$I:$I,MATCH($C4221,'Paramètres'!$D:$D,0))&amp;"","")="Les deux",IFERROR(INDEX('Paramètres'!$I:$I,MATCH($C4221,'Paramètres'!$D:$D,0))&amp;"","")=IF($P4221=1,"Débit",$L4221)),-IF($P4221=1,-$K4221,$K4221),0))))</f>
        <v/>
      </c>
      <c r="U4221" s="6" t="str">
        <f>IF($K4221="","",IF(ISNUMBER(SEARCH("sortie-epargne",IFERROR(INDEX('Paramètres'!$N:$N,MATCH($D4221,'Paramètres'!$M:$M,0))&amp;"",""))),$K4221,0))</f>
        <v/>
      </c>
      <c r="V4221" s="6" t="str">
        <f>IF(AND($A4221&lt;&gt;"",$O4221=1,$L4221="Débit",N($Q4221)&gt;0,$A4221&gt;=Visualisation!$B$1,$A4221&lt;Visualisation!$D$1),MAX($V$1:V4220)+1,"")</f>
        <v/>
      </c>
    </row>
    <row r="4222" spans="1:22" x14ac:dyDescent="0.25">
      <c r="A4222" s="9"/>
      <c r="E4222" s="10"/>
      <c r="K4222" s="11" t="str">
        <f>IF($E4222="","",ROUND($E4222*IF(ISNA(MATCH($C4222,'Paramètres'!$D:$D,0)),1,IF(INDEX('Paramètres'!$J:$J,MATCH($C4222,'Paramètres'!$D:$D,0))="",1,INDEX('Paramètres'!$J:$J,MATCH($C4222,'Paramètres'!$D:$D,0)))),2))</f>
        <v/>
      </c>
      <c r="L4222" s="6" t="str">
        <f>IF($D4222="","",IF($F4222&lt;&gt;"",$F4222,IF(ISNA(MATCH($D4222,'Paramètres'!$M:$M,0)),"⚠ Type inconnu",IFERROR(INDEX('Paramètres'!$P:$P,MATCH($D4222,'Paramètres'!$M:$M,0))&amp;"",""))))</f>
        <v/>
      </c>
      <c r="M4222" s="6" t="str">
        <f>IF($D4222="","",IF(ISNA(MATCH($D4222,'Paramètres'!$M:$M,0)),"⚠ Type inconnu",IF($L4222="Crédit","",IFERROR(INDEX('Paramètres'!$O:$O,MATCH($D4222,'Paramètres'!$M:$M,0))&amp;"",""))))</f>
        <v/>
      </c>
      <c r="N4222" s="6" t="str">
        <f>IF($D4222="","",IFERROR(INDEX('Paramètres'!$Q:$Q,MATCH($D4222,'Paramètres'!$M:$M,0))&amp;"",""))</f>
        <v/>
      </c>
      <c r="O4222" s="6" t="str">
        <f>IF($A4222="","",IF(OR($J4222&lt;&gt;"x",$A4222&lt;=FinReleve),1,0))</f>
        <v/>
      </c>
      <c r="P4222" s="6" t="str">
        <f>IF($D4222="","",IF(AND($L4222="Crédit",OR(IFERROR(INDEX('Paramètres'!$O:$O,MATCH($D4222,'Paramètres'!$M:$M,0))&amp;"","")&lt;&gt;"",ISNUMBER(SEARCH("remboursement",IFERROR(INDEX('Paramètres'!$N:$N,MATCH($D4222,'Paramètres'!$M:$M,0))&amp;"",""))))),1,0))</f>
        <v/>
      </c>
      <c r="Q4222" s="6" t="str">
        <f>IF($K4222="","",IF(ISNUMBER(SEARCH("transfert-interne",IFERROR(INDEX('Paramètres'!$N:$N,MATCH($D4222,'Paramètres'!$M:$M,0))&amp;"",""))),0,IF($L4222="Débit",$K4222,IF($P4222=1,-$K4222,0))))</f>
        <v/>
      </c>
      <c r="R4222" s="6" t="str">
        <f>IF($K4222="","",IF($L4222="Crédit",$K4222,-$K4222))</f>
        <v/>
      </c>
      <c r="S4222" s="6" t="str">
        <f>IF($C4222="","",IFERROR(INDEX('Paramètres'!$H:$H,MATCH($C4222,'Paramètres'!$D:$D,0))&amp;"",""))</f>
        <v/>
      </c>
      <c r="T4222" s="6" t="str">
        <f>IF($K4222="","",IF($S4222="",0,IF(ISNUMBER(SEARCH("apport-exterieur",IFERROR(INDEX('Paramètres'!$N:$N,MATCH($D4222,'Paramètres'!$M:$M,0))&amp;"",""))),0,IF(OR(IFERROR(INDEX('Paramètres'!$I:$I,MATCH($C4222,'Paramètres'!$D:$D,0))&amp;"","")="Les deux",IFERROR(INDEX('Paramètres'!$I:$I,MATCH($C4222,'Paramètres'!$D:$D,0))&amp;"","")=IF($P4222=1,"Débit",$L4222)),-IF($P4222=1,-$K4222,$K4222),0))))</f>
        <v/>
      </c>
      <c r="U4222" s="6" t="str">
        <f>IF($K4222="","",IF(ISNUMBER(SEARCH("sortie-epargne",IFERROR(INDEX('Paramètres'!$N:$N,MATCH($D4222,'Paramètres'!$M:$M,0))&amp;"",""))),$K4222,0))</f>
        <v/>
      </c>
      <c r="V4222" s="6" t="str">
        <f>IF(AND($A4222&lt;&gt;"",$O4222=1,$L4222="Débit",N($Q4222)&gt;0,$A4222&gt;=Visualisation!$B$1,$A4222&lt;Visualisation!$D$1),MAX($V$1:V4221)+1,"")</f>
        <v/>
      </c>
    </row>
    <row r="4223" spans="1:22" x14ac:dyDescent="0.25">
      <c r="A4223" s="9"/>
      <c r="E4223" s="10"/>
      <c r="K4223" s="11" t="str">
        <f>IF($E4223="","",ROUND($E4223*IF(ISNA(MATCH($C4223,'Paramètres'!$D:$D,0)),1,IF(INDEX('Paramètres'!$J:$J,MATCH($C4223,'Paramètres'!$D:$D,0))="",1,INDEX('Paramètres'!$J:$J,MATCH($C4223,'Paramètres'!$D:$D,0)))),2))</f>
        <v/>
      </c>
      <c r="L4223" s="6" t="str">
        <f>IF($D4223="","",IF($F4223&lt;&gt;"",$F4223,IF(ISNA(MATCH($D4223,'Paramètres'!$M:$M,0)),"⚠ Type inconnu",IFERROR(INDEX('Paramètres'!$P:$P,MATCH($D4223,'Paramètres'!$M:$M,0))&amp;"",""))))</f>
        <v/>
      </c>
      <c r="M4223" s="6" t="str">
        <f>IF($D4223="","",IF(ISNA(MATCH($D4223,'Paramètres'!$M:$M,0)),"⚠ Type inconnu",IF($L4223="Crédit","",IFERROR(INDEX('Paramètres'!$O:$O,MATCH($D4223,'Paramètres'!$M:$M,0))&amp;"",""))))</f>
        <v/>
      </c>
      <c r="N4223" s="6" t="str">
        <f>IF($D4223="","",IFERROR(INDEX('Paramètres'!$Q:$Q,MATCH($D4223,'Paramètres'!$M:$M,0))&amp;"",""))</f>
        <v/>
      </c>
      <c r="O4223" s="6" t="str">
        <f>IF($A4223="","",IF(OR($J4223&lt;&gt;"x",$A4223&lt;=FinReleve),1,0))</f>
        <v/>
      </c>
      <c r="P4223" s="6" t="str">
        <f>IF($D4223="","",IF(AND($L4223="Crédit",OR(IFERROR(INDEX('Paramètres'!$O:$O,MATCH($D4223,'Paramètres'!$M:$M,0))&amp;"","")&lt;&gt;"",ISNUMBER(SEARCH("remboursement",IFERROR(INDEX('Paramètres'!$N:$N,MATCH($D4223,'Paramètres'!$M:$M,0))&amp;"",""))))),1,0))</f>
        <v/>
      </c>
      <c r="Q4223" s="6" t="str">
        <f>IF($K4223="","",IF(ISNUMBER(SEARCH("transfert-interne",IFERROR(INDEX('Paramètres'!$N:$N,MATCH($D4223,'Paramètres'!$M:$M,0))&amp;"",""))),0,IF($L4223="Débit",$K4223,IF($P4223=1,-$K4223,0))))</f>
        <v/>
      </c>
      <c r="R4223" s="6" t="str">
        <f>IF($K4223="","",IF($L4223="Crédit",$K4223,-$K4223))</f>
        <v/>
      </c>
      <c r="S4223" s="6" t="str">
        <f>IF($C4223="","",IFERROR(INDEX('Paramètres'!$H:$H,MATCH($C4223,'Paramètres'!$D:$D,0))&amp;"",""))</f>
        <v/>
      </c>
      <c r="T4223" s="6" t="str">
        <f>IF($K4223="","",IF($S4223="",0,IF(ISNUMBER(SEARCH("apport-exterieur",IFERROR(INDEX('Paramètres'!$N:$N,MATCH($D4223,'Paramètres'!$M:$M,0))&amp;"",""))),0,IF(OR(IFERROR(INDEX('Paramètres'!$I:$I,MATCH($C4223,'Paramètres'!$D:$D,0))&amp;"","")="Les deux",IFERROR(INDEX('Paramètres'!$I:$I,MATCH($C4223,'Paramètres'!$D:$D,0))&amp;"","")=IF($P4223=1,"Débit",$L4223)),-IF($P4223=1,-$K4223,$K4223),0))))</f>
        <v/>
      </c>
      <c r="U4223" s="6" t="str">
        <f>IF($K4223="","",IF(ISNUMBER(SEARCH("sortie-epargne",IFERROR(INDEX('Paramètres'!$N:$N,MATCH($D4223,'Paramètres'!$M:$M,0))&amp;"",""))),$K4223,0))</f>
        <v/>
      </c>
      <c r="V4223" s="6" t="str">
        <f>IF(AND($A4223&lt;&gt;"",$O4223=1,$L4223="Débit",N($Q4223)&gt;0,$A4223&gt;=Visualisation!$B$1,$A4223&lt;Visualisation!$D$1),MAX($V$1:V4222)+1,"")</f>
        <v/>
      </c>
    </row>
    <row r="4224" spans="1:22" x14ac:dyDescent="0.25">
      <c r="A4224" s="9"/>
      <c r="E4224" s="10"/>
      <c r="K4224" s="11" t="str">
        <f>IF($E4224="","",ROUND($E4224*IF(ISNA(MATCH($C4224,'Paramètres'!$D:$D,0)),1,IF(INDEX('Paramètres'!$J:$J,MATCH($C4224,'Paramètres'!$D:$D,0))="",1,INDEX('Paramètres'!$J:$J,MATCH($C4224,'Paramètres'!$D:$D,0)))),2))</f>
        <v/>
      </c>
      <c r="L4224" s="6" t="str">
        <f>IF($D4224="","",IF($F4224&lt;&gt;"",$F4224,IF(ISNA(MATCH($D4224,'Paramètres'!$M:$M,0)),"⚠ Type inconnu",IFERROR(INDEX('Paramètres'!$P:$P,MATCH($D4224,'Paramètres'!$M:$M,0))&amp;"",""))))</f>
        <v/>
      </c>
      <c r="M4224" s="6" t="str">
        <f>IF($D4224="","",IF(ISNA(MATCH($D4224,'Paramètres'!$M:$M,0)),"⚠ Type inconnu",IF($L4224="Crédit","",IFERROR(INDEX('Paramètres'!$O:$O,MATCH($D4224,'Paramètres'!$M:$M,0))&amp;"",""))))</f>
        <v/>
      </c>
      <c r="N4224" s="6" t="str">
        <f>IF($D4224="","",IFERROR(INDEX('Paramètres'!$Q:$Q,MATCH($D4224,'Paramètres'!$M:$M,0))&amp;"",""))</f>
        <v/>
      </c>
      <c r="O4224" s="6" t="str">
        <f>IF($A4224="","",IF(OR($J4224&lt;&gt;"x",$A4224&lt;=FinReleve),1,0))</f>
        <v/>
      </c>
      <c r="P4224" s="6" t="str">
        <f>IF($D4224="","",IF(AND($L4224="Crédit",OR(IFERROR(INDEX('Paramètres'!$O:$O,MATCH($D4224,'Paramètres'!$M:$M,0))&amp;"","")&lt;&gt;"",ISNUMBER(SEARCH("remboursement",IFERROR(INDEX('Paramètres'!$N:$N,MATCH($D4224,'Paramètres'!$M:$M,0))&amp;"",""))))),1,0))</f>
        <v/>
      </c>
      <c r="Q4224" s="6" t="str">
        <f>IF($K4224="","",IF(ISNUMBER(SEARCH("transfert-interne",IFERROR(INDEX('Paramètres'!$N:$N,MATCH($D4224,'Paramètres'!$M:$M,0))&amp;"",""))),0,IF($L4224="Débit",$K4224,IF($P4224=1,-$K4224,0))))</f>
        <v/>
      </c>
      <c r="R4224" s="6" t="str">
        <f>IF($K4224="","",IF($L4224="Crédit",$K4224,-$K4224))</f>
        <v/>
      </c>
      <c r="S4224" s="6" t="str">
        <f>IF($C4224="","",IFERROR(INDEX('Paramètres'!$H:$H,MATCH($C4224,'Paramètres'!$D:$D,0))&amp;"",""))</f>
        <v/>
      </c>
      <c r="T4224" s="6" t="str">
        <f>IF($K4224="","",IF($S4224="",0,IF(ISNUMBER(SEARCH("apport-exterieur",IFERROR(INDEX('Paramètres'!$N:$N,MATCH($D4224,'Paramètres'!$M:$M,0))&amp;"",""))),0,IF(OR(IFERROR(INDEX('Paramètres'!$I:$I,MATCH($C4224,'Paramètres'!$D:$D,0))&amp;"","")="Les deux",IFERROR(INDEX('Paramètres'!$I:$I,MATCH($C4224,'Paramètres'!$D:$D,0))&amp;"","")=IF($P4224=1,"Débit",$L4224)),-IF($P4224=1,-$K4224,$K4224),0))))</f>
        <v/>
      </c>
      <c r="U4224" s="6" t="str">
        <f>IF($K4224="","",IF(ISNUMBER(SEARCH("sortie-epargne",IFERROR(INDEX('Paramètres'!$N:$N,MATCH($D4224,'Paramètres'!$M:$M,0))&amp;"",""))),$K4224,0))</f>
        <v/>
      </c>
      <c r="V4224" s="6" t="str">
        <f>IF(AND($A4224&lt;&gt;"",$O4224=1,$L4224="Débit",N($Q4224)&gt;0,$A4224&gt;=Visualisation!$B$1,$A4224&lt;Visualisation!$D$1),MAX($V$1:V4223)+1,"")</f>
        <v/>
      </c>
    </row>
    <row r="4225" spans="1:22" x14ac:dyDescent="0.25">
      <c r="A4225" s="9"/>
      <c r="E4225" s="10"/>
      <c r="K4225" s="11" t="str">
        <f>IF($E4225="","",ROUND($E4225*IF(ISNA(MATCH($C4225,'Paramètres'!$D:$D,0)),1,IF(INDEX('Paramètres'!$J:$J,MATCH($C4225,'Paramètres'!$D:$D,0))="",1,INDEX('Paramètres'!$J:$J,MATCH($C4225,'Paramètres'!$D:$D,0)))),2))</f>
        <v/>
      </c>
      <c r="L4225" s="6" t="str">
        <f>IF($D4225="","",IF($F4225&lt;&gt;"",$F4225,IF(ISNA(MATCH($D4225,'Paramètres'!$M:$M,0)),"⚠ Type inconnu",IFERROR(INDEX('Paramètres'!$P:$P,MATCH($D4225,'Paramètres'!$M:$M,0))&amp;"",""))))</f>
        <v/>
      </c>
      <c r="M4225" s="6" t="str">
        <f>IF($D4225="","",IF(ISNA(MATCH($D4225,'Paramètres'!$M:$M,0)),"⚠ Type inconnu",IF($L4225="Crédit","",IFERROR(INDEX('Paramètres'!$O:$O,MATCH($D4225,'Paramètres'!$M:$M,0))&amp;"",""))))</f>
        <v/>
      </c>
      <c r="N4225" s="6" t="str">
        <f>IF($D4225="","",IFERROR(INDEX('Paramètres'!$Q:$Q,MATCH($D4225,'Paramètres'!$M:$M,0))&amp;"",""))</f>
        <v/>
      </c>
      <c r="O4225" s="6" t="str">
        <f>IF($A4225="","",IF(OR($J4225&lt;&gt;"x",$A4225&lt;=FinReleve),1,0))</f>
        <v/>
      </c>
      <c r="P4225" s="6" t="str">
        <f>IF($D4225="","",IF(AND($L4225="Crédit",OR(IFERROR(INDEX('Paramètres'!$O:$O,MATCH($D4225,'Paramètres'!$M:$M,0))&amp;"","")&lt;&gt;"",ISNUMBER(SEARCH("remboursement",IFERROR(INDEX('Paramètres'!$N:$N,MATCH($D4225,'Paramètres'!$M:$M,0))&amp;"",""))))),1,0))</f>
        <v/>
      </c>
      <c r="Q4225" s="6" t="str">
        <f>IF($K4225="","",IF(ISNUMBER(SEARCH("transfert-interne",IFERROR(INDEX('Paramètres'!$N:$N,MATCH($D4225,'Paramètres'!$M:$M,0))&amp;"",""))),0,IF($L4225="Débit",$K4225,IF($P4225=1,-$K4225,0))))</f>
        <v/>
      </c>
      <c r="R4225" s="6" t="str">
        <f>IF($K4225="","",IF($L4225="Crédit",$K4225,-$K4225))</f>
        <v/>
      </c>
      <c r="S4225" s="6" t="str">
        <f>IF($C4225="","",IFERROR(INDEX('Paramètres'!$H:$H,MATCH($C4225,'Paramètres'!$D:$D,0))&amp;"",""))</f>
        <v/>
      </c>
      <c r="T4225" s="6" t="str">
        <f>IF($K4225="","",IF($S4225="",0,IF(ISNUMBER(SEARCH("apport-exterieur",IFERROR(INDEX('Paramètres'!$N:$N,MATCH($D4225,'Paramètres'!$M:$M,0))&amp;"",""))),0,IF(OR(IFERROR(INDEX('Paramètres'!$I:$I,MATCH($C4225,'Paramètres'!$D:$D,0))&amp;"","")="Les deux",IFERROR(INDEX('Paramètres'!$I:$I,MATCH($C4225,'Paramètres'!$D:$D,0))&amp;"","")=IF($P4225=1,"Débit",$L4225)),-IF($P4225=1,-$K4225,$K4225),0))))</f>
        <v/>
      </c>
      <c r="U4225" s="6" t="str">
        <f>IF($K4225="","",IF(ISNUMBER(SEARCH("sortie-epargne",IFERROR(INDEX('Paramètres'!$N:$N,MATCH($D4225,'Paramètres'!$M:$M,0))&amp;"",""))),$K4225,0))</f>
        <v/>
      </c>
      <c r="V4225" s="6" t="str">
        <f>IF(AND($A4225&lt;&gt;"",$O4225=1,$L4225="Débit",N($Q4225)&gt;0,$A4225&gt;=Visualisation!$B$1,$A4225&lt;Visualisation!$D$1),MAX($V$1:V4224)+1,"")</f>
        <v/>
      </c>
    </row>
    <row r="4226" spans="1:22" x14ac:dyDescent="0.25">
      <c r="A4226" s="9"/>
      <c r="E4226" s="10"/>
      <c r="K4226" s="11" t="str">
        <f>IF($E4226="","",ROUND($E4226*IF(ISNA(MATCH($C4226,'Paramètres'!$D:$D,0)),1,IF(INDEX('Paramètres'!$J:$J,MATCH($C4226,'Paramètres'!$D:$D,0))="",1,INDEX('Paramètres'!$J:$J,MATCH($C4226,'Paramètres'!$D:$D,0)))),2))</f>
        <v/>
      </c>
      <c r="L4226" s="6" t="str">
        <f>IF($D4226="","",IF($F4226&lt;&gt;"",$F4226,IF(ISNA(MATCH($D4226,'Paramètres'!$M:$M,0)),"⚠ Type inconnu",IFERROR(INDEX('Paramètres'!$P:$P,MATCH($D4226,'Paramètres'!$M:$M,0))&amp;"",""))))</f>
        <v/>
      </c>
      <c r="M4226" s="6" t="str">
        <f>IF($D4226="","",IF(ISNA(MATCH($D4226,'Paramètres'!$M:$M,0)),"⚠ Type inconnu",IF($L4226="Crédit","",IFERROR(INDEX('Paramètres'!$O:$O,MATCH($D4226,'Paramètres'!$M:$M,0))&amp;"",""))))</f>
        <v/>
      </c>
      <c r="N4226" s="6" t="str">
        <f>IF($D4226="","",IFERROR(INDEX('Paramètres'!$Q:$Q,MATCH($D4226,'Paramètres'!$M:$M,0))&amp;"",""))</f>
        <v/>
      </c>
      <c r="O4226" s="6" t="str">
        <f>IF($A4226="","",IF(OR($J4226&lt;&gt;"x",$A4226&lt;=FinReleve),1,0))</f>
        <v/>
      </c>
      <c r="P4226" s="6" t="str">
        <f>IF($D4226="","",IF(AND($L4226="Crédit",OR(IFERROR(INDEX('Paramètres'!$O:$O,MATCH($D4226,'Paramètres'!$M:$M,0))&amp;"","")&lt;&gt;"",ISNUMBER(SEARCH("remboursement",IFERROR(INDEX('Paramètres'!$N:$N,MATCH($D4226,'Paramètres'!$M:$M,0))&amp;"",""))))),1,0))</f>
        <v/>
      </c>
      <c r="Q4226" s="6" t="str">
        <f>IF($K4226="","",IF(ISNUMBER(SEARCH("transfert-interne",IFERROR(INDEX('Paramètres'!$N:$N,MATCH($D4226,'Paramètres'!$M:$M,0))&amp;"",""))),0,IF($L4226="Débit",$K4226,IF($P4226=1,-$K4226,0))))</f>
        <v/>
      </c>
      <c r="R4226" s="6" t="str">
        <f>IF($K4226="","",IF($L4226="Crédit",$K4226,-$K4226))</f>
        <v/>
      </c>
      <c r="S4226" s="6" t="str">
        <f>IF($C4226="","",IFERROR(INDEX('Paramètres'!$H:$H,MATCH($C4226,'Paramètres'!$D:$D,0))&amp;"",""))</f>
        <v/>
      </c>
      <c r="T4226" s="6" t="str">
        <f>IF($K4226="","",IF($S4226="",0,IF(ISNUMBER(SEARCH("apport-exterieur",IFERROR(INDEX('Paramètres'!$N:$N,MATCH($D4226,'Paramètres'!$M:$M,0))&amp;"",""))),0,IF(OR(IFERROR(INDEX('Paramètres'!$I:$I,MATCH($C4226,'Paramètres'!$D:$D,0))&amp;"","")="Les deux",IFERROR(INDEX('Paramètres'!$I:$I,MATCH($C4226,'Paramètres'!$D:$D,0))&amp;"","")=IF($P4226=1,"Débit",$L4226)),-IF($P4226=1,-$K4226,$K4226),0))))</f>
        <v/>
      </c>
      <c r="U4226" s="6" t="str">
        <f>IF($K4226="","",IF(ISNUMBER(SEARCH("sortie-epargne",IFERROR(INDEX('Paramètres'!$N:$N,MATCH($D4226,'Paramètres'!$M:$M,0))&amp;"",""))),$K4226,0))</f>
        <v/>
      </c>
      <c r="V4226" s="6" t="str">
        <f>IF(AND($A4226&lt;&gt;"",$O4226=1,$L4226="Débit",N($Q4226)&gt;0,$A4226&gt;=Visualisation!$B$1,$A4226&lt;Visualisation!$D$1),MAX($V$1:V4225)+1,"")</f>
        <v/>
      </c>
    </row>
    <row r="4227" spans="1:22" x14ac:dyDescent="0.25">
      <c r="A4227" s="9"/>
      <c r="E4227" s="10"/>
      <c r="K4227" s="11" t="str">
        <f>IF($E4227="","",ROUND($E4227*IF(ISNA(MATCH($C4227,'Paramètres'!$D:$D,0)),1,IF(INDEX('Paramètres'!$J:$J,MATCH($C4227,'Paramètres'!$D:$D,0))="",1,INDEX('Paramètres'!$J:$J,MATCH($C4227,'Paramètres'!$D:$D,0)))),2))</f>
        <v/>
      </c>
      <c r="L4227" s="6" t="str">
        <f>IF($D4227="","",IF($F4227&lt;&gt;"",$F4227,IF(ISNA(MATCH($D4227,'Paramètres'!$M:$M,0)),"⚠ Type inconnu",IFERROR(INDEX('Paramètres'!$P:$P,MATCH($D4227,'Paramètres'!$M:$M,0))&amp;"",""))))</f>
        <v/>
      </c>
      <c r="M4227" s="6" t="str">
        <f>IF($D4227="","",IF(ISNA(MATCH($D4227,'Paramètres'!$M:$M,0)),"⚠ Type inconnu",IF($L4227="Crédit","",IFERROR(INDEX('Paramètres'!$O:$O,MATCH($D4227,'Paramètres'!$M:$M,0))&amp;"",""))))</f>
        <v/>
      </c>
      <c r="N4227" s="6" t="str">
        <f>IF($D4227="","",IFERROR(INDEX('Paramètres'!$Q:$Q,MATCH($D4227,'Paramètres'!$M:$M,0))&amp;"",""))</f>
        <v/>
      </c>
      <c r="O4227" s="6" t="str">
        <f>IF($A4227="","",IF(OR($J4227&lt;&gt;"x",$A4227&lt;=FinReleve),1,0))</f>
        <v/>
      </c>
      <c r="P4227" s="6" t="str">
        <f>IF($D4227="","",IF(AND($L4227="Crédit",OR(IFERROR(INDEX('Paramètres'!$O:$O,MATCH($D4227,'Paramètres'!$M:$M,0))&amp;"","")&lt;&gt;"",ISNUMBER(SEARCH("remboursement",IFERROR(INDEX('Paramètres'!$N:$N,MATCH($D4227,'Paramètres'!$M:$M,0))&amp;"",""))))),1,0))</f>
        <v/>
      </c>
      <c r="Q4227" s="6" t="str">
        <f>IF($K4227="","",IF(ISNUMBER(SEARCH("transfert-interne",IFERROR(INDEX('Paramètres'!$N:$N,MATCH($D4227,'Paramètres'!$M:$M,0))&amp;"",""))),0,IF($L4227="Débit",$K4227,IF($P4227=1,-$K4227,0))))</f>
        <v/>
      </c>
      <c r="R4227" s="6" t="str">
        <f>IF($K4227="","",IF($L4227="Crédit",$K4227,-$K4227))</f>
        <v/>
      </c>
      <c r="S4227" s="6" t="str">
        <f>IF($C4227="","",IFERROR(INDEX('Paramètres'!$H:$H,MATCH($C4227,'Paramètres'!$D:$D,0))&amp;"",""))</f>
        <v/>
      </c>
      <c r="T4227" s="6" t="str">
        <f>IF($K4227="","",IF($S4227="",0,IF(ISNUMBER(SEARCH("apport-exterieur",IFERROR(INDEX('Paramètres'!$N:$N,MATCH($D4227,'Paramètres'!$M:$M,0))&amp;"",""))),0,IF(OR(IFERROR(INDEX('Paramètres'!$I:$I,MATCH($C4227,'Paramètres'!$D:$D,0))&amp;"","")="Les deux",IFERROR(INDEX('Paramètres'!$I:$I,MATCH($C4227,'Paramètres'!$D:$D,0))&amp;"","")=IF($P4227=1,"Débit",$L4227)),-IF($P4227=1,-$K4227,$K4227),0))))</f>
        <v/>
      </c>
      <c r="U4227" s="6" t="str">
        <f>IF($K4227="","",IF(ISNUMBER(SEARCH("sortie-epargne",IFERROR(INDEX('Paramètres'!$N:$N,MATCH($D4227,'Paramètres'!$M:$M,0))&amp;"",""))),$K4227,0))</f>
        <v/>
      </c>
      <c r="V4227" s="6" t="str">
        <f>IF(AND($A4227&lt;&gt;"",$O4227=1,$L4227="Débit",N($Q4227)&gt;0,$A4227&gt;=Visualisation!$B$1,$A4227&lt;Visualisation!$D$1),MAX($V$1:V4226)+1,"")</f>
        <v/>
      </c>
    </row>
    <row r="4228" spans="1:22" x14ac:dyDescent="0.25">
      <c r="A4228" s="9"/>
      <c r="E4228" s="10"/>
      <c r="K4228" s="11" t="str">
        <f>IF($E4228="","",ROUND($E4228*IF(ISNA(MATCH($C4228,'Paramètres'!$D:$D,0)),1,IF(INDEX('Paramètres'!$J:$J,MATCH($C4228,'Paramètres'!$D:$D,0))="",1,INDEX('Paramètres'!$J:$J,MATCH($C4228,'Paramètres'!$D:$D,0)))),2))</f>
        <v/>
      </c>
      <c r="L4228" s="6" t="str">
        <f>IF($D4228="","",IF($F4228&lt;&gt;"",$F4228,IF(ISNA(MATCH($D4228,'Paramètres'!$M:$M,0)),"⚠ Type inconnu",IFERROR(INDEX('Paramètres'!$P:$P,MATCH($D4228,'Paramètres'!$M:$M,0))&amp;"",""))))</f>
        <v/>
      </c>
      <c r="M4228" s="6" t="str">
        <f>IF($D4228="","",IF(ISNA(MATCH($D4228,'Paramètres'!$M:$M,0)),"⚠ Type inconnu",IF($L4228="Crédit","",IFERROR(INDEX('Paramètres'!$O:$O,MATCH($D4228,'Paramètres'!$M:$M,0))&amp;"",""))))</f>
        <v/>
      </c>
      <c r="N4228" s="6" t="str">
        <f>IF($D4228="","",IFERROR(INDEX('Paramètres'!$Q:$Q,MATCH($D4228,'Paramètres'!$M:$M,0))&amp;"",""))</f>
        <v/>
      </c>
      <c r="O4228" s="6" t="str">
        <f>IF($A4228="","",IF(OR($J4228&lt;&gt;"x",$A4228&lt;=FinReleve),1,0))</f>
        <v/>
      </c>
      <c r="P4228" s="6" t="str">
        <f>IF($D4228="","",IF(AND($L4228="Crédit",OR(IFERROR(INDEX('Paramètres'!$O:$O,MATCH($D4228,'Paramètres'!$M:$M,0))&amp;"","")&lt;&gt;"",ISNUMBER(SEARCH("remboursement",IFERROR(INDEX('Paramètres'!$N:$N,MATCH($D4228,'Paramètres'!$M:$M,0))&amp;"",""))))),1,0))</f>
        <v/>
      </c>
      <c r="Q4228" s="6" t="str">
        <f>IF($K4228="","",IF(ISNUMBER(SEARCH("transfert-interne",IFERROR(INDEX('Paramètres'!$N:$N,MATCH($D4228,'Paramètres'!$M:$M,0))&amp;"",""))),0,IF($L4228="Débit",$K4228,IF($P4228=1,-$K4228,0))))</f>
        <v/>
      </c>
      <c r="R4228" s="6" t="str">
        <f>IF($K4228="","",IF($L4228="Crédit",$K4228,-$K4228))</f>
        <v/>
      </c>
      <c r="S4228" s="6" t="str">
        <f>IF($C4228="","",IFERROR(INDEX('Paramètres'!$H:$H,MATCH($C4228,'Paramètres'!$D:$D,0))&amp;"",""))</f>
        <v/>
      </c>
      <c r="T4228" s="6" t="str">
        <f>IF($K4228="","",IF($S4228="",0,IF(ISNUMBER(SEARCH("apport-exterieur",IFERROR(INDEX('Paramètres'!$N:$N,MATCH($D4228,'Paramètres'!$M:$M,0))&amp;"",""))),0,IF(OR(IFERROR(INDEX('Paramètres'!$I:$I,MATCH($C4228,'Paramètres'!$D:$D,0))&amp;"","")="Les deux",IFERROR(INDEX('Paramètres'!$I:$I,MATCH($C4228,'Paramètres'!$D:$D,0))&amp;"","")=IF($P4228=1,"Débit",$L4228)),-IF($P4228=1,-$K4228,$K4228),0))))</f>
        <v/>
      </c>
      <c r="U4228" s="6" t="str">
        <f>IF($K4228="","",IF(ISNUMBER(SEARCH("sortie-epargne",IFERROR(INDEX('Paramètres'!$N:$N,MATCH($D4228,'Paramètres'!$M:$M,0))&amp;"",""))),$K4228,0))</f>
        <v/>
      </c>
      <c r="V4228" s="6" t="str">
        <f>IF(AND($A4228&lt;&gt;"",$O4228=1,$L4228="Débit",N($Q4228)&gt;0,$A4228&gt;=Visualisation!$B$1,$A4228&lt;Visualisation!$D$1),MAX($V$1:V4227)+1,"")</f>
        <v/>
      </c>
    </row>
    <row r="4229" spans="1:22" x14ac:dyDescent="0.25">
      <c r="A4229" s="9"/>
      <c r="E4229" s="10"/>
      <c r="K4229" s="11" t="str">
        <f>IF($E4229="","",ROUND($E4229*IF(ISNA(MATCH($C4229,'Paramètres'!$D:$D,0)),1,IF(INDEX('Paramètres'!$J:$J,MATCH($C4229,'Paramètres'!$D:$D,0))="",1,INDEX('Paramètres'!$J:$J,MATCH($C4229,'Paramètres'!$D:$D,0)))),2))</f>
        <v/>
      </c>
      <c r="L4229" s="6" t="str">
        <f>IF($D4229="","",IF($F4229&lt;&gt;"",$F4229,IF(ISNA(MATCH($D4229,'Paramètres'!$M:$M,0)),"⚠ Type inconnu",IFERROR(INDEX('Paramètres'!$P:$P,MATCH($D4229,'Paramètres'!$M:$M,0))&amp;"",""))))</f>
        <v/>
      </c>
      <c r="M4229" s="6" t="str">
        <f>IF($D4229="","",IF(ISNA(MATCH($D4229,'Paramètres'!$M:$M,0)),"⚠ Type inconnu",IF($L4229="Crédit","",IFERROR(INDEX('Paramètres'!$O:$O,MATCH($D4229,'Paramètres'!$M:$M,0))&amp;"",""))))</f>
        <v/>
      </c>
      <c r="N4229" s="6" t="str">
        <f>IF($D4229="","",IFERROR(INDEX('Paramètres'!$Q:$Q,MATCH($D4229,'Paramètres'!$M:$M,0))&amp;"",""))</f>
        <v/>
      </c>
      <c r="O4229" s="6" t="str">
        <f>IF($A4229="","",IF(OR($J4229&lt;&gt;"x",$A4229&lt;=FinReleve),1,0))</f>
        <v/>
      </c>
      <c r="P4229" s="6" t="str">
        <f>IF($D4229="","",IF(AND($L4229="Crédit",OR(IFERROR(INDEX('Paramètres'!$O:$O,MATCH($D4229,'Paramètres'!$M:$M,0))&amp;"","")&lt;&gt;"",ISNUMBER(SEARCH("remboursement",IFERROR(INDEX('Paramètres'!$N:$N,MATCH($D4229,'Paramètres'!$M:$M,0))&amp;"",""))))),1,0))</f>
        <v/>
      </c>
      <c r="Q4229" s="6" t="str">
        <f>IF($K4229="","",IF(ISNUMBER(SEARCH("transfert-interne",IFERROR(INDEX('Paramètres'!$N:$N,MATCH($D4229,'Paramètres'!$M:$M,0))&amp;"",""))),0,IF($L4229="Débit",$K4229,IF($P4229=1,-$K4229,0))))</f>
        <v/>
      </c>
      <c r="R4229" s="6" t="str">
        <f>IF($K4229="","",IF($L4229="Crédit",$K4229,-$K4229))</f>
        <v/>
      </c>
      <c r="S4229" s="6" t="str">
        <f>IF($C4229="","",IFERROR(INDEX('Paramètres'!$H:$H,MATCH($C4229,'Paramètres'!$D:$D,0))&amp;"",""))</f>
        <v/>
      </c>
      <c r="T4229" s="6" t="str">
        <f>IF($K4229="","",IF($S4229="",0,IF(ISNUMBER(SEARCH("apport-exterieur",IFERROR(INDEX('Paramètres'!$N:$N,MATCH($D4229,'Paramètres'!$M:$M,0))&amp;"",""))),0,IF(OR(IFERROR(INDEX('Paramètres'!$I:$I,MATCH($C4229,'Paramètres'!$D:$D,0))&amp;"","")="Les deux",IFERROR(INDEX('Paramètres'!$I:$I,MATCH($C4229,'Paramètres'!$D:$D,0))&amp;"","")=IF($P4229=1,"Débit",$L4229)),-IF($P4229=1,-$K4229,$K4229),0))))</f>
        <v/>
      </c>
      <c r="U4229" s="6" t="str">
        <f>IF($K4229="","",IF(ISNUMBER(SEARCH("sortie-epargne",IFERROR(INDEX('Paramètres'!$N:$N,MATCH($D4229,'Paramètres'!$M:$M,0))&amp;"",""))),$K4229,0))</f>
        <v/>
      </c>
      <c r="V4229" s="6" t="str">
        <f>IF(AND($A4229&lt;&gt;"",$O4229=1,$L4229="Débit",N($Q4229)&gt;0,$A4229&gt;=Visualisation!$B$1,$A4229&lt;Visualisation!$D$1),MAX($V$1:V4228)+1,"")</f>
        <v/>
      </c>
    </row>
    <row r="4230" spans="1:22" x14ac:dyDescent="0.25">
      <c r="A4230" s="9"/>
      <c r="E4230" s="10"/>
      <c r="K4230" s="11" t="str">
        <f>IF($E4230="","",ROUND($E4230*IF(ISNA(MATCH($C4230,'Paramètres'!$D:$D,0)),1,IF(INDEX('Paramètres'!$J:$J,MATCH($C4230,'Paramètres'!$D:$D,0))="",1,INDEX('Paramètres'!$J:$J,MATCH($C4230,'Paramètres'!$D:$D,0)))),2))</f>
        <v/>
      </c>
      <c r="L4230" s="6" t="str">
        <f>IF($D4230="","",IF($F4230&lt;&gt;"",$F4230,IF(ISNA(MATCH($D4230,'Paramètres'!$M:$M,0)),"⚠ Type inconnu",IFERROR(INDEX('Paramètres'!$P:$P,MATCH($D4230,'Paramètres'!$M:$M,0))&amp;"",""))))</f>
        <v/>
      </c>
      <c r="M4230" s="6" t="str">
        <f>IF($D4230="","",IF(ISNA(MATCH($D4230,'Paramètres'!$M:$M,0)),"⚠ Type inconnu",IF($L4230="Crédit","",IFERROR(INDEX('Paramètres'!$O:$O,MATCH($D4230,'Paramètres'!$M:$M,0))&amp;"",""))))</f>
        <v/>
      </c>
      <c r="N4230" s="6" t="str">
        <f>IF($D4230="","",IFERROR(INDEX('Paramètres'!$Q:$Q,MATCH($D4230,'Paramètres'!$M:$M,0))&amp;"",""))</f>
        <v/>
      </c>
      <c r="O4230" s="6" t="str">
        <f>IF($A4230="","",IF(OR($J4230&lt;&gt;"x",$A4230&lt;=FinReleve),1,0))</f>
        <v/>
      </c>
      <c r="P4230" s="6" t="str">
        <f>IF($D4230="","",IF(AND($L4230="Crédit",OR(IFERROR(INDEX('Paramètres'!$O:$O,MATCH($D4230,'Paramètres'!$M:$M,0))&amp;"","")&lt;&gt;"",ISNUMBER(SEARCH("remboursement",IFERROR(INDEX('Paramètres'!$N:$N,MATCH($D4230,'Paramètres'!$M:$M,0))&amp;"",""))))),1,0))</f>
        <v/>
      </c>
      <c r="Q4230" s="6" t="str">
        <f>IF($K4230="","",IF(ISNUMBER(SEARCH("transfert-interne",IFERROR(INDEX('Paramètres'!$N:$N,MATCH($D4230,'Paramètres'!$M:$M,0))&amp;"",""))),0,IF($L4230="Débit",$K4230,IF($P4230=1,-$K4230,0))))</f>
        <v/>
      </c>
      <c r="R4230" s="6" t="str">
        <f>IF($K4230="","",IF($L4230="Crédit",$K4230,-$K4230))</f>
        <v/>
      </c>
      <c r="S4230" s="6" t="str">
        <f>IF($C4230="","",IFERROR(INDEX('Paramètres'!$H:$H,MATCH($C4230,'Paramètres'!$D:$D,0))&amp;"",""))</f>
        <v/>
      </c>
      <c r="T4230" s="6" t="str">
        <f>IF($K4230="","",IF($S4230="",0,IF(ISNUMBER(SEARCH("apport-exterieur",IFERROR(INDEX('Paramètres'!$N:$N,MATCH($D4230,'Paramètres'!$M:$M,0))&amp;"",""))),0,IF(OR(IFERROR(INDEX('Paramètres'!$I:$I,MATCH($C4230,'Paramètres'!$D:$D,0))&amp;"","")="Les deux",IFERROR(INDEX('Paramètres'!$I:$I,MATCH($C4230,'Paramètres'!$D:$D,0))&amp;"","")=IF($P4230=1,"Débit",$L4230)),-IF($P4230=1,-$K4230,$K4230),0))))</f>
        <v/>
      </c>
      <c r="U4230" s="6" t="str">
        <f>IF($K4230="","",IF(ISNUMBER(SEARCH("sortie-epargne",IFERROR(INDEX('Paramètres'!$N:$N,MATCH($D4230,'Paramètres'!$M:$M,0))&amp;"",""))),$K4230,0))</f>
        <v/>
      </c>
      <c r="V4230" s="6" t="str">
        <f>IF(AND($A4230&lt;&gt;"",$O4230=1,$L4230="Débit",N($Q4230)&gt;0,$A4230&gt;=Visualisation!$B$1,$A4230&lt;Visualisation!$D$1),MAX($V$1:V4229)+1,"")</f>
        <v/>
      </c>
    </row>
    <row r="4231" spans="1:22" x14ac:dyDescent="0.25">
      <c r="A4231" s="9"/>
      <c r="E4231" s="10"/>
      <c r="K4231" s="11" t="str">
        <f>IF($E4231="","",ROUND($E4231*IF(ISNA(MATCH($C4231,'Paramètres'!$D:$D,0)),1,IF(INDEX('Paramètres'!$J:$J,MATCH($C4231,'Paramètres'!$D:$D,0))="",1,INDEX('Paramètres'!$J:$J,MATCH($C4231,'Paramètres'!$D:$D,0)))),2))</f>
        <v/>
      </c>
      <c r="L4231" s="6" t="str">
        <f>IF($D4231="","",IF($F4231&lt;&gt;"",$F4231,IF(ISNA(MATCH($D4231,'Paramètres'!$M:$M,0)),"⚠ Type inconnu",IFERROR(INDEX('Paramètres'!$P:$P,MATCH($D4231,'Paramètres'!$M:$M,0))&amp;"",""))))</f>
        <v/>
      </c>
      <c r="M4231" s="6" t="str">
        <f>IF($D4231="","",IF(ISNA(MATCH($D4231,'Paramètres'!$M:$M,0)),"⚠ Type inconnu",IF($L4231="Crédit","",IFERROR(INDEX('Paramètres'!$O:$O,MATCH($D4231,'Paramètres'!$M:$M,0))&amp;"",""))))</f>
        <v/>
      </c>
      <c r="N4231" s="6" t="str">
        <f>IF($D4231="","",IFERROR(INDEX('Paramètres'!$Q:$Q,MATCH($D4231,'Paramètres'!$M:$M,0))&amp;"",""))</f>
        <v/>
      </c>
      <c r="O4231" s="6" t="str">
        <f>IF($A4231="","",IF(OR($J4231&lt;&gt;"x",$A4231&lt;=FinReleve),1,0))</f>
        <v/>
      </c>
      <c r="P4231" s="6" t="str">
        <f>IF($D4231="","",IF(AND($L4231="Crédit",OR(IFERROR(INDEX('Paramètres'!$O:$O,MATCH($D4231,'Paramètres'!$M:$M,0))&amp;"","")&lt;&gt;"",ISNUMBER(SEARCH("remboursement",IFERROR(INDEX('Paramètres'!$N:$N,MATCH($D4231,'Paramètres'!$M:$M,0))&amp;"",""))))),1,0))</f>
        <v/>
      </c>
      <c r="Q4231" s="6" t="str">
        <f>IF($K4231="","",IF(ISNUMBER(SEARCH("transfert-interne",IFERROR(INDEX('Paramètres'!$N:$N,MATCH($D4231,'Paramètres'!$M:$M,0))&amp;"",""))),0,IF($L4231="Débit",$K4231,IF($P4231=1,-$K4231,0))))</f>
        <v/>
      </c>
      <c r="R4231" s="6" t="str">
        <f>IF($K4231="","",IF($L4231="Crédit",$K4231,-$K4231))</f>
        <v/>
      </c>
      <c r="S4231" s="6" t="str">
        <f>IF($C4231="","",IFERROR(INDEX('Paramètres'!$H:$H,MATCH($C4231,'Paramètres'!$D:$D,0))&amp;"",""))</f>
        <v/>
      </c>
      <c r="T4231" s="6" t="str">
        <f>IF($K4231="","",IF($S4231="",0,IF(ISNUMBER(SEARCH("apport-exterieur",IFERROR(INDEX('Paramètres'!$N:$N,MATCH($D4231,'Paramètres'!$M:$M,0))&amp;"",""))),0,IF(OR(IFERROR(INDEX('Paramètres'!$I:$I,MATCH($C4231,'Paramètres'!$D:$D,0))&amp;"","")="Les deux",IFERROR(INDEX('Paramètres'!$I:$I,MATCH($C4231,'Paramètres'!$D:$D,0))&amp;"","")=IF($P4231=1,"Débit",$L4231)),-IF($P4231=1,-$K4231,$K4231),0))))</f>
        <v/>
      </c>
      <c r="U4231" s="6" t="str">
        <f>IF($K4231="","",IF(ISNUMBER(SEARCH("sortie-epargne",IFERROR(INDEX('Paramètres'!$N:$N,MATCH($D4231,'Paramètres'!$M:$M,0))&amp;"",""))),$K4231,0))</f>
        <v/>
      </c>
      <c r="V4231" s="6" t="str">
        <f>IF(AND($A4231&lt;&gt;"",$O4231=1,$L4231="Débit",N($Q4231)&gt;0,$A4231&gt;=Visualisation!$B$1,$A4231&lt;Visualisation!$D$1),MAX($V$1:V4230)+1,"")</f>
        <v/>
      </c>
    </row>
    <row r="4232" spans="1:22" x14ac:dyDescent="0.25">
      <c r="A4232" s="9"/>
      <c r="E4232" s="10"/>
      <c r="K4232" s="11" t="str">
        <f>IF($E4232="","",ROUND($E4232*IF(ISNA(MATCH($C4232,'Paramètres'!$D:$D,0)),1,IF(INDEX('Paramètres'!$J:$J,MATCH($C4232,'Paramètres'!$D:$D,0))="",1,INDEX('Paramètres'!$J:$J,MATCH($C4232,'Paramètres'!$D:$D,0)))),2))</f>
        <v/>
      </c>
      <c r="L4232" s="6" t="str">
        <f>IF($D4232="","",IF($F4232&lt;&gt;"",$F4232,IF(ISNA(MATCH($D4232,'Paramètres'!$M:$M,0)),"⚠ Type inconnu",IFERROR(INDEX('Paramètres'!$P:$P,MATCH($D4232,'Paramètres'!$M:$M,0))&amp;"",""))))</f>
        <v/>
      </c>
      <c r="M4232" s="6" t="str">
        <f>IF($D4232="","",IF(ISNA(MATCH($D4232,'Paramètres'!$M:$M,0)),"⚠ Type inconnu",IF($L4232="Crédit","",IFERROR(INDEX('Paramètres'!$O:$O,MATCH($D4232,'Paramètres'!$M:$M,0))&amp;"",""))))</f>
        <v/>
      </c>
      <c r="N4232" s="6" t="str">
        <f>IF($D4232="","",IFERROR(INDEX('Paramètres'!$Q:$Q,MATCH($D4232,'Paramètres'!$M:$M,0))&amp;"",""))</f>
        <v/>
      </c>
      <c r="O4232" s="6" t="str">
        <f>IF($A4232="","",IF(OR($J4232&lt;&gt;"x",$A4232&lt;=FinReleve),1,0))</f>
        <v/>
      </c>
      <c r="P4232" s="6" t="str">
        <f>IF($D4232="","",IF(AND($L4232="Crédit",OR(IFERROR(INDEX('Paramètres'!$O:$O,MATCH($D4232,'Paramètres'!$M:$M,0))&amp;"","")&lt;&gt;"",ISNUMBER(SEARCH("remboursement",IFERROR(INDEX('Paramètres'!$N:$N,MATCH($D4232,'Paramètres'!$M:$M,0))&amp;"",""))))),1,0))</f>
        <v/>
      </c>
      <c r="Q4232" s="6" t="str">
        <f>IF($K4232="","",IF(ISNUMBER(SEARCH("transfert-interne",IFERROR(INDEX('Paramètres'!$N:$N,MATCH($D4232,'Paramètres'!$M:$M,0))&amp;"",""))),0,IF($L4232="Débit",$K4232,IF($P4232=1,-$K4232,0))))</f>
        <v/>
      </c>
      <c r="R4232" s="6" t="str">
        <f>IF($K4232="","",IF($L4232="Crédit",$K4232,-$K4232))</f>
        <v/>
      </c>
      <c r="S4232" s="6" t="str">
        <f>IF($C4232="","",IFERROR(INDEX('Paramètres'!$H:$H,MATCH($C4232,'Paramètres'!$D:$D,0))&amp;"",""))</f>
        <v/>
      </c>
      <c r="T4232" s="6" t="str">
        <f>IF($K4232="","",IF($S4232="",0,IF(ISNUMBER(SEARCH("apport-exterieur",IFERROR(INDEX('Paramètres'!$N:$N,MATCH($D4232,'Paramètres'!$M:$M,0))&amp;"",""))),0,IF(OR(IFERROR(INDEX('Paramètres'!$I:$I,MATCH($C4232,'Paramètres'!$D:$D,0))&amp;"","")="Les deux",IFERROR(INDEX('Paramètres'!$I:$I,MATCH($C4232,'Paramètres'!$D:$D,0))&amp;"","")=IF($P4232=1,"Débit",$L4232)),-IF($P4232=1,-$K4232,$K4232),0))))</f>
        <v/>
      </c>
      <c r="U4232" s="6" t="str">
        <f>IF($K4232="","",IF(ISNUMBER(SEARCH("sortie-epargne",IFERROR(INDEX('Paramètres'!$N:$N,MATCH($D4232,'Paramètres'!$M:$M,0))&amp;"",""))),$K4232,0))</f>
        <v/>
      </c>
      <c r="V4232" s="6" t="str">
        <f>IF(AND($A4232&lt;&gt;"",$O4232=1,$L4232="Débit",N($Q4232)&gt;0,$A4232&gt;=Visualisation!$B$1,$A4232&lt;Visualisation!$D$1),MAX($V$1:V4231)+1,"")</f>
        <v/>
      </c>
    </row>
    <row r="4233" spans="1:22" x14ac:dyDescent="0.25">
      <c r="A4233" s="9"/>
      <c r="E4233" s="10"/>
      <c r="K4233" s="11" t="str">
        <f>IF($E4233="","",ROUND($E4233*IF(ISNA(MATCH($C4233,'Paramètres'!$D:$D,0)),1,IF(INDEX('Paramètres'!$J:$J,MATCH($C4233,'Paramètres'!$D:$D,0))="",1,INDEX('Paramètres'!$J:$J,MATCH($C4233,'Paramètres'!$D:$D,0)))),2))</f>
        <v/>
      </c>
      <c r="L4233" s="6" t="str">
        <f>IF($D4233="","",IF($F4233&lt;&gt;"",$F4233,IF(ISNA(MATCH($D4233,'Paramètres'!$M:$M,0)),"⚠ Type inconnu",IFERROR(INDEX('Paramètres'!$P:$P,MATCH($D4233,'Paramètres'!$M:$M,0))&amp;"",""))))</f>
        <v/>
      </c>
      <c r="M4233" s="6" t="str">
        <f>IF($D4233="","",IF(ISNA(MATCH($D4233,'Paramètres'!$M:$M,0)),"⚠ Type inconnu",IF($L4233="Crédit","",IFERROR(INDEX('Paramètres'!$O:$O,MATCH($D4233,'Paramètres'!$M:$M,0))&amp;"",""))))</f>
        <v/>
      </c>
      <c r="N4233" s="6" t="str">
        <f>IF($D4233="","",IFERROR(INDEX('Paramètres'!$Q:$Q,MATCH($D4233,'Paramètres'!$M:$M,0))&amp;"",""))</f>
        <v/>
      </c>
      <c r="O4233" s="6" t="str">
        <f>IF($A4233="","",IF(OR($J4233&lt;&gt;"x",$A4233&lt;=FinReleve),1,0))</f>
        <v/>
      </c>
      <c r="P4233" s="6" t="str">
        <f>IF($D4233="","",IF(AND($L4233="Crédit",OR(IFERROR(INDEX('Paramètres'!$O:$O,MATCH($D4233,'Paramètres'!$M:$M,0))&amp;"","")&lt;&gt;"",ISNUMBER(SEARCH("remboursement",IFERROR(INDEX('Paramètres'!$N:$N,MATCH($D4233,'Paramètres'!$M:$M,0))&amp;"",""))))),1,0))</f>
        <v/>
      </c>
      <c r="Q4233" s="6" t="str">
        <f>IF($K4233="","",IF(ISNUMBER(SEARCH("transfert-interne",IFERROR(INDEX('Paramètres'!$N:$N,MATCH($D4233,'Paramètres'!$M:$M,0))&amp;"",""))),0,IF($L4233="Débit",$K4233,IF($P4233=1,-$K4233,0))))</f>
        <v/>
      </c>
      <c r="R4233" s="6" t="str">
        <f>IF($K4233="","",IF($L4233="Crédit",$K4233,-$K4233))</f>
        <v/>
      </c>
      <c r="S4233" s="6" t="str">
        <f>IF($C4233="","",IFERROR(INDEX('Paramètres'!$H:$H,MATCH($C4233,'Paramètres'!$D:$D,0))&amp;"",""))</f>
        <v/>
      </c>
      <c r="T4233" s="6" t="str">
        <f>IF($K4233="","",IF($S4233="",0,IF(ISNUMBER(SEARCH("apport-exterieur",IFERROR(INDEX('Paramètres'!$N:$N,MATCH($D4233,'Paramètres'!$M:$M,0))&amp;"",""))),0,IF(OR(IFERROR(INDEX('Paramètres'!$I:$I,MATCH($C4233,'Paramètres'!$D:$D,0))&amp;"","")="Les deux",IFERROR(INDEX('Paramètres'!$I:$I,MATCH($C4233,'Paramètres'!$D:$D,0))&amp;"","")=IF($P4233=1,"Débit",$L4233)),-IF($P4233=1,-$K4233,$K4233),0))))</f>
        <v/>
      </c>
      <c r="U4233" s="6" t="str">
        <f>IF($K4233="","",IF(ISNUMBER(SEARCH("sortie-epargne",IFERROR(INDEX('Paramètres'!$N:$N,MATCH($D4233,'Paramètres'!$M:$M,0))&amp;"",""))),$K4233,0))</f>
        <v/>
      </c>
      <c r="V4233" s="6" t="str">
        <f>IF(AND($A4233&lt;&gt;"",$O4233=1,$L4233="Débit",N($Q4233)&gt;0,$A4233&gt;=Visualisation!$B$1,$A4233&lt;Visualisation!$D$1),MAX($V$1:V4232)+1,"")</f>
        <v/>
      </c>
    </row>
    <row r="4234" spans="1:22" x14ac:dyDescent="0.25">
      <c r="A4234" s="9"/>
      <c r="E4234" s="10"/>
      <c r="K4234" s="11" t="str">
        <f>IF($E4234="","",ROUND($E4234*IF(ISNA(MATCH($C4234,'Paramètres'!$D:$D,0)),1,IF(INDEX('Paramètres'!$J:$J,MATCH($C4234,'Paramètres'!$D:$D,0))="",1,INDEX('Paramètres'!$J:$J,MATCH($C4234,'Paramètres'!$D:$D,0)))),2))</f>
        <v/>
      </c>
      <c r="L4234" s="6" t="str">
        <f>IF($D4234="","",IF($F4234&lt;&gt;"",$F4234,IF(ISNA(MATCH($D4234,'Paramètres'!$M:$M,0)),"⚠ Type inconnu",IFERROR(INDEX('Paramètres'!$P:$P,MATCH($D4234,'Paramètres'!$M:$M,0))&amp;"",""))))</f>
        <v/>
      </c>
      <c r="M4234" s="6" t="str">
        <f>IF($D4234="","",IF(ISNA(MATCH($D4234,'Paramètres'!$M:$M,0)),"⚠ Type inconnu",IF($L4234="Crédit","",IFERROR(INDEX('Paramètres'!$O:$O,MATCH($D4234,'Paramètres'!$M:$M,0))&amp;"",""))))</f>
        <v/>
      </c>
      <c r="N4234" s="6" t="str">
        <f>IF($D4234="","",IFERROR(INDEX('Paramètres'!$Q:$Q,MATCH($D4234,'Paramètres'!$M:$M,0))&amp;"",""))</f>
        <v/>
      </c>
      <c r="O4234" s="6" t="str">
        <f>IF($A4234="","",IF(OR($J4234&lt;&gt;"x",$A4234&lt;=FinReleve),1,0))</f>
        <v/>
      </c>
      <c r="P4234" s="6" t="str">
        <f>IF($D4234="","",IF(AND($L4234="Crédit",OR(IFERROR(INDEX('Paramètres'!$O:$O,MATCH($D4234,'Paramètres'!$M:$M,0))&amp;"","")&lt;&gt;"",ISNUMBER(SEARCH("remboursement",IFERROR(INDEX('Paramètres'!$N:$N,MATCH($D4234,'Paramètres'!$M:$M,0))&amp;"",""))))),1,0))</f>
        <v/>
      </c>
      <c r="Q4234" s="6" t="str">
        <f>IF($K4234="","",IF(ISNUMBER(SEARCH("transfert-interne",IFERROR(INDEX('Paramètres'!$N:$N,MATCH($D4234,'Paramètres'!$M:$M,0))&amp;"",""))),0,IF($L4234="Débit",$K4234,IF($P4234=1,-$K4234,0))))</f>
        <v/>
      </c>
      <c r="R4234" s="6" t="str">
        <f>IF($K4234="","",IF($L4234="Crédit",$K4234,-$K4234))</f>
        <v/>
      </c>
      <c r="S4234" s="6" t="str">
        <f>IF($C4234="","",IFERROR(INDEX('Paramètres'!$H:$H,MATCH($C4234,'Paramètres'!$D:$D,0))&amp;"",""))</f>
        <v/>
      </c>
      <c r="T4234" s="6" t="str">
        <f>IF($K4234="","",IF($S4234="",0,IF(ISNUMBER(SEARCH("apport-exterieur",IFERROR(INDEX('Paramètres'!$N:$N,MATCH($D4234,'Paramètres'!$M:$M,0))&amp;"",""))),0,IF(OR(IFERROR(INDEX('Paramètres'!$I:$I,MATCH($C4234,'Paramètres'!$D:$D,0))&amp;"","")="Les deux",IFERROR(INDEX('Paramètres'!$I:$I,MATCH($C4234,'Paramètres'!$D:$D,0))&amp;"","")=IF($P4234=1,"Débit",$L4234)),-IF($P4234=1,-$K4234,$K4234),0))))</f>
        <v/>
      </c>
      <c r="U4234" s="6" t="str">
        <f>IF($K4234="","",IF(ISNUMBER(SEARCH("sortie-epargne",IFERROR(INDEX('Paramètres'!$N:$N,MATCH($D4234,'Paramètres'!$M:$M,0))&amp;"",""))),$K4234,0))</f>
        <v/>
      </c>
      <c r="V4234" s="6" t="str">
        <f>IF(AND($A4234&lt;&gt;"",$O4234=1,$L4234="Débit",N($Q4234)&gt;0,$A4234&gt;=Visualisation!$B$1,$A4234&lt;Visualisation!$D$1),MAX($V$1:V4233)+1,"")</f>
        <v/>
      </c>
    </row>
    <row r="4235" spans="1:22" x14ac:dyDescent="0.25">
      <c r="A4235" s="9"/>
      <c r="E4235" s="10"/>
      <c r="K4235" s="11" t="str">
        <f>IF($E4235="","",ROUND($E4235*IF(ISNA(MATCH($C4235,'Paramètres'!$D:$D,0)),1,IF(INDEX('Paramètres'!$J:$J,MATCH($C4235,'Paramètres'!$D:$D,0))="",1,INDEX('Paramètres'!$J:$J,MATCH($C4235,'Paramètres'!$D:$D,0)))),2))</f>
        <v/>
      </c>
      <c r="L4235" s="6" t="str">
        <f>IF($D4235="","",IF($F4235&lt;&gt;"",$F4235,IF(ISNA(MATCH($D4235,'Paramètres'!$M:$M,0)),"⚠ Type inconnu",IFERROR(INDEX('Paramètres'!$P:$P,MATCH($D4235,'Paramètres'!$M:$M,0))&amp;"",""))))</f>
        <v/>
      </c>
      <c r="M4235" s="6" t="str">
        <f>IF($D4235="","",IF(ISNA(MATCH($D4235,'Paramètres'!$M:$M,0)),"⚠ Type inconnu",IF($L4235="Crédit","",IFERROR(INDEX('Paramètres'!$O:$O,MATCH($D4235,'Paramètres'!$M:$M,0))&amp;"",""))))</f>
        <v/>
      </c>
      <c r="N4235" s="6" t="str">
        <f>IF($D4235="","",IFERROR(INDEX('Paramètres'!$Q:$Q,MATCH($D4235,'Paramètres'!$M:$M,0))&amp;"",""))</f>
        <v/>
      </c>
      <c r="O4235" s="6" t="str">
        <f>IF($A4235="","",IF(OR($J4235&lt;&gt;"x",$A4235&lt;=FinReleve),1,0))</f>
        <v/>
      </c>
      <c r="P4235" s="6" t="str">
        <f>IF($D4235="","",IF(AND($L4235="Crédit",OR(IFERROR(INDEX('Paramètres'!$O:$O,MATCH($D4235,'Paramètres'!$M:$M,0))&amp;"","")&lt;&gt;"",ISNUMBER(SEARCH("remboursement",IFERROR(INDEX('Paramètres'!$N:$N,MATCH($D4235,'Paramètres'!$M:$M,0))&amp;"",""))))),1,0))</f>
        <v/>
      </c>
      <c r="Q4235" s="6" t="str">
        <f>IF($K4235="","",IF(ISNUMBER(SEARCH("transfert-interne",IFERROR(INDEX('Paramètres'!$N:$N,MATCH($D4235,'Paramètres'!$M:$M,0))&amp;"",""))),0,IF($L4235="Débit",$K4235,IF($P4235=1,-$K4235,0))))</f>
        <v/>
      </c>
      <c r="R4235" s="6" t="str">
        <f>IF($K4235="","",IF($L4235="Crédit",$K4235,-$K4235))</f>
        <v/>
      </c>
      <c r="S4235" s="6" t="str">
        <f>IF($C4235="","",IFERROR(INDEX('Paramètres'!$H:$H,MATCH($C4235,'Paramètres'!$D:$D,0))&amp;"",""))</f>
        <v/>
      </c>
      <c r="T4235" s="6" t="str">
        <f>IF($K4235="","",IF($S4235="",0,IF(ISNUMBER(SEARCH("apport-exterieur",IFERROR(INDEX('Paramètres'!$N:$N,MATCH($D4235,'Paramètres'!$M:$M,0))&amp;"",""))),0,IF(OR(IFERROR(INDEX('Paramètres'!$I:$I,MATCH($C4235,'Paramètres'!$D:$D,0))&amp;"","")="Les deux",IFERROR(INDEX('Paramètres'!$I:$I,MATCH($C4235,'Paramètres'!$D:$D,0))&amp;"","")=IF($P4235=1,"Débit",$L4235)),-IF($P4235=1,-$K4235,$K4235),0))))</f>
        <v/>
      </c>
      <c r="U4235" s="6" t="str">
        <f>IF($K4235="","",IF(ISNUMBER(SEARCH("sortie-epargne",IFERROR(INDEX('Paramètres'!$N:$N,MATCH($D4235,'Paramètres'!$M:$M,0))&amp;"",""))),$K4235,0))</f>
        <v/>
      </c>
      <c r="V4235" s="6" t="str">
        <f>IF(AND($A4235&lt;&gt;"",$O4235=1,$L4235="Débit",N($Q4235)&gt;0,$A4235&gt;=Visualisation!$B$1,$A4235&lt;Visualisation!$D$1),MAX($V$1:V4234)+1,"")</f>
        <v/>
      </c>
    </row>
    <row r="4236" spans="1:22" x14ac:dyDescent="0.25">
      <c r="A4236" s="9"/>
      <c r="E4236" s="10"/>
      <c r="K4236" s="11" t="str">
        <f>IF($E4236="","",ROUND($E4236*IF(ISNA(MATCH($C4236,'Paramètres'!$D:$D,0)),1,IF(INDEX('Paramètres'!$J:$J,MATCH($C4236,'Paramètres'!$D:$D,0))="",1,INDEX('Paramètres'!$J:$J,MATCH($C4236,'Paramètres'!$D:$D,0)))),2))</f>
        <v/>
      </c>
      <c r="L4236" s="6" t="str">
        <f>IF($D4236="","",IF($F4236&lt;&gt;"",$F4236,IF(ISNA(MATCH($D4236,'Paramètres'!$M:$M,0)),"⚠ Type inconnu",IFERROR(INDEX('Paramètres'!$P:$P,MATCH($D4236,'Paramètres'!$M:$M,0))&amp;"",""))))</f>
        <v/>
      </c>
      <c r="M4236" s="6" t="str">
        <f>IF($D4236="","",IF(ISNA(MATCH($D4236,'Paramètres'!$M:$M,0)),"⚠ Type inconnu",IF($L4236="Crédit","",IFERROR(INDEX('Paramètres'!$O:$O,MATCH($D4236,'Paramètres'!$M:$M,0))&amp;"",""))))</f>
        <v/>
      </c>
      <c r="N4236" s="6" t="str">
        <f>IF($D4236="","",IFERROR(INDEX('Paramètres'!$Q:$Q,MATCH($D4236,'Paramètres'!$M:$M,0))&amp;"",""))</f>
        <v/>
      </c>
      <c r="O4236" s="6" t="str">
        <f>IF($A4236="","",IF(OR($J4236&lt;&gt;"x",$A4236&lt;=FinReleve),1,0))</f>
        <v/>
      </c>
      <c r="P4236" s="6" t="str">
        <f>IF($D4236="","",IF(AND($L4236="Crédit",OR(IFERROR(INDEX('Paramètres'!$O:$O,MATCH($D4236,'Paramètres'!$M:$M,0))&amp;"","")&lt;&gt;"",ISNUMBER(SEARCH("remboursement",IFERROR(INDEX('Paramètres'!$N:$N,MATCH($D4236,'Paramètres'!$M:$M,0))&amp;"",""))))),1,0))</f>
        <v/>
      </c>
      <c r="Q4236" s="6" t="str">
        <f>IF($K4236="","",IF(ISNUMBER(SEARCH("transfert-interne",IFERROR(INDEX('Paramètres'!$N:$N,MATCH($D4236,'Paramètres'!$M:$M,0))&amp;"",""))),0,IF($L4236="Débit",$K4236,IF($P4236=1,-$K4236,0))))</f>
        <v/>
      </c>
      <c r="R4236" s="6" t="str">
        <f>IF($K4236="","",IF($L4236="Crédit",$K4236,-$K4236))</f>
        <v/>
      </c>
      <c r="S4236" s="6" t="str">
        <f>IF($C4236="","",IFERROR(INDEX('Paramètres'!$H:$H,MATCH($C4236,'Paramètres'!$D:$D,0))&amp;"",""))</f>
        <v/>
      </c>
      <c r="T4236" s="6" t="str">
        <f>IF($K4236="","",IF($S4236="",0,IF(ISNUMBER(SEARCH("apport-exterieur",IFERROR(INDEX('Paramètres'!$N:$N,MATCH($D4236,'Paramètres'!$M:$M,0))&amp;"",""))),0,IF(OR(IFERROR(INDEX('Paramètres'!$I:$I,MATCH($C4236,'Paramètres'!$D:$D,0))&amp;"","")="Les deux",IFERROR(INDEX('Paramètres'!$I:$I,MATCH($C4236,'Paramètres'!$D:$D,0))&amp;"","")=IF($P4236=1,"Débit",$L4236)),-IF($P4236=1,-$K4236,$K4236),0))))</f>
        <v/>
      </c>
      <c r="U4236" s="6" t="str">
        <f>IF($K4236="","",IF(ISNUMBER(SEARCH("sortie-epargne",IFERROR(INDEX('Paramètres'!$N:$N,MATCH($D4236,'Paramètres'!$M:$M,0))&amp;"",""))),$K4236,0))</f>
        <v/>
      </c>
      <c r="V4236" s="6" t="str">
        <f>IF(AND($A4236&lt;&gt;"",$O4236=1,$L4236="Débit",N($Q4236)&gt;0,$A4236&gt;=Visualisation!$B$1,$A4236&lt;Visualisation!$D$1),MAX($V$1:V4235)+1,"")</f>
        <v/>
      </c>
    </row>
    <row r="4237" spans="1:22" x14ac:dyDescent="0.25">
      <c r="A4237" s="9"/>
      <c r="E4237" s="10"/>
      <c r="K4237" s="11" t="str">
        <f>IF($E4237="","",ROUND($E4237*IF(ISNA(MATCH($C4237,'Paramètres'!$D:$D,0)),1,IF(INDEX('Paramètres'!$J:$J,MATCH($C4237,'Paramètres'!$D:$D,0))="",1,INDEX('Paramètres'!$J:$J,MATCH($C4237,'Paramètres'!$D:$D,0)))),2))</f>
        <v/>
      </c>
      <c r="L4237" s="6" t="str">
        <f>IF($D4237="","",IF($F4237&lt;&gt;"",$F4237,IF(ISNA(MATCH($D4237,'Paramètres'!$M:$M,0)),"⚠ Type inconnu",IFERROR(INDEX('Paramètres'!$P:$P,MATCH($D4237,'Paramètres'!$M:$M,0))&amp;"",""))))</f>
        <v/>
      </c>
      <c r="M4237" s="6" t="str">
        <f>IF($D4237="","",IF(ISNA(MATCH($D4237,'Paramètres'!$M:$M,0)),"⚠ Type inconnu",IF($L4237="Crédit","",IFERROR(INDEX('Paramètres'!$O:$O,MATCH($D4237,'Paramètres'!$M:$M,0))&amp;"",""))))</f>
        <v/>
      </c>
      <c r="N4237" s="6" t="str">
        <f>IF($D4237="","",IFERROR(INDEX('Paramètres'!$Q:$Q,MATCH($D4237,'Paramètres'!$M:$M,0))&amp;"",""))</f>
        <v/>
      </c>
      <c r="O4237" s="6" t="str">
        <f>IF($A4237="","",IF(OR($J4237&lt;&gt;"x",$A4237&lt;=FinReleve),1,0))</f>
        <v/>
      </c>
      <c r="P4237" s="6" t="str">
        <f>IF($D4237="","",IF(AND($L4237="Crédit",OR(IFERROR(INDEX('Paramètres'!$O:$O,MATCH($D4237,'Paramètres'!$M:$M,0))&amp;"","")&lt;&gt;"",ISNUMBER(SEARCH("remboursement",IFERROR(INDEX('Paramètres'!$N:$N,MATCH($D4237,'Paramètres'!$M:$M,0))&amp;"",""))))),1,0))</f>
        <v/>
      </c>
      <c r="Q4237" s="6" t="str">
        <f>IF($K4237="","",IF(ISNUMBER(SEARCH("transfert-interne",IFERROR(INDEX('Paramètres'!$N:$N,MATCH($D4237,'Paramètres'!$M:$M,0))&amp;"",""))),0,IF($L4237="Débit",$K4237,IF($P4237=1,-$K4237,0))))</f>
        <v/>
      </c>
      <c r="R4237" s="6" t="str">
        <f>IF($K4237="","",IF($L4237="Crédit",$K4237,-$K4237))</f>
        <v/>
      </c>
      <c r="S4237" s="6" t="str">
        <f>IF($C4237="","",IFERROR(INDEX('Paramètres'!$H:$H,MATCH($C4237,'Paramètres'!$D:$D,0))&amp;"",""))</f>
        <v/>
      </c>
      <c r="T4237" s="6" t="str">
        <f>IF($K4237="","",IF($S4237="",0,IF(ISNUMBER(SEARCH("apport-exterieur",IFERROR(INDEX('Paramètres'!$N:$N,MATCH($D4237,'Paramètres'!$M:$M,0))&amp;"",""))),0,IF(OR(IFERROR(INDEX('Paramètres'!$I:$I,MATCH($C4237,'Paramètres'!$D:$D,0))&amp;"","")="Les deux",IFERROR(INDEX('Paramètres'!$I:$I,MATCH($C4237,'Paramètres'!$D:$D,0))&amp;"","")=IF($P4237=1,"Débit",$L4237)),-IF($P4237=1,-$K4237,$K4237),0))))</f>
        <v/>
      </c>
      <c r="U4237" s="6" t="str">
        <f>IF($K4237="","",IF(ISNUMBER(SEARCH("sortie-epargne",IFERROR(INDEX('Paramètres'!$N:$N,MATCH($D4237,'Paramètres'!$M:$M,0))&amp;"",""))),$K4237,0))</f>
        <v/>
      </c>
      <c r="V4237" s="6" t="str">
        <f>IF(AND($A4237&lt;&gt;"",$O4237=1,$L4237="Débit",N($Q4237)&gt;0,$A4237&gt;=Visualisation!$B$1,$A4237&lt;Visualisation!$D$1),MAX($V$1:V4236)+1,"")</f>
        <v/>
      </c>
    </row>
    <row r="4238" spans="1:22" x14ac:dyDescent="0.25">
      <c r="A4238" s="9"/>
      <c r="E4238" s="10"/>
      <c r="K4238" s="11" t="str">
        <f>IF($E4238="","",ROUND($E4238*IF(ISNA(MATCH($C4238,'Paramètres'!$D:$D,0)),1,IF(INDEX('Paramètres'!$J:$J,MATCH($C4238,'Paramètres'!$D:$D,0))="",1,INDEX('Paramètres'!$J:$J,MATCH($C4238,'Paramètres'!$D:$D,0)))),2))</f>
        <v/>
      </c>
      <c r="L4238" s="6" t="str">
        <f>IF($D4238="","",IF($F4238&lt;&gt;"",$F4238,IF(ISNA(MATCH($D4238,'Paramètres'!$M:$M,0)),"⚠ Type inconnu",IFERROR(INDEX('Paramètres'!$P:$P,MATCH($D4238,'Paramètres'!$M:$M,0))&amp;"",""))))</f>
        <v/>
      </c>
      <c r="M4238" s="6" t="str">
        <f>IF($D4238="","",IF(ISNA(MATCH($D4238,'Paramètres'!$M:$M,0)),"⚠ Type inconnu",IF($L4238="Crédit","",IFERROR(INDEX('Paramètres'!$O:$O,MATCH($D4238,'Paramètres'!$M:$M,0))&amp;"",""))))</f>
        <v/>
      </c>
      <c r="N4238" s="6" t="str">
        <f>IF($D4238="","",IFERROR(INDEX('Paramètres'!$Q:$Q,MATCH($D4238,'Paramètres'!$M:$M,0))&amp;"",""))</f>
        <v/>
      </c>
      <c r="O4238" s="6" t="str">
        <f>IF($A4238="","",IF(OR($J4238&lt;&gt;"x",$A4238&lt;=FinReleve),1,0))</f>
        <v/>
      </c>
      <c r="P4238" s="6" t="str">
        <f>IF($D4238="","",IF(AND($L4238="Crédit",OR(IFERROR(INDEX('Paramètres'!$O:$O,MATCH($D4238,'Paramètres'!$M:$M,0))&amp;"","")&lt;&gt;"",ISNUMBER(SEARCH("remboursement",IFERROR(INDEX('Paramètres'!$N:$N,MATCH($D4238,'Paramètres'!$M:$M,0))&amp;"",""))))),1,0))</f>
        <v/>
      </c>
      <c r="Q4238" s="6" t="str">
        <f>IF($K4238="","",IF(ISNUMBER(SEARCH("transfert-interne",IFERROR(INDEX('Paramètres'!$N:$N,MATCH($D4238,'Paramètres'!$M:$M,0))&amp;"",""))),0,IF($L4238="Débit",$K4238,IF($P4238=1,-$K4238,0))))</f>
        <v/>
      </c>
      <c r="R4238" s="6" t="str">
        <f>IF($K4238="","",IF($L4238="Crédit",$K4238,-$K4238))</f>
        <v/>
      </c>
      <c r="S4238" s="6" t="str">
        <f>IF($C4238="","",IFERROR(INDEX('Paramètres'!$H:$H,MATCH($C4238,'Paramètres'!$D:$D,0))&amp;"",""))</f>
        <v/>
      </c>
      <c r="T4238" s="6" t="str">
        <f>IF($K4238="","",IF($S4238="",0,IF(ISNUMBER(SEARCH("apport-exterieur",IFERROR(INDEX('Paramètres'!$N:$N,MATCH($D4238,'Paramètres'!$M:$M,0))&amp;"",""))),0,IF(OR(IFERROR(INDEX('Paramètres'!$I:$I,MATCH($C4238,'Paramètres'!$D:$D,0))&amp;"","")="Les deux",IFERROR(INDEX('Paramètres'!$I:$I,MATCH($C4238,'Paramètres'!$D:$D,0))&amp;"","")=IF($P4238=1,"Débit",$L4238)),-IF($P4238=1,-$K4238,$K4238),0))))</f>
        <v/>
      </c>
      <c r="U4238" s="6" t="str">
        <f>IF($K4238="","",IF(ISNUMBER(SEARCH("sortie-epargne",IFERROR(INDEX('Paramètres'!$N:$N,MATCH($D4238,'Paramètres'!$M:$M,0))&amp;"",""))),$K4238,0))</f>
        <v/>
      </c>
      <c r="V4238" s="6" t="str">
        <f>IF(AND($A4238&lt;&gt;"",$O4238=1,$L4238="Débit",N($Q4238)&gt;0,$A4238&gt;=Visualisation!$B$1,$A4238&lt;Visualisation!$D$1),MAX($V$1:V4237)+1,"")</f>
        <v/>
      </c>
    </row>
    <row r="4239" spans="1:22" x14ac:dyDescent="0.25">
      <c r="A4239" s="9"/>
      <c r="E4239" s="10"/>
      <c r="K4239" s="11" t="str">
        <f>IF($E4239="","",ROUND($E4239*IF(ISNA(MATCH($C4239,'Paramètres'!$D:$D,0)),1,IF(INDEX('Paramètres'!$J:$J,MATCH($C4239,'Paramètres'!$D:$D,0))="",1,INDEX('Paramètres'!$J:$J,MATCH($C4239,'Paramètres'!$D:$D,0)))),2))</f>
        <v/>
      </c>
      <c r="L4239" s="6" t="str">
        <f>IF($D4239="","",IF($F4239&lt;&gt;"",$F4239,IF(ISNA(MATCH($D4239,'Paramètres'!$M:$M,0)),"⚠ Type inconnu",IFERROR(INDEX('Paramètres'!$P:$P,MATCH($D4239,'Paramètres'!$M:$M,0))&amp;"",""))))</f>
        <v/>
      </c>
      <c r="M4239" s="6" t="str">
        <f>IF($D4239="","",IF(ISNA(MATCH($D4239,'Paramètres'!$M:$M,0)),"⚠ Type inconnu",IF($L4239="Crédit","",IFERROR(INDEX('Paramètres'!$O:$O,MATCH($D4239,'Paramètres'!$M:$M,0))&amp;"",""))))</f>
        <v/>
      </c>
      <c r="N4239" s="6" t="str">
        <f>IF($D4239="","",IFERROR(INDEX('Paramètres'!$Q:$Q,MATCH($D4239,'Paramètres'!$M:$M,0))&amp;"",""))</f>
        <v/>
      </c>
      <c r="O4239" s="6" t="str">
        <f>IF($A4239="","",IF(OR($J4239&lt;&gt;"x",$A4239&lt;=FinReleve),1,0))</f>
        <v/>
      </c>
      <c r="P4239" s="6" t="str">
        <f>IF($D4239="","",IF(AND($L4239="Crédit",OR(IFERROR(INDEX('Paramètres'!$O:$O,MATCH($D4239,'Paramètres'!$M:$M,0))&amp;"","")&lt;&gt;"",ISNUMBER(SEARCH("remboursement",IFERROR(INDEX('Paramètres'!$N:$N,MATCH($D4239,'Paramètres'!$M:$M,0))&amp;"",""))))),1,0))</f>
        <v/>
      </c>
      <c r="Q4239" s="6" t="str">
        <f>IF($K4239="","",IF(ISNUMBER(SEARCH("transfert-interne",IFERROR(INDEX('Paramètres'!$N:$N,MATCH($D4239,'Paramètres'!$M:$M,0))&amp;"",""))),0,IF($L4239="Débit",$K4239,IF($P4239=1,-$K4239,0))))</f>
        <v/>
      </c>
      <c r="R4239" s="6" t="str">
        <f>IF($K4239="","",IF($L4239="Crédit",$K4239,-$K4239))</f>
        <v/>
      </c>
      <c r="S4239" s="6" t="str">
        <f>IF($C4239="","",IFERROR(INDEX('Paramètres'!$H:$H,MATCH($C4239,'Paramètres'!$D:$D,0))&amp;"",""))</f>
        <v/>
      </c>
      <c r="T4239" s="6" t="str">
        <f>IF($K4239="","",IF($S4239="",0,IF(ISNUMBER(SEARCH("apport-exterieur",IFERROR(INDEX('Paramètres'!$N:$N,MATCH($D4239,'Paramètres'!$M:$M,0))&amp;"",""))),0,IF(OR(IFERROR(INDEX('Paramètres'!$I:$I,MATCH($C4239,'Paramètres'!$D:$D,0))&amp;"","")="Les deux",IFERROR(INDEX('Paramètres'!$I:$I,MATCH($C4239,'Paramètres'!$D:$D,0))&amp;"","")=IF($P4239=1,"Débit",$L4239)),-IF($P4239=1,-$K4239,$K4239),0))))</f>
        <v/>
      </c>
      <c r="U4239" s="6" t="str">
        <f>IF($K4239="","",IF(ISNUMBER(SEARCH("sortie-epargne",IFERROR(INDEX('Paramètres'!$N:$N,MATCH($D4239,'Paramètres'!$M:$M,0))&amp;"",""))),$K4239,0))</f>
        <v/>
      </c>
      <c r="V4239" s="6" t="str">
        <f>IF(AND($A4239&lt;&gt;"",$O4239=1,$L4239="Débit",N($Q4239)&gt;0,$A4239&gt;=Visualisation!$B$1,$A4239&lt;Visualisation!$D$1),MAX($V$1:V4238)+1,"")</f>
        <v/>
      </c>
    </row>
    <row r="4240" spans="1:22" x14ac:dyDescent="0.25">
      <c r="A4240" s="9"/>
      <c r="E4240" s="10"/>
      <c r="K4240" s="11" t="str">
        <f>IF($E4240="","",ROUND($E4240*IF(ISNA(MATCH($C4240,'Paramètres'!$D:$D,0)),1,IF(INDEX('Paramètres'!$J:$J,MATCH($C4240,'Paramètres'!$D:$D,0))="",1,INDEX('Paramètres'!$J:$J,MATCH($C4240,'Paramètres'!$D:$D,0)))),2))</f>
        <v/>
      </c>
      <c r="L4240" s="6" t="str">
        <f>IF($D4240="","",IF($F4240&lt;&gt;"",$F4240,IF(ISNA(MATCH($D4240,'Paramètres'!$M:$M,0)),"⚠ Type inconnu",IFERROR(INDEX('Paramètres'!$P:$P,MATCH($D4240,'Paramètres'!$M:$M,0))&amp;"",""))))</f>
        <v/>
      </c>
      <c r="M4240" s="6" t="str">
        <f>IF($D4240="","",IF(ISNA(MATCH($D4240,'Paramètres'!$M:$M,0)),"⚠ Type inconnu",IF($L4240="Crédit","",IFERROR(INDEX('Paramètres'!$O:$O,MATCH($D4240,'Paramètres'!$M:$M,0))&amp;"",""))))</f>
        <v/>
      </c>
      <c r="N4240" s="6" t="str">
        <f>IF($D4240="","",IFERROR(INDEX('Paramètres'!$Q:$Q,MATCH($D4240,'Paramètres'!$M:$M,0))&amp;"",""))</f>
        <v/>
      </c>
      <c r="O4240" s="6" t="str">
        <f>IF($A4240="","",IF(OR($J4240&lt;&gt;"x",$A4240&lt;=FinReleve),1,0))</f>
        <v/>
      </c>
      <c r="P4240" s="6" t="str">
        <f>IF($D4240="","",IF(AND($L4240="Crédit",OR(IFERROR(INDEX('Paramètres'!$O:$O,MATCH($D4240,'Paramètres'!$M:$M,0))&amp;"","")&lt;&gt;"",ISNUMBER(SEARCH("remboursement",IFERROR(INDEX('Paramètres'!$N:$N,MATCH($D4240,'Paramètres'!$M:$M,0))&amp;"",""))))),1,0))</f>
        <v/>
      </c>
      <c r="Q4240" s="6" t="str">
        <f>IF($K4240="","",IF(ISNUMBER(SEARCH("transfert-interne",IFERROR(INDEX('Paramètres'!$N:$N,MATCH($D4240,'Paramètres'!$M:$M,0))&amp;"",""))),0,IF($L4240="Débit",$K4240,IF($P4240=1,-$K4240,0))))</f>
        <v/>
      </c>
      <c r="R4240" s="6" t="str">
        <f>IF($K4240="","",IF($L4240="Crédit",$K4240,-$K4240))</f>
        <v/>
      </c>
      <c r="S4240" s="6" t="str">
        <f>IF($C4240="","",IFERROR(INDEX('Paramètres'!$H:$H,MATCH($C4240,'Paramètres'!$D:$D,0))&amp;"",""))</f>
        <v/>
      </c>
      <c r="T4240" s="6" t="str">
        <f>IF($K4240="","",IF($S4240="",0,IF(ISNUMBER(SEARCH("apport-exterieur",IFERROR(INDEX('Paramètres'!$N:$N,MATCH($D4240,'Paramètres'!$M:$M,0))&amp;"",""))),0,IF(OR(IFERROR(INDEX('Paramètres'!$I:$I,MATCH($C4240,'Paramètres'!$D:$D,0))&amp;"","")="Les deux",IFERROR(INDEX('Paramètres'!$I:$I,MATCH($C4240,'Paramètres'!$D:$D,0))&amp;"","")=IF($P4240=1,"Débit",$L4240)),-IF($P4240=1,-$K4240,$K4240),0))))</f>
        <v/>
      </c>
      <c r="U4240" s="6" t="str">
        <f>IF($K4240="","",IF(ISNUMBER(SEARCH("sortie-epargne",IFERROR(INDEX('Paramètres'!$N:$N,MATCH($D4240,'Paramètres'!$M:$M,0))&amp;"",""))),$K4240,0))</f>
        <v/>
      </c>
      <c r="V4240" s="6" t="str">
        <f>IF(AND($A4240&lt;&gt;"",$O4240=1,$L4240="Débit",N($Q4240)&gt;0,$A4240&gt;=Visualisation!$B$1,$A4240&lt;Visualisation!$D$1),MAX($V$1:V4239)+1,"")</f>
        <v/>
      </c>
    </row>
    <row r="4241" spans="1:22" x14ac:dyDescent="0.25">
      <c r="A4241" s="9"/>
      <c r="E4241" s="10"/>
      <c r="K4241" s="11" t="str">
        <f>IF($E4241="","",ROUND($E4241*IF(ISNA(MATCH($C4241,'Paramètres'!$D:$D,0)),1,IF(INDEX('Paramètres'!$J:$J,MATCH($C4241,'Paramètres'!$D:$D,0))="",1,INDEX('Paramètres'!$J:$J,MATCH($C4241,'Paramètres'!$D:$D,0)))),2))</f>
        <v/>
      </c>
      <c r="L4241" s="6" t="str">
        <f>IF($D4241="","",IF($F4241&lt;&gt;"",$F4241,IF(ISNA(MATCH($D4241,'Paramètres'!$M:$M,0)),"⚠ Type inconnu",IFERROR(INDEX('Paramètres'!$P:$P,MATCH($D4241,'Paramètres'!$M:$M,0))&amp;"",""))))</f>
        <v/>
      </c>
      <c r="M4241" s="6" t="str">
        <f>IF($D4241="","",IF(ISNA(MATCH($D4241,'Paramètres'!$M:$M,0)),"⚠ Type inconnu",IF($L4241="Crédit","",IFERROR(INDEX('Paramètres'!$O:$O,MATCH($D4241,'Paramètres'!$M:$M,0))&amp;"",""))))</f>
        <v/>
      </c>
      <c r="N4241" s="6" t="str">
        <f>IF($D4241="","",IFERROR(INDEX('Paramètres'!$Q:$Q,MATCH($D4241,'Paramètres'!$M:$M,0))&amp;"",""))</f>
        <v/>
      </c>
      <c r="O4241" s="6" t="str">
        <f>IF($A4241="","",IF(OR($J4241&lt;&gt;"x",$A4241&lt;=FinReleve),1,0))</f>
        <v/>
      </c>
      <c r="P4241" s="6" t="str">
        <f>IF($D4241="","",IF(AND($L4241="Crédit",OR(IFERROR(INDEX('Paramètres'!$O:$O,MATCH($D4241,'Paramètres'!$M:$M,0))&amp;"","")&lt;&gt;"",ISNUMBER(SEARCH("remboursement",IFERROR(INDEX('Paramètres'!$N:$N,MATCH($D4241,'Paramètres'!$M:$M,0))&amp;"",""))))),1,0))</f>
        <v/>
      </c>
      <c r="Q4241" s="6" t="str">
        <f>IF($K4241="","",IF(ISNUMBER(SEARCH("transfert-interne",IFERROR(INDEX('Paramètres'!$N:$N,MATCH($D4241,'Paramètres'!$M:$M,0))&amp;"",""))),0,IF($L4241="Débit",$K4241,IF($P4241=1,-$K4241,0))))</f>
        <v/>
      </c>
      <c r="R4241" s="6" t="str">
        <f>IF($K4241="","",IF($L4241="Crédit",$K4241,-$K4241))</f>
        <v/>
      </c>
      <c r="S4241" s="6" t="str">
        <f>IF($C4241="","",IFERROR(INDEX('Paramètres'!$H:$H,MATCH($C4241,'Paramètres'!$D:$D,0))&amp;"",""))</f>
        <v/>
      </c>
      <c r="T4241" s="6" t="str">
        <f>IF($K4241="","",IF($S4241="",0,IF(ISNUMBER(SEARCH("apport-exterieur",IFERROR(INDEX('Paramètres'!$N:$N,MATCH($D4241,'Paramètres'!$M:$M,0))&amp;"",""))),0,IF(OR(IFERROR(INDEX('Paramètres'!$I:$I,MATCH($C4241,'Paramètres'!$D:$D,0))&amp;"","")="Les deux",IFERROR(INDEX('Paramètres'!$I:$I,MATCH($C4241,'Paramètres'!$D:$D,0))&amp;"","")=IF($P4241=1,"Débit",$L4241)),-IF($P4241=1,-$K4241,$K4241),0))))</f>
        <v/>
      </c>
      <c r="U4241" s="6" t="str">
        <f>IF($K4241="","",IF(ISNUMBER(SEARCH("sortie-epargne",IFERROR(INDEX('Paramètres'!$N:$N,MATCH($D4241,'Paramètres'!$M:$M,0))&amp;"",""))),$K4241,0))</f>
        <v/>
      </c>
      <c r="V4241" s="6" t="str">
        <f>IF(AND($A4241&lt;&gt;"",$O4241=1,$L4241="Débit",N($Q4241)&gt;0,$A4241&gt;=Visualisation!$B$1,$A4241&lt;Visualisation!$D$1),MAX($V$1:V4240)+1,"")</f>
        <v/>
      </c>
    </row>
    <row r="4242" spans="1:22" x14ac:dyDescent="0.25">
      <c r="A4242" s="9"/>
      <c r="E4242" s="10"/>
      <c r="K4242" s="11" t="str">
        <f>IF($E4242="","",ROUND($E4242*IF(ISNA(MATCH($C4242,'Paramètres'!$D:$D,0)),1,IF(INDEX('Paramètres'!$J:$J,MATCH($C4242,'Paramètres'!$D:$D,0))="",1,INDEX('Paramètres'!$J:$J,MATCH($C4242,'Paramètres'!$D:$D,0)))),2))</f>
        <v/>
      </c>
      <c r="L4242" s="6" t="str">
        <f>IF($D4242="","",IF($F4242&lt;&gt;"",$F4242,IF(ISNA(MATCH($D4242,'Paramètres'!$M:$M,0)),"⚠ Type inconnu",IFERROR(INDEX('Paramètres'!$P:$P,MATCH($D4242,'Paramètres'!$M:$M,0))&amp;"",""))))</f>
        <v/>
      </c>
      <c r="M4242" s="6" t="str">
        <f>IF($D4242="","",IF(ISNA(MATCH($D4242,'Paramètres'!$M:$M,0)),"⚠ Type inconnu",IF($L4242="Crédit","",IFERROR(INDEX('Paramètres'!$O:$O,MATCH($D4242,'Paramètres'!$M:$M,0))&amp;"",""))))</f>
        <v/>
      </c>
      <c r="N4242" s="6" t="str">
        <f>IF($D4242="","",IFERROR(INDEX('Paramètres'!$Q:$Q,MATCH($D4242,'Paramètres'!$M:$M,0))&amp;"",""))</f>
        <v/>
      </c>
      <c r="O4242" s="6" t="str">
        <f>IF($A4242="","",IF(OR($J4242&lt;&gt;"x",$A4242&lt;=FinReleve),1,0))</f>
        <v/>
      </c>
      <c r="P4242" s="6" t="str">
        <f>IF($D4242="","",IF(AND($L4242="Crédit",OR(IFERROR(INDEX('Paramètres'!$O:$O,MATCH($D4242,'Paramètres'!$M:$M,0))&amp;"","")&lt;&gt;"",ISNUMBER(SEARCH("remboursement",IFERROR(INDEX('Paramètres'!$N:$N,MATCH($D4242,'Paramètres'!$M:$M,0))&amp;"",""))))),1,0))</f>
        <v/>
      </c>
      <c r="Q4242" s="6" t="str">
        <f>IF($K4242="","",IF(ISNUMBER(SEARCH("transfert-interne",IFERROR(INDEX('Paramètres'!$N:$N,MATCH($D4242,'Paramètres'!$M:$M,0))&amp;"",""))),0,IF($L4242="Débit",$K4242,IF($P4242=1,-$K4242,0))))</f>
        <v/>
      </c>
      <c r="R4242" s="6" t="str">
        <f>IF($K4242="","",IF($L4242="Crédit",$K4242,-$K4242))</f>
        <v/>
      </c>
      <c r="S4242" s="6" t="str">
        <f>IF($C4242="","",IFERROR(INDEX('Paramètres'!$H:$H,MATCH($C4242,'Paramètres'!$D:$D,0))&amp;"",""))</f>
        <v/>
      </c>
      <c r="T4242" s="6" t="str">
        <f>IF($K4242="","",IF($S4242="",0,IF(ISNUMBER(SEARCH("apport-exterieur",IFERROR(INDEX('Paramètres'!$N:$N,MATCH($D4242,'Paramètres'!$M:$M,0))&amp;"",""))),0,IF(OR(IFERROR(INDEX('Paramètres'!$I:$I,MATCH($C4242,'Paramètres'!$D:$D,0))&amp;"","")="Les deux",IFERROR(INDEX('Paramètres'!$I:$I,MATCH($C4242,'Paramètres'!$D:$D,0))&amp;"","")=IF($P4242=1,"Débit",$L4242)),-IF($P4242=1,-$K4242,$K4242),0))))</f>
        <v/>
      </c>
      <c r="U4242" s="6" t="str">
        <f>IF($K4242="","",IF(ISNUMBER(SEARCH("sortie-epargne",IFERROR(INDEX('Paramètres'!$N:$N,MATCH($D4242,'Paramètres'!$M:$M,0))&amp;"",""))),$K4242,0))</f>
        <v/>
      </c>
      <c r="V4242" s="6" t="str">
        <f>IF(AND($A4242&lt;&gt;"",$O4242=1,$L4242="Débit",N($Q4242)&gt;0,$A4242&gt;=Visualisation!$B$1,$A4242&lt;Visualisation!$D$1),MAX($V$1:V4241)+1,"")</f>
        <v/>
      </c>
    </row>
    <row r="4243" spans="1:22" x14ac:dyDescent="0.25">
      <c r="A4243" s="9"/>
      <c r="E4243" s="10"/>
      <c r="K4243" s="11" t="str">
        <f>IF($E4243="","",ROUND($E4243*IF(ISNA(MATCH($C4243,'Paramètres'!$D:$D,0)),1,IF(INDEX('Paramètres'!$J:$J,MATCH($C4243,'Paramètres'!$D:$D,0))="",1,INDEX('Paramètres'!$J:$J,MATCH($C4243,'Paramètres'!$D:$D,0)))),2))</f>
        <v/>
      </c>
      <c r="L4243" s="6" t="str">
        <f>IF($D4243="","",IF($F4243&lt;&gt;"",$F4243,IF(ISNA(MATCH($D4243,'Paramètres'!$M:$M,0)),"⚠ Type inconnu",IFERROR(INDEX('Paramètres'!$P:$P,MATCH($D4243,'Paramètres'!$M:$M,0))&amp;"",""))))</f>
        <v/>
      </c>
      <c r="M4243" s="6" t="str">
        <f>IF($D4243="","",IF(ISNA(MATCH($D4243,'Paramètres'!$M:$M,0)),"⚠ Type inconnu",IF($L4243="Crédit","",IFERROR(INDEX('Paramètres'!$O:$O,MATCH($D4243,'Paramètres'!$M:$M,0))&amp;"",""))))</f>
        <v/>
      </c>
      <c r="N4243" s="6" t="str">
        <f>IF($D4243="","",IFERROR(INDEX('Paramètres'!$Q:$Q,MATCH($D4243,'Paramètres'!$M:$M,0))&amp;"",""))</f>
        <v/>
      </c>
      <c r="O4243" s="6" t="str">
        <f>IF($A4243="","",IF(OR($J4243&lt;&gt;"x",$A4243&lt;=FinReleve),1,0))</f>
        <v/>
      </c>
      <c r="P4243" s="6" t="str">
        <f>IF($D4243="","",IF(AND($L4243="Crédit",OR(IFERROR(INDEX('Paramètres'!$O:$O,MATCH($D4243,'Paramètres'!$M:$M,0))&amp;"","")&lt;&gt;"",ISNUMBER(SEARCH("remboursement",IFERROR(INDEX('Paramètres'!$N:$N,MATCH($D4243,'Paramètres'!$M:$M,0))&amp;"",""))))),1,0))</f>
        <v/>
      </c>
      <c r="Q4243" s="6" t="str">
        <f>IF($K4243="","",IF(ISNUMBER(SEARCH("transfert-interne",IFERROR(INDEX('Paramètres'!$N:$N,MATCH($D4243,'Paramètres'!$M:$M,0))&amp;"",""))),0,IF($L4243="Débit",$K4243,IF($P4243=1,-$K4243,0))))</f>
        <v/>
      </c>
      <c r="R4243" s="6" t="str">
        <f>IF($K4243="","",IF($L4243="Crédit",$K4243,-$K4243))</f>
        <v/>
      </c>
      <c r="S4243" s="6" t="str">
        <f>IF($C4243="","",IFERROR(INDEX('Paramètres'!$H:$H,MATCH($C4243,'Paramètres'!$D:$D,0))&amp;"",""))</f>
        <v/>
      </c>
      <c r="T4243" s="6" t="str">
        <f>IF($K4243="","",IF($S4243="",0,IF(ISNUMBER(SEARCH("apport-exterieur",IFERROR(INDEX('Paramètres'!$N:$N,MATCH($D4243,'Paramètres'!$M:$M,0))&amp;"",""))),0,IF(OR(IFERROR(INDEX('Paramètres'!$I:$I,MATCH($C4243,'Paramètres'!$D:$D,0))&amp;"","")="Les deux",IFERROR(INDEX('Paramètres'!$I:$I,MATCH($C4243,'Paramètres'!$D:$D,0))&amp;"","")=IF($P4243=1,"Débit",$L4243)),-IF($P4243=1,-$K4243,$K4243),0))))</f>
        <v/>
      </c>
      <c r="U4243" s="6" t="str">
        <f>IF($K4243="","",IF(ISNUMBER(SEARCH("sortie-epargne",IFERROR(INDEX('Paramètres'!$N:$N,MATCH($D4243,'Paramètres'!$M:$M,0))&amp;"",""))),$K4243,0))</f>
        <v/>
      </c>
      <c r="V4243" s="6" t="str">
        <f>IF(AND($A4243&lt;&gt;"",$O4243=1,$L4243="Débit",N($Q4243)&gt;0,$A4243&gt;=Visualisation!$B$1,$A4243&lt;Visualisation!$D$1),MAX($V$1:V4242)+1,"")</f>
        <v/>
      </c>
    </row>
    <row r="4244" spans="1:22" x14ac:dyDescent="0.25">
      <c r="A4244" s="9"/>
      <c r="E4244" s="10"/>
      <c r="K4244" s="11" t="str">
        <f>IF($E4244="","",ROUND($E4244*IF(ISNA(MATCH($C4244,'Paramètres'!$D:$D,0)),1,IF(INDEX('Paramètres'!$J:$J,MATCH($C4244,'Paramètres'!$D:$D,0))="",1,INDEX('Paramètres'!$J:$J,MATCH($C4244,'Paramètres'!$D:$D,0)))),2))</f>
        <v/>
      </c>
      <c r="L4244" s="6" t="str">
        <f>IF($D4244="","",IF($F4244&lt;&gt;"",$F4244,IF(ISNA(MATCH($D4244,'Paramètres'!$M:$M,0)),"⚠ Type inconnu",IFERROR(INDEX('Paramètres'!$P:$P,MATCH($D4244,'Paramètres'!$M:$M,0))&amp;"",""))))</f>
        <v/>
      </c>
      <c r="M4244" s="6" t="str">
        <f>IF($D4244="","",IF(ISNA(MATCH($D4244,'Paramètres'!$M:$M,0)),"⚠ Type inconnu",IF($L4244="Crédit","",IFERROR(INDEX('Paramètres'!$O:$O,MATCH($D4244,'Paramètres'!$M:$M,0))&amp;"",""))))</f>
        <v/>
      </c>
      <c r="N4244" s="6" t="str">
        <f>IF($D4244="","",IFERROR(INDEX('Paramètres'!$Q:$Q,MATCH($D4244,'Paramètres'!$M:$M,0))&amp;"",""))</f>
        <v/>
      </c>
      <c r="O4244" s="6" t="str">
        <f>IF($A4244="","",IF(OR($J4244&lt;&gt;"x",$A4244&lt;=FinReleve),1,0))</f>
        <v/>
      </c>
      <c r="P4244" s="6" t="str">
        <f>IF($D4244="","",IF(AND($L4244="Crédit",OR(IFERROR(INDEX('Paramètres'!$O:$O,MATCH($D4244,'Paramètres'!$M:$M,0))&amp;"","")&lt;&gt;"",ISNUMBER(SEARCH("remboursement",IFERROR(INDEX('Paramètres'!$N:$N,MATCH($D4244,'Paramètres'!$M:$M,0))&amp;"",""))))),1,0))</f>
        <v/>
      </c>
      <c r="Q4244" s="6" t="str">
        <f>IF($K4244="","",IF(ISNUMBER(SEARCH("transfert-interne",IFERROR(INDEX('Paramètres'!$N:$N,MATCH($D4244,'Paramètres'!$M:$M,0))&amp;"",""))),0,IF($L4244="Débit",$K4244,IF($P4244=1,-$K4244,0))))</f>
        <v/>
      </c>
      <c r="R4244" s="6" t="str">
        <f>IF($K4244="","",IF($L4244="Crédit",$K4244,-$K4244))</f>
        <v/>
      </c>
      <c r="S4244" s="6" t="str">
        <f>IF($C4244="","",IFERROR(INDEX('Paramètres'!$H:$H,MATCH($C4244,'Paramètres'!$D:$D,0))&amp;"",""))</f>
        <v/>
      </c>
      <c r="T4244" s="6" t="str">
        <f>IF($K4244="","",IF($S4244="",0,IF(ISNUMBER(SEARCH("apport-exterieur",IFERROR(INDEX('Paramètres'!$N:$N,MATCH($D4244,'Paramètres'!$M:$M,0))&amp;"",""))),0,IF(OR(IFERROR(INDEX('Paramètres'!$I:$I,MATCH($C4244,'Paramètres'!$D:$D,0))&amp;"","")="Les deux",IFERROR(INDEX('Paramètres'!$I:$I,MATCH($C4244,'Paramètres'!$D:$D,0))&amp;"","")=IF($P4244=1,"Débit",$L4244)),-IF($P4244=1,-$K4244,$K4244),0))))</f>
        <v/>
      </c>
      <c r="U4244" s="6" t="str">
        <f>IF($K4244="","",IF(ISNUMBER(SEARCH("sortie-epargne",IFERROR(INDEX('Paramètres'!$N:$N,MATCH($D4244,'Paramètres'!$M:$M,0))&amp;"",""))),$K4244,0))</f>
        <v/>
      </c>
      <c r="V4244" s="6" t="str">
        <f>IF(AND($A4244&lt;&gt;"",$O4244=1,$L4244="Débit",N($Q4244)&gt;0,$A4244&gt;=Visualisation!$B$1,$A4244&lt;Visualisation!$D$1),MAX($V$1:V4243)+1,"")</f>
        <v/>
      </c>
    </row>
    <row r="4245" spans="1:22" x14ac:dyDescent="0.25">
      <c r="A4245" s="9"/>
      <c r="E4245" s="10"/>
      <c r="K4245" s="11" t="str">
        <f>IF($E4245="","",ROUND($E4245*IF(ISNA(MATCH($C4245,'Paramètres'!$D:$D,0)),1,IF(INDEX('Paramètres'!$J:$J,MATCH($C4245,'Paramètres'!$D:$D,0))="",1,INDEX('Paramètres'!$J:$J,MATCH($C4245,'Paramètres'!$D:$D,0)))),2))</f>
        <v/>
      </c>
      <c r="L4245" s="6" t="str">
        <f>IF($D4245="","",IF($F4245&lt;&gt;"",$F4245,IF(ISNA(MATCH($D4245,'Paramètres'!$M:$M,0)),"⚠ Type inconnu",IFERROR(INDEX('Paramètres'!$P:$P,MATCH($D4245,'Paramètres'!$M:$M,0))&amp;"",""))))</f>
        <v/>
      </c>
      <c r="M4245" s="6" t="str">
        <f>IF($D4245="","",IF(ISNA(MATCH($D4245,'Paramètres'!$M:$M,0)),"⚠ Type inconnu",IF($L4245="Crédit","",IFERROR(INDEX('Paramètres'!$O:$O,MATCH($D4245,'Paramètres'!$M:$M,0))&amp;"",""))))</f>
        <v/>
      </c>
      <c r="N4245" s="6" t="str">
        <f>IF($D4245="","",IFERROR(INDEX('Paramètres'!$Q:$Q,MATCH($D4245,'Paramètres'!$M:$M,0))&amp;"",""))</f>
        <v/>
      </c>
      <c r="O4245" s="6" t="str">
        <f>IF($A4245="","",IF(OR($J4245&lt;&gt;"x",$A4245&lt;=FinReleve),1,0))</f>
        <v/>
      </c>
      <c r="P4245" s="6" t="str">
        <f>IF($D4245="","",IF(AND($L4245="Crédit",OR(IFERROR(INDEX('Paramètres'!$O:$O,MATCH($D4245,'Paramètres'!$M:$M,0))&amp;"","")&lt;&gt;"",ISNUMBER(SEARCH("remboursement",IFERROR(INDEX('Paramètres'!$N:$N,MATCH($D4245,'Paramètres'!$M:$M,0))&amp;"",""))))),1,0))</f>
        <v/>
      </c>
      <c r="Q4245" s="6" t="str">
        <f>IF($K4245="","",IF(ISNUMBER(SEARCH("transfert-interne",IFERROR(INDEX('Paramètres'!$N:$N,MATCH($D4245,'Paramètres'!$M:$M,0))&amp;"",""))),0,IF($L4245="Débit",$K4245,IF($P4245=1,-$K4245,0))))</f>
        <v/>
      </c>
      <c r="R4245" s="6" t="str">
        <f>IF($K4245="","",IF($L4245="Crédit",$K4245,-$K4245))</f>
        <v/>
      </c>
      <c r="S4245" s="6" t="str">
        <f>IF($C4245="","",IFERROR(INDEX('Paramètres'!$H:$H,MATCH($C4245,'Paramètres'!$D:$D,0))&amp;"",""))</f>
        <v/>
      </c>
      <c r="T4245" s="6" t="str">
        <f>IF($K4245="","",IF($S4245="",0,IF(ISNUMBER(SEARCH("apport-exterieur",IFERROR(INDEX('Paramètres'!$N:$N,MATCH($D4245,'Paramètres'!$M:$M,0))&amp;"",""))),0,IF(OR(IFERROR(INDEX('Paramètres'!$I:$I,MATCH($C4245,'Paramètres'!$D:$D,0))&amp;"","")="Les deux",IFERROR(INDEX('Paramètres'!$I:$I,MATCH($C4245,'Paramètres'!$D:$D,0))&amp;"","")=IF($P4245=1,"Débit",$L4245)),-IF($P4245=1,-$K4245,$K4245),0))))</f>
        <v/>
      </c>
      <c r="U4245" s="6" t="str">
        <f>IF($K4245="","",IF(ISNUMBER(SEARCH("sortie-epargne",IFERROR(INDEX('Paramètres'!$N:$N,MATCH($D4245,'Paramètres'!$M:$M,0))&amp;"",""))),$K4245,0))</f>
        <v/>
      </c>
      <c r="V4245" s="6" t="str">
        <f>IF(AND($A4245&lt;&gt;"",$O4245=1,$L4245="Débit",N($Q4245)&gt;0,$A4245&gt;=Visualisation!$B$1,$A4245&lt;Visualisation!$D$1),MAX($V$1:V4244)+1,"")</f>
        <v/>
      </c>
    </row>
    <row r="4246" spans="1:22" x14ac:dyDescent="0.25">
      <c r="A4246" s="9"/>
      <c r="E4246" s="10"/>
      <c r="K4246" s="11" t="str">
        <f>IF($E4246="","",ROUND($E4246*IF(ISNA(MATCH($C4246,'Paramètres'!$D:$D,0)),1,IF(INDEX('Paramètres'!$J:$J,MATCH($C4246,'Paramètres'!$D:$D,0))="",1,INDEX('Paramètres'!$J:$J,MATCH($C4246,'Paramètres'!$D:$D,0)))),2))</f>
        <v/>
      </c>
      <c r="L4246" s="6" t="str">
        <f>IF($D4246="","",IF($F4246&lt;&gt;"",$F4246,IF(ISNA(MATCH($D4246,'Paramètres'!$M:$M,0)),"⚠ Type inconnu",IFERROR(INDEX('Paramètres'!$P:$P,MATCH($D4246,'Paramètres'!$M:$M,0))&amp;"",""))))</f>
        <v/>
      </c>
      <c r="M4246" s="6" t="str">
        <f>IF($D4246="","",IF(ISNA(MATCH($D4246,'Paramètres'!$M:$M,0)),"⚠ Type inconnu",IF($L4246="Crédit","",IFERROR(INDEX('Paramètres'!$O:$O,MATCH($D4246,'Paramètres'!$M:$M,0))&amp;"",""))))</f>
        <v/>
      </c>
      <c r="N4246" s="6" t="str">
        <f>IF($D4246="","",IFERROR(INDEX('Paramètres'!$Q:$Q,MATCH($D4246,'Paramètres'!$M:$M,0))&amp;"",""))</f>
        <v/>
      </c>
      <c r="O4246" s="6" t="str">
        <f>IF($A4246="","",IF(OR($J4246&lt;&gt;"x",$A4246&lt;=FinReleve),1,0))</f>
        <v/>
      </c>
      <c r="P4246" s="6" t="str">
        <f>IF($D4246="","",IF(AND($L4246="Crédit",OR(IFERROR(INDEX('Paramètres'!$O:$O,MATCH($D4246,'Paramètres'!$M:$M,0))&amp;"","")&lt;&gt;"",ISNUMBER(SEARCH("remboursement",IFERROR(INDEX('Paramètres'!$N:$N,MATCH($D4246,'Paramètres'!$M:$M,0))&amp;"",""))))),1,0))</f>
        <v/>
      </c>
      <c r="Q4246" s="6" t="str">
        <f>IF($K4246="","",IF(ISNUMBER(SEARCH("transfert-interne",IFERROR(INDEX('Paramètres'!$N:$N,MATCH($D4246,'Paramètres'!$M:$M,0))&amp;"",""))),0,IF($L4246="Débit",$K4246,IF($P4246=1,-$K4246,0))))</f>
        <v/>
      </c>
      <c r="R4246" s="6" t="str">
        <f>IF($K4246="","",IF($L4246="Crédit",$K4246,-$K4246))</f>
        <v/>
      </c>
      <c r="S4246" s="6" t="str">
        <f>IF($C4246="","",IFERROR(INDEX('Paramètres'!$H:$H,MATCH($C4246,'Paramètres'!$D:$D,0))&amp;"",""))</f>
        <v/>
      </c>
      <c r="T4246" s="6" t="str">
        <f>IF($K4246="","",IF($S4246="",0,IF(ISNUMBER(SEARCH("apport-exterieur",IFERROR(INDEX('Paramètres'!$N:$N,MATCH($D4246,'Paramètres'!$M:$M,0))&amp;"",""))),0,IF(OR(IFERROR(INDEX('Paramètres'!$I:$I,MATCH($C4246,'Paramètres'!$D:$D,0))&amp;"","")="Les deux",IFERROR(INDEX('Paramètres'!$I:$I,MATCH($C4246,'Paramètres'!$D:$D,0))&amp;"","")=IF($P4246=1,"Débit",$L4246)),-IF($P4246=1,-$K4246,$K4246),0))))</f>
        <v/>
      </c>
      <c r="U4246" s="6" t="str">
        <f>IF($K4246="","",IF(ISNUMBER(SEARCH("sortie-epargne",IFERROR(INDEX('Paramètres'!$N:$N,MATCH($D4246,'Paramètres'!$M:$M,0))&amp;"",""))),$K4246,0))</f>
        <v/>
      </c>
      <c r="V4246" s="6" t="str">
        <f>IF(AND($A4246&lt;&gt;"",$O4246=1,$L4246="Débit",N($Q4246)&gt;0,$A4246&gt;=Visualisation!$B$1,$A4246&lt;Visualisation!$D$1),MAX($V$1:V4245)+1,"")</f>
        <v/>
      </c>
    </row>
    <row r="4247" spans="1:22" x14ac:dyDescent="0.25">
      <c r="A4247" s="9"/>
      <c r="E4247" s="10"/>
      <c r="K4247" s="11" t="str">
        <f>IF($E4247="","",ROUND($E4247*IF(ISNA(MATCH($C4247,'Paramètres'!$D:$D,0)),1,IF(INDEX('Paramètres'!$J:$J,MATCH($C4247,'Paramètres'!$D:$D,0))="",1,INDEX('Paramètres'!$J:$J,MATCH($C4247,'Paramètres'!$D:$D,0)))),2))</f>
        <v/>
      </c>
      <c r="L4247" s="6" t="str">
        <f>IF($D4247="","",IF($F4247&lt;&gt;"",$F4247,IF(ISNA(MATCH($D4247,'Paramètres'!$M:$M,0)),"⚠ Type inconnu",IFERROR(INDEX('Paramètres'!$P:$P,MATCH($D4247,'Paramètres'!$M:$M,0))&amp;"",""))))</f>
        <v/>
      </c>
      <c r="M4247" s="6" t="str">
        <f>IF($D4247="","",IF(ISNA(MATCH($D4247,'Paramètres'!$M:$M,0)),"⚠ Type inconnu",IF($L4247="Crédit","",IFERROR(INDEX('Paramètres'!$O:$O,MATCH($D4247,'Paramètres'!$M:$M,0))&amp;"",""))))</f>
        <v/>
      </c>
      <c r="N4247" s="6" t="str">
        <f>IF($D4247="","",IFERROR(INDEX('Paramètres'!$Q:$Q,MATCH($D4247,'Paramètres'!$M:$M,0))&amp;"",""))</f>
        <v/>
      </c>
      <c r="O4247" s="6" t="str">
        <f>IF($A4247="","",IF(OR($J4247&lt;&gt;"x",$A4247&lt;=FinReleve),1,0))</f>
        <v/>
      </c>
      <c r="P4247" s="6" t="str">
        <f>IF($D4247="","",IF(AND($L4247="Crédit",OR(IFERROR(INDEX('Paramètres'!$O:$O,MATCH($D4247,'Paramètres'!$M:$M,0))&amp;"","")&lt;&gt;"",ISNUMBER(SEARCH("remboursement",IFERROR(INDEX('Paramètres'!$N:$N,MATCH($D4247,'Paramètres'!$M:$M,0))&amp;"",""))))),1,0))</f>
        <v/>
      </c>
      <c r="Q4247" s="6" t="str">
        <f>IF($K4247="","",IF(ISNUMBER(SEARCH("transfert-interne",IFERROR(INDEX('Paramètres'!$N:$N,MATCH($D4247,'Paramètres'!$M:$M,0))&amp;"",""))),0,IF($L4247="Débit",$K4247,IF($P4247=1,-$K4247,0))))</f>
        <v/>
      </c>
      <c r="R4247" s="6" t="str">
        <f>IF($K4247="","",IF($L4247="Crédit",$K4247,-$K4247))</f>
        <v/>
      </c>
      <c r="S4247" s="6" t="str">
        <f>IF($C4247="","",IFERROR(INDEX('Paramètres'!$H:$H,MATCH($C4247,'Paramètres'!$D:$D,0))&amp;"",""))</f>
        <v/>
      </c>
      <c r="T4247" s="6" t="str">
        <f>IF($K4247="","",IF($S4247="",0,IF(ISNUMBER(SEARCH("apport-exterieur",IFERROR(INDEX('Paramètres'!$N:$N,MATCH($D4247,'Paramètres'!$M:$M,0))&amp;"",""))),0,IF(OR(IFERROR(INDEX('Paramètres'!$I:$I,MATCH($C4247,'Paramètres'!$D:$D,0))&amp;"","")="Les deux",IFERROR(INDEX('Paramètres'!$I:$I,MATCH($C4247,'Paramètres'!$D:$D,0))&amp;"","")=IF($P4247=1,"Débit",$L4247)),-IF($P4247=1,-$K4247,$K4247),0))))</f>
        <v/>
      </c>
      <c r="U4247" s="6" t="str">
        <f>IF($K4247="","",IF(ISNUMBER(SEARCH("sortie-epargne",IFERROR(INDEX('Paramètres'!$N:$N,MATCH($D4247,'Paramètres'!$M:$M,0))&amp;"",""))),$K4247,0))</f>
        <v/>
      </c>
      <c r="V4247" s="6" t="str">
        <f>IF(AND($A4247&lt;&gt;"",$O4247=1,$L4247="Débit",N($Q4247)&gt;0,$A4247&gt;=Visualisation!$B$1,$A4247&lt;Visualisation!$D$1),MAX($V$1:V4246)+1,"")</f>
        <v/>
      </c>
    </row>
    <row r="4248" spans="1:22" x14ac:dyDescent="0.25">
      <c r="A4248" s="9"/>
      <c r="E4248" s="10"/>
      <c r="K4248" s="11" t="str">
        <f>IF($E4248="","",ROUND($E4248*IF(ISNA(MATCH($C4248,'Paramètres'!$D:$D,0)),1,IF(INDEX('Paramètres'!$J:$J,MATCH($C4248,'Paramètres'!$D:$D,0))="",1,INDEX('Paramètres'!$J:$J,MATCH($C4248,'Paramètres'!$D:$D,0)))),2))</f>
        <v/>
      </c>
      <c r="L4248" s="6" t="str">
        <f>IF($D4248="","",IF($F4248&lt;&gt;"",$F4248,IF(ISNA(MATCH($D4248,'Paramètres'!$M:$M,0)),"⚠ Type inconnu",IFERROR(INDEX('Paramètres'!$P:$P,MATCH($D4248,'Paramètres'!$M:$M,0))&amp;"",""))))</f>
        <v/>
      </c>
      <c r="M4248" s="6" t="str">
        <f>IF($D4248="","",IF(ISNA(MATCH($D4248,'Paramètres'!$M:$M,0)),"⚠ Type inconnu",IF($L4248="Crédit","",IFERROR(INDEX('Paramètres'!$O:$O,MATCH($D4248,'Paramètres'!$M:$M,0))&amp;"",""))))</f>
        <v/>
      </c>
      <c r="N4248" s="6" t="str">
        <f>IF($D4248="","",IFERROR(INDEX('Paramètres'!$Q:$Q,MATCH($D4248,'Paramètres'!$M:$M,0))&amp;"",""))</f>
        <v/>
      </c>
      <c r="O4248" s="6" t="str">
        <f>IF($A4248="","",IF(OR($J4248&lt;&gt;"x",$A4248&lt;=FinReleve),1,0))</f>
        <v/>
      </c>
      <c r="P4248" s="6" t="str">
        <f>IF($D4248="","",IF(AND($L4248="Crédit",OR(IFERROR(INDEX('Paramètres'!$O:$O,MATCH($D4248,'Paramètres'!$M:$M,0))&amp;"","")&lt;&gt;"",ISNUMBER(SEARCH("remboursement",IFERROR(INDEX('Paramètres'!$N:$N,MATCH($D4248,'Paramètres'!$M:$M,0))&amp;"",""))))),1,0))</f>
        <v/>
      </c>
      <c r="Q4248" s="6" t="str">
        <f>IF($K4248="","",IF(ISNUMBER(SEARCH("transfert-interne",IFERROR(INDEX('Paramètres'!$N:$N,MATCH($D4248,'Paramètres'!$M:$M,0))&amp;"",""))),0,IF($L4248="Débit",$K4248,IF($P4248=1,-$K4248,0))))</f>
        <v/>
      </c>
      <c r="R4248" s="6" t="str">
        <f>IF($K4248="","",IF($L4248="Crédit",$K4248,-$K4248))</f>
        <v/>
      </c>
      <c r="S4248" s="6" t="str">
        <f>IF($C4248="","",IFERROR(INDEX('Paramètres'!$H:$H,MATCH($C4248,'Paramètres'!$D:$D,0))&amp;"",""))</f>
        <v/>
      </c>
      <c r="T4248" s="6" t="str">
        <f>IF($K4248="","",IF($S4248="",0,IF(ISNUMBER(SEARCH("apport-exterieur",IFERROR(INDEX('Paramètres'!$N:$N,MATCH($D4248,'Paramètres'!$M:$M,0))&amp;"",""))),0,IF(OR(IFERROR(INDEX('Paramètres'!$I:$I,MATCH($C4248,'Paramètres'!$D:$D,0))&amp;"","")="Les deux",IFERROR(INDEX('Paramètres'!$I:$I,MATCH($C4248,'Paramètres'!$D:$D,0))&amp;"","")=IF($P4248=1,"Débit",$L4248)),-IF($P4248=1,-$K4248,$K4248),0))))</f>
        <v/>
      </c>
      <c r="U4248" s="6" t="str">
        <f>IF($K4248="","",IF(ISNUMBER(SEARCH("sortie-epargne",IFERROR(INDEX('Paramètres'!$N:$N,MATCH($D4248,'Paramètres'!$M:$M,0))&amp;"",""))),$K4248,0))</f>
        <v/>
      </c>
      <c r="V4248" s="6" t="str">
        <f>IF(AND($A4248&lt;&gt;"",$O4248=1,$L4248="Débit",N($Q4248)&gt;0,$A4248&gt;=Visualisation!$B$1,$A4248&lt;Visualisation!$D$1),MAX($V$1:V4247)+1,"")</f>
        <v/>
      </c>
    </row>
    <row r="4249" spans="1:22" x14ac:dyDescent="0.25">
      <c r="A4249" s="9"/>
      <c r="E4249" s="10"/>
      <c r="K4249" s="11" t="str">
        <f>IF($E4249="","",ROUND($E4249*IF(ISNA(MATCH($C4249,'Paramètres'!$D:$D,0)),1,IF(INDEX('Paramètres'!$J:$J,MATCH($C4249,'Paramètres'!$D:$D,0))="",1,INDEX('Paramètres'!$J:$J,MATCH($C4249,'Paramètres'!$D:$D,0)))),2))</f>
        <v/>
      </c>
      <c r="L4249" s="6" t="str">
        <f>IF($D4249="","",IF($F4249&lt;&gt;"",$F4249,IF(ISNA(MATCH($D4249,'Paramètres'!$M:$M,0)),"⚠ Type inconnu",IFERROR(INDEX('Paramètres'!$P:$P,MATCH($D4249,'Paramètres'!$M:$M,0))&amp;"",""))))</f>
        <v/>
      </c>
      <c r="M4249" s="6" t="str">
        <f>IF($D4249="","",IF(ISNA(MATCH($D4249,'Paramètres'!$M:$M,0)),"⚠ Type inconnu",IF($L4249="Crédit","",IFERROR(INDEX('Paramètres'!$O:$O,MATCH($D4249,'Paramètres'!$M:$M,0))&amp;"",""))))</f>
        <v/>
      </c>
      <c r="N4249" s="6" t="str">
        <f>IF($D4249="","",IFERROR(INDEX('Paramètres'!$Q:$Q,MATCH($D4249,'Paramètres'!$M:$M,0))&amp;"",""))</f>
        <v/>
      </c>
      <c r="O4249" s="6" t="str">
        <f>IF($A4249="","",IF(OR($J4249&lt;&gt;"x",$A4249&lt;=FinReleve),1,0))</f>
        <v/>
      </c>
      <c r="P4249" s="6" t="str">
        <f>IF($D4249="","",IF(AND($L4249="Crédit",OR(IFERROR(INDEX('Paramètres'!$O:$O,MATCH($D4249,'Paramètres'!$M:$M,0))&amp;"","")&lt;&gt;"",ISNUMBER(SEARCH("remboursement",IFERROR(INDEX('Paramètres'!$N:$N,MATCH($D4249,'Paramètres'!$M:$M,0))&amp;"",""))))),1,0))</f>
        <v/>
      </c>
      <c r="Q4249" s="6" t="str">
        <f>IF($K4249="","",IF(ISNUMBER(SEARCH("transfert-interne",IFERROR(INDEX('Paramètres'!$N:$N,MATCH($D4249,'Paramètres'!$M:$M,0))&amp;"",""))),0,IF($L4249="Débit",$K4249,IF($P4249=1,-$K4249,0))))</f>
        <v/>
      </c>
      <c r="R4249" s="6" t="str">
        <f>IF($K4249="","",IF($L4249="Crédit",$K4249,-$K4249))</f>
        <v/>
      </c>
      <c r="S4249" s="6" t="str">
        <f>IF($C4249="","",IFERROR(INDEX('Paramètres'!$H:$H,MATCH($C4249,'Paramètres'!$D:$D,0))&amp;"",""))</f>
        <v/>
      </c>
      <c r="T4249" s="6" t="str">
        <f>IF($K4249="","",IF($S4249="",0,IF(ISNUMBER(SEARCH("apport-exterieur",IFERROR(INDEX('Paramètres'!$N:$N,MATCH($D4249,'Paramètres'!$M:$M,0))&amp;"",""))),0,IF(OR(IFERROR(INDEX('Paramètres'!$I:$I,MATCH($C4249,'Paramètres'!$D:$D,0))&amp;"","")="Les deux",IFERROR(INDEX('Paramètres'!$I:$I,MATCH($C4249,'Paramètres'!$D:$D,0))&amp;"","")=IF($P4249=1,"Débit",$L4249)),-IF($P4249=1,-$K4249,$K4249),0))))</f>
        <v/>
      </c>
      <c r="U4249" s="6" t="str">
        <f>IF($K4249="","",IF(ISNUMBER(SEARCH("sortie-epargne",IFERROR(INDEX('Paramètres'!$N:$N,MATCH($D4249,'Paramètres'!$M:$M,0))&amp;"",""))),$K4249,0))</f>
        <v/>
      </c>
      <c r="V4249" s="6" t="str">
        <f>IF(AND($A4249&lt;&gt;"",$O4249=1,$L4249="Débit",N($Q4249)&gt;0,$A4249&gt;=Visualisation!$B$1,$A4249&lt;Visualisation!$D$1),MAX($V$1:V4248)+1,"")</f>
        <v/>
      </c>
    </row>
    <row r="4250" spans="1:22" x14ac:dyDescent="0.25">
      <c r="A4250" s="9"/>
      <c r="E4250" s="10"/>
      <c r="K4250" s="11" t="str">
        <f>IF($E4250="","",ROUND($E4250*IF(ISNA(MATCH($C4250,'Paramètres'!$D:$D,0)),1,IF(INDEX('Paramètres'!$J:$J,MATCH($C4250,'Paramètres'!$D:$D,0))="",1,INDEX('Paramètres'!$J:$J,MATCH($C4250,'Paramètres'!$D:$D,0)))),2))</f>
        <v/>
      </c>
      <c r="L4250" s="6" t="str">
        <f>IF($D4250="","",IF($F4250&lt;&gt;"",$F4250,IF(ISNA(MATCH($D4250,'Paramètres'!$M:$M,0)),"⚠ Type inconnu",IFERROR(INDEX('Paramètres'!$P:$P,MATCH($D4250,'Paramètres'!$M:$M,0))&amp;"",""))))</f>
        <v/>
      </c>
      <c r="M4250" s="6" t="str">
        <f>IF($D4250="","",IF(ISNA(MATCH($D4250,'Paramètres'!$M:$M,0)),"⚠ Type inconnu",IF($L4250="Crédit","",IFERROR(INDEX('Paramètres'!$O:$O,MATCH($D4250,'Paramètres'!$M:$M,0))&amp;"",""))))</f>
        <v/>
      </c>
      <c r="N4250" s="6" t="str">
        <f>IF($D4250="","",IFERROR(INDEX('Paramètres'!$Q:$Q,MATCH($D4250,'Paramètres'!$M:$M,0))&amp;"",""))</f>
        <v/>
      </c>
      <c r="O4250" s="6" t="str">
        <f>IF($A4250="","",IF(OR($J4250&lt;&gt;"x",$A4250&lt;=FinReleve),1,0))</f>
        <v/>
      </c>
      <c r="P4250" s="6" t="str">
        <f>IF($D4250="","",IF(AND($L4250="Crédit",OR(IFERROR(INDEX('Paramètres'!$O:$O,MATCH($D4250,'Paramètres'!$M:$M,0))&amp;"","")&lt;&gt;"",ISNUMBER(SEARCH("remboursement",IFERROR(INDEX('Paramètres'!$N:$N,MATCH($D4250,'Paramètres'!$M:$M,0))&amp;"",""))))),1,0))</f>
        <v/>
      </c>
      <c r="Q4250" s="6" t="str">
        <f>IF($K4250="","",IF(ISNUMBER(SEARCH("transfert-interne",IFERROR(INDEX('Paramètres'!$N:$N,MATCH($D4250,'Paramètres'!$M:$M,0))&amp;"",""))),0,IF($L4250="Débit",$K4250,IF($P4250=1,-$K4250,0))))</f>
        <v/>
      </c>
      <c r="R4250" s="6" t="str">
        <f>IF($K4250="","",IF($L4250="Crédit",$K4250,-$K4250))</f>
        <v/>
      </c>
      <c r="S4250" s="6" t="str">
        <f>IF($C4250="","",IFERROR(INDEX('Paramètres'!$H:$H,MATCH($C4250,'Paramètres'!$D:$D,0))&amp;"",""))</f>
        <v/>
      </c>
      <c r="T4250" s="6" t="str">
        <f>IF($K4250="","",IF($S4250="",0,IF(ISNUMBER(SEARCH("apport-exterieur",IFERROR(INDEX('Paramètres'!$N:$N,MATCH($D4250,'Paramètres'!$M:$M,0))&amp;"",""))),0,IF(OR(IFERROR(INDEX('Paramètres'!$I:$I,MATCH($C4250,'Paramètres'!$D:$D,0))&amp;"","")="Les deux",IFERROR(INDEX('Paramètres'!$I:$I,MATCH($C4250,'Paramètres'!$D:$D,0))&amp;"","")=IF($P4250=1,"Débit",$L4250)),-IF($P4250=1,-$K4250,$K4250),0))))</f>
        <v/>
      </c>
      <c r="U4250" s="6" t="str">
        <f>IF($K4250="","",IF(ISNUMBER(SEARCH("sortie-epargne",IFERROR(INDEX('Paramètres'!$N:$N,MATCH($D4250,'Paramètres'!$M:$M,0))&amp;"",""))),$K4250,0))</f>
        <v/>
      </c>
      <c r="V4250" s="6" t="str">
        <f>IF(AND($A4250&lt;&gt;"",$O4250=1,$L4250="Débit",N($Q4250)&gt;0,$A4250&gt;=Visualisation!$B$1,$A4250&lt;Visualisation!$D$1),MAX($V$1:V4249)+1,"")</f>
        <v/>
      </c>
    </row>
    <row r="4251" spans="1:22" x14ac:dyDescent="0.25">
      <c r="A4251" s="9"/>
      <c r="E4251" s="10"/>
      <c r="K4251" s="11" t="str">
        <f>IF($E4251="","",ROUND($E4251*IF(ISNA(MATCH($C4251,'Paramètres'!$D:$D,0)),1,IF(INDEX('Paramètres'!$J:$J,MATCH($C4251,'Paramètres'!$D:$D,0))="",1,INDEX('Paramètres'!$J:$J,MATCH($C4251,'Paramètres'!$D:$D,0)))),2))</f>
        <v/>
      </c>
      <c r="L4251" s="6" t="str">
        <f>IF($D4251="","",IF($F4251&lt;&gt;"",$F4251,IF(ISNA(MATCH($D4251,'Paramètres'!$M:$M,0)),"⚠ Type inconnu",IFERROR(INDEX('Paramètres'!$P:$P,MATCH($D4251,'Paramètres'!$M:$M,0))&amp;"",""))))</f>
        <v/>
      </c>
      <c r="M4251" s="6" t="str">
        <f>IF($D4251="","",IF(ISNA(MATCH($D4251,'Paramètres'!$M:$M,0)),"⚠ Type inconnu",IF($L4251="Crédit","",IFERROR(INDEX('Paramètres'!$O:$O,MATCH($D4251,'Paramètres'!$M:$M,0))&amp;"",""))))</f>
        <v/>
      </c>
      <c r="N4251" s="6" t="str">
        <f>IF($D4251="","",IFERROR(INDEX('Paramètres'!$Q:$Q,MATCH($D4251,'Paramètres'!$M:$M,0))&amp;"",""))</f>
        <v/>
      </c>
      <c r="O4251" s="6" t="str">
        <f>IF($A4251="","",IF(OR($J4251&lt;&gt;"x",$A4251&lt;=FinReleve),1,0))</f>
        <v/>
      </c>
      <c r="P4251" s="6" t="str">
        <f>IF($D4251="","",IF(AND($L4251="Crédit",OR(IFERROR(INDEX('Paramètres'!$O:$O,MATCH($D4251,'Paramètres'!$M:$M,0))&amp;"","")&lt;&gt;"",ISNUMBER(SEARCH("remboursement",IFERROR(INDEX('Paramètres'!$N:$N,MATCH($D4251,'Paramètres'!$M:$M,0))&amp;"",""))))),1,0))</f>
        <v/>
      </c>
      <c r="Q4251" s="6" t="str">
        <f>IF($K4251="","",IF(ISNUMBER(SEARCH("transfert-interne",IFERROR(INDEX('Paramètres'!$N:$N,MATCH($D4251,'Paramètres'!$M:$M,0))&amp;"",""))),0,IF($L4251="Débit",$K4251,IF($P4251=1,-$K4251,0))))</f>
        <v/>
      </c>
      <c r="R4251" s="6" t="str">
        <f>IF($K4251="","",IF($L4251="Crédit",$K4251,-$K4251))</f>
        <v/>
      </c>
      <c r="S4251" s="6" t="str">
        <f>IF($C4251="","",IFERROR(INDEX('Paramètres'!$H:$H,MATCH($C4251,'Paramètres'!$D:$D,0))&amp;"",""))</f>
        <v/>
      </c>
      <c r="T4251" s="6" t="str">
        <f>IF($K4251="","",IF($S4251="",0,IF(ISNUMBER(SEARCH("apport-exterieur",IFERROR(INDEX('Paramètres'!$N:$N,MATCH($D4251,'Paramètres'!$M:$M,0))&amp;"",""))),0,IF(OR(IFERROR(INDEX('Paramètres'!$I:$I,MATCH($C4251,'Paramètres'!$D:$D,0))&amp;"","")="Les deux",IFERROR(INDEX('Paramètres'!$I:$I,MATCH($C4251,'Paramètres'!$D:$D,0))&amp;"","")=IF($P4251=1,"Débit",$L4251)),-IF($P4251=1,-$K4251,$K4251),0))))</f>
        <v/>
      </c>
      <c r="U4251" s="6" t="str">
        <f>IF($K4251="","",IF(ISNUMBER(SEARCH("sortie-epargne",IFERROR(INDEX('Paramètres'!$N:$N,MATCH($D4251,'Paramètres'!$M:$M,0))&amp;"",""))),$K4251,0))</f>
        <v/>
      </c>
      <c r="V4251" s="6" t="str">
        <f>IF(AND($A4251&lt;&gt;"",$O4251=1,$L4251="Débit",N($Q4251)&gt;0,$A4251&gt;=Visualisation!$B$1,$A4251&lt;Visualisation!$D$1),MAX($V$1:V4250)+1,"")</f>
        <v/>
      </c>
    </row>
    <row r="4252" spans="1:22" x14ac:dyDescent="0.25">
      <c r="A4252" s="9"/>
      <c r="E4252" s="10"/>
      <c r="K4252" s="11" t="str">
        <f>IF($E4252="","",ROUND($E4252*IF(ISNA(MATCH($C4252,'Paramètres'!$D:$D,0)),1,IF(INDEX('Paramètres'!$J:$J,MATCH($C4252,'Paramètres'!$D:$D,0))="",1,INDEX('Paramètres'!$J:$J,MATCH($C4252,'Paramètres'!$D:$D,0)))),2))</f>
        <v/>
      </c>
      <c r="L4252" s="6" t="str">
        <f>IF($D4252="","",IF($F4252&lt;&gt;"",$F4252,IF(ISNA(MATCH($D4252,'Paramètres'!$M:$M,0)),"⚠ Type inconnu",IFERROR(INDEX('Paramètres'!$P:$P,MATCH($D4252,'Paramètres'!$M:$M,0))&amp;"",""))))</f>
        <v/>
      </c>
      <c r="M4252" s="6" t="str">
        <f>IF($D4252="","",IF(ISNA(MATCH($D4252,'Paramètres'!$M:$M,0)),"⚠ Type inconnu",IF($L4252="Crédit","",IFERROR(INDEX('Paramètres'!$O:$O,MATCH($D4252,'Paramètres'!$M:$M,0))&amp;"",""))))</f>
        <v/>
      </c>
      <c r="N4252" s="6" t="str">
        <f>IF($D4252="","",IFERROR(INDEX('Paramètres'!$Q:$Q,MATCH($D4252,'Paramètres'!$M:$M,0))&amp;"",""))</f>
        <v/>
      </c>
      <c r="O4252" s="6" t="str">
        <f>IF($A4252="","",IF(OR($J4252&lt;&gt;"x",$A4252&lt;=FinReleve),1,0))</f>
        <v/>
      </c>
      <c r="P4252" s="6" t="str">
        <f>IF($D4252="","",IF(AND($L4252="Crédit",OR(IFERROR(INDEX('Paramètres'!$O:$O,MATCH($D4252,'Paramètres'!$M:$M,0))&amp;"","")&lt;&gt;"",ISNUMBER(SEARCH("remboursement",IFERROR(INDEX('Paramètres'!$N:$N,MATCH($D4252,'Paramètres'!$M:$M,0))&amp;"",""))))),1,0))</f>
        <v/>
      </c>
      <c r="Q4252" s="6" t="str">
        <f>IF($K4252="","",IF(ISNUMBER(SEARCH("transfert-interne",IFERROR(INDEX('Paramètres'!$N:$N,MATCH($D4252,'Paramètres'!$M:$M,0))&amp;"",""))),0,IF($L4252="Débit",$K4252,IF($P4252=1,-$K4252,0))))</f>
        <v/>
      </c>
      <c r="R4252" s="6" t="str">
        <f>IF($K4252="","",IF($L4252="Crédit",$K4252,-$K4252))</f>
        <v/>
      </c>
      <c r="S4252" s="6" t="str">
        <f>IF($C4252="","",IFERROR(INDEX('Paramètres'!$H:$H,MATCH($C4252,'Paramètres'!$D:$D,0))&amp;"",""))</f>
        <v/>
      </c>
      <c r="T4252" s="6" t="str">
        <f>IF($K4252="","",IF($S4252="",0,IF(ISNUMBER(SEARCH("apport-exterieur",IFERROR(INDEX('Paramètres'!$N:$N,MATCH($D4252,'Paramètres'!$M:$M,0))&amp;"",""))),0,IF(OR(IFERROR(INDEX('Paramètres'!$I:$I,MATCH($C4252,'Paramètres'!$D:$D,0))&amp;"","")="Les deux",IFERROR(INDEX('Paramètres'!$I:$I,MATCH($C4252,'Paramètres'!$D:$D,0))&amp;"","")=IF($P4252=1,"Débit",$L4252)),-IF($P4252=1,-$K4252,$K4252),0))))</f>
        <v/>
      </c>
      <c r="U4252" s="6" t="str">
        <f>IF($K4252="","",IF(ISNUMBER(SEARCH("sortie-epargne",IFERROR(INDEX('Paramètres'!$N:$N,MATCH($D4252,'Paramètres'!$M:$M,0))&amp;"",""))),$K4252,0))</f>
        <v/>
      </c>
      <c r="V4252" s="6" t="str">
        <f>IF(AND($A4252&lt;&gt;"",$O4252=1,$L4252="Débit",N($Q4252)&gt;0,$A4252&gt;=Visualisation!$B$1,$A4252&lt;Visualisation!$D$1),MAX($V$1:V4251)+1,"")</f>
        <v/>
      </c>
    </row>
    <row r="4253" spans="1:22" x14ac:dyDescent="0.25">
      <c r="A4253" s="9"/>
      <c r="E4253" s="10"/>
      <c r="K4253" s="11" t="str">
        <f>IF($E4253="","",ROUND($E4253*IF(ISNA(MATCH($C4253,'Paramètres'!$D:$D,0)),1,IF(INDEX('Paramètres'!$J:$J,MATCH($C4253,'Paramètres'!$D:$D,0))="",1,INDEX('Paramètres'!$J:$J,MATCH($C4253,'Paramètres'!$D:$D,0)))),2))</f>
        <v/>
      </c>
      <c r="L4253" s="6" t="str">
        <f>IF($D4253="","",IF($F4253&lt;&gt;"",$F4253,IF(ISNA(MATCH($D4253,'Paramètres'!$M:$M,0)),"⚠ Type inconnu",IFERROR(INDEX('Paramètres'!$P:$P,MATCH($D4253,'Paramètres'!$M:$M,0))&amp;"",""))))</f>
        <v/>
      </c>
      <c r="M4253" s="6" t="str">
        <f>IF($D4253="","",IF(ISNA(MATCH($D4253,'Paramètres'!$M:$M,0)),"⚠ Type inconnu",IF($L4253="Crédit","",IFERROR(INDEX('Paramètres'!$O:$O,MATCH($D4253,'Paramètres'!$M:$M,0))&amp;"",""))))</f>
        <v/>
      </c>
      <c r="N4253" s="6" t="str">
        <f>IF($D4253="","",IFERROR(INDEX('Paramètres'!$Q:$Q,MATCH($D4253,'Paramètres'!$M:$M,0))&amp;"",""))</f>
        <v/>
      </c>
      <c r="O4253" s="6" t="str">
        <f>IF($A4253="","",IF(OR($J4253&lt;&gt;"x",$A4253&lt;=FinReleve),1,0))</f>
        <v/>
      </c>
      <c r="P4253" s="6" t="str">
        <f>IF($D4253="","",IF(AND($L4253="Crédit",OR(IFERROR(INDEX('Paramètres'!$O:$O,MATCH($D4253,'Paramètres'!$M:$M,0))&amp;"","")&lt;&gt;"",ISNUMBER(SEARCH("remboursement",IFERROR(INDEX('Paramètres'!$N:$N,MATCH($D4253,'Paramètres'!$M:$M,0))&amp;"",""))))),1,0))</f>
        <v/>
      </c>
      <c r="Q4253" s="6" t="str">
        <f>IF($K4253="","",IF(ISNUMBER(SEARCH("transfert-interne",IFERROR(INDEX('Paramètres'!$N:$N,MATCH($D4253,'Paramètres'!$M:$M,0))&amp;"",""))),0,IF($L4253="Débit",$K4253,IF($P4253=1,-$K4253,0))))</f>
        <v/>
      </c>
      <c r="R4253" s="6" t="str">
        <f>IF($K4253="","",IF($L4253="Crédit",$K4253,-$K4253))</f>
        <v/>
      </c>
      <c r="S4253" s="6" t="str">
        <f>IF($C4253="","",IFERROR(INDEX('Paramètres'!$H:$H,MATCH($C4253,'Paramètres'!$D:$D,0))&amp;"",""))</f>
        <v/>
      </c>
      <c r="T4253" s="6" t="str">
        <f>IF($K4253="","",IF($S4253="",0,IF(ISNUMBER(SEARCH("apport-exterieur",IFERROR(INDEX('Paramètres'!$N:$N,MATCH($D4253,'Paramètres'!$M:$M,0))&amp;"",""))),0,IF(OR(IFERROR(INDEX('Paramètres'!$I:$I,MATCH($C4253,'Paramètres'!$D:$D,0))&amp;"","")="Les deux",IFERROR(INDEX('Paramètres'!$I:$I,MATCH($C4253,'Paramètres'!$D:$D,0))&amp;"","")=IF($P4253=1,"Débit",$L4253)),-IF($P4253=1,-$K4253,$K4253),0))))</f>
        <v/>
      </c>
      <c r="U4253" s="6" t="str">
        <f>IF($K4253="","",IF(ISNUMBER(SEARCH("sortie-epargne",IFERROR(INDEX('Paramètres'!$N:$N,MATCH($D4253,'Paramètres'!$M:$M,0))&amp;"",""))),$K4253,0))</f>
        <v/>
      </c>
      <c r="V4253" s="6" t="str">
        <f>IF(AND($A4253&lt;&gt;"",$O4253=1,$L4253="Débit",N($Q4253)&gt;0,$A4253&gt;=Visualisation!$B$1,$A4253&lt;Visualisation!$D$1),MAX($V$1:V4252)+1,"")</f>
        <v/>
      </c>
    </row>
    <row r="4254" spans="1:22" x14ac:dyDescent="0.25">
      <c r="A4254" s="9"/>
      <c r="E4254" s="10"/>
      <c r="K4254" s="11" t="str">
        <f>IF($E4254="","",ROUND($E4254*IF(ISNA(MATCH($C4254,'Paramètres'!$D:$D,0)),1,IF(INDEX('Paramètres'!$J:$J,MATCH($C4254,'Paramètres'!$D:$D,0))="",1,INDEX('Paramètres'!$J:$J,MATCH($C4254,'Paramètres'!$D:$D,0)))),2))</f>
        <v/>
      </c>
      <c r="L4254" s="6" t="str">
        <f>IF($D4254="","",IF($F4254&lt;&gt;"",$F4254,IF(ISNA(MATCH($D4254,'Paramètres'!$M:$M,0)),"⚠ Type inconnu",IFERROR(INDEX('Paramètres'!$P:$P,MATCH($D4254,'Paramètres'!$M:$M,0))&amp;"",""))))</f>
        <v/>
      </c>
      <c r="M4254" s="6" t="str">
        <f>IF($D4254="","",IF(ISNA(MATCH($D4254,'Paramètres'!$M:$M,0)),"⚠ Type inconnu",IF($L4254="Crédit","",IFERROR(INDEX('Paramètres'!$O:$O,MATCH($D4254,'Paramètres'!$M:$M,0))&amp;"",""))))</f>
        <v/>
      </c>
      <c r="N4254" s="6" t="str">
        <f>IF($D4254="","",IFERROR(INDEX('Paramètres'!$Q:$Q,MATCH($D4254,'Paramètres'!$M:$M,0))&amp;"",""))</f>
        <v/>
      </c>
      <c r="O4254" s="6" t="str">
        <f>IF($A4254="","",IF(OR($J4254&lt;&gt;"x",$A4254&lt;=FinReleve),1,0))</f>
        <v/>
      </c>
      <c r="P4254" s="6" t="str">
        <f>IF($D4254="","",IF(AND($L4254="Crédit",OR(IFERROR(INDEX('Paramètres'!$O:$O,MATCH($D4254,'Paramètres'!$M:$M,0))&amp;"","")&lt;&gt;"",ISNUMBER(SEARCH("remboursement",IFERROR(INDEX('Paramètres'!$N:$N,MATCH($D4254,'Paramètres'!$M:$M,0))&amp;"",""))))),1,0))</f>
        <v/>
      </c>
      <c r="Q4254" s="6" t="str">
        <f>IF($K4254="","",IF(ISNUMBER(SEARCH("transfert-interne",IFERROR(INDEX('Paramètres'!$N:$N,MATCH($D4254,'Paramètres'!$M:$M,0))&amp;"",""))),0,IF($L4254="Débit",$K4254,IF($P4254=1,-$K4254,0))))</f>
        <v/>
      </c>
      <c r="R4254" s="6" t="str">
        <f>IF($K4254="","",IF($L4254="Crédit",$K4254,-$K4254))</f>
        <v/>
      </c>
      <c r="S4254" s="6" t="str">
        <f>IF($C4254="","",IFERROR(INDEX('Paramètres'!$H:$H,MATCH($C4254,'Paramètres'!$D:$D,0))&amp;"",""))</f>
        <v/>
      </c>
      <c r="T4254" s="6" t="str">
        <f>IF($K4254="","",IF($S4254="",0,IF(ISNUMBER(SEARCH("apport-exterieur",IFERROR(INDEX('Paramètres'!$N:$N,MATCH($D4254,'Paramètres'!$M:$M,0))&amp;"",""))),0,IF(OR(IFERROR(INDEX('Paramètres'!$I:$I,MATCH($C4254,'Paramètres'!$D:$D,0))&amp;"","")="Les deux",IFERROR(INDEX('Paramètres'!$I:$I,MATCH($C4254,'Paramètres'!$D:$D,0))&amp;"","")=IF($P4254=1,"Débit",$L4254)),-IF($P4254=1,-$K4254,$K4254),0))))</f>
        <v/>
      </c>
      <c r="U4254" s="6" t="str">
        <f>IF($K4254="","",IF(ISNUMBER(SEARCH("sortie-epargne",IFERROR(INDEX('Paramètres'!$N:$N,MATCH($D4254,'Paramètres'!$M:$M,0))&amp;"",""))),$K4254,0))</f>
        <v/>
      </c>
      <c r="V4254" s="6" t="str">
        <f>IF(AND($A4254&lt;&gt;"",$O4254=1,$L4254="Débit",N($Q4254)&gt;0,$A4254&gt;=Visualisation!$B$1,$A4254&lt;Visualisation!$D$1),MAX($V$1:V4253)+1,"")</f>
        <v/>
      </c>
    </row>
    <row r="4255" spans="1:22" x14ac:dyDescent="0.25">
      <c r="A4255" s="9"/>
      <c r="E4255" s="10"/>
      <c r="K4255" s="11" t="str">
        <f>IF($E4255="","",ROUND($E4255*IF(ISNA(MATCH($C4255,'Paramètres'!$D:$D,0)),1,IF(INDEX('Paramètres'!$J:$J,MATCH($C4255,'Paramètres'!$D:$D,0))="",1,INDEX('Paramètres'!$J:$J,MATCH($C4255,'Paramètres'!$D:$D,0)))),2))</f>
        <v/>
      </c>
      <c r="L4255" s="6" t="str">
        <f>IF($D4255="","",IF($F4255&lt;&gt;"",$F4255,IF(ISNA(MATCH($D4255,'Paramètres'!$M:$M,0)),"⚠ Type inconnu",IFERROR(INDEX('Paramètres'!$P:$P,MATCH($D4255,'Paramètres'!$M:$M,0))&amp;"",""))))</f>
        <v/>
      </c>
      <c r="M4255" s="6" t="str">
        <f>IF($D4255="","",IF(ISNA(MATCH($D4255,'Paramètres'!$M:$M,0)),"⚠ Type inconnu",IF($L4255="Crédit","",IFERROR(INDEX('Paramètres'!$O:$O,MATCH($D4255,'Paramètres'!$M:$M,0))&amp;"",""))))</f>
        <v/>
      </c>
      <c r="N4255" s="6" t="str">
        <f>IF($D4255="","",IFERROR(INDEX('Paramètres'!$Q:$Q,MATCH($D4255,'Paramètres'!$M:$M,0))&amp;"",""))</f>
        <v/>
      </c>
      <c r="O4255" s="6" t="str">
        <f>IF($A4255="","",IF(OR($J4255&lt;&gt;"x",$A4255&lt;=FinReleve),1,0))</f>
        <v/>
      </c>
      <c r="P4255" s="6" t="str">
        <f>IF($D4255="","",IF(AND($L4255="Crédit",OR(IFERROR(INDEX('Paramètres'!$O:$O,MATCH($D4255,'Paramètres'!$M:$M,0))&amp;"","")&lt;&gt;"",ISNUMBER(SEARCH("remboursement",IFERROR(INDEX('Paramètres'!$N:$N,MATCH($D4255,'Paramètres'!$M:$M,0))&amp;"",""))))),1,0))</f>
        <v/>
      </c>
      <c r="Q4255" s="6" t="str">
        <f>IF($K4255="","",IF(ISNUMBER(SEARCH("transfert-interne",IFERROR(INDEX('Paramètres'!$N:$N,MATCH($D4255,'Paramètres'!$M:$M,0))&amp;"",""))),0,IF($L4255="Débit",$K4255,IF($P4255=1,-$K4255,0))))</f>
        <v/>
      </c>
      <c r="R4255" s="6" t="str">
        <f>IF($K4255="","",IF($L4255="Crédit",$K4255,-$K4255))</f>
        <v/>
      </c>
      <c r="S4255" s="6" t="str">
        <f>IF($C4255="","",IFERROR(INDEX('Paramètres'!$H:$H,MATCH($C4255,'Paramètres'!$D:$D,0))&amp;"",""))</f>
        <v/>
      </c>
      <c r="T4255" s="6" t="str">
        <f>IF($K4255="","",IF($S4255="",0,IF(ISNUMBER(SEARCH("apport-exterieur",IFERROR(INDEX('Paramètres'!$N:$N,MATCH($D4255,'Paramètres'!$M:$M,0))&amp;"",""))),0,IF(OR(IFERROR(INDEX('Paramètres'!$I:$I,MATCH($C4255,'Paramètres'!$D:$D,0))&amp;"","")="Les deux",IFERROR(INDEX('Paramètres'!$I:$I,MATCH($C4255,'Paramètres'!$D:$D,0))&amp;"","")=IF($P4255=1,"Débit",$L4255)),-IF($P4255=1,-$K4255,$K4255),0))))</f>
        <v/>
      </c>
      <c r="U4255" s="6" t="str">
        <f>IF($K4255="","",IF(ISNUMBER(SEARCH("sortie-epargne",IFERROR(INDEX('Paramètres'!$N:$N,MATCH($D4255,'Paramètres'!$M:$M,0))&amp;"",""))),$K4255,0))</f>
        <v/>
      </c>
      <c r="V4255" s="6" t="str">
        <f>IF(AND($A4255&lt;&gt;"",$O4255=1,$L4255="Débit",N($Q4255)&gt;0,$A4255&gt;=Visualisation!$B$1,$A4255&lt;Visualisation!$D$1),MAX($V$1:V4254)+1,"")</f>
        <v/>
      </c>
    </row>
    <row r="4256" spans="1:22" x14ac:dyDescent="0.25">
      <c r="A4256" s="9"/>
      <c r="E4256" s="10"/>
      <c r="K4256" s="11" t="str">
        <f>IF($E4256="","",ROUND($E4256*IF(ISNA(MATCH($C4256,'Paramètres'!$D:$D,0)),1,IF(INDEX('Paramètres'!$J:$J,MATCH($C4256,'Paramètres'!$D:$D,0))="",1,INDEX('Paramètres'!$J:$J,MATCH($C4256,'Paramètres'!$D:$D,0)))),2))</f>
        <v/>
      </c>
      <c r="L4256" s="6" t="str">
        <f>IF($D4256="","",IF($F4256&lt;&gt;"",$F4256,IF(ISNA(MATCH($D4256,'Paramètres'!$M:$M,0)),"⚠ Type inconnu",IFERROR(INDEX('Paramètres'!$P:$P,MATCH($D4256,'Paramètres'!$M:$M,0))&amp;"",""))))</f>
        <v/>
      </c>
      <c r="M4256" s="6" t="str">
        <f>IF($D4256="","",IF(ISNA(MATCH($D4256,'Paramètres'!$M:$M,0)),"⚠ Type inconnu",IF($L4256="Crédit","",IFERROR(INDEX('Paramètres'!$O:$O,MATCH($D4256,'Paramètres'!$M:$M,0))&amp;"",""))))</f>
        <v/>
      </c>
      <c r="N4256" s="6" t="str">
        <f>IF($D4256="","",IFERROR(INDEX('Paramètres'!$Q:$Q,MATCH($D4256,'Paramètres'!$M:$M,0))&amp;"",""))</f>
        <v/>
      </c>
      <c r="O4256" s="6" t="str">
        <f>IF($A4256="","",IF(OR($J4256&lt;&gt;"x",$A4256&lt;=FinReleve),1,0))</f>
        <v/>
      </c>
      <c r="P4256" s="6" t="str">
        <f>IF($D4256="","",IF(AND($L4256="Crédit",OR(IFERROR(INDEX('Paramètres'!$O:$O,MATCH($D4256,'Paramètres'!$M:$M,0))&amp;"","")&lt;&gt;"",ISNUMBER(SEARCH("remboursement",IFERROR(INDEX('Paramètres'!$N:$N,MATCH($D4256,'Paramètres'!$M:$M,0))&amp;"",""))))),1,0))</f>
        <v/>
      </c>
      <c r="Q4256" s="6" t="str">
        <f>IF($K4256="","",IF(ISNUMBER(SEARCH("transfert-interne",IFERROR(INDEX('Paramètres'!$N:$N,MATCH($D4256,'Paramètres'!$M:$M,0))&amp;"",""))),0,IF($L4256="Débit",$K4256,IF($P4256=1,-$K4256,0))))</f>
        <v/>
      </c>
      <c r="R4256" s="6" t="str">
        <f>IF($K4256="","",IF($L4256="Crédit",$K4256,-$K4256))</f>
        <v/>
      </c>
      <c r="S4256" s="6" t="str">
        <f>IF($C4256="","",IFERROR(INDEX('Paramètres'!$H:$H,MATCH($C4256,'Paramètres'!$D:$D,0))&amp;"",""))</f>
        <v/>
      </c>
      <c r="T4256" s="6" t="str">
        <f>IF($K4256="","",IF($S4256="",0,IF(ISNUMBER(SEARCH("apport-exterieur",IFERROR(INDEX('Paramètres'!$N:$N,MATCH($D4256,'Paramètres'!$M:$M,0))&amp;"",""))),0,IF(OR(IFERROR(INDEX('Paramètres'!$I:$I,MATCH($C4256,'Paramètres'!$D:$D,0))&amp;"","")="Les deux",IFERROR(INDEX('Paramètres'!$I:$I,MATCH($C4256,'Paramètres'!$D:$D,0))&amp;"","")=IF($P4256=1,"Débit",$L4256)),-IF($P4256=1,-$K4256,$K4256),0))))</f>
        <v/>
      </c>
      <c r="U4256" s="6" t="str">
        <f>IF($K4256="","",IF(ISNUMBER(SEARCH("sortie-epargne",IFERROR(INDEX('Paramètres'!$N:$N,MATCH($D4256,'Paramètres'!$M:$M,0))&amp;"",""))),$K4256,0))</f>
        <v/>
      </c>
      <c r="V4256" s="6" t="str">
        <f>IF(AND($A4256&lt;&gt;"",$O4256=1,$L4256="Débit",N($Q4256)&gt;0,$A4256&gt;=Visualisation!$B$1,$A4256&lt;Visualisation!$D$1),MAX($V$1:V4255)+1,"")</f>
        <v/>
      </c>
    </row>
    <row r="4257" spans="1:22" x14ac:dyDescent="0.25">
      <c r="A4257" s="9"/>
      <c r="E4257" s="10"/>
      <c r="K4257" s="11" t="str">
        <f>IF($E4257="","",ROUND($E4257*IF(ISNA(MATCH($C4257,'Paramètres'!$D:$D,0)),1,IF(INDEX('Paramètres'!$J:$J,MATCH($C4257,'Paramètres'!$D:$D,0))="",1,INDEX('Paramètres'!$J:$J,MATCH($C4257,'Paramètres'!$D:$D,0)))),2))</f>
        <v/>
      </c>
      <c r="L4257" s="6" t="str">
        <f>IF($D4257="","",IF($F4257&lt;&gt;"",$F4257,IF(ISNA(MATCH($D4257,'Paramètres'!$M:$M,0)),"⚠ Type inconnu",IFERROR(INDEX('Paramètres'!$P:$P,MATCH($D4257,'Paramètres'!$M:$M,0))&amp;"",""))))</f>
        <v/>
      </c>
      <c r="M4257" s="6" t="str">
        <f>IF($D4257="","",IF(ISNA(MATCH($D4257,'Paramètres'!$M:$M,0)),"⚠ Type inconnu",IF($L4257="Crédit","",IFERROR(INDEX('Paramètres'!$O:$O,MATCH($D4257,'Paramètres'!$M:$M,0))&amp;"",""))))</f>
        <v/>
      </c>
      <c r="N4257" s="6" t="str">
        <f>IF($D4257="","",IFERROR(INDEX('Paramètres'!$Q:$Q,MATCH($D4257,'Paramètres'!$M:$M,0))&amp;"",""))</f>
        <v/>
      </c>
      <c r="O4257" s="6" t="str">
        <f>IF($A4257="","",IF(OR($J4257&lt;&gt;"x",$A4257&lt;=FinReleve),1,0))</f>
        <v/>
      </c>
      <c r="P4257" s="6" t="str">
        <f>IF($D4257="","",IF(AND($L4257="Crédit",OR(IFERROR(INDEX('Paramètres'!$O:$O,MATCH($D4257,'Paramètres'!$M:$M,0))&amp;"","")&lt;&gt;"",ISNUMBER(SEARCH("remboursement",IFERROR(INDEX('Paramètres'!$N:$N,MATCH($D4257,'Paramètres'!$M:$M,0))&amp;"",""))))),1,0))</f>
        <v/>
      </c>
      <c r="Q4257" s="6" t="str">
        <f>IF($K4257="","",IF(ISNUMBER(SEARCH("transfert-interne",IFERROR(INDEX('Paramètres'!$N:$N,MATCH($D4257,'Paramètres'!$M:$M,0))&amp;"",""))),0,IF($L4257="Débit",$K4257,IF($P4257=1,-$K4257,0))))</f>
        <v/>
      </c>
      <c r="R4257" s="6" t="str">
        <f>IF($K4257="","",IF($L4257="Crédit",$K4257,-$K4257))</f>
        <v/>
      </c>
      <c r="S4257" s="6" t="str">
        <f>IF($C4257="","",IFERROR(INDEX('Paramètres'!$H:$H,MATCH($C4257,'Paramètres'!$D:$D,0))&amp;"",""))</f>
        <v/>
      </c>
      <c r="T4257" s="6" t="str">
        <f>IF($K4257="","",IF($S4257="",0,IF(ISNUMBER(SEARCH("apport-exterieur",IFERROR(INDEX('Paramètres'!$N:$N,MATCH($D4257,'Paramètres'!$M:$M,0))&amp;"",""))),0,IF(OR(IFERROR(INDEX('Paramètres'!$I:$I,MATCH($C4257,'Paramètres'!$D:$D,0))&amp;"","")="Les deux",IFERROR(INDEX('Paramètres'!$I:$I,MATCH($C4257,'Paramètres'!$D:$D,0))&amp;"","")=IF($P4257=1,"Débit",$L4257)),-IF($P4257=1,-$K4257,$K4257),0))))</f>
        <v/>
      </c>
      <c r="U4257" s="6" t="str">
        <f>IF($K4257="","",IF(ISNUMBER(SEARCH("sortie-epargne",IFERROR(INDEX('Paramètres'!$N:$N,MATCH($D4257,'Paramètres'!$M:$M,0))&amp;"",""))),$K4257,0))</f>
        <v/>
      </c>
      <c r="V4257" s="6" t="str">
        <f>IF(AND($A4257&lt;&gt;"",$O4257=1,$L4257="Débit",N($Q4257)&gt;0,$A4257&gt;=Visualisation!$B$1,$A4257&lt;Visualisation!$D$1),MAX($V$1:V4256)+1,"")</f>
        <v/>
      </c>
    </row>
    <row r="4258" spans="1:22" x14ac:dyDescent="0.25">
      <c r="A4258" s="9"/>
      <c r="E4258" s="10"/>
      <c r="K4258" s="11" t="str">
        <f>IF($E4258="","",ROUND($E4258*IF(ISNA(MATCH($C4258,'Paramètres'!$D:$D,0)),1,IF(INDEX('Paramètres'!$J:$J,MATCH($C4258,'Paramètres'!$D:$D,0))="",1,INDEX('Paramètres'!$J:$J,MATCH($C4258,'Paramètres'!$D:$D,0)))),2))</f>
        <v/>
      </c>
      <c r="L4258" s="6" t="str">
        <f>IF($D4258="","",IF($F4258&lt;&gt;"",$F4258,IF(ISNA(MATCH($D4258,'Paramètres'!$M:$M,0)),"⚠ Type inconnu",IFERROR(INDEX('Paramètres'!$P:$P,MATCH($D4258,'Paramètres'!$M:$M,0))&amp;"",""))))</f>
        <v/>
      </c>
      <c r="M4258" s="6" t="str">
        <f>IF($D4258="","",IF(ISNA(MATCH($D4258,'Paramètres'!$M:$M,0)),"⚠ Type inconnu",IF($L4258="Crédit","",IFERROR(INDEX('Paramètres'!$O:$O,MATCH($D4258,'Paramètres'!$M:$M,0))&amp;"",""))))</f>
        <v/>
      </c>
      <c r="N4258" s="6" t="str">
        <f>IF($D4258="","",IFERROR(INDEX('Paramètres'!$Q:$Q,MATCH($D4258,'Paramètres'!$M:$M,0))&amp;"",""))</f>
        <v/>
      </c>
      <c r="O4258" s="6" t="str">
        <f>IF($A4258="","",IF(OR($J4258&lt;&gt;"x",$A4258&lt;=FinReleve),1,0))</f>
        <v/>
      </c>
      <c r="P4258" s="6" t="str">
        <f>IF($D4258="","",IF(AND($L4258="Crédit",OR(IFERROR(INDEX('Paramètres'!$O:$O,MATCH($D4258,'Paramètres'!$M:$M,0))&amp;"","")&lt;&gt;"",ISNUMBER(SEARCH("remboursement",IFERROR(INDEX('Paramètres'!$N:$N,MATCH($D4258,'Paramètres'!$M:$M,0))&amp;"",""))))),1,0))</f>
        <v/>
      </c>
      <c r="Q4258" s="6" t="str">
        <f>IF($K4258="","",IF(ISNUMBER(SEARCH("transfert-interne",IFERROR(INDEX('Paramètres'!$N:$N,MATCH($D4258,'Paramètres'!$M:$M,0))&amp;"",""))),0,IF($L4258="Débit",$K4258,IF($P4258=1,-$K4258,0))))</f>
        <v/>
      </c>
      <c r="R4258" s="6" t="str">
        <f>IF($K4258="","",IF($L4258="Crédit",$K4258,-$K4258))</f>
        <v/>
      </c>
      <c r="S4258" s="6" t="str">
        <f>IF($C4258="","",IFERROR(INDEX('Paramètres'!$H:$H,MATCH($C4258,'Paramètres'!$D:$D,0))&amp;"",""))</f>
        <v/>
      </c>
      <c r="T4258" s="6" t="str">
        <f>IF($K4258="","",IF($S4258="",0,IF(ISNUMBER(SEARCH("apport-exterieur",IFERROR(INDEX('Paramètres'!$N:$N,MATCH($D4258,'Paramètres'!$M:$M,0))&amp;"",""))),0,IF(OR(IFERROR(INDEX('Paramètres'!$I:$I,MATCH($C4258,'Paramètres'!$D:$D,0))&amp;"","")="Les deux",IFERROR(INDEX('Paramètres'!$I:$I,MATCH($C4258,'Paramètres'!$D:$D,0))&amp;"","")=IF($P4258=1,"Débit",$L4258)),-IF($P4258=1,-$K4258,$K4258),0))))</f>
        <v/>
      </c>
      <c r="U4258" s="6" t="str">
        <f>IF($K4258="","",IF(ISNUMBER(SEARCH("sortie-epargne",IFERROR(INDEX('Paramètres'!$N:$N,MATCH($D4258,'Paramètres'!$M:$M,0))&amp;"",""))),$K4258,0))</f>
        <v/>
      </c>
      <c r="V4258" s="6" t="str">
        <f>IF(AND($A4258&lt;&gt;"",$O4258=1,$L4258="Débit",N($Q4258)&gt;0,$A4258&gt;=Visualisation!$B$1,$A4258&lt;Visualisation!$D$1),MAX($V$1:V4257)+1,"")</f>
        <v/>
      </c>
    </row>
    <row r="4259" spans="1:22" x14ac:dyDescent="0.25">
      <c r="A4259" s="9"/>
      <c r="E4259" s="10"/>
      <c r="K4259" s="11" t="str">
        <f>IF($E4259="","",ROUND($E4259*IF(ISNA(MATCH($C4259,'Paramètres'!$D:$D,0)),1,IF(INDEX('Paramètres'!$J:$J,MATCH($C4259,'Paramètres'!$D:$D,0))="",1,INDEX('Paramètres'!$J:$J,MATCH($C4259,'Paramètres'!$D:$D,0)))),2))</f>
        <v/>
      </c>
      <c r="L4259" s="6" t="str">
        <f>IF($D4259="","",IF($F4259&lt;&gt;"",$F4259,IF(ISNA(MATCH($D4259,'Paramètres'!$M:$M,0)),"⚠ Type inconnu",IFERROR(INDEX('Paramètres'!$P:$P,MATCH($D4259,'Paramètres'!$M:$M,0))&amp;"",""))))</f>
        <v/>
      </c>
      <c r="M4259" s="6" t="str">
        <f>IF($D4259="","",IF(ISNA(MATCH($D4259,'Paramètres'!$M:$M,0)),"⚠ Type inconnu",IF($L4259="Crédit","",IFERROR(INDEX('Paramètres'!$O:$O,MATCH($D4259,'Paramètres'!$M:$M,0))&amp;"",""))))</f>
        <v/>
      </c>
      <c r="N4259" s="6" t="str">
        <f>IF($D4259="","",IFERROR(INDEX('Paramètres'!$Q:$Q,MATCH($D4259,'Paramètres'!$M:$M,0))&amp;"",""))</f>
        <v/>
      </c>
      <c r="O4259" s="6" t="str">
        <f>IF($A4259="","",IF(OR($J4259&lt;&gt;"x",$A4259&lt;=FinReleve),1,0))</f>
        <v/>
      </c>
      <c r="P4259" s="6" t="str">
        <f>IF($D4259="","",IF(AND($L4259="Crédit",OR(IFERROR(INDEX('Paramètres'!$O:$O,MATCH($D4259,'Paramètres'!$M:$M,0))&amp;"","")&lt;&gt;"",ISNUMBER(SEARCH("remboursement",IFERROR(INDEX('Paramètres'!$N:$N,MATCH($D4259,'Paramètres'!$M:$M,0))&amp;"",""))))),1,0))</f>
        <v/>
      </c>
      <c r="Q4259" s="6" t="str">
        <f>IF($K4259="","",IF(ISNUMBER(SEARCH("transfert-interne",IFERROR(INDEX('Paramètres'!$N:$N,MATCH($D4259,'Paramètres'!$M:$M,0))&amp;"",""))),0,IF($L4259="Débit",$K4259,IF($P4259=1,-$K4259,0))))</f>
        <v/>
      </c>
      <c r="R4259" s="6" t="str">
        <f>IF($K4259="","",IF($L4259="Crédit",$K4259,-$K4259))</f>
        <v/>
      </c>
      <c r="S4259" s="6" t="str">
        <f>IF($C4259="","",IFERROR(INDEX('Paramètres'!$H:$H,MATCH($C4259,'Paramètres'!$D:$D,0))&amp;"",""))</f>
        <v/>
      </c>
      <c r="T4259" s="6" t="str">
        <f>IF($K4259="","",IF($S4259="",0,IF(ISNUMBER(SEARCH("apport-exterieur",IFERROR(INDEX('Paramètres'!$N:$N,MATCH($D4259,'Paramètres'!$M:$M,0))&amp;"",""))),0,IF(OR(IFERROR(INDEX('Paramètres'!$I:$I,MATCH($C4259,'Paramètres'!$D:$D,0))&amp;"","")="Les deux",IFERROR(INDEX('Paramètres'!$I:$I,MATCH($C4259,'Paramètres'!$D:$D,0))&amp;"","")=IF($P4259=1,"Débit",$L4259)),-IF($P4259=1,-$K4259,$K4259),0))))</f>
        <v/>
      </c>
      <c r="U4259" s="6" t="str">
        <f>IF($K4259="","",IF(ISNUMBER(SEARCH("sortie-epargne",IFERROR(INDEX('Paramètres'!$N:$N,MATCH($D4259,'Paramètres'!$M:$M,0))&amp;"",""))),$K4259,0))</f>
        <v/>
      </c>
      <c r="V4259" s="6" t="str">
        <f>IF(AND($A4259&lt;&gt;"",$O4259=1,$L4259="Débit",N($Q4259)&gt;0,$A4259&gt;=Visualisation!$B$1,$A4259&lt;Visualisation!$D$1),MAX($V$1:V4258)+1,"")</f>
        <v/>
      </c>
    </row>
    <row r="4260" spans="1:22" x14ac:dyDescent="0.25">
      <c r="A4260" s="9"/>
      <c r="E4260" s="10"/>
      <c r="K4260" s="11" t="str">
        <f>IF($E4260="","",ROUND($E4260*IF(ISNA(MATCH($C4260,'Paramètres'!$D:$D,0)),1,IF(INDEX('Paramètres'!$J:$J,MATCH($C4260,'Paramètres'!$D:$D,0))="",1,INDEX('Paramètres'!$J:$J,MATCH($C4260,'Paramètres'!$D:$D,0)))),2))</f>
        <v/>
      </c>
      <c r="L4260" s="6" t="str">
        <f>IF($D4260="","",IF($F4260&lt;&gt;"",$F4260,IF(ISNA(MATCH($D4260,'Paramètres'!$M:$M,0)),"⚠ Type inconnu",IFERROR(INDEX('Paramètres'!$P:$P,MATCH($D4260,'Paramètres'!$M:$M,0))&amp;"",""))))</f>
        <v/>
      </c>
      <c r="M4260" s="6" t="str">
        <f>IF($D4260="","",IF(ISNA(MATCH($D4260,'Paramètres'!$M:$M,0)),"⚠ Type inconnu",IF($L4260="Crédit","",IFERROR(INDEX('Paramètres'!$O:$O,MATCH($D4260,'Paramètres'!$M:$M,0))&amp;"",""))))</f>
        <v/>
      </c>
      <c r="N4260" s="6" t="str">
        <f>IF($D4260="","",IFERROR(INDEX('Paramètres'!$Q:$Q,MATCH($D4260,'Paramètres'!$M:$M,0))&amp;"",""))</f>
        <v/>
      </c>
      <c r="O4260" s="6" t="str">
        <f>IF($A4260="","",IF(OR($J4260&lt;&gt;"x",$A4260&lt;=FinReleve),1,0))</f>
        <v/>
      </c>
      <c r="P4260" s="6" t="str">
        <f>IF($D4260="","",IF(AND($L4260="Crédit",OR(IFERROR(INDEX('Paramètres'!$O:$O,MATCH($D4260,'Paramètres'!$M:$M,0))&amp;"","")&lt;&gt;"",ISNUMBER(SEARCH("remboursement",IFERROR(INDEX('Paramètres'!$N:$N,MATCH($D4260,'Paramètres'!$M:$M,0))&amp;"",""))))),1,0))</f>
        <v/>
      </c>
      <c r="Q4260" s="6" t="str">
        <f>IF($K4260="","",IF(ISNUMBER(SEARCH("transfert-interne",IFERROR(INDEX('Paramètres'!$N:$N,MATCH($D4260,'Paramètres'!$M:$M,0))&amp;"",""))),0,IF($L4260="Débit",$K4260,IF($P4260=1,-$K4260,0))))</f>
        <v/>
      </c>
      <c r="R4260" s="6" t="str">
        <f>IF($K4260="","",IF($L4260="Crédit",$K4260,-$K4260))</f>
        <v/>
      </c>
      <c r="S4260" s="6" t="str">
        <f>IF($C4260="","",IFERROR(INDEX('Paramètres'!$H:$H,MATCH($C4260,'Paramètres'!$D:$D,0))&amp;"",""))</f>
        <v/>
      </c>
      <c r="T4260" s="6" t="str">
        <f>IF($K4260="","",IF($S4260="",0,IF(ISNUMBER(SEARCH("apport-exterieur",IFERROR(INDEX('Paramètres'!$N:$N,MATCH($D4260,'Paramètres'!$M:$M,0))&amp;"",""))),0,IF(OR(IFERROR(INDEX('Paramètres'!$I:$I,MATCH($C4260,'Paramètres'!$D:$D,0))&amp;"","")="Les deux",IFERROR(INDEX('Paramètres'!$I:$I,MATCH($C4260,'Paramètres'!$D:$D,0))&amp;"","")=IF($P4260=1,"Débit",$L4260)),-IF($P4260=1,-$K4260,$K4260),0))))</f>
        <v/>
      </c>
      <c r="U4260" s="6" t="str">
        <f>IF($K4260="","",IF(ISNUMBER(SEARCH("sortie-epargne",IFERROR(INDEX('Paramètres'!$N:$N,MATCH($D4260,'Paramètres'!$M:$M,0))&amp;"",""))),$K4260,0))</f>
        <v/>
      </c>
      <c r="V4260" s="6" t="str">
        <f>IF(AND($A4260&lt;&gt;"",$O4260=1,$L4260="Débit",N($Q4260)&gt;0,$A4260&gt;=Visualisation!$B$1,$A4260&lt;Visualisation!$D$1),MAX($V$1:V4259)+1,"")</f>
        <v/>
      </c>
    </row>
    <row r="4261" spans="1:22" x14ac:dyDescent="0.25">
      <c r="A4261" s="9"/>
      <c r="E4261" s="10"/>
      <c r="K4261" s="11" t="str">
        <f>IF($E4261="","",ROUND($E4261*IF(ISNA(MATCH($C4261,'Paramètres'!$D:$D,0)),1,IF(INDEX('Paramètres'!$J:$J,MATCH($C4261,'Paramètres'!$D:$D,0))="",1,INDEX('Paramètres'!$J:$J,MATCH($C4261,'Paramètres'!$D:$D,0)))),2))</f>
        <v/>
      </c>
      <c r="L4261" s="6" t="str">
        <f>IF($D4261="","",IF($F4261&lt;&gt;"",$F4261,IF(ISNA(MATCH($D4261,'Paramètres'!$M:$M,0)),"⚠ Type inconnu",IFERROR(INDEX('Paramètres'!$P:$P,MATCH($D4261,'Paramètres'!$M:$M,0))&amp;"",""))))</f>
        <v/>
      </c>
      <c r="M4261" s="6" t="str">
        <f>IF($D4261="","",IF(ISNA(MATCH($D4261,'Paramètres'!$M:$M,0)),"⚠ Type inconnu",IF($L4261="Crédit","",IFERROR(INDEX('Paramètres'!$O:$O,MATCH($D4261,'Paramètres'!$M:$M,0))&amp;"",""))))</f>
        <v/>
      </c>
      <c r="N4261" s="6" t="str">
        <f>IF($D4261="","",IFERROR(INDEX('Paramètres'!$Q:$Q,MATCH($D4261,'Paramètres'!$M:$M,0))&amp;"",""))</f>
        <v/>
      </c>
      <c r="O4261" s="6" t="str">
        <f>IF($A4261="","",IF(OR($J4261&lt;&gt;"x",$A4261&lt;=FinReleve),1,0))</f>
        <v/>
      </c>
      <c r="P4261" s="6" t="str">
        <f>IF($D4261="","",IF(AND($L4261="Crédit",OR(IFERROR(INDEX('Paramètres'!$O:$O,MATCH($D4261,'Paramètres'!$M:$M,0))&amp;"","")&lt;&gt;"",ISNUMBER(SEARCH("remboursement",IFERROR(INDEX('Paramètres'!$N:$N,MATCH($D4261,'Paramètres'!$M:$M,0))&amp;"",""))))),1,0))</f>
        <v/>
      </c>
      <c r="Q4261" s="6" t="str">
        <f>IF($K4261="","",IF(ISNUMBER(SEARCH("transfert-interne",IFERROR(INDEX('Paramètres'!$N:$N,MATCH($D4261,'Paramètres'!$M:$M,0))&amp;"",""))),0,IF($L4261="Débit",$K4261,IF($P4261=1,-$K4261,0))))</f>
        <v/>
      </c>
      <c r="R4261" s="6" t="str">
        <f>IF($K4261="","",IF($L4261="Crédit",$K4261,-$K4261))</f>
        <v/>
      </c>
      <c r="S4261" s="6" t="str">
        <f>IF($C4261="","",IFERROR(INDEX('Paramètres'!$H:$H,MATCH($C4261,'Paramètres'!$D:$D,0))&amp;"",""))</f>
        <v/>
      </c>
      <c r="T4261" s="6" t="str">
        <f>IF($K4261="","",IF($S4261="",0,IF(ISNUMBER(SEARCH("apport-exterieur",IFERROR(INDEX('Paramètres'!$N:$N,MATCH($D4261,'Paramètres'!$M:$M,0))&amp;"",""))),0,IF(OR(IFERROR(INDEX('Paramètres'!$I:$I,MATCH($C4261,'Paramètres'!$D:$D,0))&amp;"","")="Les deux",IFERROR(INDEX('Paramètres'!$I:$I,MATCH($C4261,'Paramètres'!$D:$D,0))&amp;"","")=IF($P4261=1,"Débit",$L4261)),-IF($P4261=1,-$K4261,$K4261),0))))</f>
        <v/>
      </c>
      <c r="U4261" s="6" t="str">
        <f>IF($K4261="","",IF(ISNUMBER(SEARCH("sortie-epargne",IFERROR(INDEX('Paramètres'!$N:$N,MATCH($D4261,'Paramètres'!$M:$M,0))&amp;"",""))),$K4261,0))</f>
        <v/>
      </c>
      <c r="V4261" s="6" t="str">
        <f>IF(AND($A4261&lt;&gt;"",$O4261=1,$L4261="Débit",N($Q4261)&gt;0,$A4261&gt;=Visualisation!$B$1,$A4261&lt;Visualisation!$D$1),MAX($V$1:V4260)+1,"")</f>
        <v/>
      </c>
    </row>
    <row r="4262" spans="1:22" x14ac:dyDescent="0.25">
      <c r="A4262" s="9"/>
      <c r="E4262" s="10"/>
      <c r="K4262" s="11" t="str">
        <f>IF($E4262="","",ROUND($E4262*IF(ISNA(MATCH($C4262,'Paramètres'!$D:$D,0)),1,IF(INDEX('Paramètres'!$J:$J,MATCH($C4262,'Paramètres'!$D:$D,0))="",1,INDEX('Paramètres'!$J:$J,MATCH($C4262,'Paramètres'!$D:$D,0)))),2))</f>
        <v/>
      </c>
      <c r="L4262" s="6" t="str">
        <f>IF($D4262="","",IF($F4262&lt;&gt;"",$F4262,IF(ISNA(MATCH($D4262,'Paramètres'!$M:$M,0)),"⚠ Type inconnu",IFERROR(INDEX('Paramètres'!$P:$P,MATCH($D4262,'Paramètres'!$M:$M,0))&amp;"",""))))</f>
        <v/>
      </c>
      <c r="M4262" s="6" t="str">
        <f>IF($D4262="","",IF(ISNA(MATCH($D4262,'Paramètres'!$M:$M,0)),"⚠ Type inconnu",IF($L4262="Crédit","",IFERROR(INDEX('Paramètres'!$O:$O,MATCH($D4262,'Paramètres'!$M:$M,0))&amp;"",""))))</f>
        <v/>
      </c>
      <c r="N4262" s="6" t="str">
        <f>IF($D4262="","",IFERROR(INDEX('Paramètres'!$Q:$Q,MATCH($D4262,'Paramètres'!$M:$M,0))&amp;"",""))</f>
        <v/>
      </c>
      <c r="O4262" s="6" t="str">
        <f>IF($A4262="","",IF(OR($J4262&lt;&gt;"x",$A4262&lt;=FinReleve),1,0))</f>
        <v/>
      </c>
      <c r="P4262" s="6" t="str">
        <f>IF($D4262="","",IF(AND($L4262="Crédit",OR(IFERROR(INDEX('Paramètres'!$O:$O,MATCH($D4262,'Paramètres'!$M:$M,0))&amp;"","")&lt;&gt;"",ISNUMBER(SEARCH("remboursement",IFERROR(INDEX('Paramètres'!$N:$N,MATCH($D4262,'Paramètres'!$M:$M,0))&amp;"",""))))),1,0))</f>
        <v/>
      </c>
      <c r="Q4262" s="6" t="str">
        <f>IF($K4262="","",IF(ISNUMBER(SEARCH("transfert-interne",IFERROR(INDEX('Paramètres'!$N:$N,MATCH($D4262,'Paramètres'!$M:$M,0))&amp;"",""))),0,IF($L4262="Débit",$K4262,IF($P4262=1,-$K4262,0))))</f>
        <v/>
      </c>
      <c r="R4262" s="6" t="str">
        <f>IF($K4262="","",IF($L4262="Crédit",$K4262,-$K4262))</f>
        <v/>
      </c>
      <c r="S4262" s="6" t="str">
        <f>IF($C4262="","",IFERROR(INDEX('Paramètres'!$H:$H,MATCH($C4262,'Paramètres'!$D:$D,0))&amp;"",""))</f>
        <v/>
      </c>
      <c r="T4262" s="6" t="str">
        <f>IF($K4262="","",IF($S4262="",0,IF(ISNUMBER(SEARCH("apport-exterieur",IFERROR(INDEX('Paramètres'!$N:$N,MATCH($D4262,'Paramètres'!$M:$M,0))&amp;"",""))),0,IF(OR(IFERROR(INDEX('Paramètres'!$I:$I,MATCH($C4262,'Paramètres'!$D:$D,0))&amp;"","")="Les deux",IFERROR(INDEX('Paramètres'!$I:$I,MATCH($C4262,'Paramètres'!$D:$D,0))&amp;"","")=IF($P4262=1,"Débit",$L4262)),-IF($P4262=1,-$K4262,$K4262),0))))</f>
        <v/>
      </c>
      <c r="U4262" s="6" t="str">
        <f>IF($K4262="","",IF(ISNUMBER(SEARCH("sortie-epargne",IFERROR(INDEX('Paramètres'!$N:$N,MATCH($D4262,'Paramètres'!$M:$M,0))&amp;"",""))),$K4262,0))</f>
        <v/>
      </c>
      <c r="V4262" s="6" t="str">
        <f>IF(AND($A4262&lt;&gt;"",$O4262=1,$L4262="Débit",N($Q4262)&gt;0,$A4262&gt;=Visualisation!$B$1,$A4262&lt;Visualisation!$D$1),MAX($V$1:V4261)+1,"")</f>
        <v/>
      </c>
    </row>
    <row r="4263" spans="1:22" x14ac:dyDescent="0.25">
      <c r="A4263" s="9"/>
      <c r="E4263" s="10"/>
      <c r="K4263" s="11" t="str">
        <f>IF($E4263="","",ROUND($E4263*IF(ISNA(MATCH($C4263,'Paramètres'!$D:$D,0)),1,IF(INDEX('Paramètres'!$J:$J,MATCH($C4263,'Paramètres'!$D:$D,0))="",1,INDEX('Paramètres'!$J:$J,MATCH($C4263,'Paramètres'!$D:$D,0)))),2))</f>
        <v/>
      </c>
      <c r="L4263" s="6" t="str">
        <f>IF($D4263="","",IF($F4263&lt;&gt;"",$F4263,IF(ISNA(MATCH($D4263,'Paramètres'!$M:$M,0)),"⚠ Type inconnu",IFERROR(INDEX('Paramètres'!$P:$P,MATCH($D4263,'Paramètres'!$M:$M,0))&amp;"",""))))</f>
        <v/>
      </c>
      <c r="M4263" s="6" t="str">
        <f>IF($D4263="","",IF(ISNA(MATCH($D4263,'Paramètres'!$M:$M,0)),"⚠ Type inconnu",IF($L4263="Crédit","",IFERROR(INDEX('Paramètres'!$O:$O,MATCH($D4263,'Paramètres'!$M:$M,0))&amp;"",""))))</f>
        <v/>
      </c>
      <c r="N4263" s="6" t="str">
        <f>IF($D4263="","",IFERROR(INDEX('Paramètres'!$Q:$Q,MATCH($D4263,'Paramètres'!$M:$M,0))&amp;"",""))</f>
        <v/>
      </c>
      <c r="O4263" s="6" t="str">
        <f>IF($A4263="","",IF(OR($J4263&lt;&gt;"x",$A4263&lt;=FinReleve),1,0))</f>
        <v/>
      </c>
      <c r="P4263" s="6" t="str">
        <f>IF($D4263="","",IF(AND($L4263="Crédit",OR(IFERROR(INDEX('Paramètres'!$O:$O,MATCH($D4263,'Paramètres'!$M:$M,0))&amp;"","")&lt;&gt;"",ISNUMBER(SEARCH("remboursement",IFERROR(INDEX('Paramètres'!$N:$N,MATCH($D4263,'Paramètres'!$M:$M,0))&amp;"",""))))),1,0))</f>
        <v/>
      </c>
      <c r="Q4263" s="6" t="str">
        <f>IF($K4263="","",IF(ISNUMBER(SEARCH("transfert-interne",IFERROR(INDEX('Paramètres'!$N:$N,MATCH($D4263,'Paramètres'!$M:$M,0))&amp;"",""))),0,IF($L4263="Débit",$K4263,IF($P4263=1,-$K4263,0))))</f>
        <v/>
      </c>
      <c r="R4263" s="6" t="str">
        <f>IF($K4263="","",IF($L4263="Crédit",$K4263,-$K4263))</f>
        <v/>
      </c>
      <c r="S4263" s="6" t="str">
        <f>IF($C4263="","",IFERROR(INDEX('Paramètres'!$H:$H,MATCH($C4263,'Paramètres'!$D:$D,0))&amp;"",""))</f>
        <v/>
      </c>
      <c r="T4263" s="6" t="str">
        <f>IF($K4263="","",IF($S4263="",0,IF(ISNUMBER(SEARCH("apport-exterieur",IFERROR(INDEX('Paramètres'!$N:$N,MATCH($D4263,'Paramètres'!$M:$M,0))&amp;"",""))),0,IF(OR(IFERROR(INDEX('Paramètres'!$I:$I,MATCH($C4263,'Paramètres'!$D:$D,0))&amp;"","")="Les deux",IFERROR(INDEX('Paramètres'!$I:$I,MATCH($C4263,'Paramètres'!$D:$D,0))&amp;"","")=IF($P4263=1,"Débit",$L4263)),-IF($P4263=1,-$K4263,$K4263),0))))</f>
        <v/>
      </c>
      <c r="U4263" s="6" t="str">
        <f>IF($K4263="","",IF(ISNUMBER(SEARCH("sortie-epargne",IFERROR(INDEX('Paramètres'!$N:$N,MATCH($D4263,'Paramètres'!$M:$M,0))&amp;"",""))),$K4263,0))</f>
        <v/>
      </c>
      <c r="V4263" s="6" t="str">
        <f>IF(AND($A4263&lt;&gt;"",$O4263=1,$L4263="Débit",N($Q4263)&gt;0,$A4263&gt;=Visualisation!$B$1,$A4263&lt;Visualisation!$D$1),MAX($V$1:V4262)+1,"")</f>
        <v/>
      </c>
    </row>
    <row r="4264" spans="1:22" x14ac:dyDescent="0.25">
      <c r="A4264" s="9"/>
      <c r="E4264" s="10"/>
      <c r="K4264" s="11" t="str">
        <f>IF($E4264="","",ROUND($E4264*IF(ISNA(MATCH($C4264,'Paramètres'!$D:$D,0)),1,IF(INDEX('Paramètres'!$J:$J,MATCH($C4264,'Paramètres'!$D:$D,0))="",1,INDEX('Paramètres'!$J:$J,MATCH($C4264,'Paramètres'!$D:$D,0)))),2))</f>
        <v/>
      </c>
      <c r="L4264" s="6" t="str">
        <f>IF($D4264="","",IF($F4264&lt;&gt;"",$F4264,IF(ISNA(MATCH($D4264,'Paramètres'!$M:$M,0)),"⚠ Type inconnu",IFERROR(INDEX('Paramètres'!$P:$P,MATCH($D4264,'Paramètres'!$M:$M,0))&amp;"",""))))</f>
        <v/>
      </c>
      <c r="M4264" s="6" t="str">
        <f>IF($D4264="","",IF(ISNA(MATCH($D4264,'Paramètres'!$M:$M,0)),"⚠ Type inconnu",IF($L4264="Crédit","",IFERROR(INDEX('Paramètres'!$O:$O,MATCH($D4264,'Paramètres'!$M:$M,0))&amp;"",""))))</f>
        <v/>
      </c>
      <c r="N4264" s="6" t="str">
        <f>IF($D4264="","",IFERROR(INDEX('Paramètres'!$Q:$Q,MATCH($D4264,'Paramètres'!$M:$M,0))&amp;"",""))</f>
        <v/>
      </c>
      <c r="O4264" s="6" t="str">
        <f>IF($A4264="","",IF(OR($J4264&lt;&gt;"x",$A4264&lt;=FinReleve),1,0))</f>
        <v/>
      </c>
      <c r="P4264" s="6" t="str">
        <f>IF($D4264="","",IF(AND($L4264="Crédit",OR(IFERROR(INDEX('Paramètres'!$O:$O,MATCH($D4264,'Paramètres'!$M:$M,0))&amp;"","")&lt;&gt;"",ISNUMBER(SEARCH("remboursement",IFERROR(INDEX('Paramètres'!$N:$N,MATCH($D4264,'Paramètres'!$M:$M,0))&amp;"",""))))),1,0))</f>
        <v/>
      </c>
      <c r="Q4264" s="6" t="str">
        <f>IF($K4264="","",IF(ISNUMBER(SEARCH("transfert-interne",IFERROR(INDEX('Paramètres'!$N:$N,MATCH($D4264,'Paramètres'!$M:$M,0))&amp;"",""))),0,IF($L4264="Débit",$K4264,IF($P4264=1,-$K4264,0))))</f>
        <v/>
      </c>
      <c r="R4264" s="6" t="str">
        <f>IF($K4264="","",IF($L4264="Crédit",$K4264,-$K4264))</f>
        <v/>
      </c>
      <c r="S4264" s="6" t="str">
        <f>IF($C4264="","",IFERROR(INDEX('Paramètres'!$H:$H,MATCH($C4264,'Paramètres'!$D:$D,0))&amp;"",""))</f>
        <v/>
      </c>
      <c r="T4264" s="6" t="str">
        <f>IF($K4264="","",IF($S4264="",0,IF(ISNUMBER(SEARCH("apport-exterieur",IFERROR(INDEX('Paramètres'!$N:$N,MATCH($D4264,'Paramètres'!$M:$M,0))&amp;"",""))),0,IF(OR(IFERROR(INDEX('Paramètres'!$I:$I,MATCH($C4264,'Paramètres'!$D:$D,0))&amp;"","")="Les deux",IFERROR(INDEX('Paramètres'!$I:$I,MATCH($C4264,'Paramètres'!$D:$D,0))&amp;"","")=IF($P4264=1,"Débit",$L4264)),-IF($P4264=1,-$K4264,$K4264),0))))</f>
        <v/>
      </c>
      <c r="U4264" s="6" t="str">
        <f>IF($K4264="","",IF(ISNUMBER(SEARCH("sortie-epargne",IFERROR(INDEX('Paramètres'!$N:$N,MATCH($D4264,'Paramètres'!$M:$M,0))&amp;"",""))),$K4264,0))</f>
        <v/>
      </c>
      <c r="V4264" s="6" t="str">
        <f>IF(AND($A4264&lt;&gt;"",$O4264=1,$L4264="Débit",N($Q4264)&gt;0,$A4264&gt;=Visualisation!$B$1,$A4264&lt;Visualisation!$D$1),MAX($V$1:V4263)+1,"")</f>
        <v/>
      </c>
    </row>
    <row r="4265" spans="1:22" x14ac:dyDescent="0.25">
      <c r="A4265" s="9"/>
      <c r="E4265" s="10"/>
      <c r="K4265" s="11" t="str">
        <f>IF($E4265="","",ROUND($E4265*IF(ISNA(MATCH($C4265,'Paramètres'!$D:$D,0)),1,IF(INDEX('Paramètres'!$J:$J,MATCH($C4265,'Paramètres'!$D:$D,0))="",1,INDEX('Paramètres'!$J:$J,MATCH($C4265,'Paramètres'!$D:$D,0)))),2))</f>
        <v/>
      </c>
      <c r="L4265" s="6" t="str">
        <f>IF($D4265="","",IF($F4265&lt;&gt;"",$F4265,IF(ISNA(MATCH($D4265,'Paramètres'!$M:$M,0)),"⚠ Type inconnu",IFERROR(INDEX('Paramètres'!$P:$P,MATCH($D4265,'Paramètres'!$M:$M,0))&amp;"",""))))</f>
        <v/>
      </c>
      <c r="M4265" s="6" t="str">
        <f>IF($D4265="","",IF(ISNA(MATCH($D4265,'Paramètres'!$M:$M,0)),"⚠ Type inconnu",IF($L4265="Crédit","",IFERROR(INDEX('Paramètres'!$O:$O,MATCH($D4265,'Paramètres'!$M:$M,0))&amp;"",""))))</f>
        <v/>
      </c>
      <c r="N4265" s="6" t="str">
        <f>IF($D4265="","",IFERROR(INDEX('Paramètres'!$Q:$Q,MATCH($D4265,'Paramètres'!$M:$M,0))&amp;"",""))</f>
        <v/>
      </c>
      <c r="O4265" s="6" t="str">
        <f>IF($A4265="","",IF(OR($J4265&lt;&gt;"x",$A4265&lt;=FinReleve),1,0))</f>
        <v/>
      </c>
      <c r="P4265" s="6" t="str">
        <f>IF($D4265="","",IF(AND($L4265="Crédit",OR(IFERROR(INDEX('Paramètres'!$O:$O,MATCH($D4265,'Paramètres'!$M:$M,0))&amp;"","")&lt;&gt;"",ISNUMBER(SEARCH("remboursement",IFERROR(INDEX('Paramètres'!$N:$N,MATCH($D4265,'Paramètres'!$M:$M,0))&amp;"",""))))),1,0))</f>
        <v/>
      </c>
      <c r="Q4265" s="6" t="str">
        <f>IF($K4265="","",IF(ISNUMBER(SEARCH("transfert-interne",IFERROR(INDEX('Paramètres'!$N:$N,MATCH($D4265,'Paramètres'!$M:$M,0))&amp;"",""))),0,IF($L4265="Débit",$K4265,IF($P4265=1,-$K4265,0))))</f>
        <v/>
      </c>
      <c r="R4265" s="6" t="str">
        <f>IF($K4265="","",IF($L4265="Crédit",$K4265,-$K4265))</f>
        <v/>
      </c>
      <c r="S4265" s="6" t="str">
        <f>IF($C4265="","",IFERROR(INDEX('Paramètres'!$H:$H,MATCH($C4265,'Paramètres'!$D:$D,0))&amp;"",""))</f>
        <v/>
      </c>
      <c r="T4265" s="6" t="str">
        <f>IF($K4265="","",IF($S4265="",0,IF(ISNUMBER(SEARCH("apport-exterieur",IFERROR(INDEX('Paramètres'!$N:$N,MATCH($D4265,'Paramètres'!$M:$M,0))&amp;"",""))),0,IF(OR(IFERROR(INDEX('Paramètres'!$I:$I,MATCH($C4265,'Paramètres'!$D:$D,0))&amp;"","")="Les deux",IFERROR(INDEX('Paramètres'!$I:$I,MATCH($C4265,'Paramètres'!$D:$D,0))&amp;"","")=IF($P4265=1,"Débit",$L4265)),-IF($P4265=1,-$K4265,$K4265),0))))</f>
        <v/>
      </c>
      <c r="U4265" s="6" t="str">
        <f>IF($K4265="","",IF(ISNUMBER(SEARCH("sortie-epargne",IFERROR(INDEX('Paramètres'!$N:$N,MATCH($D4265,'Paramètres'!$M:$M,0))&amp;"",""))),$K4265,0))</f>
        <v/>
      </c>
      <c r="V4265" s="6" t="str">
        <f>IF(AND($A4265&lt;&gt;"",$O4265=1,$L4265="Débit",N($Q4265)&gt;0,$A4265&gt;=Visualisation!$B$1,$A4265&lt;Visualisation!$D$1),MAX($V$1:V4264)+1,"")</f>
        <v/>
      </c>
    </row>
    <row r="4266" spans="1:22" x14ac:dyDescent="0.25">
      <c r="A4266" s="9"/>
      <c r="E4266" s="10"/>
      <c r="K4266" s="11" t="str">
        <f>IF($E4266="","",ROUND($E4266*IF(ISNA(MATCH($C4266,'Paramètres'!$D:$D,0)),1,IF(INDEX('Paramètres'!$J:$J,MATCH($C4266,'Paramètres'!$D:$D,0))="",1,INDEX('Paramètres'!$J:$J,MATCH($C4266,'Paramètres'!$D:$D,0)))),2))</f>
        <v/>
      </c>
      <c r="L4266" s="6" t="str">
        <f>IF($D4266="","",IF($F4266&lt;&gt;"",$F4266,IF(ISNA(MATCH($D4266,'Paramètres'!$M:$M,0)),"⚠ Type inconnu",IFERROR(INDEX('Paramètres'!$P:$P,MATCH($D4266,'Paramètres'!$M:$M,0))&amp;"",""))))</f>
        <v/>
      </c>
      <c r="M4266" s="6" t="str">
        <f>IF($D4266="","",IF(ISNA(MATCH($D4266,'Paramètres'!$M:$M,0)),"⚠ Type inconnu",IF($L4266="Crédit","",IFERROR(INDEX('Paramètres'!$O:$O,MATCH($D4266,'Paramètres'!$M:$M,0))&amp;"",""))))</f>
        <v/>
      </c>
      <c r="N4266" s="6" t="str">
        <f>IF($D4266="","",IFERROR(INDEX('Paramètres'!$Q:$Q,MATCH($D4266,'Paramètres'!$M:$M,0))&amp;"",""))</f>
        <v/>
      </c>
      <c r="O4266" s="6" t="str">
        <f>IF($A4266="","",IF(OR($J4266&lt;&gt;"x",$A4266&lt;=FinReleve),1,0))</f>
        <v/>
      </c>
      <c r="P4266" s="6" t="str">
        <f>IF($D4266="","",IF(AND($L4266="Crédit",OR(IFERROR(INDEX('Paramètres'!$O:$O,MATCH($D4266,'Paramètres'!$M:$M,0))&amp;"","")&lt;&gt;"",ISNUMBER(SEARCH("remboursement",IFERROR(INDEX('Paramètres'!$N:$N,MATCH($D4266,'Paramètres'!$M:$M,0))&amp;"",""))))),1,0))</f>
        <v/>
      </c>
      <c r="Q4266" s="6" t="str">
        <f>IF($K4266="","",IF(ISNUMBER(SEARCH("transfert-interne",IFERROR(INDEX('Paramètres'!$N:$N,MATCH($D4266,'Paramètres'!$M:$M,0))&amp;"",""))),0,IF($L4266="Débit",$K4266,IF($P4266=1,-$K4266,0))))</f>
        <v/>
      </c>
      <c r="R4266" s="6" t="str">
        <f>IF($K4266="","",IF($L4266="Crédit",$K4266,-$K4266))</f>
        <v/>
      </c>
      <c r="S4266" s="6" t="str">
        <f>IF($C4266="","",IFERROR(INDEX('Paramètres'!$H:$H,MATCH($C4266,'Paramètres'!$D:$D,0))&amp;"",""))</f>
        <v/>
      </c>
      <c r="T4266" s="6" t="str">
        <f>IF($K4266="","",IF($S4266="",0,IF(ISNUMBER(SEARCH("apport-exterieur",IFERROR(INDEX('Paramètres'!$N:$N,MATCH($D4266,'Paramètres'!$M:$M,0))&amp;"",""))),0,IF(OR(IFERROR(INDEX('Paramètres'!$I:$I,MATCH($C4266,'Paramètres'!$D:$D,0))&amp;"","")="Les deux",IFERROR(INDEX('Paramètres'!$I:$I,MATCH($C4266,'Paramètres'!$D:$D,0))&amp;"","")=IF($P4266=1,"Débit",$L4266)),-IF($P4266=1,-$K4266,$K4266),0))))</f>
        <v/>
      </c>
      <c r="U4266" s="6" t="str">
        <f>IF($K4266="","",IF(ISNUMBER(SEARCH("sortie-epargne",IFERROR(INDEX('Paramètres'!$N:$N,MATCH($D4266,'Paramètres'!$M:$M,0))&amp;"",""))),$K4266,0))</f>
        <v/>
      </c>
      <c r="V4266" s="6" t="str">
        <f>IF(AND($A4266&lt;&gt;"",$O4266=1,$L4266="Débit",N($Q4266)&gt;0,$A4266&gt;=Visualisation!$B$1,$A4266&lt;Visualisation!$D$1),MAX($V$1:V4265)+1,"")</f>
        <v/>
      </c>
    </row>
    <row r="4267" spans="1:22" x14ac:dyDescent="0.25">
      <c r="A4267" s="9"/>
      <c r="E4267" s="10"/>
      <c r="K4267" s="11" t="str">
        <f>IF($E4267="","",ROUND($E4267*IF(ISNA(MATCH($C4267,'Paramètres'!$D:$D,0)),1,IF(INDEX('Paramètres'!$J:$J,MATCH($C4267,'Paramètres'!$D:$D,0))="",1,INDEX('Paramètres'!$J:$J,MATCH($C4267,'Paramètres'!$D:$D,0)))),2))</f>
        <v/>
      </c>
      <c r="L4267" s="6" t="str">
        <f>IF($D4267="","",IF($F4267&lt;&gt;"",$F4267,IF(ISNA(MATCH($D4267,'Paramètres'!$M:$M,0)),"⚠ Type inconnu",IFERROR(INDEX('Paramètres'!$P:$P,MATCH($D4267,'Paramètres'!$M:$M,0))&amp;"",""))))</f>
        <v/>
      </c>
      <c r="M4267" s="6" t="str">
        <f>IF($D4267="","",IF(ISNA(MATCH($D4267,'Paramètres'!$M:$M,0)),"⚠ Type inconnu",IF($L4267="Crédit","",IFERROR(INDEX('Paramètres'!$O:$O,MATCH($D4267,'Paramètres'!$M:$M,0))&amp;"",""))))</f>
        <v/>
      </c>
      <c r="N4267" s="6" t="str">
        <f>IF($D4267="","",IFERROR(INDEX('Paramètres'!$Q:$Q,MATCH($D4267,'Paramètres'!$M:$M,0))&amp;"",""))</f>
        <v/>
      </c>
      <c r="O4267" s="6" t="str">
        <f>IF($A4267="","",IF(OR($J4267&lt;&gt;"x",$A4267&lt;=FinReleve),1,0))</f>
        <v/>
      </c>
      <c r="P4267" s="6" t="str">
        <f>IF($D4267="","",IF(AND($L4267="Crédit",OR(IFERROR(INDEX('Paramètres'!$O:$O,MATCH($D4267,'Paramètres'!$M:$M,0))&amp;"","")&lt;&gt;"",ISNUMBER(SEARCH("remboursement",IFERROR(INDEX('Paramètres'!$N:$N,MATCH($D4267,'Paramètres'!$M:$M,0))&amp;"",""))))),1,0))</f>
        <v/>
      </c>
      <c r="Q4267" s="6" t="str">
        <f>IF($K4267="","",IF(ISNUMBER(SEARCH("transfert-interne",IFERROR(INDEX('Paramètres'!$N:$N,MATCH($D4267,'Paramètres'!$M:$M,0))&amp;"",""))),0,IF($L4267="Débit",$K4267,IF($P4267=1,-$K4267,0))))</f>
        <v/>
      </c>
      <c r="R4267" s="6" t="str">
        <f>IF($K4267="","",IF($L4267="Crédit",$K4267,-$K4267))</f>
        <v/>
      </c>
      <c r="S4267" s="6" t="str">
        <f>IF($C4267="","",IFERROR(INDEX('Paramètres'!$H:$H,MATCH($C4267,'Paramètres'!$D:$D,0))&amp;"",""))</f>
        <v/>
      </c>
      <c r="T4267" s="6" t="str">
        <f>IF($K4267="","",IF($S4267="",0,IF(ISNUMBER(SEARCH("apport-exterieur",IFERROR(INDEX('Paramètres'!$N:$N,MATCH($D4267,'Paramètres'!$M:$M,0))&amp;"",""))),0,IF(OR(IFERROR(INDEX('Paramètres'!$I:$I,MATCH($C4267,'Paramètres'!$D:$D,0))&amp;"","")="Les deux",IFERROR(INDEX('Paramètres'!$I:$I,MATCH($C4267,'Paramètres'!$D:$D,0))&amp;"","")=IF($P4267=1,"Débit",$L4267)),-IF($P4267=1,-$K4267,$K4267),0))))</f>
        <v/>
      </c>
      <c r="U4267" s="6" t="str">
        <f>IF($K4267="","",IF(ISNUMBER(SEARCH("sortie-epargne",IFERROR(INDEX('Paramètres'!$N:$N,MATCH($D4267,'Paramètres'!$M:$M,0))&amp;"",""))),$K4267,0))</f>
        <v/>
      </c>
      <c r="V4267" s="6" t="str">
        <f>IF(AND($A4267&lt;&gt;"",$O4267=1,$L4267="Débit",N($Q4267)&gt;0,$A4267&gt;=Visualisation!$B$1,$A4267&lt;Visualisation!$D$1),MAX($V$1:V4266)+1,"")</f>
        <v/>
      </c>
    </row>
    <row r="4268" spans="1:22" x14ac:dyDescent="0.25">
      <c r="A4268" s="9"/>
      <c r="E4268" s="10"/>
      <c r="K4268" s="11" t="str">
        <f>IF($E4268="","",ROUND($E4268*IF(ISNA(MATCH($C4268,'Paramètres'!$D:$D,0)),1,IF(INDEX('Paramètres'!$J:$J,MATCH($C4268,'Paramètres'!$D:$D,0))="",1,INDEX('Paramètres'!$J:$J,MATCH($C4268,'Paramètres'!$D:$D,0)))),2))</f>
        <v/>
      </c>
      <c r="L4268" s="6" t="str">
        <f>IF($D4268="","",IF($F4268&lt;&gt;"",$F4268,IF(ISNA(MATCH($D4268,'Paramètres'!$M:$M,0)),"⚠ Type inconnu",IFERROR(INDEX('Paramètres'!$P:$P,MATCH($D4268,'Paramètres'!$M:$M,0))&amp;"",""))))</f>
        <v/>
      </c>
      <c r="M4268" s="6" t="str">
        <f>IF($D4268="","",IF(ISNA(MATCH($D4268,'Paramètres'!$M:$M,0)),"⚠ Type inconnu",IF($L4268="Crédit","",IFERROR(INDEX('Paramètres'!$O:$O,MATCH($D4268,'Paramètres'!$M:$M,0))&amp;"",""))))</f>
        <v/>
      </c>
      <c r="N4268" s="6" t="str">
        <f>IF($D4268="","",IFERROR(INDEX('Paramètres'!$Q:$Q,MATCH($D4268,'Paramètres'!$M:$M,0))&amp;"",""))</f>
        <v/>
      </c>
      <c r="O4268" s="6" t="str">
        <f>IF($A4268="","",IF(OR($J4268&lt;&gt;"x",$A4268&lt;=FinReleve),1,0))</f>
        <v/>
      </c>
      <c r="P4268" s="6" t="str">
        <f>IF($D4268="","",IF(AND($L4268="Crédit",OR(IFERROR(INDEX('Paramètres'!$O:$O,MATCH($D4268,'Paramètres'!$M:$M,0))&amp;"","")&lt;&gt;"",ISNUMBER(SEARCH("remboursement",IFERROR(INDEX('Paramètres'!$N:$N,MATCH($D4268,'Paramètres'!$M:$M,0))&amp;"",""))))),1,0))</f>
        <v/>
      </c>
      <c r="Q4268" s="6" t="str">
        <f>IF($K4268="","",IF(ISNUMBER(SEARCH("transfert-interne",IFERROR(INDEX('Paramètres'!$N:$N,MATCH($D4268,'Paramètres'!$M:$M,0))&amp;"",""))),0,IF($L4268="Débit",$K4268,IF($P4268=1,-$K4268,0))))</f>
        <v/>
      </c>
      <c r="R4268" s="6" t="str">
        <f>IF($K4268="","",IF($L4268="Crédit",$K4268,-$K4268))</f>
        <v/>
      </c>
      <c r="S4268" s="6" t="str">
        <f>IF($C4268="","",IFERROR(INDEX('Paramètres'!$H:$H,MATCH($C4268,'Paramètres'!$D:$D,0))&amp;"",""))</f>
        <v/>
      </c>
      <c r="T4268" s="6" t="str">
        <f>IF($K4268="","",IF($S4268="",0,IF(ISNUMBER(SEARCH("apport-exterieur",IFERROR(INDEX('Paramètres'!$N:$N,MATCH($D4268,'Paramètres'!$M:$M,0))&amp;"",""))),0,IF(OR(IFERROR(INDEX('Paramètres'!$I:$I,MATCH($C4268,'Paramètres'!$D:$D,0))&amp;"","")="Les deux",IFERROR(INDEX('Paramètres'!$I:$I,MATCH($C4268,'Paramètres'!$D:$D,0))&amp;"","")=IF($P4268=1,"Débit",$L4268)),-IF($P4268=1,-$K4268,$K4268),0))))</f>
        <v/>
      </c>
      <c r="U4268" s="6" t="str">
        <f>IF($K4268="","",IF(ISNUMBER(SEARCH("sortie-epargne",IFERROR(INDEX('Paramètres'!$N:$N,MATCH($D4268,'Paramètres'!$M:$M,0))&amp;"",""))),$K4268,0))</f>
        <v/>
      </c>
      <c r="V4268" s="6" t="str">
        <f>IF(AND($A4268&lt;&gt;"",$O4268=1,$L4268="Débit",N($Q4268)&gt;0,$A4268&gt;=Visualisation!$B$1,$A4268&lt;Visualisation!$D$1),MAX($V$1:V4267)+1,"")</f>
        <v/>
      </c>
    </row>
    <row r="4269" spans="1:22" x14ac:dyDescent="0.25">
      <c r="A4269" s="9"/>
      <c r="E4269" s="10"/>
      <c r="K4269" s="11" t="str">
        <f>IF($E4269="","",ROUND($E4269*IF(ISNA(MATCH($C4269,'Paramètres'!$D:$D,0)),1,IF(INDEX('Paramètres'!$J:$J,MATCH($C4269,'Paramètres'!$D:$D,0))="",1,INDEX('Paramètres'!$J:$J,MATCH($C4269,'Paramètres'!$D:$D,0)))),2))</f>
        <v/>
      </c>
      <c r="L4269" s="6" t="str">
        <f>IF($D4269="","",IF($F4269&lt;&gt;"",$F4269,IF(ISNA(MATCH($D4269,'Paramètres'!$M:$M,0)),"⚠ Type inconnu",IFERROR(INDEX('Paramètres'!$P:$P,MATCH($D4269,'Paramètres'!$M:$M,0))&amp;"",""))))</f>
        <v/>
      </c>
      <c r="M4269" s="6" t="str">
        <f>IF($D4269="","",IF(ISNA(MATCH($D4269,'Paramètres'!$M:$M,0)),"⚠ Type inconnu",IF($L4269="Crédit","",IFERROR(INDEX('Paramètres'!$O:$O,MATCH($D4269,'Paramètres'!$M:$M,0))&amp;"",""))))</f>
        <v/>
      </c>
      <c r="N4269" s="6" t="str">
        <f>IF($D4269="","",IFERROR(INDEX('Paramètres'!$Q:$Q,MATCH($D4269,'Paramètres'!$M:$M,0))&amp;"",""))</f>
        <v/>
      </c>
      <c r="O4269" s="6" t="str">
        <f>IF($A4269="","",IF(OR($J4269&lt;&gt;"x",$A4269&lt;=FinReleve),1,0))</f>
        <v/>
      </c>
      <c r="P4269" s="6" t="str">
        <f>IF($D4269="","",IF(AND($L4269="Crédit",OR(IFERROR(INDEX('Paramètres'!$O:$O,MATCH($D4269,'Paramètres'!$M:$M,0))&amp;"","")&lt;&gt;"",ISNUMBER(SEARCH("remboursement",IFERROR(INDEX('Paramètres'!$N:$N,MATCH($D4269,'Paramètres'!$M:$M,0))&amp;"",""))))),1,0))</f>
        <v/>
      </c>
      <c r="Q4269" s="6" t="str">
        <f>IF($K4269="","",IF(ISNUMBER(SEARCH("transfert-interne",IFERROR(INDEX('Paramètres'!$N:$N,MATCH($D4269,'Paramètres'!$M:$M,0))&amp;"",""))),0,IF($L4269="Débit",$K4269,IF($P4269=1,-$K4269,0))))</f>
        <v/>
      </c>
      <c r="R4269" s="6" t="str">
        <f>IF($K4269="","",IF($L4269="Crédit",$K4269,-$K4269))</f>
        <v/>
      </c>
      <c r="S4269" s="6" t="str">
        <f>IF($C4269="","",IFERROR(INDEX('Paramètres'!$H:$H,MATCH($C4269,'Paramètres'!$D:$D,0))&amp;"",""))</f>
        <v/>
      </c>
      <c r="T4269" s="6" t="str">
        <f>IF($K4269="","",IF($S4269="",0,IF(ISNUMBER(SEARCH("apport-exterieur",IFERROR(INDEX('Paramètres'!$N:$N,MATCH($D4269,'Paramètres'!$M:$M,0))&amp;"",""))),0,IF(OR(IFERROR(INDEX('Paramètres'!$I:$I,MATCH($C4269,'Paramètres'!$D:$D,0))&amp;"","")="Les deux",IFERROR(INDEX('Paramètres'!$I:$I,MATCH($C4269,'Paramètres'!$D:$D,0))&amp;"","")=IF($P4269=1,"Débit",$L4269)),-IF($P4269=1,-$K4269,$K4269),0))))</f>
        <v/>
      </c>
      <c r="U4269" s="6" t="str">
        <f>IF($K4269="","",IF(ISNUMBER(SEARCH("sortie-epargne",IFERROR(INDEX('Paramètres'!$N:$N,MATCH($D4269,'Paramètres'!$M:$M,0))&amp;"",""))),$K4269,0))</f>
        <v/>
      </c>
      <c r="V4269" s="6" t="str">
        <f>IF(AND($A4269&lt;&gt;"",$O4269=1,$L4269="Débit",N($Q4269)&gt;0,$A4269&gt;=Visualisation!$B$1,$A4269&lt;Visualisation!$D$1),MAX($V$1:V4268)+1,"")</f>
        <v/>
      </c>
    </row>
    <row r="4270" spans="1:22" x14ac:dyDescent="0.25">
      <c r="A4270" s="9"/>
      <c r="E4270" s="10"/>
      <c r="K4270" s="11" t="str">
        <f>IF($E4270="","",ROUND($E4270*IF(ISNA(MATCH($C4270,'Paramètres'!$D:$D,0)),1,IF(INDEX('Paramètres'!$J:$J,MATCH($C4270,'Paramètres'!$D:$D,0))="",1,INDEX('Paramètres'!$J:$J,MATCH($C4270,'Paramètres'!$D:$D,0)))),2))</f>
        <v/>
      </c>
      <c r="L4270" s="6" t="str">
        <f>IF($D4270="","",IF($F4270&lt;&gt;"",$F4270,IF(ISNA(MATCH($D4270,'Paramètres'!$M:$M,0)),"⚠ Type inconnu",IFERROR(INDEX('Paramètres'!$P:$P,MATCH($D4270,'Paramètres'!$M:$M,0))&amp;"",""))))</f>
        <v/>
      </c>
      <c r="M4270" s="6" t="str">
        <f>IF($D4270="","",IF(ISNA(MATCH($D4270,'Paramètres'!$M:$M,0)),"⚠ Type inconnu",IF($L4270="Crédit","",IFERROR(INDEX('Paramètres'!$O:$O,MATCH($D4270,'Paramètres'!$M:$M,0))&amp;"",""))))</f>
        <v/>
      </c>
      <c r="N4270" s="6" t="str">
        <f>IF($D4270="","",IFERROR(INDEX('Paramètres'!$Q:$Q,MATCH($D4270,'Paramètres'!$M:$M,0))&amp;"",""))</f>
        <v/>
      </c>
      <c r="O4270" s="6" t="str">
        <f>IF($A4270="","",IF(OR($J4270&lt;&gt;"x",$A4270&lt;=FinReleve),1,0))</f>
        <v/>
      </c>
      <c r="P4270" s="6" t="str">
        <f>IF($D4270="","",IF(AND($L4270="Crédit",OR(IFERROR(INDEX('Paramètres'!$O:$O,MATCH($D4270,'Paramètres'!$M:$M,0))&amp;"","")&lt;&gt;"",ISNUMBER(SEARCH("remboursement",IFERROR(INDEX('Paramètres'!$N:$N,MATCH($D4270,'Paramètres'!$M:$M,0))&amp;"",""))))),1,0))</f>
        <v/>
      </c>
      <c r="Q4270" s="6" t="str">
        <f>IF($K4270="","",IF(ISNUMBER(SEARCH("transfert-interne",IFERROR(INDEX('Paramètres'!$N:$N,MATCH($D4270,'Paramètres'!$M:$M,0))&amp;"",""))),0,IF($L4270="Débit",$K4270,IF($P4270=1,-$K4270,0))))</f>
        <v/>
      </c>
      <c r="R4270" s="6" t="str">
        <f>IF($K4270="","",IF($L4270="Crédit",$K4270,-$K4270))</f>
        <v/>
      </c>
      <c r="S4270" s="6" t="str">
        <f>IF($C4270="","",IFERROR(INDEX('Paramètres'!$H:$H,MATCH($C4270,'Paramètres'!$D:$D,0))&amp;"",""))</f>
        <v/>
      </c>
      <c r="T4270" s="6" t="str">
        <f>IF($K4270="","",IF($S4270="",0,IF(ISNUMBER(SEARCH("apport-exterieur",IFERROR(INDEX('Paramètres'!$N:$N,MATCH($D4270,'Paramètres'!$M:$M,0))&amp;"",""))),0,IF(OR(IFERROR(INDEX('Paramètres'!$I:$I,MATCH($C4270,'Paramètres'!$D:$D,0))&amp;"","")="Les deux",IFERROR(INDEX('Paramètres'!$I:$I,MATCH($C4270,'Paramètres'!$D:$D,0))&amp;"","")=IF($P4270=1,"Débit",$L4270)),-IF($P4270=1,-$K4270,$K4270),0))))</f>
        <v/>
      </c>
      <c r="U4270" s="6" t="str">
        <f>IF($K4270="","",IF(ISNUMBER(SEARCH("sortie-epargne",IFERROR(INDEX('Paramètres'!$N:$N,MATCH($D4270,'Paramètres'!$M:$M,0))&amp;"",""))),$K4270,0))</f>
        <v/>
      </c>
      <c r="V4270" s="6" t="str">
        <f>IF(AND($A4270&lt;&gt;"",$O4270=1,$L4270="Débit",N($Q4270)&gt;0,$A4270&gt;=Visualisation!$B$1,$A4270&lt;Visualisation!$D$1),MAX($V$1:V4269)+1,"")</f>
        <v/>
      </c>
    </row>
    <row r="4271" spans="1:22" x14ac:dyDescent="0.25">
      <c r="A4271" s="9"/>
      <c r="E4271" s="10"/>
      <c r="K4271" s="11" t="str">
        <f>IF($E4271="","",ROUND($E4271*IF(ISNA(MATCH($C4271,'Paramètres'!$D:$D,0)),1,IF(INDEX('Paramètres'!$J:$J,MATCH($C4271,'Paramètres'!$D:$D,0))="",1,INDEX('Paramètres'!$J:$J,MATCH($C4271,'Paramètres'!$D:$D,0)))),2))</f>
        <v/>
      </c>
      <c r="L4271" s="6" t="str">
        <f>IF($D4271="","",IF($F4271&lt;&gt;"",$F4271,IF(ISNA(MATCH($D4271,'Paramètres'!$M:$M,0)),"⚠ Type inconnu",IFERROR(INDEX('Paramètres'!$P:$P,MATCH($D4271,'Paramètres'!$M:$M,0))&amp;"",""))))</f>
        <v/>
      </c>
      <c r="M4271" s="6" t="str">
        <f>IF($D4271="","",IF(ISNA(MATCH($D4271,'Paramètres'!$M:$M,0)),"⚠ Type inconnu",IF($L4271="Crédit","",IFERROR(INDEX('Paramètres'!$O:$O,MATCH($D4271,'Paramètres'!$M:$M,0))&amp;"",""))))</f>
        <v/>
      </c>
      <c r="N4271" s="6" t="str">
        <f>IF($D4271="","",IFERROR(INDEX('Paramètres'!$Q:$Q,MATCH($D4271,'Paramètres'!$M:$M,0))&amp;"",""))</f>
        <v/>
      </c>
      <c r="O4271" s="6" t="str">
        <f>IF($A4271="","",IF(OR($J4271&lt;&gt;"x",$A4271&lt;=FinReleve),1,0))</f>
        <v/>
      </c>
      <c r="P4271" s="6" t="str">
        <f>IF($D4271="","",IF(AND($L4271="Crédit",OR(IFERROR(INDEX('Paramètres'!$O:$O,MATCH($D4271,'Paramètres'!$M:$M,0))&amp;"","")&lt;&gt;"",ISNUMBER(SEARCH("remboursement",IFERROR(INDEX('Paramètres'!$N:$N,MATCH($D4271,'Paramètres'!$M:$M,0))&amp;"",""))))),1,0))</f>
        <v/>
      </c>
      <c r="Q4271" s="6" t="str">
        <f>IF($K4271="","",IF(ISNUMBER(SEARCH("transfert-interne",IFERROR(INDEX('Paramètres'!$N:$N,MATCH($D4271,'Paramètres'!$M:$M,0))&amp;"",""))),0,IF($L4271="Débit",$K4271,IF($P4271=1,-$K4271,0))))</f>
        <v/>
      </c>
      <c r="R4271" s="6" t="str">
        <f>IF($K4271="","",IF($L4271="Crédit",$K4271,-$K4271))</f>
        <v/>
      </c>
      <c r="S4271" s="6" t="str">
        <f>IF($C4271="","",IFERROR(INDEX('Paramètres'!$H:$H,MATCH($C4271,'Paramètres'!$D:$D,0))&amp;"",""))</f>
        <v/>
      </c>
      <c r="T4271" s="6" t="str">
        <f>IF($K4271="","",IF($S4271="",0,IF(ISNUMBER(SEARCH("apport-exterieur",IFERROR(INDEX('Paramètres'!$N:$N,MATCH($D4271,'Paramètres'!$M:$M,0))&amp;"",""))),0,IF(OR(IFERROR(INDEX('Paramètres'!$I:$I,MATCH($C4271,'Paramètres'!$D:$D,0))&amp;"","")="Les deux",IFERROR(INDEX('Paramètres'!$I:$I,MATCH($C4271,'Paramètres'!$D:$D,0))&amp;"","")=IF($P4271=1,"Débit",$L4271)),-IF($P4271=1,-$K4271,$K4271),0))))</f>
        <v/>
      </c>
      <c r="U4271" s="6" t="str">
        <f>IF($K4271="","",IF(ISNUMBER(SEARCH("sortie-epargne",IFERROR(INDEX('Paramètres'!$N:$N,MATCH($D4271,'Paramètres'!$M:$M,0))&amp;"",""))),$K4271,0))</f>
        <v/>
      </c>
      <c r="V4271" s="6" t="str">
        <f>IF(AND($A4271&lt;&gt;"",$O4271=1,$L4271="Débit",N($Q4271)&gt;0,$A4271&gt;=Visualisation!$B$1,$A4271&lt;Visualisation!$D$1),MAX($V$1:V4270)+1,"")</f>
        <v/>
      </c>
    </row>
    <row r="4272" spans="1:22" x14ac:dyDescent="0.25">
      <c r="A4272" s="9"/>
      <c r="E4272" s="10"/>
      <c r="K4272" s="11" t="str">
        <f>IF($E4272="","",ROUND($E4272*IF(ISNA(MATCH($C4272,'Paramètres'!$D:$D,0)),1,IF(INDEX('Paramètres'!$J:$J,MATCH($C4272,'Paramètres'!$D:$D,0))="",1,INDEX('Paramètres'!$J:$J,MATCH($C4272,'Paramètres'!$D:$D,0)))),2))</f>
        <v/>
      </c>
      <c r="L4272" s="6" t="str">
        <f>IF($D4272="","",IF($F4272&lt;&gt;"",$F4272,IF(ISNA(MATCH($D4272,'Paramètres'!$M:$M,0)),"⚠ Type inconnu",IFERROR(INDEX('Paramètres'!$P:$P,MATCH($D4272,'Paramètres'!$M:$M,0))&amp;"",""))))</f>
        <v/>
      </c>
      <c r="M4272" s="6" t="str">
        <f>IF($D4272="","",IF(ISNA(MATCH($D4272,'Paramètres'!$M:$M,0)),"⚠ Type inconnu",IF($L4272="Crédit","",IFERROR(INDEX('Paramètres'!$O:$O,MATCH($D4272,'Paramètres'!$M:$M,0))&amp;"",""))))</f>
        <v/>
      </c>
      <c r="N4272" s="6" t="str">
        <f>IF($D4272="","",IFERROR(INDEX('Paramètres'!$Q:$Q,MATCH($D4272,'Paramètres'!$M:$M,0))&amp;"",""))</f>
        <v/>
      </c>
      <c r="O4272" s="6" t="str">
        <f>IF($A4272="","",IF(OR($J4272&lt;&gt;"x",$A4272&lt;=FinReleve),1,0))</f>
        <v/>
      </c>
      <c r="P4272" s="6" t="str">
        <f>IF($D4272="","",IF(AND($L4272="Crédit",OR(IFERROR(INDEX('Paramètres'!$O:$O,MATCH($D4272,'Paramètres'!$M:$M,0))&amp;"","")&lt;&gt;"",ISNUMBER(SEARCH("remboursement",IFERROR(INDEX('Paramètres'!$N:$N,MATCH($D4272,'Paramètres'!$M:$M,0))&amp;"",""))))),1,0))</f>
        <v/>
      </c>
      <c r="Q4272" s="6" t="str">
        <f>IF($K4272="","",IF(ISNUMBER(SEARCH("transfert-interne",IFERROR(INDEX('Paramètres'!$N:$N,MATCH($D4272,'Paramètres'!$M:$M,0))&amp;"",""))),0,IF($L4272="Débit",$K4272,IF($P4272=1,-$K4272,0))))</f>
        <v/>
      </c>
      <c r="R4272" s="6" t="str">
        <f>IF($K4272="","",IF($L4272="Crédit",$K4272,-$K4272))</f>
        <v/>
      </c>
      <c r="S4272" s="6" t="str">
        <f>IF($C4272="","",IFERROR(INDEX('Paramètres'!$H:$H,MATCH($C4272,'Paramètres'!$D:$D,0))&amp;"",""))</f>
        <v/>
      </c>
      <c r="T4272" s="6" t="str">
        <f>IF($K4272="","",IF($S4272="",0,IF(ISNUMBER(SEARCH("apport-exterieur",IFERROR(INDEX('Paramètres'!$N:$N,MATCH($D4272,'Paramètres'!$M:$M,0))&amp;"",""))),0,IF(OR(IFERROR(INDEX('Paramètres'!$I:$I,MATCH($C4272,'Paramètres'!$D:$D,0))&amp;"","")="Les deux",IFERROR(INDEX('Paramètres'!$I:$I,MATCH($C4272,'Paramètres'!$D:$D,0))&amp;"","")=IF($P4272=1,"Débit",$L4272)),-IF($P4272=1,-$K4272,$K4272),0))))</f>
        <v/>
      </c>
      <c r="U4272" s="6" t="str">
        <f>IF($K4272="","",IF(ISNUMBER(SEARCH("sortie-epargne",IFERROR(INDEX('Paramètres'!$N:$N,MATCH($D4272,'Paramètres'!$M:$M,0))&amp;"",""))),$K4272,0))</f>
        <v/>
      </c>
      <c r="V4272" s="6" t="str">
        <f>IF(AND($A4272&lt;&gt;"",$O4272=1,$L4272="Débit",N($Q4272)&gt;0,$A4272&gt;=Visualisation!$B$1,$A4272&lt;Visualisation!$D$1),MAX($V$1:V4271)+1,"")</f>
        <v/>
      </c>
    </row>
    <row r="4273" spans="1:22" x14ac:dyDescent="0.25">
      <c r="A4273" s="9"/>
      <c r="E4273" s="10"/>
      <c r="K4273" s="11" t="str">
        <f>IF($E4273="","",ROUND($E4273*IF(ISNA(MATCH($C4273,'Paramètres'!$D:$D,0)),1,IF(INDEX('Paramètres'!$J:$J,MATCH($C4273,'Paramètres'!$D:$D,0))="",1,INDEX('Paramètres'!$J:$J,MATCH($C4273,'Paramètres'!$D:$D,0)))),2))</f>
        <v/>
      </c>
      <c r="L4273" s="6" t="str">
        <f>IF($D4273="","",IF($F4273&lt;&gt;"",$F4273,IF(ISNA(MATCH($D4273,'Paramètres'!$M:$M,0)),"⚠ Type inconnu",IFERROR(INDEX('Paramètres'!$P:$P,MATCH($D4273,'Paramètres'!$M:$M,0))&amp;"",""))))</f>
        <v/>
      </c>
      <c r="M4273" s="6" t="str">
        <f>IF($D4273="","",IF(ISNA(MATCH($D4273,'Paramètres'!$M:$M,0)),"⚠ Type inconnu",IF($L4273="Crédit","",IFERROR(INDEX('Paramètres'!$O:$O,MATCH($D4273,'Paramètres'!$M:$M,0))&amp;"",""))))</f>
        <v/>
      </c>
      <c r="N4273" s="6" t="str">
        <f>IF($D4273="","",IFERROR(INDEX('Paramètres'!$Q:$Q,MATCH($D4273,'Paramètres'!$M:$M,0))&amp;"",""))</f>
        <v/>
      </c>
      <c r="O4273" s="6" t="str">
        <f>IF($A4273="","",IF(OR($J4273&lt;&gt;"x",$A4273&lt;=FinReleve),1,0))</f>
        <v/>
      </c>
      <c r="P4273" s="6" t="str">
        <f>IF($D4273="","",IF(AND($L4273="Crédit",OR(IFERROR(INDEX('Paramètres'!$O:$O,MATCH($D4273,'Paramètres'!$M:$M,0))&amp;"","")&lt;&gt;"",ISNUMBER(SEARCH("remboursement",IFERROR(INDEX('Paramètres'!$N:$N,MATCH($D4273,'Paramètres'!$M:$M,0))&amp;"",""))))),1,0))</f>
        <v/>
      </c>
      <c r="Q4273" s="6" t="str">
        <f>IF($K4273="","",IF(ISNUMBER(SEARCH("transfert-interne",IFERROR(INDEX('Paramètres'!$N:$N,MATCH($D4273,'Paramètres'!$M:$M,0))&amp;"",""))),0,IF($L4273="Débit",$K4273,IF($P4273=1,-$K4273,0))))</f>
        <v/>
      </c>
      <c r="R4273" s="6" t="str">
        <f>IF($K4273="","",IF($L4273="Crédit",$K4273,-$K4273))</f>
        <v/>
      </c>
      <c r="S4273" s="6" t="str">
        <f>IF($C4273="","",IFERROR(INDEX('Paramètres'!$H:$H,MATCH($C4273,'Paramètres'!$D:$D,0))&amp;"",""))</f>
        <v/>
      </c>
      <c r="T4273" s="6" t="str">
        <f>IF($K4273="","",IF($S4273="",0,IF(ISNUMBER(SEARCH("apport-exterieur",IFERROR(INDEX('Paramètres'!$N:$N,MATCH($D4273,'Paramètres'!$M:$M,0))&amp;"",""))),0,IF(OR(IFERROR(INDEX('Paramètres'!$I:$I,MATCH($C4273,'Paramètres'!$D:$D,0))&amp;"","")="Les deux",IFERROR(INDEX('Paramètres'!$I:$I,MATCH($C4273,'Paramètres'!$D:$D,0))&amp;"","")=IF($P4273=1,"Débit",$L4273)),-IF($P4273=1,-$K4273,$K4273),0))))</f>
        <v/>
      </c>
      <c r="U4273" s="6" t="str">
        <f>IF($K4273="","",IF(ISNUMBER(SEARCH("sortie-epargne",IFERROR(INDEX('Paramètres'!$N:$N,MATCH($D4273,'Paramètres'!$M:$M,0))&amp;"",""))),$K4273,0))</f>
        <v/>
      </c>
      <c r="V4273" s="6" t="str">
        <f>IF(AND($A4273&lt;&gt;"",$O4273=1,$L4273="Débit",N($Q4273)&gt;0,$A4273&gt;=Visualisation!$B$1,$A4273&lt;Visualisation!$D$1),MAX($V$1:V4272)+1,"")</f>
        <v/>
      </c>
    </row>
    <row r="4274" spans="1:22" x14ac:dyDescent="0.25">
      <c r="A4274" s="9"/>
      <c r="E4274" s="10"/>
      <c r="K4274" s="11" t="str">
        <f>IF($E4274="","",ROUND($E4274*IF(ISNA(MATCH($C4274,'Paramètres'!$D:$D,0)),1,IF(INDEX('Paramètres'!$J:$J,MATCH($C4274,'Paramètres'!$D:$D,0))="",1,INDEX('Paramètres'!$J:$J,MATCH($C4274,'Paramètres'!$D:$D,0)))),2))</f>
        <v/>
      </c>
      <c r="L4274" s="6" t="str">
        <f>IF($D4274="","",IF($F4274&lt;&gt;"",$F4274,IF(ISNA(MATCH($D4274,'Paramètres'!$M:$M,0)),"⚠ Type inconnu",IFERROR(INDEX('Paramètres'!$P:$P,MATCH($D4274,'Paramètres'!$M:$M,0))&amp;"",""))))</f>
        <v/>
      </c>
      <c r="M4274" s="6" t="str">
        <f>IF($D4274="","",IF(ISNA(MATCH($D4274,'Paramètres'!$M:$M,0)),"⚠ Type inconnu",IF($L4274="Crédit","",IFERROR(INDEX('Paramètres'!$O:$O,MATCH($D4274,'Paramètres'!$M:$M,0))&amp;"",""))))</f>
        <v/>
      </c>
      <c r="N4274" s="6" t="str">
        <f>IF($D4274="","",IFERROR(INDEX('Paramètres'!$Q:$Q,MATCH($D4274,'Paramètres'!$M:$M,0))&amp;"",""))</f>
        <v/>
      </c>
      <c r="O4274" s="6" t="str">
        <f>IF($A4274="","",IF(OR($J4274&lt;&gt;"x",$A4274&lt;=FinReleve),1,0))</f>
        <v/>
      </c>
      <c r="P4274" s="6" t="str">
        <f>IF($D4274="","",IF(AND($L4274="Crédit",OR(IFERROR(INDEX('Paramètres'!$O:$O,MATCH($D4274,'Paramètres'!$M:$M,0))&amp;"","")&lt;&gt;"",ISNUMBER(SEARCH("remboursement",IFERROR(INDEX('Paramètres'!$N:$N,MATCH($D4274,'Paramètres'!$M:$M,0))&amp;"",""))))),1,0))</f>
        <v/>
      </c>
      <c r="Q4274" s="6" t="str">
        <f>IF($K4274="","",IF(ISNUMBER(SEARCH("transfert-interne",IFERROR(INDEX('Paramètres'!$N:$N,MATCH($D4274,'Paramètres'!$M:$M,0))&amp;"",""))),0,IF($L4274="Débit",$K4274,IF($P4274=1,-$K4274,0))))</f>
        <v/>
      </c>
      <c r="R4274" s="6" t="str">
        <f>IF($K4274="","",IF($L4274="Crédit",$K4274,-$K4274))</f>
        <v/>
      </c>
      <c r="S4274" s="6" t="str">
        <f>IF($C4274="","",IFERROR(INDEX('Paramètres'!$H:$H,MATCH($C4274,'Paramètres'!$D:$D,0))&amp;"",""))</f>
        <v/>
      </c>
      <c r="T4274" s="6" t="str">
        <f>IF($K4274="","",IF($S4274="",0,IF(ISNUMBER(SEARCH("apport-exterieur",IFERROR(INDEX('Paramètres'!$N:$N,MATCH($D4274,'Paramètres'!$M:$M,0))&amp;"",""))),0,IF(OR(IFERROR(INDEX('Paramètres'!$I:$I,MATCH($C4274,'Paramètres'!$D:$D,0))&amp;"","")="Les deux",IFERROR(INDEX('Paramètres'!$I:$I,MATCH($C4274,'Paramètres'!$D:$D,0))&amp;"","")=IF($P4274=1,"Débit",$L4274)),-IF($P4274=1,-$K4274,$K4274),0))))</f>
        <v/>
      </c>
      <c r="U4274" s="6" t="str">
        <f>IF($K4274="","",IF(ISNUMBER(SEARCH("sortie-epargne",IFERROR(INDEX('Paramètres'!$N:$N,MATCH($D4274,'Paramètres'!$M:$M,0))&amp;"",""))),$K4274,0))</f>
        <v/>
      </c>
      <c r="V4274" s="6" t="str">
        <f>IF(AND($A4274&lt;&gt;"",$O4274=1,$L4274="Débit",N($Q4274)&gt;0,$A4274&gt;=Visualisation!$B$1,$A4274&lt;Visualisation!$D$1),MAX($V$1:V4273)+1,"")</f>
        <v/>
      </c>
    </row>
    <row r="4275" spans="1:22" x14ac:dyDescent="0.25">
      <c r="A4275" s="9"/>
      <c r="E4275" s="10"/>
      <c r="K4275" s="11" t="str">
        <f>IF($E4275="","",ROUND($E4275*IF(ISNA(MATCH($C4275,'Paramètres'!$D:$D,0)),1,IF(INDEX('Paramètres'!$J:$J,MATCH($C4275,'Paramètres'!$D:$D,0))="",1,INDEX('Paramètres'!$J:$J,MATCH($C4275,'Paramètres'!$D:$D,0)))),2))</f>
        <v/>
      </c>
      <c r="L4275" s="6" t="str">
        <f>IF($D4275="","",IF($F4275&lt;&gt;"",$F4275,IF(ISNA(MATCH($D4275,'Paramètres'!$M:$M,0)),"⚠ Type inconnu",IFERROR(INDEX('Paramètres'!$P:$P,MATCH($D4275,'Paramètres'!$M:$M,0))&amp;"",""))))</f>
        <v/>
      </c>
      <c r="M4275" s="6" t="str">
        <f>IF($D4275="","",IF(ISNA(MATCH($D4275,'Paramètres'!$M:$M,0)),"⚠ Type inconnu",IF($L4275="Crédit","",IFERROR(INDEX('Paramètres'!$O:$O,MATCH($D4275,'Paramètres'!$M:$M,0))&amp;"",""))))</f>
        <v/>
      </c>
      <c r="N4275" s="6" t="str">
        <f>IF($D4275="","",IFERROR(INDEX('Paramètres'!$Q:$Q,MATCH($D4275,'Paramètres'!$M:$M,0))&amp;"",""))</f>
        <v/>
      </c>
      <c r="O4275" s="6" t="str">
        <f>IF($A4275="","",IF(OR($J4275&lt;&gt;"x",$A4275&lt;=FinReleve),1,0))</f>
        <v/>
      </c>
      <c r="P4275" s="6" t="str">
        <f>IF($D4275="","",IF(AND($L4275="Crédit",OR(IFERROR(INDEX('Paramètres'!$O:$O,MATCH($D4275,'Paramètres'!$M:$M,0))&amp;"","")&lt;&gt;"",ISNUMBER(SEARCH("remboursement",IFERROR(INDEX('Paramètres'!$N:$N,MATCH($D4275,'Paramètres'!$M:$M,0))&amp;"",""))))),1,0))</f>
        <v/>
      </c>
      <c r="Q4275" s="6" t="str">
        <f>IF($K4275="","",IF(ISNUMBER(SEARCH("transfert-interne",IFERROR(INDEX('Paramètres'!$N:$N,MATCH($D4275,'Paramètres'!$M:$M,0))&amp;"",""))),0,IF($L4275="Débit",$K4275,IF($P4275=1,-$K4275,0))))</f>
        <v/>
      </c>
      <c r="R4275" s="6" t="str">
        <f>IF($K4275="","",IF($L4275="Crédit",$K4275,-$K4275))</f>
        <v/>
      </c>
      <c r="S4275" s="6" t="str">
        <f>IF($C4275="","",IFERROR(INDEX('Paramètres'!$H:$H,MATCH($C4275,'Paramètres'!$D:$D,0))&amp;"",""))</f>
        <v/>
      </c>
      <c r="T4275" s="6" t="str">
        <f>IF($K4275="","",IF($S4275="",0,IF(ISNUMBER(SEARCH("apport-exterieur",IFERROR(INDEX('Paramètres'!$N:$N,MATCH($D4275,'Paramètres'!$M:$M,0))&amp;"",""))),0,IF(OR(IFERROR(INDEX('Paramètres'!$I:$I,MATCH($C4275,'Paramètres'!$D:$D,0))&amp;"","")="Les deux",IFERROR(INDEX('Paramètres'!$I:$I,MATCH($C4275,'Paramètres'!$D:$D,0))&amp;"","")=IF($P4275=1,"Débit",$L4275)),-IF($P4275=1,-$K4275,$K4275),0))))</f>
        <v/>
      </c>
      <c r="U4275" s="6" t="str">
        <f>IF($K4275="","",IF(ISNUMBER(SEARCH("sortie-epargne",IFERROR(INDEX('Paramètres'!$N:$N,MATCH($D4275,'Paramètres'!$M:$M,0))&amp;"",""))),$K4275,0))</f>
        <v/>
      </c>
      <c r="V4275" s="6" t="str">
        <f>IF(AND($A4275&lt;&gt;"",$O4275=1,$L4275="Débit",N($Q4275)&gt;0,$A4275&gt;=Visualisation!$B$1,$A4275&lt;Visualisation!$D$1),MAX($V$1:V4274)+1,"")</f>
        <v/>
      </c>
    </row>
    <row r="4276" spans="1:22" x14ac:dyDescent="0.25">
      <c r="A4276" s="9"/>
      <c r="E4276" s="10"/>
      <c r="K4276" s="11" t="str">
        <f>IF($E4276="","",ROUND($E4276*IF(ISNA(MATCH($C4276,'Paramètres'!$D:$D,0)),1,IF(INDEX('Paramètres'!$J:$J,MATCH($C4276,'Paramètres'!$D:$D,0))="",1,INDEX('Paramètres'!$J:$J,MATCH($C4276,'Paramètres'!$D:$D,0)))),2))</f>
        <v/>
      </c>
      <c r="L4276" s="6" t="str">
        <f>IF($D4276="","",IF($F4276&lt;&gt;"",$F4276,IF(ISNA(MATCH($D4276,'Paramètres'!$M:$M,0)),"⚠ Type inconnu",IFERROR(INDEX('Paramètres'!$P:$P,MATCH($D4276,'Paramètres'!$M:$M,0))&amp;"",""))))</f>
        <v/>
      </c>
      <c r="M4276" s="6" t="str">
        <f>IF($D4276="","",IF(ISNA(MATCH($D4276,'Paramètres'!$M:$M,0)),"⚠ Type inconnu",IF($L4276="Crédit","",IFERROR(INDEX('Paramètres'!$O:$O,MATCH($D4276,'Paramètres'!$M:$M,0))&amp;"",""))))</f>
        <v/>
      </c>
      <c r="N4276" s="6" t="str">
        <f>IF($D4276="","",IFERROR(INDEX('Paramètres'!$Q:$Q,MATCH($D4276,'Paramètres'!$M:$M,0))&amp;"",""))</f>
        <v/>
      </c>
      <c r="O4276" s="6" t="str">
        <f>IF($A4276="","",IF(OR($J4276&lt;&gt;"x",$A4276&lt;=FinReleve),1,0))</f>
        <v/>
      </c>
      <c r="P4276" s="6" t="str">
        <f>IF($D4276="","",IF(AND($L4276="Crédit",OR(IFERROR(INDEX('Paramètres'!$O:$O,MATCH($D4276,'Paramètres'!$M:$M,0))&amp;"","")&lt;&gt;"",ISNUMBER(SEARCH("remboursement",IFERROR(INDEX('Paramètres'!$N:$N,MATCH($D4276,'Paramètres'!$M:$M,0))&amp;"",""))))),1,0))</f>
        <v/>
      </c>
      <c r="Q4276" s="6" t="str">
        <f>IF($K4276="","",IF(ISNUMBER(SEARCH("transfert-interne",IFERROR(INDEX('Paramètres'!$N:$N,MATCH($D4276,'Paramètres'!$M:$M,0))&amp;"",""))),0,IF($L4276="Débit",$K4276,IF($P4276=1,-$K4276,0))))</f>
        <v/>
      </c>
      <c r="R4276" s="6" t="str">
        <f>IF($K4276="","",IF($L4276="Crédit",$K4276,-$K4276))</f>
        <v/>
      </c>
      <c r="S4276" s="6" t="str">
        <f>IF($C4276="","",IFERROR(INDEX('Paramètres'!$H:$H,MATCH($C4276,'Paramètres'!$D:$D,0))&amp;"",""))</f>
        <v/>
      </c>
      <c r="T4276" s="6" t="str">
        <f>IF($K4276="","",IF($S4276="",0,IF(ISNUMBER(SEARCH("apport-exterieur",IFERROR(INDEX('Paramètres'!$N:$N,MATCH($D4276,'Paramètres'!$M:$M,0))&amp;"",""))),0,IF(OR(IFERROR(INDEX('Paramètres'!$I:$I,MATCH($C4276,'Paramètres'!$D:$D,0))&amp;"","")="Les deux",IFERROR(INDEX('Paramètres'!$I:$I,MATCH($C4276,'Paramètres'!$D:$D,0))&amp;"","")=IF($P4276=1,"Débit",$L4276)),-IF($P4276=1,-$K4276,$K4276),0))))</f>
        <v/>
      </c>
      <c r="U4276" s="6" t="str">
        <f>IF($K4276="","",IF(ISNUMBER(SEARCH("sortie-epargne",IFERROR(INDEX('Paramètres'!$N:$N,MATCH($D4276,'Paramètres'!$M:$M,0))&amp;"",""))),$K4276,0))</f>
        <v/>
      </c>
      <c r="V4276" s="6" t="str">
        <f>IF(AND($A4276&lt;&gt;"",$O4276=1,$L4276="Débit",N($Q4276)&gt;0,$A4276&gt;=Visualisation!$B$1,$A4276&lt;Visualisation!$D$1),MAX($V$1:V4275)+1,"")</f>
        <v/>
      </c>
    </row>
    <row r="4277" spans="1:22" x14ac:dyDescent="0.25">
      <c r="A4277" s="9"/>
      <c r="E4277" s="10"/>
      <c r="K4277" s="11" t="str">
        <f>IF($E4277="","",ROUND($E4277*IF(ISNA(MATCH($C4277,'Paramètres'!$D:$D,0)),1,IF(INDEX('Paramètres'!$J:$J,MATCH($C4277,'Paramètres'!$D:$D,0))="",1,INDEX('Paramètres'!$J:$J,MATCH($C4277,'Paramètres'!$D:$D,0)))),2))</f>
        <v/>
      </c>
      <c r="L4277" s="6" t="str">
        <f>IF($D4277="","",IF($F4277&lt;&gt;"",$F4277,IF(ISNA(MATCH($D4277,'Paramètres'!$M:$M,0)),"⚠ Type inconnu",IFERROR(INDEX('Paramètres'!$P:$P,MATCH($D4277,'Paramètres'!$M:$M,0))&amp;"",""))))</f>
        <v/>
      </c>
      <c r="M4277" s="6" t="str">
        <f>IF($D4277="","",IF(ISNA(MATCH($D4277,'Paramètres'!$M:$M,0)),"⚠ Type inconnu",IF($L4277="Crédit","",IFERROR(INDEX('Paramètres'!$O:$O,MATCH($D4277,'Paramètres'!$M:$M,0))&amp;"",""))))</f>
        <v/>
      </c>
      <c r="N4277" s="6" t="str">
        <f>IF($D4277="","",IFERROR(INDEX('Paramètres'!$Q:$Q,MATCH($D4277,'Paramètres'!$M:$M,0))&amp;"",""))</f>
        <v/>
      </c>
      <c r="O4277" s="6" t="str">
        <f>IF($A4277="","",IF(OR($J4277&lt;&gt;"x",$A4277&lt;=FinReleve),1,0))</f>
        <v/>
      </c>
      <c r="P4277" s="6" t="str">
        <f>IF($D4277="","",IF(AND($L4277="Crédit",OR(IFERROR(INDEX('Paramètres'!$O:$O,MATCH($D4277,'Paramètres'!$M:$M,0))&amp;"","")&lt;&gt;"",ISNUMBER(SEARCH("remboursement",IFERROR(INDEX('Paramètres'!$N:$N,MATCH($D4277,'Paramètres'!$M:$M,0))&amp;"",""))))),1,0))</f>
        <v/>
      </c>
      <c r="Q4277" s="6" t="str">
        <f>IF($K4277="","",IF(ISNUMBER(SEARCH("transfert-interne",IFERROR(INDEX('Paramètres'!$N:$N,MATCH($D4277,'Paramètres'!$M:$M,0))&amp;"",""))),0,IF($L4277="Débit",$K4277,IF($P4277=1,-$K4277,0))))</f>
        <v/>
      </c>
      <c r="R4277" s="6" t="str">
        <f>IF($K4277="","",IF($L4277="Crédit",$K4277,-$K4277))</f>
        <v/>
      </c>
      <c r="S4277" s="6" t="str">
        <f>IF($C4277="","",IFERROR(INDEX('Paramètres'!$H:$H,MATCH($C4277,'Paramètres'!$D:$D,0))&amp;"",""))</f>
        <v/>
      </c>
      <c r="T4277" s="6" t="str">
        <f>IF($K4277="","",IF($S4277="",0,IF(ISNUMBER(SEARCH("apport-exterieur",IFERROR(INDEX('Paramètres'!$N:$N,MATCH($D4277,'Paramètres'!$M:$M,0))&amp;"",""))),0,IF(OR(IFERROR(INDEX('Paramètres'!$I:$I,MATCH($C4277,'Paramètres'!$D:$D,0))&amp;"","")="Les deux",IFERROR(INDEX('Paramètres'!$I:$I,MATCH($C4277,'Paramètres'!$D:$D,0))&amp;"","")=IF($P4277=1,"Débit",$L4277)),-IF($P4277=1,-$K4277,$K4277),0))))</f>
        <v/>
      </c>
      <c r="U4277" s="6" t="str">
        <f>IF($K4277="","",IF(ISNUMBER(SEARCH("sortie-epargne",IFERROR(INDEX('Paramètres'!$N:$N,MATCH($D4277,'Paramètres'!$M:$M,0))&amp;"",""))),$K4277,0))</f>
        <v/>
      </c>
      <c r="V4277" s="6" t="str">
        <f>IF(AND($A4277&lt;&gt;"",$O4277=1,$L4277="Débit",N($Q4277)&gt;0,$A4277&gt;=Visualisation!$B$1,$A4277&lt;Visualisation!$D$1),MAX($V$1:V4276)+1,"")</f>
        <v/>
      </c>
    </row>
    <row r="4278" spans="1:22" x14ac:dyDescent="0.25">
      <c r="A4278" s="9"/>
      <c r="E4278" s="10"/>
      <c r="K4278" s="11" t="str">
        <f>IF($E4278="","",ROUND($E4278*IF(ISNA(MATCH($C4278,'Paramètres'!$D:$D,0)),1,IF(INDEX('Paramètres'!$J:$J,MATCH($C4278,'Paramètres'!$D:$D,0))="",1,INDEX('Paramètres'!$J:$J,MATCH($C4278,'Paramètres'!$D:$D,0)))),2))</f>
        <v/>
      </c>
      <c r="L4278" s="6" t="str">
        <f>IF($D4278="","",IF($F4278&lt;&gt;"",$F4278,IF(ISNA(MATCH($D4278,'Paramètres'!$M:$M,0)),"⚠ Type inconnu",IFERROR(INDEX('Paramètres'!$P:$P,MATCH($D4278,'Paramètres'!$M:$M,0))&amp;"",""))))</f>
        <v/>
      </c>
      <c r="M4278" s="6" t="str">
        <f>IF($D4278="","",IF(ISNA(MATCH($D4278,'Paramètres'!$M:$M,0)),"⚠ Type inconnu",IF($L4278="Crédit","",IFERROR(INDEX('Paramètres'!$O:$O,MATCH($D4278,'Paramètres'!$M:$M,0))&amp;"",""))))</f>
        <v/>
      </c>
      <c r="N4278" s="6" t="str">
        <f>IF($D4278="","",IFERROR(INDEX('Paramètres'!$Q:$Q,MATCH($D4278,'Paramètres'!$M:$M,0))&amp;"",""))</f>
        <v/>
      </c>
      <c r="O4278" s="6" t="str">
        <f>IF($A4278="","",IF(OR($J4278&lt;&gt;"x",$A4278&lt;=FinReleve),1,0))</f>
        <v/>
      </c>
      <c r="P4278" s="6" t="str">
        <f>IF($D4278="","",IF(AND($L4278="Crédit",OR(IFERROR(INDEX('Paramètres'!$O:$O,MATCH($D4278,'Paramètres'!$M:$M,0))&amp;"","")&lt;&gt;"",ISNUMBER(SEARCH("remboursement",IFERROR(INDEX('Paramètres'!$N:$N,MATCH($D4278,'Paramètres'!$M:$M,0))&amp;"",""))))),1,0))</f>
        <v/>
      </c>
      <c r="Q4278" s="6" t="str">
        <f>IF($K4278="","",IF(ISNUMBER(SEARCH("transfert-interne",IFERROR(INDEX('Paramètres'!$N:$N,MATCH($D4278,'Paramètres'!$M:$M,0))&amp;"",""))),0,IF($L4278="Débit",$K4278,IF($P4278=1,-$K4278,0))))</f>
        <v/>
      </c>
      <c r="R4278" s="6" t="str">
        <f>IF($K4278="","",IF($L4278="Crédit",$K4278,-$K4278))</f>
        <v/>
      </c>
      <c r="S4278" s="6" t="str">
        <f>IF($C4278="","",IFERROR(INDEX('Paramètres'!$H:$H,MATCH($C4278,'Paramètres'!$D:$D,0))&amp;"",""))</f>
        <v/>
      </c>
      <c r="T4278" s="6" t="str">
        <f>IF($K4278="","",IF($S4278="",0,IF(ISNUMBER(SEARCH("apport-exterieur",IFERROR(INDEX('Paramètres'!$N:$N,MATCH($D4278,'Paramètres'!$M:$M,0))&amp;"",""))),0,IF(OR(IFERROR(INDEX('Paramètres'!$I:$I,MATCH($C4278,'Paramètres'!$D:$D,0))&amp;"","")="Les deux",IFERROR(INDEX('Paramètres'!$I:$I,MATCH($C4278,'Paramètres'!$D:$D,0))&amp;"","")=IF($P4278=1,"Débit",$L4278)),-IF($P4278=1,-$K4278,$K4278),0))))</f>
        <v/>
      </c>
      <c r="U4278" s="6" t="str">
        <f>IF($K4278="","",IF(ISNUMBER(SEARCH("sortie-epargne",IFERROR(INDEX('Paramètres'!$N:$N,MATCH($D4278,'Paramètres'!$M:$M,0))&amp;"",""))),$K4278,0))</f>
        <v/>
      </c>
      <c r="V4278" s="6" t="str">
        <f>IF(AND($A4278&lt;&gt;"",$O4278=1,$L4278="Débit",N($Q4278)&gt;0,$A4278&gt;=Visualisation!$B$1,$A4278&lt;Visualisation!$D$1),MAX($V$1:V4277)+1,"")</f>
        <v/>
      </c>
    </row>
    <row r="4279" spans="1:22" x14ac:dyDescent="0.25">
      <c r="A4279" s="9"/>
      <c r="E4279" s="10"/>
      <c r="K4279" s="11" t="str">
        <f>IF($E4279="","",ROUND($E4279*IF(ISNA(MATCH($C4279,'Paramètres'!$D:$D,0)),1,IF(INDEX('Paramètres'!$J:$J,MATCH($C4279,'Paramètres'!$D:$D,0))="",1,INDEX('Paramètres'!$J:$J,MATCH($C4279,'Paramètres'!$D:$D,0)))),2))</f>
        <v/>
      </c>
      <c r="L4279" s="6" t="str">
        <f>IF($D4279="","",IF($F4279&lt;&gt;"",$F4279,IF(ISNA(MATCH($D4279,'Paramètres'!$M:$M,0)),"⚠ Type inconnu",IFERROR(INDEX('Paramètres'!$P:$P,MATCH($D4279,'Paramètres'!$M:$M,0))&amp;"",""))))</f>
        <v/>
      </c>
      <c r="M4279" s="6" t="str">
        <f>IF($D4279="","",IF(ISNA(MATCH($D4279,'Paramètres'!$M:$M,0)),"⚠ Type inconnu",IF($L4279="Crédit","",IFERROR(INDEX('Paramètres'!$O:$O,MATCH($D4279,'Paramètres'!$M:$M,0))&amp;"",""))))</f>
        <v/>
      </c>
      <c r="N4279" s="6" t="str">
        <f>IF($D4279="","",IFERROR(INDEX('Paramètres'!$Q:$Q,MATCH($D4279,'Paramètres'!$M:$M,0))&amp;"",""))</f>
        <v/>
      </c>
      <c r="O4279" s="6" t="str">
        <f>IF($A4279="","",IF(OR($J4279&lt;&gt;"x",$A4279&lt;=FinReleve),1,0))</f>
        <v/>
      </c>
      <c r="P4279" s="6" t="str">
        <f>IF($D4279="","",IF(AND($L4279="Crédit",OR(IFERROR(INDEX('Paramètres'!$O:$O,MATCH($D4279,'Paramètres'!$M:$M,0))&amp;"","")&lt;&gt;"",ISNUMBER(SEARCH("remboursement",IFERROR(INDEX('Paramètres'!$N:$N,MATCH($D4279,'Paramètres'!$M:$M,0))&amp;"",""))))),1,0))</f>
        <v/>
      </c>
      <c r="Q4279" s="6" t="str">
        <f>IF($K4279="","",IF(ISNUMBER(SEARCH("transfert-interne",IFERROR(INDEX('Paramètres'!$N:$N,MATCH($D4279,'Paramètres'!$M:$M,0))&amp;"",""))),0,IF($L4279="Débit",$K4279,IF($P4279=1,-$K4279,0))))</f>
        <v/>
      </c>
      <c r="R4279" s="6" t="str">
        <f>IF($K4279="","",IF($L4279="Crédit",$K4279,-$K4279))</f>
        <v/>
      </c>
      <c r="S4279" s="6" t="str">
        <f>IF($C4279="","",IFERROR(INDEX('Paramètres'!$H:$H,MATCH($C4279,'Paramètres'!$D:$D,0))&amp;"",""))</f>
        <v/>
      </c>
      <c r="T4279" s="6" t="str">
        <f>IF($K4279="","",IF($S4279="",0,IF(ISNUMBER(SEARCH("apport-exterieur",IFERROR(INDEX('Paramètres'!$N:$N,MATCH($D4279,'Paramètres'!$M:$M,0))&amp;"",""))),0,IF(OR(IFERROR(INDEX('Paramètres'!$I:$I,MATCH($C4279,'Paramètres'!$D:$D,0))&amp;"","")="Les deux",IFERROR(INDEX('Paramètres'!$I:$I,MATCH($C4279,'Paramètres'!$D:$D,0))&amp;"","")=IF($P4279=1,"Débit",$L4279)),-IF($P4279=1,-$K4279,$K4279),0))))</f>
        <v/>
      </c>
      <c r="U4279" s="6" t="str">
        <f>IF($K4279="","",IF(ISNUMBER(SEARCH("sortie-epargne",IFERROR(INDEX('Paramètres'!$N:$N,MATCH($D4279,'Paramètres'!$M:$M,0))&amp;"",""))),$K4279,0))</f>
        <v/>
      </c>
      <c r="V4279" s="6" t="str">
        <f>IF(AND($A4279&lt;&gt;"",$O4279=1,$L4279="Débit",N($Q4279)&gt;0,$A4279&gt;=Visualisation!$B$1,$A4279&lt;Visualisation!$D$1),MAX($V$1:V4278)+1,"")</f>
        <v/>
      </c>
    </row>
    <row r="4280" spans="1:22" x14ac:dyDescent="0.25">
      <c r="A4280" s="9"/>
      <c r="E4280" s="10"/>
      <c r="K4280" s="11" t="str">
        <f>IF($E4280="","",ROUND($E4280*IF(ISNA(MATCH($C4280,'Paramètres'!$D:$D,0)),1,IF(INDEX('Paramètres'!$J:$J,MATCH($C4280,'Paramètres'!$D:$D,0))="",1,INDEX('Paramètres'!$J:$J,MATCH($C4280,'Paramètres'!$D:$D,0)))),2))</f>
        <v/>
      </c>
      <c r="L4280" s="6" t="str">
        <f>IF($D4280="","",IF($F4280&lt;&gt;"",$F4280,IF(ISNA(MATCH($D4280,'Paramètres'!$M:$M,0)),"⚠ Type inconnu",IFERROR(INDEX('Paramètres'!$P:$P,MATCH($D4280,'Paramètres'!$M:$M,0))&amp;"",""))))</f>
        <v/>
      </c>
      <c r="M4280" s="6" t="str">
        <f>IF($D4280="","",IF(ISNA(MATCH($D4280,'Paramètres'!$M:$M,0)),"⚠ Type inconnu",IF($L4280="Crédit","",IFERROR(INDEX('Paramètres'!$O:$O,MATCH($D4280,'Paramètres'!$M:$M,0))&amp;"",""))))</f>
        <v/>
      </c>
      <c r="N4280" s="6" t="str">
        <f>IF($D4280="","",IFERROR(INDEX('Paramètres'!$Q:$Q,MATCH($D4280,'Paramètres'!$M:$M,0))&amp;"",""))</f>
        <v/>
      </c>
      <c r="O4280" s="6" t="str">
        <f>IF($A4280="","",IF(OR($J4280&lt;&gt;"x",$A4280&lt;=FinReleve),1,0))</f>
        <v/>
      </c>
      <c r="P4280" s="6" t="str">
        <f>IF($D4280="","",IF(AND($L4280="Crédit",OR(IFERROR(INDEX('Paramètres'!$O:$O,MATCH($D4280,'Paramètres'!$M:$M,0))&amp;"","")&lt;&gt;"",ISNUMBER(SEARCH("remboursement",IFERROR(INDEX('Paramètres'!$N:$N,MATCH($D4280,'Paramètres'!$M:$M,0))&amp;"",""))))),1,0))</f>
        <v/>
      </c>
      <c r="Q4280" s="6" t="str">
        <f>IF($K4280="","",IF(ISNUMBER(SEARCH("transfert-interne",IFERROR(INDEX('Paramètres'!$N:$N,MATCH($D4280,'Paramètres'!$M:$M,0))&amp;"",""))),0,IF($L4280="Débit",$K4280,IF($P4280=1,-$K4280,0))))</f>
        <v/>
      </c>
      <c r="R4280" s="6" t="str">
        <f>IF($K4280="","",IF($L4280="Crédit",$K4280,-$K4280))</f>
        <v/>
      </c>
      <c r="S4280" s="6" t="str">
        <f>IF($C4280="","",IFERROR(INDEX('Paramètres'!$H:$H,MATCH($C4280,'Paramètres'!$D:$D,0))&amp;"",""))</f>
        <v/>
      </c>
      <c r="T4280" s="6" t="str">
        <f>IF($K4280="","",IF($S4280="",0,IF(ISNUMBER(SEARCH("apport-exterieur",IFERROR(INDEX('Paramètres'!$N:$N,MATCH($D4280,'Paramètres'!$M:$M,0))&amp;"",""))),0,IF(OR(IFERROR(INDEX('Paramètres'!$I:$I,MATCH($C4280,'Paramètres'!$D:$D,0))&amp;"","")="Les deux",IFERROR(INDEX('Paramètres'!$I:$I,MATCH($C4280,'Paramètres'!$D:$D,0))&amp;"","")=IF($P4280=1,"Débit",$L4280)),-IF($P4280=1,-$K4280,$K4280),0))))</f>
        <v/>
      </c>
      <c r="U4280" s="6" t="str">
        <f>IF($K4280="","",IF(ISNUMBER(SEARCH("sortie-epargne",IFERROR(INDEX('Paramètres'!$N:$N,MATCH($D4280,'Paramètres'!$M:$M,0))&amp;"",""))),$K4280,0))</f>
        <v/>
      </c>
      <c r="V4280" s="6" t="str">
        <f>IF(AND($A4280&lt;&gt;"",$O4280=1,$L4280="Débit",N($Q4280)&gt;0,$A4280&gt;=Visualisation!$B$1,$A4280&lt;Visualisation!$D$1),MAX($V$1:V4279)+1,"")</f>
        <v/>
      </c>
    </row>
    <row r="4281" spans="1:22" x14ac:dyDescent="0.25">
      <c r="A4281" s="9"/>
      <c r="E4281" s="10"/>
      <c r="K4281" s="11" t="str">
        <f>IF($E4281="","",ROUND($E4281*IF(ISNA(MATCH($C4281,'Paramètres'!$D:$D,0)),1,IF(INDEX('Paramètres'!$J:$J,MATCH($C4281,'Paramètres'!$D:$D,0))="",1,INDEX('Paramètres'!$J:$J,MATCH($C4281,'Paramètres'!$D:$D,0)))),2))</f>
        <v/>
      </c>
      <c r="L4281" s="6" t="str">
        <f>IF($D4281="","",IF($F4281&lt;&gt;"",$F4281,IF(ISNA(MATCH($D4281,'Paramètres'!$M:$M,0)),"⚠ Type inconnu",IFERROR(INDEX('Paramètres'!$P:$P,MATCH($D4281,'Paramètres'!$M:$M,0))&amp;"",""))))</f>
        <v/>
      </c>
      <c r="M4281" s="6" t="str">
        <f>IF($D4281="","",IF(ISNA(MATCH($D4281,'Paramètres'!$M:$M,0)),"⚠ Type inconnu",IF($L4281="Crédit","",IFERROR(INDEX('Paramètres'!$O:$O,MATCH($D4281,'Paramètres'!$M:$M,0))&amp;"",""))))</f>
        <v/>
      </c>
      <c r="N4281" s="6" t="str">
        <f>IF($D4281="","",IFERROR(INDEX('Paramètres'!$Q:$Q,MATCH($D4281,'Paramètres'!$M:$M,0))&amp;"",""))</f>
        <v/>
      </c>
      <c r="O4281" s="6" t="str">
        <f>IF($A4281="","",IF(OR($J4281&lt;&gt;"x",$A4281&lt;=FinReleve),1,0))</f>
        <v/>
      </c>
      <c r="P4281" s="6" t="str">
        <f>IF($D4281="","",IF(AND($L4281="Crédit",OR(IFERROR(INDEX('Paramètres'!$O:$O,MATCH($D4281,'Paramètres'!$M:$M,0))&amp;"","")&lt;&gt;"",ISNUMBER(SEARCH("remboursement",IFERROR(INDEX('Paramètres'!$N:$N,MATCH($D4281,'Paramètres'!$M:$M,0))&amp;"",""))))),1,0))</f>
        <v/>
      </c>
      <c r="Q4281" s="6" t="str">
        <f>IF($K4281="","",IF(ISNUMBER(SEARCH("transfert-interne",IFERROR(INDEX('Paramètres'!$N:$N,MATCH($D4281,'Paramètres'!$M:$M,0))&amp;"",""))),0,IF($L4281="Débit",$K4281,IF($P4281=1,-$K4281,0))))</f>
        <v/>
      </c>
      <c r="R4281" s="6" t="str">
        <f>IF($K4281="","",IF($L4281="Crédit",$K4281,-$K4281))</f>
        <v/>
      </c>
      <c r="S4281" s="6" t="str">
        <f>IF($C4281="","",IFERROR(INDEX('Paramètres'!$H:$H,MATCH($C4281,'Paramètres'!$D:$D,0))&amp;"",""))</f>
        <v/>
      </c>
      <c r="T4281" s="6" t="str">
        <f>IF($K4281="","",IF($S4281="",0,IF(ISNUMBER(SEARCH("apport-exterieur",IFERROR(INDEX('Paramètres'!$N:$N,MATCH($D4281,'Paramètres'!$M:$M,0))&amp;"",""))),0,IF(OR(IFERROR(INDEX('Paramètres'!$I:$I,MATCH($C4281,'Paramètres'!$D:$D,0))&amp;"","")="Les deux",IFERROR(INDEX('Paramètres'!$I:$I,MATCH($C4281,'Paramètres'!$D:$D,0))&amp;"","")=IF($P4281=1,"Débit",$L4281)),-IF($P4281=1,-$K4281,$K4281),0))))</f>
        <v/>
      </c>
      <c r="U4281" s="6" t="str">
        <f>IF($K4281="","",IF(ISNUMBER(SEARCH("sortie-epargne",IFERROR(INDEX('Paramètres'!$N:$N,MATCH($D4281,'Paramètres'!$M:$M,0))&amp;"",""))),$K4281,0))</f>
        <v/>
      </c>
      <c r="V4281" s="6" t="str">
        <f>IF(AND($A4281&lt;&gt;"",$O4281=1,$L4281="Débit",N($Q4281)&gt;0,$A4281&gt;=Visualisation!$B$1,$A4281&lt;Visualisation!$D$1),MAX($V$1:V4280)+1,"")</f>
        <v/>
      </c>
    </row>
    <row r="4282" spans="1:22" x14ac:dyDescent="0.25">
      <c r="A4282" s="9"/>
      <c r="E4282" s="10"/>
      <c r="K4282" s="11" t="str">
        <f>IF($E4282="","",ROUND($E4282*IF(ISNA(MATCH($C4282,'Paramètres'!$D:$D,0)),1,IF(INDEX('Paramètres'!$J:$J,MATCH($C4282,'Paramètres'!$D:$D,0))="",1,INDEX('Paramètres'!$J:$J,MATCH($C4282,'Paramètres'!$D:$D,0)))),2))</f>
        <v/>
      </c>
      <c r="L4282" s="6" t="str">
        <f>IF($D4282="","",IF($F4282&lt;&gt;"",$F4282,IF(ISNA(MATCH($D4282,'Paramètres'!$M:$M,0)),"⚠ Type inconnu",IFERROR(INDEX('Paramètres'!$P:$P,MATCH($D4282,'Paramètres'!$M:$M,0))&amp;"",""))))</f>
        <v/>
      </c>
      <c r="M4282" s="6" t="str">
        <f>IF($D4282="","",IF(ISNA(MATCH($D4282,'Paramètres'!$M:$M,0)),"⚠ Type inconnu",IF($L4282="Crédit","",IFERROR(INDEX('Paramètres'!$O:$O,MATCH($D4282,'Paramètres'!$M:$M,0))&amp;"",""))))</f>
        <v/>
      </c>
      <c r="N4282" s="6" t="str">
        <f>IF($D4282="","",IFERROR(INDEX('Paramètres'!$Q:$Q,MATCH($D4282,'Paramètres'!$M:$M,0))&amp;"",""))</f>
        <v/>
      </c>
      <c r="O4282" s="6" t="str">
        <f>IF($A4282="","",IF(OR($J4282&lt;&gt;"x",$A4282&lt;=FinReleve),1,0))</f>
        <v/>
      </c>
      <c r="P4282" s="6" t="str">
        <f>IF($D4282="","",IF(AND($L4282="Crédit",OR(IFERROR(INDEX('Paramètres'!$O:$O,MATCH($D4282,'Paramètres'!$M:$M,0))&amp;"","")&lt;&gt;"",ISNUMBER(SEARCH("remboursement",IFERROR(INDEX('Paramètres'!$N:$N,MATCH($D4282,'Paramètres'!$M:$M,0))&amp;"",""))))),1,0))</f>
        <v/>
      </c>
      <c r="Q4282" s="6" t="str">
        <f>IF($K4282="","",IF(ISNUMBER(SEARCH("transfert-interne",IFERROR(INDEX('Paramètres'!$N:$N,MATCH($D4282,'Paramètres'!$M:$M,0))&amp;"",""))),0,IF($L4282="Débit",$K4282,IF($P4282=1,-$K4282,0))))</f>
        <v/>
      </c>
      <c r="R4282" s="6" t="str">
        <f>IF($K4282="","",IF($L4282="Crédit",$K4282,-$K4282))</f>
        <v/>
      </c>
      <c r="S4282" s="6" t="str">
        <f>IF($C4282="","",IFERROR(INDEX('Paramètres'!$H:$H,MATCH($C4282,'Paramètres'!$D:$D,0))&amp;"",""))</f>
        <v/>
      </c>
      <c r="T4282" s="6" t="str">
        <f>IF($K4282="","",IF($S4282="",0,IF(ISNUMBER(SEARCH("apport-exterieur",IFERROR(INDEX('Paramètres'!$N:$N,MATCH($D4282,'Paramètres'!$M:$M,0))&amp;"",""))),0,IF(OR(IFERROR(INDEX('Paramètres'!$I:$I,MATCH($C4282,'Paramètres'!$D:$D,0))&amp;"","")="Les deux",IFERROR(INDEX('Paramètres'!$I:$I,MATCH($C4282,'Paramètres'!$D:$D,0))&amp;"","")=IF($P4282=1,"Débit",$L4282)),-IF($P4282=1,-$K4282,$K4282),0))))</f>
        <v/>
      </c>
      <c r="U4282" s="6" t="str">
        <f>IF($K4282="","",IF(ISNUMBER(SEARCH("sortie-epargne",IFERROR(INDEX('Paramètres'!$N:$N,MATCH($D4282,'Paramètres'!$M:$M,0))&amp;"",""))),$K4282,0))</f>
        <v/>
      </c>
      <c r="V4282" s="6" t="str">
        <f>IF(AND($A4282&lt;&gt;"",$O4282=1,$L4282="Débit",N($Q4282)&gt;0,$A4282&gt;=Visualisation!$B$1,$A4282&lt;Visualisation!$D$1),MAX($V$1:V4281)+1,"")</f>
        <v/>
      </c>
    </row>
    <row r="4283" spans="1:22" x14ac:dyDescent="0.25">
      <c r="A4283" s="9"/>
      <c r="E4283" s="10"/>
      <c r="K4283" s="11" t="str">
        <f>IF($E4283="","",ROUND($E4283*IF(ISNA(MATCH($C4283,'Paramètres'!$D:$D,0)),1,IF(INDEX('Paramètres'!$J:$J,MATCH($C4283,'Paramètres'!$D:$D,0))="",1,INDEX('Paramètres'!$J:$J,MATCH($C4283,'Paramètres'!$D:$D,0)))),2))</f>
        <v/>
      </c>
      <c r="L4283" s="6" t="str">
        <f>IF($D4283="","",IF($F4283&lt;&gt;"",$F4283,IF(ISNA(MATCH($D4283,'Paramètres'!$M:$M,0)),"⚠ Type inconnu",IFERROR(INDEX('Paramètres'!$P:$P,MATCH($D4283,'Paramètres'!$M:$M,0))&amp;"",""))))</f>
        <v/>
      </c>
      <c r="M4283" s="6" t="str">
        <f>IF($D4283="","",IF(ISNA(MATCH($D4283,'Paramètres'!$M:$M,0)),"⚠ Type inconnu",IF($L4283="Crédit","",IFERROR(INDEX('Paramètres'!$O:$O,MATCH($D4283,'Paramètres'!$M:$M,0))&amp;"",""))))</f>
        <v/>
      </c>
      <c r="N4283" s="6" t="str">
        <f>IF($D4283="","",IFERROR(INDEX('Paramètres'!$Q:$Q,MATCH($D4283,'Paramètres'!$M:$M,0))&amp;"",""))</f>
        <v/>
      </c>
      <c r="O4283" s="6" t="str">
        <f>IF($A4283="","",IF(OR($J4283&lt;&gt;"x",$A4283&lt;=FinReleve),1,0))</f>
        <v/>
      </c>
      <c r="P4283" s="6" t="str">
        <f>IF($D4283="","",IF(AND($L4283="Crédit",OR(IFERROR(INDEX('Paramètres'!$O:$O,MATCH($D4283,'Paramètres'!$M:$M,0))&amp;"","")&lt;&gt;"",ISNUMBER(SEARCH("remboursement",IFERROR(INDEX('Paramètres'!$N:$N,MATCH($D4283,'Paramètres'!$M:$M,0))&amp;"",""))))),1,0))</f>
        <v/>
      </c>
      <c r="Q4283" s="6" t="str">
        <f>IF($K4283="","",IF(ISNUMBER(SEARCH("transfert-interne",IFERROR(INDEX('Paramètres'!$N:$N,MATCH($D4283,'Paramètres'!$M:$M,0))&amp;"",""))),0,IF($L4283="Débit",$K4283,IF($P4283=1,-$K4283,0))))</f>
        <v/>
      </c>
      <c r="R4283" s="6" t="str">
        <f>IF($K4283="","",IF($L4283="Crédit",$K4283,-$K4283))</f>
        <v/>
      </c>
      <c r="S4283" s="6" t="str">
        <f>IF($C4283="","",IFERROR(INDEX('Paramètres'!$H:$H,MATCH($C4283,'Paramètres'!$D:$D,0))&amp;"",""))</f>
        <v/>
      </c>
      <c r="T4283" s="6" t="str">
        <f>IF($K4283="","",IF($S4283="",0,IF(ISNUMBER(SEARCH("apport-exterieur",IFERROR(INDEX('Paramètres'!$N:$N,MATCH($D4283,'Paramètres'!$M:$M,0))&amp;"",""))),0,IF(OR(IFERROR(INDEX('Paramètres'!$I:$I,MATCH($C4283,'Paramètres'!$D:$D,0))&amp;"","")="Les deux",IFERROR(INDEX('Paramètres'!$I:$I,MATCH($C4283,'Paramètres'!$D:$D,0))&amp;"","")=IF($P4283=1,"Débit",$L4283)),-IF($P4283=1,-$K4283,$K4283),0))))</f>
        <v/>
      </c>
      <c r="U4283" s="6" t="str">
        <f>IF($K4283="","",IF(ISNUMBER(SEARCH("sortie-epargne",IFERROR(INDEX('Paramètres'!$N:$N,MATCH($D4283,'Paramètres'!$M:$M,0))&amp;"",""))),$K4283,0))</f>
        <v/>
      </c>
      <c r="V4283" s="6" t="str">
        <f>IF(AND($A4283&lt;&gt;"",$O4283=1,$L4283="Débit",N($Q4283)&gt;0,$A4283&gt;=Visualisation!$B$1,$A4283&lt;Visualisation!$D$1),MAX($V$1:V4282)+1,"")</f>
        <v/>
      </c>
    </row>
    <row r="4284" spans="1:22" x14ac:dyDescent="0.25">
      <c r="A4284" s="9"/>
      <c r="E4284" s="10"/>
      <c r="K4284" s="11" t="str">
        <f>IF($E4284="","",ROUND($E4284*IF(ISNA(MATCH($C4284,'Paramètres'!$D:$D,0)),1,IF(INDEX('Paramètres'!$J:$J,MATCH($C4284,'Paramètres'!$D:$D,0))="",1,INDEX('Paramètres'!$J:$J,MATCH($C4284,'Paramètres'!$D:$D,0)))),2))</f>
        <v/>
      </c>
      <c r="L4284" s="6" t="str">
        <f>IF($D4284="","",IF($F4284&lt;&gt;"",$F4284,IF(ISNA(MATCH($D4284,'Paramètres'!$M:$M,0)),"⚠ Type inconnu",IFERROR(INDEX('Paramètres'!$P:$P,MATCH($D4284,'Paramètres'!$M:$M,0))&amp;"",""))))</f>
        <v/>
      </c>
      <c r="M4284" s="6" t="str">
        <f>IF($D4284="","",IF(ISNA(MATCH($D4284,'Paramètres'!$M:$M,0)),"⚠ Type inconnu",IF($L4284="Crédit","",IFERROR(INDEX('Paramètres'!$O:$O,MATCH($D4284,'Paramètres'!$M:$M,0))&amp;"",""))))</f>
        <v/>
      </c>
      <c r="N4284" s="6" t="str">
        <f>IF($D4284="","",IFERROR(INDEX('Paramètres'!$Q:$Q,MATCH($D4284,'Paramètres'!$M:$M,0))&amp;"",""))</f>
        <v/>
      </c>
      <c r="O4284" s="6" t="str">
        <f>IF($A4284="","",IF(OR($J4284&lt;&gt;"x",$A4284&lt;=FinReleve),1,0))</f>
        <v/>
      </c>
      <c r="P4284" s="6" t="str">
        <f>IF($D4284="","",IF(AND($L4284="Crédit",OR(IFERROR(INDEX('Paramètres'!$O:$O,MATCH($D4284,'Paramètres'!$M:$M,0))&amp;"","")&lt;&gt;"",ISNUMBER(SEARCH("remboursement",IFERROR(INDEX('Paramètres'!$N:$N,MATCH($D4284,'Paramètres'!$M:$M,0))&amp;"",""))))),1,0))</f>
        <v/>
      </c>
      <c r="Q4284" s="6" t="str">
        <f>IF($K4284="","",IF(ISNUMBER(SEARCH("transfert-interne",IFERROR(INDEX('Paramètres'!$N:$N,MATCH($D4284,'Paramètres'!$M:$M,0))&amp;"",""))),0,IF($L4284="Débit",$K4284,IF($P4284=1,-$K4284,0))))</f>
        <v/>
      </c>
      <c r="R4284" s="6" t="str">
        <f>IF($K4284="","",IF($L4284="Crédit",$K4284,-$K4284))</f>
        <v/>
      </c>
      <c r="S4284" s="6" t="str">
        <f>IF($C4284="","",IFERROR(INDEX('Paramètres'!$H:$H,MATCH($C4284,'Paramètres'!$D:$D,0))&amp;"",""))</f>
        <v/>
      </c>
      <c r="T4284" s="6" t="str">
        <f>IF($K4284="","",IF($S4284="",0,IF(ISNUMBER(SEARCH("apport-exterieur",IFERROR(INDEX('Paramètres'!$N:$N,MATCH($D4284,'Paramètres'!$M:$M,0))&amp;"",""))),0,IF(OR(IFERROR(INDEX('Paramètres'!$I:$I,MATCH($C4284,'Paramètres'!$D:$D,0))&amp;"","")="Les deux",IFERROR(INDEX('Paramètres'!$I:$I,MATCH($C4284,'Paramètres'!$D:$D,0))&amp;"","")=IF($P4284=1,"Débit",$L4284)),-IF($P4284=1,-$K4284,$K4284),0))))</f>
        <v/>
      </c>
      <c r="U4284" s="6" t="str">
        <f>IF($K4284="","",IF(ISNUMBER(SEARCH("sortie-epargne",IFERROR(INDEX('Paramètres'!$N:$N,MATCH($D4284,'Paramètres'!$M:$M,0))&amp;"",""))),$K4284,0))</f>
        <v/>
      </c>
      <c r="V4284" s="6" t="str">
        <f>IF(AND($A4284&lt;&gt;"",$O4284=1,$L4284="Débit",N($Q4284)&gt;0,$A4284&gt;=Visualisation!$B$1,$A4284&lt;Visualisation!$D$1),MAX($V$1:V4283)+1,"")</f>
        <v/>
      </c>
    </row>
    <row r="4285" spans="1:22" x14ac:dyDescent="0.25">
      <c r="A4285" s="9"/>
      <c r="E4285" s="10"/>
      <c r="K4285" s="11" t="str">
        <f>IF($E4285="","",ROUND($E4285*IF(ISNA(MATCH($C4285,'Paramètres'!$D:$D,0)),1,IF(INDEX('Paramètres'!$J:$J,MATCH($C4285,'Paramètres'!$D:$D,0))="",1,INDEX('Paramètres'!$J:$J,MATCH($C4285,'Paramètres'!$D:$D,0)))),2))</f>
        <v/>
      </c>
      <c r="L4285" s="6" t="str">
        <f>IF($D4285="","",IF($F4285&lt;&gt;"",$F4285,IF(ISNA(MATCH($D4285,'Paramètres'!$M:$M,0)),"⚠ Type inconnu",IFERROR(INDEX('Paramètres'!$P:$P,MATCH($D4285,'Paramètres'!$M:$M,0))&amp;"",""))))</f>
        <v/>
      </c>
      <c r="M4285" s="6" t="str">
        <f>IF($D4285="","",IF(ISNA(MATCH($D4285,'Paramètres'!$M:$M,0)),"⚠ Type inconnu",IF($L4285="Crédit","",IFERROR(INDEX('Paramètres'!$O:$O,MATCH($D4285,'Paramètres'!$M:$M,0))&amp;"",""))))</f>
        <v/>
      </c>
      <c r="N4285" s="6" t="str">
        <f>IF($D4285="","",IFERROR(INDEX('Paramètres'!$Q:$Q,MATCH($D4285,'Paramètres'!$M:$M,0))&amp;"",""))</f>
        <v/>
      </c>
      <c r="O4285" s="6" t="str">
        <f>IF($A4285="","",IF(OR($J4285&lt;&gt;"x",$A4285&lt;=FinReleve),1,0))</f>
        <v/>
      </c>
      <c r="P4285" s="6" t="str">
        <f>IF($D4285="","",IF(AND($L4285="Crédit",OR(IFERROR(INDEX('Paramètres'!$O:$O,MATCH($D4285,'Paramètres'!$M:$M,0))&amp;"","")&lt;&gt;"",ISNUMBER(SEARCH("remboursement",IFERROR(INDEX('Paramètres'!$N:$N,MATCH($D4285,'Paramètres'!$M:$M,0))&amp;"",""))))),1,0))</f>
        <v/>
      </c>
      <c r="Q4285" s="6" t="str">
        <f>IF($K4285="","",IF(ISNUMBER(SEARCH("transfert-interne",IFERROR(INDEX('Paramètres'!$N:$N,MATCH($D4285,'Paramètres'!$M:$M,0))&amp;"",""))),0,IF($L4285="Débit",$K4285,IF($P4285=1,-$K4285,0))))</f>
        <v/>
      </c>
      <c r="R4285" s="6" t="str">
        <f>IF($K4285="","",IF($L4285="Crédit",$K4285,-$K4285))</f>
        <v/>
      </c>
      <c r="S4285" s="6" t="str">
        <f>IF($C4285="","",IFERROR(INDEX('Paramètres'!$H:$H,MATCH($C4285,'Paramètres'!$D:$D,0))&amp;"",""))</f>
        <v/>
      </c>
      <c r="T4285" s="6" t="str">
        <f>IF($K4285="","",IF($S4285="",0,IF(ISNUMBER(SEARCH("apport-exterieur",IFERROR(INDEX('Paramètres'!$N:$N,MATCH($D4285,'Paramètres'!$M:$M,0))&amp;"",""))),0,IF(OR(IFERROR(INDEX('Paramètres'!$I:$I,MATCH($C4285,'Paramètres'!$D:$D,0))&amp;"","")="Les deux",IFERROR(INDEX('Paramètres'!$I:$I,MATCH($C4285,'Paramètres'!$D:$D,0))&amp;"","")=IF($P4285=1,"Débit",$L4285)),-IF($P4285=1,-$K4285,$K4285),0))))</f>
        <v/>
      </c>
      <c r="U4285" s="6" t="str">
        <f>IF($K4285="","",IF(ISNUMBER(SEARCH("sortie-epargne",IFERROR(INDEX('Paramètres'!$N:$N,MATCH($D4285,'Paramètres'!$M:$M,0))&amp;"",""))),$K4285,0))</f>
        <v/>
      </c>
      <c r="V4285" s="6" t="str">
        <f>IF(AND($A4285&lt;&gt;"",$O4285=1,$L4285="Débit",N($Q4285)&gt;0,$A4285&gt;=Visualisation!$B$1,$A4285&lt;Visualisation!$D$1),MAX($V$1:V4284)+1,"")</f>
        <v/>
      </c>
    </row>
    <row r="4286" spans="1:22" x14ac:dyDescent="0.25">
      <c r="A4286" s="9"/>
      <c r="E4286" s="10"/>
      <c r="K4286" s="11" t="str">
        <f>IF($E4286="","",ROUND($E4286*IF(ISNA(MATCH($C4286,'Paramètres'!$D:$D,0)),1,IF(INDEX('Paramètres'!$J:$J,MATCH($C4286,'Paramètres'!$D:$D,0))="",1,INDEX('Paramètres'!$J:$J,MATCH($C4286,'Paramètres'!$D:$D,0)))),2))</f>
        <v/>
      </c>
      <c r="L4286" s="6" t="str">
        <f>IF($D4286="","",IF($F4286&lt;&gt;"",$F4286,IF(ISNA(MATCH($D4286,'Paramètres'!$M:$M,0)),"⚠ Type inconnu",IFERROR(INDEX('Paramètres'!$P:$P,MATCH($D4286,'Paramètres'!$M:$M,0))&amp;"",""))))</f>
        <v/>
      </c>
      <c r="M4286" s="6" t="str">
        <f>IF($D4286="","",IF(ISNA(MATCH($D4286,'Paramètres'!$M:$M,0)),"⚠ Type inconnu",IF($L4286="Crédit","",IFERROR(INDEX('Paramètres'!$O:$O,MATCH($D4286,'Paramètres'!$M:$M,0))&amp;"",""))))</f>
        <v/>
      </c>
      <c r="N4286" s="6" t="str">
        <f>IF($D4286="","",IFERROR(INDEX('Paramètres'!$Q:$Q,MATCH($D4286,'Paramètres'!$M:$M,0))&amp;"",""))</f>
        <v/>
      </c>
      <c r="O4286" s="6" t="str">
        <f>IF($A4286="","",IF(OR($J4286&lt;&gt;"x",$A4286&lt;=FinReleve),1,0))</f>
        <v/>
      </c>
      <c r="P4286" s="6" t="str">
        <f>IF($D4286="","",IF(AND($L4286="Crédit",OR(IFERROR(INDEX('Paramètres'!$O:$O,MATCH($D4286,'Paramètres'!$M:$M,0))&amp;"","")&lt;&gt;"",ISNUMBER(SEARCH("remboursement",IFERROR(INDEX('Paramètres'!$N:$N,MATCH($D4286,'Paramètres'!$M:$M,0))&amp;"",""))))),1,0))</f>
        <v/>
      </c>
      <c r="Q4286" s="6" t="str">
        <f>IF($K4286="","",IF(ISNUMBER(SEARCH("transfert-interne",IFERROR(INDEX('Paramètres'!$N:$N,MATCH($D4286,'Paramètres'!$M:$M,0))&amp;"",""))),0,IF($L4286="Débit",$K4286,IF($P4286=1,-$K4286,0))))</f>
        <v/>
      </c>
      <c r="R4286" s="6" t="str">
        <f>IF($K4286="","",IF($L4286="Crédit",$K4286,-$K4286))</f>
        <v/>
      </c>
      <c r="S4286" s="6" t="str">
        <f>IF($C4286="","",IFERROR(INDEX('Paramètres'!$H:$H,MATCH($C4286,'Paramètres'!$D:$D,0))&amp;"",""))</f>
        <v/>
      </c>
      <c r="T4286" s="6" t="str">
        <f>IF($K4286="","",IF($S4286="",0,IF(ISNUMBER(SEARCH("apport-exterieur",IFERROR(INDEX('Paramètres'!$N:$N,MATCH($D4286,'Paramètres'!$M:$M,0))&amp;"",""))),0,IF(OR(IFERROR(INDEX('Paramètres'!$I:$I,MATCH($C4286,'Paramètres'!$D:$D,0))&amp;"","")="Les deux",IFERROR(INDEX('Paramètres'!$I:$I,MATCH($C4286,'Paramètres'!$D:$D,0))&amp;"","")=IF($P4286=1,"Débit",$L4286)),-IF($P4286=1,-$K4286,$K4286),0))))</f>
        <v/>
      </c>
      <c r="U4286" s="6" t="str">
        <f>IF($K4286="","",IF(ISNUMBER(SEARCH("sortie-epargne",IFERROR(INDEX('Paramètres'!$N:$N,MATCH($D4286,'Paramètres'!$M:$M,0))&amp;"",""))),$K4286,0))</f>
        <v/>
      </c>
      <c r="V4286" s="6" t="str">
        <f>IF(AND($A4286&lt;&gt;"",$O4286=1,$L4286="Débit",N($Q4286)&gt;0,$A4286&gt;=Visualisation!$B$1,$A4286&lt;Visualisation!$D$1),MAX($V$1:V4285)+1,"")</f>
        <v/>
      </c>
    </row>
    <row r="4287" spans="1:22" x14ac:dyDescent="0.25">
      <c r="A4287" s="9"/>
      <c r="E4287" s="10"/>
      <c r="K4287" s="11" t="str">
        <f>IF($E4287="","",ROUND($E4287*IF(ISNA(MATCH($C4287,'Paramètres'!$D:$D,0)),1,IF(INDEX('Paramètres'!$J:$J,MATCH($C4287,'Paramètres'!$D:$D,0))="",1,INDEX('Paramètres'!$J:$J,MATCH($C4287,'Paramètres'!$D:$D,0)))),2))</f>
        <v/>
      </c>
      <c r="L4287" s="6" t="str">
        <f>IF($D4287="","",IF($F4287&lt;&gt;"",$F4287,IF(ISNA(MATCH($D4287,'Paramètres'!$M:$M,0)),"⚠ Type inconnu",IFERROR(INDEX('Paramètres'!$P:$P,MATCH($D4287,'Paramètres'!$M:$M,0))&amp;"",""))))</f>
        <v/>
      </c>
      <c r="M4287" s="6" t="str">
        <f>IF($D4287="","",IF(ISNA(MATCH($D4287,'Paramètres'!$M:$M,0)),"⚠ Type inconnu",IF($L4287="Crédit","",IFERROR(INDEX('Paramètres'!$O:$O,MATCH($D4287,'Paramètres'!$M:$M,0))&amp;"",""))))</f>
        <v/>
      </c>
      <c r="N4287" s="6" t="str">
        <f>IF($D4287="","",IFERROR(INDEX('Paramètres'!$Q:$Q,MATCH($D4287,'Paramètres'!$M:$M,0))&amp;"",""))</f>
        <v/>
      </c>
      <c r="O4287" s="6" t="str">
        <f>IF($A4287="","",IF(OR($J4287&lt;&gt;"x",$A4287&lt;=FinReleve),1,0))</f>
        <v/>
      </c>
      <c r="P4287" s="6" t="str">
        <f>IF($D4287="","",IF(AND($L4287="Crédit",OR(IFERROR(INDEX('Paramètres'!$O:$O,MATCH($D4287,'Paramètres'!$M:$M,0))&amp;"","")&lt;&gt;"",ISNUMBER(SEARCH("remboursement",IFERROR(INDEX('Paramètres'!$N:$N,MATCH($D4287,'Paramètres'!$M:$M,0))&amp;"",""))))),1,0))</f>
        <v/>
      </c>
      <c r="Q4287" s="6" t="str">
        <f>IF($K4287="","",IF(ISNUMBER(SEARCH("transfert-interne",IFERROR(INDEX('Paramètres'!$N:$N,MATCH($D4287,'Paramètres'!$M:$M,0))&amp;"",""))),0,IF($L4287="Débit",$K4287,IF($P4287=1,-$K4287,0))))</f>
        <v/>
      </c>
      <c r="R4287" s="6" t="str">
        <f>IF($K4287="","",IF($L4287="Crédit",$K4287,-$K4287))</f>
        <v/>
      </c>
      <c r="S4287" s="6" t="str">
        <f>IF($C4287="","",IFERROR(INDEX('Paramètres'!$H:$H,MATCH($C4287,'Paramètres'!$D:$D,0))&amp;"",""))</f>
        <v/>
      </c>
      <c r="T4287" s="6" t="str">
        <f>IF($K4287="","",IF($S4287="",0,IF(ISNUMBER(SEARCH("apport-exterieur",IFERROR(INDEX('Paramètres'!$N:$N,MATCH($D4287,'Paramètres'!$M:$M,0))&amp;"",""))),0,IF(OR(IFERROR(INDEX('Paramètres'!$I:$I,MATCH($C4287,'Paramètres'!$D:$D,0))&amp;"","")="Les deux",IFERROR(INDEX('Paramètres'!$I:$I,MATCH($C4287,'Paramètres'!$D:$D,0))&amp;"","")=IF($P4287=1,"Débit",$L4287)),-IF($P4287=1,-$K4287,$K4287),0))))</f>
        <v/>
      </c>
      <c r="U4287" s="6" t="str">
        <f>IF($K4287="","",IF(ISNUMBER(SEARCH("sortie-epargne",IFERROR(INDEX('Paramètres'!$N:$N,MATCH($D4287,'Paramètres'!$M:$M,0))&amp;"",""))),$K4287,0))</f>
        <v/>
      </c>
      <c r="V4287" s="6" t="str">
        <f>IF(AND($A4287&lt;&gt;"",$O4287=1,$L4287="Débit",N($Q4287)&gt;0,$A4287&gt;=Visualisation!$B$1,$A4287&lt;Visualisation!$D$1),MAX($V$1:V4286)+1,"")</f>
        <v/>
      </c>
    </row>
    <row r="4288" spans="1:22" x14ac:dyDescent="0.25">
      <c r="A4288" s="9"/>
      <c r="E4288" s="10"/>
      <c r="K4288" s="11" t="str">
        <f>IF($E4288="","",ROUND($E4288*IF(ISNA(MATCH($C4288,'Paramètres'!$D:$D,0)),1,IF(INDEX('Paramètres'!$J:$J,MATCH($C4288,'Paramètres'!$D:$D,0))="",1,INDEX('Paramètres'!$J:$J,MATCH($C4288,'Paramètres'!$D:$D,0)))),2))</f>
        <v/>
      </c>
      <c r="L4288" s="6" t="str">
        <f>IF($D4288="","",IF($F4288&lt;&gt;"",$F4288,IF(ISNA(MATCH($D4288,'Paramètres'!$M:$M,0)),"⚠ Type inconnu",IFERROR(INDEX('Paramètres'!$P:$P,MATCH($D4288,'Paramètres'!$M:$M,0))&amp;"",""))))</f>
        <v/>
      </c>
      <c r="M4288" s="6" t="str">
        <f>IF($D4288="","",IF(ISNA(MATCH($D4288,'Paramètres'!$M:$M,0)),"⚠ Type inconnu",IF($L4288="Crédit","",IFERROR(INDEX('Paramètres'!$O:$O,MATCH($D4288,'Paramètres'!$M:$M,0))&amp;"",""))))</f>
        <v/>
      </c>
      <c r="N4288" s="6" t="str">
        <f>IF($D4288="","",IFERROR(INDEX('Paramètres'!$Q:$Q,MATCH($D4288,'Paramètres'!$M:$M,0))&amp;"",""))</f>
        <v/>
      </c>
      <c r="O4288" s="6" t="str">
        <f>IF($A4288="","",IF(OR($J4288&lt;&gt;"x",$A4288&lt;=FinReleve),1,0))</f>
        <v/>
      </c>
      <c r="P4288" s="6" t="str">
        <f>IF($D4288="","",IF(AND($L4288="Crédit",OR(IFERROR(INDEX('Paramètres'!$O:$O,MATCH($D4288,'Paramètres'!$M:$M,0))&amp;"","")&lt;&gt;"",ISNUMBER(SEARCH("remboursement",IFERROR(INDEX('Paramètres'!$N:$N,MATCH($D4288,'Paramètres'!$M:$M,0))&amp;"",""))))),1,0))</f>
        <v/>
      </c>
      <c r="Q4288" s="6" t="str">
        <f>IF($K4288="","",IF(ISNUMBER(SEARCH("transfert-interne",IFERROR(INDEX('Paramètres'!$N:$N,MATCH($D4288,'Paramètres'!$M:$M,0))&amp;"",""))),0,IF($L4288="Débit",$K4288,IF($P4288=1,-$K4288,0))))</f>
        <v/>
      </c>
      <c r="R4288" s="6" t="str">
        <f>IF($K4288="","",IF($L4288="Crédit",$K4288,-$K4288))</f>
        <v/>
      </c>
      <c r="S4288" s="6" t="str">
        <f>IF($C4288="","",IFERROR(INDEX('Paramètres'!$H:$H,MATCH($C4288,'Paramètres'!$D:$D,0))&amp;"",""))</f>
        <v/>
      </c>
      <c r="T4288" s="6" t="str">
        <f>IF($K4288="","",IF($S4288="",0,IF(ISNUMBER(SEARCH("apport-exterieur",IFERROR(INDEX('Paramètres'!$N:$N,MATCH($D4288,'Paramètres'!$M:$M,0))&amp;"",""))),0,IF(OR(IFERROR(INDEX('Paramètres'!$I:$I,MATCH($C4288,'Paramètres'!$D:$D,0))&amp;"","")="Les deux",IFERROR(INDEX('Paramètres'!$I:$I,MATCH($C4288,'Paramètres'!$D:$D,0))&amp;"","")=IF($P4288=1,"Débit",$L4288)),-IF($P4288=1,-$K4288,$K4288),0))))</f>
        <v/>
      </c>
      <c r="U4288" s="6" t="str">
        <f>IF($K4288="","",IF(ISNUMBER(SEARCH("sortie-epargne",IFERROR(INDEX('Paramètres'!$N:$N,MATCH($D4288,'Paramètres'!$M:$M,0))&amp;"",""))),$K4288,0))</f>
        <v/>
      </c>
      <c r="V4288" s="6" t="str">
        <f>IF(AND($A4288&lt;&gt;"",$O4288=1,$L4288="Débit",N($Q4288)&gt;0,$A4288&gt;=Visualisation!$B$1,$A4288&lt;Visualisation!$D$1),MAX($V$1:V4287)+1,"")</f>
        <v/>
      </c>
    </row>
    <row r="4289" spans="1:22" x14ac:dyDescent="0.25">
      <c r="A4289" s="9"/>
      <c r="E4289" s="10"/>
      <c r="K4289" s="11" t="str">
        <f>IF($E4289="","",ROUND($E4289*IF(ISNA(MATCH($C4289,'Paramètres'!$D:$D,0)),1,IF(INDEX('Paramètres'!$J:$J,MATCH($C4289,'Paramètres'!$D:$D,0))="",1,INDEX('Paramètres'!$J:$J,MATCH($C4289,'Paramètres'!$D:$D,0)))),2))</f>
        <v/>
      </c>
      <c r="L4289" s="6" t="str">
        <f>IF($D4289="","",IF($F4289&lt;&gt;"",$F4289,IF(ISNA(MATCH($D4289,'Paramètres'!$M:$M,0)),"⚠ Type inconnu",IFERROR(INDEX('Paramètres'!$P:$P,MATCH($D4289,'Paramètres'!$M:$M,0))&amp;"",""))))</f>
        <v/>
      </c>
      <c r="M4289" s="6" t="str">
        <f>IF($D4289="","",IF(ISNA(MATCH($D4289,'Paramètres'!$M:$M,0)),"⚠ Type inconnu",IF($L4289="Crédit","",IFERROR(INDEX('Paramètres'!$O:$O,MATCH($D4289,'Paramètres'!$M:$M,0))&amp;"",""))))</f>
        <v/>
      </c>
      <c r="N4289" s="6" t="str">
        <f>IF($D4289="","",IFERROR(INDEX('Paramètres'!$Q:$Q,MATCH($D4289,'Paramètres'!$M:$M,0))&amp;"",""))</f>
        <v/>
      </c>
      <c r="O4289" s="6" t="str">
        <f>IF($A4289="","",IF(OR($J4289&lt;&gt;"x",$A4289&lt;=FinReleve),1,0))</f>
        <v/>
      </c>
      <c r="P4289" s="6" t="str">
        <f>IF($D4289="","",IF(AND($L4289="Crédit",OR(IFERROR(INDEX('Paramètres'!$O:$O,MATCH($D4289,'Paramètres'!$M:$M,0))&amp;"","")&lt;&gt;"",ISNUMBER(SEARCH("remboursement",IFERROR(INDEX('Paramètres'!$N:$N,MATCH($D4289,'Paramètres'!$M:$M,0))&amp;"",""))))),1,0))</f>
        <v/>
      </c>
      <c r="Q4289" s="6" t="str">
        <f>IF($K4289="","",IF(ISNUMBER(SEARCH("transfert-interne",IFERROR(INDEX('Paramètres'!$N:$N,MATCH($D4289,'Paramètres'!$M:$M,0))&amp;"",""))),0,IF($L4289="Débit",$K4289,IF($P4289=1,-$K4289,0))))</f>
        <v/>
      </c>
      <c r="R4289" s="6" t="str">
        <f>IF($K4289="","",IF($L4289="Crédit",$K4289,-$K4289))</f>
        <v/>
      </c>
      <c r="S4289" s="6" t="str">
        <f>IF($C4289="","",IFERROR(INDEX('Paramètres'!$H:$H,MATCH($C4289,'Paramètres'!$D:$D,0))&amp;"",""))</f>
        <v/>
      </c>
      <c r="T4289" s="6" t="str">
        <f>IF($K4289="","",IF($S4289="",0,IF(ISNUMBER(SEARCH("apport-exterieur",IFERROR(INDEX('Paramètres'!$N:$N,MATCH($D4289,'Paramètres'!$M:$M,0))&amp;"",""))),0,IF(OR(IFERROR(INDEX('Paramètres'!$I:$I,MATCH($C4289,'Paramètres'!$D:$D,0))&amp;"","")="Les deux",IFERROR(INDEX('Paramètres'!$I:$I,MATCH($C4289,'Paramètres'!$D:$D,0))&amp;"","")=IF($P4289=1,"Débit",$L4289)),-IF($P4289=1,-$K4289,$K4289),0))))</f>
        <v/>
      </c>
      <c r="U4289" s="6" t="str">
        <f>IF($K4289="","",IF(ISNUMBER(SEARCH("sortie-epargne",IFERROR(INDEX('Paramètres'!$N:$N,MATCH($D4289,'Paramètres'!$M:$M,0))&amp;"",""))),$K4289,0))</f>
        <v/>
      </c>
      <c r="V4289" s="6" t="str">
        <f>IF(AND($A4289&lt;&gt;"",$O4289=1,$L4289="Débit",N($Q4289)&gt;0,$A4289&gt;=Visualisation!$B$1,$A4289&lt;Visualisation!$D$1),MAX($V$1:V4288)+1,"")</f>
        <v/>
      </c>
    </row>
    <row r="4290" spans="1:22" x14ac:dyDescent="0.25">
      <c r="A4290" s="9"/>
      <c r="E4290" s="10"/>
      <c r="K4290" s="11" t="str">
        <f>IF($E4290="","",ROUND($E4290*IF(ISNA(MATCH($C4290,'Paramètres'!$D:$D,0)),1,IF(INDEX('Paramètres'!$J:$J,MATCH($C4290,'Paramètres'!$D:$D,0))="",1,INDEX('Paramètres'!$J:$J,MATCH($C4290,'Paramètres'!$D:$D,0)))),2))</f>
        <v/>
      </c>
      <c r="L4290" s="6" t="str">
        <f>IF($D4290="","",IF($F4290&lt;&gt;"",$F4290,IF(ISNA(MATCH($D4290,'Paramètres'!$M:$M,0)),"⚠ Type inconnu",IFERROR(INDEX('Paramètres'!$P:$P,MATCH($D4290,'Paramètres'!$M:$M,0))&amp;"",""))))</f>
        <v/>
      </c>
      <c r="M4290" s="6" t="str">
        <f>IF($D4290="","",IF(ISNA(MATCH($D4290,'Paramètres'!$M:$M,0)),"⚠ Type inconnu",IF($L4290="Crédit","",IFERROR(INDEX('Paramètres'!$O:$O,MATCH($D4290,'Paramètres'!$M:$M,0))&amp;"",""))))</f>
        <v/>
      </c>
      <c r="N4290" s="6" t="str">
        <f>IF($D4290="","",IFERROR(INDEX('Paramètres'!$Q:$Q,MATCH($D4290,'Paramètres'!$M:$M,0))&amp;"",""))</f>
        <v/>
      </c>
      <c r="O4290" s="6" t="str">
        <f>IF($A4290="","",IF(OR($J4290&lt;&gt;"x",$A4290&lt;=FinReleve),1,0))</f>
        <v/>
      </c>
      <c r="P4290" s="6" t="str">
        <f>IF($D4290="","",IF(AND($L4290="Crédit",OR(IFERROR(INDEX('Paramètres'!$O:$O,MATCH($D4290,'Paramètres'!$M:$M,0))&amp;"","")&lt;&gt;"",ISNUMBER(SEARCH("remboursement",IFERROR(INDEX('Paramètres'!$N:$N,MATCH($D4290,'Paramètres'!$M:$M,0))&amp;"",""))))),1,0))</f>
        <v/>
      </c>
      <c r="Q4290" s="6" t="str">
        <f>IF($K4290="","",IF(ISNUMBER(SEARCH("transfert-interne",IFERROR(INDEX('Paramètres'!$N:$N,MATCH($D4290,'Paramètres'!$M:$M,0))&amp;"",""))),0,IF($L4290="Débit",$K4290,IF($P4290=1,-$K4290,0))))</f>
        <v/>
      </c>
      <c r="R4290" s="6" t="str">
        <f>IF($K4290="","",IF($L4290="Crédit",$K4290,-$K4290))</f>
        <v/>
      </c>
      <c r="S4290" s="6" t="str">
        <f>IF($C4290="","",IFERROR(INDEX('Paramètres'!$H:$H,MATCH($C4290,'Paramètres'!$D:$D,0))&amp;"",""))</f>
        <v/>
      </c>
      <c r="T4290" s="6" t="str">
        <f>IF($K4290="","",IF($S4290="",0,IF(ISNUMBER(SEARCH("apport-exterieur",IFERROR(INDEX('Paramètres'!$N:$N,MATCH($D4290,'Paramètres'!$M:$M,0))&amp;"",""))),0,IF(OR(IFERROR(INDEX('Paramètres'!$I:$I,MATCH($C4290,'Paramètres'!$D:$D,0))&amp;"","")="Les deux",IFERROR(INDEX('Paramètres'!$I:$I,MATCH($C4290,'Paramètres'!$D:$D,0))&amp;"","")=IF($P4290=1,"Débit",$L4290)),-IF($P4290=1,-$K4290,$K4290),0))))</f>
        <v/>
      </c>
      <c r="U4290" s="6" t="str">
        <f>IF($K4290="","",IF(ISNUMBER(SEARCH("sortie-epargne",IFERROR(INDEX('Paramètres'!$N:$N,MATCH($D4290,'Paramètres'!$M:$M,0))&amp;"",""))),$K4290,0))</f>
        <v/>
      </c>
      <c r="V4290" s="6" t="str">
        <f>IF(AND($A4290&lt;&gt;"",$O4290=1,$L4290="Débit",N($Q4290)&gt;0,$A4290&gt;=Visualisation!$B$1,$A4290&lt;Visualisation!$D$1),MAX($V$1:V4289)+1,"")</f>
        <v/>
      </c>
    </row>
    <row r="4291" spans="1:22" x14ac:dyDescent="0.25">
      <c r="A4291" s="9"/>
      <c r="E4291" s="10"/>
      <c r="K4291" s="11" t="str">
        <f>IF($E4291="","",ROUND($E4291*IF(ISNA(MATCH($C4291,'Paramètres'!$D:$D,0)),1,IF(INDEX('Paramètres'!$J:$J,MATCH($C4291,'Paramètres'!$D:$D,0))="",1,INDEX('Paramètres'!$J:$J,MATCH($C4291,'Paramètres'!$D:$D,0)))),2))</f>
        <v/>
      </c>
      <c r="L4291" s="6" t="str">
        <f>IF($D4291="","",IF($F4291&lt;&gt;"",$F4291,IF(ISNA(MATCH($D4291,'Paramètres'!$M:$M,0)),"⚠ Type inconnu",IFERROR(INDEX('Paramètres'!$P:$P,MATCH($D4291,'Paramètres'!$M:$M,0))&amp;"",""))))</f>
        <v/>
      </c>
      <c r="M4291" s="6" t="str">
        <f>IF($D4291="","",IF(ISNA(MATCH($D4291,'Paramètres'!$M:$M,0)),"⚠ Type inconnu",IF($L4291="Crédit","",IFERROR(INDEX('Paramètres'!$O:$O,MATCH($D4291,'Paramètres'!$M:$M,0))&amp;"",""))))</f>
        <v/>
      </c>
      <c r="N4291" s="6" t="str">
        <f>IF($D4291="","",IFERROR(INDEX('Paramètres'!$Q:$Q,MATCH($D4291,'Paramètres'!$M:$M,0))&amp;"",""))</f>
        <v/>
      </c>
      <c r="O4291" s="6" t="str">
        <f>IF($A4291="","",IF(OR($J4291&lt;&gt;"x",$A4291&lt;=FinReleve),1,0))</f>
        <v/>
      </c>
      <c r="P4291" s="6" t="str">
        <f>IF($D4291="","",IF(AND($L4291="Crédit",OR(IFERROR(INDEX('Paramètres'!$O:$O,MATCH($D4291,'Paramètres'!$M:$M,0))&amp;"","")&lt;&gt;"",ISNUMBER(SEARCH("remboursement",IFERROR(INDEX('Paramètres'!$N:$N,MATCH($D4291,'Paramètres'!$M:$M,0))&amp;"",""))))),1,0))</f>
        <v/>
      </c>
      <c r="Q4291" s="6" t="str">
        <f>IF($K4291="","",IF(ISNUMBER(SEARCH("transfert-interne",IFERROR(INDEX('Paramètres'!$N:$N,MATCH($D4291,'Paramètres'!$M:$M,0))&amp;"",""))),0,IF($L4291="Débit",$K4291,IF($P4291=1,-$K4291,0))))</f>
        <v/>
      </c>
      <c r="R4291" s="6" t="str">
        <f>IF($K4291="","",IF($L4291="Crédit",$K4291,-$K4291))</f>
        <v/>
      </c>
      <c r="S4291" s="6" t="str">
        <f>IF($C4291="","",IFERROR(INDEX('Paramètres'!$H:$H,MATCH($C4291,'Paramètres'!$D:$D,0))&amp;"",""))</f>
        <v/>
      </c>
      <c r="T4291" s="6" t="str">
        <f>IF($K4291="","",IF($S4291="",0,IF(ISNUMBER(SEARCH("apport-exterieur",IFERROR(INDEX('Paramètres'!$N:$N,MATCH($D4291,'Paramètres'!$M:$M,0))&amp;"",""))),0,IF(OR(IFERROR(INDEX('Paramètres'!$I:$I,MATCH($C4291,'Paramètres'!$D:$D,0))&amp;"","")="Les deux",IFERROR(INDEX('Paramètres'!$I:$I,MATCH($C4291,'Paramètres'!$D:$D,0))&amp;"","")=IF($P4291=1,"Débit",$L4291)),-IF($P4291=1,-$K4291,$K4291),0))))</f>
        <v/>
      </c>
      <c r="U4291" s="6" t="str">
        <f>IF($K4291="","",IF(ISNUMBER(SEARCH("sortie-epargne",IFERROR(INDEX('Paramètres'!$N:$N,MATCH($D4291,'Paramètres'!$M:$M,0))&amp;"",""))),$K4291,0))</f>
        <v/>
      </c>
      <c r="V4291" s="6" t="str">
        <f>IF(AND($A4291&lt;&gt;"",$O4291=1,$L4291="Débit",N($Q4291)&gt;0,$A4291&gt;=Visualisation!$B$1,$A4291&lt;Visualisation!$D$1),MAX($V$1:V4290)+1,"")</f>
        <v/>
      </c>
    </row>
    <row r="4292" spans="1:22" x14ac:dyDescent="0.25">
      <c r="A4292" s="9"/>
      <c r="E4292" s="10"/>
      <c r="K4292" s="11" t="str">
        <f>IF($E4292="","",ROUND($E4292*IF(ISNA(MATCH($C4292,'Paramètres'!$D:$D,0)),1,IF(INDEX('Paramètres'!$J:$J,MATCH($C4292,'Paramètres'!$D:$D,0))="",1,INDEX('Paramètres'!$J:$J,MATCH($C4292,'Paramètres'!$D:$D,0)))),2))</f>
        <v/>
      </c>
      <c r="L4292" s="6" t="str">
        <f>IF($D4292="","",IF($F4292&lt;&gt;"",$F4292,IF(ISNA(MATCH($D4292,'Paramètres'!$M:$M,0)),"⚠ Type inconnu",IFERROR(INDEX('Paramètres'!$P:$P,MATCH($D4292,'Paramètres'!$M:$M,0))&amp;"",""))))</f>
        <v/>
      </c>
      <c r="M4292" s="6" t="str">
        <f>IF($D4292="","",IF(ISNA(MATCH($D4292,'Paramètres'!$M:$M,0)),"⚠ Type inconnu",IF($L4292="Crédit","",IFERROR(INDEX('Paramètres'!$O:$O,MATCH($D4292,'Paramètres'!$M:$M,0))&amp;"",""))))</f>
        <v/>
      </c>
      <c r="N4292" s="6" t="str">
        <f>IF($D4292="","",IFERROR(INDEX('Paramètres'!$Q:$Q,MATCH($D4292,'Paramètres'!$M:$M,0))&amp;"",""))</f>
        <v/>
      </c>
      <c r="O4292" s="6" t="str">
        <f>IF($A4292="","",IF(OR($J4292&lt;&gt;"x",$A4292&lt;=FinReleve),1,0))</f>
        <v/>
      </c>
      <c r="P4292" s="6" t="str">
        <f>IF($D4292="","",IF(AND($L4292="Crédit",OR(IFERROR(INDEX('Paramètres'!$O:$O,MATCH($D4292,'Paramètres'!$M:$M,0))&amp;"","")&lt;&gt;"",ISNUMBER(SEARCH("remboursement",IFERROR(INDEX('Paramètres'!$N:$N,MATCH($D4292,'Paramètres'!$M:$M,0))&amp;"",""))))),1,0))</f>
        <v/>
      </c>
      <c r="Q4292" s="6" t="str">
        <f>IF($K4292="","",IF(ISNUMBER(SEARCH("transfert-interne",IFERROR(INDEX('Paramètres'!$N:$N,MATCH($D4292,'Paramètres'!$M:$M,0))&amp;"",""))),0,IF($L4292="Débit",$K4292,IF($P4292=1,-$K4292,0))))</f>
        <v/>
      </c>
      <c r="R4292" s="6" t="str">
        <f>IF($K4292="","",IF($L4292="Crédit",$K4292,-$K4292))</f>
        <v/>
      </c>
      <c r="S4292" s="6" t="str">
        <f>IF($C4292="","",IFERROR(INDEX('Paramètres'!$H:$H,MATCH($C4292,'Paramètres'!$D:$D,0))&amp;"",""))</f>
        <v/>
      </c>
      <c r="T4292" s="6" t="str">
        <f>IF($K4292="","",IF($S4292="",0,IF(ISNUMBER(SEARCH("apport-exterieur",IFERROR(INDEX('Paramètres'!$N:$N,MATCH($D4292,'Paramètres'!$M:$M,0))&amp;"",""))),0,IF(OR(IFERROR(INDEX('Paramètres'!$I:$I,MATCH($C4292,'Paramètres'!$D:$D,0))&amp;"","")="Les deux",IFERROR(INDEX('Paramètres'!$I:$I,MATCH($C4292,'Paramètres'!$D:$D,0))&amp;"","")=IF($P4292=1,"Débit",$L4292)),-IF($P4292=1,-$K4292,$K4292),0))))</f>
        <v/>
      </c>
      <c r="U4292" s="6" t="str">
        <f>IF($K4292="","",IF(ISNUMBER(SEARCH("sortie-epargne",IFERROR(INDEX('Paramètres'!$N:$N,MATCH($D4292,'Paramètres'!$M:$M,0))&amp;"",""))),$K4292,0))</f>
        <v/>
      </c>
      <c r="V4292" s="6" t="str">
        <f>IF(AND($A4292&lt;&gt;"",$O4292=1,$L4292="Débit",N($Q4292)&gt;0,$A4292&gt;=Visualisation!$B$1,$A4292&lt;Visualisation!$D$1),MAX($V$1:V4291)+1,"")</f>
        <v/>
      </c>
    </row>
    <row r="4293" spans="1:22" x14ac:dyDescent="0.25">
      <c r="A4293" s="9"/>
      <c r="E4293" s="10"/>
      <c r="K4293" s="11" t="str">
        <f>IF($E4293="","",ROUND($E4293*IF(ISNA(MATCH($C4293,'Paramètres'!$D:$D,0)),1,IF(INDEX('Paramètres'!$J:$J,MATCH($C4293,'Paramètres'!$D:$D,0))="",1,INDEX('Paramètres'!$J:$J,MATCH($C4293,'Paramètres'!$D:$D,0)))),2))</f>
        <v/>
      </c>
      <c r="L4293" s="6" t="str">
        <f>IF($D4293="","",IF($F4293&lt;&gt;"",$F4293,IF(ISNA(MATCH($D4293,'Paramètres'!$M:$M,0)),"⚠ Type inconnu",IFERROR(INDEX('Paramètres'!$P:$P,MATCH($D4293,'Paramètres'!$M:$M,0))&amp;"",""))))</f>
        <v/>
      </c>
      <c r="M4293" s="6" t="str">
        <f>IF($D4293="","",IF(ISNA(MATCH($D4293,'Paramètres'!$M:$M,0)),"⚠ Type inconnu",IF($L4293="Crédit","",IFERROR(INDEX('Paramètres'!$O:$O,MATCH($D4293,'Paramètres'!$M:$M,0))&amp;"",""))))</f>
        <v/>
      </c>
      <c r="N4293" s="6" t="str">
        <f>IF($D4293="","",IFERROR(INDEX('Paramètres'!$Q:$Q,MATCH($D4293,'Paramètres'!$M:$M,0))&amp;"",""))</f>
        <v/>
      </c>
      <c r="O4293" s="6" t="str">
        <f>IF($A4293="","",IF(OR($J4293&lt;&gt;"x",$A4293&lt;=FinReleve),1,0))</f>
        <v/>
      </c>
      <c r="P4293" s="6" t="str">
        <f>IF($D4293="","",IF(AND($L4293="Crédit",OR(IFERROR(INDEX('Paramètres'!$O:$O,MATCH($D4293,'Paramètres'!$M:$M,0))&amp;"","")&lt;&gt;"",ISNUMBER(SEARCH("remboursement",IFERROR(INDEX('Paramètres'!$N:$N,MATCH($D4293,'Paramètres'!$M:$M,0))&amp;"",""))))),1,0))</f>
        <v/>
      </c>
      <c r="Q4293" s="6" t="str">
        <f>IF($K4293="","",IF(ISNUMBER(SEARCH("transfert-interne",IFERROR(INDEX('Paramètres'!$N:$N,MATCH($D4293,'Paramètres'!$M:$M,0))&amp;"",""))),0,IF($L4293="Débit",$K4293,IF($P4293=1,-$K4293,0))))</f>
        <v/>
      </c>
      <c r="R4293" s="6" t="str">
        <f>IF($K4293="","",IF($L4293="Crédit",$K4293,-$K4293))</f>
        <v/>
      </c>
      <c r="S4293" s="6" t="str">
        <f>IF($C4293="","",IFERROR(INDEX('Paramètres'!$H:$H,MATCH($C4293,'Paramètres'!$D:$D,0))&amp;"",""))</f>
        <v/>
      </c>
      <c r="T4293" s="6" t="str">
        <f>IF($K4293="","",IF($S4293="",0,IF(ISNUMBER(SEARCH("apport-exterieur",IFERROR(INDEX('Paramètres'!$N:$N,MATCH($D4293,'Paramètres'!$M:$M,0))&amp;"",""))),0,IF(OR(IFERROR(INDEX('Paramètres'!$I:$I,MATCH($C4293,'Paramètres'!$D:$D,0))&amp;"","")="Les deux",IFERROR(INDEX('Paramètres'!$I:$I,MATCH($C4293,'Paramètres'!$D:$D,0))&amp;"","")=IF($P4293=1,"Débit",$L4293)),-IF($P4293=1,-$K4293,$K4293),0))))</f>
        <v/>
      </c>
      <c r="U4293" s="6" t="str">
        <f>IF($K4293="","",IF(ISNUMBER(SEARCH("sortie-epargne",IFERROR(INDEX('Paramètres'!$N:$N,MATCH($D4293,'Paramètres'!$M:$M,0))&amp;"",""))),$K4293,0))</f>
        <v/>
      </c>
      <c r="V4293" s="6" t="str">
        <f>IF(AND($A4293&lt;&gt;"",$O4293=1,$L4293="Débit",N($Q4293)&gt;0,$A4293&gt;=Visualisation!$B$1,$A4293&lt;Visualisation!$D$1),MAX($V$1:V4292)+1,"")</f>
        <v/>
      </c>
    </row>
    <row r="4294" spans="1:22" x14ac:dyDescent="0.25">
      <c r="A4294" s="9"/>
      <c r="E4294" s="10"/>
      <c r="K4294" s="11" t="str">
        <f>IF($E4294="","",ROUND($E4294*IF(ISNA(MATCH($C4294,'Paramètres'!$D:$D,0)),1,IF(INDEX('Paramètres'!$J:$J,MATCH($C4294,'Paramètres'!$D:$D,0))="",1,INDEX('Paramètres'!$J:$J,MATCH($C4294,'Paramètres'!$D:$D,0)))),2))</f>
        <v/>
      </c>
      <c r="L4294" s="6" t="str">
        <f>IF($D4294="","",IF($F4294&lt;&gt;"",$F4294,IF(ISNA(MATCH($D4294,'Paramètres'!$M:$M,0)),"⚠ Type inconnu",IFERROR(INDEX('Paramètres'!$P:$P,MATCH($D4294,'Paramètres'!$M:$M,0))&amp;"",""))))</f>
        <v/>
      </c>
      <c r="M4294" s="6" t="str">
        <f>IF($D4294="","",IF(ISNA(MATCH($D4294,'Paramètres'!$M:$M,0)),"⚠ Type inconnu",IF($L4294="Crédit","",IFERROR(INDEX('Paramètres'!$O:$O,MATCH($D4294,'Paramètres'!$M:$M,0))&amp;"",""))))</f>
        <v/>
      </c>
      <c r="N4294" s="6" t="str">
        <f>IF($D4294="","",IFERROR(INDEX('Paramètres'!$Q:$Q,MATCH($D4294,'Paramètres'!$M:$M,0))&amp;"",""))</f>
        <v/>
      </c>
      <c r="O4294" s="6" t="str">
        <f>IF($A4294="","",IF(OR($J4294&lt;&gt;"x",$A4294&lt;=FinReleve),1,0))</f>
        <v/>
      </c>
      <c r="P4294" s="6" t="str">
        <f>IF($D4294="","",IF(AND($L4294="Crédit",OR(IFERROR(INDEX('Paramètres'!$O:$O,MATCH($D4294,'Paramètres'!$M:$M,0))&amp;"","")&lt;&gt;"",ISNUMBER(SEARCH("remboursement",IFERROR(INDEX('Paramètres'!$N:$N,MATCH($D4294,'Paramètres'!$M:$M,0))&amp;"",""))))),1,0))</f>
        <v/>
      </c>
      <c r="Q4294" s="6" t="str">
        <f>IF($K4294="","",IF(ISNUMBER(SEARCH("transfert-interne",IFERROR(INDEX('Paramètres'!$N:$N,MATCH($D4294,'Paramètres'!$M:$M,0))&amp;"",""))),0,IF($L4294="Débit",$K4294,IF($P4294=1,-$K4294,0))))</f>
        <v/>
      </c>
      <c r="R4294" s="6" t="str">
        <f>IF($K4294="","",IF($L4294="Crédit",$K4294,-$K4294))</f>
        <v/>
      </c>
      <c r="S4294" s="6" t="str">
        <f>IF($C4294="","",IFERROR(INDEX('Paramètres'!$H:$H,MATCH($C4294,'Paramètres'!$D:$D,0))&amp;"",""))</f>
        <v/>
      </c>
      <c r="T4294" s="6" t="str">
        <f>IF($K4294="","",IF($S4294="",0,IF(ISNUMBER(SEARCH("apport-exterieur",IFERROR(INDEX('Paramètres'!$N:$N,MATCH($D4294,'Paramètres'!$M:$M,0))&amp;"",""))),0,IF(OR(IFERROR(INDEX('Paramètres'!$I:$I,MATCH($C4294,'Paramètres'!$D:$D,0))&amp;"","")="Les deux",IFERROR(INDEX('Paramètres'!$I:$I,MATCH($C4294,'Paramètres'!$D:$D,0))&amp;"","")=IF($P4294=1,"Débit",$L4294)),-IF($P4294=1,-$K4294,$K4294),0))))</f>
        <v/>
      </c>
      <c r="U4294" s="6" t="str">
        <f>IF($K4294="","",IF(ISNUMBER(SEARCH("sortie-epargne",IFERROR(INDEX('Paramètres'!$N:$N,MATCH($D4294,'Paramètres'!$M:$M,0))&amp;"",""))),$K4294,0))</f>
        <v/>
      </c>
      <c r="V4294" s="6" t="str">
        <f>IF(AND($A4294&lt;&gt;"",$O4294=1,$L4294="Débit",N($Q4294)&gt;0,$A4294&gt;=Visualisation!$B$1,$A4294&lt;Visualisation!$D$1),MAX($V$1:V4293)+1,"")</f>
        <v/>
      </c>
    </row>
    <row r="4295" spans="1:22" x14ac:dyDescent="0.25">
      <c r="A4295" s="9"/>
      <c r="E4295" s="10"/>
      <c r="K4295" s="11" t="str">
        <f>IF($E4295="","",ROUND($E4295*IF(ISNA(MATCH($C4295,'Paramètres'!$D:$D,0)),1,IF(INDEX('Paramètres'!$J:$J,MATCH($C4295,'Paramètres'!$D:$D,0))="",1,INDEX('Paramètres'!$J:$J,MATCH($C4295,'Paramètres'!$D:$D,0)))),2))</f>
        <v/>
      </c>
      <c r="L4295" s="6" t="str">
        <f>IF($D4295="","",IF($F4295&lt;&gt;"",$F4295,IF(ISNA(MATCH($D4295,'Paramètres'!$M:$M,0)),"⚠ Type inconnu",IFERROR(INDEX('Paramètres'!$P:$P,MATCH($D4295,'Paramètres'!$M:$M,0))&amp;"",""))))</f>
        <v/>
      </c>
      <c r="M4295" s="6" t="str">
        <f>IF($D4295="","",IF(ISNA(MATCH($D4295,'Paramètres'!$M:$M,0)),"⚠ Type inconnu",IF($L4295="Crédit","",IFERROR(INDEX('Paramètres'!$O:$O,MATCH($D4295,'Paramètres'!$M:$M,0))&amp;"",""))))</f>
        <v/>
      </c>
      <c r="N4295" s="6" t="str">
        <f>IF($D4295="","",IFERROR(INDEX('Paramètres'!$Q:$Q,MATCH($D4295,'Paramètres'!$M:$M,0))&amp;"",""))</f>
        <v/>
      </c>
      <c r="O4295" s="6" t="str">
        <f>IF($A4295="","",IF(OR($J4295&lt;&gt;"x",$A4295&lt;=FinReleve),1,0))</f>
        <v/>
      </c>
      <c r="P4295" s="6" t="str">
        <f>IF($D4295="","",IF(AND($L4295="Crédit",OR(IFERROR(INDEX('Paramètres'!$O:$O,MATCH($D4295,'Paramètres'!$M:$M,0))&amp;"","")&lt;&gt;"",ISNUMBER(SEARCH("remboursement",IFERROR(INDEX('Paramètres'!$N:$N,MATCH($D4295,'Paramètres'!$M:$M,0))&amp;"",""))))),1,0))</f>
        <v/>
      </c>
      <c r="Q4295" s="6" t="str">
        <f>IF($K4295="","",IF(ISNUMBER(SEARCH("transfert-interne",IFERROR(INDEX('Paramètres'!$N:$N,MATCH($D4295,'Paramètres'!$M:$M,0))&amp;"",""))),0,IF($L4295="Débit",$K4295,IF($P4295=1,-$K4295,0))))</f>
        <v/>
      </c>
      <c r="R4295" s="6" t="str">
        <f>IF($K4295="","",IF($L4295="Crédit",$K4295,-$K4295))</f>
        <v/>
      </c>
      <c r="S4295" s="6" t="str">
        <f>IF($C4295="","",IFERROR(INDEX('Paramètres'!$H:$H,MATCH($C4295,'Paramètres'!$D:$D,0))&amp;"",""))</f>
        <v/>
      </c>
      <c r="T4295" s="6" t="str">
        <f>IF($K4295="","",IF($S4295="",0,IF(ISNUMBER(SEARCH("apport-exterieur",IFERROR(INDEX('Paramètres'!$N:$N,MATCH($D4295,'Paramètres'!$M:$M,0))&amp;"",""))),0,IF(OR(IFERROR(INDEX('Paramètres'!$I:$I,MATCH($C4295,'Paramètres'!$D:$D,0))&amp;"","")="Les deux",IFERROR(INDEX('Paramètres'!$I:$I,MATCH($C4295,'Paramètres'!$D:$D,0))&amp;"","")=IF($P4295=1,"Débit",$L4295)),-IF($P4295=1,-$K4295,$K4295),0))))</f>
        <v/>
      </c>
      <c r="U4295" s="6" t="str">
        <f>IF($K4295="","",IF(ISNUMBER(SEARCH("sortie-epargne",IFERROR(INDEX('Paramètres'!$N:$N,MATCH($D4295,'Paramètres'!$M:$M,0))&amp;"",""))),$K4295,0))</f>
        <v/>
      </c>
      <c r="V4295" s="6" t="str">
        <f>IF(AND($A4295&lt;&gt;"",$O4295=1,$L4295="Débit",N($Q4295)&gt;0,$A4295&gt;=Visualisation!$B$1,$A4295&lt;Visualisation!$D$1),MAX($V$1:V4294)+1,"")</f>
        <v/>
      </c>
    </row>
    <row r="4296" spans="1:22" x14ac:dyDescent="0.25">
      <c r="A4296" s="9"/>
      <c r="E4296" s="10"/>
      <c r="K4296" s="11" t="str">
        <f>IF($E4296="","",ROUND($E4296*IF(ISNA(MATCH($C4296,'Paramètres'!$D:$D,0)),1,IF(INDEX('Paramètres'!$J:$J,MATCH($C4296,'Paramètres'!$D:$D,0))="",1,INDEX('Paramètres'!$J:$J,MATCH($C4296,'Paramètres'!$D:$D,0)))),2))</f>
        <v/>
      </c>
      <c r="L4296" s="6" t="str">
        <f>IF($D4296="","",IF($F4296&lt;&gt;"",$F4296,IF(ISNA(MATCH($D4296,'Paramètres'!$M:$M,0)),"⚠ Type inconnu",IFERROR(INDEX('Paramètres'!$P:$P,MATCH($D4296,'Paramètres'!$M:$M,0))&amp;"",""))))</f>
        <v/>
      </c>
      <c r="M4296" s="6" t="str">
        <f>IF($D4296="","",IF(ISNA(MATCH($D4296,'Paramètres'!$M:$M,0)),"⚠ Type inconnu",IF($L4296="Crédit","",IFERROR(INDEX('Paramètres'!$O:$O,MATCH($D4296,'Paramètres'!$M:$M,0))&amp;"",""))))</f>
        <v/>
      </c>
      <c r="N4296" s="6" t="str">
        <f>IF($D4296="","",IFERROR(INDEX('Paramètres'!$Q:$Q,MATCH($D4296,'Paramètres'!$M:$M,0))&amp;"",""))</f>
        <v/>
      </c>
      <c r="O4296" s="6" t="str">
        <f>IF($A4296="","",IF(OR($J4296&lt;&gt;"x",$A4296&lt;=FinReleve),1,0))</f>
        <v/>
      </c>
      <c r="P4296" s="6" t="str">
        <f>IF($D4296="","",IF(AND($L4296="Crédit",OR(IFERROR(INDEX('Paramètres'!$O:$O,MATCH($D4296,'Paramètres'!$M:$M,0))&amp;"","")&lt;&gt;"",ISNUMBER(SEARCH("remboursement",IFERROR(INDEX('Paramètres'!$N:$N,MATCH($D4296,'Paramètres'!$M:$M,0))&amp;"",""))))),1,0))</f>
        <v/>
      </c>
      <c r="Q4296" s="6" t="str">
        <f>IF($K4296="","",IF(ISNUMBER(SEARCH("transfert-interne",IFERROR(INDEX('Paramètres'!$N:$N,MATCH($D4296,'Paramètres'!$M:$M,0))&amp;"",""))),0,IF($L4296="Débit",$K4296,IF($P4296=1,-$K4296,0))))</f>
        <v/>
      </c>
      <c r="R4296" s="6" t="str">
        <f>IF($K4296="","",IF($L4296="Crédit",$K4296,-$K4296))</f>
        <v/>
      </c>
      <c r="S4296" s="6" t="str">
        <f>IF($C4296="","",IFERROR(INDEX('Paramètres'!$H:$H,MATCH($C4296,'Paramètres'!$D:$D,0))&amp;"",""))</f>
        <v/>
      </c>
      <c r="T4296" s="6" t="str">
        <f>IF($K4296="","",IF($S4296="",0,IF(ISNUMBER(SEARCH("apport-exterieur",IFERROR(INDEX('Paramètres'!$N:$N,MATCH($D4296,'Paramètres'!$M:$M,0))&amp;"",""))),0,IF(OR(IFERROR(INDEX('Paramètres'!$I:$I,MATCH($C4296,'Paramètres'!$D:$D,0))&amp;"","")="Les deux",IFERROR(INDEX('Paramètres'!$I:$I,MATCH($C4296,'Paramètres'!$D:$D,0))&amp;"","")=IF($P4296=1,"Débit",$L4296)),-IF($P4296=1,-$K4296,$K4296),0))))</f>
        <v/>
      </c>
      <c r="U4296" s="6" t="str">
        <f>IF($K4296="","",IF(ISNUMBER(SEARCH("sortie-epargne",IFERROR(INDEX('Paramètres'!$N:$N,MATCH($D4296,'Paramètres'!$M:$M,0))&amp;"",""))),$K4296,0))</f>
        <v/>
      </c>
      <c r="V4296" s="6" t="str">
        <f>IF(AND($A4296&lt;&gt;"",$O4296=1,$L4296="Débit",N($Q4296)&gt;0,$A4296&gt;=Visualisation!$B$1,$A4296&lt;Visualisation!$D$1),MAX($V$1:V4295)+1,"")</f>
        <v/>
      </c>
    </row>
    <row r="4297" spans="1:22" x14ac:dyDescent="0.25">
      <c r="A4297" s="9"/>
      <c r="E4297" s="10"/>
      <c r="K4297" s="11" t="str">
        <f>IF($E4297="","",ROUND($E4297*IF(ISNA(MATCH($C4297,'Paramètres'!$D:$D,0)),1,IF(INDEX('Paramètres'!$J:$J,MATCH($C4297,'Paramètres'!$D:$D,0))="",1,INDEX('Paramètres'!$J:$J,MATCH($C4297,'Paramètres'!$D:$D,0)))),2))</f>
        <v/>
      </c>
      <c r="L4297" s="6" t="str">
        <f>IF($D4297="","",IF($F4297&lt;&gt;"",$F4297,IF(ISNA(MATCH($D4297,'Paramètres'!$M:$M,0)),"⚠ Type inconnu",IFERROR(INDEX('Paramètres'!$P:$P,MATCH($D4297,'Paramètres'!$M:$M,0))&amp;"",""))))</f>
        <v/>
      </c>
      <c r="M4297" s="6" t="str">
        <f>IF($D4297="","",IF(ISNA(MATCH($D4297,'Paramètres'!$M:$M,0)),"⚠ Type inconnu",IF($L4297="Crédit","",IFERROR(INDEX('Paramètres'!$O:$O,MATCH($D4297,'Paramètres'!$M:$M,0))&amp;"",""))))</f>
        <v/>
      </c>
      <c r="N4297" s="6" t="str">
        <f>IF($D4297="","",IFERROR(INDEX('Paramètres'!$Q:$Q,MATCH($D4297,'Paramètres'!$M:$M,0))&amp;"",""))</f>
        <v/>
      </c>
      <c r="O4297" s="6" t="str">
        <f>IF($A4297="","",IF(OR($J4297&lt;&gt;"x",$A4297&lt;=FinReleve),1,0))</f>
        <v/>
      </c>
      <c r="P4297" s="6" t="str">
        <f>IF($D4297="","",IF(AND($L4297="Crédit",OR(IFERROR(INDEX('Paramètres'!$O:$O,MATCH($D4297,'Paramètres'!$M:$M,0))&amp;"","")&lt;&gt;"",ISNUMBER(SEARCH("remboursement",IFERROR(INDEX('Paramètres'!$N:$N,MATCH($D4297,'Paramètres'!$M:$M,0))&amp;"",""))))),1,0))</f>
        <v/>
      </c>
      <c r="Q4297" s="6" t="str">
        <f>IF($K4297="","",IF(ISNUMBER(SEARCH("transfert-interne",IFERROR(INDEX('Paramètres'!$N:$N,MATCH($D4297,'Paramètres'!$M:$M,0))&amp;"",""))),0,IF($L4297="Débit",$K4297,IF($P4297=1,-$K4297,0))))</f>
        <v/>
      </c>
      <c r="R4297" s="6" t="str">
        <f>IF($K4297="","",IF($L4297="Crédit",$K4297,-$K4297))</f>
        <v/>
      </c>
      <c r="S4297" s="6" t="str">
        <f>IF($C4297="","",IFERROR(INDEX('Paramètres'!$H:$H,MATCH($C4297,'Paramètres'!$D:$D,0))&amp;"",""))</f>
        <v/>
      </c>
      <c r="T4297" s="6" t="str">
        <f>IF($K4297="","",IF($S4297="",0,IF(ISNUMBER(SEARCH("apport-exterieur",IFERROR(INDEX('Paramètres'!$N:$N,MATCH($D4297,'Paramètres'!$M:$M,0))&amp;"",""))),0,IF(OR(IFERROR(INDEX('Paramètres'!$I:$I,MATCH($C4297,'Paramètres'!$D:$D,0))&amp;"","")="Les deux",IFERROR(INDEX('Paramètres'!$I:$I,MATCH($C4297,'Paramètres'!$D:$D,0))&amp;"","")=IF($P4297=1,"Débit",$L4297)),-IF($P4297=1,-$K4297,$K4297),0))))</f>
        <v/>
      </c>
      <c r="U4297" s="6" t="str">
        <f>IF($K4297="","",IF(ISNUMBER(SEARCH("sortie-epargne",IFERROR(INDEX('Paramètres'!$N:$N,MATCH($D4297,'Paramètres'!$M:$M,0))&amp;"",""))),$K4297,0))</f>
        <v/>
      </c>
      <c r="V4297" s="6" t="str">
        <f>IF(AND($A4297&lt;&gt;"",$O4297=1,$L4297="Débit",N($Q4297)&gt;0,$A4297&gt;=Visualisation!$B$1,$A4297&lt;Visualisation!$D$1),MAX($V$1:V4296)+1,"")</f>
        <v/>
      </c>
    </row>
    <row r="4298" spans="1:22" x14ac:dyDescent="0.25">
      <c r="A4298" s="9"/>
      <c r="E4298" s="10"/>
      <c r="K4298" s="11" t="str">
        <f>IF($E4298="","",ROUND($E4298*IF(ISNA(MATCH($C4298,'Paramètres'!$D:$D,0)),1,IF(INDEX('Paramètres'!$J:$J,MATCH($C4298,'Paramètres'!$D:$D,0))="",1,INDEX('Paramètres'!$J:$J,MATCH($C4298,'Paramètres'!$D:$D,0)))),2))</f>
        <v/>
      </c>
      <c r="L4298" s="6" t="str">
        <f>IF($D4298="","",IF($F4298&lt;&gt;"",$F4298,IF(ISNA(MATCH($D4298,'Paramètres'!$M:$M,0)),"⚠ Type inconnu",IFERROR(INDEX('Paramètres'!$P:$P,MATCH($D4298,'Paramètres'!$M:$M,0))&amp;"",""))))</f>
        <v/>
      </c>
      <c r="M4298" s="6" t="str">
        <f>IF($D4298="","",IF(ISNA(MATCH($D4298,'Paramètres'!$M:$M,0)),"⚠ Type inconnu",IF($L4298="Crédit","",IFERROR(INDEX('Paramètres'!$O:$O,MATCH($D4298,'Paramètres'!$M:$M,0))&amp;"",""))))</f>
        <v/>
      </c>
      <c r="N4298" s="6" t="str">
        <f>IF($D4298="","",IFERROR(INDEX('Paramètres'!$Q:$Q,MATCH($D4298,'Paramètres'!$M:$M,0))&amp;"",""))</f>
        <v/>
      </c>
      <c r="O4298" s="6" t="str">
        <f>IF($A4298="","",IF(OR($J4298&lt;&gt;"x",$A4298&lt;=FinReleve),1,0))</f>
        <v/>
      </c>
      <c r="P4298" s="6" t="str">
        <f>IF($D4298="","",IF(AND($L4298="Crédit",OR(IFERROR(INDEX('Paramètres'!$O:$O,MATCH($D4298,'Paramètres'!$M:$M,0))&amp;"","")&lt;&gt;"",ISNUMBER(SEARCH("remboursement",IFERROR(INDEX('Paramètres'!$N:$N,MATCH($D4298,'Paramètres'!$M:$M,0))&amp;"",""))))),1,0))</f>
        <v/>
      </c>
      <c r="Q4298" s="6" t="str">
        <f>IF($K4298="","",IF(ISNUMBER(SEARCH("transfert-interne",IFERROR(INDEX('Paramètres'!$N:$N,MATCH($D4298,'Paramètres'!$M:$M,0))&amp;"",""))),0,IF($L4298="Débit",$K4298,IF($P4298=1,-$K4298,0))))</f>
        <v/>
      </c>
      <c r="R4298" s="6" t="str">
        <f>IF($K4298="","",IF($L4298="Crédit",$K4298,-$K4298))</f>
        <v/>
      </c>
      <c r="S4298" s="6" t="str">
        <f>IF($C4298="","",IFERROR(INDEX('Paramètres'!$H:$H,MATCH($C4298,'Paramètres'!$D:$D,0))&amp;"",""))</f>
        <v/>
      </c>
      <c r="T4298" s="6" t="str">
        <f>IF($K4298="","",IF($S4298="",0,IF(ISNUMBER(SEARCH("apport-exterieur",IFERROR(INDEX('Paramètres'!$N:$N,MATCH($D4298,'Paramètres'!$M:$M,0))&amp;"",""))),0,IF(OR(IFERROR(INDEX('Paramètres'!$I:$I,MATCH($C4298,'Paramètres'!$D:$D,0))&amp;"","")="Les deux",IFERROR(INDEX('Paramètres'!$I:$I,MATCH($C4298,'Paramètres'!$D:$D,0))&amp;"","")=IF($P4298=1,"Débit",$L4298)),-IF($P4298=1,-$K4298,$K4298),0))))</f>
        <v/>
      </c>
      <c r="U4298" s="6" t="str">
        <f>IF($K4298="","",IF(ISNUMBER(SEARCH("sortie-epargne",IFERROR(INDEX('Paramètres'!$N:$N,MATCH($D4298,'Paramètres'!$M:$M,0))&amp;"",""))),$K4298,0))</f>
        <v/>
      </c>
      <c r="V4298" s="6" t="str">
        <f>IF(AND($A4298&lt;&gt;"",$O4298=1,$L4298="Débit",N($Q4298)&gt;0,$A4298&gt;=Visualisation!$B$1,$A4298&lt;Visualisation!$D$1),MAX($V$1:V4297)+1,"")</f>
        <v/>
      </c>
    </row>
    <row r="4299" spans="1:22" x14ac:dyDescent="0.25">
      <c r="A4299" s="9"/>
      <c r="E4299" s="10"/>
      <c r="K4299" s="11" t="str">
        <f>IF($E4299="","",ROUND($E4299*IF(ISNA(MATCH($C4299,'Paramètres'!$D:$D,0)),1,IF(INDEX('Paramètres'!$J:$J,MATCH($C4299,'Paramètres'!$D:$D,0))="",1,INDEX('Paramètres'!$J:$J,MATCH($C4299,'Paramètres'!$D:$D,0)))),2))</f>
        <v/>
      </c>
      <c r="L4299" s="6" t="str">
        <f>IF($D4299="","",IF($F4299&lt;&gt;"",$F4299,IF(ISNA(MATCH($D4299,'Paramètres'!$M:$M,0)),"⚠ Type inconnu",IFERROR(INDEX('Paramètres'!$P:$P,MATCH($D4299,'Paramètres'!$M:$M,0))&amp;"",""))))</f>
        <v/>
      </c>
      <c r="M4299" s="6" t="str">
        <f>IF($D4299="","",IF(ISNA(MATCH($D4299,'Paramètres'!$M:$M,0)),"⚠ Type inconnu",IF($L4299="Crédit","",IFERROR(INDEX('Paramètres'!$O:$O,MATCH($D4299,'Paramètres'!$M:$M,0))&amp;"",""))))</f>
        <v/>
      </c>
      <c r="N4299" s="6" t="str">
        <f>IF($D4299="","",IFERROR(INDEX('Paramètres'!$Q:$Q,MATCH($D4299,'Paramètres'!$M:$M,0))&amp;"",""))</f>
        <v/>
      </c>
      <c r="O4299" s="6" t="str">
        <f>IF($A4299="","",IF(OR($J4299&lt;&gt;"x",$A4299&lt;=FinReleve),1,0))</f>
        <v/>
      </c>
      <c r="P4299" s="6" t="str">
        <f>IF($D4299="","",IF(AND($L4299="Crédit",OR(IFERROR(INDEX('Paramètres'!$O:$O,MATCH($D4299,'Paramètres'!$M:$M,0))&amp;"","")&lt;&gt;"",ISNUMBER(SEARCH("remboursement",IFERROR(INDEX('Paramètres'!$N:$N,MATCH($D4299,'Paramètres'!$M:$M,0))&amp;"",""))))),1,0))</f>
        <v/>
      </c>
      <c r="Q4299" s="6" t="str">
        <f>IF($K4299="","",IF(ISNUMBER(SEARCH("transfert-interne",IFERROR(INDEX('Paramètres'!$N:$N,MATCH($D4299,'Paramètres'!$M:$M,0))&amp;"",""))),0,IF($L4299="Débit",$K4299,IF($P4299=1,-$K4299,0))))</f>
        <v/>
      </c>
      <c r="R4299" s="6" t="str">
        <f>IF($K4299="","",IF($L4299="Crédit",$K4299,-$K4299))</f>
        <v/>
      </c>
      <c r="S4299" s="6" t="str">
        <f>IF($C4299="","",IFERROR(INDEX('Paramètres'!$H:$H,MATCH($C4299,'Paramètres'!$D:$D,0))&amp;"",""))</f>
        <v/>
      </c>
      <c r="T4299" s="6" t="str">
        <f>IF($K4299="","",IF($S4299="",0,IF(ISNUMBER(SEARCH("apport-exterieur",IFERROR(INDEX('Paramètres'!$N:$N,MATCH($D4299,'Paramètres'!$M:$M,0))&amp;"",""))),0,IF(OR(IFERROR(INDEX('Paramètres'!$I:$I,MATCH($C4299,'Paramètres'!$D:$D,0))&amp;"","")="Les deux",IFERROR(INDEX('Paramètres'!$I:$I,MATCH($C4299,'Paramètres'!$D:$D,0))&amp;"","")=IF($P4299=1,"Débit",$L4299)),-IF($P4299=1,-$K4299,$K4299),0))))</f>
        <v/>
      </c>
      <c r="U4299" s="6" t="str">
        <f>IF($K4299="","",IF(ISNUMBER(SEARCH("sortie-epargne",IFERROR(INDEX('Paramètres'!$N:$N,MATCH($D4299,'Paramètres'!$M:$M,0))&amp;"",""))),$K4299,0))</f>
        <v/>
      </c>
      <c r="V4299" s="6" t="str">
        <f>IF(AND($A4299&lt;&gt;"",$O4299=1,$L4299="Débit",N($Q4299)&gt;0,$A4299&gt;=Visualisation!$B$1,$A4299&lt;Visualisation!$D$1),MAX($V$1:V4298)+1,"")</f>
        <v/>
      </c>
    </row>
    <row r="4300" spans="1:22" x14ac:dyDescent="0.25">
      <c r="A4300" s="9"/>
      <c r="E4300" s="10"/>
      <c r="K4300" s="11" t="str">
        <f>IF($E4300="","",ROUND($E4300*IF(ISNA(MATCH($C4300,'Paramètres'!$D:$D,0)),1,IF(INDEX('Paramètres'!$J:$J,MATCH($C4300,'Paramètres'!$D:$D,0))="",1,INDEX('Paramètres'!$J:$J,MATCH($C4300,'Paramètres'!$D:$D,0)))),2))</f>
        <v/>
      </c>
      <c r="L4300" s="6" t="str">
        <f>IF($D4300="","",IF($F4300&lt;&gt;"",$F4300,IF(ISNA(MATCH($D4300,'Paramètres'!$M:$M,0)),"⚠ Type inconnu",IFERROR(INDEX('Paramètres'!$P:$P,MATCH($D4300,'Paramètres'!$M:$M,0))&amp;"",""))))</f>
        <v/>
      </c>
      <c r="M4300" s="6" t="str">
        <f>IF($D4300="","",IF(ISNA(MATCH($D4300,'Paramètres'!$M:$M,0)),"⚠ Type inconnu",IF($L4300="Crédit","",IFERROR(INDEX('Paramètres'!$O:$O,MATCH($D4300,'Paramètres'!$M:$M,0))&amp;"",""))))</f>
        <v/>
      </c>
      <c r="N4300" s="6" t="str">
        <f>IF($D4300="","",IFERROR(INDEX('Paramètres'!$Q:$Q,MATCH($D4300,'Paramètres'!$M:$M,0))&amp;"",""))</f>
        <v/>
      </c>
      <c r="O4300" s="6" t="str">
        <f>IF($A4300="","",IF(OR($J4300&lt;&gt;"x",$A4300&lt;=FinReleve),1,0))</f>
        <v/>
      </c>
      <c r="P4300" s="6" t="str">
        <f>IF($D4300="","",IF(AND($L4300="Crédit",OR(IFERROR(INDEX('Paramètres'!$O:$O,MATCH($D4300,'Paramètres'!$M:$M,0))&amp;"","")&lt;&gt;"",ISNUMBER(SEARCH("remboursement",IFERROR(INDEX('Paramètres'!$N:$N,MATCH($D4300,'Paramètres'!$M:$M,0))&amp;"",""))))),1,0))</f>
        <v/>
      </c>
      <c r="Q4300" s="6" t="str">
        <f>IF($K4300="","",IF(ISNUMBER(SEARCH("transfert-interne",IFERROR(INDEX('Paramètres'!$N:$N,MATCH($D4300,'Paramètres'!$M:$M,0))&amp;"",""))),0,IF($L4300="Débit",$K4300,IF($P4300=1,-$K4300,0))))</f>
        <v/>
      </c>
      <c r="R4300" s="6" t="str">
        <f>IF($K4300="","",IF($L4300="Crédit",$K4300,-$K4300))</f>
        <v/>
      </c>
      <c r="S4300" s="6" t="str">
        <f>IF($C4300="","",IFERROR(INDEX('Paramètres'!$H:$H,MATCH($C4300,'Paramètres'!$D:$D,0))&amp;"",""))</f>
        <v/>
      </c>
      <c r="T4300" s="6" t="str">
        <f>IF($K4300="","",IF($S4300="",0,IF(ISNUMBER(SEARCH("apport-exterieur",IFERROR(INDEX('Paramètres'!$N:$N,MATCH($D4300,'Paramètres'!$M:$M,0))&amp;"",""))),0,IF(OR(IFERROR(INDEX('Paramètres'!$I:$I,MATCH($C4300,'Paramètres'!$D:$D,0))&amp;"","")="Les deux",IFERROR(INDEX('Paramètres'!$I:$I,MATCH($C4300,'Paramètres'!$D:$D,0))&amp;"","")=IF($P4300=1,"Débit",$L4300)),-IF($P4300=1,-$K4300,$K4300),0))))</f>
        <v/>
      </c>
      <c r="U4300" s="6" t="str">
        <f>IF($K4300="","",IF(ISNUMBER(SEARCH("sortie-epargne",IFERROR(INDEX('Paramètres'!$N:$N,MATCH($D4300,'Paramètres'!$M:$M,0))&amp;"",""))),$K4300,0))</f>
        <v/>
      </c>
      <c r="V4300" s="6" t="str">
        <f>IF(AND($A4300&lt;&gt;"",$O4300=1,$L4300="Débit",N($Q4300)&gt;0,$A4300&gt;=Visualisation!$B$1,$A4300&lt;Visualisation!$D$1),MAX($V$1:V4299)+1,"")</f>
        <v/>
      </c>
    </row>
    <row r="4301" spans="1:22" x14ac:dyDescent="0.25">
      <c r="A4301" s="9"/>
      <c r="E4301" s="10"/>
      <c r="K4301" s="11" t="str">
        <f>IF($E4301="","",ROUND($E4301*IF(ISNA(MATCH($C4301,'Paramètres'!$D:$D,0)),1,IF(INDEX('Paramètres'!$J:$J,MATCH($C4301,'Paramètres'!$D:$D,0))="",1,INDEX('Paramètres'!$J:$J,MATCH($C4301,'Paramètres'!$D:$D,0)))),2))</f>
        <v/>
      </c>
      <c r="L4301" s="6" t="str">
        <f>IF($D4301="","",IF($F4301&lt;&gt;"",$F4301,IF(ISNA(MATCH($D4301,'Paramètres'!$M:$M,0)),"⚠ Type inconnu",IFERROR(INDEX('Paramètres'!$P:$P,MATCH($D4301,'Paramètres'!$M:$M,0))&amp;"",""))))</f>
        <v/>
      </c>
      <c r="M4301" s="6" t="str">
        <f>IF($D4301="","",IF(ISNA(MATCH($D4301,'Paramètres'!$M:$M,0)),"⚠ Type inconnu",IF($L4301="Crédit","",IFERROR(INDEX('Paramètres'!$O:$O,MATCH($D4301,'Paramètres'!$M:$M,0))&amp;"",""))))</f>
        <v/>
      </c>
      <c r="N4301" s="6" t="str">
        <f>IF($D4301="","",IFERROR(INDEX('Paramètres'!$Q:$Q,MATCH($D4301,'Paramètres'!$M:$M,0))&amp;"",""))</f>
        <v/>
      </c>
      <c r="O4301" s="6" t="str">
        <f>IF($A4301="","",IF(OR($J4301&lt;&gt;"x",$A4301&lt;=FinReleve),1,0))</f>
        <v/>
      </c>
      <c r="P4301" s="6" t="str">
        <f>IF($D4301="","",IF(AND($L4301="Crédit",OR(IFERROR(INDEX('Paramètres'!$O:$O,MATCH($D4301,'Paramètres'!$M:$M,0))&amp;"","")&lt;&gt;"",ISNUMBER(SEARCH("remboursement",IFERROR(INDEX('Paramètres'!$N:$N,MATCH($D4301,'Paramètres'!$M:$M,0))&amp;"",""))))),1,0))</f>
        <v/>
      </c>
      <c r="Q4301" s="6" t="str">
        <f>IF($K4301="","",IF(ISNUMBER(SEARCH("transfert-interne",IFERROR(INDEX('Paramètres'!$N:$N,MATCH($D4301,'Paramètres'!$M:$M,0))&amp;"",""))),0,IF($L4301="Débit",$K4301,IF($P4301=1,-$K4301,0))))</f>
        <v/>
      </c>
      <c r="R4301" s="6" t="str">
        <f>IF($K4301="","",IF($L4301="Crédit",$K4301,-$K4301))</f>
        <v/>
      </c>
      <c r="S4301" s="6" t="str">
        <f>IF($C4301="","",IFERROR(INDEX('Paramètres'!$H:$H,MATCH($C4301,'Paramètres'!$D:$D,0))&amp;"",""))</f>
        <v/>
      </c>
      <c r="T4301" s="6" t="str">
        <f>IF($K4301="","",IF($S4301="",0,IF(ISNUMBER(SEARCH("apport-exterieur",IFERROR(INDEX('Paramètres'!$N:$N,MATCH($D4301,'Paramètres'!$M:$M,0))&amp;"",""))),0,IF(OR(IFERROR(INDEX('Paramètres'!$I:$I,MATCH($C4301,'Paramètres'!$D:$D,0))&amp;"","")="Les deux",IFERROR(INDEX('Paramètres'!$I:$I,MATCH($C4301,'Paramètres'!$D:$D,0))&amp;"","")=IF($P4301=1,"Débit",$L4301)),-IF($P4301=1,-$K4301,$K4301),0))))</f>
        <v/>
      </c>
      <c r="U4301" s="6" t="str">
        <f>IF($K4301="","",IF(ISNUMBER(SEARCH("sortie-epargne",IFERROR(INDEX('Paramètres'!$N:$N,MATCH($D4301,'Paramètres'!$M:$M,0))&amp;"",""))),$K4301,0))</f>
        <v/>
      </c>
      <c r="V4301" s="6" t="str">
        <f>IF(AND($A4301&lt;&gt;"",$O4301=1,$L4301="Débit",N($Q4301)&gt;0,$A4301&gt;=Visualisation!$B$1,$A4301&lt;Visualisation!$D$1),MAX($V$1:V4300)+1,"")</f>
        <v/>
      </c>
    </row>
    <row r="4302" spans="1:22" x14ac:dyDescent="0.25">
      <c r="A4302" s="9"/>
      <c r="E4302" s="10"/>
      <c r="K4302" s="11" t="str">
        <f>IF($E4302="","",ROUND($E4302*IF(ISNA(MATCH($C4302,'Paramètres'!$D:$D,0)),1,IF(INDEX('Paramètres'!$J:$J,MATCH($C4302,'Paramètres'!$D:$D,0))="",1,INDEX('Paramètres'!$J:$J,MATCH($C4302,'Paramètres'!$D:$D,0)))),2))</f>
        <v/>
      </c>
      <c r="L4302" s="6" t="str">
        <f>IF($D4302="","",IF($F4302&lt;&gt;"",$F4302,IF(ISNA(MATCH($D4302,'Paramètres'!$M:$M,0)),"⚠ Type inconnu",IFERROR(INDEX('Paramètres'!$P:$P,MATCH($D4302,'Paramètres'!$M:$M,0))&amp;"",""))))</f>
        <v/>
      </c>
      <c r="M4302" s="6" t="str">
        <f>IF($D4302="","",IF(ISNA(MATCH($D4302,'Paramètres'!$M:$M,0)),"⚠ Type inconnu",IF($L4302="Crédit","",IFERROR(INDEX('Paramètres'!$O:$O,MATCH($D4302,'Paramètres'!$M:$M,0))&amp;"",""))))</f>
        <v/>
      </c>
      <c r="N4302" s="6" t="str">
        <f>IF($D4302="","",IFERROR(INDEX('Paramètres'!$Q:$Q,MATCH($D4302,'Paramètres'!$M:$M,0))&amp;"",""))</f>
        <v/>
      </c>
      <c r="O4302" s="6" t="str">
        <f>IF($A4302="","",IF(OR($J4302&lt;&gt;"x",$A4302&lt;=FinReleve),1,0))</f>
        <v/>
      </c>
      <c r="P4302" s="6" t="str">
        <f>IF($D4302="","",IF(AND($L4302="Crédit",OR(IFERROR(INDEX('Paramètres'!$O:$O,MATCH($D4302,'Paramètres'!$M:$M,0))&amp;"","")&lt;&gt;"",ISNUMBER(SEARCH("remboursement",IFERROR(INDEX('Paramètres'!$N:$N,MATCH($D4302,'Paramètres'!$M:$M,0))&amp;"",""))))),1,0))</f>
        <v/>
      </c>
      <c r="Q4302" s="6" t="str">
        <f>IF($K4302="","",IF(ISNUMBER(SEARCH("transfert-interne",IFERROR(INDEX('Paramètres'!$N:$N,MATCH($D4302,'Paramètres'!$M:$M,0))&amp;"",""))),0,IF($L4302="Débit",$K4302,IF($P4302=1,-$K4302,0))))</f>
        <v/>
      </c>
      <c r="R4302" s="6" t="str">
        <f>IF($K4302="","",IF($L4302="Crédit",$K4302,-$K4302))</f>
        <v/>
      </c>
      <c r="S4302" s="6" t="str">
        <f>IF($C4302="","",IFERROR(INDEX('Paramètres'!$H:$H,MATCH($C4302,'Paramètres'!$D:$D,0))&amp;"",""))</f>
        <v/>
      </c>
      <c r="T4302" s="6" t="str">
        <f>IF($K4302="","",IF($S4302="",0,IF(ISNUMBER(SEARCH("apport-exterieur",IFERROR(INDEX('Paramètres'!$N:$N,MATCH($D4302,'Paramètres'!$M:$M,0))&amp;"",""))),0,IF(OR(IFERROR(INDEX('Paramètres'!$I:$I,MATCH($C4302,'Paramètres'!$D:$D,0))&amp;"","")="Les deux",IFERROR(INDEX('Paramètres'!$I:$I,MATCH($C4302,'Paramètres'!$D:$D,0))&amp;"","")=IF($P4302=1,"Débit",$L4302)),-IF($P4302=1,-$K4302,$K4302),0))))</f>
        <v/>
      </c>
      <c r="U4302" s="6" t="str">
        <f>IF($K4302="","",IF(ISNUMBER(SEARCH("sortie-epargne",IFERROR(INDEX('Paramètres'!$N:$N,MATCH($D4302,'Paramètres'!$M:$M,0))&amp;"",""))),$K4302,0))</f>
        <v/>
      </c>
      <c r="V4302" s="6" t="str">
        <f>IF(AND($A4302&lt;&gt;"",$O4302=1,$L4302="Débit",N($Q4302)&gt;0,$A4302&gt;=Visualisation!$B$1,$A4302&lt;Visualisation!$D$1),MAX($V$1:V4301)+1,"")</f>
        <v/>
      </c>
    </row>
    <row r="4303" spans="1:22" x14ac:dyDescent="0.25">
      <c r="A4303" s="9"/>
      <c r="E4303" s="10"/>
      <c r="K4303" s="11" t="str">
        <f>IF($E4303="","",ROUND($E4303*IF(ISNA(MATCH($C4303,'Paramètres'!$D:$D,0)),1,IF(INDEX('Paramètres'!$J:$J,MATCH($C4303,'Paramètres'!$D:$D,0))="",1,INDEX('Paramètres'!$J:$J,MATCH($C4303,'Paramètres'!$D:$D,0)))),2))</f>
        <v/>
      </c>
      <c r="L4303" s="6" t="str">
        <f>IF($D4303="","",IF($F4303&lt;&gt;"",$F4303,IF(ISNA(MATCH($D4303,'Paramètres'!$M:$M,0)),"⚠ Type inconnu",IFERROR(INDEX('Paramètres'!$P:$P,MATCH($D4303,'Paramètres'!$M:$M,0))&amp;"",""))))</f>
        <v/>
      </c>
      <c r="M4303" s="6" t="str">
        <f>IF($D4303="","",IF(ISNA(MATCH($D4303,'Paramètres'!$M:$M,0)),"⚠ Type inconnu",IF($L4303="Crédit","",IFERROR(INDEX('Paramètres'!$O:$O,MATCH($D4303,'Paramètres'!$M:$M,0))&amp;"",""))))</f>
        <v/>
      </c>
      <c r="N4303" s="6" t="str">
        <f>IF($D4303="","",IFERROR(INDEX('Paramètres'!$Q:$Q,MATCH($D4303,'Paramètres'!$M:$M,0))&amp;"",""))</f>
        <v/>
      </c>
      <c r="O4303" s="6" t="str">
        <f>IF($A4303="","",IF(OR($J4303&lt;&gt;"x",$A4303&lt;=FinReleve),1,0))</f>
        <v/>
      </c>
      <c r="P4303" s="6" t="str">
        <f>IF($D4303="","",IF(AND($L4303="Crédit",OR(IFERROR(INDEX('Paramètres'!$O:$O,MATCH($D4303,'Paramètres'!$M:$M,0))&amp;"","")&lt;&gt;"",ISNUMBER(SEARCH("remboursement",IFERROR(INDEX('Paramètres'!$N:$N,MATCH($D4303,'Paramètres'!$M:$M,0))&amp;"",""))))),1,0))</f>
        <v/>
      </c>
      <c r="Q4303" s="6" t="str">
        <f>IF($K4303="","",IF(ISNUMBER(SEARCH("transfert-interne",IFERROR(INDEX('Paramètres'!$N:$N,MATCH($D4303,'Paramètres'!$M:$M,0))&amp;"",""))),0,IF($L4303="Débit",$K4303,IF($P4303=1,-$K4303,0))))</f>
        <v/>
      </c>
      <c r="R4303" s="6" t="str">
        <f>IF($K4303="","",IF($L4303="Crédit",$K4303,-$K4303))</f>
        <v/>
      </c>
      <c r="S4303" s="6" t="str">
        <f>IF($C4303="","",IFERROR(INDEX('Paramètres'!$H:$H,MATCH($C4303,'Paramètres'!$D:$D,0))&amp;"",""))</f>
        <v/>
      </c>
      <c r="T4303" s="6" t="str">
        <f>IF($K4303="","",IF($S4303="",0,IF(ISNUMBER(SEARCH("apport-exterieur",IFERROR(INDEX('Paramètres'!$N:$N,MATCH($D4303,'Paramètres'!$M:$M,0))&amp;"",""))),0,IF(OR(IFERROR(INDEX('Paramètres'!$I:$I,MATCH($C4303,'Paramètres'!$D:$D,0))&amp;"","")="Les deux",IFERROR(INDEX('Paramètres'!$I:$I,MATCH($C4303,'Paramètres'!$D:$D,0))&amp;"","")=IF($P4303=1,"Débit",$L4303)),-IF($P4303=1,-$K4303,$K4303),0))))</f>
        <v/>
      </c>
      <c r="U4303" s="6" t="str">
        <f>IF($K4303="","",IF(ISNUMBER(SEARCH("sortie-epargne",IFERROR(INDEX('Paramètres'!$N:$N,MATCH($D4303,'Paramètres'!$M:$M,0))&amp;"",""))),$K4303,0))</f>
        <v/>
      </c>
      <c r="V4303" s="6" t="str">
        <f>IF(AND($A4303&lt;&gt;"",$O4303=1,$L4303="Débit",N($Q4303)&gt;0,$A4303&gt;=Visualisation!$B$1,$A4303&lt;Visualisation!$D$1),MAX($V$1:V4302)+1,"")</f>
        <v/>
      </c>
    </row>
    <row r="4304" spans="1:22" x14ac:dyDescent="0.25">
      <c r="A4304" s="9"/>
      <c r="E4304" s="10"/>
      <c r="K4304" s="11" t="str">
        <f>IF($E4304="","",ROUND($E4304*IF(ISNA(MATCH($C4304,'Paramètres'!$D:$D,0)),1,IF(INDEX('Paramètres'!$J:$J,MATCH($C4304,'Paramètres'!$D:$D,0))="",1,INDEX('Paramètres'!$J:$J,MATCH($C4304,'Paramètres'!$D:$D,0)))),2))</f>
        <v/>
      </c>
      <c r="L4304" s="6" t="str">
        <f>IF($D4304="","",IF($F4304&lt;&gt;"",$F4304,IF(ISNA(MATCH($D4304,'Paramètres'!$M:$M,0)),"⚠ Type inconnu",IFERROR(INDEX('Paramètres'!$P:$P,MATCH($D4304,'Paramètres'!$M:$M,0))&amp;"",""))))</f>
        <v/>
      </c>
      <c r="M4304" s="6" t="str">
        <f>IF($D4304="","",IF(ISNA(MATCH($D4304,'Paramètres'!$M:$M,0)),"⚠ Type inconnu",IF($L4304="Crédit","",IFERROR(INDEX('Paramètres'!$O:$O,MATCH($D4304,'Paramètres'!$M:$M,0))&amp;"",""))))</f>
        <v/>
      </c>
      <c r="N4304" s="6" t="str">
        <f>IF($D4304="","",IFERROR(INDEX('Paramètres'!$Q:$Q,MATCH($D4304,'Paramètres'!$M:$M,0))&amp;"",""))</f>
        <v/>
      </c>
      <c r="O4304" s="6" t="str">
        <f>IF($A4304="","",IF(OR($J4304&lt;&gt;"x",$A4304&lt;=FinReleve),1,0))</f>
        <v/>
      </c>
      <c r="P4304" s="6" t="str">
        <f>IF($D4304="","",IF(AND($L4304="Crédit",OR(IFERROR(INDEX('Paramètres'!$O:$O,MATCH($D4304,'Paramètres'!$M:$M,0))&amp;"","")&lt;&gt;"",ISNUMBER(SEARCH("remboursement",IFERROR(INDEX('Paramètres'!$N:$N,MATCH($D4304,'Paramètres'!$M:$M,0))&amp;"",""))))),1,0))</f>
        <v/>
      </c>
      <c r="Q4304" s="6" t="str">
        <f>IF($K4304="","",IF(ISNUMBER(SEARCH("transfert-interne",IFERROR(INDEX('Paramètres'!$N:$N,MATCH($D4304,'Paramètres'!$M:$M,0))&amp;"",""))),0,IF($L4304="Débit",$K4304,IF($P4304=1,-$K4304,0))))</f>
        <v/>
      </c>
      <c r="R4304" s="6" t="str">
        <f>IF($K4304="","",IF($L4304="Crédit",$K4304,-$K4304))</f>
        <v/>
      </c>
      <c r="S4304" s="6" t="str">
        <f>IF($C4304="","",IFERROR(INDEX('Paramètres'!$H:$H,MATCH($C4304,'Paramètres'!$D:$D,0))&amp;"",""))</f>
        <v/>
      </c>
      <c r="T4304" s="6" t="str">
        <f>IF($K4304="","",IF($S4304="",0,IF(ISNUMBER(SEARCH("apport-exterieur",IFERROR(INDEX('Paramètres'!$N:$N,MATCH($D4304,'Paramètres'!$M:$M,0))&amp;"",""))),0,IF(OR(IFERROR(INDEX('Paramètres'!$I:$I,MATCH($C4304,'Paramètres'!$D:$D,0))&amp;"","")="Les deux",IFERROR(INDEX('Paramètres'!$I:$I,MATCH($C4304,'Paramètres'!$D:$D,0))&amp;"","")=IF($P4304=1,"Débit",$L4304)),-IF($P4304=1,-$K4304,$K4304),0))))</f>
        <v/>
      </c>
      <c r="U4304" s="6" t="str">
        <f>IF($K4304="","",IF(ISNUMBER(SEARCH("sortie-epargne",IFERROR(INDEX('Paramètres'!$N:$N,MATCH($D4304,'Paramètres'!$M:$M,0))&amp;"",""))),$K4304,0))</f>
        <v/>
      </c>
      <c r="V4304" s="6" t="str">
        <f>IF(AND($A4304&lt;&gt;"",$O4304=1,$L4304="Débit",N($Q4304)&gt;0,$A4304&gt;=Visualisation!$B$1,$A4304&lt;Visualisation!$D$1),MAX($V$1:V4303)+1,"")</f>
        <v/>
      </c>
    </row>
    <row r="4305" spans="1:22" x14ac:dyDescent="0.25">
      <c r="A4305" s="9"/>
      <c r="E4305" s="10"/>
      <c r="K4305" s="11" t="str">
        <f>IF($E4305="","",ROUND($E4305*IF(ISNA(MATCH($C4305,'Paramètres'!$D:$D,0)),1,IF(INDEX('Paramètres'!$J:$J,MATCH($C4305,'Paramètres'!$D:$D,0))="",1,INDEX('Paramètres'!$J:$J,MATCH($C4305,'Paramètres'!$D:$D,0)))),2))</f>
        <v/>
      </c>
      <c r="L4305" s="6" t="str">
        <f>IF($D4305="","",IF($F4305&lt;&gt;"",$F4305,IF(ISNA(MATCH($D4305,'Paramètres'!$M:$M,0)),"⚠ Type inconnu",IFERROR(INDEX('Paramètres'!$P:$P,MATCH($D4305,'Paramètres'!$M:$M,0))&amp;"",""))))</f>
        <v/>
      </c>
      <c r="M4305" s="6" t="str">
        <f>IF($D4305="","",IF(ISNA(MATCH($D4305,'Paramètres'!$M:$M,0)),"⚠ Type inconnu",IF($L4305="Crédit","",IFERROR(INDEX('Paramètres'!$O:$O,MATCH($D4305,'Paramètres'!$M:$M,0))&amp;"",""))))</f>
        <v/>
      </c>
      <c r="N4305" s="6" t="str">
        <f>IF($D4305="","",IFERROR(INDEX('Paramètres'!$Q:$Q,MATCH($D4305,'Paramètres'!$M:$M,0))&amp;"",""))</f>
        <v/>
      </c>
      <c r="O4305" s="6" t="str">
        <f>IF($A4305="","",IF(OR($J4305&lt;&gt;"x",$A4305&lt;=FinReleve),1,0))</f>
        <v/>
      </c>
      <c r="P4305" s="6" t="str">
        <f>IF($D4305="","",IF(AND($L4305="Crédit",OR(IFERROR(INDEX('Paramètres'!$O:$O,MATCH($D4305,'Paramètres'!$M:$M,0))&amp;"","")&lt;&gt;"",ISNUMBER(SEARCH("remboursement",IFERROR(INDEX('Paramètres'!$N:$N,MATCH($D4305,'Paramètres'!$M:$M,0))&amp;"",""))))),1,0))</f>
        <v/>
      </c>
      <c r="Q4305" s="6" t="str">
        <f>IF($K4305="","",IF(ISNUMBER(SEARCH("transfert-interne",IFERROR(INDEX('Paramètres'!$N:$N,MATCH($D4305,'Paramètres'!$M:$M,0))&amp;"",""))),0,IF($L4305="Débit",$K4305,IF($P4305=1,-$K4305,0))))</f>
        <v/>
      </c>
      <c r="R4305" s="6" t="str">
        <f>IF($K4305="","",IF($L4305="Crédit",$K4305,-$K4305))</f>
        <v/>
      </c>
      <c r="S4305" s="6" t="str">
        <f>IF($C4305="","",IFERROR(INDEX('Paramètres'!$H:$H,MATCH($C4305,'Paramètres'!$D:$D,0))&amp;"",""))</f>
        <v/>
      </c>
      <c r="T4305" s="6" t="str">
        <f>IF($K4305="","",IF($S4305="",0,IF(ISNUMBER(SEARCH("apport-exterieur",IFERROR(INDEX('Paramètres'!$N:$N,MATCH($D4305,'Paramètres'!$M:$M,0))&amp;"",""))),0,IF(OR(IFERROR(INDEX('Paramètres'!$I:$I,MATCH($C4305,'Paramètres'!$D:$D,0))&amp;"","")="Les deux",IFERROR(INDEX('Paramètres'!$I:$I,MATCH($C4305,'Paramètres'!$D:$D,0))&amp;"","")=IF($P4305=1,"Débit",$L4305)),-IF($P4305=1,-$K4305,$K4305),0))))</f>
        <v/>
      </c>
      <c r="U4305" s="6" t="str">
        <f>IF($K4305="","",IF(ISNUMBER(SEARCH("sortie-epargne",IFERROR(INDEX('Paramètres'!$N:$N,MATCH($D4305,'Paramètres'!$M:$M,0))&amp;"",""))),$K4305,0))</f>
        <v/>
      </c>
      <c r="V4305" s="6" t="str">
        <f>IF(AND($A4305&lt;&gt;"",$O4305=1,$L4305="Débit",N($Q4305)&gt;0,$A4305&gt;=Visualisation!$B$1,$A4305&lt;Visualisation!$D$1),MAX($V$1:V4304)+1,"")</f>
        <v/>
      </c>
    </row>
    <row r="4306" spans="1:22" x14ac:dyDescent="0.25">
      <c r="A4306" s="9"/>
      <c r="E4306" s="10"/>
      <c r="K4306" s="11" t="str">
        <f>IF($E4306="","",ROUND($E4306*IF(ISNA(MATCH($C4306,'Paramètres'!$D:$D,0)),1,IF(INDEX('Paramètres'!$J:$J,MATCH($C4306,'Paramètres'!$D:$D,0))="",1,INDEX('Paramètres'!$J:$J,MATCH($C4306,'Paramètres'!$D:$D,0)))),2))</f>
        <v/>
      </c>
      <c r="L4306" s="6" t="str">
        <f>IF($D4306="","",IF($F4306&lt;&gt;"",$F4306,IF(ISNA(MATCH($D4306,'Paramètres'!$M:$M,0)),"⚠ Type inconnu",IFERROR(INDEX('Paramètres'!$P:$P,MATCH($D4306,'Paramètres'!$M:$M,0))&amp;"",""))))</f>
        <v/>
      </c>
      <c r="M4306" s="6" t="str">
        <f>IF($D4306="","",IF(ISNA(MATCH($D4306,'Paramètres'!$M:$M,0)),"⚠ Type inconnu",IF($L4306="Crédit","",IFERROR(INDEX('Paramètres'!$O:$O,MATCH($D4306,'Paramètres'!$M:$M,0))&amp;"",""))))</f>
        <v/>
      </c>
      <c r="N4306" s="6" t="str">
        <f>IF($D4306="","",IFERROR(INDEX('Paramètres'!$Q:$Q,MATCH($D4306,'Paramètres'!$M:$M,0))&amp;"",""))</f>
        <v/>
      </c>
      <c r="O4306" s="6" t="str">
        <f>IF($A4306="","",IF(OR($J4306&lt;&gt;"x",$A4306&lt;=FinReleve),1,0))</f>
        <v/>
      </c>
      <c r="P4306" s="6" t="str">
        <f>IF($D4306="","",IF(AND($L4306="Crédit",OR(IFERROR(INDEX('Paramètres'!$O:$O,MATCH($D4306,'Paramètres'!$M:$M,0))&amp;"","")&lt;&gt;"",ISNUMBER(SEARCH("remboursement",IFERROR(INDEX('Paramètres'!$N:$N,MATCH($D4306,'Paramètres'!$M:$M,0))&amp;"",""))))),1,0))</f>
        <v/>
      </c>
      <c r="Q4306" s="6" t="str">
        <f>IF($K4306="","",IF(ISNUMBER(SEARCH("transfert-interne",IFERROR(INDEX('Paramètres'!$N:$N,MATCH($D4306,'Paramètres'!$M:$M,0))&amp;"",""))),0,IF($L4306="Débit",$K4306,IF($P4306=1,-$K4306,0))))</f>
        <v/>
      </c>
      <c r="R4306" s="6" t="str">
        <f>IF($K4306="","",IF($L4306="Crédit",$K4306,-$K4306))</f>
        <v/>
      </c>
      <c r="S4306" s="6" t="str">
        <f>IF($C4306="","",IFERROR(INDEX('Paramètres'!$H:$H,MATCH($C4306,'Paramètres'!$D:$D,0))&amp;"",""))</f>
        <v/>
      </c>
      <c r="T4306" s="6" t="str">
        <f>IF($K4306="","",IF($S4306="",0,IF(ISNUMBER(SEARCH("apport-exterieur",IFERROR(INDEX('Paramètres'!$N:$N,MATCH($D4306,'Paramètres'!$M:$M,0))&amp;"",""))),0,IF(OR(IFERROR(INDEX('Paramètres'!$I:$I,MATCH($C4306,'Paramètres'!$D:$D,0))&amp;"","")="Les deux",IFERROR(INDEX('Paramètres'!$I:$I,MATCH($C4306,'Paramètres'!$D:$D,0))&amp;"","")=IF($P4306=1,"Débit",$L4306)),-IF($P4306=1,-$K4306,$K4306),0))))</f>
        <v/>
      </c>
      <c r="U4306" s="6" t="str">
        <f>IF($K4306="","",IF(ISNUMBER(SEARCH("sortie-epargne",IFERROR(INDEX('Paramètres'!$N:$N,MATCH($D4306,'Paramètres'!$M:$M,0))&amp;"",""))),$K4306,0))</f>
        <v/>
      </c>
      <c r="V4306" s="6" t="str">
        <f>IF(AND($A4306&lt;&gt;"",$O4306=1,$L4306="Débit",N($Q4306)&gt;0,$A4306&gt;=Visualisation!$B$1,$A4306&lt;Visualisation!$D$1),MAX($V$1:V4305)+1,"")</f>
        <v/>
      </c>
    </row>
    <row r="4307" spans="1:22" x14ac:dyDescent="0.25">
      <c r="A4307" s="9"/>
      <c r="E4307" s="10"/>
      <c r="K4307" s="11" t="str">
        <f>IF($E4307="","",ROUND($E4307*IF(ISNA(MATCH($C4307,'Paramètres'!$D:$D,0)),1,IF(INDEX('Paramètres'!$J:$J,MATCH($C4307,'Paramètres'!$D:$D,0))="",1,INDEX('Paramètres'!$J:$J,MATCH($C4307,'Paramètres'!$D:$D,0)))),2))</f>
        <v/>
      </c>
      <c r="L4307" s="6" t="str">
        <f>IF($D4307="","",IF($F4307&lt;&gt;"",$F4307,IF(ISNA(MATCH($D4307,'Paramètres'!$M:$M,0)),"⚠ Type inconnu",IFERROR(INDEX('Paramètres'!$P:$P,MATCH($D4307,'Paramètres'!$M:$M,0))&amp;"",""))))</f>
        <v/>
      </c>
      <c r="M4307" s="6" t="str">
        <f>IF($D4307="","",IF(ISNA(MATCH($D4307,'Paramètres'!$M:$M,0)),"⚠ Type inconnu",IF($L4307="Crédit","",IFERROR(INDEX('Paramètres'!$O:$O,MATCH($D4307,'Paramètres'!$M:$M,0))&amp;"",""))))</f>
        <v/>
      </c>
      <c r="N4307" s="6" t="str">
        <f>IF($D4307="","",IFERROR(INDEX('Paramètres'!$Q:$Q,MATCH($D4307,'Paramètres'!$M:$M,0))&amp;"",""))</f>
        <v/>
      </c>
      <c r="O4307" s="6" t="str">
        <f>IF($A4307="","",IF(OR($J4307&lt;&gt;"x",$A4307&lt;=FinReleve),1,0))</f>
        <v/>
      </c>
      <c r="P4307" s="6" t="str">
        <f>IF($D4307="","",IF(AND($L4307="Crédit",OR(IFERROR(INDEX('Paramètres'!$O:$O,MATCH($D4307,'Paramètres'!$M:$M,0))&amp;"","")&lt;&gt;"",ISNUMBER(SEARCH("remboursement",IFERROR(INDEX('Paramètres'!$N:$N,MATCH($D4307,'Paramètres'!$M:$M,0))&amp;"",""))))),1,0))</f>
        <v/>
      </c>
      <c r="Q4307" s="6" t="str">
        <f>IF($K4307="","",IF(ISNUMBER(SEARCH("transfert-interne",IFERROR(INDEX('Paramètres'!$N:$N,MATCH($D4307,'Paramètres'!$M:$M,0))&amp;"",""))),0,IF($L4307="Débit",$K4307,IF($P4307=1,-$K4307,0))))</f>
        <v/>
      </c>
      <c r="R4307" s="6" t="str">
        <f>IF($K4307="","",IF($L4307="Crédit",$K4307,-$K4307))</f>
        <v/>
      </c>
      <c r="S4307" s="6" t="str">
        <f>IF($C4307="","",IFERROR(INDEX('Paramètres'!$H:$H,MATCH($C4307,'Paramètres'!$D:$D,0))&amp;"",""))</f>
        <v/>
      </c>
      <c r="T4307" s="6" t="str">
        <f>IF($K4307="","",IF($S4307="",0,IF(ISNUMBER(SEARCH("apport-exterieur",IFERROR(INDEX('Paramètres'!$N:$N,MATCH($D4307,'Paramètres'!$M:$M,0))&amp;"",""))),0,IF(OR(IFERROR(INDEX('Paramètres'!$I:$I,MATCH($C4307,'Paramètres'!$D:$D,0))&amp;"","")="Les deux",IFERROR(INDEX('Paramètres'!$I:$I,MATCH($C4307,'Paramètres'!$D:$D,0))&amp;"","")=IF($P4307=1,"Débit",$L4307)),-IF($P4307=1,-$K4307,$K4307),0))))</f>
        <v/>
      </c>
      <c r="U4307" s="6" t="str">
        <f>IF($K4307="","",IF(ISNUMBER(SEARCH("sortie-epargne",IFERROR(INDEX('Paramètres'!$N:$N,MATCH($D4307,'Paramètres'!$M:$M,0))&amp;"",""))),$K4307,0))</f>
        <v/>
      </c>
      <c r="V4307" s="6" t="str">
        <f>IF(AND($A4307&lt;&gt;"",$O4307=1,$L4307="Débit",N($Q4307)&gt;0,$A4307&gt;=Visualisation!$B$1,$A4307&lt;Visualisation!$D$1),MAX($V$1:V4306)+1,"")</f>
        <v/>
      </c>
    </row>
    <row r="4308" spans="1:22" x14ac:dyDescent="0.25">
      <c r="A4308" s="9"/>
      <c r="E4308" s="10"/>
      <c r="K4308" s="11" t="str">
        <f>IF($E4308="","",ROUND($E4308*IF(ISNA(MATCH($C4308,'Paramètres'!$D:$D,0)),1,IF(INDEX('Paramètres'!$J:$J,MATCH($C4308,'Paramètres'!$D:$D,0))="",1,INDEX('Paramètres'!$J:$J,MATCH($C4308,'Paramètres'!$D:$D,0)))),2))</f>
        <v/>
      </c>
      <c r="L4308" s="6" t="str">
        <f>IF($D4308="","",IF($F4308&lt;&gt;"",$F4308,IF(ISNA(MATCH($D4308,'Paramètres'!$M:$M,0)),"⚠ Type inconnu",IFERROR(INDEX('Paramètres'!$P:$P,MATCH($D4308,'Paramètres'!$M:$M,0))&amp;"",""))))</f>
        <v/>
      </c>
      <c r="M4308" s="6" t="str">
        <f>IF($D4308="","",IF(ISNA(MATCH($D4308,'Paramètres'!$M:$M,0)),"⚠ Type inconnu",IF($L4308="Crédit","",IFERROR(INDEX('Paramètres'!$O:$O,MATCH($D4308,'Paramètres'!$M:$M,0))&amp;"",""))))</f>
        <v/>
      </c>
      <c r="N4308" s="6" t="str">
        <f>IF($D4308="","",IFERROR(INDEX('Paramètres'!$Q:$Q,MATCH($D4308,'Paramètres'!$M:$M,0))&amp;"",""))</f>
        <v/>
      </c>
      <c r="O4308" s="6" t="str">
        <f>IF($A4308="","",IF(OR($J4308&lt;&gt;"x",$A4308&lt;=FinReleve),1,0))</f>
        <v/>
      </c>
      <c r="P4308" s="6" t="str">
        <f>IF($D4308="","",IF(AND($L4308="Crédit",OR(IFERROR(INDEX('Paramètres'!$O:$O,MATCH($D4308,'Paramètres'!$M:$M,0))&amp;"","")&lt;&gt;"",ISNUMBER(SEARCH("remboursement",IFERROR(INDEX('Paramètres'!$N:$N,MATCH($D4308,'Paramètres'!$M:$M,0))&amp;"",""))))),1,0))</f>
        <v/>
      </c>
      <c r="Q4308" s="6" t="str">
        <f>IF($K4308="","",IF(ISNUMBER(SEARCH("transfert-interne",IFERROR(INDEX('Paramètres'!$N:$N,MATCH($D4308,'Paramètres'!$M:$M,0))&amp;"",""))),0,IF($L4308="Débit",$K4308,IF($P4308=1,-$K4308,0))))</f>
        <v/>
      </c>
      <c r="R4308" s="6" t="str">
        <f>IF($K4308="","",IF($L4308="Crédit",$K4308,-$K4308))</f>
        <v/>
      </c>
      <c r="S4308" s="6" t="str">
        <f>IF($C4308="","",IFERROR(INDEX('Paramètres'!$H:$H,MATCH($C4308,'Paramètres'!$D:$D,0))&amp;"",""))</f>
        <v/>
      </c>
      <c r="T4308" s="6" t="str">
        <f>IF($K4308="","",IF($S4308="",0,IF(ISNUMBER(SEARCH("apport-exterieur",IFERROR(INDEX('Paramètres'!$N:$N,MATCH($D4308,'Paramètres'!$M:$M,0))&amp;"",""))),0,IF(OR(IFERROR(INDEX('Paramètres'!$I:$I,MATCH($C4308,'Paramètres'!$D:$D,0))&amp;"","")="Les deux",IFERROR(INDEX('Paramètres'!$I:$I,MATCH($C4308,'Paramètres'!$D:$D,0))&amp;"","")=IF($P4308=1,"Débit",$L4308)),-IF($P4308=1,-$K4308,$K4308),0))))</f>
        <v/>
      </c>
      <c r="U4308" s="6" t="str">
        <f>IF($K4308="","",IF(ISNUMBER(SEARCH("sortie-epargne",IFERROR(INDEX('Paramètres'!$N:$N,MATCH($D4308,'Paramètres'!$M:$M,0))&amp;"",""))),$K4308,0))</f>
        <v/>
      </c>
      <c r="V4308" s="6" t="str">
        <f>IF(AND($A4308&lt;&gt;"",$O4308=1,$L4308="Débit",N($Q4308)&gt;0,$A4308&gt;=Visualisation!$B$1,$A4308&lt;Visualisation!$D$1),MAX($V$1:V4307)+1,"")</f>
        <v/>
      </c>
    </row>
    <row r="4309" spans="1:22" x14ac:dyDescent="0.25">
      <c r="A4309" s="9"/>
      <c r="E4309" s="10"/>
      <c r="K4309" s="11" t="str">
        <f>IF($E4309="","",ROUND($E4309*IF(ISNA(MATCH($C4309,'Paramètres'!$D:$D,0)),1,IF(INDEX('Paramètres'!$J:$J,MATCH($C4309,'Paramètres'!$D:$D,0))="",1,INDEX('Paramètres'!$J:$J,MATCH($C4309,'Paramètres'!$D:$D,0)))),2))</f>
        <v/>
      </c>
      <c r="L4309" s="6" t="str">
        <f>IF($D4309="","",IF($F4309&lt;&gt;"",$F4309,IF(ISNA(MATCH($D4309,'Paramètres'!$M:$M,0)),"⚠ Type inconnu",IFERROR(INDEX('Paramètres'!$P:$P,MATCH($D4309,'Paramètres'!$M:$M,0))&amp;"",""))))</f>
        <v/>
      </c>
      <c r="M4309" s="6" t="str">
        <f>IF($D4309="","",IF(ISNA(MATCH($D4309,'Paramètres'!$M:$M,0)),"⚠ Type inconnu",IF($L4309="Crédit","",IFERROR(INDEX('Paramètres'!$O:$O,MATCH($D4309,'Paramètres'!$M:$M,0))&amp;"",""))))</f>
        <v/>
      </c>
      <c r="N4309" s="6" t="str">
        <f>IF($D4309="","",IFERROR(INDEX('Paramètres'!$Q:$Q,MATCH($D4309,'Paramètres'!$M:$M,0))&amp;"",""))</f>
        <v/>
      </c>
      <c r="O4309" s="6" t="str">
        <f>IF($A4309="","",IF(OR($J4309&lt;&gt;"x",$A4309&lt;=FinReleve),1,0))</f>
        <v/>
      </c>
      <c r="P4309" s="6" t="str">
        <f>IF($D4309="","",IF(AND($L4309="Crédit",OR(IFERROR(INDEX('Paramètres'!$O:$O,MATCH($D4309,'Paramètres'!$M:$M,0))&amp;"","")&lt;&gt;"",ISNUMBER(SEARCH("remboursement",IFERROR(INDEX('Paramètres'!$N:$N,MATCH($D4309,'Paramètres'!$M:$M,0))&amp;"",""))))),1,0))</f>
        <v/>
      </c>
      <c r="Q4309" s="6" t="str">
        <f>IF($K4309="","",IF(ISNUMBER(SEARCH("transfert-interne",IFERROR(INDEX('Paramètres'!$N:$N,MATCH($D4309,'Paramètres'!$M:$M,0))&amp;"",""))),0,IF($L4309="Débit",$K4309,IF($P4309=1,-$K4309,0))))</f>
        <v/>
      </c>
      <c r="R4309" s="6" t="str">
        <f>IF($K4309="","",IF($L4309="Crédit",$K4309,-$K4309))</f>
        <v/>
      </c>
      <c r="S4309" s="6" t="str">
        <f>IF($C4309="","",IFERROR(INDEX('Paramètres'!$H:$H,MATCH($C4309,'Paramètres'!$D:$D,0))&amp;"",""))</f>
        <v/>
      </c>
      <c r="T4309" s="6" t="str">
        <f>IF($K4309="","",IF($S4309="",0,IF(ISNUMBER(SEARCH("apport-exterieur",IFERROR(INDEX('Paramètres'!$N:$N,MATCH($D4309,'Paramètres'!$M:$M,0))&amp;"",""))),0,IF(OR(IFERROR(INDEX('Paramètres'!$I:$I,MATCH($C4309,'Paramètres'!$D:$D,0))&amp;"","")="Les deux",IFERROR(INDEX('Paramètres'!$I:$I,MATCH($C4309,'Paramètres'!$D:$D,0))&amp;"","")=IF($P4309=1,"Débit",$L4309)),-IF($P4309=1,-$K4309,$K4309),0))))</f>
        <v/>
      </c>
      <c r="U4309" s="6" t="str">
        <f>IF($K4309="","",IF(ISNUMBER(SEARCH("sortie-epargne",IFERROR(INDEX('Paramètres'!$N:$N,MATCH($D4309,'Paramètres'!$M:$M,0))&amp;"",""))),$K4309,0))</f>
        <v/>
      </c>
      <c r="V4309" s="6" t="str">
        <f>IF(AND($A4309&lt;&gt;"",$O4309=1,$L4309="Débit",N($Q4309)&gt;0,$A4309&gt;=Visualisation!$B$1,$A4309&lt;Visualisation!$D$1),MAX($V$1:V4308)+1,"")</f>
        <v/>
      </c>
    </row>
    <row r="4310" spans="1:22" x14ac:dyDescent="0.25">
      <c r="A4310" s="9"/>
      <c r="E4310" s="10"/>
      <c r="K4310" s="11" t="str">
        <f>IF($E4310="","",ROUND($E4310*IF(ISNA(MATCH($C4310,'Paramètres'!$D:$D,0)),1,IF(INDEX('Paramètres'!$J:$J,MATCH($C4310,'Paramètres'!$D:$D,0))="",1,INDEX('Paramètres'!$J:$J,MATCH($C4310,'Paramètres'!$D:$D,0)))),2))</f>
        <v/>
      </c>
      <c r="L4310" s="6" t="str">
        <f>IF($D4310="","",IF($F4310&lt;&gt;"",$F4310,IF(ISNA(MATCH($D4310,'Paramètres'!$M:$M,0)),"⚠ Type inconnu",IFERROR(INDEX('Paramètres'!$P:$P,MATCH($D4310,'Paramètres'!$M:$M,0))&amp;"",""))))</f>
        <v/>
      </c>
      <c r="M4310" s="6" t="str">
        <f>IF($D4310="","",IF(ISNA(MATCH($D4310,'Paramètres'!$M:$M,0)),"⚠ Type inconnu",IF($L4310="Crédit","",IFERROR(INDEX('Paramètres'!$O:$O,MATCH($D4310,'Paramètres'!$M:$M,0))&amp;"",""))))</f>
        <v/>
      </c>
      <c r="N4310" s="6" t="str">
        <f>IF($D4310="","",IFERROR(INDEX('Paramètres'!$Q:$Q,MATCH($D4310,'Paramètres'!$M:$M,0))&amp;"",""))</f>
        <v/>
      </c>
      <c r="O4310" s="6" t="str">
        <f>IF($A4310="","",IF(OR($J4310&lt;&gt;"x",$A4310&lt;=FinReleve),1,0))</f>
        <v/>
      </c>
      <c r="P4310" s="6" t="str">
        <f>IF($D4310="","",IF(AND($L4310="Crédit",OR(IFERROR(INDEX('Paramètres'!$O:$O,MATCH($D4310,'Paramètres'!$M:$M,0))&amp;"","")&lt;&gt;"",ISNUMBER(SEARCH("remboursement",IFERROR(INDEX('Paramètres'!$N:$N,MATCH($D4310,'Paramètres'!$M:$M,0))&amp;"",""))))),1,0))</f>
        <v/>
      </c>
      <c r="Q4310" s="6" t="str">
        <f>IF($K4310="","",IF(ISNUMBER(SEARCH("transfert-interne",IFERROR(INDEX('Paramètres'!$N:$N,MATCH($D4310,'Paramètres'!$M:$M,0))&amp;"",""))),0,IF($L4310="Débit",$K4310,IF($P4310=1,-$K4310,0))))</f>
        <v/>
      </c>
      <c r="R4310" s="6" t="str">
        <f>IF($K4310="","",IF($L4310="Crédit",$K4310,-$K4310))</f>
        <v/>
      </c>
      <c r="S4310" s="6" t="str">
        <f>IF($C4310="","",IFERROR(INDEX('Paramètres'!$H:$H,MATCH($C4310,'Paramètres'!$D:$D,0))&amp;"",""))</f>
        <v/>
      </c>
      <c r="T4310" s="6" t="str">
        <f>IF($K4310="","",IF($S4310="",0,IF(ISNUMBER(SEARCH("apport-exterieur",IFERROR(INDEX('Paramètres'!$N:$N,MATCH($D4310,'Paramètres'!$M:$M,0))&amp;"",""))),0,IF(OR(IFERROR(INDEX('Paramètres'!$I:$I,MATCH($C4310,'Paramètres'!$D:$D,0))&amp;"","")="Les deux",IFERROR(INDEX('Paramètres'!$I:$I,MATCH($C4310,'Paramètres'!$D:$D,0))&amp;"","")=IF($P4310=1,"Débit",$L4310)),-IF($P4310=1,-$K4310,$K4310),0))))</f>
        <v/>
      </c>
      <c r="U4310" s="6" t="str">
        <f>IF($K4310="","",IF(ISNUMBER(SEARCH("sortie-epargne",IFERROR(INDEX('Paramètres'!$N:$N,MATCH($D4310,'Paramètres'!$M:$M,0))&amp;"",""))),$K4310,0))</f>
        <v/>
      </c>
      <c r="V4310" s="6" t="str">
        <f>IF(AND($A4310&lt;&gt;"",$O4310=1,$L4310="Débit",N($Q4310)&gt;0,$A4310&gt;=Visualisation!$B$1,$A4310&lt;Visualisation!$D$1),MAX($V$1:V4309)+1,"")</f>
        <v/>
      </c>
    </row>
    <row r="4311" spans="1:22" x14ac:dyDescent="0.25">
      <c r="A4311" s="9"/>
      <c r="E4311" s="10"/>
      <c r="K4311" s="11" t="str">
        <f>IF($E4311="","",ROUND($E4311*IF(ISNA(MATCH($C4311,'Paramètres'!$D:$D,0)),1,IF(INDEX('Paramètres'!$J:$J,MATCH($C4311,'Paramètres'!$D:$D,0))="",1,INDEX('Paramètres'!$J:$J,MATCH($C4311,'Paramètres'!$D:$D,0)))),2))</f>
        <v/>
      </c>
      <c r="L4311" s="6" t="str">
        <f>IF($D4311="","",IF($F4311&lt;&gt;"",$F4311,IF(ISNA(MATCH($D4311,'Paramètres'!$M:$M,0)),"⚠ Type inconnu",IFERROR(INDEX('Paramètres'!$P:$P,MATCH($D4311,'Paramètres'!$M:$M,0))&amp;"",""))))</f>
        <v/>
      </c>
      <c r="M4311" s="6" t="str">
        <f>IF($D4311="","",IF(ISNA(MATCH($D4311,'Paramètres'!$M:$M,0)),"⚠ Type inconnu",IF($L4311="Crédit","",IFERROR(INDEX('Paramètres'!$O:$O,MATCH($D4311,'Paramètres'!$M:$M,0))&amp;"",""))))</f>
        <v/>
      </c>
      <c r="N4311" s="6" t="str">
        <f>IF($D4311="","",IFERROR(INDEX('Paramètres'!$Q:$Q,MATCH($D4311,'Paramètres'!$M:$M,0))&amp;"",""))</f>
        <v/>
      </c>
      <c r="O4311" s="6" t="str">
        <f>IF($A4311="","",IF(OR($J4311&lt;&gt;"x",$A4311&lt;=FinReleve),1,0))</f>
        <v/>
      </c>
      <c r="P4311" s="6" t="str">
        <f>IF($D4311="","",IF(AND($L4311="Crédit",OR(IFERROR(INDEX('Paramètres'!$O:$O,MATCH($D4311,'Paramètres'!$M:$M,0))&amp;"","")&lt;&gt;"",ISNUMBER(SEARCH("remboursement",IFERROR(INDEX('Paramètres'!$N:$N,MATCH($D4311,'Paramètres'!$M:$M,0))&amp;"",""))))),1,0))</f>
        <v/>
      </c>
      <c r="Q4311" s="6" t="str">
        <f>IF($K4311="","",IF(ISNUMBER(SEARCH("transfert-interne",IFERROR(INDEX('Paramètres'!$N:$N,MATCH($D4311,'Paramètres'!$M:$M,0))&amp;"",""))),0,IF($L4311="Débit",$K4311,IF($P4311=1,-$K4311,0))))</f>
        <v/>
      </c>
      <c r="R4311" s="6" t="str">
        <f>IF($K4311="","",IF($L4311="Crédit",$K4311,-$K4311))</f>
        <v/>
      </c>
      <c r="S4311" s="6" t="str">
        <f>IF($C4311="","",IFERROR(INDEX('Paramètres'!$H:$H,MATCH($C4311,'Paramètres'!$D:$D,0))&amp;"",""))</f>
        <v/>
      </c>
      <c r="T4311" s="6" t="str">
        <f>IF($K4311="","",IF($S4311="",0,IF(ISNUMBER(SEARCH("apport-exterieur",IFERROR(INDEX('Paramètres'!$N:$N,MATCH($D4311,'Paramètres'!$M:$M,0))&amp;"",""))),0,IF(OR(IFERROR(INDEX('Paramètres'!$I:$I,MATCH($C4311,'Paramètres'!$D:$D,0))&amp;"","")="Les deux",IFERROR(INDEX('Paramètres'!$I:$I,MATCH($C4311,'Paramètres'!$D:$D,0))&amp;"","")=IF($P4311=1,"Débit",$L4311)),-IF($P4311=1,-$K4311,$K4311),0))))</f>
        <v/>
      </c>
      <c r="U4311" s="6" t="str">
        <f>IF($K4311="","",IF(ISNUMBER(SEARCH("sortie-epargne",IFERROR(INDEX('Paramètres'!$N:$N,MATCH($D4311,'Paramètres'!$M:$M,0))&amp;"",""))),$K4311,0))</f>
        <v/>
      </c>
      <c r="V4311" s="6" t="str">
        <f>IF(AND($A4311&lt;&gt;"",$O4311=1,$L4311="Débit",N($Q4311)&gt;0,$A4311&gt;=Visualisation!$B$1,$A4311&lt;Visualisation!$D$1),MAX($V$1:V4310)+1,"")</f>
        <v/>
      </c>
    </row>
    <row r="4312" spans="1:22" x14ac:dyDescent="0.25">
      <c r="A4312" s="9"/>
      <c r="E4312" s="10"/>
      <c r="K4312" s="11" t="str">
        <f>IF($E4312="","",ROUND($E4312*IF(ISNA(MATCH($C4312,'Paramètres'!$D:$D,0)),1,IF(INDEX('Paramètres'!$J:$J,MATCH($C4312,'Paramètres'!$D:$D,0))="",1,INDEX('Paramètres'!$J:$J,MATCH($C4312,'Paramètres'!$D:$D,0)))),2))</f>
        <v/>
      </c>
      <c r="L4312" s="6" t="str">
        <f>IF($D4312="","",IF($F4312&lt;&gt;"",$F4312,IF(ISNA(MATCH($D4312,'Paramètres'!$M:$M,0)),"⚠ Type inconnu",IFERROR(INDEX('Paramètres'!$P:$P,MATCH($D4312,'Paramètres'!$M:$M,0))&amp;"",""))))</f>
        <v/>
      </c>
      <c r="M4312" s="6" t="str">
        <f>IF($D4312="","",IF(ISNA(MATCH($D4312,'Paramètres'!$M:$M,0)),"⚠ Type inconnu",IF($L4312="Crédit","",IFERROR(INDEX('Paramètres'!$O:$O,MATCH($D4312,'Paramètres'!$M:$M,0))&amp;"",""))))</f>
        <v/>
      </c>
      <c r="N4312" s="6" t="str">
        <f>IF($D4312="","",IFERROR(INDEX('Paramètres'!$Q:$Q,MATCH($D4312,'Paramètres'!$M:$M,0))&amp;"",""))</f>
        <v/>
      </c>
      <c r="O4312" s="6" t="str">
        <f>IF($A4312="","",IF(OR($J4312&lt;&gt;"x",$A4312&lt;=FinReleve),1,0))</f>
        <v/>
      </c>
      <c r="P4312" s="6" t="str">
        <f>IF($D4312="","",IF(AND($L4312="Crédit",OR(IFERROR(INDEX('Paramètres'!$O:$O,MATCH($D4312,'Paramètres'!$M:$M,0))&amp;"","")&lt;&gt;"",ISNUMBER(SEARCH("remboursement",IFERROR(INDEX('Paramètres'!$N:$N,MATCH($D4312,'Paramètres'!$M:$M,0))&amp;"",""))))),1,0))</f>
        <v/>
      </c>
      <c r="Q4312" s="6" t="str">
        <f>IF($K4312="","",IF(ISNUMBER(SEARCH("transfert-interne",IFERROR(INDEX('Paramètres'!$N:$N,MATCH($D4312,'Paramètres'!$M:$M,0))&amp;"",""))),0,IF($L4312="Débit",$K4312,IF($P4312=1,-$K4312,0))))</f>
        <v/>
      </c>
      <c r="R4312" s="6" t="str">
        <f>IF($K4312="","",IF($L4312="Crédit",$K4312,-$K4312))</f>
        <v/>
      </c>
      <c r="S4312" s="6" t="str">
        <f>IF($C4312="","",IFERROR(INDEX('Paramètres'!$H:$H,MATCH($C4312,'Paramètres'!$D:$D,0))&amp;"",""))</f>
        <v/>
      </c>
      <c r="T4312" s="6" t="str">
        <f>IF($K4312="","",IF($S4312="",0,IF(ISNUMBER(SEARCH("apport-exterieur",IFERROR(INDEX('Paramètres'!$N:$N,MATCH($D4312,'Paramètres'!$M:$M,0))&amp;"",""))),0,IF(OR(IFERROR(INDEX('Paramètres'!$I:$I,MATCH($C4312,'Paramètres'!$D:$D,0))&amp;"","")="Les deux",IFERROR(INDEX('Paramètres'!$I:$I,MATCH($C4312,'Paramètres'!$D:$D,0))&amp;"","")=IF($P4312=1,"Débit",$L4312)),-IF($P4312=1,-$K4312,$K4312),0))))</f>
        <v/>
      </c>
      <c r="U4312" s="6" t="str">
        <f>IF($K4312="","",IF(ISNUMBER(SEARCH("sortie-epargne",IFERROR(INDEX('Paramètres'!$N:$N,MATCH($D4312,'Paramètres'!$M:$M,0))&amp;"",""))),$K4312,0))</f>
        <v/>
      </c>
      <c r="V4312" s="6" t="str">
        <f>IF(AND($A4312&lt;&gt;"",$O4312=1,$L4312="Débit",N($Q4312)&gt;0,$A4312&gt;=Visualisation!$B$1,$A4312&lt;Visualisation!$D$1),MAX($V$1:V4311)+1,"")</f>
        <v/>
      </c>
    </row>
    <row r="4313" spans="1:22" x14ac:dyDescent="0.25">
      <c r="A4313" s="9"/>
      <c r="E4313" s="10"/>
      <c r="K4313" s="11" t="str">
        <f>IF($E4313="","",ROUND($E4313*IF(ISNA(MATCH($C4313,'Paramètres'!$D:$D,0)),1,IF(INDEX('Paramètres'!$J:$J,MATCH($C4313,'Paramètres'!$D:$D,0))="",1,INDEX('Paramètres'!$J:$J,MATCH($C4313,'Paramètres'!$D:$D,0)))),2))</f>
        <v/>
      </c>
      <c r="L4313" s="6" t="str">
        <f>IF($D4313="","",IF($F4313&lt;&gt;"",$F4313,IF(ISNA(MATCH($D4313,'Paramètres'!$M:$M,0)),"⚠ Type inconnu",IFERROR(INDEX('Paramètres'!$P:$P,MATCH($D4313,'Paramètres'!$M:$M,0))&amp;"",""))))</f>
        <v/>
      </c>
      <c r="M4313" s="6" t="str">
        <f>IF($D4313="","",IF(ISNA(MATCH($D4313,'Paramètres'!$M:$M,0)),"⚠ Type inconnu",IF($L4313="Crédit","",IFERROR(INDEX('Paramètres'!$O:$O,MATCH($D4313,'Paramètres'!$M:$M,0))&amp;"",""))))</f>
        <v/>
      </c>
      <c r="N4313" s="6" t="str">
        <f>IF($D4313="","",IFERROR(INDEX('Paramètres'!$Q:$Q,MATCH($D4313,'Paramètres'!$M:$M,0))&amp;"",""))</f>
        <v/>
      </c>
      <c r="O4313" s="6" t="str">
        <f>IF($A4313="","",IF(OR($J4313&lt;&gt;"x",$A4313&lt;=FinReleve),1,0))</f>
        <v/>
      </c>
      <c r="P4313" s="6" t="str">
        <f>IF($D4313="","",IF(AND($L4313="Crédit",OR(IFERROR(INDEX('Paramètres'!$O:$O,MATCH($D4313,'Paramètres'!$M:$M,0))&amp;"","")&lt;&gt;"",ISNUMBER(SEARCH("remboursement",IFERROR(INDEX('Paramètres'!$N:$N,MATCH($D4313,'Paramètres'!$M:$M,0))&amp;"",""))))),1,0))</f>
        <v/>
      </c>
      <c r="Q4313" s="6" t="str">
        <f>IF($K4313="","",IF(ISNUMBER(SEARCH("transfert-interne",IFERROR(INDEX('Paramètres'!$N:$N,MATCH($D4313,'Paramètres'!$M:$M,0))&amp;"",""))),0,IF($L4313="Débit",$K4313,IF($P4313=1,-$K4313,0))))</f>
        <v/>
      </c>
      <c r="R4313" s="6" t="str">
        <f>IF($K4313="","",IF($L4313="Crédit",$K4313,-$K4313))</f>
        <v/>
      </c>
      <c r="S4313" s="6" t="str">
        <f>IF($C4313="","",IFERROR(INDEX('Paramètres'!$H:$H,MATCH($C4313,'Paramètres'!$D:$D,0))&amp;"",""))</f>
        <v/>
      </c>
      <c r="T4313" s="6" t="str">
        <f>IF($K4313="","",IF($S4313="",0,IF(ISNUMBER(SEARCH("apport-exterieur",IFERROR(INDEX('Paramètres'!$N:$N,MATCH($D4313,'Paramètres'!$M:$M,0))&amp;"",""))),0,IF(OR(IFERROR(INDEX('Paramètres'!$I:$I,MATCH($C4313,'Paramètres'!$D:$D,0))&amp;"","")="Les deux",IFERROR(INDEX('Paramètres'!$I:$I,MATCH($C4313,'Paramètres'!$D:$D,0))&amp;"","")=IF($P4313=1,"Débit",$L4313)),-IF($P4313=1,-$K4313,$K4313),0))))</f>
        <v/>
      </c>
      <c r="U4313" s="6" t="str">
        <f>IF($K4313="","",IF(ISNUMBER(SEARCH("sortie-epargne",IFERROR(INDEX('Paramètres'!$N:$N,MATCH($D4313,'Paramètres'!$M:$M,0))&amp;"",""))),$K4313,0))</f>
        <v/>
      </c>
      <c r="V4313" s="6" t="str">
        <f>IF(AND($A4313&lt;&gt;"",$O4313=1,$L4313="Débit",N($Q4313)&gt;0,$A4313&gt;=Visualisation!$B$1,$A4313&lt;Visualisation!$D$1),MAX($V$1:V4312)+1,"")</f>
        <v/>
      </c>
    </row>
    <row r="4314" spans="1:22" x14ac:dyDescent="0.25">
      <c r="A4314" s="9"/>
      <c r="E4314" s="10"/>
      <c r="K4314" s="11" t="str">
        <f>IF($E4314="","",ROUND($E4314*IF(ISNA(MATCH($C4314,'Paramètres'!$D:$D,0)),1,IF(INDEX('Paramètres'!$J:$J,MATCH($C4314,'Paramètres'!$D:$D,0))="",1,INDEX('Paramètres'!$J:$J,MATCH($C4314,'Paramètres'!$D:$D,0)))),2))</f>
        <v/>
      </c>
      <c r="L4314" s="6" t="str">
        <f>IF($D4314="","",IF($F4314&lt;&gt;"",$F4314,IF(ISNA(MATCH($D4314,'Paramètres'!$M:$M,0)),"⚠ Type inconnu",IFERROR(INDEX('Paramètres'!$P:$P,MATCH($D4314,'Paramètres'!$M:$M,0))&amp;"",""))))</f>
        <v/>
      </c>
      <c r="M4314" s="6" t="str">
        <f>IF($D4314="","",IF(ISNA(MATCH($D4314,'Paramètres'!$M:$M,0)),"⚠ Type inconnu",IF($L4314="Crédit","",IFERROR(INDEX('Paramètres'!$O:$O,MATCH($D4314,'Paramètres'!$M:$M,0))&amp;"",""))))</f>
        <v/>
      </c>
      <c r="N4314" s="6" t="str">
        <f>IF($D4314="","",IFERROR(INDEX('Paramètres'!$Q:$Q,MATCH($D4314,'Paramètres'!$M:$M,0))&amp;"",""))</f>
        <v/>
      </c>
      <c r="O4314" s="6" t="str">
        <f>IF($A4314="","",IF(OR($J4314&lt;&gt;"x",$A4314&lt;=FinReleve),1,0))</f>
        <v/>
      </c>
      <c r="P4314" s="6" t="str">
        <f>IF($D4314="","",IF(AND($L4314="Crédit",OR(IFERROR(INDEX('Paramètres'!$O:$O,MATCH($D4314,'Paramètres'!$M:$M,0))&amp;"","")&lt;&gt;"",ISNUMBER(SEARCH("remboursement",IFERROR(INDEX('Paramètres'!$N:$N,MATCH($D4314,'Paramètres'!$M:$M,0))&amp;"",""))))),1,0))</f>
        <v/>
      </c>
      <c r="Q4314" s="6" t="str">
        <f>IF($K4314="","",IF(ISNUMBER(SEARCH("transfert-interne",IFERROR(INDEX('Paramètres'!$N:$N,MATCH($D4314,'Paramètres'!$M:$M,0))&amp;"",""))),0,IF($L4314="Débit",$K4314,IF($P4314=1,-$K4314,0))))</f>
        <v/>
      </c>
      <c r="R4314" s="6" t="str">
        <f>IF($K4314="","",IF($L4314="Crédit",$K4314,-$K4314))</f>
        <v/>
      </c>
      <c r="S4314" s="6" t="str">
        <f>IF($C4314="","",IFERROR(INDEX('Paramètres'!$H:$H,MATCH($C4314,'Paramètres'!$D:$D,0))&amp;"",""))</f>
        <v/>
      </c>
      <c r="T4314" s="6" t="str">
        <f>IF($K4314="","",IF($S4314="",0,IF(ISNUMBER(SEARCH("apport-exterieur",IFERROR(INDEX('Paramètres'!$N:$N,MATCH($D4314,'Paramètres'!$M:$M,0))&amp;"",""))),0,IF(OR(IFERROR(INDEX('Paramètres'!$I:$I,MATCH($C4314,'Paramètres'!$D:$D,0))&amp;"","")="Les deux",IFERROR(INDEX('Paramètres'!$I:$I,MATCH($C4314,'Paramètres'!$D:$D,0))&amp;"","")=IF($P4314=1,"Débit",$L4314)),-IF($P4314=1,-$K4314,$K4314),0))))</f>
        <v/>
      </c>
      <c r="U4314" s="6" t="str">
        <f>IF($K4314="","",IF(ISNUMBER(SEARCH("sortie-epargne",IFERROR(INDEX('Paramètres'!$N:$N,MATCH($D4314,'Paramètres'!$M:$M,0))&amp;"",""))),$K4314,0))</f>
        <v/>
      </c>
      <c r="V4314" s="6" t="str">
        <f>IF(AND($A4314&lt;&gt;"",$O4314=1,$L4314="Débit",N($Q4314)&gt;0,$A4314&gt;=Visualisation!$B$1,$A4314&lt;Visualisation!$D$1),MAX($V$1:V4313)+1,"")</f>
        <v/>
      </c>
    </row>
    <row r="4315" spans="1:22" x14ac:dyDescent="0.25">
      <c r="A4315" s="9"/>
      <c r="E4315" s="10"/>
      <c r="K4315" s="11" t="str">
        <f>IF($E4315="","",ROUND($E4315*IF(ISNA(MATCH($C4315,'Paramètres'!$D:$D,0)),1,IF(INDEX('Paramètres'!$J:$J,MATCH($C4315,'Paramètres'!$D:$D,0))="",1,INDEX('Paramètres'!$J:$J,MATCH($C4315,'Paramètres'!$D:$D,0)))),2))</f>
        <v/>
      </c>
      <c r="L4315" s="6" t="str">
        <f>IF($D4315="","",IF($F4315&lt;&gt;"",$F4315,IF(ISNA(MATCH($D4315,'Paramètres'!$M:$M,0)),"⚠ Type inconnu",IFERROR(INDEX('Paramètres'!$P:$P,MATCH($D4315,'Paramètres'!$M:$M,0))&amp;"",""))))</f>
        <v/>
      </c>
      <c r="M4315" s="6" t="str">
        <f>IF($D4315="","",IF(ISNA(MATCH($D4315,'Paramètres'!$M:$M,0)),"⚠ Type inconnu",IF($L4315="Crédit","",IFERROR(INDEX('Paramètres'!$O:$O,MATCH($D4315,'Paramètres'!$M:$M,0))&amp;"",""))))</f>
        <v/>
      </c>
      <c r="N4315" s="6" t="str">
        <f>IF($D4315="","",IFERROR(INDEX('Paramètres'!$Q:$Q,MATCH($D4315,'Paramètres'!$M:$M,0))&amp;"",""))</f>
        <v/>
      </c>
      <c r="O4315" s="6" t="str">
        <f>IF($A4315="","",IF(OR($J4315&lt;&gt;"x",$A4315&lt;=FinReleve),1,0))</f>
        <v/>
      </c>
      <c r="P4315" s="6" t="str">
        <f>IF($D4315="","",IF(AND($L4315="Crédit",OR(IFERROR(INDEX('Paramètres'!$O:$O,MATCH($D4315,'Paramètres'!$M:$M,0))&amp;"","")&lt;&gt;"",ISNUMBER(SEARCH("remboursement",IFERROR(INDEX('Paramètres'!$N:$N,MATCH($D4315,'Paramètres'!$M:$M,0))&amp;"",""))))),1,0))</f>
        <v/>
      </c>
      <c r="Q4315" s="6" t="str">
        <f>IF($K4315="","",IF(ISNUMBER(SEARCH("transfert-interne",IFERROR(INDEX('Paramètres'!$N:$N,MATCH($D4315,'Paramètres'!$M:$M,0))&amp;"",""))),0,IF($L4315="Débit",$K4315,IF($P4315=1,-$K4315,0))))</f>
        <v/>
      </c>
      <c r="R4315" s="6" t="str">
        <f>IF($K4315="","",IF($L4315="Crédit",$K4315,-$K4315))</f>
        <v/>
      </c>
      <c r="S4315" s="6" t="str">
        <f>IF($C4315="","",IFERROR(INDEX('Paramètres'!$H:$H,MATCH($C4315,'Paramètres'!$D:$D,0))&amp;"",""))</f>
        <v/>
      </c>
      <c r="T4315" s="6" t="str">
        <f>IF($K4315="","",IF($S4315="",0,IF(ISNUMBER(SEARCH("apport-exterieur",IFERROR(INDEX('Paramètres'!$N:$N,MATCH($D4315,'Paramètres'!$M:$M,0))&amp;"",""))),0,IF(OR(IFERROR(INDEX('Paramètres'!$I:$I,MATCH($C4315,'Paramètres'!$D:$D,0))&amp;"","")="Les deux",IFERROR(INDEX('Paramètres'!$I:$I,MATCH($C4315,'Paramètres'!$D:$D,0))&amp;"","")=IF($P4315=1,"Débit",$L4315)),-IF($P4315=1,-$K4315,$K4315),0))))</f>
        <v/>
      </c>
      <c r="U4315" s="6" t="str">
        <f>IF($K4315="","",IF(ISNUMBER(SEARCH("sortie-epargne",IFERROR(INDEX('Paramètres'!$N:$N,MATCH($D4315,'Paramètres'!$M:$M,0))&amp;"",""))),$K4315,0))</f>
        <v/>
      </c>
      <c r="V4315" s="6" t="str">
        <f>IF(AND($A4315&lt;&gt;"",$O4315=1,$L4315="Débit",N($Q4315)&gt;0,$A4315&gt;=Visualisation!$B$1,$A4315&lt;Visualisation!$D$1),MAX($V$1:V4314)+1,"")</f>
        <v/>
      </c>
    </row>
    <row r="4316" spans="1:22" x14ac:dyDescent="0.25">
      <c r="A4316" s="9"/>
      <c r="E4316" s="10"/>
      <c r="K4316" s="11" t="str">
        <f>IF($E4316="","",ROUND($E4316*IF(ISNA(MATCH($C4316,'Paramètres'!$D:$D,0)),1,IF(INDEX('Paramètres'!$J:$J,MATCH($C4316,'Paramètres'!$D:$D,0))="",1,INDEX('Paramètres'!$J:$J,MATCH($C4316,'Paramètres'!$D:$D,0)))),2))</f>
        <v/>
      </c>
      <c r="L4316" s="6" t="str">
        <f>IF($D4316="","",IF($F4316&lt;&gt;"",$F4316,IF(ISNA(MATCH($D4316,'Paramètres'!$M:$M,0)),"⚠ Type inconnu",IFERROR(INDEX('Paramètres'!$P:$P,MATCH($D4316,'Paramètres'!$M:$M,0))&amp;"",""))))</f>
        <v/>
      </c>
      <c r="M4316" s="6" t="str">
        <f>IF($D4316="","",IF(ISNA(MATCH($D4316,'Paramètres'!$M:$M,0)),"⚠ Type inconnu",IF($L4316="Crédit","",IFERROR(INDEX('Paramètres'!$O:$O,MATCH($D4316,'Paramètres'!$M:$M,0))&amp;"",""))))</f>
        <v/>
      </c>
      <c r="N4316" s="6" t="str">
        <f>IF($D4316="","",IFERROR(INDEX('Paramètres'!$Q:$Q,MATCH($D4316,'Paramètres'!$M:$M,0))&amp;"",""))</f>
        <v/>
      </c>
      <c r="O4316" s="6" t="str">
        <f>IF($A4316="","",IF(OR($J4316&lt;&gt;"x",$A4316&lt;=FinReleve),1,0))</f>
        <v/>
      </c>
      <c r="P4316" s="6" t="str">
        <f>IF($D4316="","",IF(AND($L4316="Crédit",OR(IFERROR(INDEX('Paramètres'!$O:$O,MATCH($D4316,'Paramètres'!$M:$M,0))&amp;"","")&lt;&gt;"",ISNUMBER(SEARCH("remboursement",IFERROR(INDEX('Paramètres'!$N:$N,MATCH($D4316,'Paramètres'!$M:$M,0))&amp;"",""))))),1,0))</f>
        <v/>
      </c>
      <c r="Q4316" s="6" t="str">
        <f>IF($K4316="","",IF(ISNUMBER(SEARCH("transfert-interne",IFERROR(INDEX('Paramètres'!$N:$N,MATCH($D4316,'Paramètres'!$M:$M,0))&amp;"",""))),0,IF($L4316="Débit",$K4316,IF($P4316=1,-$K4316,0))))</f>
        <v/>
      </c>
      <c r="R4316" s="6" t="str">
        <f>IF($K4316="","",IF($L4316="Crédit",$K4316,-$K4316))</f>
        <v/>
      </c>
      <c r="S4316" s="6" t="str">
        <f>IF($C4316="","",IFERROR(INDEX('Paramètres'!$H:$H,MATCH($C4316,'Paramètres'!$D:$D,0))&amp;"",""))</f>
        <v/>
      </c>
      <c r="T4316" s="6" t="str">
        <f>IF($K4316="","",IF($S4316="",0,IF(ISNUMBER(SEARCH("apport-exterieur",IFERROR(INDEX('Paramètres'!$N:$N,MATCH($D4316,'Paramètres'!$M:$M,0))&amp;"",""))),0,IF(OR(IFERROR(INDEX('Paramètres'!$I:$I,MATCH($C4316,'Paramètres'!$D:$D,0))&amp;"","")="Les deux",IFERROR(INDEX('Paramètres'!$I:$I,MATCH($C4316,'Paramètres'!$D:$D,0))&amp;"","")=IF($P4316=1,"Débit",$L4316)),-IF($P4316=1,-$K4316,$K4316),0))))</f>
        <v/>
      </c>
      <c r="U4316" s="6" t="str">
        <f>IF($K4316="","",IF(ISNUMBER(SEARCH("sortie-epargne",IFERROR(INDEX('Paramètres'!$N:$N,MATCH($D4316,'Paramètres'!$M:$M,0))&amp;"",""))),$K4316,0))</f>
        <v/>
      </c>
      <c r="V4316" s="6" t="str">
        <f>IF(AND($A4316&lt;&gt;"",$O4316=1,$L4316="Débit",N($Q4316)&gt;0,$A4316&gt;=Visualisation!$B$1,$A4316&lt;Visualisation!$D$1),MAX($V$1:V4315)+1,"")</f>
        <v/>
      </c>
    </row>
    <row r="4317" spans="1:22" x14ac:dyDescent="0.25">
      <c r="A4317" s="9"/>
      <c r="E4317" s="10"/>
      <c r="K4317" s="11" t="str">
        <f>IF($E4317="","",ROUND($E4317*IF(ISNA(MATCH($C4317,'Paramètres'!$D:$D,0)),1,IF(INDEX('Paramètres'!$J:$J,MATCH($C4317,'Paramètres'!$D:$D,0))="",1,INDEX('Paramètres'!$J:$J,MATCH($C4317,'Paramètres'!$D:$D,0)))),2))</f>
        <v/>
      </c>
      <c r="L4317" s="6" t="str">
        <f>IF($D4317="","",IF($F4317&lt;&gt;"",$F4317,IF(ISNA(MATCH($D4317,'Paramètres'!$M:$M,0)),"⚠ Type inconnu",IFERROR(INDEX('Paramètres'!$P:$P,MATCH($D4317,'Paramètres'!$M:$M,0))&amp;"",""))))</f>
        <v/>
      </c>
      <c r="M4317" s="6" t="str">
        <f>IF($D4317="","",IF(ISNA(MATCH($D4317,'Paramètres'!$M:$M,0)),"⚠ Type inconnu",IF($L4317="Crédit","",IFERROR(INDEX('Paramètres'!$O:$O,MATCH($D4317,'Paramètres'!$M:$M,0))&amp;"",""))))</f>
        <v/>
      </c>
      <c r="N4317" s="6" t="str">
        <f>IF($D4317="","",IFERROR(INDEX('Paramètres'!$Q:$Q,MATCH($D4317,'Paramètres'!$M:$M,0))&amp;"",""))</f>
        <v/>
      </c>
      <c r="O4317" s="6" t="str">
        <f>IF($A4317="","",IF(OR($J4317&lt;&gt;"x",$A4317&lt;=FinReleve),1,0))</f>
        <v/>
      </c>
      <c r="P4317" s="6" t="str">
        <f>IF($D4317="","",IF(AND($L4317="Crédit",OR(IFERROR(INDEX('Paramètres'!$O:$O,MATCH($D4317,'Paramètres'!$M:$M,0))&amp;"","")&lt;&gt;"",ISNUMBER(SEARCH("remboursement",IFERROR(INDEX('Paramètres'!$N:$N,MATCH($D4317,'Paramètres'!$M:$M,0))&amp;"",""))))),1,0))</f>
        <v/>
      </c>
      <c r="Q4317" s="6" t="str">
        <f>IF($K4317="","",IF(ISNUMBER(SEARCH("transfert-interne",IFERROR(INDEX('Paramètres'!$N:$N,MATCH($D4317,'Paramètres'!$M:$M,0))&amp;"",""))),0,IF($L4317="Débit",$K4317,IF($P4317=1,-$K4317,0))))</f>
        <v/>
      </c>
      <c r="R4317" s="6" t="str">
        <f>IF($K4317="","",IF($L4317="Crédit",$K4317,-$K4317))</f>
        <v/>
      </c>
      <c r="S4317" s="6" t="str">
        <f>IF($C4317="","",IFERROR(INDEX('Paramètres'!$H:$H,MATCH($C4317,'Paramètres'!$D:$D,0))&amp;"",""))</f>
        <v/>
      </c>
      <c r="T4317" s="6" t="str">
        <f>IF($K4317="","",IF($S4317="",0,IF(ISNUMBER(SEARCH("apport-exterieur",IFERROR(INDEX('Paramètres'!$N:$N,MATCH($D4317,'Paramètres'!$M:$M,0))&amp;"",""))),0,IF(OR(IFERROR(INDEX('Paramètres'!$I:$I,MATCH($C4317,'Paramètres'!$D:$D,0))&amp;"","")="Les deux",IFERROR(INDEX('Paramètres'!$I:$I,MATCH($C4317,'Paramètres'!$D:$D,0))&amp;"","")=IF($P4317=1,"Débit",$L4317)),-IF($P4317=1,-$K4317,$K4317),0))))</f>
        <v/>
      </c>
      <c r="U4317" s="6" t="str">
        <f>IF($K4317="","",IF(ISNUMBER(SEARCH("sortie-epargne",IFERROR(INDEX('Paramètres'!$N:$N,MATCH($D4317,'Paramètres'!$M:$M,0))&amp;"",""))),$K4317,0))</f>
        <v/>
      </c>
      <c r="V4317" s="6" t="str">
        <f>IF(AND($A4317&lt;&gt;"",$O4317=1,$L4317="Débit",N($Q4317)&gt;0,$A4317&gt;=Visualisation!$B$1,$A4317&lt;Visualisation!$D$1),MAX($V$1:V4316)+1,"")</f>
        <v/>
      </c>
    </row>
    <row r="4318" spans="1:22" x14ac:dyDescent="0.25">
      <c r="A4318" s="9"/>
      <c r="E4318" s="10"/>
      <c r="K4318" s="11" t="str">
        <f>IF($E4318="","",ROUND($E4318*IF(ISNA(MATCH($C4318,'Paramètres'!$D:$D,0)),1,IF(INDEX('Paramètres'!$J:$J,MATCH($C4318,'Paramètres'!$D:$D,0))="",1,INDEX('Paramètres'!$J:$J,MATCH($C4318,'Paramètres'!$D:$D,0)))),2))</f>
        <v/>
      </c>
      <c r="L4318" s="6" t="str">
        <f>IF($D4318="","",IF($F4318&lt;&gt;"",$F4318,IF(ISNA(MATCH($D4318,'Paramètres'!$M:$M,0)),"⚠ Type inconnu",IFERROR(INDEX('Paramètres'!$P:$P,MATCH($D4318,'Paramètres'!$M:$M,0))&amp;"",""))))</f>
        <v/>
      </c>
      <c r="M4318" s="6" t="str">
        <f>IF($D4318="","",IF(ISNA(MATCH($D4318,'Paramètres'!$M:$M,0)),"⚠ Type inconnu",IF($L4318="Crédit","",IFERROR(INDEX('Paramètres'!$O:$O,MATCH($D4318,'Paramètres'!$M:$M,0))&amp;"",""))))</f>
        <v/>
      </c>
      <c r="N4318" s="6" t="str">
        <f>IF($D4318="","",IFERROR(INDEX('Paramètres'!$Q:$Q,MATCH($D4318,'Paramètres'!$M:$M,0))&amp;"",""))</f>
        <v/>
      </c>
      <c r="O4318" s="6" t="str">
        <f>IF($A4318="","",IF(OR($J4318&lt;&gt;"x",$A4318&lt;=FinReleve),1,0))</f>
        <v/>
      </c>
      <c r="P4318" s="6" t="str">
        <f>IF($D4318="","",IF(AND($L4318="Crédit",OR(IFERROR(INDEX('Paramètres'!$O:$O,MATCH($D4318,'Paramètres'!$M:$M,0))&amp;"","")&lt;&gt;"",ISNUMBER(SEARCH("remboursement",IFERROR(INDEX('Paramètres'!$N:$N,MATCH($D4318,'Paramètres'!$M:$M,0))&amp;"",""))))),1,0))</f>
        <v/>
      </c>
      <c r="Q4318" s="6" t="str">
        <f>IF($K4318="","",IF(ISNUMBER(SEARCH("transfert-interne",IFERROR(INDEX('Paramètres'!$N:$N,MATCH($D4318,'Paramètres'!$M:$M,0))&amp;"",""))),0,IF($L4318="Débit",$K4318,IF($P4318=1,-$K4318,0))))</f>
        <v/>
      </c>
      <c r="R4318" s="6" t="str">
        <f>IF($K4318="","",IF($L4318="Crédit",$K4318,-$K4318))</f>
        <v/>
      </c>
      <c r="S4318" s="6" t="str">
        <f>IF($C4318="","",IFERROR(INDEX('Paramètres'!$H:$H,MATCH($C4318,'Paramètres'!$D:$D,0))&amp;"",""))</f>
        <v/>
      </c>
      <c r="T4318" s="6" t="str">
        <f>IF($K4318="","",IF($S4318="",0,IF(ISNUMBER(SEARCH("apport-exterieur",IFERROR(INDEX('Paramètres'!$N:$N,MATCH($D4318,'Paramètres'!$M:$M,0))&amp;"",""))),0,IF(OR(IFERROR(INDEX('Paramètres'!$I:$I,MATCH($C4318,'Paramètres'!$D:$D,0))&amp;"","")="Les deux",IFERROR(INDEX('Paramètres'!$I:$I,MATCH($C4318,'Paramètres'!$D:$D,0))&amp;"","")=IF($P4318=1,"Débit",$L4318)),-IF($P4318=1,-$K4318,$K4318),0))))</f>
        <v/>
      </c>
      <c r="U4318" s="6" t="str">
        <f>IF($K4318="","",IF(ISNUMBER(SEARCH("sortie-epargne",IFERROR(INDEX('Paramètres'!$N:$N,MATCH($D4318,'Paramètres'!$M:$M,0))&amp;"",""))),$K4318,0))</f>
        <v/>
      </c>
      <c r="V4318" s="6" t="str">
        <f>IF(AND($A4318&lt;&gt;"",$O4318=1,$L4318="Débit",N($Q4318)&gt;0,$A4318&gt;=Visualisation!$B$1,$A4318&lt;Visualisation!$D$1),MAX($V$1:V4317)+1,"")</f>
        <v/>
      </c>
    </row>
    <row r="4319" spans="1:22" x14ac:dyDescent="0.25">
      <c r="A4319" s="9"/>
      <c r="E4319" s="10"/>
      <c r="K4319" s="11" t="str">
        <f>IF($E4319="","",ROUND($E4319*IF(ISNA(MATCH($C4319,'Paramètres'!$D:$D,0)),1,IF(INDEX('Paramètres'!$J:$J,MATCH($C4319,'Paramètres'!$D:$D,0))="",1,INDEX('Paramètres'!$J:$J,MATCH($C4319,'Paramètres'!$D:$D,0)))),2))</f>
        <v/>
      </c>
      <c r="L4319" s="6" t="str">
        <f>IF($D4319="","",IF($F4319&lt;&gt;"",$F4319,IF(ISNA(MATCH($D4319,'Paramètres'!$M:$M,0)),"⚠ Type inconnu",IFERROR(INDEX('Paramètres'!$P:$P,MATCH($D4319,'Paramètres'!$M:$M,0))&amp;"",""))))</f>
        <v/>
      </c>
      <c r="M4319" s="6" t="str">
        <f>IF($D4319="","",IF(ISNA(MATCH($D4319,'Paramètres'!$M:$M,0)),"⚠ Type inconnu",IF($L4319="Crédit","",IFERROR(INDEX('Paramètres'!$O:$O,MATCH($D4319,'Paramètres'!$M:$M,0))&amp;"",""))))</f>
        <v/>
      </c>
      <c r="N4319" s="6" t="str">
        <f>IF($D4319="","",IFERROR(INDEX('Paramètres'!$Q:$Q,MATCH($D4319,'Paramètres'!$M:$M,0))&amp;"",""))</f>
        <v/>
      </c>
      <c r="O4319" s="6" t="str">
        <f>IF($A4319="","",IF(OR($J4319&lt;&gt;"x",$A4319&lt;=FinReleve),1,0))</f>
        <v/>
      </c>
      <c r="P4319" s="6" t="str">
        <f>IF($D4319="","",IF(AND($L4319="Crédit",OR(IFERROR(INDEX('Paramètres'!$O:$O,MATCH($D4319,'Paramètres'!$M:$M,0))&amp;"","")&lt;&gt;"",ISNUMBER(SEARCH("remboursement",IFERROR(INDEX('Paramètres'!$N:$N,MATCH($D4319,'Paramètres'!$M:$M,0))&amp;"",""))))),1,0))</f>
        <v/>
      </c>
      <c r="Q4319" s="6" t="str">
        <f>IF($K4319="","",IF(ISNUMBER(SEARCH("transfert-interne",IFERROR(INDEX('Paramètres'!$N:$N,MATCH($D4319,'Paramètres'!$M:$M,0))&amp;"",""))),0,IF($L4319="Débit",$K4319,IF($P4319=1,-$K4319,0))))</f>
        <v/>
      </c>
      <c r="R4319" s="6" t="str">
        <f>IF($K4319="","",IF($L4319="Crédit",$K4319,-$K4319))</f>
        <v/>
      </c>
      <c r="S4319" s="6" t="str">
        <f>IF($C4319="","",IFERROR(INDEX('Paramètres'!$H:$H,MATCH($C4319,'Paramètres'!$D:$D,0))&amp;"",""))</f>
        <v/>
      </c>
      <c r="T4319" s="6" t="str">
        <f>IF($K4319="","",IF($S4319="",0,IF(ISNUMBER(SEARCH("apport-exterieur",IFERROR(INDEX('Paramètres'!$N:$N,MATCH($D4319,'Paramètres'!$M:$M,0))&amp;"",""))),0,IF(OR(IFERROR(INDEX('Paramètres'!$I:$I,MATCH($C4319,'Paramètres'!$D:$D,0))&amp;"","")="Les deux",IFERROR(INDEX('Paramètres'!$I:$I,MATCH($C4319,'Paramètres'!$D:$D,0))&amp;"","")=IF($P4319=1,"Débit",$L4319)),-IF($P4319=1,-$K4319,$K4319),0))))</f>
        <v/>
      </c>
      <c r="U4319" s="6" t="str">
        <f>IF($K4319="","",IF(ISNUMBER(SEARCH("sortie-epargne",IFERROR(INDEX('Paramètres'!$N:$N,MATCH($D4319,'Paramètres'!$M:$M,0))&amp;"",""))),$K4319,0))</f>
        <v/>
      </c>
      <c r="V4319" s="6" t="str">
        <f>IF(AND($A4319&lt;&gt;"",$O4319=1,$L4319="Débit",N($Q4319)&gt;0,$A4319&gt;=Visualisation!$B$1,$A4319&lt;Visualisation!$D$1),MAX($V$1:V4318)+1,"")</f>
        <v/>
      </c>
    </row>
    <row r="4320" spans="1:22" x14ac:dyDescent="0.25">
      <c r="A4320" s="9"/>
      <c r="E4320" s="10"/>
      <c r="K4320" s="11" t="str">
        <f>IF($E4320="","",ROUND($E4320*IF(ISNA(MATCH($C4320,'Paramètres'!$D:$D,0)),1,IF(INDEX('Paramètres'!$J:$J,MATCH($C4320,'Paramètres'!$D:$D,0))="",1,INDEX('Paramètres'!$J:$J,MATCH($C4320,'Paramètres'!$D:$D,0)))),2))</f>
        <v/>
      </c>
      <c r="L4320" s="6" t="str">
        <f>IF($D4320="","",IF($F4320&lt;&gt;"",$F4320,IF(ISNA(MATCH($D4320,'Paramètres'!$M:$M,0)),"⚠ Type inconnu",IFERROR(INDEX('Paramètres'!$P:$P,MATCH($D4320,'Paramètres'!$M:$M,0))&amp;"",""))))</f>
        <v/>
      </c>
      <c r="M4320" s="6" t="str">
        <f>IF($D4320="","",IF(ISNA(MATCH($D4320,'Paramètres'!$M:$M,0)),"⚠ Type inconnu",IF($L4320="Crédit","",IFERROR(INDEX('Paramètres'!$O:$O,MATCH($D4320,'Paramètres'!$M:$M,0))&amp;"",""))))</f>
        <v/>
      </c>
      <c r="N4320" s="6" t="str">
        <f>IF($D4320="","",IFERROR(INDEX('Paramètres'!$Q:$Q,MATCH($D4320,'Paramètres'!$M:$M,0))&amp;"",""))</f>
        <v/>
      </c>
      <c r="O4320" s="6" t="str">
        <f>IF($A4320="","",IF(OR($J4320&lt;&gt;"x",$A4320&lt;=FinReleve),1,0))</f>
        <v/>
      </c>
      <c r="P4320" s="6" t="str">
        <f>IF($D4320="","",IF(AND($L4320="Crédit",OR(IFERROR(INDEX('Paramètres'!$O:$O,MATCH($D4320,'Paramètres'!$M:$M,0))&amp;"","")&lt;&gt;"",ISNUMBER(SEARCH("remboursement",IFERROR(INDEX('Paramètres'!$N:$N,MATCH($D4320,'Paramètres'!$M:$M,0))&amp;"",""))))),1,0))</f>
        <v/>
      </c>
      <c r="Q4320" s="6" t="str">
        <f>IF($K4320="","",IF(ISNUMBER(SEARCH("transfert-interne",IFERROR(INDEX('Paramètres'!$N:$N,MATCH($D4320,'Paramètres'!$M:$M,0))&amp;"",""))),0,IF($L4320="Débit",$K4320,IF($P4320=1,-$K4320,0))))</f>
        <v/>
      </c>
      <c r="R4320" s="6" t="str">
        <f>IF($K4320="","",IF($L4320="Crédit",$K4320,-$K4320))</f>
        <v/>
      </c>
      <c r="S4320" s="6" t="str">
        <f>IF($C4320="","",IFERROR(INDEX('Paramètres'!$H:$H,MATCH($C4320,'Paramètres'!$D:$D,0))&amp;"",""))</f>
        <v/>
      </c>
      <c r="T4320" s="6" t="str">
        <f>IF($K4320="","",IF($S4320="",0,IF(ISNUMBER(SEARCH("apport-exterieur",IFERROR(INDEX('Paramètres'!$N:$N,MATCH($D4320,'Paramètres'!$M:$M,0))&amp;"",""))),0,IF(OR(IFERROR(INDEX('Paramètres'!$I:$I,MATCH($C4320,'Paramètres'!$D:$D,0))&amp;"","")="Les deux",IFERROR(INDEX('Paramètres'!$I:$I,MATCH($C4320,'Paramètres'!$D:$D,0))&amp;"","")=IF($P4320=1,"Débit",$L4320)),-IF($P4320=1,-$K4320,$K4320),0))))</f>
        <v/>
      </c>
      <c r="U4320" s="6" t="str">
        <f>IF($K4320="","",IF(ISNUMBER(SEARCH("sortie-epargne",IFERROR(INDEX('Paramètres'!$N:$N,MATCH($D4320,'Paramètres'!$M:$M,0))&amp;"",""))),$K4320,0))</f>
        <v/>
      </c>
      <c r="V4320" s="6" t="str">
        <f>IF(AND($A4320&lt;&gt;"",$O4320=1,$L4320="Débit",N($Q4320)&gt;0,$A4320&gt;=Visualisation!$B$1,$A4320&lt;Visualisation!$D$1),MAX($V$1:V4319)+1,"")</f>
        <v/>
      </c>
    </row>
    <row r="4321" spans="1:22" x14ac:dyDescent="0.25">
      <c r="A4321" s="9"/>
      <c r="E4321" s="10"/>
      <c r="K4321" s="11" t="str">
        <f>IF($E4321="","",ROUND($E4321*IF(ISNA(MATCH($C4321,'Paramètres'!$D:$D,0)),1,IF(INDEX('Paramètres'!$J:$J,MATCH($C4321,'Paramètres'!$D:$D,0))="",1,INDEX('Paramètres'!$J:$J,MATCH($C4321,'Paramètres'!$D:$D,0)))),2))</f>
        <v/>
      </c>
      <c r="L4321" s="6" t="str">
        <f>IF($D4321="","",IF($F4321&lt;&gt;"",$F4321,IF(ISNA(MATCH($D4321,'Paramètres'!$M:$M,0)),"⚠ Type inconnu",IFERROR(INDEX('Paramètres'!$P:$P,MATCH($D4321,'Paramètres'!$M:$M,0))&amp;"",""))))</f>
        <v/>
      </c>
      <c r="M4321" s="6" t="str">
        <f>IF($D4321="","",IF(ISNA(MATCH($D4321,'Paramètres'!$M:$M,0)),"⚠ Type inconnu",IF($L4321="Crédit","",IFERROR(INDEX('Paramètres'!$O:$O,MATCH($D4321,'Paramètres'!$M:$M,0))&amp;"",""))))</f>
        <v/>
      </c>
      <c r="N4321" s="6" t="str">
        <f>IF($D4321="","",IFERROR(INDEX('Paramètres'!$Q:$Q,MATCH($D4321,'Paramètres'!$M:$M,0))&amp;"",""))</f>
        <v/>
      </c>
      <c r="O4321" s="6" t="str">
        <f>IF($A4321="","",IF(OR($J4321&lt;&gt;"x",$A4321&lt;=FinReleve),1,0))</f>
        <v/>
      </c>
      <c r="P4321" s="6" t="str">
        <f>IF($D4321="","",IF(AND($L4321="Crédit",OR(IFERROR(INDEX('Paramètres'!$O:$O,MATCH($D4321,'Paramètres'!$M:$M,0))&amp;"","")&lt;&gt;"",ISNUMBER(SEARCH("remboursement",IFERROR(INDEX('Paramètres'!$N:$N,MATCH($D4321,'Paramètres'!$M:$M,0))&amp;"",""))))),1,0))</f>
        <v/>
      </c>
      <c r="Q4321" s="6" t="str">
        <f>IF($K4321="","",IF(ISNUMBER(SEARCH("transfert-interne",IFERROR(INDEX('Paramètres'!$N:$N,MATCH($D4321,'Paramètres'!$M:$M,0))&amp;"",""))),0,IF($L4321="Débit",$K4321,IF($P4321=1,-$K4321,0))))</f>
        <v/>
      </c>
      <c r="R4321" s="6" t="str">
        <f>IF($K4321="","",IF($L4321="Crédit",$K4321,-$K4321))</f>
        <v/>
      </c>
      <c r="S4321" s="6" t="str">
        <f>IF($C4321="","",IFERROR(INDEX('Paramètres'!$H:$H,MATCH($C4321,'Paramètres'!$D:$D,0))&amp;"",""))</f>
        <v/>
      </c>
      <c r="T4321" s="6" t="str">
        <f>IF($K4321="","",IF($S4321="",0,IF(ISNUMBER(SEARCH("apport-exterieur",IFERROR(INDEX('Paramètres'!$N:$N,MATCH($D4321,'Paramètres'!$M:$M,0))&amp;"",""))),0,IF(OR(IFERROR(INDEX('Paramètres'!$I:$I,MATCH($C4321,'Paramètres'!$D:$D,0))&amp;"","")="Les deux",IFERROR(INDEX('Paramètres'!$I:$I,MATCH($C4321,'Paramètres'!$D:$D,0))&amp;"","")=IF($P4321=1,"Débit",$L4321)),-IF($P4321=1,-$K4321,$K4321),0))))</f>
        <v/>
      </c>
      <c r="U4321" s="6" t="str">
        <f>IF($K4321="","",IF(ISNUMBER(SEARCH("sortie-epargne",IFERROR(INDEX('Paramètres'!$N:$N,MATCH($D4321,'Paramètres'!$M:$M,0))&amp;"",""))),$K4321,0))</f>
        <v/>
      </c>
      <c r="V4321" s="6" t="str">
        <f>IF(AND($A4321&lt;&gt;"",$O4321=1,$L4321="Débit",N($Q4321)&gt;0,$A4321&gt;=Visualisation!$B$1,$A4321&lt;Visualisation!$D$1),MAX($V$1:V4320)+1,"")</f>
        <v/>
      </c>
    </row>
    <row r="4322" spans="1:22" x14ac:dyDescent="0.25">
      <c r="A4322" s="9"/>
      <c r="E4322" s="10"/>
      <c r="K4322" s="11" t="str">
        <f>IF($E4322="","",ROUND($E4322*IF(ISNA(MATCH($C4322,'Paramètres'!$D:$D,0)),1,IF(INDEX('Paramètres'!$J:$J,MATCH($C4322,'Paramètres'!$D:$D,0))="",1,INDEX('Paramètres'!$J:$J,MATCH($C4322,'Paramètres'!$D:$D,0)))),2))</f>
        <v/>
      </c>
      <c r="L4322" s="6" t="str">
        <f>IF($D4322="","",IF($F4322&lt;&gt;"",$F4322,IF(ISNA(MATCH($D4322,'Paramètres'!$M:$M,0)),"⚠ Type inconnu",IFERROR(INDEX('Paramètres'!$P:$P,MATCH($D4322,'Paramètres'!$M:$M,0))&amp;"",""))))</f>
        <v/>
      </c>
      <c r="M4322" s="6" t="str">
        <f>IF($D4322="","",IF(ISNA(MATCH($D4322,'Paramètres'!$M:$M,0)),"⚠ Type inconnu",IF($L4322="Crédit","",IFERROR(INDEX('Paramètres'!$O:$O,MATCH($D4322,'Paramètres'!$M:$M,0))&amp;"",""))))</f>
        <v/>
      </c>
      <c r="N4322" s="6" t="str">
        <f>IF($D4322="","",IFERROR(INDEX('Paramètres'!$Q:$Q,MATCH($D4322,'Paramètres'!$M:$M,0))&amp;"",""))</f>
        <v/>
      </c>
      <c r="O4322" s="6" t="str">
        <f>IF($A4322="","",IF(OR($J4322&lt;&gt;"x",$A4322&lt;=FinReleve),1,0))</f>
        <v/>
      </c>
      <c r="P4322" s="6" t="str">
        <f>IF($D4322="","",IF(AND($L4322="Crédit",OR(IFERROR(INDEX('Paramètres'!$O:$O,MATCH($D4322,'Paramètres'!$M:$M,0))&amp;"","")&lt;&gt;"",ISNUMBER(SEARCH("remboursement",IFERROR(INDEX('Paramètres'!$N:$N,MATCH($D4322,'Paramètres'!$M:$M,0))&amp;"",""))))),1,0))</f>
        <v/>
      </c>
      <c r="Q4322" s="6" t="str">
        <f>IF($K4322="","",IF(ISNUMBER(SEARCH("transfert-interne",IFERROR(INDEX('Paramètres'!$N:$N,MATCH($D4322,'Paramètres'!$M:$M,0))&amp;"",""))),0,IF($L4322="Débit",$K4322,IF($P4322=1,-$K4322,0))))</f>
        <v/>
      </c>
      <c r="R4322" s="6" t="str">
        <f>IF($K4322="","",IF($L4322="Crédit",$K4322,-$K4322))</f>
        <v/>
      </c>
      <c r="S4322" s="6" t="str">
        <f>IF($C4322="","",IFERROR(INDEX('Paramètres'!$H:$H,MATCH($C4322,'Paramètres'!$D:$D,0))&amp;"",""))</f>
        <v/>
      </c>
      <c r="T4322" s="6" t="str">
        <f>IF($K4322="","",IF($S4322="",0,IF(ISNUMBER(SEARCH("apport-exterieur",IFERROR(INDEX('Paramètres'!$N:$N,MATCH($D4322,'Paramètres'!$M:$M,0))&amp;"",""))),0,IF(OR(IFERROR(INDEX('Paramètres'!$I:$I,MATCH($C4322,'Paramètres'!$D:$D,0))&amp;"","")="Les deux",IFERROR(INDEX('Paramètres'!$I:$I,MATCH($C4322,'Paramètres'!$D:$D,0))&amp;"","")=IF($P4322=1,"Débit",$L4322)),-IF($P4322=1,-$K4322,$K4322),0))))</f>
        <v/>
      </c>
      <c r="U4322" s="6" t="str">
        <f>IF($K4322="","",IF(ISNUMBER(SEARCH("sortie-epargne",IFERROR(INDEX('Paramètres'!$N:$N,MATCH($D4322,'Paramètres'!$M:$M,0))&amp;"",""))),$K4322,0))</f>
        <v/>
      </c>
      <c r="V4322" s="6" t="str">
        <f>IF(AND($A4322&lt;&gt;"",$O4322=1,$L4322="Débit",N($Q4322)&gt;0,$A4322&gt;=Visualisation!$B$1,$A4322&lt;Visualisation!$D$1),MAX($V$1:V4321)+1,"")</f>
        <v/>
      </c>
    </row>
    <row r="4323" spans="1:22" x14ac:dyDescent="0.25">
      <c r="A4323" s="9"/>
      <c r="E4323" s="10"/>
      <c r="K4323" s="11" t="str">
        <f>IF($E4323="","",ROUND($E4323*IF(ISNA(MATCH($C4323,'Paramètres'!$D:$D,0)),1,IF(INDEX('Paramètres'!$J:$J,MATCH($C4323,'Paramètres'!$D:$D,0))="",1,INDEX('Paramètres'!$J:$J,MATCH($C4323,'Paramètres'!$D:$D,0)))),2))</f>
        <v/>
      </c>
      <c r="L4323" s="6" t="str">
        <f>IF($D4323="","",IF($F4323&lt;&gt;"",$F4323,IF(ISNA(MATCH($D4323,'Paramètres'!$M:$M,0)),"⚠ Type inconnu",IFERROR(INDEX('Paramètres'!$P:$P,MATCH($D4323,'Paramètres'!$M:$M,0))&amp;"",""))))</f>
        <v/>
      </c>
      <c r="M4323" s="6" t="str">
        <f>IF($D4323="","",IF(ISNA(MATCH($D4323,'Paramètres'!$M:$M,0)),"⚠ Type inconnu",IF($L4323="Crédit","",IFERROR(INDEX('Paramètres'!$O:$O,MATCH($D4323,'Paramètres'!$M:$M,0))&amp;"",""))))</f>
        <v/>
      </c>
      <c r="N4323" s="6" t="str">
        <f>IF($D4323="","",IFERROR(INDEX('Paramètres'!$Q:$Q,MATCH($D4323,'Paramètres'!$M:$M,0))&amp;"",""))</f>
        <v/>
      </c>
      <c r="O4323" s="6" t="str">
        <f>IF($A4323="","",IF(OR($J4323&lt;&gt;"x",$A4323&lt;=FinReleve),1,0))</f>
        <v/>
      </c>
      <c r="P4323" s="6" t="str">
        <f>IF($D4323="","",IF(AND($L4323="Crédit",OR(IFERROR(INDEX('Paramètres'!$O:$O,MATCH($D4323,'Paramètres'!$M:$M,0))&amp;"","")&lt;&gt;"",ISNUMBER(SEARCH("remboursement",IFERROR(INDEX('Paramètres'!$N:$N,MATCH($D4323,'Paramètres'!$M:$M,0))&amp;"",""))))),1,0))</f>
        <v/>
      </c>
      <c r="Q4323" s="6" t="str">
        <f>IF($K4323="","",IF(ISNUMBER(SEARCH("transfert-interne",IFERROR(INDEX('Paramètres'!$N:$N,MATCH($D4323,'Paramètres'!$M:$M,0))&amp;"",""))),0,IF($L4323="Débit",$K4323,IF($P4323=1,-$K4323,0))))</f>
        <v/>
      </c>
      <c r="R4323" s="6" t="str">
        <f>IF($K4323="","",IF($L4323="Crédit",$K4323,-$K4323))</f>
        <v/>
      </c>
      <c r="S4323" s="6" t="str">
        <f>IF($C4323="","",IFERROR(INDEX('Paramètres'!$H:$H,MATCH($C4323,'Paramètres'!$D:$D,0))&amp;"",""))</f>
        <v/>
      </c>
      <c r="T4323" s="6" t="str">
        <f>IF($K4323="","",IF($S4323="",0,IF(ISNUMBER(SEARCH("apport-exterieur",IFERROR(INDEX('Paramètres'!$N:$N,MATCH($D4323,'Paramètres'!$M:$M,0))&amp;"",""))),0,IF(OR(IFERROR(INDEX('Paramètres'!$I:$I,MATCH($C4323,'Paramètres'!$D:$D,0))&amp;"","")="Les deux",IFERROR(INDEX('Paramètres'!$I:$I,MATCH($C4323,'Paramètres'!$D:$D,0))&amp;"","")=IF($P4323=1,"Débit",$L4323)),-IF($P4323=1,-$K4323,$K4323),0))))</f>
        <v/>
      </c>
      <c r="U4323" s="6" t="str">
        <f>IF($K4323="","",IF(ISNUMBER(SEARCH("sortie-epargne",IFERROR(INDEX('Paramètres'!$N:$N,MATCH($D4323,'Paramètres'!$M:$M,0))&amp;"",""))),$K4323,0))</f>
        <v/>
      </c>
      <c r="V4323" s="6" t="str">
        <f>IF(AND($A4323&lt;&gt;"",$O4323=1,$L4323="Débit",N($Q4323)&gt;0,$A4323&gt;=Visualisation!$B$1,$A4323&lt;Visualisation!$D$1),MAX($V$1:V4322)+1,"")</f>
        <v/>
      </c>
    </row>
    <row r="4324" spans="1:22" x14ac:dyDescent="0.25">
      <c r="A4324" s="9"/>
      <c r="E4324" s="10"/>
      <c r="K4324" s="11" t="str">
        <f>IF($E4324="","",ROUND($E4324*IF(ISNA(MATCH($C4324,'Paramètres'!$D:$D,0)),1,IF(INDEX('Paramètres'!$J:$J,MATCH($C4324,'Paramètres'!$D:$D,0))="",1,INDEX('Paramètres'!$J:$J,MATCH($C4324,'Paramètres'!$D:$D,0)))),2))</f>
        <v/>
      </c>
      <c r="L4324" s="6" t="str">
        <f>IF($D4324="","",IF($F4324&lt;&gt;"",$F4324,IF(ISNA(MATCH($D4324,'Paramètres'!$M:$M,0)),"⚠ Type inconnu",IFERROR(INDEX('Paramètres'!$P:$P,MATCH($D4324,'Paramètres'!$M:$M,0))&amp;"",""))))</f>
        <v/>
      </c>
      <c r="M4324" s="6" t="str">
        <f>IF($D4324="","",IF(ISNA(MATCH($D4324,'Paramètres'!$M:$M,0)),"⚠ Type inconnu",IF($L4324="Crédit","",IFERROR(INDEX('Paramètres'!$O:$O,MATCH($D4324,'Paramètres'!$M:$M,0))&amp;"",""))))</f>
        <v/>
      </c>
      <c r="N4324" s="6" t="str">
        <f>IF($D4324="","",IFERROR(INDEX('Paramètres'!$Q:$Q,MATCH($D4324,'Paramètres'!$M:$M,0))&amp;"",""))</f>
        <v/>
      </c>
      <c r="O4324" s="6" t="str">
        <f>IF($A4324="","",IF(OR($J4324&lt;&gt;"x",$A4324&lt;=FinReleve),1,0))</f>
        <v/>
      </c>
      <c r="P4324" s="6" t="str">
        <f>IF($D4324="","",IF(AND($L4324="Crédit",OR(IFERROR(INDEX('Paramètres'!$O:$O,MATCH($D4324,'Paramètres'!$M:$M,0))&amp;"","")&lt;&gt;"",ISNUMBER(SEARCH("remboursement",IFERROR(INDEX('Paramètres'!$N:$N,MATCH($D4324,'Paramètres'!$M:$M,0))&amp;"",""))))),1,0))</f>
        <v/>
      </c>
      <c r="Q4324" s="6" t="str">
        <f>IF($K4324="","",IF(ISNUMBER(SEARCH("transfert-interne",IFERROR(INDEX('Paramètres'!$N:$N,MATCH($D4324,'Paramètres'!$M:$M,0))&amp;"",""))),0,IF($L4324="Débit",$K4324,IF($P4324=1,-$K4324,0))))</f>
        <v/>
      </c>
      <c r="R4324" s="6" t="str">
        <f>IF($K4324="","",IF($L4324="Crédit",$K4324,-$K4324))</f>
        <v/>
      </c>
      <c r="S4324" s="6" t="str">
        <f>IF($C4324="","",IFERROR(INDEX('Paramètres'!$H:$H,MATCH($C4324,'Paramètres'!$D:$D,0))&amp;"",""))</f>
        <v/>
      </c>
      <c r="T4324" s="6" t="str">
        <f>IF($K4324="","",IF($S4324="",0,IF(ISNUMBER(SEARCH("apport-exterieur",IFERROR(INDEX('Paramètres'!$N:$N,MATCH($D4324,'Paramètres'!$M:$M,0))&amp;"",""))),0,IF(OR(IFERROR(INDEX('Paramètres'!$I:$I,MATCH($C4324,'Paramètres'!$D:$D,0))&amp;"","")="Les deux",IFERROR(INDEX('Paramètres'!$I:$I,MATCH($C4324,'Paramètres'!$D:$D,0))&amp;"","")=IF($P4324=1,"Débit",$L4324)),-IF($P4324=1,-$K4324,$K4324),0))))</f>
        <v/>
      </c>
      <c r="U4324" s="6" t="str">
        <f>IF($K4324="","",IF(ISNUMBER(SEARCH("sortie-epargne",IFERROR(INDEX('Paramètres'!$N:$N,MATCH($D4324,'Paramètres'!$M:$M,0))&amp;"",""))),$K4324,0))</f>
        <v/>
      </c>
      <c r="V4324" s="6" t="str">
        <f>IF(AND($A4324&lt;&gt;"",$O4324=1,$L4324="Débit",N($Q4324)&gt;0,$A4324&gt;=Visualisation!$B$1,$A4324&lt;Visualisation!$D$1),MAX($V$1:V4323)+1,"")</f>
        <v/>
      </c>
    </row>
    <row r="4325" spans="1:22" x14ac:dyDescent="0.25">
      <c r="A4325" s="9"/>
      <c r="E4325" s="10"/>
      <c r="K4325" s="11" t="str">
        <f>IF($E4325="","",ROUND($E4325*IF(ISNA(MATCH($C4325,'Paramètres'!$D:$D,0)),1,IF(INDEX('Paramètres'!$J:$J,MATCH($C4325,'Paramètres'!$D:$D,0))="",1,INDEX('Paramètres'!$J:$J,MATCH($C4325,'Paramètres'!$D:$D,0)))),2))</f>
        <v/>
      </c>
      <c r="L4325" s="6" t="str">
        <f>IF($D4325="","",IF($F4325&lt;&gt;"",$F4325,IF(ISNA(MATCH($D4325,'Paramètres'!$M:$M,0)),"⚠ Type inconnu",IFERROR(INDEX('Paramètres'!$P:$P,MATCH($D4325,'Paramètres'!$M:$M,0))&amp;"",""))))</f>
        <v/>
      </c>
      <c r="M4325" s="6" t="str">
        <f>IF($D4325="","",IF(ISNA(MATCH($D4325,'Paramètres'!$M:$M,0)),"⚠ Type inconnu",IF($L4325="Crédit","",IFERROR(INDEX('Paramètres'!$O:$O,MATCH($D4325,'Paramètres'!$M:$M,0))&amp;"",""))))</f>
        <v/>
      </c>
      <c r="N4325" s="6" t="str">
        <f>IF($D4325="","",IFERROR(INDEX('Paramètres'!$Q:$Q,MATCH($D4325,'Paramètres'!$M:$M,0))&amp;"",""))</f>
        <v/>
      </c>
      <c r="O4325" s="6" t="str">
        <f>IF($A4325="","",IF(OR($J4325&lt;&gt;"x",$A4325&lt;=FinReleve),1,0))</f>
        <v/>
      </c>
      <c r="P4325" s="6" t="str">
        <f>IF($D4325="","",IF(AND($L4325="Crédit",OR(IFERROR(INDEX('Paramètres'!$O:$O,MATCH($D4325,'Paramètres'!$M:$M,0))&amp;"","")&lt;&gt;"",ISNUMBER(SEARCH("remboursement",IFERROR(INDEX('Paramètres'!$N:$N,MATCH($D4325,'Paramètres'!$M:$M,0))&amp;"",""))))),1,0))</f>
        <v/>
      </c>
      <c r="Q4325" s="6" t="str">
        <f>IF($K4325="","",IF(ISNUMBER(SEARCH("transfert-interne",IFERROR(INDEX('Paramètres'!$N:$N,MATCH($D4325,'Paramètres'!$M:$M,0))&amp;"",""))),0,IF($L4325="Débit",$K4325,IF($P4325=1,-$K4325,0))))</f>
        <v/>
      </c>
      <c r="R4325" s="6" t="str">
        <f>IF($K4325="","",IF($L4325="Crédit",$K4325,-$K4325))</f>
        <v/>
      </c>
      <c r="S4325" s="6" t="str">
        <f>IF($C4325="","",IFERROR(INDEX('Paramètres'!$H:$H,MATCH($C4325,'Paramètres'!$D:$D,0))&amp;"",""))</f>
        <v/>
      </c>
      <c r="T4325" s="6" t="str">
        <f>IF($K4325="","",IF($S4325="",0,IF(ISNUMBER(SEARCH("apport-exterieur",IFERROR(INDEX('Paramètres'!$N:$N,MATCH($D4325,'Paramètres'!$M:$M,0))&amp;"",""))),0,IF(OR(IFERROR(INDEX('Paramètres'!$I:$I,MATCH($C4325,'Paramètres'!$D:$D,0))&amp;"","")="Les deux",IFERROR(INDEX('Paramètres'!$I:$I,MATCH($C4325,'Paramètres'!$D:$D,0))&amp;"","")=IF($P4325=1,"Débit",$L4325)),-IF($P4325=1,-$K4325,$K4325),0))))</f>
        <v/>
      </c>
      <c r="U4325" s="6" t="str">
        <f>IF($K4325="","",IF(ISNUMBER(SEARCH("sortie-epargne",IFERROR(INDEX('Paramètres'!$N:$N,MATCH($D4325,'Paramètres'!$M:$M,0))&amp;"",""))),$K4325,0))</f>
        <v/>
      </c>
      <c r="V4325" s="6" t="str">
        <f>IF(AND($A4325&lt;&gt;"",$O4325=1,$L4325="Débit",N($Q4325)&gt;0,$A4325&gt;=Visualisation!$B$1,$A4325&lt;Visualisation!$D$1),MAX($V$1:V4324)+1,"")</f>
        <v/>
      </c>
    </row>
    <row r="4326" spans="1:22" x14ac:dyDescent="0.25">
      <c r="A4326" s="9"/>
      <c r="E4326" s="10"/>
      <c r="K4326" s="11" t="str">
        <f>IF($E4326="","",ROUND($E4326*IF(ISNA(MATCH($C4326,'Paramètres'!$D:$D,0)),1,IF(INDEX('Paramètres'!$J:$J,MATCH($C4326,'Paramètres'!$D:$D,0))="",1,INDEX('Paramètres'!$J:$J,MATCH($C4326,'Paramètres'!$D:$D,0)))),2))</f>
        <v/>
      </c>
      <c r="L4326" s="6" t="str">
        <f>IF($D4326="","",IF($F4326&lt;&gt;"",$F4326,IF(ISNA(MATCH($D4326,'Paramètres'!$M:$M,0)),"⚠ Type inconnu",IFERROR(INDEX('Paramètres'!$P:$P,MATCH($D4326,'Paramètres'!$M:$M,0))&amp;"",""))))</f>
        <v/>
      </c>
      <c r="M4326" s="6" t="str">
        <f>IF($D4326="","",IF(ISNA(MATCH($D4326,'Paramètres'!$M:$M,0)),"⚠ Type inconnu",IF($L4326="Crédit","",IFERROR(INDEX('Paramètres'!$O:$O,MATCH($D4326,'Paramètres'!$M:$M,0))&amp;"",""))))</f>
        <v/>
      </c>
      <c r="N4326" s="6" t="str">
        <f>IF($D4326="","",IFERROR(INDEX('Paramètres'!$Q:$Q,MATCH($D4326,'Paramètres'!$M:$M,0))&amp;"",""))</f>
        <v/>
      </c>
      <c r="O4326" s="6" t="str">
        <f>IF($A4326="","",IF(OR($J4326&lt;&gt;"x",$A4326&lt;=FinReleve),1,0))</f>
        <v/>
      </c>
      <c r="P4326" s="6" t="str">
        <f>IF($D4326="","",IF(AND($L4326="Crédit",OR(IFERROR(INDEX('Paramètres'!$O:$O,MATCH($D4326,'Paramètres'!$M:$M,0))&amp;"","")&lt;&gt;"",ISNUMBER(SEARCH("remboursement",IFERROR(INDEX('Paramètres'!$N:$N,MATCH($D4326,'Paramètres'!$M:$M,0))&amp;"",""))))),1,0))</f>
        <v/>
      </c>
      <c r="Q4326" s="6" t="str">
        <f>IF($K4326="","",IF(ISNUMBER(SEARCH("transfert-interne",IFERROR(INDEX('Paramètres'!$N:$N,MATCH($D4326,'Paramètres'!$M:$M,0))&amp;"",""))),0,IF($L4326="Débit",$K4326,IF($P4326=1,-$K4326,0))))</f>
        <v/>
      </c>
      <c r="R4326" s="6" t="str">
        <f>IF($K4326="","",IF($L4326="Crédit",$K4326,-$K4326))</f>
        <v/>
      </c>
      <c r="S4326" s="6" t="str">
        <f>IF($C4326="","",IFERROR(INDEX('Paramètres'!$H:$H,MATCH($C4326,'Paramètres'!$D:$D,0))&amp;"",""))</f>
        <v/>
      </c>
      <c r="T4326" s="6" t="str">
        <f>IF($K4326="","",IF($S4326="",0,IF(ISNUMBER(SEARCH("apport-exterieur",IFERROR(INDEX('Paramètres'!$N:$N,MATCH($D4326,'Paramètres'!$M:$M,0))&amp;"",""))),0,IF(OR(IFERROR(INDEX('Paramètres'!$I:$I,MATCH($C4326,'Paramètres'!$D:$D,0))&amp;"","")="Les deux",IFERROR(INDEX('Paramètres'!$I:$I,MATCH($C4326,'Paramètres'!$D:$D,0))&amp;"","")=IF($P4326=1,"Débit",$L4326)),-IF($P4326=1,-$K4326,$K4326),0))))</f>
        <v/>
      </c>
      <c r="U4326" s="6" t="str">
        <f>IF($K4326="","",IF(ISNUMBER(SEARCH("sortie-epargne",IFERROR(INDEX('Paramètres'!$N:$N,MATCH($D4326,'Paramètres'!$M:$M,0))&amp;"",""))),$K4326,0))</f>
        <v/>
      </c>
      <c r="V4326" s="6" t="str">
        <f>IF(AND($A4326&lt;&gt;"",$O4326=1,$L4326="Débit",N($Q4326)&gt;0,$A4326&gt;=Visualisation!$B$1,$A4326&lt;Visualisation!$D$1),MAX($V$1:V4325)+1,"")</f>
        <v/>
      </c>
    </row>
    <row r="4327" spans="1:22" x14ac:dyDescent="0.25">
      <c r="A4327" s="9"/>
      <c r="E4327" s="10"/>
      <c r="K4327" s="11" t="str">
        <f>IF($E4327="","",ROUND($E4327*IF(ISNA(MATCH($C4327,'Paramètres'!$D:$D,0)),1,IF(INDEX('Paramètres'!$J:$J,MATCH($C4327,'Paramètres'!$D:$D,0))="",1,INDEX('Paramètres'!$J:$J,MATCH($C4327,'Paramètres'!$D:$D,0)))),2))</f>
        <v/>
      </c>
      <c r="L4327" s="6" t="str">
        <f>IF($D4327="","",IF($F4327&lt;&gt;"",$F4327,IF(ISNA(MATCH($D4327,'Paramètres'!$M:$M,0)),"⚠ Type inconnu",IFERROR(INDEX('Paramètres'!$P:$P,MATCH($D4327,'Paramètres'!$M:$M,0))&amp;"",""))))</f>
        <v/>
      </c>
      <c r="M4327" s="6" t="str">
        <f>IF($D4327="","",IF(ISNA(MATCH($D4327,'Paramètres'!$M:$M,0)),"⚠ Type inconnu",IF($L4327="Crédit","",IFERROR(INDEX('Paramètres'!$O:$O,MATCH($D4327,'Paramètres'!$M:$M,0))&amp;"",""))))</f>
        <v/>
      </c>
      <c r="N4327" s="6" t="str">
        <f>IF($D4327="","",IFERROR(INDEX('Paramètres'!$Q:$Q,MATCH($D4327,'Paramètres'!$M:$M,0))&amp;"",""))</f>
        <v/>
      </c>
      <c r="O4327" s="6" t="str">
        <f>IF($A4327="","",IF(OR($J4327&lt;&gt;"x",$A4327&lt;=FinReleve),1,0))</f>
        <v/>
      </c>
      <c r="P4327" s="6" t="str">
        <f>IF($D4327="","",IF(AND($L4327="Crédit",OR(IFERROR(INDEX('Paramètres'!$O:$O,MATCH($D4327,'Paramètres'!$M:$M,0))&amp;"","")&lt;&gt;"",ISNUMBER(SEARCH("remboursement",IFERROR(INDEX('Paramètres'!$N:$N,MATCH($D4327,'Paramètres'!$M:$M,0))&amp;"",""))))),1,0))</f>
        <v/>
      </c>
      <c r="Q4327" s="6" t="str">
        <f>IF($K4327="","",IF(ISNUMBER(SEARCH("transfert-interne",IFERROR(INDEX('Paramètres'!$N:$N,MATCH($D4327,'Paramètres'!$M:$M,0))&amp;"",""))),0,IF($L4327="Débit",$K4327,IF($P4327=1,-$K4327,0))))</f>
        <v/>
      </c>
      <c r="R4327" s="6" t="str">
        <f>IF($K4327="","",IF($L4327="Crédit",$K4327,-$K4327))</f>
        <v/>
      </c>
      <c r="S4327" s="6" t="str">
        <f>IF($C4327="","",IFERROR(INDEX('Paramètres'!$H:$H,MATCH($C4327,'Paramètres'!$D:$D,0))&amp;"",""))</f>
        <v/>
      </c>
      <c r="T4327" s="6" t="str">
        <f>IF($K4327="","",IF($S4327="",0,IF(ISNUMBER(SEARCH("apport-exterieur",IFERROR(INDEX('Paramètres'!$N:$N,MATCH($D4327,'Paramètres'!$M:$M,0))&amp;"",""))),0,IF(OR(IFERROR(INDEX('Paramètres'!$I:$I,MATCH($C4327,'Paramètres'!$D:$D,0))&amp;"","")="Les deux",IFERROR(INDEX('Paramètres'!$I:$I,MATCH($C4327,'Paramètres'!$D:$D,0))&amp;"","")=IF($P4327=1,"Débit",$L4327)),-IF($P4327=1,-$K4327,$K4327),0))))</f>
        <v/>
      </c>
      <c r="U4327" s="6" t="str">
        <f>IF($K4327="","",IF(ISNUMBER(SEARCH("sortie-epargne",IFERROR(INDEX('Paramètres'!$N:$N,MATCH($D4327,'Paramètres'!$M:$M,0))&amp;"",""))),$K4327,0))</f>
        <v/>
      </c>
      <c r="V4327" s="6" t="str">
        <f>IF(AND($A4327&lt;&gt;"",$O4327=1,$L4327="Débit",N($Q4327)&gt;0,$A4327&gt;=Visualisation!$B$1,$A4327&lt;Visualisation!$D$1),MAX($V$1:V4326)+1,"")</f>
        <v/>
      </c>
    </row>
    <row r="4328" spans="1:22" x14ac:dyDescent="0.25">
      <c r="A4328" s="9"/>
      <c r="E4328" s="10"/>
      <c r="K4328" s="11" t="str">
        <f>IF($E4328="","",ROUND($E4328*IF(ISNA(MATCH($C4328,'Paramètres'!$D:$D,0)),1,IF(INDEX('Paramètres'!$J:$J,MATCH($C4328,'Paramètres'!$D:$D,0))="",1,INDEX('Paramètres'!$J:$J,MATCH($C4328,'Paramètres'!$D:$D,0)))),2))</f>
        <v/>
      </c>
      <c r="L4328" s="6" t="str">
        <f>IF($D4328="","",IF($F4328&lt;&gt;"",$F4328,IF(ISNA(MATCH($D4328,'Paramètres'!$M:$M,0)),"⚠ Type inconnu",IFERROR(INDEX('Paramètres'!$P:$P,MATCH($D4328,'Paramètres'!$M:$M,0))&amp;"",""))))</f>
        <v/>
      </c>
      <c r="M4328" s="6" t="str">
        <f>IF($D4328="","",IF(ISNA(MATCH($D4328,'Paramètres'!$M:$M,0)),"⚠ Type inconnu",IF($L4328="Crédit","",IFERROR(INDEX('Paramètres'!$O:$O,MATCH($D4328,'Paramètres'!$M:$M,0))&amp;"",""))))</f>
        <v/>
      </c>
      <c r="N4328" s="6" t="str">
        <f>IF($D4328="","",IFERROR(INDEX('Paramètres'!$Q:$Q,MATCH($D4328,'Paramètres'!$M:$M,0))&amp;"",""))</f>
        <v/>
      </c>
      <c r="O4328" s="6" t="str">
        <f>IF($A4328="","",IF(OR($J4328&lt;&gt;"x",$A4328&lt;=FinReleve),1,0))</f>
        <v/>
      </c>
      <c r="P4328" s="6" t="str">
        <f>IF($D4328="","",IF(AND($L4328="Crédit",OR(IFERROR(INDEX('Paramètres'!$O:$O,MATCH($D4328,'Paramètres'!$M:$M,0))&amp;"","")&lt;&gt;"",ISNUMBER(SEARCH("remboursement",IFERROR(INDEX('Paramètres'!$N:$N,MATCH($D4328,'Paramètres'!$M:$M,0))&amp;"",""))))),1,0))</f>
        <v/>
      </c>
      <c r="Q4328" s="6" t="str">
        <f>IF($K4328="","",IF(ISNUMBER(SEARCH("transfert-interne",IFERROR(INDEX('Paramètres'!$N:$N,MATCH($D4328,'Paramètres'!$M:$M,0))&amp;"",""))),0,IF($L4328="Débit",$K4328,IF($P4328=1,-$K4328,0))))</f>
        <v/>
      </c>
      <c r="R4328" s="6" t="str">
        <f>IF($K4328="","",IF($L4328="Crédit",$K4328,-$K4328))</f>
        <v/>
      </c>
      <c r="S4328" s="6" t="str">
        <f>IF($C4328="","",IFERROR(INDEX('Paramètres'!$H:$H,MATCH($C4328,'Paramètres'!$D:$D,0))&amp;"",""))</f>
        <v/>
      </c>
      <c r="T4328" s="6" t="str">
        <f>IF($K4328="","",IF($S4328="",0,IF(ISNUMBER(SEARCH("apport-exterieur",IFERROR(INDEX('Paramètres'!$N:$N,MATCH($D4328,'Paramètres'!$M:$M,0))&amp;"",""))),0,IF(OR(IFERROR(INDEX('Paramètres'!$I:$I,MATCH($C4328,'Paramètres'!$D:$D,0))&amp;"","")="Les deux",IFERROR(INDEX('Paramètres'!$I:$I,MATCH($C4328,'Paramètres'!$D:$D,0))&amp;"","")=IF($P4328=1,"Débit",$L4328)),-IF($P4328=1,-$K4328,$K4328),0))))</f>
        <v/>
      </c>
      <c r="U4328" s="6" t="str">
        <f>IF($K4328="","",IF(ISNUMBER(SEARCH("sortie-epargne",IFERROR(INDEX('Paramètres'!$N:$N,MATCH($D4328,'Paramètres'!$M:$M,0))&amp;"",""))),$K4328,0))</f>
        <v/>
      </c>
      <c r="V4328" s="6" t="str">
        <f>IF(AND($A4328&lt;&gt;"",$O4328=1,$L4328="Débit",N($Q4328)&gt;0,$A4328&gt;=Visualisation!$B$1,$A4328&lt;Visualisation!$D$1),MAX($V$1:V4327)+1,"")</f>
        <v/>
      </c>
    </row>
    <row r="4329" spans="1:22" x14ac:dyDescent="0.25">
      <c r="A4329" s="9"/>
      <c r="E4329" s="10"/>
      <c r="K4329" s="11" t="str">
        <f>IF($E4329="","",ROUND($E4329*IF(ISNA(MATCH($C4329,'Paramètres'!$D:$D,0)),1,IF(INDEX('Paramètres'!$J:$J,MATCH($C4329,'Paramètres'!$D:$D,0))="",1,INDEX('Paramètres'!$J:$J,MATCH($C4329,'Paramètres'!$D:$D,0)))),2))</f>
        <v/>
      </c>
      <c r="L4329" s="6" t="str">
        <f>IF($D4329="","",IF($F4329&lt;&gt;"",$F4329,IF(ISNA(MATCH($D4329,'Paramètres'!$M:$M,0)),"⚠ Type inconnu",IFERROR(INDEX('Paramètres'!$P:$P,MATCH($D4329,'Paramètres'!$M:$M,0))&amp;"",""))))</f>
        <v/>
      </c>
      <c r="M4329" s="6" t="str">
        <f>IF($D4329="","",IF(ISNA(MATCH($D4329,'Paramètres'!$M:$M,0)),"⚠ Type inconnu",IF($L4329="Crédit","",IFERROR(INDEX('Paramètres'!$O:$O,MATCH($D4329,'Paramètres'!$M:$M,0))&amp;"",""))))</f>
        <v/>
      </c>
      <c r="N4329" s="6" t="str">
        <f>IF($D4329="","",IFERROR(INDEX('Paramètres'!$Q:$Q,MATCH($D4329,'Paramètres'!$M:$M,0))&amp;"",""))</f>
        <v/>
      </c>
      <c r="O4329" s="6" t="str">
        <f>IF($A4329="","",IF(OR($J4329&lt;&gt;"x",$A4329&lt;=FinReleve),1,0))</f>
        <v/>
      </c>
      <c r="P4329" s="6" t="str">
        <f>IF($D4329="","",IF(AND($L4329="Crédit",OR(IFERROR(INDEX('Paramètres'!$O:$O,MATCH($D4329,'Paramètres'!$M:$M,0))&amp;"","")&lt;&gt;"",ISNUMBER(SEARCH("remboursement",IFERROR(INDEX('Paramètres'!$N:$N,MATCH($D4329,'Paramètres'!$M:$M,0))&amp;"",""))))),1,0))</f>
        <v/>
      </c>
      <c r="Q4329" s="6" t="str">
        <f>IF($K4329="","",IF(ISNUMBER(SEARCH("transfert-interne",IFERROR(INDEX('Paramètres'!$N:$N,MATCH($D4329,'Paramètres'!$M:$M,0))&amp;"",""))),0,IF($L4329="Débit",$K4329,IF($P4329=1,-$K4329,0))))</f>
        <v/>
      </c>
      <c r="R4329" s="6" t="str">
        <f>IF($K4329="","",IF($L4329="Crédit",$K4329,-$K4329))</f>
        <v/>
      </c>
      <c r="S4329" s="6" t="str">
        <f>IF($C4329="","",IFERROR(INDEX('Paramètres'!$H:$H,MATCH($C4329,'Paramètres'!$D:$D,0))&amp;"",""))</f>
        <v/>
      </c>
      <c r="T4329" s="6" t="str">
        <f>IF($K4329="","",IF($S4329="",0,IF(ISNUMBER(SEARCH("apport-exterieur",IFERROR(INDEX('Paramètres'!$N:$N,MATCH($D4329,'Paramètres'!$M:$M,0))&amp;"",""))),0,IF(OR(IFERROR(INDEX('Paramètres'!$I:$I,MATCH($C4329,'Paramètres'!$D:$D,0))&amp;"","")="Les deux",IFERROR(INDEX('Paramètres'!$I:$I,MATCH($C4329,'Paramètres'!$D:$D,0))&amp;"","")=IF($P4329=1,"Débit",$L4329)),-IF($P4329=1,-$K4329,$K4329),0))))</f>
        <v/>
      </c>
      <c r="U4329" s="6" t="str">
        <f>IF($K4329="","",IF(ISNUMBER(SEARCH("sortie-epargne",IFERROR(INDEX('Paramètres'!$N:$N,MATCH($D4329,'Paramètres'!$M:$M,0))&amp;"",""))),$K4329,0))</f>
        <v/>
      </c>
      <c r="V4329" s="6" t="str">
        <f>IF(AND($A4329&lt;&gt;"",$O4329=1,$L4329="Débit",N($Q4329)&gt;0,$A4329&gt;=Visualisation!$B$1,$A4329&lt;Visualisation!$D$1),MAX($V$1:V4328)+1,"")</f>
        <v/>
      </c>
    </row>
    <row r="4330" spans="1:22" x14ac:dyDescent="0.25">
      <c r="A4330" s="9"/>
      <c r="E4330" s="10"/>
      <c r="K4330" s="11" t="str">
        <f>IF($E4330="","",ROUND($E4330*IF(ISNA(MATCH($C4330,'Paramètres'!$D:$D,0)),1,IF(INDEX('Paramètres'!$J:$J,MATCH($C4330,'Paramètres'!$D:$D,0))="",1,INDEX('Paramètres'!$J:$J,MATCH($C4330,'Paramètres'!$D:$D,0)))),2))</f>
        <v/>
      </c>
      <c r="L4330" s="6" t="str">
        <f>IF($D4330="","",IF($F4330&lt;&gt;"",$F4330,IF(ISNA(MATCH($D4330,'Paramètres'!$M:$M,0)),"⚠ Type inconnu",IFERROR(INDEX('Paramètres'!$P:$P,MATCH($D4330,'Paramètres'!$M:$M,0))&amp;"",""))))</f>
        <v/>
      </c>
      <c r="M4330" s="6" t="str">
        <f>IF($D4330="","",IF(ISNA(MATCH($D4330,'Paramètres'!$M:$M,0)),"⚠ Type inconnu",IF($L4330="Crédit","",IFERROR(INDEX('Paramètres'!$O:$O,MATCH($D4330,'Paramètres'!$M:$M,0))&amp;"",""))))</f>
        <v/>
      </c>
      <c r="N4330" s="6" t="str">
        <f>IF($D4330="","",IFERROR(INDEX('Paramètres'!$Q:$Q,MATCH($D4330,'Paramètres'!$M:$M,0))&amp;"",""))</f>
        <v/>
      </c>
      <c r="O4330" s="6" t="str">
        <f>IF($A4330="","",IF(OR($J4330&lt;&gt;"x",$A4330&lt;=FinReleve),1,0))</f>
        <v/>
      </c>
      <c r="P4330" s="6" t="str">
        <f>IF($D4330="","",IF(AND($L4330="Crédit",OR(IFERROR(INDEX('Paramètres'!$O:$O,MATCH($D4330,'Paramètres'!$M:$M,0))&amp;"","")&lt;&gt;"",ISNUMBER(SEARCH("remboursement",IFERROR(INDEX('Paramètres'!$N:$N,MATCH($D4330,'Paramètres'!$M:$M,0))&amp;"",""))))),1,0))</f>
        <v/>
      </c>
      <c r="Q4330" s="6" t="str">
        <f>IF($K4330="","",IF(ISNUMBER(SEARCH("transfert-interne",IFERROR(INDEX('Paramètres'!$N:$N,MATCH($D4330,'Paramètres'!$M:$M,0))&amp;"",""))),0,IF($L4330="Débit",$K4330,IF($P4330=1,-$K4330,0))))</f>
        <v/>
      </c>
      <c r="R4330" s="6" t="str">
        <f>IF($K4330="","",IF($L4330="Crédit",$K4330,-$K4330))</f>
        <v/>
      </c>
      <c r="S4330" s="6" t="str">
        <f>IF($C4330="","",IFERROR(INDEX('Paramètres'!$H:$H,MATCH($C4330,'Paramètres'!$D:$D,0))&amp;"",""))</f>
        <v/>
      </c>
      <c r="T4330" s="6" t="str">
        <f>IF($K4330="","",IF($S4330="",0,IF(ISNUMBER(SEARCH("apport-exterieur",IFERROR(INDEX('Paramètres'!$N:$N,MATCH($D4330,'Paramètres'!$M:$M,0))&amp;"",""))),0,IF(OR(IFERROR(INDEX('Paramètres'!$I:$I,MATCH($C4330,'Paramètres'!$D:$D,0))&amp;"","")="Les deux",IFERROR(INDEX('Paramètres'!$I:$I,MATCH($C4330,'Paramètres'!$D:$D,0))&amp;"","")=IF($P4330=1,"Débit",$L4330)),-IF($P4330=1,-$K4330,$K4330),0))))</f>
        <v/>
      </c>
      <c r="U4330" s="6" t="str">
        <f>IF($K4330="","",IF(ISNUMBER(SEARCH("sortie-epargne",IFERROR(INDEX('Paramètres'!$N:$N,MATCH($D4330,'Paramètres'!$M:$M,0))&amp;"",""))),$K4330,0))</f>
        <v/>
      </c>
      <c r="V4330" s="6" t="str">
        <f>IF(AND($A4330&lt;&gt;"",$O4330=1,$L4330="Débit",N($Q4330)&gt;0,$A4330&gt;=Visualisation!$B$1,$A4330&lt;Visualisation!$D$1),MAX($V$1:V4329)+1,"")</f>
        <v/>
      </c>
    </row>
    <row r="4331" spans="1:22" x14ac:dyDescent="0.25">
      <c r="A4331" s="9"/>
      <c r="E4331" s="10"/>
      <c r="K4331" s="11" t="str">
        <f>IF($E4331="","",ROUND($E4331*IF(ISNA(MATCH($C4331,'Paramètres'!$D:$D,0)),1,IF(INDEX('Paramètres'!$J:$J,MATCH($C4331,'Paramètres'!$D:$D,0))="",1,INDEX('Paramètres'!$J:$J,MATCH($C4331,'Paramètres'!$D:$D,0)))),2))</f>
        <v/>
      </c>
      <c r="L4331" s="6" t="str">
        <f>IF($D4331="","",IF($F4331&lt;&gt;"",$F4331,IF(ISNA(MATCH($D4331,'Paramètres'!$M:$M,0)),"⚠ Type inconnu",IFERROR(INDEX('Paramètres'!$P:$P,MATCH($D4331,'Paramètres'!$M:$M,0))&amp;"",""))))</f>
        <v/>
      </c>
      <c r="M4331" s="6" t="str">
        <f>IF($D4331="","",IF(ISNA(MATCH($D4331,'Paramètres'!$M:$M,0)),"⚠ Type inconnu",IF($L4331="Crédit","",IFERROR(INDEX('Paramètres'!$O:$O,MATCH($D4331,'Paramètres'!$M:$M,0))&amp;"",""))))</f>
        <v/>
      </c>
      <c r="N4331" s="6" t="str">
        <f>IF($D4331="","",IFERROR(INDEX('Paramètres'!$Q:$Q,MATCH($D4331,'Paramètres'!$M:$M,0))&amp;"",""))</f>
        <v/>
      </c>
      <c r="O4331" s="6" t="str">
        <f>IF($A4331="","",IF(OR($J4331&lt;&gt;"x",$A4331&lt;=FinReleve),1,0))</f>
        <v/>
      </c>
      <c r="P4331" s="6" t="str">
        <f>IF($D4331="","",IF(AND($L4331="Crédit",OR(IFERROR(INDEX('Paramètres'!$O:$O,MATCH($D4331,'Paramètres'!$M:$M,0))&amp;"","")&lt;&gt;"",ISNUMBER(SEARCH("remboursement",IFERROR(INDEX('Paramètres'!$N:$N,MATCH($D4331,'Paramètres'!$M:$M,0))&amp;"",""))))),1,0))</f>
        <v/>
      </c>
      <c r="Q4331" s="6" t="str">
        <f>IF($K4331="","",IF(ISNUMBER(SEARCH("transfert-interne",IFERROR(INDEX('Paramètres'!$N:$N,MATCH($D4331,'Paramètres'!$M:$M,0))&amp;"",""))),0,IF($L4331="Débit",$K4331,IF($P4331=1,-$K4331,0))))</f>
        <v/>
      </c>
      <c r="R4331" s="6" t="str">
        <f>IF($K4331="","",IF($L4331="Crédit",$K4331,-$K4331))</f>
        <v/>
      </c>
      <c r="S4331" s="6" t="str">
        <f>IF($C4331="","",IFERROR(INDEX('Paramètres'!$H:$H,MATCH($C4331,'Paramètres'!$D:$D,0))&amp;"",""))</f>
        <v/>
      </c>
      <c r="T4331" s="6" t="str">
        <f>IF($K4331="","",IF($S4331="",0,IF(ISNUMBER(SEARCH("apport-exterieur",IFERROR(INDEX('Paramètres'!$N:$N,MATCH($D4331,'Paramètres'!$M:$M,0))&amp;"",""))),0,IF(OR(IFERROR(INDEX('Paramètres'!$I:$I,MATCH($C4331,'Paramètres'!$D:$D,0))&amp;"","")="Les deux",IFERROR(INDEX('Paramètres'!$I:$I,MATCH($C4331,'Paramètres'!$D:$D,0))&amp;"","")=IF($P4331=1,"Débit",$L4331)),-IF($P4331=1,-$K4331,$K4331),0))))</f>
        <v/>
      </c>
      <c r="U4331" s="6" t="str">
        <f>IF($K4331="","",IF(ISNUMBER(SEARCH("sortie-epargne",IFERROR(INDEX('Paramètres'!$N:$N,MATCH($D4331,'Paramètres'!$M:$M,0))&amp;"",""))),$K4331,0))</f>
        <v/>
      </c>
      <c r="V4331" s="6" t="str">
        <f>IF(AND($A4331&lt;&gt;"",$O4331=1,$L4331="Débit",N($Q4331)&gt;0,$A4331&gt;=Visualisation!$B$1,$A4331&lt;Visualisation!$D$1),MAX($V$1:V4330)+1,"")</f>
        <v/>
      </c>
    </row>
    <row r="4332" spans="1:22" x14ac:dyDescent="0.25">
      <c r="A4332" s="9"/>
      <c r="E4332" s="10"/>
      <c r="K4332" s="11" t="str">
        <f>IF($E4332="","",ROUND($E4332*IF(ISNA(MATCH($C4332,'Paramètres'!$D:$D,0)),1,IF(INDEX('Paramètres'!$J:$J,MATCH($C4332,'Paramètres'!$D:$D,0))="",1,INDEX('Paramètres'!$J:$J,MATCH($C4332,'Paramètres'!$D:$D,0)))),2))</f>
        <v/>
      </c>
      <c r="L4332" s="6" t="str">
        <f>IF($D4332="","",IF($F4332&lt;&gt;"",$F4332,IF(ISNA(MATCH($D4332,'Paramètres'!$M:$M,0)),"⚠ Type inconnu",IFERROR(INDEX('Paramètres'!$P:$P,MATCH($D4332,'Paramètres'!$M:$M,0))&amp;"",""))))</f>
        <v/>
      </c>
      <c r="M4332" s="6" t="str">
        <f>IF($D4332="","",IF(ISNA(MATCH($D4332,'Paramètres'!$M:$M,0)),"⚠ Type inconnu",IF($L4332="Crédit","",IFERROR(INDEX('Paramètres'!$O:$O,MATCH($D4332,'Paramètres'!$M:$M,0))&amp;"",""))))</f>
        <v/>
      </c>
      <c r="N4332" s="6" t="str">
        <f>IF($D4332="","",IFERROR(INDEX('Paramètres'!$Q:$Q,MATCH($D4332,'Paramètres'!$M:$M,0))&amp;"",""))</f>
        <v/>
      </c>
      <c r="O4332" s="6" t="str">
        <f>IF($A4332="","",IF(OR($J4332&lt;&gt;"x",$A4332&lt;=FinReleve),1,0))</f>
        <v/>
      </c>
      <c r="P4332" s="6" t="str">
        <f>IF($D4332="","",IF(AND($L4332="Crédit",OR(IFERROR(INDEX('Paramètres'!$O:$O,MATCH($D4332,'Paramètres'!$M:$M,0))&amp;"","")&lt;&gt;"",ISNUMBER(SEARCH("remboursement",IFERROR(INDEX('Paramètres'!$N:$N,MATCH($D4332,'Paramètres'!$M:$M,0))&amp;"",""))))),1,0))</f>
        <v/>
      </c>
      <c r="Q4332" s="6" t="str">
        <f>IF($K4332="","",IF(ISNUMBER(SEARCH("transfert-interne",IFERROR(INDEX('Paramètres'!$N:$N,MATCH($D4332,'Paramètres'!$M:$M,0))&amp;"",""))),0,IF($L4332="Débit",$K4332,IF($P4332=1,-$K4332,0))))</f>
        <v/>
      </c>
      <c r="R4332" s="6" t="str">
        <f>IF($K4332="","",IF($L4332="Crédit",$K4332,-$K4332))</f>
        <v/>
      </c>
      <c r="S4332" s="6" t="str">
        <f>IF($C4332="","",IFERROR(INDEX('Paramètres'!$H:$H,MATCH($C4332,'Paramètres'!$D:$D,0))&amp;"",""))</f>
        <v/>
      </c>
      <c r="T4332" s="6" t="str">
        <f>IF($K4332="","",IF($S4332="",0,IF(ISNUMBER(SEARCH("apport-exterieur",IFERROR(INDEX('Paramètres'!$N:$N,MATCH($D4332,'Paramètres'!$M:$M,0))&amp;"",""))),0,IF(OR(IFERROR(INDEX('Paramètres'!$I:$I,MATCH($C4332,'Paramètres'!$D:$D,0))&amp;"","")="Les deux",IFERROR(INDEX('Paramètres'!$I:$I,MATCH($C4332,'Paramètres'!$D:$D,0))&amp;"","")=IF($P4332=1,"Débit",$L4332)),-IF($P4332=1,-$K4332,$K4332),0))))</f>
        <v/>
      </c>
      <c r="U4332" s="6" t="str">
        <f>IF($K4332="","",IF(ISNUMBER(SEARCH("sortie-epargne",IFERROR(INDEX('Paramètres'!$N:$N,MATCH($D4332,'Paramètres'!$M:$M,0))&amp;"",""))),$K4332,0))</f>
        <v/>
      </c>
      <c r="V4332" s="6" t="str">
        <f>IF(AND($A4332&lt;&gt;"",$O4332=1,$L4332="Débit",N($Q4332)&gt;0,$A4332&gt;=Visualisation!$B$1,$A4332&lt;Visualisation!$D$1),MAX($V$1:V4331)+1,"")</f>
        <v/>
      </c>
    </row>
    <row r="4333" spans="1:22" x14ac:dyDescent="0.25">
      <c r="A4333" s="9"/>
      <c r="E4333" s="10"/>
      <c r="K4333" s="11" t="str">
        <f>IF($E4333="","",ROUND($E4333*IF(ISNA(MATCH($C4333,'Paramètres'!$D:$D,0)),1,IF(INDEX('Paramètres'!$J:$J,MATCH($C4333,'Paramètres'!$D:$D,0))="",1,INDEX('Paramètres'!$J:$J,MATCH($C4333,'Paramètres'!$D:$D,0)))),2))</f>
        <v/>
      </c>
      <c r="L4333" s="6" t="str">
        <f>IF($D4333="","",IF($F4333&lt;&gt;"",$F4333,IF(ISNA(MATCH($D4333,'Paramètres'!$M:$M,0)),"⚠ Type inconnu",IFERROR(INDEX('Paramètres'!$P:$P,MATCH($D4333,'Paramètres'!$M:$M,0))&amp;"",""))))</f>
        <v/>
      </c>
      <c r="M4333" s="6" t="str">
        <f>IF($D4333="","",IF(ISNA(MATCH($D4333,'Paramètres'!$M:$M,0)),"⚠ Type inconnu",IF($L4333="Crédit","",IFERROR(INDEX('Paramètres'!$O:$O,MATCH($D4333,'Paramètres'!$M:$M,0))&amp;"",""))))</f>
        <v/>
      </c>
      <c r="N4333" s="6" t="str">
        <f>IF($D4333="","",IFERROR(INDEX('Paramètres'!$Q:$Q,MATCH($D4333,'Paramètres'!$M:$M,0))&amp;"",""))</f>
        <v/>
      </c>
      <c r="O4333" s="6" t="str">
        <f>IF($A4333="","",IF(OR($J4333&lt;&gt;"x",$A4333&lt;=FinReleve),1,0))</f>
        <v/>
      </c>
      <c r="P4333" s="6" t="str">
        <f>IF($D4333="","",IF(AND($L4333="Crédit",OR(IFERROR(INDEX('Paramètres'!$O:$O,MATCH($D4333,'Paramètres'!$M:$M,0))&amp;"","")&lt;&gt;"",ISNUMBER(SEARCH("remboursement",IFERROR(INDEX('Paramètres'!$N:$N,MATCH($D4333,'Paramètres'!$M:$M,0))&amp;"",""))))),1,0))</f>
        <v/>
      </c>
      <c r="Q4333" s="6" t="str">
        <f>IF($K4333="","",IF(ISNUMBER(SEARCH("transfert-interne",IFERROR(INDEX('Paramètres'!$N:$N,MATCH($D4333,'Paramètres'!$M:$M,0))&amp;"",""))),0,IF($L4333="Débit",$K4333,IF($P4333=1,-$K4333,0))))</f>
        <v/>
      </c>
      <c r="R4333" s="6" t="str">
        <f>IF($K4333="","",IF($L4333="Crédit",$K4333,-$K4333))</f>
        <v/>
      </c>
      <c r="S4333" s="6" t="str">
        <f>IF($C4333="","",IFERROR(INDEX('Paramètres'!$H:$H,MATCH($C4333,'Paramètres'!$D:$D,0))&amp;"",""))</f>
        <v/>
      </c>
      <c r="T4333" s="6" t="str">
        <f>IF($K4333="","",IF($S4333="",0,IF(ISNUMBER(SEARCH("apport-exterieur",IFERROR(INDEX('Paramètres'!$N:$N,MATCH($D4333,'Paramètres'!$M:$M,0))&amp;"",""))),0,IF(OR(IFERROR(INDEX('Paramètres'!$I:$I,MATCH($C4333,'Paramètres'!$D:$D,0))&amp;"","")="Les deux",IFERROR(INDEX('Paramètres'!$I:$I,MATCH($C4333,'Paramètres'!$D:$D,0))&amp;"","")=IF($P4333=1,"Débit",$L4333)),-IF($P4333=1,-$K4333,$K4333),0))))</f>
        <v/>
      </c>
      <c r="U4333" s="6" t="str">
        <f>IF($K4333="","",IF(ISNUMBER(SEARCH("sortie-epargne",IFERROR(INDEX('Paramètres'!$N:$N,MATCH($D4333,'Paramètres'!$M:$M,0))&amp;"",""))),$K4333,0))</f>
        <v/>
      </c>
      <c r="V4333" s="6" t="str">
        <f>IF(AND($A4333&lt;&gt;"",$O4333=1,$L4333="Débit",N($Q4333)&gt;0,$A4333&gt;=Visualisation!$B$1,$A4333&lt;Visualisation!$D$1),MAX($V$1:V4332)+1,"")</f>
        <v/>
      </c>
    </row>
    <row r="4334" spans="1:22" x14ac:dyDescent="0.25">
      <c r="A4334" s="9"/>
      <c r="E4334" s="10"/>
      <c r="K4334" s="11" t="str">
        <f>IF($E4334="","",ROUND($E4334*IF(ISNA(MATCH($C4334,'Paramètres'!$D:$D,0)),1,IF(INDEX('Paramètres'!$J:$J,MATCH($C4334,'Paramètres'!$D:$D,0))="",1,INDEX('Paramètres'!$J:$J,MATCH($C4334,'Paramètres'!$D:$D,0)))),2))</f>
        <v/>
      </c>
      <c r="L4334" s="6" t="str">
        <f>IF($D4334="","",IF($F4334&lt;&gt;"",$F4334,IF(ISNA(MATCH($D4334,'Paramètres'!$M:$M,0)),"⚠ Type inconnu",IFERROR(INDEX('Paramètres'!$P:$P,MATCH($D4334,'Paramètres'!$M:$M,0))&amp;"",""))))</f>
        <v/>
      </c>
      <c r="M4334" s="6" t="str">
        <f>IF($D4334="","",IF(ISNA(MATCH($D4334,'Paramètres'!$M:$M,0)),"⚠ Type inconnu",IF($L4334="Crédit","",IFERROR(INDEX('Paramètres'!$O:$O,MATCH($D4334,'Paramètres'!$M:$M,0))&amp;"",""))))</f>
        <v/>
      </c>
      <c r="N4334" s="6" t="str">
        <f>IF($D4334="","",IFERROR(INDEX('Paramètres'!$Q:$Q,MATCH($D4334,'Paramètres'!$M:$M,0))&amp;"",""))</f>
        <v/>
      </c>
      <c r="O4334" s="6" t="str">
        <f>IF($A4334="","",IF(OR($J4334&lt;&gt;"x",$A4334&lt;=FinReleve),1,0))</f>
        <v/>
      </c>
      <c r="P4334" s="6" t="str">
        <f>IF($D4334="","",IF(AND($L4334="Crédit",OR(IFERROR(INDEX('Paramètres'!$O:$O,MATCH($D4334,'Paramètres'!$M:$M,0))&amp;"","")&lt;&gt;"",ISNUMBER(SEARCH("remboursement",IFERROR(INDEX('Paramètres'!$N:$N,MATCH($D4334,'Paramètres'!$M:$M,0))&amp;"",""))))),1,0))</f>
        <v/>
      </c>
      <c r="Q4334" s="6" t="str">
        <f>IF($K4334="","",IF(ISNUMBER(SEARCH("transfert-interne",IFERROR(INDEX('Paramètres'!$N:$N,MATCH($D4334,'Paramètres'!$M:$M,0))&amp;"",""))),0,IF($L4334="Débit",$K4334,IF($P4334=1,-$K4334,0))))</f>
        <v/>
      </c>
      <c r="R4334" s="6" t="str">
        <f>IF($K4334="","",IF($L4334="Crédit",$K4334,-$K4334))</f>
        <v/>
      </c>
      <c r="S4334" s="6" t="str">
        <f>IF($C4334="","",IFERROR(INDEX('Paramètres'!$H:$H,MATCH($C4334,'Paramètres'!$D:$D,0))&amp;"",""))</f>
        <v/>
      </c>
      <c r="T4334" s="6" t="str">
        <f>IF($K4334="","",IF($S4334="",0,IF(ISNUMBER(SEARCH("apport-exterieur",IFERROR(INDEX('Paramètres'!$N:$N,MATCH($D4334,'Paramètres'!$M:$M,0))&amp;"",""))),0,IF(OR(IFERROR(INDEX('Paramètres'!$I:$I,MATCH($C4334,'Paramètres'!$D:$D,0))&amp;"","")="Les deux",IFERROR(INDEX('Paramètres'!$I:$I,MATCH($C4334,'Paramètres'!$D:$D,0))&amp;"","")=IF($P4334=1,"Débit",$L4334)),-IF($P4334=1,-$K4334,$K4334),0))))</f>
        <v/>
      </c>
      <c r="U4334" s="6" t="str">
        <f>IF($K4334="","",IF(ISNUMBER(SEARCH("sortie-epargne",IFERROR(INDEX('Paramètres'!$N:$N,MATCH($D4334,'Paramètres'!$M:$M,0))&amp;"",""))),$K4334,0))</f>
        <v/>
      </c>
      <c r="V4334" s="6" t="str">
        <f>IF(AND($A4334&lt;&gt;"",$O4334=1,$L4334="Débit",N($Q4334)&gt;0,$A4334&gt;=Visualisation!$B$1,$A4334&lt;Visualisation!$D$1),MAX($V$1:V4333)+1,"")</f>
        <v/>
      </c>
    </row>
    <row r="4335" spans="1:22" x14ac:dyDescent="0.25">
      <c r="A4335" s="9"/>
      <c r="E4335" s="10"/>
      <c r="K4335" s="11" t="str">
        <f>IF($E4335="","",ROUND($E4335*IF(ISNA(MATCH($C4335,'Paramètres'!$D:$D,0)),1,IF(INDEX('Paramètres'!$J:$J,MATCH($C4335,'Paramètres'!$D:$D,0))="",1,INDEX('Paramètres'!$J:$J,MATCH($C4335,'Paramètres'!$D:$D,0)))),2))</f>
        <v/>
      </c>
      <c r="L4335" s="6" t="str">
        <f>IF($D4335="","",IF($F4335&lt;&gt;"",$F4335,IF(ISNA(MATCH($D4335,'Paramètres'!$M:$M,0)),"⚠ Type inconnu",IFERROR(INDEX('Paramètres'!$P:$P,MATCH($D4335,'Paramètres'!$M:$M,0))&amp;"",""))))</f>
        <v/>
      </c>
      <c r="M4335" s="6" t="str">
        <f>IF($D4335="","",IF(ISNA(MATCH($D4335,'Paramètres'!$M:$M,0)),"⚠ Type inconnu",IF($L4335="Crédit","",IFERROR(INDEX('Paramètres'!$O:$O,MATCH($D4335,'Paramètres'!$M:$M,0))&amp;"",""))))</f>
        <v/>
      </c>
      <c r="N4335" s="6" t="str">
        <f>IF($D4335="","",IFERROR(INDEX('Paramètres'!$Q:$Q,MATCH($D4335,'Paramètres'!$M:$M,0))&amp;"",""))</f>
        <v/>
      </c>
      <c r="O4335" s="6" t="str">
        <f>IF($A4335="","",IF(OR($J4335&lt;&gt;"x",$A4335&lt;=FinReleve),1,0))</f>
        <v/>
      </c>
      <c r="P4335" s="6" t="str">
        <f>IF($D4335="","",IF(AND($L4335="Crédit",OR(IFERROR(INDEX('Paramètres'!$O:$O,MATCH($D4335,'Paramètres'!$M:$M,0))&amp;"","")&lt;&gt;"",ISNUMBER(SEARCH("remboursement",IFERROR(INDEX('Paramètres'!$N:$N,MATCH($D4335,'Paramètres'!$M:$M,0))&amp;"",""))))),1,0))</f>
        <v/>
      </c>
      <c r="Q4335" s="6" t="str">
        <f>IF($K4335="","",IF(ISNUMBER(SEARCH("transfert-interne",IFERROR(INDEX('Paramètres'!$N:$N,MATCH($D4335,'Paramètres'!$M:$M,0))&amp;"",""))),0,IF($L4335="Débit",$K4335,IF($P4335=1,-$K4335,0))))</f>
        <v/>
      </c>
      <c r="R4335" s="6" t="str">
        <f>IF($K4335="","",IF($L4335="Crédit",$K4335,-$K4335))</f>
        <v/>
      </c>
      <c r="S4335" s="6" t="str">
        <f>IF($C4335="","",IFERROR(INDEX('Paramètres'!$H:$H,MATCH($C4335,'Paramètres'!$D:$D,0))&amp;"",""))</f>
        <v/>
      </c>
      <c r="T4335" s="6" t="str">
        <f>IF($K4335="","",IF($S4335="",0,IF(ISNUMBER(SEARCH("apport-exterieur",IFERROR(INDEX('Paramètres'!$N:$N,MATCH($D4335,'Paramètres'!$M:$M,0))&amp;"",""))),0,IF(OR(IFERROR(INDEX('Paramètres'!$I:$I,MATCH($C4335,'Paramètres'!$D:$D,0))&amp;"","")="Les deux",IFERROR(INDEX('Paramètres'!$I:$I,MATCH($C4335,'Paramètres'!$D:$D,0))&amp;"","")=IF($P4335=1,"Débit",$L4335)),-IF($P4335=1,-$K4335,$K4335),0))))</f>
        <v/>
      </c>
      <c r="U4335" s="6" t="str">
        <f>IF($K4335="","",IF(ISNUMBER(SEARCH("sortie-epargne",IFERROR(INDEX('Paramètres'!$N:$N,MATCH($D4335,'Paramètres'!$M:$M,0))&amp;"",""))),$K4335,0))</f>
        <v/>
      </c>
      <c r="V4335" s="6" t="str">
        <f>IF(AND($A4335&lt;&gt;"",$O4335=1,$L4335="Débit",N($Q4335)&gt;0,$A4335&gt;=Visualisation!$B$1,$A4335&lt;Visualisation!$D$1),MAX($V$1:V4334)+1,"")</f>
        <v/>
      </c>
    </row>
    <row r="4336" spans="1:22" x14ac:dyDescent="0.25">
      <c r="A4336" s="9"/>
      <c r="E4336" s="10"/>
      <c r="K4336" s="11" t="str">
        <f>IF($E4336="","",ROUND($E4336*IF(ISNA(MATCH($C4336,'Paramètres'!$D:$D,0)),1,IF(INDEX('Paramètres'!$J:$J,MATCH($C4336,'Paramètres'!$D:$D,0))="",1,INDEX('Paramètres'!$J:$J,MATCH($C4336,'Paramètres'!$D:$D,0)))),2))</f>
        <v/>
      </c>
      <c r="L4336" s="6" t="str">
        <f>IF($D4336="","",IF($F4336&lt;&gt;"",$F4336,IF(ISNA(MATCH($D4336,'Paramètres'!$M:$M,0)),"⚠ Type inconnu",IFERROR(INDEX('Paramètres'!$P:$P,MATCH($D4336,'Paramètres'!$M:$M,0))&amp;"",""))))</f>
        <v/>
      </c>
      <c r="M4336" s="6" t="str">
        <f>IF($D4336="","",IF(ISNA(MATCH($D4336,'Paramètres'!$M:$M,0)),"⚠ Type inconnu",IF($L4336="Crédit","",IFERROR(INDEX('Paramètres'!$O:$O,MATCH($D4336,'Paramètres'!$M:$M,0))&amp;"",""))))</f>
        <v/>
      </c>
      <c r="N4336" s="6" t="str">
        <f>IF($D4336="","",IFERROR(INDEX('Paramètres'!$Q:$Q,MATCH($D4336,'Paramètres'!$M:$M,0))&amp;"",""))</f>
        <v/>
      </c>
      <c r="O4336" s="6" t="str">
        <f>IF($A4336="","",IF(OR($J4336&lt;&gt;"x",$A4336&lt;=FinReleve),1,0))</f>
        <v/>
      </c>
      <c r="P4336" s="6" t="str">
        <f>IF($D4336="","",IF(AND($L4336="Crédit",OR(IFERROR(INDEX('Paramètres'!$O:$O,MATCH($D4336,'Paramètres'!$M:$M,0))&amp;"","")&lt;&gt;"",ISNUMBER(SEARCH("remboursement",IFERROR(INDEX('Paramètres'!$N:$N,MATCH($D4336,'Paramètres'!$M:$M,0))&amp;"",""))))),1,0))</f>
        <v/>
      </c>
      <c r="Q4336" s="6" t="str">
        <f>IF($K4336="","",IF(ISNUMBER(SEARCH("transfert-interne",IFERROR(INDEX('Paramètres'!$N:$N,MATCH($D4336,'Paramètres'!$M:$M,0))&amp;"",""))),0,IF($L4336="Débit",$K4336,IF($P4336=1,-$K4336,0))))</f>
        <v/>
      </c>
      <c r="R4336" s="6" t="str">
        <f>IF($K4336="","",IF($L4336="Crédit",$K4336,-$K4336))</f>
        <v/>
      </c>
      <c r="S4336" s="6" t="str">
        <f>IF($C4336="","",IFERROR(INDEX('Paramètres'!$H:$H,MATCH($C4336,'Paramètres'!$D:$D,0))&amp;"",""))</f>
        <v/>
      </c>
      <c r="T4336" s="6" t="str">
        <f>IF($K4336="","",IF($S4336="",0,IF(ISNUMBER(SEARCH("apport-exterieur",IFERROR(INDEX('Paramètres'!$N:$N,MATCH($D4336,'Paramètres'!$M:$M,0))&amp;"",""))),0,IF(OR(IFERROR(INDEX('Paramètres'!$I:$I,MATCH($C4336,'Paramètres'!$D:$D,0))&amp;"","")="Les deux",IFERROR(INDEX('Paramètres'!$I:$I,MATCH($C4336,'Paramètres'!$D:$D,0))&amp;"","")=IF($P4336=1,"Débit",$L4336)),-IF($P4336=1,-$K4336,$K4336),0))))</f>
        <v/>
      </c>
      <c r="U4336" s="6" t="str">
        <f>IF($K4336="","",IF(ISNUMBER(SEARCH("sortie-epargne",IFERROR(INDEX('Paramètres'!$N:$N,MATCH($D4336,'Paramètres'!$M:$M,0))&amp;"",""))),$K4336,0))</f>
        <v/>
      </c>
      <c r="V4336" s="6" t="str">
        <f>IF(AND($A4336&lt;&gt;"",$O4336=1,$L4336="Débit",N($Q4336)&gt;0,$A4336&gt;=Visualisation!$B$1,$A4336&lt;Visualisation!$D$1),MAX($V$1:V4335)+1,"")</f>
        <v/>
      </c>
    </row>
    <row r="4337" spans="1:22" x14ac:dyDescent="0.25">
      <c r="A4337" s="9"/>
      <c r="E4337" s="10"/>
      <c r="K4337" s="11" t="str">
        <f>IF($E4337="","",ROUND($E4337*IF(ISNA(MATCH($C4337,'Paramètres'!$D:$D,0)),1,IF(INDEX('Paramètres'!$J:$J,MATCH($C4337,'Paramètres'!$D:$D,0))="",1,INDEX('Paramètres'!$J:$J,MATCH($C4337,'Paramètres'!$D:$D,0)))),2))</f>
        <v/>
      </c>
      <c r="L4337" s="6" t="str">
        <f>IF($D4337="","",IF($F4337&lt;&gt;"",$F4337,IF(ISNA(MATCH($D4337,'Paramètres'!$M:$M,0)),"⚠ Type inconnu",IFERROR(INDEX('Paramètres'!$P:$P,MATCH($D4337,'Paramètres'!$M:$M,0))&amp;"",""))))</f>
        <v/>
      </c>
      <c r="M4337" s="6" t="str">
        <f>IF($D4337="","",IF(ISNA(MATCH($D4337,'Paramètres'!$M:$M,0)),"⚠ Type inconnu",IF($L4337="Crédit","",IFERROR(INDEX('Paramètres'!$O:$O,MATCH($D4337,'Paramètres'!$M:$M,0))&amp;"",""))))</f>
        <v/>
      </c>
      <c r="N4337" s="6" t="str">
        <f>IF($D4337="","",IFERROR(INDEX('Paramètres'!$Q:$Q,MATCH($D4337,'Paramètres'!$M:$M,0))&amp;"",""))</f>
        <v/>
      </c>
      <c r="O4337" s="6" t="str">
        <f>IF($A4337="","",IF(OR($J4337&lt;&gt;"x",$A4337&lt;=FinReleve),1,0))</f>
        <v/>
      </c>
      <c r="P4337" s="6" t="str">
        <f>IF($D4337="","",IF(AND($L4337="Crédit",OR(IFERROR(INDEX('Paramètres'!$O:$O,MATCH($D4337,'Paramètres'!$M:$M,0))&amp;"","")&lt;&gt;"",ISNUMBER(SEARCH("remboursement",IFERROR(INDEX('Paramètres'!$N:$N,MATCH($D4337,'Paramètres'!$M:$M,0))&amp;"",""))))),1,0))</f>
        <v/>
      </c>
      <c r="Q4337" s="6" t="str">
        <f>IF($K4337="","",IF(ISNUMBER(SEARCH("transfert-interne",IFERROR(INDEX('Paramètres'!$N:$N,MATCH($D4337,'Paramètres'!$M:$M,0))&amp;"",""))),0,IF($L4337="Débit",$K4337,IF($P4337=1,-$K4337,0))))</f>
        <v/>
      </c>
      <c r="R4337" s="6" t="str">
        <f>IF($K4337="","",IF($L4337="Crédit",$K4337,-$K4337))</f>
        <v/>
      </c>
      <c r="S4337" s="6" t="str">
        <f>IF($C4337="","",IFERROR(INDEX('Paramètres'!$H:$H,MATCH($C4337,'Paramètres'!$D:$D,0))&amp;"",""))</f>
        <v/>
      </c>
      <c r="T4337" s="6" t="str">
        <f>IF($K4337="","",IF($S4337="",0,IF(ISNUMBER(SEARCH("apport-exterieur",IFERROR(INDEX('Paramètres'!$N:$N,MATCH($D4337,'Paramètres'!$M:$M,0))&amp;"",""))),0,IF(OR(IFERROR(INDEX('Paramètres'!$I:$I,MATCH($C4337,'Paramètres'!$D:$D,0))&amp;"","")="Les deux",IFERROR(INDEX('Paramètres'!$I:$I,MATCH($C4337,'Paramètres'!$D:$D,0))&amp;"","")=IF($P4337=1,"Débit",$L4337)),-IF($P4337=1,-$K4337,$K4337),0))))</f>
        <v/>
      </c>
      <c r="U4337" s="6" t="str">
        <f>IF($K4337="","",IF(ISNUMBER(SEARCH("sortie-epargne",IFERROR(INDEX('Paramètres'!$N:$N,MATCH($D4337,'Paramètres'!$M:$M,0))&amp;"",""))),$K4337,0))</f>
        <v/>
      </c>
      <c r="V4337" s="6" t="str">
        <f>IF(AND($A4337&lt;&gt;"",$O4337=1,$L4337="Débit",N($Q4337)&gt;0,$A4337&gt;=Visualisation!$B$1,$A4337&lt;Visualisation!$D$1),MAX($V$1:V4336)+1,"")</f>
        <v/>
      </c>
    </row>
    <row r="4338" spans="1:22" x14ac:dyDescent="0.25">
      <c r="A4338" s="9"/>
      <c r="E4338" s="10"/>
      <c r="K4338" s="11" t="str">
        <f>IF($E4338="","",ROUND($E4338*IF(ISNA(MATCH($C4338,'Paramètres'!$D:$D,0)),1,IF(INDEX('Paramètres'!$J:$J,MATCH($C4338,'Paramètres'!$D:$D,0))="",1,INDEX('Paramètres'!$J:$J,MATCH($C4338,'Paramètres'!$D:$D,0)))),2))</f>
        <v/>
      </c>
      <c r="L4338" s="6" t="str">
        <f>IF($D4338="","",IF($F4338&lt;&gt;"",$F4338,IF(ISNA(MATCH($D4338,'Paramètres'!$M:$M,0)),"⚠ Type inconnu",IFERROR(INDEX('Paramètres'!$P:$P,MATCH($D4338,'Paramètres'!$M:$M,0))&amp;"",""))))</f>
        <v/>
      </c>
      <c r="M4338" s="6" t="str">
        <f>IF($D4338="","",IF(ISNA(MATCH($D4338,'Paramètres'!$M:$M,0)),"⚠ Type inconnu",IF($L4338="Crédit","",IFERROR(INDEX('Paramètres'!$O:$O,MATCH($D4338,'Paramètres'!$M:$M,0))&amp;"",""))))</f>
        <v/>
      </c>
      <c r="N4338" s="6" t="str">
        <f>IF($D4338="","",IFERROR(INDEX('Paramètres'!$Q:$Q,MATCH($D4338,'Paramètres'!$M:$M,0))&amp;"",""))</f>
        <v/>
      </c>
      <c r="O4338" s="6" t="str">
        <f>IF($A4338="","",IF(OR($J4338&lt;&gt;"x",$A4338&lt;=FinReleve),1,0))</f>
        <v/>
      </c>
      <c r="P4338" s="6" t="str">
        <f>IF($D4338="","",IF(AND($L4338="Crédit",OR(IFERROR(INDEX('Paramètres'!$O:$O,MATCH($D4338,'Paramètres'!$M:$M,0))&amp;"","")&lt;&gt;"",ISNUMBER(SEARCH("remboursement",IFERROR(INDEX('Paramètres'!$N:$N,MATCH($D4338,'Paramètres'!$M:$M,0))&amp;"",""))))),1,0))</f>
        <v/>
      </c>
      <c r="Q4338" s="6" t="str">
        <f>IF($K4338="","",IF(ISNUMBER(SEARCH("transfert-interne",IFERROR(INDEX('Paramètres'!$N:$N,MATCH($D4338,'Paramètres'!$M:$M,0))&amp;"",""))),0,IF($L4338="Débit",$K4338,IF($P4338=1,-$K4338,0))))</f>
        <v/>
      </c>
      <c r="R4338" s="6" t="str">
        <f>IF($K4338="","",IF($L4338="Crédit",$K4338,-$K4338))</f>
        <v/>
      </c>
      <c r="S4338" s="6" t="str">
        <f>IF($C4338="","",IFERROR(INDEX('Paramètres'!$H:$H,MATCH($C4338,'Paramètres'!$D:$D,0))&amp;"",""))</f>
        <v/>
      </c>
      <c r="T4338" s="6" t="str">
        <f>IF($K4338="","",IF($S4338="",0,IF(ISNUMBER(SEARCH("apport-exterieur",IFERROR(INDEX('Paramètres'!$N:$N,MATCH($D4338,'Paramètres'!$M:$M,0))&amp;"",""))),0,IF(OR(IFERROR(INDEX('Paramètres'!$I:$I,MATCH($C4338,'Paramètres'!$D:$D,0))&amp;"","")="Les deux",IFERROR(INDEX('Paramètres'!$I:$I,MATCH($C4338,'Paramètres'!$D:$D,0))&amp;"","")=IF($P4338=1,"Débit",$L4338)),-IF($P4338=1,-$K4338,$K4338),0))))</f>
        <v/>
      </c>
      <c r="U4338" s="6" t="str">
        <f>IF($K4338="","",IF(ISNUMBER(SEARCH("sortie-epargne",IFERROR(INDEX('Paramètres'!$N:$N,MATCH($D4338,'Paramètres'!$M:$M,0))&amp;"",""))),$K4338,0))</f>
        <v/>
      </c>
      <c r="V4338" s="6" t="str">
        <f>IF(AND($A4338&lt;&gt;"",$O4338=1,$L4338="Débit",N($Q4338)&gt;0,$A4338&gt;=Visualisation!$B$1,$A4338&lt;Visualisation!$D$1),MAX($V$1:V4337)+1,"")</f>
        <v/>
      </c>
    </row>
    <row r="4339" spans="1:22" x14ac:dyDescent="0.25">
      <c r="A4339" s="9"/>
      <c r="E4339" s="10"/>
      <c r="K4339" s="11" t="str">
        <f>IF($E4339="","",ROUND($E4339*IF(ISNA(MATCH($C4339,'Paramètres'!$D:$D,0)),1,IF(INDEX('Paramètres'!$J:$J,MATCH($C4339,'Paramètres'!$D:$D,0))="",1,INDEX('Paramètres'!$J:$J,MATCH($C4339,'Paramètres'!$D:$D,0)))),2))</f>
        <v/>
      </c>
      <c r="L4339" s="6" t="str">
        <f>IF($D4339="","",IF($F4339&lt;&gt;"",$F4339,IF(ISNA(MATCH($D4339,'Paramètres'!$M:$M,0)),"⚠ Type inconnu",IFERROR(INDEX('Paramètres'!$P:$P,MATCH($D4339,'Paramètres'!$M:$M,0))&amp;"",""))))</f>
        <v/>
      </c>
      <c r="M4339" s="6" t="str">
        <f>IF($D4339="","",IF(ISNA(MATCH($D4339,'Paramètres'!$M:$M,0)),"⚠ Type inconnu",IF($L4339="Crédit","",IFERROR(INDEX('Paramètres'!$O:$O,MATCH($D4339,'Paramètres'!$M:$M,0))&amp;"",""))))</f>
        <v/>
      </c>
      <c r="N4339" s="6" t="str">
        <f>IF($D4339="","",IFERROR(INDEX('Paramètres'!$Q:$Q,MATCH($D4339,'Paramètres'!$M:$M,0))&amp;"",""))</f>
        <v/>
      </c>
      <c r="O4339" s="6" t="str">
        <f>IF($A4339="","",IF(OR($J4339&lt;&gt;"x",$A4339&lt;=FinReleve),1,0))</f>
        <v/>
      </c>
      <c r="P4339" s="6" t="str">
        <f>IF($D4339="","",IF(AND($L4339="Crédit",OR(IFERROR(INDEX('Paramètres'!$O:$O,MATCH($D4339,'Paramètres'!$M:$M,0))&amp;"","")&lt;&gt;"",ISNUMBER(SEARCH("remboursement",IFERROR(INDEX('Paramètres'!$N:$N,MATCH($D4339,'Paramètres'!$M:$M,0))&amp;"",""))))),1,0))</f>
        <v/>
      </c>
      <c r="Q4339" s="6" t="str">
        <f>IF($K4339="","",IF(ISNUMBER(SEARCH("transfert-interne",IFERROR(INDEX('Paramètres'!$N:$N,MATCH($D4339,'Paramètres'!$M:$M,0))&amp;"",""))),0,IF($L4339="Débit",$K4339,IF($P4339=1,-$K4339,0))))</f>
        <v/>
      </c>
      <c r="R4339" s="6" t="str">
        <f>IF($K4339="","",IF($L4339="Crédit",$K4339,-$K4339))</f>
        <v/>
      </c>
      <c r="S4339" s="6" t="str">
        <f>IF($C4339="","",IFERROR(INDEX('Paramètres'!$H:$H,MATCH($C4339,'Paramètres'!$D:$D,0))&amp;"",""))</f>
        <v/>
      </c>
      <c r="T4339" s="6" t="str">
        <f>IF($K4339="","",IF($S4339="",0,IF(ISNUMBER(SEARCH("apport-exterieur",IFERROR(INDEX('Paramètres'!$N:$N,MATCH($D4339,'Paramètres'!$M:$M,0))&amp;"",""))),0,IF(OR(IFERROR(INDEX('Paramètres'!$I:$I,MATCH($C4339,'Paramètres'!$D:$D,0))&amp;"","")="Les deux",IFERROR(INDEX('Paramètres'!$I:$I,MATCH($C4339,'Paramètres'!$D:$D,0))&amp;"","")=IF($P4339=1,"Débit",$L4339)),-IF($P4339=1,-$K4339,$K4339),0))))</f>
        <v/>
      </c>
      <c r="U4339" s="6" t="str">
        <f>IF($K4339="","",IF(ISNUMBER(SEARCH("sortie-epargne",IFERROR(INDEX('Paramètres'!$N:$N,MATCH($D4339,'Paramètres'!$M:$M,0))&amp;"",""))),$K4339,0))</f>
        <v/>
      </c>
      <c r="V4339" s="6" t="str">
        <f>IF(AND($A4339&lt;&gt;"",$O4339=1,$L4339="Débit",N($Q4339)&gt;0,$A4339&gt;=Visualisation!$B$1,$A4339&lt;Visualisation!$D$1),MAX($V$1:V4338)+1,"")</f>
        <v/>
      </c>
    </row>
    <row r="4340" spans="1:22" x14ac:dyDescent="0.25">
      <c r="A4340" s="9"/>
      <c r="E4340" s="10"/>
      <c r="K4340" s="11" t="str">
        <f>IF($E4340="","",ROUND($E4340*IF(ISNA(MATCH($C4340,'Paramètres'!$D:$D,0)),1,IF(INDEX('Paramètres'!$J:$J,MATCH($C4340,'Paramètres'!$D:$D,0))="",1,INDEX('Paramètres'!$J:$J,MATCH($C4340,'Paramètres'!$D:$D,0)))),2))</f>
        <v/>
      </c>
      <c r="L4340" s="6" t="str">
        <f>IF($D4340="","",IF($F4340&lt;&gt;"",$F4340,IF(ISNA(MATCH($D4340,'Paramètres'!$M:$M,0)),"⚠ Type inconnu",IFERROR(INDEX('Paramètres'!$P:$P,MATCH($D4340,'Paramètres'!$M:$M,0))&amp;"",""))))</f>
        <v/>
      </c>
      <c r="M4340" s="6" t="str">
        <f>IF($D4340="","",IF(ISNA(MATCH($D4340,'Paramètres'!$M:$M,0)),"⚠ Type inconnu",IF($L4340="Crédit","",IFERROR(INDEX('Paramètres'!$O:$O,MATCH($D4340,'Paramètres'!$M:$M,0))&amp;"",""))))</f>
        <v/>
      </c>
      <c r="N4340" s="6" t="str">
        <f>IF($D4340="","",IFERROR(INDEX('Paramètres'!$Q:$Q,MATCH($D4340,'Paramètres'!$M:$M,0))&amp;"",""))</f>
        <v/>
      </c>
      <c r="O4340" s="6" t="str">
        <f>IF($A4340="","",IF(OR($J4340&lt;&gt;"x",$A4340&lt;=FinReleve),1,0))</f>
        <v/>
      </c>
      <c r="P4340" s="6" t="str">
        <f>IF($D4340="","",IF(AND($L4340="Crédit",OR(IFERROR(INDEX('Paramètres'!$O:$O,MATCH($D4340,'Paramètres'!$M:$M,0))&amp;"","")&lt;&gt;"",ISNUMBER(SEARCH("remboursement",IFERROR(INDEX('Paramètres'!$N:$N,MATCH($D4340,'Paramètres'!$M:$M,0))&amp;"",""))))),1,0))</f>
        <v/>
      </c>
      <c r="Q4340" s="6" t="str">
        <f>IF($K4340="","",IF(ISNUMBER(SEARCH("transfert-interne",IFERROR(INDEX('Paramètres'!$N:$N,MATCH($D4340,'Paramètres'!$M:$M,0))&amp;"",""))),0,IF($L4340="Débit",$K4340,IF($P4340=1,-$K4340,0))))</f>
        <v/>
      </c>
      <c r="R4340" s="6" t="str">
        <f>IF($K4340="","",IF($L4340="Crédit",$K4340,-$K4340))</f>
        <v/>
      </c>
      <c r="S4340" s="6" t="str">
        <f>IF($C4340="","",IFERROR(INDEX('Paramètres'!$H:$H,MATCH($C4340,'Paramètres'!$D:$D,0))&amp;"",""))</f>
        <v/>
      </c>
      <c r="T4340" s="6" t="str">
        <f>IF($K4340="","",IF($S4340="",0,IF(ISNUMBER(SEARCH("apport-exterieur",IFERROR(INDEX('Paramètres'!$N:$N,MATCH($D4340,'Paramètres'!$M:$M,0))&amp;"",""))),0,IF(OR(IFERROR(INDEX('Paramètres'!$I:$I,MATCH($C4340,'Paramètres'!$D:$D,0))&amp;"","")="Les deux",IFERROR(INDEX('Paramètres'!$I:$I,MATCH($C4340,'Paramètres'!$D:$D,0))&amp;"","")=IF($P4340=1,"Débit",$L4340)),-IF($P4340=1,-$K4340,$K4340),0))))</f>
        <v/>
      </c>
      <c r="U4340" s="6" t="str">
        <f>IF($K4340="","",IF(ISNUMBER(SEARCH("sortie-epargne",IFERROR(INDEX('Paramètres'!$N:$N,MATCH($D4340,'Paramètres'!$M:$M,0))&amp;"",""))),$K4340,0))</f>
        <v/>
      </c>
      <c r="V4340" s="6" t="str">
        <f>IF(AND($A4340&lt;&gt;"",$O4340=1,$L4340="Débit",N($Q4340)&gt;0,$A4340&gt;=Visualisation!$B$1,$A4340&lt;Visualisation!$D$1),MAX($V$1:V4339)+1,"")</f>
        <v/>
      </c>
    </row>
    <row r="4341" spans="1:22" x14ac:dyDescent="0.25">
      <c r="A4341" s="9"/>
      <c r="E4341" s="10"/>
      <c r="K4341" s="11" t="str">
        <f>IF($E4341="","",ROUND($E4341*IF(ISNA(MATCH($C4341,'Paramètres'!$D:$D,0)),1,IF(INDEX('Paramètres'!$J:$J,MATCH($C4341,'Paramètres'!$D:$D,0))="",1,INDEX('Paramètres'!$J:$J,MATCH($C4341,'Paramètres'!$D:$D,0)))),2))</f>
        <v/>
      </c>
      <c r="L4341" s="6" t="str">
        <f>IF($D4341="","",IF($F4341&lt;&gt;"",$F4341,IF(ISNA(MATCH($D4341,'Paramètres'!$M:$M,0)),"⚠ Type inconnu",IFERROR(INDEX('Paramètres'!$P:$P,MATCH($D4341,'Paramètres'!$M:$M,0))&amp;"",""))))</f>
        <v/>
      </c>
      <c r="M4341" s="6" t="str">
        <f>IF($D4341="","",IF(ISNA(MATCH($D4341,'Paramètres'!$M:$M,0)),"⚠ Type inconnu",IF($L4341="Crédit","",IFERROR(INDEX('Paramètres'!$O:$O,MATCH($D4341,'Paramètres'!$M:$M,0))&amp;"",""))))</f>
        <v/>
      </c>
      <c r="N4341" s="6" t="str">
        <f>IF($D4341="","",IFERROR(INDEX('Paramètres'!$Q:$Q,MATCH($D4341,'Paramètres'!$M:$M,0))&amp;"",""))</f>
        <v/>
      </c>
      <c r="O4341" s="6" t="str">
        <f>IF($A4341="","",IF(OR($J4341&lt;&gt;"x",$A4341&lt;=FinReleve),1,0))</f>
        <v/>
      </c>
      <c r="P4341" s="6" t="str">
        <f>IF($D4341="","",IF(AND($L4341="Crédit",OR(IFERROR(INDEX('Paramètres'!$O:$O,MATCH($D4341,'Paramètres'!$M:$M,0))&amp;"","")&lt;&gt;"",ISNUMBER(SEARCH("remboursement",IFERROR(INDEX('Paramètres'!$N:$N,MATCH($D4341,'Paramètres'!$M:$M,0))&amp;"",""))))),1,0))</f>
        <v/>
      </c>
      <c r="Q4341" s="6" t="str">
        <f>IF($K4341="","",IF(ISNUMBER(SEARCH("transfert-interne",IFERROR(INDEX('Paramètres'!$N:$N,MATCH($D4341,'Paramètres'!$M:$M,0))&amp;"",""))),0,IF($L4341="Débit",$K4341,IF($P4341=1,-$K4341,0))))</f>
        <v/>
      </c>
      <c r="R4341" s="6" t="str">
        <f>IF($K4341="","",IF($L4341="Crédit",$K4341,-$K4341))</f>
        <v/>
      </c>
      <c r="S4341" s="6" t="str">
        <f>IF($C4341="","",IFERROR(INDEX('Paramètres'!$H:$H,MATCH($C4341,'Paramètres'!$D:$D,0))&amp;"",""))</f>
        <v/>
      </c>
      <c r="T4341" s="6" t="str">
        <f>IF($K4341="","",IF($S4341="",0,IF(ISNUMBER(SEARCH("apport-exterieur",IFERROR(INDEX('Paramètres'!$N:$N,MATCH($D4341,'Paramètres'!$M:$M,0))&amp;"",""))),0,IF(OR(IFERROR(INDEX('Paramètres'!$I:$I,MATCH($C4341,'Paramètres'!$D:$D,0))&amp;"","")="Les deux",IFERROR(INDEX('Paramètres'!$I:$I,MATCH($C4341,'Paramètres'!$D:$D,0))&amp;"","")=IF($P4341=1,"Débit",$L4341)),-IF($P4341=1,-$K4341,$K4341),0))))</f>
        <v/>
      </c>
      <c r="U4341" s="6" t="str">
        <f>IF($K4341="","",IF(ISNUMBER(SEARCH("sortie-epargne",IFERROR(INDEX('Paramètres'!$N:$N,MATCH($D4341,'Paramètres'!$M:$M,0))&amp;"",""))),$K4341,0))</f>
        <v/>
      </c>
      <c r="V4341" s="6" t="str">
        <f>IF(AND($A4341&lt;&gt;"",$O4341=1,$L4341="Débit",N($Q4341)&gt;0,$A4341&gt;=Visualisation!$B$1,$A4341&lt;Visualisation!$D$1),MAX($V$1:V4340)+1,"")</f>
        <v/>
      </c>
    </row>
    <row r="4342" spans="1:22" x14ac:dyDescent="0.25">
      <c r="A4342" s="9"/>
      <c r="E4342" s="10"/>
      <c r="K4342" s="11" t="str">
        <f>IF($E4342="","",ROUND($E4342*IF(ISNA(MATCH($C4342,'Paramètres'!$D:$D,0)),1,IF(INDEX('Paramètres'!$J:$J,MATCH($C4342,'Paramètres'!$D:$D,0))="",1,INDEX('Paramètres'!$J:$J,MATCH($C4342,'Paramètres'!$D:$D,0)))),2))</f>
        <v/>
      </c>
      <c r="L4342" s="6" t="str">
        <f>IF($D4342="","",IF($F4342&lt;&gt;"",$F4342,IF(ISNA(MATCH($D4342,'Paramètres'!$M:$M,0)),"⚠ Type inconnu",IFERROR(INDEX('Paramètres'!$P:$P,MATCH($D4342,'Paramètres'!$M:$M,0))&amp;"",""))))</f>
        <v/>
      </c>
      <c r="M4342" s="6" t="str">
        <f>IF($D4342="","",IF(ISNA(MATCH($D4342,'Paramètres'!$M:$M,0)),"⚠ Type inconnu",IF($L4342="Crédit","",IFERROR(INDEX('Paramètres'!$O:$O,MATCH($D4342,'Paramètres'!$M:$M,0))&amp;"",""))))</f>
        <v/>
      </c>
      <c r="N4342" s="6" t="str">
        <f>IF($D4342="","",IFERROR(INDEX('Paramètres'!$Q:$Q,MATCH($D4342,'Paramètres'!$M:$M,0))&amp;"",""))</f>
        <v/>
      </c>
      <c r="O4342" s="6" t="str">
        <f>IF($A4342="","",IF(OR($J4342&lt;&gt;"x",$A4342&lt;=FinReleve),1,0))</f>
        <v/>
      </c>
      <c r="P4342" s="6" t="str">
        <f>IF($D4342="","",IF(AND($L4342="Crédit",OR(IFERROR(INDEX('Paramètres'!$O:$O,MATCH($D4342,'Paramètres'!$M:$M,0))&amp;"","")&lt;&gt;"",ISNUMBER(SEARCH("remboursement",IFERROR(INDEX('Paramètres'!$N:$N,MATCH($D4342,'Paramètres'!$M:$M,0))&amp;"",""))))),1,0))</f>
        <v/>
      </c>
      <c r="Q4342" s="6" t="str">
        <f>IF($K4342="","",IF(ISNUMBER(SEARCH("transfert-interne",IFERROR(INDEX('Paramètres'!$N:$N,MATCH($D4342,'Paramètres'!$M:$M,0))&amp;"",""))),0,IF($L4342="Débit",$K4342,IF($P4342=1,-$K4342,0))))</f>
        <v/>
      </c>
      <c r="R4342" s="6" t="str">
        <f>IF($K4342="","",IF($L4342="Crédit",$K4342,-$K4342))</f>
        <v/>
      </c>
      <c r="S4342" s="6" t="str">
        <f>IF($C4342="","",IFERROR(INDEX('Paramètres'!$H:$H,MATCH($C4342,'Paramètres'!$D:$D,0))&amp;"",""))</f>
        <v/>
      </c>
      <c r="T4342" s="6" t="str">
        <f>IF($K4342="","",IF($S4342="",0,IF(ISNUMBER(SEARCH("apport-exterieur",IFERROR(INDEX('Paramètres'!$N:$N,MATCH($D4342,'Paramètres'!$M:$M,0))&amp;"",""))),0,IF(OR(IFERROR(INDEX('Paramètres'!$I:$I,MATCH($C4342,'Paramètres'!$D:$D,0))&amp;"","")="Les deux",IFERROR(INDEX('Paramètres'!$I:$I,MATCH($C4342,'Paramètres'!$D:$D,0))&amp;"","")=IF($P4342=1,"Débit",$L4342)),-IF($P4342=1,-$K4342,$K4342),0))))</f>
        <v/>
      </c>
      <c r="U4342" s="6" t="str">
        <f>IF($K4342="","",IF(ISNUMBER(SEARCH("sortie-epargne",IFERROR(INDEX('Paramètres'!$N:$N,MATCH($D4342,'Paramètres'!$M:$M,0))&amp;"",""))),$K4342,0))</f>
        <v/>
      </c>
      <c r="V4342" s="6" t="str">
        <f>IF(AND($A4342&lt;&gt;"",$O4342=1,$L4342="Débit",N($Q4342)&gt;0,$A4342&gt;=Visualisation!$B$1,$A4342&lt;Visualisation!$D$1),MAX($V$1:V4341)+1,"")</f>
        <v/>
      </c>
    </row>
    <row r="4343" spans="1:22" x14ac:dyDescent="0.25">
      <c r="A4343" s="9"/>
      <c r="E4343" s="10"/>
      <c r="K4343" s="11" t="str">
        <f>IF($E4343="","",ROUND($E4343*IF(ISNA(MATCH($C4343,'Paramètres'!$D:$D,0)),1,IF(INDEX('Paramètres'!$J:$J,MATCH($C4343,'Paramètres'!$D:$D,0))="",1,INDEX('Paramètres'!$J:$J,MATCH($C4343,'Paramètres'!$D:$D,0)))),2))</f>
        <v/>
      </c>
      <c r="L4343" s="6" t="str">
        <f>IF($D4343="","",IF($F4343&lt;&gt;"",$F4343,IF(ISNA(MATCH($D4343,'Paramètres'!$M:$M,0)),"⚠ Type inconnu",IFERROR(INDEX('Paramètres'!$P:$P,MATCH($D4343,'Paramètres'!$M:$M,0))&amp;"",""))))</f>
        <v/>
      </c>
      <c r="M4343" s="6" t="str">
        <f>IF($D4343="","",IF(ISNA(MATCH($D4343,'Paramètres'!$M:$M,0)),"⚠ Type inconnu",IF($L4343="Crédit","",IFERROR(INDEX('Paramètres'!$O:$O,MATCH($D4343,'Paramètres'!$M:$M,0))&amp;"",""))))</f>
        <v/>
      </c>
      <c r="N4343" s="6" t="str">
        <f>IF($D4343="","",IFERROR(INDEX('Paramètres'!$Q:$Q,MATCH($D4343,'Paramètres'!$M:$M,0))&amp;"",""))</f>
        <v/>
      </c>
      <c r="O4343" s="6" t="str">
        <f>IF($A4343="","",IF(OR($J4343&lt;&gt;"x",$A4343&lt;=FinReleve),1,0))</f>
        <v/>
      </c>
      <c r="P4343" s="6" t="str">
        <f>IF($D4343="","",IF(AND($L4343="Crédit",OR(IFERROR(INDEX('Paramètres'!$O:$O,MATCH($D4343,'Paramètres'!$M:$M,0))&amp;"","")&lt;&gt;"",ISNUMBER(SEARCH("remboursement",IFERROR(INDEX('Paramètres'!$N:$N,MATCH($D4343,'Paramètres'!$M:$M,0))&amp;"",""))))),1,0))</f>
        <v/>
      </c>
      <c r="Q4343" s="6" t="str">
        <f>IF($K4343="","",IF(ISNUMBER(SEARCH("transfert-interne",IFERROR(INDEX('Paramètres'!$N:$N,MATCH($D4343,'Paramètres'!$M:$M,0))&amp;"",""))),0,IF($L4343="Débit",$K4343,IF($P4343=1,-$K4343,0))))</f>
        <v/>
      </c>
      <c r="R4343" s="6" t="str">
        <f>IF($K4343="","",IF($L4343="Crédit",$K4343,-$K4343))</f>
        <v/>
      </c>
      <c r="S4343" s="6" t="str">
        <f>IF($C4343="","",IFERROR(INDEX('Paramètres'!$H:$H,MATCH($C4343,'Paramètres'!$D:$D,0))&amp;"",""))</f>
        <v/>
      </c>
      <c r="T4343" s="6" t="str">
        <f>IF($K4343="","",IF($S4343="",0,IF(ISNUMBER(SEARCH("apport-exterieur",IFERROR(INDEX('Paramètres'!$N:$N,MATCH($D4343,'Paramètres'!$M:$M,0))&amp;"",""))),0,IF(OR(IFERROR(INDEX('Paramètres'!$I:$I,MATCH($C4343,'Paramètres'!$D:$D,0))&amp;"","")="Les deux",IFERROR(INDEX('Paramètres'!$I:$I,MATCH($C4343,'Paramètres'!$D:$D,0))&amp;"","")=IF($P4343=1,"Débit",$L4343)),-IF($P4343=1,-$K4343,$K4343),0))))</f>
        <v/>
      </c>
      <c r="U4343" s="6" t="str">
        <f>IF($K4343="","",IF(ISNUMBER(SEARCH("sortie-epargne",IFERROR(INDEX('Paramètres'!$N:$N,MATCH($D4343,'Paramètres'!$M:$M,0))&amp;"",""))),$K4343,0))</f>
        <v/>
      </c>
      <c r="V4343" s="6" t="str">
        <f>IF(AND($A4343&lt;&gt;"",$O4343=1,$L4343="Débit",N($Q4343)&gt;0,$A4343&gt;=Visualisation!$B$1,$A4343&lt;Visualisation!$D$1),MAX($V$1:V4342)+1,"")</f>
        <v/>
      </c>
    </row>
    <row r="4344" spans="1:22" x14ac:dyDescent="0.25">
      <c r="A4344" s="9"/>
      <c r="E4344" s="10"/>
      <c r="K4344" s="11" t="str">
        <f>IF($E4344="","",ROUND($E4344*IF(ISNA(MATCH($C4344,'Paramètres'!$D:$D,0)),1,IF(INDEX('Paramètres'!$J:$J,MATCH($C4344,'Paramètres'!$D:$D,0))="",1,INDEX('Paramètres'!$J:$J,MATCH($C4344,'Paramètres'!$D:$D,0)))),2))</f>
        <v/>
      </c>
      <c r="L4344" s="6" t="str">
        <f>IF($D4344="","",IF($F4344&lt;&gt;"",$F4344,IF(ISNA(MATCH($D4344,'Paramètres'!$M:$M,0)),"⚠ Type inconnu",IFERROR(INDEX('Paramètres'!$P:$P,MATCH($D4344,'Paramètres'!$M:$M,0))&amp;"",""))))</f>
        <v/>
      </c>
      <c r="M4344" s="6" t="str">
        <f>IF($D4344="","",IF(ISNA(MATCH($D4344,'Paramètres'!$M:$M,0)),"⚠ Type inconnu",IF($L4344="Crédit","",IFERROR(INDEX('Paramètres'!$O:$O,MATCH($D4344,'Paramètres'!$M:$M,0))&amp;"",""))))</f>
        <v/>
      </c>
      <c r="N4344" s="6" t="str">
        <f>IF($D4344="","",IFERROR(INDEX('Paramètres'!$Q:$Q,MATCH($D4344,'Paramètres'!$M:$M,0))&amp;"",""))</f>
        <v/>
      </c>
      <c r="O4344" s="6" t="str">
        <f>IF($A4344="","",IF(OR($J4344&lt;&gt;"x",$A4344&lt;=FinReleve),1,0))</f>
        <v/>
      </c>
      <c r="P4344" s="6" t="str">
        <f>IF($D4344="","",IF(AND($L4344="Crédit",OR(IFERROR(INDEX('Paramètres'!$O:$O,MATCH($D4344,'Paramètres'!$M:$M,0))&amp;"","")&lt;&gt;"",ISNUMBER(SEARCH("remboursement",IFERROR(INDEX('Paramètres'!$N:$N,MATCH($D4344,'Paramètres'!$M:$M,0))&amp;"",""))))),1,0))</f>
        <v/>
      </c>
      <c r="Q4344" s="6" t="str">
        <f>IF($K4344="","",IF(ISNUMBER(SEARCH("transfert-interne",IFERROR(INDEX('Paramètres'!$N:$N,MATCH($D4344,'Paramètres'!$M:$M,0))&amp;"",""))),0,IF($L4344="Débit",$K4344,IF($P4344=1,-$K4344,0))))</f>
        <v/>
      </c>
      <c r="R4344" s="6" t="str">
        <f>IF($K4344="","",IF($L4344="Crédit",$K4344,-$K4344))</f>
        <v/>
      </c>
      <c r="S4344" s="6" t="str">
        <f>IF($C4344="","",IFERROR(INDEX('Paramètres'!$H:$H,MATCH($C4344,'Paramètres'!$D:$D,0))&amp;"",""))</f>
        <v/>
      </c>
      <c r="T4344" s="6" t="str">
        <f>IF($K4344="","",IF($S4344="",0,IF(ISNUMBER(SEARCH("apport-exterieur",IFERROR(INDEX('Paramètres'!$N:$N,MATCH($D4344,'Paramètres'!$M:$M,0))&amp;"",""))),0,IF(OR(IFERROR(INDEX('Paramètres'!$I:$I,MATCH($C4344,'Paramètres'!$D:$D,0))&amp;"","")="Les deux",IFERROR(INDEX('Paramètres'!$I:$I,MATCH($C4344,'Paramètres'!$D:$D,0))&amp;"","")=IF($P4344=1,"Débit",$L4344)),-IF($P4344=1,-$K4344,$K4344),0))))</f>
        <v/>
      </c>
      <c r="U4344" s="6" t="str">
        <f>IF($K4344="","",IF(ISNUMBER(SEARCH("sortie-epargne",IFERROR(INDEX('Paramètres'!$N:$N,MATCH($D4344,'Paramètres'!$M:$M,0))&amp;"",""))),$K4344,0))</f>
        <v/>
      </c>
      <c r="V4344" s="6" t="str">
        <f>IF(AND($A4344&lt;&gt;"",$O4344=1,$L4344="Débit",N($Q4344)&gt;0,$A4344&gt;=Visualisation!$B$1,$A4344&lt;Visualisation!$D$1),MAX($V$1:V4343)+1,"")</f>
        <v/>
      </c>
    </row>
    <row r="4345" spans="1:22" x14ac:dyDescent="0.25">
      <c r="A4345" s="9"/>
      <c r="E4345" s="10"/>
      <c r="K4345" s="11" t="str">
        <f>IF($E4345="","",ROUND($E4345*IF(ISNA(MATCH($C4345,'Paramètres'!$D:$D,0)),1,IF(INDEX('Paramètres'!$J:$J,MATCH($C4345,'Paramètres'!$D:$D,0))="",1,INDEX('Paramètres'!$J:$J,MATCH($C4345,'Paramètres'!$D:$D,0)))),2))</f>
        <v/>
      </c>
      <c r="L4345" s="6" t="str">
        <f>IF($D4345="","",IF($F4345&lt;&gt;"",$F4345,IF(ISNA(MATCH($D4345,'Paramètres'!$M:$M,0)),"⚠ Type inconnu",IFERROR(INDEX('Paramètres'!$P:$P,MATCH($D4345,'Paramètres'!$M:$M,0))&amp;"",""))))</f>
        <v/>
      </c>
      <c r="M4345" s="6" t="str">
        <f>IF($D4345="","",IF(ISNA(MATCH($D4345,'Paramètres'!$M:$M,0)),"⚠ Type inconnu",IF($L4345="Crédit","",IFERROR(INDEX('Paramètres'!$O:$O,MATCH($D4345,'Paramètres'!$M:$M,0))&amp;"",""))))</f>
        <v/>
      </c>
      <c r="N4345" s="6" t="str">
        <f>IF($D4345="","",IFERROR(INDEX('Paramètres'!$Q:$Q,MATCH($D4345,'Paramètres'!$M:$M,0))&amp;"",""))</f>
        <v/>
      </c>
      <c r="O4345" s="6" t="str">
        <f>IF($A4345="","",IF(OR($J4345&lt;&gt;"x",$A4345&lt;=FinReleve),1,0))</f>
        <v/>
      </c>
      <c r="P4345" s="6" t="str">
        <f>IF($D4345="","",IF(AND($L4345="Crédit",OR(IFERROR(INDEX('Paramètres'!$O:$O,MATCH($D4345,'Paramètres'!$M:$M,0))&amp;"","")&lt;&gt;"",ISNUMBER(SEARCH("remboursement",IFERROR(INDEX('Paramètres'!$N:$N,MATCH($D4345,'Paramètres'!$M:$M,0))&amp;"",""))))),1,0))</f>
        <v/>
      </c>
      <c r="Q4345" s="6" t="str">
        <f>IF($K4345="","",IF(ISNUMBER(SEARCH("transfert-interne",IFERROR(INDEX('Paramètres'!$N:$N,MATCH($D4345,'Paramètres'!$M:$M,0))&amp;"",""))),0,IF($L4345="Débit",$K4345,IF($P4345=1,-$K4345,0))))</f>
        <v/>
      </c>
      <c r="R4345" s="6" t="str">
        <f>IF($K4345="","",IF($L4345="Crédit",$K4345,-$K4345))</f>
        <v/>
      </c>
      <c r="S4345" s="6" t="str">
        <f>IF($C4345="","",IFERROR(INDEX('Paramètres'!$H:$H,MATCH($C4345,'Paramètres'!$D:$D,0))&amp;"",""))</f>
        <v/>
      </c>
      <c r="T4345" s="6" t="str">
        <f>IF($K4345="","",IF($S4345="",0,IF(ISNUMBER(SEARCH("apport-exterieur",IFERROR(INDEX('Paramètres'!$N:$N,MATCH($D4345,'Paramètres'!$M:$M,0))&amp;"",""))),0,IF(OR(IFERROR(INDEX('Paramètres'!$I:$I,MATCH($C4345,'Paramètres'!$D:$D,0))&amp;"","")="Les deux",IFERROR(INDEX('Paramètres'!$I:$I,MATCH($C4345,'Paramètres'!$D:$D,0))&amp;"","")=IF($P4345=1,"Débit",$L4345)),-IF($P4345=1,-$K4345,$K4345),0))))</f>
        <v/>
      </c>
      <c r="U4345" s="6" t="str">
        <f>IF($K4345="","",IF(ISNUMBER(SEARCH("sortie-epargne",IFERROR(INDEX('Paramètres'!$N:$N,MATCH($D4345,'Paramètres'!$M:$M,0))&amp;"",""))),$K4345,0))</f>
        <v/>
      </c>
      <c r="V4345" s="6" t="str">
        <f>IF(AND($A4345&lt;&gt;"",$O4345=1,$L4345="Débit",N($Q4345)&gt;0,$A4345&gt;=Visualisation!$B$1,$A4345&lt;Visualisation!$D$1),MAX($V$1:V4344)+1,"")</f>
        <v/>
      </c>
    </row>
    <row r="4346" spans="1:22" x14ac:dyDescent="0.25">
      <c r="A4346" s="9"/>
      <c r="E4346" s="10"/>
      <c r="K4346" s="11" t="str">
        <f>IF($E4346="","",ROUND($E4346*IF(ISNA(MATCH($C4346,'Paramètres'!$D:$D,0)),1,IF(INDEX('Paramètres'!$J:$J,MATCH($C4346,'Paramètres'!$D:$D,0))="",1,INDEX('Paramètres'!$J:$J,MATCH($C4346,'Paramètres'!$D:$D,0)))),2))</f>
        <v/>
      </c>
      <c r="L4346" s="6" t="str">
        <f>IF($D4346="","",IF($F4346&lt;&gt;"",$F4346,IF(ISNA(MATCH($D4346,'Paramètres'!$M:$M,0)),"⚠ Type inconnu",IFERROR(INDEX('Paramètres'!$P:$P,MATCH($D4346,'Paramètres'!$M:$M,0))&amp;"",""))))</f>
        <v/>
      </c>
      <c r="M4346" s="6" t="str">
        <f>IF($D4346="","",IF(ISNA(MATCH($D4346,'Paramètres'!$M:$M,0)),"⚠ Type inconnu",IF($L4346="Crédit","",IFERROR(INDEX('Paramètres'!$O:$O,MATCH($D4346,'Paramètres'!$M:$M,0))&amp;"",""))))</f>
        <v/>
      </c>
      <c r="N4346" s="6" t="str">
        <f>IF($D4346="","",IFERROR(INDEX('Paramètres'!$Q:$Q,MATCH($D4346,'Paramètres'!$M:$M,0))&amp;"",""))</f>
        <v/>
      </c>
      <c r="O4346" s="6" t="str">
        <f>IF($A4346="","",IF(OR($J4346&lt;&gt;"x",$A4346&lt;=FinReleve),1,0))</f>
        <v/>
      </c>
      <c r="P4346" s="6" t="str">
        <f>IF($D4346="","",IF(AND($L4346="Crédit",OR(IFERROR(INDEX('Paramètres'!$O:$O,MATCH($D4346,'Paramètres'!$M:$M,0))&amp;"","")&lt;&gt;"",ISNUMBER(SEARCH("remboursement",IFERROR(INDEX('Paramètres'!$N:$N,MATCH($D4346,'Paramètres'!$M:$M,0))&amp;"",""))))),1,0))</f>
        <v/>
      </c>
      <c r="Q4346" s="6" t="str">
        <f>IF($K4346="","",IF(ISNUMBER(SEARCH("transfert-interne",IFERROR(INDEX('Paramètres'!$N:$N,MATCH($D4346,'Paramètres'!$M:$M,0))&amp;"",""))),0,IF($L4346="Débit",$K4346,IF($P4346=1,-$K4346,0))))</f>
        <v/>
      </c>
      <c r="R4346" s="6" t="str">
        <f>IF($K4346="","",IF($L4346="Crédit",$K4346,-$K4346))</f>
        <v/>
      </c>
      <c r="S4346" s="6" t="str">
        <f>IF($C4346="","",IFERROR(INDEX('Paramètres'!$H:$H,MATCH($C4346,'Paramètres'!$D:$D,0))&amp;"",""))</f>
        <v/>
      </c>
      <c r="T4346" s="6" t="str">
        <f>IF($K4346="","",IF($S4346="",0,IF(ISNUMBER(SEARCH("apport-exterieur",IFERROR(INDEX('Paramètres'!$N:$N,MATCH($D4346,'Paramètres'!$M:$M,0))&amp;"",""))),0,IF(OR(IFERROR(INDEX('Paramètres'!$I:$I,MATCH($C4346,'Paramètres'!$D:$D,0))&amp;"","")="Les deux",IFERROR(INDEX('Paramètres'!$I:$I,MATCH($C4346,'Paramètres'!$D:$D,0))&amp;"","")=IF($P4346=1,"Débit",$L4346)),-IF($P4346=1,-$K4346,$K4346),0))))</f>
        <v/>
      </c>
      <c r="U4346" s="6" t="str">
        <f>IF($K4346="","",IF(ISNUMBER(SEARCH("sortie-epargne",IFERROR(INDEX('Paramètres'!$N:$N,MATCH($D4346,'Paramètres'!$M:$M,0))&amp;"",""))),$K4346,0))</f>
        <v/>
      </c>
      <c r="V4346" s="6" t="str">
        <f>IF(AND($A4346&lt;&gt;"",$O4346=1,$L4346="Débit",N($Q4346)&gt;0,$A4346&gt;=Visualisation!$B$1,$A4346&lt;Visualisation!$D$1),MAX($V$1:V4345)+1,"")</f>
        <v/>
      </c>
    </row>
    <row r="4347" spans="1:22" x14ac:dyDescent="0.25">
      <c r="A4347" s="9"/>
      <c r="E4347" s="10"/>
      <c r="K4347" s="11" t="str">
        <f>IF($E4347="","",ROUND($E4347*IF(ISNA(MATCH($C4347,'Paramètres'!$D:$D,0)),1,IF(INDEX('Paramètres'!$J:$J,MATCH($C4347,'Paramètres'!$D:$D,0))="",1,INDEX('Paramètres'!$J:$J,MATCH($C4347,'Paramètres'!$D:$D,0)))),2))</f>
        <v/>
      </c>
      <c r="L4347" s="6" t="str">
        <f>IF($D4347="","",IF($F4347&lt;&gt;"",$F4347,IF(ISNA(MATCH($D4347,'Paramètres'!$M:$M,0)),"⚠ Type inconnu",IFERROR(INDEX('Paramètres'!$P:$P,MATCH($D4347,'Paramètres'!$M:$M,0))&amp;"",""))))</f>
        <v/>
      </c>
      <c r="M4347" s="6" t="str">
        <f>IF($D4347="","",IF(ISNA(MATCH($D4347,'Paramètres'!$M:$M,0)),"⚠ Type inconnu",IF($L4347="Crédit","",IFERROR(INDEX('Paramètres'!$O:$O,MATCH($D4347,'Paramètres'!$M:$M,0))&amp;"",""))))</f>
        <v/>
      </c>
      <c r="N4347" s="6" t="str">
        <f>IF($D4347="","",IFERROR(INDEX('Paramètres'!$Q:$Q,MATCH($D4347,'Paramètres'!$M:$M,0))&amp;"",""))</f>
        <v/>
      </c>
      <c r="O4347" s="6" t="str">
        <f>IF($A4347="","",IF(OR($J4347&lt;&gt;"x",$A4347&lt;=FinReleve),1,0))</f>
        <v/>
      </c>
      <c r="P4347" s="6" t="str">
        <f>IF($D4347="","",IF(AND($L4347="Crédit",OR(IFERROR(INDEX('Paramètres'!$O:$O,MATCH($D4347,'Paramètres'!$M:$M,0))&amp;"","")&lt;&gt;"",ISNUMBER(SEARCH("remboursement",IFERROR(INDEX('Paramètres'!$N:$N,MATCH($D4347,'Paramètres'!$M:$M,0))&amp;"",""))))),1,0))</f>
        <v/>
      </c>
      <c r="Q4347" s="6" t="str">
        <f>IF($K4347="","",IF(ISNUMBER(SEARCH("transfert-interne",IFERROR(INDEX('Paramètres'!$N:$N,MATCH($D4347,'Paramètres'!$M:$M,0))&amp;"",""))),0,IF($L4347="Débit",$K4347,IF($P4347=1,-$K4347,0))))</f>
        <v/>
      </c>
      <c r="R4347" s="6" t="str">
        <f>IF($K4347="","",IF($L4347="Crédit",$K4347,-$K4347))</f>
        <v/>
      </c>
      <c r="S4347" s="6" t="str">
        <f>IF($C4347="","",IFERROR(INDEX('Paramètres'!$H:$H,MATCH($C4347,'Paramètres'!$D:$D,0))&amp;"",""))</f>
        <v/>
      </c>
      <c r="T4347" s="6" t="str">
        <f>IF($K4347="","",IF($S4347="",0,IF(ISNUMBER(SEARCH("apport-exterieur",IFERROR(INDEX('Paramètres'!$N:$N,MATCH($D4347,'Paramètres'!$M:$M,0))&amp;"",""))),0,IF(OR(IFERROR(INDEX('Paramètres'!$I:$I,MATCH($C4347,'Paramètres'!$D:$D,0))&amp;"","")="Les deux",IFERROR(INDEX('Paramètres'!$I:$I,MATCH($C4347,'Paramètres'!$D:$D,0))&amp;"","")=IF($P4347=1,"Débit",$L4347)),-IF($P4347=1,-$K4347,$K4347),0))))</f>
        <v/>
      </c>
      <c r="U4347" s="6" t="str">
        <f>IF($K4347="","",IF(ISNUMBER(SEARCH("sortie-epargne",IFERROR(INDEX('Paramètres'!$N:$N,MATCH($D4347,'Paramètres'!$M:$M,0))&amp;"",""))),$K4347,0))</f>
        <v/>
      </c>
      <c r="V4347" s="6" t="str">
        <f>IF(AND($A4347&lt;&gt;"",$O4347=1,$L4347="Débit",N($Q4347)&gt;0,$A4347&gt;=Visualisation!$B$1,$A4347&lt;Visualisation!$D$1),MAX($V$1:V4346)+1,"")</f>
        <v/>
      </c>
    </row>
    <row r="4348" spans="1:22" x14ac:dyDescent="0.25">
      <c r="A4348" s="9"/>
      <c r="E4348" s="10"/>
      <c r="K4348" s="11" t="str">
        <f>IF($E4348="","",ROUND($E4348*IF(ISNA(MATCH($C4348,'Paramètres'!$D:$D,0)),1,IF(INDEX('Paramètres'!$J:$J,MATCH($C4348,'Paramètres'!$D:$D,0))="",1,INDEX('Paramètres'!$J:$J,MATCH($C4348,'Paramètres'!$D:$D,0)))),2))</f>
        <v/>
      </c>
      <c r="L4348" s="6" t="str">
        <f>IF($D4348="","",IF($F4348&lt;&gt;"",$F4348,IF(ISNA(MATCH($D4348,'Paramètres'!$M:$M,0)),"⚠ Type inconnu",IFERROR(INDEX('Paramètres'!$P:$P,MATCH($D4348,'Paramètres'!$M:$M,0))&amp;"",""))))</f>
        <v/>
      </c>
      <c r="M4348" s="6" t="str">
        <f>IF($D4348="","",IF(ISNA(MATCH($D4348,'Paramètres'!$M:$M,0)),"⚠ Type inconnu",IF($L4348="Crédit","",IFERROR(INDEX('Paramètres'!$O:$O,MATCH($D4348,'Paramètres'!$M:$M,0))&amp;"",""))))</f>
        <v/>
      </c>
      <c r="N4348" s="6" t="str">
        <f>IF($D4348="","",IFERROR(INDEX('Paramètres'!$Q:$Q,MATCH($D4348,'Paramètres'!$M:$M,0))&amp;"",""))</f>
        <v/>
      </c>
      <c r="O4348" s="6" t="str">
        <f>IF($A4348="","",IF(OR($J4348&lt;&gt;"x",$A4348&lt;=FinReleve),1,0))</f>
        <v/>
      </c>
      <c r="P4348" s="6" t="str">
        <f>IF($D4348="","",IF(AND($L4348="Crédit",OR(IFERROR(INDEX('Paramètres'!$O:$O,MATCH($D4348,'Paramètres'!$M:$M,0))&amp;"","")&lt;&gt;"",ISNUMBER(SEARCH("remboursement",IFERROR(INDEX('Paramètres'!$N:$N,MATCH($D4348,'Paramètres'!$M:$M,0))&amp;"",""))))),1,0))</f>
        <v/>
      </c>
      <c r="Q4348" s="6" t="str">
        <f>IF($K4348="","",IF(ISNUMBER(SEARCH("transfert-interne",IFERROR(INDEX('Paramètres'!$N:$N,MATCH($D4348,'Paramètres'!$M:$M,0))&amp;"",""))),0,IF($L4348="Débit",$K4348,IF($P4348=1,-$K4348,0))))</f>
        <v/>
      </c>
      <c r="R4348" s="6" t="str">
        <f>IF($K4348="","",IF($L4348="Crédit",$K4348,-$K4348))</f>
        <v/>
      </c>
      <c r="S4348" s="6" t="str">
        <f>IF($C4348="","",IFERROR(INDEX('Paramètres'!$H:$H,MATCH($C4348,'Paramètres'!$D:$D,0))&amp;"",""))</f>
        <v/>
      </c>
      <c r="T4348" s="6" t="str">
        <f>IF($K4348="","",IF($S4348="",0,IF(ISNUMBER(SEARCH("apport-exterieur",IFERROR(INDEX('Paramètres'!$N:$N,MATCH($D4348,'Paramètres'!$M:$M,0))&amp;"",""))),0,IF(OR(IFERROR(INDEX('Paramètres'!$I:$I,MATCH($C4348,'Paramètres'!$D:$D,0))&amp;"","")="Les deux",IFERROR(INDEX('Paramètres'!$I:$I,MATCH($C4348,'Paramètres'!$D:$D,0))&amp;"","")=IF($P4348=1,"Débit",$L4348)),-IF($P4348=1,-$K4348,$K4348),0))))</f>
        <v/>
      </c>
      <c r="U4348" s="6" t="str">
        <f>IF($K4348="","",IF(ISNUMBER(SEARCH("sortie-epargne",IFERROR(INDEX('Paramètres'!$N:$N,MATCH($D4348,'Paramètres'!$M:$M,0))&amp;"",""))),$K4348,0))</f>
        <v/>
      </c>
      <c r="V4348" s="6" t="str">
        <f>IF(AND($A4348&lt;&gt;"",$O4348=1,$L4348="Débit",N($Q4348)&gt;0,$A4348&gt;=Visualisation!$B$1,$A4348&lt;Visualisation!$D$1),MAX($V$1:V4347)+1,"")</f>
        <v/>
      </c>
    </row>
    <row r="4349" spans="1:22" x14ac:dyDescent="0.25">
      <c r="A4349" s="9"/>
      <c r="E4349" s="10"/>
      <c r="K4349" s="11" t="str">
        <f>IF($E4349="","",ROUND($E4349*IF(ISNA(MATCH($C4349,'Paramètres'!$D:$D,0)),1,IF(INDEX('Paramètres'!$J:$J,MATCH($C4349,'Paramètres'!$D:$D,0))="",1,INDEX('Paramètres'!$J:$J,MATCH($C4349,'Paramètres'!$D:$D,0)))),2))</f>
        <v/>
      </c>
      <c r="L4349" s="6" t="str">
        <f>IF($D4349="","",IF($F4349&lt;&gt;"",$F4349,IF(ISNA(MATCH($D4349,'Paramètres'!$M:$M,0)),"⚠ Type inconnu",IFERROR(INDEX('Paramètres'!$P:$P,MATCH($D4349,'Paramètres'!$M:$M,0))&amp;"",""))))</f>
        <v/>
      </c>
      <c r="M4349" s="6" t="str">
        <f>IF($D4349="","",IF(ISNA(MATCH($D4349,'Paramètres'!$M:$M,0)),"⚠ Type inconnu",IF($L4349="Crédit","",IFERROR(INDEX('Paramètres'!$O:$O,MATCH($D4349,'Paramètres'!$M:$M,0))&amp;"",""))))</f>
        <v/>
      </c>
      <c r="N4349" s="6" t="str">
        <f>IF($D4349="","",IFERROR(INDEX('Paramètres'!$Q:$Q,MATCH($D4349,'Paramètres'!$M:$M,0))&amp;"",""))</f>
        <v/>
      </c>
      <c r="O4349" s="6" t="str">
        <f>IF($A4349="","",IF(OR($J4349&lt;&gt;"x",$A4349&lt;=FinReleve),1,0))</f>
        <v/>
      </c>
      <c r="P4349" s="6" t="str">
        <f>IF($D4349="","",IF(AND($L4349="Crédit",OR(IFERROR(INDEX('Paramètres'!$O:$O,MATCH($D4349,'Paramètres'!$M:$M,0))&amp;"","")&lt;&gt;"",ISNUMBER(SEARCH("remboursement",IFERROR(INDEX('Paramètres'!$N:$N,MATCH($D4349,'Paramètres'!$M:$M,0))&amp;"",""))))),1,0))</f>
        <v/>
      </c>
      <c r="Q4349" s="6" t="str">
        <f>IF($K4349="","",IF(ISNUMBER(SEARCH("transfert-interne",IFERROR(INDEX('Paramètres'!$N:$N,MATCH($D4349,'Paramètres'!$M:$M,0))&amp;"",""))),0,IF($L4349="Débit",$K4349,IF($P4349=1,-$K4349,0))))</f>
        <v/>
      </c>
      <c r="R4349" s="6" t="str">
        <f>IF($K4349="","",IF($L4349="Crédit",$K4349,-$K4349))</f>
        <v/>
      </c>
      <c r="S4349" s="6" t="str">
        <f>IF($C4349="","",IFERROR(INDEX('Paramètres'!$H:$H,MATCH($C4349,'Paramètres'!$D:$D,0))&amp;"",""))</f>
        <v/>
      </c>
      <c r="T4349" s="6" t="str">
        <f>IF($K4349="","",IF($S4349="",0,IF(ISNUMBER(SEARCH("apport-exterieur",IFERROR(INDEX('Paramètres'!$N:$N,MATCH($D4349,'Paramètres'!$M:$M,0))&amp;"",""))),0,IF(OR(IFERROR(INDEX('Paramètres'!$I:$I,MATCH($C4349,'Paramètres'!$D:$D,0))&amp;"","")="Les deux",IFERROR(INDEX('Paramètres'!$I:$I,MATCH($C4349,'Paramètres'!$D:$D,0))&amp;"","")=IF($P4349=1,"Débit",$L4349)),-IF($P4349=1,-$K4349,$K4349),0))))</f>
        <v/>
      </c>
      <c r="U4349" s="6" t="str">
        <f>IF($K4349="","",IF(ISNUMBER(SEARCH("sortie-epargne",IFERROR(INDEX('Paramètres'!$N:$N,MATCH($D4349,'Paramètres'!$M:$M,0))&amp;"",""))),$K4349,0))</f>
        <v/>
      </c>
      <c r="V4349" s="6" t="str">
        <f>IF(AND($A4349&lt;&gt;"",$O4349=1,$L4349="Débit",N($Q4349)&gt;0,$A4349&gt;=Visualisation!$B$1,$A4349&lt;Visualisation!$D$1),MAX($V$1:V4348)+1,"")</f>
        <v/>
      </c>
    </row>
    <row r="4350" spans="1:22" x14ac:dyDescent="0.25">
      <c r="A4350" s="9"/>
      <c r="E4350" s="10"/>
      <c r="K4350" s="11" t="str">
        <f>IF($E4350="","",ROUND($E4350*IF(ISNA(MATCH($C4350,'Paramètres'!$D:$D,0)),1,IF(INDEX('Paramètres'!$J:$J,MATCH($C4350,'Paramètres'!$D:$D,0))="",1,INDEX('Paramètres'!$J:$J,MATCH($C4350,'Paramètres'!$D:$D,0)))),2))</f>
        <v/>
      </c>
      <c r="L4350" s="6" t="str">
        <f>IF($D4350="","",IF($F4350&lt;&gt;"",$F4350,IF(ISNA(MATCH($D4350,'Paramètres'!$M:$M,0)),"⚠ Type inconnu",IFERROR(INDEX('Paramètres'!$P:$P,MATCH($D4350,'Paramètres'!$M:$M,0))&amp;"",""))))</f>
        <v/>
      </c>
      <c r="M4350" s="6" t="str">
        <f>IF($D4350="","",IF(ISNA(MATCH($D4350,'Paramètres'!$M:$M,0)),"⚠ Type inconnu",IF($L4350="Crédit","",IFERROR(INDEX('Paramètres'!$O:$O,MATCH($D4350,'Paramètres'!$M:$M,0))&amp;"",""))))</f>
        <v/>
      </c>
      <c r="N4350" s="6" t="str">
        <f>IF($D4350="","",IFERROR(INDEX('Paramètres'!$Q:$Q,MATCH($D4350,'Paramètres'!$M:$M,0))&amp;"",""))</f>
        <v/>
      </c>
      <c r="O4350" s="6" t="str">
        <f>IF($A4350="","",IF(OR($J4350&lt;&gt;"x",$A4350&lt;=FinReleve),1,0))</f>
        <v/>
      </c>
      <c r="P4350" s="6" t="str">
        <f>IF($D4350="","",IF(AND($L4350="Crédit",OR(IFERROR(INDEX('Paramètres'!$O:$O,MATCH($D4350,'Paramètres'!$M:$M,0))&amp;"","")&lt;&gt;"",ISNUMBER(SEARCH("remboursement",IFERROR(INDEX('Paramètres'!$N:$N,MATCH($D4350,'Paramètres'!$M:$M,0))&amp;"",""))))),1,0))</f>
        <v/>
      </c>
      <c r="Q4350" s="6" t="str">
        <f>IF($K4350="","",IF(ISNUMBER(SEARCH("transfert-interne",IFERROR(INDEX('Paramètres'!$N:$N,MATCH($D4350,'Paramètres'!$M:$M,0))&amp;"",""))),0,IF($L4350="Débit",$K4350,IF($P4350=1,-$K4350,0))))</f>
        <v/>
      </c>
      <c r="R4350" s="6" t="str">
        <f>IF($K4350="","",IF($L4350="Crédit",$K4350,-$K4350))</f>
        <v/>
      </c>
      <c r="S4350" s="6" t="str">
        <f>IF($C4350="","",IFERROR(INDEX('Paramètres'!$H:$H,MATCH($C4350,'Paramètres'!$D:$D,0))&amp;"",""))</f>
        <v/>
      </c>
      <c r="T4350" s="6" t="str">
        <f>IF($K4350="","",IF($S4350="",0,IF(ISNUMBER(SEARCH("apport-exterieur",IFERROR(INDEX('Paramètres'!$N:$N,MATCH($D4350,'Paramètres'!$M:$M,0))&amp;"",""))),0,IF(OR(IFERROR(INDEX('Paramètres'!$I:$I,MATCH($C4350,'Paramètres'!$D:$D,0))&amp;"","")="Les deux",IFERROR(INDEX('Paramètres'!$I:$I,MATCH($C4350,'Paramètres'!$D:$D,0))&amp;"","")=IF($P4350=1,"Débit",$L4350)),-IF($P4350=1,-$K4350,$K4350),0))))</f>
        <v/>
      </c>
      <c r="U4350" s="6" t="str">
        <f>IF($K4350="","",IF(ISNUMBER(SEARCH("sortie-epargne",IFERROR(INDEX('Paramètres'!$N:$N,MATCH($D4350,'Paramètres'!$M:$M,0))&amp;"",""))),$K4350,0))</f>
        <v/>
      </c>
      <c r="V4350" s="6" t="str">
        <f>IF(AND($A4350&lt;&gt;"",$O4350=1,$L4350="Débit",N($Q4350)&gt;0,$A4350&gt;=Visualisation!$B$1,$A4350&lt;Visualisation!$D$1),MAX($V$1:V4349)+1,"")</f>
        <v/>
      </c>
    </row>
    <row r="4351" spans="1:22" x14ac:dyDescent="0.25">
      <c r="A4351" s="9"/>
      <c r="E4351" s="10"/>
      <c r="K4351" s="11" t="str">
        <f>IF($E4351="","",ROUND($E4351*IF(ISNA(MATCH($C4351,'Paramètres'!$D:$D,0)),1,IF(INDEX('Paramètres'!$J:$J,MATCH($C4351,'Paramètres'!$D:$D,0))="",1,INDEX('Paramètres'!$J:$J,MATCH($C4351,'Paramètres'!$D:$D,0)))),2))</f>
        <v/>
      </c>
      <c r="L4351" s="6" t="str">
        <f>IF($D4351="","",IF($F4351&lt;&gt;"",$F4351,IF(ISNA(MATCH($D4351,'Paramètres'!$M:$M,0)),"⚠ Type inconnu",IFERROR(INDEX('Paramètres'!$P:$P,MATCH($D4351,'Paramètres'!$M:$M,0))&amp;"",""))))</f>
        <v/>
      </c>
      <c r="M4351" s="6" t="str">
        <f>IF($D4351="","",IF(ISNA(MATCH($D4351,'Paramètres'!$M:$M,0)),"⚠ Type inconnu",IF($L4351="Crédit","",IFERROR(INDEX('Paramètres'!$O:$O,MATCH($D4351,'Paramètres'!$M:$M,0))&amp;"",""))))</f>
        <v/>
      </c>
      <c r="N4351" s="6" t="str">
        <f>IF($D4351="","",IFERROR(INDEX('Paramètres'!$Q:$Q,MATCH($D4351,'Paramètres'!$M:$M,0))&amp;"",""))</f>
        <v/>
      </c>
      <c r="O4351" s="6" t="str">
        <f>IF($A4351="","",IF(OR($J4351&lt;&gt;"x",$A4351&lt;=FinReleve),1,0))</f>
        <v/>
      </c>
      <c r="P4351" s="6" t="str">
        <f>IF($D4351="","",IF(AND($L4351="Crédit",OR(IFERROR(INDEX('Paramètres'!$O:$O,MATCH($D4351,'Paramètres'!$M:$M,0))&amp;"","")&lt;&gt;"",ISNUMBER(SEARCH("remboursement",IFERROR(INDEX('Paramètres'!$N:$N,MATCH($D4351,'Paramètres'!$M:$M,0))&amp;"",""))))),1,0))</f>
        <v/>
      </c>
      <c r="Q4351" s="6" t="str">
        <f>IF($K4351="","",IF(ISNUMBER(SEARCH("transfert-interne",IFERROR(INDEX('Paramètres'!$N:$N,MATCH($D4351,'Paramètres'!$M:$M,0))&amp;"",""))),0,IF($L4351="Débit",$K4351,IF($P4351=1,-$K4351,0))))</f>
        <v/>
      </c>
      <c r="R4351" s="6" t="str">
        <f>IF($K4351="","",IF($L4351="Crédit",$K4351,-$K4351))</f>
        <v/>
      </c>
      <c r="S4351" s="6" t="str">
        <f>IF($C4351="","",IFERROR(INDEX('Paramètres'!$H:$H,MATCH($C4351,'Paramètres'!$D:$D,0))&amp;"",""))</f>
        <v/>
      </c>
      <c r="T4351" s="6" t="str">
        <f>IF($K4351="","",IF($S4351="",0,IF(ISNUMBER(SEARCH("apport-exterieur",IFERROR(INDEX('Paramètres'!$N:$N,MATCH($D4351,'Paramètres'!$M:$M,0))&amp;"",""))),0,IF(OR(IFERROR(INDEX('Paramètres'!$I:$I,MATCH($C4351,'Paramètres'!$D:$D,0))&amp;"","")="Les deux",IFERROR(INDEX('Paramètres'!$I:$I,MATCH($C4351,'Paramètres'!$D:$D,0))&amp;"","")=IF($P4351=1,"Débit",$L4351)),-IF($P4351=1,-$K4351,$K4351),0))))</f>
        <v/>
      </c>
      <c r="U4351" s="6" t="str">
        <f>IF($K4351="","",IF(ISNUMBER(SEARCH("sortie-epargne",IFERROR(INDEX('Paramètres'!$N:$N,MATCH($D4351,'Paramètres'!$M:$M,0))&amp;"",""))),$K4351,0))</f>
        <v/>
      </c>
      <c r="V4351" s="6" t="str">
        <f>IF(AND($A4351&lt;&gt;"",$O4351=1,$L4351="Débit",N($Q4351)&gt;0,$A4351&gt;=Visualisation!$B$1,$A4351&lt;Visualisation!$D$1),MAX($V$1:V4350)+1,"")</f>
        <v/>
      </c>
    </row>
    <row r="4352" spans="1:22" x14ac:dyDescent="0.25">
      <c r="A4352" s="9"/>
      <c r="E4352" s="10"/>
      <c r="K4352" s="11" t="str">
        <f>IF($E4352="","",ROUND($E4352*IF(ISNA(MATCH($C4352,'Paramètres'!$D:$D,0)),1,IF(INDEX('Paramètres'!$J:$J,MATCH($C4352,'Paramètres'!$D:$D,0))="",1,INDEX('Paramètres'!$J:$J,MATCH($C4352,'Paramètres'!$D:$D,0)))),2))</f>
        <v/>
      </c>
      <c r="L4352" s="6" t="str">
        <f>IF($D4352="","",IF($F4352&lt;&gt;"",$F4352,IF(ISNA(MATCH($D4352,'Paramètres'!$M:$M,0)),"⚠ Type inconnu",IFERROR(INDEX('Paramètres'!$P:$P,MATCH($D4352,'Paramètres'!$M:$M,0))&amp;"",""))))</f>
        <v/>
      </c>
      <c r="M4352" s="6" t="str">
        <f>IF($D4352="","",IF(ISNA(MATCH($D4352,'Paramètres'!$M:$M,0)),"⚠ Type inconnu",IF($L4352="Crédit","",IFERROR(INDEX('Paramètres'!$O:$O,MATCH($D4352,'Paramètres'!$M:$M,0))&amp;"",""))))</f>
        <v/>
      </c>
      <c r="N4352" s="6" t="str">
        <f>IF($D4352="","",IFERROR(INDEX('Paramètres'!$Q:$Q,MATCH($D4352,'Paramètres'!$M:$M,0))&amp;"",""))</f>
        <v/>
      </c>
      <c r="O4352" s="6" t="str">
        <f>IF($A4352="","",IF(OR($J4352&lt;&gt;"x",$A4352&lt;=FinReleve),1,0))</f>
        <v/>
      </c>
      <c r="P4352" s="6" t="str">
        <f>IF($D4352="","",IF(AND($L4352="Crédit",OR(IFERROR(INDEX('Paramètres'!$O:$O,MATCH($D4352,'Paramètres'!$M:$M,0))&amp;"","")&lt;&gt;"",ISNUMBER(SEARCH("remboursement",IFERROR(INDEX('Paramètres'!$N:$N,MATCH($D4352,'Paramètres'!$M:$M,0))&amp;"",""))))),1,0))</f>
        <v/>
      </c>
      <c r="Q4352" s="6" t="str">
        <f>IF($K4352="","",IF(ISNUMBER(SEARCH("transfert-interne",IFERROR(INDEX('Paramètres'!$N:$N,MATCH($D4352,'Paramètres'!$M:$M,0))&amp;"",""))),0,IF($L4352="Débit",$K4352,IF($P4352=1,-$K4352,0))))</f>
        <v/>
      </c>
      <c r="R4352" s="6" t="str">
        <f>IF($K4352="","",IF($L4352="Crédit",$K4352,-$K4352))</f>
        <v/>
      </c>
      <c r="S4352" s="6" t="str">
        <f>IF($C4352="","",IFERROR(INDEX('Paramètres'!$H:$H,MATCH($C4352,'Paramètres'!$D:$D,0))&amp;"",""))</f>
        <v/>
      </c>
      <c r="T4352" s="6" t="str">
        <f>IF($K4352="","",IF($S4352="",0,IF(ISNUMBER(SEARCH("apport-exterieur",IFERROR(INDEX('Paramètres'!$N:$N,MATCH($D4352,'Paramètres'!$M:$M,0))&amp;"",""))),0,IF(OR(IFERROR(INDEX('Paramètres'!$I:$I,MATCH($C4352,'Paramètres'!$D:$D,0))&amp;"","")="Les deux",IFERROR(INDEX('Paramètres'!$I:$I,MATCH($C4352,'Paramètres'!$D:$D,0))&amp;"","")=IF($P4352=1,"Débit",$L4352)),-IF($P4352=1,-$K4352,$K4352),0))))</f>
        <v/>
      </c>
      <c r="U4352" s="6" t="str">
        <f>IF($K4352="","",IF(ISNUMBER(SEARCH("sortie-epargne",IFERROR(INDEX('Paramètres'!$N:$N,MATCH($D4352,'Paramètres'!$M:$M,0))&amp;"",""))),$K4352,0))</f>
        <v/>
      </c>
      <c r="V4352" s="6" t="str">
        <f>IF(AND($A4352&lt;&gt;"",$O4352=1,$L4352="Débit",N($Q4352)&gt;0,$A4352&gt;=Visualisation!$B$1,$A4352&lt;Visualisation!$D$1),MAX($V$1:V4351)+1,"")</f>
        <v/>
      </c>
    </row>
    <row r="4353" spans="1:22" x14ac:dyDescent="0.25">
      <c r="A4353" s="9"/>
      <c r="E4353" s="10"/>
      <c r="K4353" s="11" t="str">
        <f>IF($E4353="","",ROUND($E4353*IF(ISNA(MATCH($C4353,'Paramètres'!$D:$D,0)),1,IF(INDEX('Paramètres'!$J:$J,MATCH($C4353,'Paramètres'!$D:$D,0))="",1,INDEX('Paramètres'!$J:$J,MATCH($C4353,'Paramètres'!$D:$D,0)))),2))</f>
        <v/>
      </c>
      <c r="L4353" s="6" t="str">
        <f>IF($D4353="","",IF($F4353&lt;&gt;"",$F4353,IF(ISNA(MATCH($D4353,'Paramètres'!$M:$M,0)),"⚠ Type inconnu",IFERROR(INDEX('Paramètres'!$P:$P,MATCH($D4353,'Paramètres'!$M:$M,0))&amp;"",""))))</f>
        <v/>
      </c>
      <c r="M4353" s="6" t="str">
        <f>IF($D4353="","",IF(ISNA(MATCH($D4353,'Paramètres'!$M:$M,0)),"⚠ Type inconnu",IF($L4353="Crédit","",IFERROR(INDEX('Paramètres'!$O:$O,MATCH($D4353,'Paramètres'!$M:$M,0))&amp;"",""))))</f>
        <v/>
      </c>
      <c r="N4353" s="6" t="str">
        <f>IF($D4353="","",IFERROR(INDEX('Paramètres'!$Q:$Q,MATCH($D4353,'Paramètres'!$M:$M,0))&amp;"",""))</f>
        <v/>
      </c>
      <c r="O4353" s="6" t="str">
        <f>IF($A4353="","",IF(OR($J4353&lt;&gt;"x",$A4353&lt;=FinReleve),1,0))</f>
        <v/>
      </c>
      <c r="P4353" s="6" t="str">
        <f>IF($D4353="","",IF(AND($L4353="Crédit",OR(IFERROR(INDEX('Paramètres'!$O:$O,MATCH($D4353,'Paramètres'!$M:$M,0))&amp;"","")&lt;&gt;"",ISNUMBER(SEARCH("remboursement",IFERROR(INDEX('Paramètres'!$N:$N,MATCH($D4353,'Paramètres'!$M:$M,0))&amp;"",""))))),1,0))</f>
        <v/>
      </c>
      <c r="Q4353" s="6" t="str">
        <f>IF($K4353="","",IF(ISNUMBER(SEARCH("transfert-interne",IFERROR(INDEX('Paramètres'!$N:$N,MATCH($D4353,'Paramètres'!$M:$M,0))&amp;"",""))),0,IF($L4353="Débit",$K4353,IF($P4353=1,-$K4353,0))))</f>
        <v/>
      </c>
      <c r="R4353" s="6" t="str">
        <f>IF($K4353="","",IF($L4353="Crédit",$K4353,-$K4353))</f>
        <v/>
      </c>
      <c r="S4353" s="6" t="str">
        <f>IF($C4353="","",IFERROR(INDEX('Paramètres'!$H:$H,MATCH($C4353,'Paramètres'!$D:$D,0))&amp;"",""))</f>
        <v/>
      </c>
      <c r="T4353" s="6" t="str">
        <f>IF($K4353="","",IF($S4353="",0,IF(ISNUMBER(SEARCH("apport-exterieur",IFERROR(INDEX('Paramètres'!$N:$N,MATCH($D4353,'Paramètres'!$M:$M,0))&amp;"",""))),0,IF(OR(IFERROR(INDEX('Paramètres'!$I:$I,MATCH($C4353,'Paramètres'!$D:$D,0))&amp;"","")="Les deux",IFERROR(INDEX('Paramètres'!$I:$I,MATCH($C4353,'Paramètres'!$D:$D,0))&amp;"","")=IF($P4353=1,"Débit",$L4353)),-IF($P4353=1,-$K4353,$K4353),0))))</f>
        <v/>
      </c>
      <c r="U4353" s="6" t="str">
        <f>IF($K4353="","",IF(ISNUMBER(SEARCH("sortie-epargne",IFERROR(INDEX('Paramètres'!$N:$N,MATCH($D4353,'Paramètres'!$M:$M,0))&amp;"",""))),$K4353,0))</f>
        <v/>
      </c>
      <c r="V4353" s="6" t="str">
        <f>IF(AND($A4353&lt;&gt;"",$O4353=1,$L4353="Débit",N($Q4353)&gt;0,$A4353&gt;=Visualisation!$B$1,$A4353&lt;Visualisation!$D$1),MAX($V$1:V4352)+1,"")</f>
        <v/>
      </c>
    </row>
    <row r="4354" spans="1:22" x14ac:dyDescent="0.25">
      <c r="A4354" s="9"/>
      <c r="E4354" s="10"/>
      <c r="K4354" s="11" t="str">
        <f>IF($E4354="","",ROUND($E4354*IF(ISNA(MATCH($C4354,'Paramètres'!$D:$D,0)),1,IF(INDEX('Paramètres'!$J:$J,MATCH($C4354,'Paramètres'!$D:$D,0))="",1,INDEX('Paramètres'!$J:$J,MATCH($C4354,'Paramètres'!$D:$D,0)))),2))</f>
        <v/>
      </c>
      <c r="L4354" s="6" t="str">
        <f>IF($D4354="","",IF($F4354&lt;&gt;"",$F4354,IF(ISNA(MATCH($D4354,'Paramètres'!$M:$M,0)),"⚠ Type inconnu",IFERROR(INDEX('Paramètres'!$P:$P,MATCH($D4354,'Paramètres'!$M:$M,0))&amp;"",""))))</f>
        <v/>
      </c>
      <c r="M4354" s="6" t="str">
        <f>IF($D4354="","",IF(ISNA(MATCH($D4354,'Paramètres'!$M:$M,0)),"⚠ Type inconnu",IF($L4354="Crédit","",IFERROR(INDEX('Paramètres'!$O:$O,MATCH($D4354,'Paramètres'!$M:$M,0))&amp;"",""))))</f>
        <v/>
      </c>
      <c r="N4354" s="6" t="str">
        <f>IF($D4354="","",IFERROR(INDEX('Paramètres'!$Q:$Q,MATCH($D4354,'Paramètres'!$M:$M,0))&amp;"",""))</f>
        <v/>
      </c>
      <c r="O4354" s="6" t="str">
        <f>IF($A4354="","",IF(OR($J4354&lt;&gt;"x",$A4354&lt;=FinReleve),1,0))</f>
        <v/>
      </c>
      <c r="P4354" s="6" t="str">
        <f>IF($D4354="","",IF(AND($L4354="Crédit",OR(IFERROR(INDEX('Paramètres'!$O:$O,MATCH($D4354,'Paramètres'!$M:$M,0))&amp;"","")&lt;&gt;"",ISNUMBER(SEARCH("remboursement",IFERROR(INDEX('Paramètres'!$N:$N,MATCH($D4354,'Paramètres'!$M:$M,0))&amp;"",""))))),1,0))</f>
        <v/>
      </c>
      <c r="Q4354" s="6" t="str">
        <f>IF($K4354="","",IF(ISNUMBER(SEARCH("transfert-interne",IFERROR(INDEX('Paramètres'!$N:$N,MATCH($D4354,'Paramètres'!$M:$M,0))&amp;"",""))),0,IF($L4354="Débit",$K4354,IF($P4354=1,-$K4354,0))))</f>
        <v/>
      </c>
      <c r="R4354" s="6" t="str">
        <f>IF($K4354="","",IF($L4354="Crédit",$K4354,-$K4354))</f>
        <v/>
      </c>
      <c r="S4354" s="6" t="str">
        <f>IF($C4354="","",IFERROR(INDEX('Paramètres'!$H:$H,MATCH($C4354,'Paramètres'!$D:$D,0))&amp;"",""))</f>
        <v/>
      </c>
      <c r="T4354" s="6" t="str">
        <f>IF($K4354="","",IF($S4354="",0,IF(ISNUMBER(SEARCH("apport-exterieur",IFERROR(INDEX('Paramètres'!$N:$N,MATCH($D4354,'Paramètres'!$M:$M,0))&amp;"",""))),0,IF(OR(IFERROR(INDEX('Paramètres'!$I:$I,MATCH($C4354,'Paramètres'!$D:$D,0))&amp;"","")="Les deux",IFERROR(INDEX('Paramètres'!$I:$I,MATCH($C4354,'Paramètres'!$D:$D,0))&amp;"","")=IF($P4354=1,"Débit",$L4354)),-IF($P4354=1,-$K4354,$K4354),0))))</f>
        <v/>
      </c>
      <c r="U4354" s="6" t="str">
        <f>IF($K4354="","",IF(ISNUMBER(SEARCH("sortie-epargne",IFERROR(INDEX('Paramètres'!$N:$N,MATCH($D4354,'Paramètres'!$M:$M,0))&amp;"",""))),$K4354,0))</f>
        <v/>
      </c>
      <c r="V4354" s="6" t="str">
        <f>IF(AND($A4354&lt;&gt;"",$O4354=1,$L4354="Débit",N($Q4354)&gt;0,$A4354&gt;=Visualisation!$B$1,$A4354&lt;Visualisation!$D$1),MAX($V$1:V4353)+1,"")</f>
        <v/>
      </c>
    </row>
    <row r="4355" spans="1:22" x14ac:dyDescent="0.25">
      <c r="A4355" s="9"/>
      <c r="E4355" s="10"/>
      <c r="K4355" s="11" t="str">
        <f>IF($E4355="","",ROUND($E4355*IF(ISNA(MATCH($C4355,'Paramètres'!$D:$D,0)),1,IF(INDEX('Paramètres'!$J:$J,MATCH($C4355,'Paramètres'!$D:$D,0))="",1,INDEX('Paramètres'!$J:$J,MATCH($C4355,'Paramètres'!$D:$D,0)))),2))</f>
        <v/>
      </c>
      <c r="L4355" s="6" t="str">
        <f>IF($D4355="","",IF($F4355&lt;&gt;"",$F4355,IF(ISNA(MATCH($D4355,'Paramètres'!$M:$M,0)),"⚠ Type inconnu",IFERROR(INDEX('Paramètres'!$P:$P,MATCH($D4355,'Paramètres'!$M:$M,0))&amp;"",""))))</f>
        <v/>
      </c>
      <c r="M4355" s="6" t="str">
        <f>IF($D4355="","",IF(ISNA(MATCH($D4355,'Paramètres'!$M:$M,0)),"⚠ Type inconnu",IF($L4355="Crédit","",IFERROR(INDEX('Paramètres'!$O:$O,MATCH($D4355,'Paramètres'!$M:$M,0))&amp;"",""))))</f>
        <v/>
      </c>
      <c r="N4355" s="6" t="str">
        <f>IF($D4355="","",IFERROR(INDEX('Paramètres'!$Q:$Q,MATCH($D4355,'Paramètres'!$M:$M,0))&amp;"",""))</f>
        <v/>
      </c>
      <c r="O4355" s="6" t="str">
        <f>IF($A4355="","",IF(OR($J4355&lt;&gt;"x",$A4355&lt;=FinReleve),1,0))</f>
        <v/>
      </c>
      <c r="P4355" s="6" t="str">
        <f>IF($D4355="","",IF(AND($L4355="Crédit",OR(IFERROR(INDEX('Paramètres'!$O:$O,MATCH($D4355,'Paramètres'!$M:$M,0))&amp;"","")&lt;&gt;"",ISNUMBER(SEARCH("remboursement",IFERROR(INDEX('Paramètres'!$N:$N,MATCH($D4355,'Paramètres'!$M:$M,0))&amp;"",""))))),1,0))</f>
        <v/>
      </c>
      <c r="Q4355" s="6" t="str">
        <f>IF($K4355="","",IF(ISNUMBER(SEARCH("transfert-interne",IFERROR(INDEX('Paramètres'!$N:$N,MATCH($D4355,'Paramètres'!$M:$M,0))&amp;"",""))),0,IF($L4355="Débit",$K4355,IF($P4355=1,-$K4355,0))))</f>
        <v/>
      </c>
      <c r="R4355" s="6" t="str">
        <f>IF($K4355="","",IF($L4355="Crédit",$K4355,-$K4355))</f>
        <v/>
      </c>
      <c r="S4355" s="6" t="str">
        <f>IF($C4355="","",IFERROR(INDEX('Paramètres'!$H:$H,MATCH($C4355,'Paramètres'!$D:$D,0))&amp;"",""))</f>
        <v/>
      </c>
      <c r="T4355" s="6" t="str">
        <f>IF($K4355="","",IF($S4355="",0,IF(ISNUMBER(SEARCH("apport-exterieur",IFERROR(INDEX('Paramètres'!$N:$N,MATCH($D4355,'Paramètres'!$M:$M,0))&amp;"",""))),0,IF(OR(IFERROR(INDEX('Paramètres'!$I:$I,MATCH($C4355,'Paramètres'!$D:$D,0))&amp;"","")="Les deux",IFERROR(INDEX('Paramètres'!$I:$I,MATCH($C4355,'Paramètres'!$D:$D,0))&amp;"","")=IF($P4355=1,"Débit",$L4355)),-IF($P4355=1,-$K4355,$K4355),0))))</f>
        <v/>
      </c>
      <c r="U4355" s="6" t="str">
        <f>IF($K4355="","",IF(ISNUMBER(SEARCH("sortie-epargne",IFERROR(INDEX('Paramètres'!$N:$N,MATCH($D4355,'Paramètres'!$M:$M,0))&amp;"",""))),$K4355,0))</f>
        <v/>
      </c>
      <c r="V4355" s="6" t="str">
        <f>IF(AND($A4355&lt;&gt;"",$O4355=1,$L4355="Débit",N($Q4355)&gt;0,$A4355&gt;=Visualisation!$B$1,$A4355&lt;Visualisation!$D$1),MAX($V$1:V4354)+1,"")</f>
        <v/>
      </c>
    </row>
    <row r="4356" spans="1:22" x14ac:dyDescent="0.25">
      <c r="A4356" s="9"/>
      <c r="E4356" s="10"/>
      <c r="K4356" s="11" t="str">
        <f>IF($E4356="","",ROUND($E4356*IF(ISNA(MATCH($C4356,'Paramètres'!$D:$D,0)),1,IF(INDEX('Paramètres'!$J:$J,MATCH($C4356,'Paramètres'!$D:$D,0))="",1,INDEX('Paramètres'!$J:$J,MATCH($C4356,'Paramètres'!$D:$D,0)))),2))</f>
        <v/>
      </c>
      <c r="L4356" s="6" t="str">
        <f>IF($D4356="","",IF($F4356&lt;&gt;"",$F4356,IF(ISNA(MATCH($D4356,'Paramètres'!$M:$M,0)),"⚠ Type inconnu",IFERROR(INDEX('Paramètres'!$P:$P,MATCH($D4356,'Paramètres'!$M:$M,0))&amp;"",""))))</f>
        <v/>
      </c>
      <c r="M4356" s="6" t="str">
        <f>IF($D4356="","",IF(ISNA(MATCH($D4356,'Paramètres'!$M:$M,0)),"⚠ Type inconnu",IF($L4356="Crédit","",IFERROR(INDEX('Paramètres'!$O:$O,MATCH($D4356,'Paramètres'!$M:$M,0))&amp;"",""))))</f>
        <v/>
      </c>
      <c r="N4356" s="6" t="str">
        <f>IF($D4356="","",IFERROR(INDEX('Paramètres'!$Q:$Q,MATCH($D4356,'Paramètres'!$M:$M,0))&amp;"",""))</f>
        <v/>
      </c>
      <c r="O4356" s="6" t="str">
        <f>IF($A4356="","",IF(OR($J4356&lt;&gt;"x",$A4356&lt;=FinReleve),1,0))</f>
        <v/>
      </c>
      <c r="P4356" s="6" t="str">
        <f>IF($D4356="","",IF(AND($L4356="Crédit",OR(IFERROR(INDEX('Paramètres'!$O:$O,MATCH($D4356,'Paramètres'!$M:$M,0))&amp;"","")&lt;&gt;"",ISNUMBER(SEARCH("remboursement",IFERROR(INDEX('Paramètres'!$N:$N,MATCH($D4356,'Paramètres'!$M:$M,0))&amp;"",""))))),1,0))</f>
        <v/>
      </c>
      <c r="Q4356" s="6" t="str">
        <f>IF($K4356="","",IF(ISNUMBER(SEARCH("transfert-interne",IFERROR(INDEX('Paramètres'!$N:$N,MATCH($D4356,'Paramètres'!$M:$M,0))&amp;"",""))),0,IF($L4356="Débit",$K4356,IF($P4356=1,-$K4356,0))))</f>
        <v/>
      </c>
      <c r="R4356" s="6" t="str">
        <f>IF($K4356="","",IF($L4356="Crédit",$K4356,-$K4356))</f>
        <v/>
      </c>
      <c r="S4356" s="6" t="str">
        <f>IF($C4356="","",IFERROR(INDEX('Paramètres'!$H:$H,MATCH($C4356,'Paramètres'!$D:$D,0))&amp;"",""))</f>
        <v/>
      </c>
      <c r="T4356" s="6" t="str">
        <f>IF($K4356="","",IF($S4356="",0,IF(ISNUMBER(SEARCH("apport-exterieur",IFERROR(INDEX('Paramètres'!$N:$N,MATCH($D4356,'Paramètres'!$M:$M,0))&amp;"",""))),0,IF(OR(IFERROR(INDEX('Paramètres'!$I:$I,MATCH($C4356,'Paramètres'!$D:$D,0))&amp;"","")="Les deux",IFERROR(INDEX('Paramètres'!$I:$I,MATCH($C4356,'Paramètres'!$D:$D,0))&amp;"","")=IF($P4356=1,"Débit",$L4356)),-IF($P4356=1,-$K4356,$K4356),0))))</f>
        <v/>
      </c>
      <c r="U4356" s="6" t="str">
        <f>IF($K4356="","",IF(ISNUMBER(SEARCH("sortie-epargne",IFERROR(INDEX('Paramètres'!$N:$N,MATCH($D4356,'Paramètres'!$M:$M,0))&amp;"",""))),$K4356,0))</f>
        <v/>
      </c>
      <c r="V4356" s="6" t="str">
        <f>IF(AND($A4356&lt;&gt;"",$O4356=1,$L4356="Débit",N($Q4356)&gt;0,$A4356&gt;=Visualisation!$B$1,$A4356&lt;Visualisation!$D$1),MAX($V$1:V4355)+1,"")</f>
        <v/>
      </c>
    </row>
    <row r="4357" spans="1:22" x14ac:dyDescent="0.25">
      <c r="A4357" s="9"/>
      <c r="E4357" s="10"/>
      <c r="K4357" s="11" t="str">
        <f>IF($E4357="","",ROUND($E4357*IF(ISNA(MATCH($C4357,'Paramètres'!$D:$D,0)),1,IF(INDEX('Paramètres'!$J:$J,MATCH($C4357,'Paramètres'!$D:$D,0))="",1,INDEX('Paramètres'!$J:$J,MATCH($C4357,'Paramètres'!$D:$D,0)))),2))</f>
        <v/>
      </c>
      <c r="L4357" s="6" t="str">
        <f>IF($D4357="","",IF($F4357&lt;&gt;"",$F4357,IF(ISNA(MATCH($D4357,'Paramètres'!$M:$M,0)),"⚠ Type inconnu",IFERROR(INDEX('Paramètres'!$P:$P,MATCH($D4357,'Paramètres'!$M:$M,0))&amp;"",""))))</f>
        <v/>
      </c>
      <c r="M4357" s="6" t="str">
        <f>IF($D4357="","",IF(ISNA(MATCH($D4357,'Paramètres'!$M:$M,0)),"⚠ Type inconnu",IF($L4357="Crédit","",IFERROR(INDEX('Paramètres'!$O:$O,MATCH($D4357,'Paramètres'!$M:$M,0))&amp;"",""))))</f>
        <v/>
      </c>
      <c r="N4357" s="6" t="str">
        <f>IF($D4357="","",IFERROR(INDEX('Paramètres'!$Q:$Q,MATCH($D4357,'Paramètres'!$M:$M,0))&amp;"",""))</f>
        <v/>
      </c>
      <c r="O4357" s="6" t="str">
        <f>IF($A4357="","",IF(OR($J4357&lt;&gt;"x",$A4357&lt;=FinReleve),1,0))</f>
        <v/>
      </c>
      <c r="P4357" s="6" t="str">
        <f>IF($D4357="","",IF(AND($L4357="Crédit",OR(IFERROR(INDEX('Paramètres'!$O:$O,MATCH($D4357,'Paramètres'!$M:$M,0))&amp;"","")&lt;&gt;"",ISNUMBER(SEARCH("remboursement",IFERROR(INDEX('Paramètres'!$N:$N,MATCH($D4357,'Paramètres'!$M:$M,0))&amp;"",""))))),1,0))</f>
        <v/>
      </c>
      <c r="Q4357" s="6" t="str">
        <f>IF($K4357="","",IF(ISNUMBER(SEARCH("transfert-interne",IFERROR(INDEX('Paramètres'!$N:$N,MATCH($D4357,'Paramètres'!$M:$M,0))&amp;"",""))),0,IF($L4357="Débit",$K4357,IF($P4357=1,-$K4357,0))))</f>
        <v/>
      </c>
      <c r="R4357" s="6" t="str">
        <f>IF($K4357="","",IF($L4357="Crédit",$K4357,-$K4357))</f>
        <v/>
      </c>
      <c r="S4357" s="6" t="str">
        <f>IF($C4357="","",IFERROR(INDEX('Paramètres'!$H:$H,MATCH($C4357,'Paramètres'!$D:$D,0))&amp;"",""))</f>
        <v/>
      </c>
      <c r="T4357" s="6" t="str">
        <f>IF($K4357="","",IF($S4357="",0,IF(ISNUMBER(SEARCH("apport-exterieur",IFERROR(INDEX('Paramètres'!$N:$N,MATCH($D4357,'Paramètres'!$M:$M,0))&amp;"",""))),0,IF(OR(IFERROR(INDEX('Paramètres'!$I:$I,MATCH($C4357,'Paramètres'!$D:$D,0))&amp;"","")="Les deux",IFERROR(INDEX('Paramètres'!$I:$I,MATCH($C4357,'Paramètres'!$D:$D,0))&amp;"","")=IF($P4357=1,"Débit",$L4357)),-IF($P4357=1,-$K4357,$K4357),0))))</f>
        <v/>
      </c>
      <c r="U4357" s="6" t="str">
        <f>IF($K4357="","",IF(ISNUMBER(SEARCH("sortie-epargne",IFERROR(INDEX('Paramètres'!$N:$N,MATCH($D4357,'Paramètres'!$M:$M,0))&amp;"",""))),$K4357,0))</f>
        <v/>
      </c>
      <c r="V4357" s="6" t="str">
        <f>IF(AND($A4357&lt;&gt;"",$O4357=1,$L4357="Débit",N($Q4357)&gt;0,$A4357&gt;=Visualisation!$B$1,$A4357&lt;Visualisation!$D$1),MAX($V$1:V4356)+1,"")</f>
        <v/>
      </c>
    </row>
    <row r="4358" spans="1:22" x14ac:dyDescent="0.25">
      <c r="A4358" s="9"/>
      <c r="E4358" s="10"/>
      <c r="K4358" s="11" t="str">
        <f>IF($E4358="","",ROUND($E4358*IF(ISNA(MATCH($C4358,'Paramètres'!$D:$D,0)),1,IF(INDEX('Paramètres'!$J:$J,MATCH($C4358,'Paramètres'!$D:$D,0))="",1,INDEX('Paramètres'!$J:$J,MATCH($C4358,'Paramètres'!$D:$D,0)))),2))</f>
        <v/>
      </c>
      <c r="L4358" s="6" t="str">
        <f>IF($D4358="","",IF($F4358&lt;&gt;"",$F4358,IF(ISNA(MATCH($D4358,'Paramètres'!$M:$M,0)),"⚠ Type inconnu",IFERROR(INDEX('Paramètres'!$P:$P,MATCH($D4358,'Paramètres'!$M:$M,0))&amp;"",""))))</f>
        <v/>
      </c>
      <c r="M4358" s="6" t="str">
        <f>IF($D4358="","",IF(ISNA(MATCH($D4358,'Paramètres'!$M:$M,0)),"⚠ Type inconnu",IF($L4358="Crédit","",IFERROR(INDEX('Paramètres'!$O:$O,MATCH($D4358,'Paramètres'!$M:$M,0))&amp;"",""))))</f>
        <v/>
      </c>
      <c r="N4358" s="6" t="str">
        <f>IF($D4358="","",IFERROR(INDEX('Paramètres'!$Q:$Q,MATCH($D4358,'Paramètres'!$M:$M,0))&amp;"",""))</f>
        <v/>
      </c>
      <c r="O4358" s="6" t="str">
        <f>IF($A4358="","",IF(OR($J4358&lt;&gt;"x",$A4358&lt;=FinReleve),1,0))</f>
        <v/>
      </c>
      <c r="P4358" s="6" t="str">
        <f>IF($D4358="","",IF(AND($L4358="Crédit",OR(IFERROR(INDEX('Paramètres'!$O:$O,MATCH($D4358,'Paramètres'!$M:$M,0))&amp;"","")&lt;&gt;"",ISNUMBER(SEARCH("remboursement",IFERROR(INDEX('Paramètres'!$N:$N,MATCH($D4358,'Paramètres'!$M:$M,0))&amp;"",""))))),1,0))</f>
        <v/>
      </c>
      <c r="Q4358" s="6" t="str">
        <f>IF($K4358="","",IF(ISNUMBER(SEARCH("transfert-interne",IFERROR(INDEX('Paramètres'!$N:$N,MATCH($D4358,'Paramètres'!$M:$M,0))&amp;"",""))),0,IF($L4358="Débit",$K4358,IF($P4358=1,-$K4358,0))))</f>
        <v/>
      </c>
      <c r="R4358" s="6" t="str">
        <f>IF($K4358="","",IF($L4358="Crédit",$K4358,-$K4358))</f>
        <v/>
      </c>
      <c r="S4358" s="6" t="str">
        <f>IF($C4358="","",IFERROR(INDEX('Paramètres'!$H:$H,MATCH($C4358,'Paramètres'!$D:$D,0))&amp;"",""))</f>
        <v/>
      </c>
      <c r="T4358" s="6" t="str">
        <f>IF($K4358="","",IF($S4358="",0,IF(ISNUMBER(SEARCH("apport-exterieur",IFERROR(INDEX('Paramètres'!$N:$N,MATCH($D4358,'Paramètres'!$M:$M,0))&amp;"",""))),0,IF(OR(IFERROR(INDEX('Paramètres'!$I:$I,MATCH($C4358,'Paramètres'!$D:$D,0))&amp;"","")="Les deux",IFERROR(INDEX('Paramètres'!$I:$I,MATCH($C4358,'Paramètres'!$D:$D,0))&amp;"","")=IF($P4358=1,"Débit",$L4358)),-IF($P4358=1,-$K4358,$K4358),0))))</f>
        <v/>
      </c>
      <c r="U4358" s="6" t="str">
        <f>IF($K4358="","",IF(ISNUMBER(SEARCH("sortie-epargne",IFERROR(INDEX('Paramètres'!$N:$N,MATCH($D4358,'Paramètres'!$M:$M,0))&amp;"",""))),$K4358,0))</f>
        <v/>
      </c>
      <c r="V4358" s="6" t="str">
        <f>IF(AND($A4358&lt;&gt;"",$O4358=1,$L4358="Débit",N($Q4358)&gt;0,$A4358&gt;=Visualisation!$B$1,$A4358&lt;Visualisation!$D$1),MAX($V$1:V4357)+1,"")</f>
        <v/>
      </c>
    </row>
    <row r="4359" spans="1:22" x14ac:dyDescent="0.25">
      <c r="A4359" s="9"/>
      <c r="E4359" s="10"/>
      <c r="K4359" s="11" t="str">
        <f>IF($E4359="","",ROUND($E4359*IF(ISNA(MATCH($C4359,'Paramètres'!$D:$D,0)),1,IF(INDEX('Paramètres'!$J:$J,MATCH($C4359,'Paramètres'!$D:$D,0))="",1,INDEX('Paramètres'!$J:$J,MATCH($C4359,'Paramètres'!$D:$D,0)))),2))</f>
        <v/>
      </c>
      <c r="L4359" s="6" t="str">
        <f>IF($D4359="","",IF($F4359&lt;&gt;"",$F4359,IF(ISNA(MATCH($D4359,'Paramètres'!$M:$M,0)),"⚠ Type inconnu",IFERROR(INDEX('Paramètres'!$P:$P,MATCH($D4359,'Paramètres'!$M:$M,0))&amp;"",""))))</f>
        <v/>
      </c>
      <c r="M4359" s="6" t="str">
        <f>IF($D4359="","",IF(ISNA(MATCH($D4359,'Paramètres'!$M:$M,0)),"⚠ Type inconnu",IF($L4359="Crédit","",IFERROR(INDEX('Paramètres'!$O:$O,MATCH($D4359,'Paramètres'!$M:$M,0))&amp;"",""))))</f>
        <v/>
      </c>
      <c r="N4359" s="6" t="str">
        <f>IF($D4359="","",IFERROR(INDEX('Paramètres'!$Q:$Q,MATCH($D4359,'Paramètres'!$M:$M,0))&amp;"",""))</f>
        <v/>
      </c>
      <c r="O4359" s="6" t="str">
        <f>IF($A4359="","",IF(OR($J4359&lt;&gt;"x",$A4359&lt;=FinReleve),1,0))</f>
        <v/>
      </c>
      <c r="P4359" s="6" t="str">
        <f>IF($D4359="","",IF(AND($L4359="Crédit",OR(IFERROR(INDEX('Paramètres'!$O:$O,MATCH($D4359,'Paramètres'!$M:$M,0))&amp;"","")&lt;&gt;"",ISNUMBER(SEARCH("remboursement",IFERROR(INDEX('Paramètres'!$N:$N,MATCH($D4359,'Paramètres'!$M:$M,0))&amp;"",""))))),1,0))</f>
        <v/>
      </c>
      <c r="Q4359" s="6" t="str">
        <f>IF($K4359="","",IF(ISNUMBER(SEARCH("transfert-interne",IFERROR(INDEX('Paramètres'!$N:$N,MATCH($D4359,'Paramètres'!$M:$M,0))&amp;"",""))),0,IF($L4359="Débit",$K4359,IF($P4359=1,-$K4359,0))))</f>
        <v/>
      </c>
      <c r="R4359" s="6" t="str">
        <f>IF($K4359="","",IF($L4359="Crédit",$K4359,-$K4359))</f>
        <v/>
      </c>
      <c r="S4359" s="6" t="str">
        <f>IF($C4359="","",IFERROR(INDEX('Paramètres'!$H:$H,MATCH($C4359,'Paramètres'!$D:$D,0))&amp;"",""))</f>
        <v/>
      </c>
      <c r="T4359" s="6" t="str">
        <f>IF($K4359="","",IF($S4359="",0,IF(ISNUMBER(SEARCH("apport-exterieur",IFERROR(INDEX('Paramètres'!$N:$N,MATCH($D4359,'Paramètres'!$M:$M,0))&amp;"",""))),0,IF(OR(IFERROR(INDEX('Paramètres'!$I:$I,MATCH($C4359,'Paramètres'!$D:$D,0))&amp;"","")="Les deux",IFERROR(INDEX('Paramètres'!$I:$I,MATCH($C4359,'Paramètres'!$D:$D,0))&amp;"","")=IF($P4359=1,"Débit",$L4359)),-IF($P4359=1,-$K4359,$K4359),0))))</f>
        <v/>
      </c>
      <c r="U4359" s="6" t="str">
        <f>IF($K4359="","",IF(ISNUMBER(SEARCH("sortie-epargne",IFERROR(INDEX('Paramètres'!$N:$N,MATCH($D4359,'Paramètres'!$M:$M,0))&amp;"",""))),$K4359,0))</f>
        <v/>
      </c>
      <c r="V4359" s="6" t="str">
        <f>IF(AND($A4359&lt;&gt;"",$O4359=1,$L4359="Débit",N($Q4359)&gt;0,$A4359&gt;=Visualisation!$B$1,$A4359&lt;Visualisation!$D$1),MAX($V$1:V4358)+1,"")</f>
        <v/>
      </c>
    </row>
    <row r="4360" spans="1:22" x14ac:dyDescent="0.25">
      <c r="A4360" s="9"/>
      <c r="E4360" s="10"/>
      <c r="K4360" s="11" t="str">
        <f>IF($E4360="","",ROUND($E4360*IF(ISNA(MATCH($C4360,'Paramètres'!$D:$D,0)),1,IF(INDEX('Paramètres'!$J:$J,MATCH($C4360,'Paramètres'!$D:$D,0))="",1,INDEX('Paramètres'!$J:$J,MATCH($C4360,'Paramètres'!$D:$D,0)))),2))</f>
        <v/>
      </c>
      <c r="L4360" s="6" t="str">
        <f>IF($D4360="","",IF($F4360&lt;&gt;"",$F4360,IF(ISNA(MATCH($D4360,'Paramètres'!$M:$M,0)),"⚠ Type inconnu",IFERROR(INDEX('Paramètres'!$P:$P,MATCH($D4360,'Paramètres'!$M:$M,0))&amp;"",""))))</f>
        <v/>
      </c>
      <c r="M4360" s="6" t="str">
        <f>IF($D4360="","",IF(ISNA(MATCH($D4360,'Paramètres'!$M:$M,0)),"⚠ Type inconnu",IF($L4360="Crédit","",IFERROR(INDEX('Paramètres'!$O:$O,MATCH($D4360,'Paramètres'!$M:$M,0))&amp;"",""))))</f>
        <v/>
      </c>
      <c r="N4360" s="6" t="str">
        <f>IF($D4360="","",IFERROR(INDEX('Paramètres'!$Q:$Q,MATCH($D4360,'Paramètres'!$M:$M,0))&amp;"",""))</f>
        <v/>
      </c>
      <c r="O4360" s="6" t="str">
        <f>IF($A4360="","",IF(OR($J4360&lt;&gt;"x",$A4360&lt;=FinReleve),1,0))</f>
        <v/>
      </c>
      <c r="P4360" s="6" t="str">
        <f>IF($D4360="","",IF(AND($L4360="Crédit",OR(IFERROR(INDEX('Paramètres'!$O:$O,MATCH($D4360,'Paramètres'!$M:$M,0))&amp;"","")&lt;&gt;"",ISNUMBER(SEARCH("remboursement",IFERROR(INDEX('Paramètres'!$N:$N,MATCH($D4360,'Paramètres'!$M:$M,0))&amp;"",""))))),1,0))</f>
        <v/>
      </c>
      <c r="Q4360" s="6" t="str">
        <f>IF($K4360="","",IF(ISNUMBER(SEARCH("transfert-interne",IFERROR(INDEX('Paramètres'!$N:$N,MATCH($D4360,'Paramètres'!$M:$M,0))&amp;"",""))),0,IF($L4360="Débit",$K4360,IF($P4360=1,-$K4360,0))))</f>
        <v/>
      </c>
      <c r="R4360" s="6" t="str">
        <f>IF($K4360="","",IF($L4360="Crédit",$K4360,-$K4360))</f>
        <v/>
      </c>
      <c r="S4360" s="6" t="str">
        <f>IF($C4360="","",IFERROR(INDEX('Paramètres'!$H:$H,MATCH($C4360,'Paramètres'!$D:$D,0))&amp;"",""))</f>
        <v/>
      </c>
      <c r="T4360" s="6" t="str">
        <f>IF($K4360="","",IF($S4360="",0,IF(ISNUMBER(SEARCH("apport-exterieur",IFERROR(INDEX('Paramètres'!$N:$N,MATCH($D4360,'Paramètres'!$M:$M,0))&amp;"",""))),0,IF(OR(IFERROR(INDEX('Paramètres'!$I:$I,MATCH($C4360,'Paramètres'!$D:$D,0))&amp;"","")="Les deux",IFERROR(INDEX('Paramètres'!$I:$I,MATCH($C4360,'Paramètres'!$D:$D,0))&amp;"","")=IF($P4360=1,"Débit",$L4360)),-IF($P4360=1,-$K4360,$K4360),0))))</f>
        <v/>
      </c>
      <c r="U4360" s="6" t="str">
        <f>IF($K4360="","",IF(ISNUMBER(SEARCH("sortie-epargne",IFERROR(INDEX('Paramètres'!$N:$N,MATCH($D4360,'Paramètres'!$M:$M,0))&amp;"",""))),$K4360,0))</f>
        <v/>
      </c>
      <c r="V4360" s="6" t="str">
        <f>IF(AND($A4360&lt;&gt;"",$O4360=1,$L4360="Débit",N($Q4360)&gt;0,$A4360&gt;=Visualisation!$B$1,$A4360&lt;Visualisation!$D$1),MAX($V$1:V4359)+1,"")</f>
        <v/>
      </c>
    </row>
    <row r="4361" spans="1:22" x14ac:dyDescent="0.25">
      <c r="A4361" s="9"/>
      <c r="E4361" s="10"/>
      <c r="K4361" s="11" t="str">
        <f>IF($E4361="","",ROUND($E4361*IF(ISNA(MATCH($C4361,'Paramètres'!$D:$D,0)),1,IF(INDEX('Paramètres'!$J:$J,MATCH($C4361,'Paramètres'!$D:$D,0))="",1,INDEX('Paramètres'!$J:$J,MATCH($C4361,'Paramètres'!$D:$D,0)))),2))</f>
        <v/>
      </c>
      <c r="L4361" s="6" t="str">
        <f>IF($D4361="","",IF($F4361&lt;&gt;"",$F4361,IF(ISNA(MATCH($D4361,'Paramètres'!$M:$M,0)),"⚠ Type inconnu",IFERROR(INDEX('Paramètres'!$P:$P,MATCH($D4361,'Paramètres'!$M:$M,0))&amp;"",""))))</f>
        <v/>
      </c>
      <c r="M4361" s="6" t="str">
        <f>IF($D4361="","",IF(ISNA(MATCH($D4361,'Paramètres'!$M:$M,0)),"⚠ Type inconnu",IF($L4361="Crédit","",IFERROR(INDEX('Paramètres'!$O:$O,MATCH($D4361,'Paramètres'!$M:$M,0))&amp;"",""))))</f>
        <v/>
      </c>
      <c r="N4361" s="6" t="str">
        <f>IF($D4361="","",IFERROR(INDEX('Paramètres'!$Q:$Q,MATCH($D4361,'Paramètres'!$M:$M,0))&amp;"",""))</f>
        <v/>
      </c>
      <c r="O4361" s="6" t="str">
        <f>IF($A4361="","",IF(OR($J4361&lt;&gt;"x",$A4361&lt;=FinReleve),1,0))</f>
        <v/>
      </c>
      <c r="P4361" s="6" t="str">
        <f>IF($D4361="","",IF(AND($L4361="Crédit",OR(IFERROR(INDEX('Paramètres'!$O:$O,MATCH($D4361,'Paramètres'!$M:$M,0))&amp;"","")&lt;&gt;"",ISNUMBER(SEARCH("remboursement",IFERROR(INDEX('Paramètres'!$N:$N,MATCH($D4361,'Paramètres'!$M:$M,0))&amp;"",""))))),1,0))</f>
        <v/>
      </c>
      <c r="Q4361" s="6" t="str">
        <f>IF($K4361="","",IF(ISNUMBER(SEARCH("transfert-interne",IFERROR(INDEX('Paramètres'!$N:$N,MATCH($D4361,'Paramètres'!$M:$M,0))&amp;"",""))),0,IF($L4361="Débit",$K4361,IF($P4361=1,-$K4361,0))))</f>
        <v/>
      </c>
      <c r="R4361" s="6" t="str">
        <f>IF($K4361="","",IF($L4361="Crédit",$K4361,-$K4361))</f>
        <v/>
      </c>
      <c r="S4361" s="6" t="str">
        <f>IF($C4361="","",IFERROR(INDEX('Paramètres'!$H:$H,MATCH($C4361,'Paramètres'!$D:$D,0))&amp;"",""))</f>
        <v/>
      </c>
      <c r="T4361" s="6" t="str">
        <f>IF($K4361="","",IF($S4361="",0,IF(ISNUMBER(SEARCH("apport-exterieur",IFERROR(INDEX('Paramètres'!$N:$N,MATCH($D4361,'Paramètres'!$M:$M,0))&amp;"",""))),0,IF(OR(IFERROR(INDEX('Paramètres'!$I:$I,MATCH($C4361,'Paramètres'!$D:$D,0))&amp;"","")="Les deux",IFERROR(INDEX('Paramètres'!$I:$I,MATCH($C4361,'Paramètres'!$D:$D,0))&amp;"","")=IF($P4361=1,"Débit",$L4361)),-IF($P4361=1,-$K4361,$K4361),0))))</f>
        <v/>
      </c>
      <c r="U4361" s="6" t="str">
        <f>IF($K4361="","",IF(ISNUMBER(SEARCH("sortie-epargne",IFERROR(INDEX('Paramètres'!$N:$N,MATCH($D4361,'Paramètres'!$M:$M,0))&amp;"",""))),$K4361,0))</f>
        <v/>
      </c>
      <c r="V4361" s="6" t="str">
        <f>IF(AND($A4361&lt;&gt;"",$O4361=1,$L4361="Débit",N($Q4361)&gt;0,$A4361&gt;=Visualisation!$B$1,$A4361&lt;Visualisation!$D$1),MAX($V$1:V4360)+1,"")</f>
        <v/>
      </c>
    </row>
    <row r="4362" spans="1:22" x14ac:dyDescent="0.25">
      <c r="A4362" s="9"/>
      <c r="E4362" s="10"/>
      <c r="K4362" s="11" t="str">
        <f>IF($E4362="","",ROUND($E4362*IF(ISNA(MATCH($C4362,'Paramètres'!$D:$D,0)),1,IF(INDEX('Paramètres'!$J:$J,MATCH($C4362,'Paramètres'!$D:$D,0))="",1,INDEX('Paramètres'!$J:$J,MATCH($C4362,'Paramètres'!$D:$D,0)))),2))</f>
        <v/>
      </c>
      <c r="L4362" s="6" t="str">
        <f>IF($D4362="","",IF($F4362&lt;&gt;"",$F4362,IF(ISNA(MATCH($D4362,'Paramètres'!$M:$M,0)),"⚠ Type inconnu",IFERROR(INDEX('Paramètres'!$P:$P,MATCH($D4362,'Paramètres'!$M:$M,0))&amp;"",""))))</f>
        <v/>
      </c>
      <c r="M4362" s="6" t="str">
        <f>IF($D4362="","",IF(ISNA(MATCH($D4362,'Paramètres'!$M:$M,0)),"⚠ Type inconnu",IF($L4362="Crédit","",IFERROR(INDEX('Paramètres'!$O:$O,MATCH($D4362,'Paramètres'!$M:$M,0))&amp;"",""))))</f>
        <v/>
      </c>
      <c r="N4362" s="6" t="str">
        <f>IF($D4362="","",IFERROR(INDEX('Paramètres'!$Q:$Q,MATCH($D4362,'Paramètres'!$M:$M,0))&amp;"",""))</f>
        <v/>
      </c>
      <c r="O4362" s="6" t="str">
        <f>IF($A4362="","",IF(OR($J4362&lt;&gt;"x",$A4362&lt;=FinReleve),1,0))</f>
        <v/>
      </c>
      <c r="P4362" s="6" t="str">
        <f>IF($D4362="","",IF(AND($L4362="Crédit",OR(IFERROR(INDEX('Paramètres'!$O:$O,MATCH($D4362,'Paramètres'!$M:$M,0))&amp;"","")&lt;&gt;"",ISNUMBER(SEARCH("remboursement",IFERROR(INDEX('Paramètres'!$N:$N,MATCH($D4362,'Paramètres'!$M:$M,0))&amp;"",""))))),1,0))</f>
        <v/>
      </c>
      <c r="Q4362" s="6" t="str">
        <f>IF($K4362="","",IF(ISNUMBER(SEARCH("transfert-interne",IFERROR(INDEX('Paramètres'!$N:$N,MATCH($D4362,'Paramètres'!$M:$M,0))&amp;"",""))),0,IF($L4362="Débit",$K4362,IF($P4362=1,-$K4362,0))))</f>
        <v/>
      </c>
      <c r="R4362" s="6" t="str">
        <f>IF($K4362="","",IF($L4362="Crédit",$K4362,-$K4362))</f>
        <v/>
      </c>
      <c r="S4362" s="6" t="str">
        <f>IF($C4362="","",IFERROR(INDEX('Paramètres'!$H:$H,MATCH($C4362,'Paramètres'!$D:$D,0))&amp;"",""))</f>
        <v/>
      </c>
      <c r="T4362" s="6" t="str">
        <f>IF($K4362="","",IF($S4362="",0,IF(ISNUMBER(SEARCH("apport-exterieur",IFERROR(INDEX('Paramètres'!$N:$N,MATCH($D4362,'Paramètres'!$M:$M,0))&amp;"",""))),0,IF(OR(IFERROR(INDEX('Paramètres'!$I:$I,MATCH($C4362,'Paramètres'!$D:$D,0))&amp;"","")="Les deux",IFERROR(INDEX('Paramètres'!$I:$I,MATCH($C4362,'Paramètres'!$D:$D,0))&amp;"","")=IF($P4362=1,"Débit",$L4362)),-IF($P4362=1,-$K4362,$K4362),0))))</f>
        <v/>
      </c>
      <c r="U4362" s="6" t="str">
        <f>IF($K4362="","",IF(ISNUMBER(SEARCH("sortie-epargne",IFERROR(INDEX('Paramètres'!$N:$N,MATCH($D4362,'Paramètres'!$M:$M,0))&amp;"",""))),$K4362,0))</f>
        <v/>
      </c>
      <c r="V4362" s="6" t="str">
        <f>IF(AND($A4362&lt;&gt;"",$O4362=1,$L4362="Débit",N($Q4362)&gt;0,$A4362&gt;=Visualisation!$B$1,$A4362&lt;Visualisation!$D$1),MAX($V$1:V4361)+1,"")</f>
        <v/>
      </c>
    </row>
    <row r="4363" spans="1:22" x14ac:dyDescent="0.25">
      <c r="A4363" s="9"/>
      <c r="E4363" s="10"/>
      <c r="K4363" s="11" t="str">
        <f>IF($E4363="","",ROUND($E4363*IF(ISNA(MATCH($C4363,'Paramètres'!$D:$D,0)),1,IF(INDEX('Paramètres'!$J:$J,MATCH($C4363,'Paramètres'!$D:$D,0))="",1,INDEX('Paramètres'!$J:$J,MATCH($C4363,'Paramètres'!$D:$D,0)))),2))</f>
        <v/>
      </c>
      <c r="L4363" s="6" t="str">
        <f>IF($D4363="","",IF($F4363&lt;&gt;"",$F4363,IF(ISNA(MATCH($D4363,'Paramètres'!$M:$M,0)),"⚠ Type inconnu",IFERROR(INDEX('Paramètres'!$P:$P,MATCH($D4363,'Paramètres'!$M:$M,0))&amp;"",""))))</f>
        <v/>
      </c>
      <c r="M4363" s="6" t="str">
        <f>IF($D4363="","",IF(ISNA(MATCH($D4363,'Paramètres'!$M:$M,0)),"⚠ Type inconnu",IF($L4363="Crédit","",IFERROR(INDEX('Paramètres'!$O:$O,MATCH($D4363,'Paramètres'!$M:$M,0))&amp;"",""))))</f>
        <v/>
      </c>
      <c r="N4363" s="6" t="str">
        <f>IF($D4363="","",IFERROR(INDEX('Paramètres'!$Q:$Q,MATCH($D4363,'Paramètres'!$M:$M,0))&amp;"",""))</f>
        <v/>
      </c>
      <c r="O4363" s="6" t="str">
        <f>IF($A4363="","",IF(OR($J4363&lt;&gt;"x",$A4363&lt;=FinReleve),1,0))</f>
        <v/>
      </c>
      <c r="P4363" s="6" t="str">
        <f>IF($D4363="","",IF(AND($L4363="Crédit",OR(IFERROR(INDEX('Paramètres'!$O:$O,MATCH($D4363,'Paramètres'!$M:$M,0))&amp;"","")&lt;&gt;"",ISNUMBER(SEARCH("remboursement",IFERROR(INDEX('Paramètres'!$N:$N,MATCH($D4363,'Paramètres'!$M:$M,0))&amp;"",""))))),1,0))</f>
        <v/>
      </c>
      <c r="Q4363" s="6" t="str">
        <f>IF($K4363="","",IF(ISNUMBER(SEARCH("transfert-interne",IFERROR(INDEX('Paramètres'!$N:$N,MATCH($D4363,'Paramètres'!$M:$M,0))&amp;"",""))),0,IF($L4363="Débit",$K4363,IF($P4363=1,-$K4363,0))))</f>
        <v/>
      </c>
      <c r="R4363" s="6" t="str">
        <f>IF($K4363="","",IF($L4363="Crédit",$K4363,-$K4363))</f>
        <v/>
      </c>
      <c r="S4363" s="6" t="str">
        <f>IF($C4363="","",IFERROR(INDEX('Paramètres'!$H:$H,MATCH($C4363,'Paramètres'!$D:$D,0))&amp;"",""))</f>
        <v/>
      </c>
      <c r="T4363" s="6" t="str">
        <f>IF($K4363="","",IF($S4363="",0,IF(ISNUMBER(SEARCH("apport-exterieur",IFERROR(INDEX('Paramètres'!$N:$N,MATCH($D4363,'Paramètres'!$M:$M,0))&amp;"",""))),0,IF(OR(IFERROR(INDEX('Paramètres'!$I:$I,MATCH($C4363,'Paramètres'!$D:$D,0))&amp;"","")="Les deux",IFERROR(INDEX('Paramètres'!$I:$I,MATCH($C4363,'Paramètres'!$D:$D,0))&amp;"","")=IF($P4363=1,"Débit",$L4363)),-IF($P4363=1,-$K4363,$K4363),0))))</f>
        <v/>
      </c>
      <c r="U4363" s="6" t="str">
        <f>IF($K4363="","",IF(ISNUMBER(SEARCH("sortie-epargne",IFERROR(INDEX('Paramètres'!$N:$N,MATCH($D4363,'Paramètres'!$M:$M,0))&amp;"",""))),$K4363,0))</f>
        <v/>
      </c>
      <c r="V4363" s="6" t="str">
        <f>IF(AND($A4363&lt;&gt;"",$O4363=1,$L4363="Débit",N($Q4363)&gt;0,$A4363&gt;=Visualisation!$B$1,$A4363&lt;Visualisation!$D$1),MAX($V$1:V4362)+1,"")</f>
        <v/>
      </c>
    </row>
    <row r="4364" spans="1:22" x14ac:dyDescent="0.25">
      <c r="A4364" s="9"/>
      <c r="E4364" s="10"/>
      <c r="K4364" s="11" t="str">
        <f>IF($E4364="","",ROUND($E4364*IF(ISNA(MATCH($C4364,'Paramètres'!$D:$D,0)),1,IF(INDEX('Paramètres'!$J:$J,MATCH($C4364,'Paramètres'!$D:$D,0))="",1,INDEX('Paramètres'!$J:$J,MATCH($C4364,'Paramètres'!$D:$D,0)))),2))</f>
        <v/>
      </c>
      <c r="L4364" s="6" t="str">
        <f>IF($D4364="","",IF($F4364&lt;&gt;"",$F4364,IF(ISNA(MATCH($D4364,'Paramètres'!$M:$M,0)),"⚠ Type inconnu",IFERROR(INDEX('Paramètres'!$P:$P,MATCH($D4364,'Paramètres'!$M:$M,0))&amp;"",""))))</f>
        <v/>
      </c>
      <c r="M4364" s="6" t="str">
        <f>IF($D4364="","",IF(ISNA(MATCH($D4364,'Paramètres'!$M:$M,0)),"⚠ Type inconnu",IF($L4364="Crédit","",IFERROR(INDEX('Paramètres'!$O:$O,MATCH($D4364,'Paramètres'!$M:$M,0))&amp;"",""))))</f>
        <v/>
      </c>
      <c r="N4364" s="6" t="str">
        <f>IF($D4364="","",IFERROR(INDEX('Paramètres'!$Q:$Q,MATCH($D4364,'Paramètres'!$M:$M,0))&amp;"",""))</f>
        <v/>
      </c>
      <c r="O4364" s="6" t="str">
        <f>IF($A4364="","",IF(OR($J4364&lt;&gt;"x",$A4364&lt;=FinReleve),1,0))</f>
        <v/>
      </c>
      <c r="P4364" s="6" t="str">
        <f>IF($D4364="","",IF(AND($L4364="Crédit",OR(IFERROR(INDEX('Paramètres'!$O:$O,MATCH($D4364,'Paramètres'!$M:$M,0))&amp;"","")&lt;&gt;"",ISNUMBER(SEARCH("remboursement",IFERROR(INDEX('Paramètres'!$N:$N,MATCH($D4364,'Paramètres'!$M:$M,0))&amp;"",""))))),1,0))</f>
        <v/>
      </c>
      <c r="Q4364" s="6" t="str">
        <f>IF($K4364="","",IF(ISNUMBER(SEARCH("transfert-interne",IFERROR(INDEX('Paramètres'!$N:$N,MATCH($D4364,'Paramètres'!$M:$M,0))&amp;"",""))),0,IF($L4364="Débit",$K4364,IF($P4364=1,-$K4364,0))))</f>
        <v/>
      </c>
      <c r="R4364" s="6" t="str">
        <f>IF($K4364="","",IF($L4364="Crédit",$K4364,-$K4364))</f>
        <v/>
      </c>
      <c r="S4364" s="6" t="str">
        <f>IF($C4364="","",IFERROR(INDEX('Paramètres'!$H:$H,MATCH($C4364,'Paramètres'!$D:$D,0))&amp;"",""))</f>
        <v/>
      </c>
      <c r="T4364" s="6" t="str">
        <f>IF($K4364="","",IF($S4364="",0,IF(ISNUMBER(SEARCH("apport-exterieur",IFERROR(INDEX('Paramètres'!$N:$N,MATCH($D4364,'Paramètres'!$M:$M,0))&amp;"",""))),0,IF(OR(IFERROR(INDEX('Paramètres'!$I:$I,MATCH($C4364,'Paramètres'!$D:$D,0))&amp;"","")="Les deux",IFERROR(INDEX('Paramètres'!$I:$I,MATCH($C4364,'Paramètres'!$D:$D,0))&amp;"","")=IF($P4364=1,"Débit",$L4364)),-IF($P4364=1,-$K4364,$K4364),0))))</f>
        <v/>
      </c>
      <c r="U4364" s="6" t="str">
        <f>IF($K4364="","",IF(ISNUMBER(SEARCH("sortie-epargne",IFERROR(INDEX('Paramètres'!$N:$N,MATCH($D4364,'Paramètres'!$M:$M,0))&amp;"",""))),$K4364,0))</f>
        <v/>
      </c>
      <c r="V4364" s="6" t="str">
        <f>IF(AND($A4364&lt;&gt;"",$O4364=1,$L4364="Débit",N($Q4364)&gt;0,$A4364&gt;=Visualisation!$B$1,$A4364&lt;Visualisation!$D$1),MAX($V$1:V4363)+1,"")</f>
        <v/>
      </c>
    </row>
    <row r="4365" spans="1:22" x14ac:dyDescent="0.25">
      <c r="A4365" s="9"/>
      <c r="E4365" s="10"/>
      <c r="K4365" s="11" t="str">
        <f>IF($E4365="","",ROUND($E4365*IF(ISNA(MATCH($C4365,'Paramètres'!$D:$D,0)),1,IF(INDEX('Paramètres'!$J:$J,MATCH($C4365,'Paramètres'!$D:$D,0))="",1,INDEX('Paramètres'!$J:$J,MATCH($C4365,'Paramètres'!$D:$D,0)))),2))</f>
        <v/>
      </c>
      <c r="L4365" s="6" t="str">
        <f>IF($D4365="","",IF($F4365&lt;&gt;"",$F4365,IF(ISNA(MATCH($D4365,'Paramètres'!$M:$M,0)),"⚠ Type inconnu",IFERROR(INDEX('Paramètres'!$P:$P,MATCH($D4365,'Paramètres'!$M:$M,0))&amp;"",""))))</f>
        <v/>
      </c>
      <c r="M4365" s="6" t="str">
        <f>IF($D4365="","",IF(ISNA(MATCH($D4365,'Paramètres'!$M:$M,0)),"⚠ Type inconnu",IF($L4365="Crédit","",IFERROR(INDEX('Paramètres'!$O:$O,MATCH($D4365,'Paramètres'!$M:$M,0))&amp;"",""))))</f>
        <v/>
      </c>
      <c r="N4365" s="6" t="str">
        <f>IF($D4365="","",IFERROR(INDEX('Paramètres'!$Q:$Q,MATCH($D4365,'Paramètres'!$M:$M,0))&amp;"",""))</f>
        <v/>
      </c>
      <c r="O4365" s="6" t="str">
        <f>IF($A4365="","",IF(OR($J4365&lt;&gt;"x",$A4365&lt;=FinReleve),1,0))</f>
        <v/>
      </c>
      <c r="P4365" s="6" t="str">
        <f>IF($D4365="","",IF(AND($L4365="Crédit",OR(IFERROR(INDEX('Paramètres'!$O:$O,MATCH($D4365,'Paramètres'!$M:$M,0))&amp;"","")&lt;&gt;"",ISNUMBER(SEARCH("remboursement",IFERROR(INDEX('Paramètres'!$N:$N,MATCH($D4365,'Paramètres'!$M:$M,0))&amp;"",""))))),1,0))</f>
        <v/>
      </c>
      <c r="Q4365" s="6" t="str">
        <f>IF($K4365="","",IF(ISNUMBER(SEARCH("transfert-interne",IFERROR(INDEX('Paramètres'!$N:$N,MATCH($D4365,'Paramètres'!$M:$M,0))&amp;"",""))),0,IF($L4365="Débit",$K4365,IF($P4365=1,-$K4365,0))))</f>
        <v/>
      </c>
      <c r="R4365" s="6" t="str">
        <f>IF($K4365="","",IF($L4365="Crédit",$K4365,-$K4365))</f>
        <v/>
      </c>
      <c r="S4365" s="6" t="str">
        <f>IF($C4365="","",IFERROR(INDEX('Paramètres'!$H:$H,MATCH($C4365,'Paramètres'!$D:$D,0))&amp;"",""))</f>
        <v/>
      </c>
      <c r="T4365" s="6" t="str">
        <f>IF($K4365="","",IF($S4365="",0,IF(ISNUMBER(SEARCH("apport-exterieur",IFERROR(INDEX('Paramètres'!$N:$N,MATCH($D4365,'Paramètres'!$M:$M,0))&amp;"",""))),0,IF(OR(IFERROR(INDEX('Paramètres'!$I:$I,MATCH($C4365,'Paramètres'!$D:$D,0))&amp;"","")="Les deux",IFERROR(INDEX('Paramètres'!$I:$I,MATCH($C4365,'Paramètres'!$D:$D,0))&amp;"","")=IF($P4365=1,"Débit",$L4365)),-IF($P4365=1,-$K4365,$K4365),0))))</f>
        <v/>
      </c>
      <c r="U4365" s="6" t="str">
        <f>IF($K4365="","",IF(ISNUMBER(SEARCH("sortie-epargne",IFERROR(INDEX('Paramètres'!$N:$N,MATCH($D4365,'Paramètres'!$M:$M,0))&amp;"",""))),$K4365,0))</f>
        <v/>
      </c>
      <c r="V4365" s="6" t="str">
        <f>IF(AND($A4365&lt;&gt;"",$O4365=1,$L4365="Débit",N($Q4365)&gt;0,$A4365&gt;=Visualisation!$B$1,$A4365&lt;Visualisation!$D$1),MAX($V$1:V4364)+1,"")</f>
        <v/>
      </c>
    </row>
    <row r="4366" spans="1:22" x14ac:dyDescent="0.25">
      <c r="A4366" s="9"/>
      <c r="E4366" s="10"/>
      <c r="K4366" s="11" t="str">
        <f>IF($E4366="","",ROUND($E4366*IF(ISNA(MATCH($C4366,'Paramètres'!$D:$D,0)),1,IF(INDEX('Paramètres'!$J:$J,MATCH($C4366,'Paramètres'!$D:$D,0))="",1,INDEX('Paramètres'!$J:$J,MATCH($C4366,'Paramètres'!$D:$D,0)))),2))</f>
        <v/>
      </c>
      <c r="L4366" s="6" t="str">
        <f>IF($D4366="","",IF($F4366&lt;&gt;"",$F4366,IF(ISNA(MATCH($D4366,'Paramètres'!$M:$M,0)),"⚠ Type inconnu",IFERROR(INDEX('Paramètres'!$P:$P,MATCH($D4366,'Paramètres'!$M:$M,0))&amp;"",""))))</f>
        <v/>
      </c>
      <c r="M4366" s="6" t="str">
        <f>IF($D4366="","",IF(ISNA(MATCH($D4366,'Paramètres'!$M:$M,0)),"⚠ Type inconnu",IF($L4366="Crédit","",IFERROR(INDEX('Paramètres'!$O:$O,MATCH($D4366,'Paramètres'!$M:$M,0))&amp;"",""))))</f>
        <v/>
      </c>
      <c r="N4366" s="6" t="str">
        <f>IF($D4366="","",IFERROR(INDEX('Paramètres'!$Q:$Q,MATCH($D4366,'Paramètres'!$M:$M,0))&amp;"",""))</f>
        <v/>
      </c>
      <c r="O4366" s="6" t="str">
        <f>IF($A4366="","",IF(OR($J4366&lt;&gt;"x",$A4366&lt;=FinReleve),1,0))</f>
        <v/>
      </c>
      <c r="P4366" s="6" t="str">
        <f>IF($D4366="","",IF(AND($L4366="Crédit",OR(IFERROR(INDEX('Paramètres'!$O:$O,MATCH($D4366,'Paramètres'!$M:$M,0))&amp;"","")&lt;&gt;"",ISNUMBER(SEARCH("remboursement",IFERROR(INDEX('Paramètres'!$N:$N,MATCH($D4366,'Paramètres'!$M:$M,0))&amp;"",""))))),1,0))</f>
        <v/>
      </c>
      <c r="Q4366" s="6" t="str">
        <f>IF($K4366="","",IF(ISNUMBER(SEARCH("transfert-interne",IFERROR(INDEX('Paramètres'!$N:$N,MATCH($D4366,'Paramètres'!$M:$M,0))&amp;"",""))),0,IF($L4366="Débit",$K4366,IF($P4366=1,-$K4366,0))))</f>
        <v/>
      </c>
      <c r="R4366" s="6" t="str">
        <f>IF($K4366="","",IF($L4366="Crédit",$K4366,-$K4366))</f>
        <v/>
      </c>
      <c r="S4366" s="6" t="str">
        <f>IF($C4366="","",IFERROR(INDEX('Paramètres'!$H:$H,MATCH($C4366,'Paramètres'!$D:$D,0))&amp;"",""))</f>
        <v/>
      </c>
      <c r="T4366" s="6" t="str">
        <f>IF($K4366="","",IF($S4366="",0,IF(ISNUMBER(SEARCH("apport-exterieur",IFERROR(INDEX('Paramètres'!$N:$N,MATCH($D4366,'Paramètres'!$M:$M,0))&amp;"",""))),0,IF(OR(IFERROR(INDEX('Paramètres'!$I:$I,MATCH($C4366,'Paramètres'!$D:$D,0))&amp;"","")="Les deux",IFERROR(INDEX('Paramètres'!$I:$I,MATCH($C4366,'Paramètres'!$D:$D,0))&amp;"","")=IF($P4366=1,"Débit",$L4366)),-IF($P4366=1,-$K4366,$K4366),0))))</f>
        <v/>
      </c>
      <c r="U4366" s="6" t="str">
        <f>IF($K4366="","",IF(ISNUMBER(SEARCH("sortie-epargne",IFERROR(INDEX('Paramètres'!$N:$N,MATCH($D4366,'Paramètres'!$M:$M,0))&amp;"",""))),$K4366,0))</f>
        <v/>
      </c>
      <c r="V4366" s="6" t="str">
        <f>IF(AND($A4366&lt;&gt;"",$O4366=1,$L4366="Débit",N($Q4366)&gt;0,$A4366&gt;=Visualisation!$B$1,$A4366&lt;Visualisation!$D$1),MAX($V$1:V4365)+1,"")</f>
        <v/>
      </c>
    </row>
    <row r="4367" spans="1:22" x14ac:dyDescent="0.25">
      <c r="A4367" s="9"/>
      <c r="E4367" s="10"/>
      <c r="K4367" s="11" t="str">
        <f>IF($E4367="","",ROUND($E4367*IF(ISNA(MATCH($C4367,'Paramètres'!$D:$D,0)),1,IF(INDEX('Paramètres'!$J:$J,MATCH($C4367,'Paramètres'!$D:$D,0))="",1,INDEX('Paramètres'!$J:$J,MATCH($C4367,'Paramètres'!$D:$D,0)))),2))</f>
        <v/>
      </c>
      <c r="L4367" s="6" t="str">
        <f>IF($D4367="","",IF($F4367&lt;&gt;"",$F4367,IF(ISNA(MATCH($D4367,'Paramètres'!$M:$M,0)),"⚠ Type inconnu",IFERROR(INDEX('Paramètres'!$P:$P,MATCH($D4367,'Paramètres'!$M:$M,0))&amp;"",""))))</f>
        <v/>
      </c>
      <c r="M4367" s="6" t="str">
        <f>IF($D4367="","",IF(ISNA(MATCH($D4367,'Paramètres'!$M:$M,0)),"⚠ Type inconnu",IF($L4367="Crédit","",IFERROR(INDEX('Paramètres'!$O:$O,MATCH($D4367,'Paramètres'!$M:$M,0))&amp;"",""))))</f>
        <v/>
      </c>
      <c r="N4367" s="6" t="str">
        <f>IF($D4367="","",IFERROR(INDEX('Paramètres'!$Q:$Q,MATCH($D4367,'Paramètres'!$M:$M,0))&amp;"",""))</f>
        <v/>
      </c>
      <c r="O4367" s="6" t="str">
        <f>IF($A4367="","",IF(OR($J4367&lt;&gt;"x",$A4367&lt;=FinReleve),1,0))</f>
        <v/>
      </c>
      <c r="P4367" s="6" t="str">
        <f>IF($D4367="","",IF(AND($L4367="Crédit",OR(IFERROR(INDEX('Paramètres'!$O:$O,MATCH($D4367,'Paramètres'!$M:$M,0))&amp;"","")&lt;&gt;"",ISNUMBER(SEARCH("remboursement",IFERROR(INDEX('Paramètres'!$N:$N,MATCH($D4367,'Paramètres'!$M:$M,0))&amp;"",""))))),1,0))</f>
        <v/>
      </c>
      <c r="Q4367" s="6" t="str">
        <f>IF($K4367="","",IF(ISNUMBER(SEARCH("transfert-interne",IFERROR(INDEX('Paramètres'!$N:$N,MATCH($D4367,'Paramètres'!$M:$M,0))&amp;"",""))),0,IF($L4367="Débit",$K4367,IF($P4367=1,-$K4367,0))))</f>
        <v/>
      </c>
      <c r="R4367" s="6" t="str">
        <f>IF($K4367="","",IF($L4367="Crédit",$K4367,-$K4367))</f>
        <v/>
      </c>
      <c r="S4367" s="6" t="str">
        <f>IF($C4367="","",IFERROR(INDEX('Paramètres'!$H:$H,MATCH($C4367,'Paramètres'!$D:$D,0))&amp;"",""))</f>
        <v/>
      </c>
      <c r="T4367" s="6" t="str">
        <f>IF($K4367="","",IF($S4367="",0,IF(ISNUMBER(SEARCH("apport-exterieur",IFERROR(INDEX('Paramètres'!$N:$N,MATCH($D4367,'Paramètres'!$M:$M,0))&amp;"",""))),0,IF(OR(IFERROR(INDEX('Paramètres'!$I:$I,MATCH($C4367,'Paramètres'!$D:$D,0))&amp;"","")="Les deux",IFERROR(INDEX('Paramètres'!$I:$I,MATCH($C4367,'Paramètres'!$D:$D,0))&amp;"","")=IF($P4367=1,"Débit",$L4367)),-IF($P4367=1,-$K4367,$K4367),0))))</f>
        <v/>
      </c>
      <c r="U4367" s="6" t="str">
        <f>IF($K4367="","",IF(ISNUMBER(SEARCH("sortie-epargne",IFERROR(INDEX('Paramètres'!$N:$N,MATCH($D4367,'Paramètres'!$M:$M,0))&amp;"",""))),$K4367,0))</f>
        <v/>
      </c>
      <c r="V4367" s="6" t="str">
        <f>IF(AND($A4367&lt;&gt;"",$O4367=1,$L4367="Débit",N($Q4367)&gt;0,$A4367&gt;=Visualisation!$B$1,$A4367&lt;Visualisation!$D$1),MAX($V$1:V4366)+1,"")</f>
        <v/>
      </c>
    </row>
    <row r="4368" spans="1:22" x14ac:dyDescent="0.25">
      <c r="A4368" s="9"/>
      <c r="E4368" s="10"/>
      <c r="K4368" s="11" t="str">
        <f>IF($E4368="","",ROUND($E4368*IF(ISNA(MATCH($C4368,'Paramètres'!$D:$D,0)),1,IF(INDEX('Paramètres'!$J:$J,MATCH($C4368,'Paramètres'!$D:$D,0))="",1,INDEX('Paramètres'!$J:$J,MATCH($C4368,'Paramètres'!$D:$D,0)))),2))</f>
        <v/>
      </c>
      <c r="L4368" s="6" t="str">
        <f>IF($D4368="","",IF($F4368&lt;&gt;"",$F4368,IF(ISNA(MATCH($D4368,'Paramètres'!$M:$M,0)),"⚠ Type inconnu",IFERROR(INDEX('Paramètres'!$P:$P,MATCH($D4368,'Paramètres'!$M:$M,0))&amp;"",""))))</f>
        <v/>
      </c>
      <c r="M4368" s="6" t="str">
        <f>IF($D4368="","",IF(ISNA(MATCH($D4368,'Paramètres'!$M:$M,0)),"⚠ Type inconnu",IF($L4368="Crédit","",IFERROR(INDEX('Paramètres'!$O:$O,MATCH($D4368,'Paramètres'!$M:$M,0))&amp;"",""))))</f>
        <v/>
      </c>
      <c r="N4368" s="6" t="str">
        <f>IF($D4368="","",IFERROR(INDEX('Paramètres'!$Q:$Q,MATCH($D4368,'Paramètres'!$M:$M,0))&amp;"",""))</f>
        <v/>
      </c>
      <c r="O4368" s="6" t="str">
        <f>IF($A4368="","",IF(OR($J4368&lt;&gt;"x",$A4368&lt;=FinReleve),1,0))</f>
        <v/>
      </c>
      <c r="P4368" s="6" t="str">
        <f>IF($D4368="","",IF(AND($L4368="Crédit",OR(IFERROR(INDEX('Paramètres'!$O:$O,MATCH($D4368,'Paramètres'!$M:$M,0))&amp;"","")&lt;&gt;"",ISNUMBER(SEARCH("remboursement",IFERROR(INDEX('Paramètres'!$N:$N,MATCH($D4368,'Paramètres'!$M:$M,0))&amp;"",""))))),1,0))</f>
        <v/>
      </c>
      <c r="Q4368" s="6" t="str">
        <f>IF($K4368="","",IF(ISNUMBER(SEARCH("transfert-interne",IFERROR(INDEX('Paramètres'!$N:$N,MATCH($D4368,'Paramètres'!$M:$M,0))&amp;"",""))),0,IF($L4368="Débit",$K4368,IF($P4368=1,-$K4368,0))))</f>
        <v/>
      </c>
      <c r="R4368" s="6" t="str">
        <f>IF($K4368="","",IF($L4368="Crédit",$K4368,-$K4368))</f>
        <v/>
      </c>
      <c r="S4368" s="6" t="str">
        <f>IF($C4368="","",IFERROR(INDEX('Paramètres'!$H:$H,MATCH($C4368,'Paramètres'!$D:$D,0))&amp;"",""))</f>
        <v/>
      </c>
      <c r="T4368" s="6" t="str">
        <f>IF($K4368="","",IF($S4368="",0,IF(ISNUMBER(SEARCH("apport-exterieur",IFERROR(INDEX('Paramètres'!$N:$N,MATCH($D4368,'Paramètres'!$M:$M,0))&amp;"",""))),0,IF(OR(IFERROR(INDEX('Paramètres'!$I:$I,MATCH($C4368,'Paramètres'!$D:$D,0))&amp;"","")="Les deux",IFERROR(INDEX('Paramètres'!$I:$I,MATCH($C4368,'Paramètres'!$D:$D,0))&amp;"","")=IF($P4368=1,"Débit",$L4368)),-IF($P4368=1,-$K4368,$K4368),0))))</f>
        <v/>
      </c>
      <c r="U4368" s="6" t="str">
        <f>IF($K4368="","",IF(ISNUMBER(SEARCH("sortie-epargne",IFERROR(INDEX('Paramètres'!$N:$N,MATCH($D4368,'Paramètres'!$M:$M,0))&amp;"",""))),$K4368,0))</f>
        <v/>
      </c>
      <c r="V4368" s="6" t="str">
        <f>IF(AND($A4368&lt;&gt;"",$O4368=1,$L4368="Débit",N($Q4368)&gt;0,$A4368&gt;=Visualisation!$B$1,$A4368&lt;Visualisation!$D$1),MAX($V$1:V4367)+1,"")</f>
        <v/>
      </c>
    </row>
    <row r="4369" spans="1:22" x14ac:dyDescent="0.25">
      <c r="A4369" s="9"/>
      <c r="E4369" s="10"/>
      <c r="K4369" s="11" t="str">
        <f>IF($E4369="","",ROUND($E4369*IF(ISNA(MATCH($C4369,'Paramètres'!$D:$D,0)),1,IF(INDEX('Paramètres'!$J:$J,MATCH($C4369,'Paramètres'!$D:$D,0))="",1,INDEX('Paramètres'!$J:$J,MATCH($C4369,'Paramètres'!$D:$D,0)))),2))</f>
        <v/>
      </c>
      <c r="L4369" s="6" t="str">
        <f>IF($D4369="","",IF($F4369&lt;&gt;"",$F4369,IF(ISNA(MATCH($D4369,'Paramètres'!$M:$M,0)),"⚠ Type inconnu",IFERROR(INDEX('Paramètres'!$P:$P,MATCH($D4369,'Paramètres'!$M:$M,0))&amp;"",""))))</f>
        <v/>
      </c>
      <c r="M4369" s="6" t="str">
        <f>IF($D4369="","",IF(ISNA(MATCH($D4369,'Paramètres'!$M:$M,0)),"⚠ Type inconnu",IF($L4369="Crédit","",IFERROR(INDEX('Paramètres'!$O:$O,MATCH($D4369,'Paramètres'!$M:$M,0))&amp;"",""))))</f>
        <v/>
      </c>
      <c r="N4369" s="6" t="str">
        <f>IF($D4369="","",IFERROR(INDEX('Paramètres'!$Q:$Q,MATCH($D4369,'Paramètres'!$M:$M,0))&amp;"",""))</f>
        <v/>
      </c>
      <c r="O4369" s="6" t="str">
        <f>IF($A4369="","",IF(OR($J4369&lt;&gt;"x",$A4369&lt;=FinReleve),1,0))</f>
        <v/>
      </c>
      <c r="P4369" s="6" t="str">
        <f>IF($D4369="","",IF(AND($L4369="Crédit",OR(IFERROR(INDEX('Paramètres'!$O:$O,MATCH($D4369,'Paramètres'!$M:$M,0))&amp;"","")&lt;&gt;"",ISNUMBER(SEARCH("remboursement",IFERROR(INDEX('Paramètres'!$N:$N,MATCH($D4369,'Paramètres'!$M:$M,0))&amp;"",""))))),1,0))</f>
        <v/>
      </c>
      <c r="Q4369" s="6" t="str">
        <f>IF($K4369="","",IF(ISNUMBER(SEARCH("transfert-interne",IFERROR(INDEX('Paramètres'!$N:$N,MATCH($D4369,'Paramètres'!$M:$M,0))&amp;"",""))),0,IF($L4369="Débit",$K4369,IF($P4369=1,-$K4369,0))))</f>
        <v/>
      </c>
      <c r="R4369" s="6" t="str">
        <f>IF($K4369="","",IF($L4369="Crédit",$K4369,-$K4369))</f>
        <v/>
      </c>
      <c r="S4369" s="6" t="str">
        <f>IF($C4369="","",IFERROR(INDEX('Paramètres'!$H:$H,MATCH($C4369,'Paramètres'!$D:$D,0))&amp;"",""))</f>
        <v/>
      </c>
      <c r="T4369" s="6" t="str">
        <f>IF($K4369="","",IF($S4369="",0,IF(ISNUMBER(SEARCH("apport-exterieur",IFERROR(INDEX('Paramètres'!$N:$N,MATCH($D4369,'Paramètres'!$M:$M,0))&amp;"",""))),0,IF(OR(IFERROR(INDEX('Paramètres'!$I:$I,MATCH($C4369,'Paramètres'!$D:$D,0))&amp;"","")="Les deux",IFERROR(INDEX('Paramètres'!$I:$I,MATCH($C4369,'Paramètres'!$D:$D,0))&amp;"","")=IF($P4369=1,"Débit",$L4369)),-IF($P4369=1,-$K4369,$K4369),0))))</f>
        <v/>
      </c>
      <c r="U4369" s="6" t="str">
        <f>IF($K4369="","",IF(ISNUMBER(SEARCH("sortie-epargne",IFERROR(INDEX('Paramètres'!$N:$N,MATCH($D4369,'Paramètres'!$M:$M,0))&amp;"",""))),$K4369,0))</f>
        <v/>
      </c>
      <c r="V4369" s="6" t="str">
        <f>IF(AND($A4369&lt;&gt;"",$O4369=1,$L4369="Débit",N($Q4369)&gt;0,$A4369&gt;=Visualisation!$B$1,$A4369&lt;Visualisation!$D$1),MAX($V$1:V4368)+1,"")</f>
        <v/>
      </c>
    </row>
    <row r="4370" spans="1:22" x14ac:dyDescent="0.25">
      <c r="A4370" s="9"/>
      <c r="E4370" s="10"/>
      <c r="K4370" s="11" t="str">
        <f>IF($E4370="","",ROUND($E4370*IF(ISNA(MATCH($C4370,'Paramètres'!$D:$D,0)),1,IF(INDEX('Paramètres'!$J:$J,MATCH($C4370,'Paramètres'!$D:$D,0))="",1,INDEX('Paramètres'!$J:$J,MATCH($C4370,'Paramètres'!$D:$D,0)))),2))</f>
        <v/>
      </c>
      <c r="L4370" s="6" t="str">
        <f>IF($D4370="","",IF($F4370&lt;&gt;"",$F4370,IF(ISNA(MATCH($D4370,'Paramètres'!$M:$M,0)),"⚠ Type inconnu",IFERROR(INDEX('Paramètres'!$P:$P,MATCH($D4370,'Paramètres'!$M:$M,0))&amp;"",""))))</f>
        <v/>
      </c>
      <c r="M4370" s="6" t="str">
        <f>IF($D4370="","",IF(ISNA(MATCH($D4370,'Paramètres'!$M:$M,0)),"⚠ Type inconnu",IF($L4370="Crédit","",IFERROR(INDEX('Paramètres'!$O:$O,MATCH($D4370,'Paramètres'!$M:$M,0))&amp;"",""))))</f>
        <v/>
      </c>
      <c r="N4370" s="6" t="str">
        <f>IF($D4370="","",IFERROR(INDEX('Paramètres'!$Q:$Q,MATCH($D4370,'Paramètres'!$M:$M,0))&amp;"",""))</f>
        <v/>
      </c>
      <c r="O4370" s="6" t="str">
        <f>IF($A4370="","",IF(OR($J4370&lt;&gt;"x",$A4370&lt;=FinReleve),1,0))</f>
        <v/>
      </c>
      <c r="P4370" s="6" t="str">
        <f>IF($D4370="","",IF(AND($L4370="Crédit",OR(IFERROR(INDEX('Paramètres'!$O:$O,MATCH($D4370,'Paramètres'!$M:$M,0))&amp;"","")&lt;&gt;"",ISNUMBER(SEARCH("remboursement",IFERROR(INDEX('Paramètres'!$N:$N,MATCH($D4370,'Paramètres'!$M:$M,0))&amp;"",""))))),1,0))</f>
        <v/>
      </c>
      <c r="Q4370" s="6" t="str">
        <f>IF($K4370="","",IF(ISNUMBER(SEARCH("transfert-interne",IFERROR(INDEX('Paramètres'!$N:$N,MATCH($D4370,'Paramètres'!$M:$M,0))&amp;"",""))),0,IF($L4370="Débit",$K4370,IF($P4370=1,-$K4370,0))))</f>
        <v/>
      </c>
      <c r="R4370" s="6" t="str">
        <f>IF($K4370="","",IF($L4370="Crédit",$K4370,-$K4370))</f>
        <v/>
      </c>
      <c r="S4370" s="6" t="str">
        <f>IF($C4370="","",IFERROR(INDEX('Paramètres'!$H:$H,MATCH($C4370,'Paramètres'!$D:$D,0))&amp;"",""))</f>
        <v/>
      </c>
      <c r="T4370" s="6" t="str">
        <f>IF($K4370="","",IF($S4370="",0,IF(ISNUMBER(SEARCH("apport-exterieur",IFERROR(INDEX('Paramètres'!$N:$N,MATCH($D4370,'Paramètres'!$M:$M,0))&amp;"",""))),0,IF(OR(IFERROR(INDEX('Paramètres'!$I:$I,MATCH($C4370,'Paramètres'!$D:$D,0))&amp;"","")="Les deux",IFERROR(INDEX('Paramètres'!$I:$I,MATCH($C4370,'Paramètres'!$D:$D,0))&amp;"","")=IF($P4370=1,"Débit",$L4370)),-IF($P4370=1,-$K4370,$K4370),0))))</f>
        <v/>
      </c>
      <c r="U4370" s="6" t="str">
        <f>IF($K4370="","",IF(ISNUMBER(SEARCH("sortie-epargne",IFERROR(INDEX('Paramètres'!$N:$N,MATCH($D4370,'Paramètres'!$M:$M,0))&amp;"",""))),$K4370,0))</f>
        <v/>
      </c>
      <c r="V4370" s="6" t="str">
        <f>IF(AND($A4370&lt;&gt;"",$O4370=1,$L4370="Débit",N($Q4370)&gt;0,$A4370&gt;=Visualisation!$B$1,$A4370&lt;Visualisation!$D$1),MAX($V$1:V4369)+1,"")</f>
        <v/>
      </c>
    </row>
    <row r="4371" spans="1:22" x14ac:dyDescent="0.25">
      <c r="A4371" s="9"/>
      <c r="E4371" s="10"/>
      <c r="K4371" s="11" t="str">
        <f>IF($E4371="","",ROUND($E4371*IF(ISNA(MATCH($C4371,'Paramètres'!$D:$D,0)),1,IF(INDEX('Paramètres'!$J:$J,MATCH($C4371,'Paramètres'!$D:$D,0))="",1,INDEX('Paramètres'!$J:$J,MATCH($C4371,'Paramètres'!$D:$D,0)))),2))</f>
        <v/>
      </c>
      <c r="L4371" s="6" t="str">
        <f>IF($D4371="","",IF($F4371&lt;&gt;"",$F4371,IF(ISNA(MATCH($D4371,'Paramètres'!$M:$M,0)),"⚠ Type inconnu",IFERROR(INDEX('Paramètres'!$P:$P,MATCH($D4371,'Paramètres'!$M:$M,0))&amp;"",""))))</f>
        <v/>
      </c>
      <c r="M4371" s="6" t="str">
        <f>IF($D4371="","",IF(ISNA(MATCH($D4371,'Paramètres'!$M:$M,0)),"⚠ Type inconnu",IF($L4371="Crédit","",IFERROR(INDEX('Paramètres'!$O:$O,MATCH($D4371,'Paramètres'!$M:$M,0))&amp;"",""))))</f>
        <v/>
      </c>
      <c r="N4371" s="6" t="str">
        <f>IF($D4371="","",IFERROR(INDEX('Paramètres'!$Q:$Q,MATCH($D4371,'Paramètres'!$M:$M,0))&amp;"",""))</f>
        <v/>
      </c>
      <c r="O4371" s="6" t="str">
        <f>IF($A4371="","",IF(OR($J4371&lt;&gt;"x",$A4371&lt;=FinReleve),1,0))</f>
        <v/>
      </c>
      <c r="P4371" s="6" t="str">
        <f>IF($D4371="","",IF(AND($L4371="Crédit",OR(IFERROR(INDEX('Paramètres'!$O:$O,MATCH($D4371,'Paramètres'!$M:$M,0))&amp;"","")&lt;&gt;"",ISNUMBER(SEARCH("remboursement",IFERROR(INDEX('Paramètres'!$N:$N,MATCH($D4371,'Paramètres'!$M:$M,0))&amp;"",""))))),1,0))</f>
        <v/>
      </c>
      <c r="Q4371" s="6" t="str">
        <f>IF($K4371="","",IF(ISNUMBER(SEARCH("transfert-interne",IFERROR(INDEX('Paramètres'!$N:$N,MATCH($D4371,'Paramètres'!$M:$M,0))&amp;"",""))),0,IF($L4371="Débit",$K4371,IF($P4371=1,-$K4371,0))))</f>
        <v/>
      </c>
      <c r="R4371" s="6" t="str">
        <f>IF($K4371="","",IF($L4371="Crédit",$K4371,-$K4371))</f>
        <v/>
      </c>
      <c r="S4371" s="6" t="str">
        <f>IF($C4371="","",IFERROR(INDEX('Paramètres'!$H:$H,MATCH($C4371,'Paramètres'!$D:$D,0))&amp;"",""))</f>
        <v/>
      </c>
      <c r="T4371" s="6" t="str">
        <f>IF($K4371="","",IF($S4371="",0,IF(ISNUMBER(SEARCH("apport-exterieur",IFERROR(INDEX('Paramètres'!$N:$N,MATCH($D4371,'Paramètres'!$M:$M,0))&amp;"",""))),0,IF(OR(IFERROR(INDEX('Paramètres'!$I:$I,MATCH($C4371,'Paramètres'!$D:$D,0))&amp;"","")="Les deux",IFERROR(INDEX('Paramètres'!$I:$I,MATCH($C4371,'Paramètres'!$D:$D,0))&amp;"","")=IF($P4371=1,"Débit",$L4371)),-IF($P4371=1,-$K4371,$K4371),0))))</f>
        <v/>
      </c>
      <c r="U4371" s="6" t="str">
        <f>IF($K4371="","",IF(ISNUMBER(SEARCH("sortie-epargne",IFERROR(INDEX('Paramètres'!$N:$N,MATCH($D4371,'Paramètres'!$M:$M,0))&amp;"",""))),$K4371,0))</f>
        <v/>
      </c>
      <c r="V4371" s="6" t="str">
        <f>IF(AND($A4371&lt;&gt;"",$O4371=1,$L4371="Débit",N($Q4371)&gt;0,$A4371&gt;=Visualisation!$B$1,$A4371&lt;Visualisation!$D$1),MAX($V$1:V4370)+1,"")</f>
        <v/>
      </c>
    </row>
    <row r="4372" spans="1:22" x14ac:dyDescent="0.25">
      <c r="A4372" s="9"/>
      <c r="E4372" s="10"/>
      <c r="K4372" s="11" t="str">
        <f>IF($E4372="","",ROUND($E4372*IF(ISNA(MATCH($C4372,'Paramètres'!$D:$D,0)),1,IF(INDEX('Paramètres'!$J:$J,MATCH($C4372,'Paramètres'!$D:$D,0))="",1,INDEX('Paramètres'!$J:$J,MATCH($C4372,'Paramètres'!$D:$D,0)))),2))</f>
        <v/>
      </c>
      <c r="L4372" s="6" t="str">
        <f>IF($D4372="","",IF($F4372&lt;&gt;"",$F4372,IF(ISNA(MATCH($D4372,'Paramètres'!$M:$M,0)),"⚠ Type inconnu",IFERROR(INDEX('Paramètres'!$P:$P,MATCH($D4372,'Paramètres'!$M:$M,0))&amp;"",""))))</f>
        <v/>
      </c>
      <c r="M4372" s="6" t="str">
        <f>IF($D4372="","",IF(ISNA(MATCH($D4372,'Paramètres'!$M:$M,0)),"⚠ Type inconnu",IF($L4372="Crédit","",IFERROR(INDEX('Paramètres'!$O:$O,MATCH($D4372,'Paramètres'!$M:$M,0))&amp;"",""))))</f>
        <v/>
      </c>
      <c r="N4372" s="6" t="str">
        <f>IF($D4372="","",IFERROR(INDEX('Paramètres'!$Q:$Q,MATCH($D4372,'Paramètres'!$M:$M,0))&amp;"",""))</f>
        <v/>
      </c>
      <c r="O4372" s="6" t="str">
        <f>IF($A4372="","",IF(OR($J4372&lt;&gt;"x",$A4372&lt;=FinReleve),1,0))</f>
        <v/>
      </c>
      <c r="P4372" s="6" t="str">
        <f>IF($D4372="","",IF(AND($L4372="Crédit",OR(IFERROR(INDEX('Paramètres'!$O:$O,MATCH($D4372,'Paramètres'!$M:$M,0))&amp;"","")&lt;&gt;"",ISNUMBER(SEARCH("remboursement",IFERROR(INDEX('Paramètres'!$N:$N,MATCH($D4372,'Paramètres'!$M:$M,0))&amp;"",""))))),1,0))</f>
        <v/>
      </c>
      <c r="Q4372" s="6" t="str">
        <f>IF($K4372="","",IF(ISNUMBER(SEARCH("transfert-interne",IFERROR(INDEX('Paramètres'!$N:$N,MATCH($D4372,'Paramètres'!$M:$M,0))&amp;"",""))),0,IF($L4372="Débit",$K4372,IF($P4372=1,-$K4372,0))))</f>
        <v/>
      </c>
      <c r="R4372" s="6" t="str">
        <f>IF($K4372="","",IF($L4372="Crédit",$K4372,-$K4372))</f>
        <v/>
      </c>
      <c r="S4372" s="6" t="str">
        <f>IF($C4372="","",IFERROR(INDEX('Paramètres'!$H:$H,MATCH($C4372,'Paramètres'!$D:$D,0))&amp;"",""))</f>
        <v/>
      </c>
      <c r="T4372" s="6" t="str">
        <f>IF($K4372="","",IF($S4372="",0,IF(ISNUMBER(SEARCH("apport-exterieur",IFERROR(INDEX('Paramètres'!$N:$N,MATCH($D4372,'Paramètres'!$M:$M,0))&amp;"",""))),0,IF(OR(IFERROR(INDEX('Paramètres'!$I:$I,MATCH($C4372,'Paramètres'!$D:$D,0))&amp;"","")="Les deux",IFERROR(INDEX('Paramètres'!$I:$I,MATCH($C4372,'Paramètres'!$D:$D,0))&amp;"","")=IF($P4372=1,"Débit",$L4372)),-IF($P4372=1,-$K4372,$K4372),0))))</f>
        <v/>
      </c>
      <c r="U4372" s="6" t="str">
        <f>IF($K4372="","",IF(ISNUMBER(SEARCH("sortie-epargne",IFERROR(INDEX('Paramètres'!$N:$N,MATCH($D4372,'Paramètres'!$M:$M,0))&amp;"",""))),$K4372,0))</f>
        <v/>
      </c>
      <c r="V4372" s="6" t="str">
        <f>IF(AND($A4372&lt;&gt;"",$O4372=1,$L4372="Débit",N($Q4372)&gt;0,$A4372&gt;=Visualisation!$B$1,$A4372&lt;Visualisation!$D$1),MAX($V$1:V4371)+1,"")</f>
        <v/>
      </c>
    </row>
    <row r="4373" spans="1:22" x14ac:dyDescent="0.25">
      <c r="A4373" s="9"/>
      <c r="E4373" s="10"/>
      <c r="K4373" s="11" t="str">
        <f>IF($E4373="","",ROUND($E4373*IF(ISNA(MATCH($C4373,'Paramètres'!$D:$D,0)),1,IF(INDEX('Paramètres'!$J:$J,MATCH($C4373,'Paramètres'!$D:$D,0))="",1,INDEX('Paramètres'!$J:$J,MATCH($C4373,'Paramètres'!$D:$D,0)))),2))</f>
        <v/>
      </c>
      <c r="L4373" s="6" t="str">
        <f>IF($D4373="","",IF($F4373&lt;&gt;"",$F4373,IF(ISNA(MATCH($D4373,'Paramètres'!$M:$M,0)),"⚠ Type inconnu",IFERROR(INDEX('Paramètres'!$P:$P,MATCH($D4373,'Paramètres'!$M:$M,0))&amp;"",""))))</f>
        <v/>
      </c>
      <c r="M4373" s="6" t="str">
        <f>IF($D4373="","",IF(ISNA(MATCH($D4373,'Paramètres'!$M:$M,0)),"⚠ Type inconnu",IF($L4373="Crédit","",IFERROR(INDEX('Paramètres'!$O:$O,MATCH($D4373,'Paramètres'!$M:$M,0))&amp;"",""))))</f>
        <v/>
      </c>
      <c r="N4373" s="6" t="str">
        <f>IF($D4373="","",IFERROR(INDEX('Paramètres'!$Q:$Q,MATCH($D4373,'Paramètres'!$M:$M,0))&amp;"",""))</f>
        <v/>
      </c>
      <c r="O4373" s="6" t="str">
        <f>IF($A4373="","",IF(OR($J4373&lt;&gt;"x",$A4373&lt;=FinReleve),1,0))</f>
        <v/>
      </c>
      <c r="P4373" s="6" t="str">
        <f>IF($D4373="","",IF(AND($L4373="Crédit",OR(IFERROR(INDEX('Paramètres'!$O:$O,MATCH($D4373,'Paramètres'!$M:$M,0))&amp;"","")&lt;&gt;"",ISNUMBER(SEARCH("remboursement",IFERROR(INDEX('Paramètres'!$N:$N,MATCH($D4373,'Paramètres'!$M:$M,0))&amp;"",""))))),1,0))</f>
        <v/>
      </c>
      <c r="Q4373" s="6" t="str">
        <f>IF($K4373="","",IF(ISNUMBER(SEARCH("transfert-interne",IFERROR(INDEX('Paramètres'!$N:$N,MATCH($D4373,'Paramètres'!$M:$M,0))&amp;"",""))),0,IF($L4373="Débit",$K4373,IF($P4373=1,-$K4373,0))))</f>
        <v/>
      </c>
      <c r="R4373" s="6" t="str">
        <f>IF($K4373="","",IF($L4373="Crédit",$K4373,-$K4373))</f>
        <v/>
      </c>
      <c r="S4373" s="6" t="str">
        <f>IF($C4373="","",IFERROR(INDEX('Paramètres'!$H:$H,MATCH($C4373,'Paramètres'!$D:$D,0))&amp;"",""))</f>
        <v/>
      </c>
      <c r="T4373" s="6" t="str">
        <f>IF($K4373="","",IF($S4373="",0,IF(ISNUMBER(SEARCH("apport-exterieur",IFERROR(INDEX('Paramètres'!$N:$N,MATCH($D4373,'Paramètres'!$M:$M,0))&amp;"",""))),0,IF(OR(IFERROR(INDEX('Paramètres'!$I:$I,MATCH($C4373,'Paramètres'!$D:$D,0))&amp;"","")="Les deux",IFERROR(INDEX('Paramètres'!$I:$I,MATCH($C4373,'Paramètres'!$D:$D,0))&amp;"","")=IF($P4373=1,"Débit",$L4373)),-IF($P4373=1,-$K4373,$K4373),0))))</f>
        <v/>
      </c>
      <c r="U4373" s="6" t="str">
        <f>IF($K4373="","",IF(ISNUMBER(SEARCH("sortie-epargne",IFERROR(INDEX('Paramètres'!$N:$N,MATCH($D4373,'Paramètres'!$M:$M,0))&amp;"",""))),$K4373,0))</f>
        <v/>
      </c>
      <c r="V4373" s="6" t="str">
        <f>IF(AND($A4373&lt;&gt;"",$O4373=1,$L4373="Débit",N($Q4373)&gt;0,$A4373&gt;=Visualisation!$B$1,$A4373&lt;Visualisation!$D$1),MAX($V$1:V4372)+1,"")</f>
        <v/>
      </c>
    </row>
    <row r="4374" spans="1:22" x14ac:dyDescent="0.25">
      <c r="A4374" s="9"/>
      <c r="E4374" s="10"/>
      <c r="K4374" s="11" t="str">
        <f>IF($E4374="","",ROUND($E4374*IF(ISNA(MATCH($C4374,'Paramètres'!$D:$D,0)),1,IF(INDEX('Paramètres'!$J:$J,MATCH($C4374,'Paramètres'!$D:$D,0))="",1,INDEX('Paramètres'!$J:$J,MATCH($C4374,'Paramètres'!$D:$D,0)))),2))</f>
        <v/>
      </c>
      <c r="L4374" s="6" t="str">
        <f>IF($D4374="","",IF($F4374&lt;&gt;"",$F4374,IF(ISNA(MATCH($D4374,'Paramètres'!$M:$M,0)),"⚠ Type inconnu",IFERROR(INDEX('Paramètres'!$P:$P,MATCH($D4374,'Paramètres'!$M:$M,0))&amp;"",""))))</f>
        <v/>
      </c>
      <c r="M4374" s="6" t="str">
        <f>IF($D4374="","",IF(ISNA(MATCH($D4374,'Paramètres'!$M:$M,0)),"⚠ Type inconnu",IF($L4374="Crédit","",IFERROR(INDEX('Paramètres'!$O:$O,MATCH($D4374,'Paramètres'!$M:$M,0))&amp;"",""))))</f>
        <v/>
      </c>
      <c r="N4374" s="6" t="str">
        <f>IF($D4374="","",IFERROR(INDEX('Paramètres'!$Q:$Q,MATCH($D4374,'Paramètres'!$M:$M,0))&amp;"",""))</f>
        <v/>
      </c>
      <c r="O4374" s="6" t="str">
        <f>IF($A4374="","",IF(OR($J4374&lt;&gt;"x",$A4374&lt;=FinReleve),1,0))</f>
        <v/>
      </c>
      <c r="P4374" s="6" t="str">
        <f>IF($D4374="","",IF(AND($L4374="Crédit",OR(IFERROR(INDEX('Paramètres'!$O:$O,MATCH($D4374,'Paramètres'!$M:$M,0))&amp;"","")&lt;&gt;"",ISNUMBER(SEARCH("remboursement",IFERROR(INDEX('Paramètres'!$N:$N,MATCH($D4374,'Paramètres'!$M:$M,0))&amp;"",""))))),1,0))</f>
        <v/>
      </c>
      <c r="Q4374" s="6" t="str">
        <f>IF($K4374="","",IF(ISNUMBER(SEARCH("transfert-interne",IFERROR(INDEX('Paramètres'!$N:$N,MATCH($D4374,'Paramètres'!$M:$M,0))&amp;"",""))),0,IF($L4374="Débit",$K4374,IF($P4374=1,-$K4374,0))))</f>
        <v/>
      </c>
      <c r="R4374" s="6" t="str">
        <f>IF($K4374="","",IF($L4374="Crédit",$K4374,-$K4374))</f>
        <v/>
      </c>
      <c r="S4374" s="6" t="str">
        <f>IF($C4374="","",IFERROR(INDEX('Paramètres'!$H:$H,MATCH($C4374,'Paramètres'!$D:$D,0))&amp;"",""))</f>
        <v/>
      </c>
      <c r="T4374" s="6" t="str">
        <f>IF($K4374="","",IF($S4374="",0,IF(ISNUMBER(SEARCH("apport-exterieur",IFERROR(INDEX('Paramètres'!$N:$N,MATCH($D4374,'Paramètres'!$M:$M,0))&amp;"",""))),0,IF(OR(IFERROR(INDEX('Paramètres'!$I:$I,MATCH($C4374,'Paramètres'!$D:$D,0))&amp;"","")="Les deux",IFERROR(INDEX('Paramètres'!$I:$I,MATCH($C4374,'Paramètres'!$D:$D,0))&amp;"","")=IF($P4374=1,"Débit",$L4374)),-IF($P4374=1,-$K4374,$K4374),0))))</f>
        <v/>
      </c>
      <c r="U4374" s="6" t="str">
        <f>IF($K4374="","",IF(ISNUMBER(SEARCH("sortie-epargne",IFERROR(INDEX('Paramètres'!$N:$N,MATCH($D4374,'Paramètres'!$M:$M,0))&amp;"",""))),$K4374,0))</f>
        <v/>
      </c>
      <c r="V4374" s="6" t="str">
        <f>IF(AND($A4374&lt;&gt;"",$O4374=1,$L4374="Débit",N($Q4374)&gt;0,$A4374&gt;=Visualisation!$B$1,$A4374&lt;Visualisation!$D$1),MAX($V$1:V4373)+1,"")</f>
        <v/>
      </c>
    </row>
    <row r="4375" spans="1:22" x14ac:dyDescent="0.25">
      <c r="A4375" s="9"/>
      <c r="E4375" s="10"/>
      <c r="K4375" s="11" t="str">
        <f>IF($E4375="","",ROUND($E4375*IF(ISNA(MATCH($C4375,'Paramètres'!$D:$D,0)),1,IF(INDEX('Paramètres'!$J:$J,MATCH($C4375,'Paramètres'!$D:$D,0))="",1,INDEX('Paramètres'!$J:$J,MATCH($C4375,'Paramètres'!$D:$D,0)))),2))</f>
        <v/>
      </c>
      <c r="L4375" s="6" t="str">
        <f>IF($D4375="","",IF($F4375&lt;&gt;"",$F4375,IF(ISNA(MATCH($D4375,'Paramètres'!$M:$M,0)),"⚠ Type inconnu",IFERROR(INDEX('Paramètres'!$P:$P,MATCH($D4375,'Paramètres'!$M:$M,0))&amp;"",""))))</f>
        <v/>
      </c>
      <c r="M4375" s="6" t="str">
        <f>IF($D4375="","",IF(ISNA(MATCH($D4375,'Paramètres'!$M:$M,0)),"⚠ Type inconnu",IF($L4375="Crédit","",IFERROR(INDEX('Paramètres'!$O:$O,MATCH($D4375,'Paramètres'!$M:$M,0))&amp;"",""))))</f>
        <v/>
      </c>
      <c r="N4375" s="6" t="str">
        <f>IF($D4375="","",IFERROR(INDEX('Paramètres'!$Q:$Q,MATCH($D4375,'Paramètres'!$M:$M,0))&amp;"",""))</f>
        <v/>
      </c>
      <c r="O4375" s="6" t="str">
        <f>IF($A4375="","",IF(OR($J4375&lt;&gt;"x",$A4375&lt;=FinReleve),1,0))</f>
        <v/>
      </c>
      <c r="P4375" s="6" t="str">
        <f>IF($D4375="","",IF(AND($L4375="Crédit",OR(IFERROR(INDEX('Paramètres'!$O:$O,MATCH($D4375,'Paramètres'!$M:$M,0))&amp;"","")&lt;&gt;"",ISNUMBER(SEARCH("remboursement",IFERROR(INDEX('Paramètres'!$N:$N,MATCH($D4375,'Paramètres'!$M:$M,0))&amp;"",""))))),1,0))</f>
        <v/>
      </c>
      <c r="Q4375" s="6" t="str">
        <f>IF($K4375="","",IF(ISNUMBER(SEARCH("transfert-interne",IFERROR(INDEX('Paramètres'!$N:$N,MATCH($D4375,'Paramètres'!$M:$M,0))&amp;"",""))),0,IF($L4375="Débit",$K4375,IF($P4375=1,-$K4375,0))))</f>
        <v/>
      </c>
      <c r="R4375" s="6" t="str">
        <f>IF($K4375="","",IF($L4375="Crédit",$K4375,-$K4375))</f>
        <v/>
      </c>
      <c r="S4375" s="6" t="str">
        <f>IF($C4375="","",IFERROR(INDEX('Paramètres'!$H:$H,MATCH($C4375,'Paramètres'!$D:$D,0))&amp;"",""))</f>
        <v/>
      </c>
      <c r="T4375" s="6" t="str">
        <f>IF($K4375="","",IF($S4375="",0,IF(ISNUMBER(SEARCH("apport-exterieur",IFERROR(INDEX('Paramètres'!$N:$N,MATCH($D4375,'Paramètres'!$M:$M,0))&amp;"",""))),0,IF(OR(IFERROR(INDEX('Paramètres'!$I:$I,MATCH($C4375,'Paramètres'!$D:$D,0))&amp;"","")="Les deux",IFERROR(INDEX('Paramètres'!$I:$I,MATCH($C4375,'Paramètres'!$D:$D,0))&amp;"","")=IF($P4375=1,"Débit",$L4375)),-IF($P4375=1,-$K4375,$K4375),0))))</f>
        <v/>
      </c>
      <c r="U4375" s="6" t="str">
        <f>IF($K4375="","",IF(ISNUMBER(SEARCH("sortie-epargne",IFERROR(INDEX('Paramètres'!$N:$N,MATCH($D4375,'Paramètres'!$M:$M,0))&amp;"",""))),$K4375,0))</f>
        <v/>
      </c>
      <c r="V4375" s="6" t="str">
        <f>IF(AND($A4375&lt;&gt;"",$O4375=1,$L4375="Débit",N($Q4375)&gt;0,$A4375&gt;=Visualisation!$B$1,$A4375&lt;Visualisation!$D$1),MAX($V$1:V4374)+1,"")</f>
        <v/>
      </c>
    </row>
    <row r="4376" spans="1:22" x14ac:dyDescent="0.25">
      <c r="A4376" s="9"/>
      <c r="E4376" s="10"/>
      <c r="K4376" s="11" t="str">
        <f>IF($E4376="","",ROUND($E4376*IF(ISNA(MATCH($C4376,'Paramètres'!$D:$D,0)),1,IF(INDEX('Paramètres'!$J:$J,MATCH($C4376,'Paramètres'!$D:$D,0))="",1,INDEX('Paramètres'!$J:$J,MATCH($C4376,'Paramètres'!$D:$D,0)))),2))</f>
        <v/>
      </c>
      <c r="L4376" s="6" t="str">
        <f>IF($D4376="","",IF($F4376&lt;&gt;"",$F4376,IF(ISNA(MATCH($D4376,'Paramètres'!$M:$M,0)),"⚠ Type inconnu",IFERROR(INDEX('Paramètres'!$P:$P,MATCH($D4376,'Paramètres'!$M:$M,0))&amp;"",""))))</f>
        <v/>
      </c>
      <c r="M4376" s="6" t="str">
        <f>IF($D4376="","",IF(ISNA(MATCH($D4376,'Paramètres'!$M:$M,0)),"⚠ Type inconnu",IF($L4376="Crédit","",IFERROR(INDEX('Paramètres'!$O:$O,MATCH($D4376,'Paramètres'!$M:$M,0))&amp;"",""))))</f>
        <v/>
      </c>
      <c r="N4376" s="6" t="str">
        <f>IF($D4376="","",IFERROR(INDEX('Paramètres'!$Q:$Q,MATCH($D4376,'Paramètres'!$M:$M,0))&amp;"",""))</f>
        <v/>
      </c>
      <c r="O4376" s="6" t="str">
        <f>IF($A4376="","",IF(OR($J4376&lt;&gt;"x",$A4376&lt;=FinReleve),1,0))</f>
        <v/>
      </c>
      <c r="P4376" s="6" t="str">
        <f>IF($D4376="","",IF(AND($L4376="Crédit",OR(IFERROR(INDEX('Paramètres'!$O:$O,MATCH($D4376,'Paramètres'!$M:$M,0))&amp;"","")&lt;&gt;"",ISNUMBER(SEARCH("remboursement",IFERROR(INDEX('Paramètres'!$N:$N,MATCH($D4376,'Paramètres'!$M:$M,0))&amp;"",""))))),1,0))</f>
        <v/>
      </c>
      <c r="Q4376" s="6" t="str">
        <f>IF($K4376="","",IF(ISNUMBER(SEARCH("transfert-interne",IFERROR(INDEX('Paramètres'!$N:$N,MATCH($D4376,'Paramètres'!$M:$M,0))&amp;"",""))),0,IF($L4376="Débit",$K4376,IF($P4376=1,-$K4376,0))))</f>
        <v/>
      </c>
      <c r="R4376" s="6" t="str">
        <f>IF($K4376="","",IF($L4376="Crédit",$K4376,-$K4376))</f>
        <v/>
      </c>
      <c r="S4376" s="6" t="str">
        <f>IF($C4376="","",IFERROR(INDEX('Paramètres'!$H:$H,MATCH($C4376,'Paramètres'!$D:$D,0))&amp;"",""))</f>
        <v/>
      </c>
      <c r="T4376" s="6" t="str">
        <f>IF($K4376="","",IF($S4376="",0,IF(ISNUMBER(SEARCH("apport-exterieur",IFERROR(INDEX('Paramètres'!$N:$N,MATCH($D4376,'Paramètres'!$M:$M,0))&amp;"",""))),0,IF(OR(IFERROR(INDEX('Paramètres'!$I:$I,MATCH($C4376,'Paramètres'!$D:$D,0))&amp;"","")="Les deux",IFERROR(INDEX('Paramètres'!$I:$I,MATCH($C4376,'Paramètres'!$D:$D,0))&amp;"","")=IF($P4376=1,"Débit",$L4376)),-IF($P4376=1,-$K4376,$K4376),0))))</f>
        <v/>
      </c>
      <c r="U4376" s="6" t="str">
        <f>IF($K4376="","",IF(ISNUMBER(SEARCH("sortie-epargne",IFERROR(INDEX('Paramètres'!$N:$N,MATCH($D4376,'Paramètres'!$M:$M,0))&amp;"",""))),$K4376,0))</f>
        <v/>
      </c>
      <c r="V4376" s="6" t="str">
        <f>IF(AND($A4376&lt;&gt;"",$O4376=1,$L4376="Débit",N($Q4376)&gt;0,$A4376&gt;=Visualisation!$B$1,$A4376&lt;Visualisation!$D$1),MAX($V$1:V4375)+1,"")</f>
        <v/>
      </c>
    </row>
    <row r="4377" spans="1:22" x14ac:dyDescent="0.25">
      <c r="A4377" s="9"/>
      <c r="E4377" s="10"/>
      <c r="K4377" s="11" t="str">
        <f>IF($E4377="","",ROUND($E4377*IF(ISNA(MATCH($C4377,'Paramètres'!$D:$D,0)),1,IF(INDEX('Paramètres'!$J:$J,MATCH($C4377,'Paramètres'!$D:$D,0))="",1,INDEX('Paramètres'!$J:$J,MATCH($C4377,'Paramètres'!$D:$D,0)))),2))</f>
        <v/>
      </c>
      <c r="L4377" s="6" t="str">
        <f>IF($D4377="","",IF($F4377&lt;&gt;"",$F4377,IF(ISNA(MATCH($D4377,'Paramètres'!$M:$M,0)),"⚠ Type inconnu",IFERROR(INDEX('Paramètres'!$P:$P,MATCH($D4377,'Paramètres'!$M:$M,0))&amp;"",""))))</f>
        <v/>
      </c>
      <c r="M4377" s="6" t="str">
        <f>IF($D4377="","",IF(ISNA(MATCH($D4377,'Paramètres'!$M:$M,0)),"⚠ Type inconnu",IF($L4377="Crédit","",IFERROR(INDEX('Paramètres'!$O:$O,MATCH($D4377,'Paramètres'!$M:$M,0))&amp;"",""))))</f>
        <v/>
      </c>
      <c r="N4377" s="6" t="str">
        <f>IF($D4377="","",IFERROR(INDEX('Paramètres'!$Q:$Q,MATCH($D4377,'Paramètres'!$M:$M,0))&amp;"",""))</f>
        <v/>
      </c>
      <c r="O4377" s="6" t="str">
        <f>IF($A4377="","",IF(OR($J4377&lt;&gt;"x",$A4377&lt;=FinReleve),1,0))</f>
        <v/>
      </c>
      <c r="P4377" s="6" t="str">
        <f>IF($D4377="","",IF(AND($L4377="Crédit",OR(IFERROR(INDEX('Paramètres'!$O:$O,MATCH($D4377,'Paramètres'!$M:$M,0))&amp;"","")&lt;&gt;"",ISNUMBER(SEARCH("remboursement",IFERROR(INDEX('Paramètres'!$N:$N,MATCH($D4377,'Paramètres'!$M:$M,0))&amp;"",""))))),1,0))</f>
        <v/>
      </c>
      <c r="Q4377" s="6" t="str">
        <f>IF($K4377="","",IF(ISNUMBER(SEARCH("transfert-interne",IFERROR(INDEX('Paramètres'!$N:$N,MATCH($D4377,'Paramètres'!$M:$M,0))&amp;"",""))),0,IF($L4377="Débit",$K4377,IF($P4377=1,-$K4377,0))))</f>
        <v/>
      </c>
      <c r="R4377" s="6" t="str">
        <f>IF($K4377="","",IF($L4377="Crédit",$K4377,-$K4377))</f>
        <v/>
      </c>
      <c r="S4377" s="6" t="str">
        <f>IF($C4377="","",IFERROR(INDEX('Paramètres'!$H:$H,MATCH($C4377,'Paramètres'!$D:$D,0))&amp;"",""))</f>
        <v/>
      </c>
      <c r="T4377" s="6" t="str">
        <f>IF($K4377="","",IF($S4377="",0,IF(ISNUMBER(SEARCH("apport-exterieur",IFERROR(INDEX('Paramètres'!$N:$N,MATCH($D4377,'Paramètres'!$M:$M,0))&amp;"",""))),0,IF(OR(IFERROR(INDEX('Paramètres'!$I:$I,MATCH($C4377,'Paramètres'!$D:$D,0))&amp;"","")="Les deux",IFERROR(INDEX('Paramètres'!$I:$I,MATCH($C4377,'Paramètres'!$D:$D,0))&amp;"","")=IF($P4377=1,"Débit",$L4377)),-IF($P4377=1,-$K4377,$K4377),0))))</f>
        <v/>
      </c>
      <c r="U4377" s="6" t="str">
        <f>IF($K4377="","",IF(ISNUMBER(SEARCH("sortie-epargne",IFERROR(INDEX('Paramètres'!$N:$N,MATCH($D4377,'Paramètres'!$M:$M,0))&amp;"",""))),$K4377,0))</f>
        <v/>
      </c>
      <c r="V4377" s="6" t="str">
        <f>IF(AND($A4377&lt;&gt;"",$O4377=1,$L4377="Débit",N($Q4377)&gt;0,$A4377&gt;=Visualisation!$B$1,$A4377&lt;Visualisation!$D$1),MAX($V$1:V4376)+1,"")</f>
        <v/>
      </c>
    </row>
    <row r="4378" spans="1:22" x14ac:dyDescent="0.25">
      <c r="A4378" s="9"/>
      <c r="E4378" s="10"/>
      <c r="K4378" s="11" t="str">
        <f>IF($E4378="","",ROUND($E4378*IF(ISNA(MATCH($C4378,'Paramètres'!$D:$D,0)),1,IF(INDEX('Paramètres'!$J:$J,MATCH($C4378,'Paramètres'!$D:$D,0))="",1,INDEX('Paramètres'!$J:$J,MATCH($C4378,'Paramètres'!$D:$D,0)))),2))</f>
        <v/>
      </c>
      <c r="L4378" s="6" t="str">
        <f>IF($D4378="","",IF($F4378&lt;&gt;"",$F4378,IF(ISNA(MATCH($D4378,'Paramètres'!$M:$M,0)),"⚠ Type inconnu",IFERROR(INDEX('Paramètres'!$P:$P,MATCH($D4378,'Paramètres'!$M:$M,0))&amp;"",""))))</f>
        <v/>
      </c>
      <c r="M4378" s="6" t="str">
        <f>IF($D4378="","",IF(ISNA(MATCH($D4378,'Paramètres'!$M:$M,0)),"⚠ Type inconnu",IF($L4378="Crédit","",IFERROR(INDEX('Paramètres'!$O:$O,MATCH($D4378,'Paramètres'!$M:$M,0))&amp;"",""))))</f>
        <v/>
      </c>
      <c r="N4378" s="6" t="str">
        <f>IF($D4378="","",IFERROR(INDEX('Paramètres'!$Q:$Q,MATCH($D4378,'Paramètres'!$M:$M,0))&amp;"",""))</f>
        <v/>
      </c>
      <c r="O4378" s="6" t="str">
        <f>IF($A4378="","",IF(OR($J4378&lt;&gt;"x",$A4378&lt;=FinReleve),1,0))</f>
        <v/>
      </c>
      <c r="P4378" s="6" t="str">
        <f>IF($D4378="","",IF(AND($L4378="Crédit",OR(IFERROR(INDEX('Paramètres'!$O:$O,MATCH($D4378,'Paramètres'!$M:$M,0))&amp;"","")&lt;&gt;"",ISNUMBER(SEARCH("remboursement",IFERROR(INDEX('Paramètres'!$N:$N,MATCH($D4378,'Paramètres'!$M:$M,0))&amp;"",""))))),1,0))</f>
        <v/>
      </c>
      <c r="Q4378" s="6" t="str">
        <f>IF($K4378="","",IF(ISNUMBER(SEARCH("transfert-interne",IFERROR(INDEX('Paramètres'!$N:$N,MATCH($D4378,'Paramètres'!$M:$M,0))&amp;"",""))),0,IF($L4378="Débit",$K4378,IF($P4378=1,-$K4378,0))))</f>
        <v/>
      </c>
      <c r="R4378" s="6" t="str">
        <f>IF($K4378="","",IF($L4378="Crédit",$K4378,-$K4378))</f>
        <v/>
      </c>
      <c r="S4378" s="6" t="str">
        <f>IF($C4378="","",IFERROR(INDEX('Paramètres'!$H:$H,MATCH($C4378,'Paramètres'!$D:$D,0))&amp;"",""))</f>
        <v/>
      </c>
      <c r="T4378" s="6" t="str">
        <f>IF($K4378="","",IF($S4378="",0,IF(ISNUMBER(SEARCH("apport-exterieur",IFERROR(INDEX('Paramètres'!$N:$N,MATCH($D4378,'Paramètres'!$M:$M,0))&amp;"",""))),0,IF(OR(IFERROR(INDEX('Paramètres'!$I:$I,MATCH($C4378,'Paramètres'!$D:$D,0))&amp;"","")="Les deux",IFERROR(INDEX('Paramètres'!$I:$I,MATCH($C4378,'Paramètres'!$D:$D,0))&amp;"","")=IF($P4378=1,"Débit",$L4378)),-IF($P4378=1,-$K4378,$K4378),0))))</f>
        <v/>
      </c>
      <c r="U4378" s="6" t="str">
        <f>IF($K4378="","",IF(ISNUMBER(SEARCH("sortie-epargne",IFERROR(INDEX('Paramètres'!$N:$N,MATCH($D4378,'Paramètres'!$M:$M,0))&amp;"",""))),$K4378,0))</f>
        <v/>
      </c>
      <c r="V4378" s="6" t="str">
        <f>IF(AND($A4378&lt;&gt;"",$O4378=1,$L4378="Débit",N($Q4378)&gt;0,$A4378&gt;=Visualisation!$B$1,$A4378&lt;Visualisation!$D$1),MAX($V$1:V4377)+1,"")</f>
        <v/>
      </c>
    </row>
    <row r="4379" spans="1:22" x14ac:dyDescent="0.25">
      <c r="A4379" s="9"/>
      <c r="E4379" s="10"/>
      <c r="K4379" s="11" t="str">
        <f>IF($E4379="","",ROUND($E4379*IF(ISNA(MATCH($C4379,'Paramètres'!$D:$D,0)),1,IF(INDEX('Paramètres'!$J:$J,MATCH($C4379,'Paramètres'!$D:$D,0))="",1,INDEX('Paramètres'!$J:$J,MATCH($C4379,'Paramètres'!$D:$D,0)))),2))</f>
        <v/>
      </c>
      <c r="L4379" s="6" t="str">
        <f>IF($D4379="","",IF($F4379&lt;&gt;"",$F4379,IF(ISNA(MATCH($D4379,'Paramètres'!$M:$M,0)),"⚠ Type inconnu",IFERROR(INDEX('Paramètres'!$P:$P,MATCH($D4379,'Paramètres'!$M:$M,0))&amp;"",""))))</f>
        <v/>
      </c>
      <c r="M4379" s="6" t="str">
        <f>IF($D4379="","",IF(ISNA(MATCH($D4379,'Paramètres'!$M:$M,0)),"⚠ Type inconnu",IF($L4379="Crédit","",IFERROR(INDEX('Paramètres'!$O:$O,MATCH($D4379,'Paramètres'!$M:$M,0))&amp;"",""))))</f>
        <v/>
      </c>
      <c r="N4379" s="6" t="str">
        <f>IF($D4379="","",IFERROR(INDEX('Paramètres'!$Q:$Q,MATCH($D4379,'Paramètres'!$M:$M,0))&amp;"",""))</f>
        <v/>
      </c>
      <c r="O4379" s="6" t="str">
        <f>IF($A4379="","",IF(OR($J4379&lt;&gt;"x",$A4379&lt;=FinReleve),1,0))</f>
        <v/>
      </c>
      <c r="P4379" s="6" t="str">
        <f>IF($D4379="","",IF(AND($L4379="Crédit",OR(IFERROR(INDEX('Paramètres'!$O:$O,MATCH($D4379,'Paramètres'!$M:$M,0))&amp;"","")&lt;&gt;"",ISNUMBER(SEARCH("remboursement",IFERROR(INDEX('Paramètres'!$N:$N,MATCH($D4379,'Paramètres'!$M:$M,0))&amp;"",""))))),1,0))</f>
        <v/>
      </c>
      <c r="Q4379" s="6" t="str">
        <f>IF($K4379="","",IF(ISNUMBER(SEARCH("transfert-interne",IFERROR(INDEX('Paramètres'!$N:$N,MATCH($D4379,'Paramètres'!$M:$M,0))&amp;"",""))),0,IF($L4379="Débit",$K4379,IF($P4379=1,-$K4379,0))))</f>
        <v/>
      </c>
      <c r="R4379" s="6" t="str">
        <f>IF($K4379="","",IF($L4379="Crédit",$K4379,-$K4379))</f>
        <v/>
      </c>
      <c r="S4379" s="6" t="str">
        <f>IF($C4379="","",IFERROR(INDEX('Paramètres'!$H:$H,MATCH($C4379,'Paramètres'!$D:$D,0))&amp;"",""))</f>
        <v/>
      </c>
      <c r="T4379" s="6" t="str">
        <f>IF($K4379="","",IF($S4379="",0,IF(ISNUMBER(SEARCH("apport-exterieur",IFERROR(INDEX('Paramètres'!$N:$N,MATCH($D4379,'Paramètres'!$M:$M,0))&amp;"",""))),0,IF(OR(IFERROR(INDEX('Paramètres'!$I:$I,MATCH($C4379,'Paramètres'!$D:$D,0))&amp;"","")="Les deux",IFERROR(INDEX('Paramètres'!$I:$I,MATCH($C4379,'Paramètres'!$D:$D,0))&amp;"","")=IF($P4379=1,"Débit",$L4379)),-IF($P4379=1,-$K4379,$K4379),0))))</f>
        <v/>
      </c>
      <c r="U4379" s="6" t="str">
        <f>IF($K4379="","",IF(ISNUMBER(SEARCH("sortie-epargne",IFERROR(INDEX('Paramètres'!$N:$N,MATCH($D4379,'Paramètres'!$M:$M,0))&amp;"",""))),$K4379,0))</f>
        <v/>
      </c>
      <c r="V4379" s="6" t="str">
        <f>IF(AND($A4379&lt;&gt;"",$O4379=1,$L4379="Débit",N($Q4379)&gt;0,$A4379&gt;=Visualisation!$B$1,$A4379&lt;Visualisation!$D$1),MAX($V$1:V4378)+1,"")</f>
        <v/>
      </c>
    </row>
    <row r="4380" spans="1:22" x14ac:dyDescent="0.25">
      <c r="A4380" s="9"/>
      <c r="E4380" s="10"/>
      <c r="K4380" s="11" t="str">
        <f>IF($E4380="","",ROUND($E4380*IF(ISNA(MATCH($C4380,'Paramètres'!$D:$D,0)),1,IF(INDEX('Paramètres'!$J:$J,MATCH($C4380,'Paramètres'!$D:$D,0))="",1,INDEX('Paramètres'!$J:$J,MATCH($C4380,'Paramètres'!$D:$D,0)))),2))</f>
        <v/>
      </c>
      <c r="L4380" s="6" t="str">
        <f>IF($D4380="","",IF($F4380&lt;&gt;"",$F4380,IF(ISNA(MATCH($D4380,'Paramètres'!$M:$M,0)),"⚠ Type inconnu",IFERROR(INDEX('Paramètres'!$P:$P,MATCH($D4380,'Paramètres'!$M:$M,0))&amp;"",""))))</f>
        <v/>
      </c>
      <c r="M4380" s="6" t="str">
        <f>IF($D4380="","",IF(ISNA(MATCH($D4380,'Paramètres'!$M:$M,0)),"⚠ Type inconnu",IF($L4380="Crédit","",IFERROR(INDEX('Paramètres'!$O:$O,MATCH($D4380,'Paramètres'!$M:$M,0))&amp;"",""))))</f>
        <v/>
      </c>
      <c r="N4380" s="6" t="str">
        <f>IF($D4380="","",IFERROR(INDEX('Paramètres'!$Q:$Q,MATCH($D4380,'Paramètres'!$M:$M,0))&amp;"",""))</f>
        <v/>
      </c>
      <c r="O4380" s="6" t="str">
        <f>IF($A4380="","",IF(OR($J4380&lt;&gt;"x",$A4380&lt;=FinReleve),1,0))</f>
        <v/>
      </c>
      <c r="P4380" s="6" t="str">
        <f>IF($D4380="","",IF(AND($L4380="Crédit",OR(IFERROR(INDEX('Paramètres'!$O:$O,MATCH($D4380,'Paramètres'!$M:$M,0))&amp;"","")&lt;&gt;"",ISNUMBER(SEARCH("remboursement",IFERROR(INDEX('Paramètres'!$N:$N,MATCH($D4380,'Paramètres'!$M:$M,0))&amp;"",""))))),1,0))</f>
        <v/>
      </c>
      <c r="Q4380" s="6" t="str">
        <f>IF($K4380="","",IF(ISNUMBER(SEARCH("transfert-interne",IFERROR(INDEX('Paramètres'!$N:$N,MATCH($D4380,'Paramètres'!$M:$M,0))&amp;"",""))),0,IF($L4380="Débit",$K4380,IF($P4380=1,-$K4380,0))))</f>
        <v/>
      </c>
      <c r="R4380" s="6" t="str">
        <f>IF($K4380="","",IF($L4380="Crédit",$K4380,-$K4380))</f>
        <v/>
      </c>
      <c r="S4380" s="6" t="str">
        <f>IF($C4380="","",IFERROR(INDEX('Paramètres'!$H:$H,MATCH($C4380,'Paramètres'!$D:$D,0))&amp;"",""))</f>
        <v/>
      </c>
      <c r="T4380" s="6" t="str">
        <f>IF($K4380="","",IF($S4380="",0,IF(ISNUMBER(SEARCH("apport-exterieur",IFERROR(INDEX('Paramètres'!$N:$N,MATCH($D4380,'Paramètres'!$M:$M,0))&amp;"",""))),0,IF(OR(IFERROR(INDEX('Paramètres'!$I:$I,MATCH($C4380,'Paramètres'!$D:$D,0))&amp;"","")="Les deux",IFERROR(INDEX('Paramètres'!$I:$I,MATCH($C4380,'Paramètres'!$D:$D,0))&amp;"","")=IF($P4380=1,"Débit",$L4380)),-IF($P4380=1,-$K4380,$K4380),0))))</f>
        <v/>
      </c>
      <c r="U4380" s="6" t="str">
        <f>IF($K4380="","",IF(ISNUMBER(SEARCH("sortie-epargne",IFERROR(INDEX('Paramètres'!$N:$N,MATCH($D4380,'Paramètres'!$M:$M,0))&amp;"",""))),$K4380,0))</f>
        <v/>
      </c>
      <c r="V4380" s="6" t="str">
        <f>IF(AND($A4380&lt;&gt;"",$O4380=1,$L4380="Débit",N($Q4380)&gt;0,$A4380&gt;=Visualisation!$B$1,$A4380&lt;Visualisation!$D$1),MAX($V$1:V4379)+1,"")</f>
        <v/>
      </c>
    </row>
    <row r="4381" spans="1:22" x14ac:dyDescent="0.25">
      <c r="A4381" s="9"/>
      <c r="E4381" s="10"/>
      <c r="K4381" s="11" t="str">
        <f>IF($E4381="","",ROUND($E4381*IF(ISNA(MATCH($C4381,'Paramètres'!$D:$D,0)),1,IF(INDEX('Paramètres'!$J:$J,MATCH($C4381,'Paramètres'!$D:$D,0))="",1,INDEX('Paramètres'!$J:$J,MATCH($C4381,'Paramètres'!$D:$D,0)))),2))</f>
        <v/>
      </c>
      <c r="L4381" s="6" t="str">
        <f>IF($D4381="","",IF($F4381&lt;&gt;"",$F4381,IF(ISNA(MATCH($D4381,'Paramètres'!$M:$M,0)),"⚠ Type inconnu",IFERROR(INDEX('Paramètres'!$P:$P,MATCH($D4381,'Paramètres'!$M:$M,0))&amp;"",""))))</f>
        <v/>
      </c>
      <c r="M4381" s="6" t="str">
        <f>IF($D4381="","",IF(ISNA(MATCH($D4381,'Paramètres'!$M:$M,0)),"⚠ Type inconnu",IF($L4381="Crédit","",IFERROR(INDEX('Paramètres'!$O:$O,MATCH($D4381,'Paramètres'!$M:$M,0))&amp;"",""))))</f>
        <v/>
      </c>
      <c r="N4381" s="6" t="str">
        <f>IF($D4381="","",IFERROR(INDEX('Paramètres'!$Q:$Q,MATCH($D4381,'Paramètres'!$M:$M,0))&amp;"",""))</f>
        <v/>
      </c>
      <c r="O4381" s="6" t="str">
        <f>IF($A4381="","",IF(OR($J4381&lt;&gt;"x",$A4381&lt;=FinReleve),1,0))</f>
        <v/>
      </c>
      <c r="P4381" s="6" t="str">
        <f>IF($D4381="","",IF(AND($L4381="Crédit",OR(IFERROR(INDEX('Paramètres'!$O:$O,MATCH($D4381,'Paramètres'!$M:$M,0))&amp;"","")&lt;&gt;"",ISNUMBER(SEARCH("remboursement",IFERROR(INDEX('Paramètres'!$N:$N,MATCH($D4381,'Paramètres'!$M:$M,0))&amp;"",""))))),1,0))</f>
        <v/>
      </c>
      <c r="Q4381" s="6" t="str">
        <f>IF($K4381="","",IF(ISNUMBER(SEARCH("transfert-interne",IFERROR(INDEX('Paramètres'!$N:$N,MATCH($D4381,'Paramètres'!$M:$M,0))&amp;"",""))),0,IF($L4381="Débit",$K4381,IF($P4381=1,-$K4381,0))))</f>
        <v/>
      </c>
      <c r="R4381" s="6" t="str">
        <f>IF($K4381="","",IF($L4381="Crédit",$K4381,-$K4381))</f>
        <v/>
      </c>
      <c r="S4381" s="6" t="str">
        <f>IF($C4381="","",IFERROR(INDEX('Paramètres'!$H:$H,MATCH($C4381,'Paramètres'!$D:$D,0))&amp;"",""))</f>
        <v/>
      </c>
      <c r="T4381" s="6" t="str">
        <f>IF($K4381="","",IF($S4381="",0,IF(ISNUMBER(SEARCH("apport-exterieur",IFERROR(INDEX('Paramètres'!$N:$N,MATCH($D4381,'Paramètres'!$M:$M,0))&amp;"",""))),0,IF(OR(IFERROR(INDEX('Paramètres'!$I:$I,MATCH($C4381,'Paramètres'!$D:$D,0))&amp;"","")="Les deux",IFERROR(INDEX('Paramètres'!$I:$I,MATCH($C4381,'Paramètres'!$D:$D,0))&amp;"","")=IF($P4381=1,"Débit",$L4381)),-IF($P4381=1,-$K4381,$K4381),0))))</f>
        <v/>
      </c>
      <c r="U4381" s="6" t="str">
        <f>IF($K4381="","",IF(ISNUMBER(SEARCH("sortie-epargne",IFERROR(INDEX('Paramètres'!$N:$N,MATCH($D4381,'Paramètres'!$M:$M,0))&amp;"",""))),$K4381,0))</f>
        <v/>
      </c>
      <c r="V4381" s="6" t="str">
        <f>IF(AND($A4381&lt;&gt;"",$O4381=1,$L4381="Débit",N($Q4381)&gt;0,$A4381&gt;=Visualisation!$B$1,$A4381&lt;Visualisation!$D$1),MAX($V$1:V4380)+1,"")</f>
        <v/>
      </c>
    </row>
    <row r="4382" spans="1:22" x14ac:dyDescent="0.25">
      <c r="A4382" s="9"/>
      <c r="E4382" s="10"/>
      <c r="K4382" s="11" t="str">
        <f>IF($E4382="","",ROUND($E4382*IF(ISNA(MATCH($C4382,'Paramètres'!$D:$D,0)),1,IF(INDEX('Paramètres'!$J:$J,MATCH($C4382,'Paramètres'!$D:$D,0))="",1,INDEX('Paramètres'!$J:$J,MATCH($C4382,'Paramètres'!$D:$D,0)))),2))</f>
        <v/>
      </c>
      <c r="L4382" s="6" t="str">
        <f>IF($D4382="","",IF($F4382&lt;&gt;"",$F4382,IF(ISNA(MATCH($D4382,'Paramètres'!$M:$M,0)),"⚠ Type inconnu",IFERROR(INDEX('Paramètres'!$P:$P,MATCH($D4382,'Paramètres'!$M:$M,0))&amp;"",""))))</f>
        <v/>
      </c>
      <c r="M4382" s="6" t="str">
        <f>IF($D4382="","",IF(ISNA(MATCH($D4382,'Paramètres'!$M:$M,0)),"⚠ Type inconnu",IF($L4382="Crédit","",IFERROR(INDEX('Paramètres'!$O:$O,MATCH($D4382,'Paramètres'!$M:$M,0))&amp;"",""))))</f>
        <v/>
      </c>
      <c r="N4382" s="6" t="str">
        <f>IF($D4382="","",IFERROR(INDEX('Paramètres'!$Q:$Q,MATCH($D4382,'Paramètres'!$M:$M,0))&amp;"",""))</f>
        <v/>
      </c>
      <c r="O4382" s="6" t="str">
        <f>IF($A4382="","",IF(OR($J4382&lt;&gt;"x",$A4382&lt;=FinReleve),1,0))</f>
        <v/>
      </c>
      <c r="P4382" s="6" t="str">
        <f>IF($D4382="","",IF(AND($L4382="Crédit",OR(IFERROR(INDEX('Paramètres'!$O:$O,MATCH($D4382,'Paramètres'!$M:$M,0))&amp;"","")&lt;&gt;"",ISNUMBER(SEARCH("remboursement",IFERROR(INDEX('Paramètres'!$N:$N,MATCH($D4382,'Paramètres'!$M:$M,0))&amp;"",""))))),1,0))</f>
        <v/>
      </c>
      <c r="Q4382" s="6" t="str">
        <f>IF($K4382="","",IF(ISNUMBER(SEARCH("transfert-interne",IFERROR(INDEX('Paramètres'!$N:$N,MATCH($D4382,'Paramètres'!$M:$M,0))&amp;"",""))),0,IF($L4382="Débit",$K4382,IF($P4382=1,-$K4382,0))))</f>
        <v/>
      </c>
      <c r="R4382" s="6" t="str">
        <f>IF($K4382="","",IF($L4382="Crédit",$K4382,-$K4382))</f>
        <v/>
      </c>
      <c r="S4382" s="6" t="str">
        <f>IF($C4382="","",IFERROR(INDEX('Paramètres'!$H:$H,MATCH($C4382,'Paramètres'!$D:$D,0))&amp;"",""))</f>
        <v/>
      </c>
      <c r="T4382" s="6" t="str">
        <f>IF($K4382="","",IF($S4382="",0,IF(ISNUMBER(SEARCH("apport-exterieur",IFERROR(INDEX('Paramètres'!$N:$N,MATCH($D4382,'Paramètres'!$M:$M,0))&amp;"",""))),0,IF(OR(IFERROR(INDEX('Paramètres'!$I:$I,MATCH($C4382,'Paramètres'!$D:$D,0))&amp;"","")="Les deux",IFERROR(INDEX('Paramètres'!$I:$I,MATCH($C4382,'Paramètres'!$D:$D,0))&amp;"","")=IF($P4382=1,"Débit",$L4382)),-IF($P4382=1,-$K4382,$K4382),0))))</f>
        <v/>
      </c>
      <c r="U4382" s="6" t="str">
        <f>IF($K4382="","",IF(ISNUMBER(SEARCH("sortie-epargne",IFERROR(INDEX('Paramètres'!$N:$N,MATCH($D4382,'Paramètres'!$M:$M,0))&amp;"",""))),$K4382,0))</f>
        <v/>
      </c>
      <c r="V4382" s="6" t="str">
        <f>IF(AND($A4382&lt;&gt;"",$O4382=1,$L4382="Débit",N($Q4382)&gt;0,$A4382&gt;=Visualisation!$B$1,$A4382&lt;Visualisation!$D$1),MAX($V$1:V4381)+1,"")</f>
        <v/>
      </c>
    </row>
    <row r="4383" spans="1:22" x14ac:dyDescent="0.25">
      <c r="A4383" s="9"/>
      <c r="E4383" s="10"/>
      <c r="K4383" s="11" t="str">
        <f>IF($E4383="","",ROUND($E4383*IF(ISNA(MATCH($C4383,'Paramètres'!$D:$D,0)),1,IF(INDEX('Paramètres'!$J:$J,MATCH($C4383,'Paramètres'!$D:$D,0))="",1,INDEX('Paramètres'!$J:$J,MATCH($C4383,'Paramètres'!$D:$D,0)))),2))</f>
        <v/>
      </c>
      <c r="L4383" s="6" t="str">
        <f>IF($D4383="","",IF($F4383&lt;&gt;"",$F4383,IF(ISNA(MATCH($D4383,'Paramètres'!$M:$M,0)),"⚠ Type inconnu",IFERROR(INDEX('Paramètres'!$P:$P,MATCH($D4383,'Paramètres'!$M:$M,0))&amp;"",""))))</f>
        <v/>
      </c>
      <c r="M4383" s="6" t="str">
        <f>IF($D4383="","",IF(ISNA(MATCH($D4383,'Paramètres'!$M:$M,0)),"⚠ Type inconnu",IF($L4383="Crédit","",IFERROR(INDEX('Paramètres'!$O:$O,MATCH($D4383,'Paramètres'!$M:$M,0))&amp;"",""))))</f>
        <v/>
      </c>
      <c r="N4383" s="6" t="str">
        <f>IF($D4383="","",IFERROR(INDEX('Paramètres'!$Q:$Q,MATCH($D4383,'Paramètres'!$M:$M,0))&amp;"",""))</f>
        <v/>
      </c>
      <c r="O4383" s="6" t="str">
        <f>IF($A4383="","",IF(OR($J4383&lt;&gt;"x",$A4383&lt;=FinReleve),1,0))</f>
        <v/>
      </c>
      <c r="P4383" s="6" t="str">
        <f>IF($D4383="","",IF(AND($L4383="Crédit",OR(IFERROR(INDEX('Paramètres'!$O:$O,MATCH($D4383,'Paramètres'!$M:$M,0))&amp;"","")&lt;&gt;"",ISNUMBER(SEARCH("remboursement",IFERROR(INDEX('Paramètres'!$N:$N,MATCH($D4383,'Paramètres'!$M:$M,0))&amp;"",""))))),1,0))</f>
        <v/>
      </c>
      <c r="Q4383" s="6" t="str">
        <f>IF($K4383="","",IF(ISNUMBER(SEARCH("transfert-interne",IFERROR(INDEX('Paramètres'!$N:$N,MATCH($D4383,'Paramètres'!$M:$M,0))&amp;"",""))),0,IF($L4383="Débit",$K4383,IF($P4383=1,-$K4383,0))))</f>
        <v/>
      </c>
      <c r="R4383" s="6" t="str">
        <f>IF($K4383="","",IF($L4383="Crédit",$K4383,-$K4383))</f>
        <v/>
      </c>
      <c r="S4383" s="6" t="str">
        <f>IF($C4383="","",IFERROR(INDEX('Paramètres'!$H:$H,MATCH($C4383,'Paramètres'!$D:$D,0))&amp;"",""))</f>
        <v/>
      </c>
      <c r="T4383" s="6" t="str">
        <f>IF($K4383="","",IF($S4383="",0,IF(ISNUMBER(SEARCH("apport-exterieur",IFERROR(INDEX('Paramètres'!$N:$N,MATCH($D4383,'Paramètres'!$M:$M,0))&amp;"",""))),0,IF(OR(IFERROR(INDEX('Paramètres'!$I:$I,MATCH($C4383,'Paramètres'!$D:$D,0))&amp;"","")="Les deux",IFERROR(INDEX('Paramètres'!$I:$I,MATCH($C4383,'Paramètres'!$D:$D,0))&amp;"","")=IF($P4383=1,"Débit",$L4383)),-IF($P4383=1,-$K4383,$K4383),0))))</f>
        <v/>
      </c>
      <c r="U4383" s="6" t="str">
        <f>IF($K4383="","",IF(ISNUMBER(SEARCH("sortie-epargne",IFERROR(INDEX('Paramètres'!$N:$N,MATCH($D4383,'Paramètres'!$M:$M,0))&amp;"",""))),$K4383,0))</f>
        <v/>
      </c>
      <c r="V4383" s="6" t="str">
        <f>IF(AND($A4383&lt;&gt;"",$O4383=1,$L4383="Débit",N($Q4383)&gt;0,$A4383&gt;=Visualisation!$B$1,$A4383&lt;Visualisation!$D$1),MAX($V$1:V4382)+1,"")</f>
        <v/>
      </c>
    </row>
    <row r="4384" spans="1:22" x14ac:dyDescent="0.25">
      <c r="A4384" s="9"/>
      <c r="E4384" s="10"/>
      <c r="K4384" s="11" t="str">
        <f>IF($E4384="","",ROUND($E4384*IF(ISNA(MATCH($C4384,'Paramètres'!$D:$D,0)),1,IF(INDEX('Paramètres'!$J:$J,MATCH($C4384,'Paramètres'!$D:$D,0))="",1,INDEX('Paramètres'!$J:$J,MATCH($C4384,'Paramètres'!$D:$D,0)))),2))</f>
        <v/>
      </c>
      <c r="L4384" s="6" t="str">
        <f>IF($D4384="","",IF($F4384&lt;&gt;"",$F4384,IF(ISNA(MATCH($D4384,'Paramètres'!$M:$M,0)),"⚠ Type inconnu",IFERROR(INDEX('Paramètres'!$P:$P,MATCH($D4384,'Paramètres'!$M:$M,0))&amp;"",""))))</f>
        <v/>
      </c>
      <c r="M4384" s="6" t="str">
        <f>IF($D4384="","",IF(ISNA(MATCH($D4384,'Paramètres'!$M:$M,0)),"⚠ Type inconnu",IF($L4384="Crédit","",IFERROR(INDEX('Paramètres'!$O:$O,MATCH($D4384,'Paramètres'!$M:$M,0))&amp;"",""))))</f>
        <v/>
      </c>
      <c r="N4384" s="6" t="str">
        <f>IF($D4384="","",IFERROR(INDEX('Paramètres'!$Q:$Q,MATCH($D4384,'Paramètres'!$M:$M,0))&amp;"",""))</f>
        <v/>
      </c>
      <c r="O4384" s="6" t="str">
        <f>IF($A4384="","",IF(OR($J4384&lt;&gt;"x",$A4384&lt;=FinReleve),1,0))</f>
        <v/>
      </c>
      <c r="P4384" s="6" t="str">
        <f>IF($D4384="","",IF(AND($L4384="Crédit",OR(IFERROR(INDEX('Paramètres'!$O:$O,MATCH($D4384,'Paramètres'!$M:$M,0))&amp;"","")&lt;&gt;"",ISNUMBER(SEARCH("remboursement",IFERROR(INDEX('Paramètres'!$N:$N,MATCH($D4384,'Paramètres'!$M:$M,0))&amp;"",""))))),1,0))</f>
        <v/>
      </c>
      <c r="Q4384" s="6" t="str">
        <f>IF($K4384="","",IF(ISNUMBER(SEARCH("transfert-interne",IFERROR(INDEX('Paramètres'!$N:$N,MATCH($D4384,'Paramètres'!$M:$M,0))&amp;"",""))),0,IF($L4384="Débit",$K4384,IF($P4384=1,-$K4384,0))))</f>
        <v/>
      </c>
      <c r="R4384" s="6" t="str">
        <f>IF($K4384="","",IF($L4384="Crédit",$K4384,-$K4384))</f>
        <v/>
      </c>
      <c r="S4384" s="6" t="str">
        <f>IF($C4384="","",IFERROR(INDEX('Paramètres'!$H:$H,MATCH($C4384,'Paramètres'!$D:$D,0))&amp;"",""))</f>
        <v/>
      </c>
      <c r="T4384" s="6" t="str">
        <f>IF($K4384="","",IF($S4384="",0,IF(ISNUMBER(SEARCH("apport-exterieur",IFERROR(INDEX('Paramètres'!$N:$N,MATCH($D4384,'Paramètres'!$M:$M,0))&amp;"",""))),0,IF(OR(IFERROR(INDEX('Paramètres'!$I:$I,MATCH($C4384,'Paramètres'!$D:$D,0))&amp;"","")="Les deux",IFERROR(INDEX('Paramètres'!$I:$I,MATCH($C4384,'Paramètres'!$D:$D,0))&amp;"","")=IF($P4384=1,"Débit",$L4384)),-IF($P4384=1,-$K4384,$K4384),0))))</f>
        <v/>
      </c>
      <c r="U4384" s="6" t="str">
        <f>IF($K4384="","",IF(ISNUMBER(SEARCH("sortie-epargne",IFERROR(INDEX('Paramètres'!$N:$N,MATCH($D4384,'Paramètres'!$M:$M,0))&amp;"",""))),$K4384,0))</f>
        <v/>
      </c>
      <c r="V4384" s="6" t="str">
        <f>IF(AND($A4384&lt;&gt;"",$O4384=1,$L4384="Débit",N($Q4384)&gt;0,$A4384&gt;=Visualisation!$B$1,$A4384&lt;Visualisation!$D$1),MAX($V$1:V4383)+1,"")</f>
        <v/>
      </c>
    </row>
    <row r="4385" spans="1:22" x14ac:dyDescent="0.25">
      <c r="A4385" s="9"/>
      <c r="E4385" s="10"/>
      <c r="K4385" s="11" t="str">
        <f>IF($E4385="","",ROUND($E4385*IF(ISNA(MATCH($C4385,'Paramètres'!$D:$D,0)),1,IF(INDEX('Paramètres'!$J:$J,MATCH($C4385,'Paramètres'!$D:$D,0))="",1,INDEX('Paramètres'!$J:$J,MATCH($C4385,'Paramètres'!$D:$D,0)))),2))</f>
        <v/>
      </c>
      <c r="L4385" s="6" t="str">
        <f>IF($D4385="","",IF($F4385&lt;&gt;"",$F4385,IF(ISNA(MATCH($D4385,'Paramètres'!$M:$M,0)),"⚠ Type inconnu",IFERROR(INDEX('Paramètres'!$P:$P,MATCH($D4385,'Paramètres'!$M:$M,0))&amp;"",""))))</f>
        <v/>
      </c>
      <c r="M4385" s="6" t="str">
        <f>IF($D4385="","",IF(ISNA(MATCH($D4385,'Paramètres'!$M:$M,0)),"⚠ Type inconnu",IF($L4385="Crédit","",IFERROR(INDEX('Paramètres'!$O:$O,MATCH($D4385,'Paramètres'!$M:$M,0))&amp;"",""))))</f>
        <v/>
      </c>
      <c r="N4385" s="6" t="str">
        <f>IF($D4385="","",IFERROR(INDEX('Paramètres'!$Q:$Q,MATCH($D4385,'Paramètres'!$M:$M,0))&amp;"",""))</f>
        <v/>
      </c>
      <c r="O4385" s="6" t="str">
        <f>IF($A4385="","",IF(OR($J4385&lt;&gt;"x",$A4385&lt;=FinReleve),1,0))</f>
        <v/>
      </c>
      <c r="P4385" s="6" t="str">
        <f>IF($D4385="","",IF(AND($L4385="Crédit",OR(IFERROR(INDEX('Paramètres'!$O:$O,MATCH($D4385,'Paramètres'!$M:$M,0))&amp;"","")&lt;&gt;"",ISNUMBER(SEARCH("remboursement",IFERROR(INDEX('Paramètres'!$N:$N,MATCH($D4385,'Paramètres'!$M:$M,0))&amp;"",""))))),1,0))</f>
        <v/>
      </c>
      <c r="Q4385" s="6" t="str">
        <f>IF($K4385="","",IF(ISNUMBER(SEARCH("transfert-interne",IFERROR(INDEX('Paramètres'!$N:$N,MATCH($D4385,'Paramètres'!$M:$M,0))&amp;"",""))),0,IF($L4385="Débit",$K4385,IF($P4385=1,-$K4385,0))))</f>
        <v/>
      </c>
      <c r="R4385" s="6" t="str">
        <f>IF($K4385="","",IF($L4385="Crédit",$K4385,-$K4385))</f>
        <v/>
      </c>
      <c r="S4385" s="6" t="str">
        <f>IF($C4385="","",IFERROR(INDEX('Paramètres'!$H:$H,MATCH($C4385,'Paramètres'!$D:$D,0))&amp;"",""))</f>
        <v/>
      </c>
      <c r="T4385" s="6" t="str">
        <f>IF($K4385="","",IF($S4385="",0,IF(ISNUMBER(SEARCH("apport-exterieur",IFERROR(INDEX('Paramètres'!$N:$N,MATCH($D4385,'Paramètres'!$M:$M,0))&amp;"",""))),0,IF(OR(IFERROR(INDEX('Paramètres'!$I:$I,MATCH($C4385,'Paramètres'!$D:$D,0))&amp;"","")="Les deux",IFERROR(INDEX('Paramètres'!$I:$I,MATCH($C4385,'Paramètres'!$D:$D,0))&amp;"","")=IF($P4385=1,"Débit",$L4385)),-IF($P4385=1,-$K4385,$K4385),0))))</f>
        <v/>
      </c>
      <c r="U4385" s="6" t="str">
        <f>IF($K4385="","",IF(ISNUMBER(SEARCH("sortie-epargne",IFERROR(INDEX('Paramètres'!$N:$N,MATCH($D4385,'Paramètres'!$M:$M,0))&amp;"",""))),$K4385,0))</f>
        <v/>
      </c>
      <c r="V4385" s="6" t="str">
        <f>IF(AND($A4385&lt;&gt;"",$O4385=1,$L4385="Débit",N($Q4385)&gt;0,$A4385&gt;=Visualisation!$B$1,$A4385&lt;Visualisation!$D$1),MAX($V$1:V4384)+1,"")</f>
        <v/>
      </c>
    </row>
    <row r="4386" spans="1:22" x14ac:dyDescent="0.25">
      <c r="A4386" s="9"/>
      <c r="E4386" s="10"/>
      <c r="K4386" s="11" t="str">
        <f>IF($E4386="","",ROUND($E4386*IF(ISNA(MATCH($C4386,'Paramètres'!$D:$D,0)),1,IF(INDEX('Paramètres'!$J:$J,MATCH($C4386,'Paramètres'!$D:$D,0))="",1,INDEX('Paramètres'!$J:$J,MATCH($C4386,'Paramètres'!$D:$D,0)))),2))</f>
        <v/>
      </c>
      <c r="L4386" s="6" t="str">
        <f>IF($D4386="","",IF($F4386&lt;&gt;"",$F4386,IF(ISNA(MATCH($D4386,'Paramètres'!$M:$M,0)),"⚠ Type inconnu",IFERROR(INDEX('Paramètres'!$P:$P,MATCH($D4386,'Paramètres'!$M:$M,0))&amp;"",""))))</f>
        <v/>
      </c>
      <c r="M4386" s="6" t="str">
        <f>IF($D4386="","",IF(ISNA(MATCH($D4386,'Paramètres'!$M:$M,0)),"⚠ Type inconnu",IF($L4386="Crédit","",IFERROR(INDEX('Paramètres'!$O:$O,MATCH($D4386,'Paramètres'!$M:$M,0))&amp;"",""))))</f>
        <v/>
      </c>
      <c r="N4386" s="6" t="str">
        <f>IF($D4386="","",IFERROR(INDEX('Paramètres'!$Q:$Q,MATCH($D4386,'Paramètres'!$M:$M,0))&amp;"",""))</f>
        <v/>
      </c>
      <c r="O4386" s="6" t="str">
        <f>IF($A4386="","",IF(OR($J4386&lt;&gt;"x",$A4386&lt;=FinReleve),1,0))</f>
        <v/>
      </c>
      <c r="P4386" s="6" t="str">
        <f>IF($D4386="","",IF(AND($L4386="Crédit",OR(IFERROR(INDEX('Paramètres'!$O:$O,MATCH($D4386,'Paramètres'!$M:$M,0))&amp;"","")&lt;&gt;"",ISNUMBER(SEARCH("remboursement",IFERROR(INDEX('Paramètres'!$N:$N,MATCH($D4386,'Paramètres'!$M:$M,0))&amp;"",""))))),1,0))</f>
        <v/>
      </c>
      <c r="Q4386" s="6" t="str">
        <f>IF($K4386="","",IF(ISNUMBER(SEARCH("transfert-interne",IFERROR(INDEX('Paramètres'!$N:$N,MATCH($D4386,'Paramètres'!$M:$M,0))&amp;"",""))),0,IF($L4386="Débit",$K4386,IF($P4386=1,-$K4386,0))))</f>
        <v/>
      </c>
      <c r="R4386" s="6" t="str">
        <f>IF($K4386="","",IF($L4386="Crédit",$K4386,-$K4386))</f>
        <v/>
      </c>
      <c r="S4386" s="6" t="str">
        <f>IF($C4386="","",IFERROR(INDEX('Paramètres'!$H:$H,MATCH($C4386,'Paramètres'!$D:$D,0))&amp;"",""))</f>
        <v/>
      </c>
      <c r="T4386" s="6" t="str">
        <f>IF($K4386="","",IF($S4386="",0,IF(ISNUMBER(SEARCH("apport-exterieur",IFERROR(INDEX('Paramètres'!$N:$N,MATCH($D4386,'Paramètres'!$M:$M,0))&amp;"",""))),0,IF(OR(IFERROR(INDEX('Paramètres'!$I:$I,MATCH($C4386,'Paramètres'!$D:$D,0))&amp;"","")="Les deux",IFERROR(INDEX('Paramètres'!$I:$I,MATCH($C4386,'Paramètres'!$D:$D,0))&amp;"","")=IF($P4386=1,"Débit",$L4386)),-IF($P4386=1,-$K4386,$K4386),0))))</f>
        <v/>
      </c>
      <c r="U4386" s="6" t="str">
        <f>IF($K4386="","",IF(ISNUMBER(SEARCH("sortie-epargne",IFERROR(INDEX('Paramètres'!$N:$N,MATCH($D4386,'Paramètres'!$M:$M,0))&amp;"",""))),$K4386,0))</f>
        <v/>
      </c>
      <c r="V4386" s="6" t="str">
        <f>IF(AND($A4386&lt;&gt;"",$O4386=1,$L4386="Débit",N($Q4386)&gt;0,$A4386&gt;=Visualisation!$B$1,$A4386&lt;Visualisation!$D$1),MAX($V$1:V4385)+1,"")</f>
        <v/>
      </c>
    </row>
    <row r="4387" spans="1:22" x14ac:dyDescent="0.25">
      <c r="A4387" s="9"/>
      <c r="E4387" s="10"/>
      <c r="K4387" s="11" t="str">
        <f>IF($E4387="","",ROUND($E4387*IF(ISNA(MATCH($C4387,'Paramètres'!$D:$D,0)),1,IF(INDEX('Paramètres'!$J:$J,MATCH($C4387,'Paramètres'!$D:$D,0))="",1,INDEX('Paramètres'!$J:$J,MATCH($C4387,'Paramètres'!$D:$D,0)))),2))</f>
        <v/>
      </c>
      <c r="L4387" s="6" t="str">
        <f>IF($D4387="","",IF($F4387&lt;&gt;"",$F4387,IF(ISNA(MATCH($D4387,'Paramètres'!$M:$M,0)),"⚠ Type inconnu",IFERROR(INDEX('Paramètres'!$P:$P,MATCH($D4387,'Paramètres'!$M:$M,0))&amp;"",""))))</f>
        <v/>
      </c>
      <c r="M4387" s="6" t="str">
        <f>IF($D4387="","",IF(ISNA(MATCH($D4387,'Paramètres'!$M:$M,0)),"⚠ Type inconnu",IF($L4387="Crédit","",IFERROR(INDEX('Paramètres'!$O:$O,MATCH($D4387,'Paramètres'!$M:$M,0))&amp;"",""))))</f>
        <v/>
      </c>
      <c r="N4387" s="6" t="str">
        <f>IF($D4387="","",IFERROR(INDEX('Paramètres'!$Q:$Q,MATCH($D4387,'Paramètres'!$M:$M,0))&amp;"",""))</f>
        <v/>
      </c>
      <c r="O4387" s="6" t="str">
        <f>IF($A4387="","",IF(OR($J4387&lt;&gt;"x",$A4387&lt;=FinReleve),1,0))</f>
        <v/>
      </c>
      <c r="P4387" s="6" t="str">
        <f>IF($D4387="","",IF(AND($L4387="Crédit",OR(IFERROR(INDEX('Paramètres'!$O:$O,MATCH($D4387,'Paramètres'!$M:$M,0))&amp;"","")&lt;&gt;"",ISNUMBER(SEARCH("remboursement",IFERROR(INDEX('Paramètres'!$N:$N,MATCH($D4387,'Paramètres'!$M:$M,0))&amp;"",""))))),1,0))</f>
        <v/>
      </c>
      <c r="Q4387" s="6" t="str">
        <f>IF($K4387="","",IF(ISNUMBER(SEARCH("transfert-interne",IFERROR(INDEX('Paramètres'!$N:$N,MATCH($D4387,'Paramètres'!$M:$M,0))&amp;"",""))),0,IF($L4387="Débit",$K4387,IF($P4387=1,-$K4387,0))))</f>
        <v/>
      </c>
      <c r="R4387" s="6" t="str">
        <f>IF($K4387="","",IF($L4387="Crédit",$K4387,-$K4387))</f>
        <v/>
      </c>
      <c r="S4387" s="6" t="str">
        <f>IF($C4387="","",IFERROR(INDEX('Paramètres'!$H:$H,MATCH($C4387,'Paramètres'!$D:$D,0))&amp;"",""))</f>
        <v/>
      </c>
      <c r="T4387" s="6" t="str">
        <f>IF($K4387="","",IF($S4387="",0,IF(ISNUMBER(SEARCH("apport-exterieur",IFERROR(INDEX('Paramètres'!$N:$N,MATCH($D4387,'Paramètres'!$M:$M,0))&amp;"",""))),0,IF(OR(IFERROR(INDEX('Paramètres'!$I:$I,MATCH($C4387,'Paramètres'!$D:$D,0))&amp;"","")="Les deux",IFERROR(INDEX('Paramètres'!$I:$I,MATCH($C4387,'Paramètres'!$D:$D,0))&amp;"","")=IF($P4387=1,"Débit",$L4387)),-IF($P4387=1,-$K4387,$K4387),0))))</f>
        <v/>
      </c>
      <c r="U4387" s="6" t="str">
        <f>IF($K4387="","",IF(ISNUMBER(SEARCH("sortie-epargne",IFERROR(INDEX('Paramètres'!$N:$N,MATCH($D4387,'Paramètres'!$M:$M,0))&amp;"",""))),$K4387,0))</f>
        <v/>
      </c>
      <c r="V4387" s="6" t="str">
        <f>IF(AND($A4387&lt;&gt;"",$O4387=1,$L4387="Débit",N($Q4387)&gt;0,$A4387&gt;=Visualisation!$B$1,$A4387&lt;Visualisation!$D$1),MAX($V$1:V4386)+1,"")</f>
        <v/>
      </c>
    </row>
    <row r="4388" spans="1:22" x14ac:dyDescent="0.25">
      <c r="A4388" s="9"/>
      <c r="E4388" s="10"/>
      <c r="K4388" s="11" t="str">
        <f>IF($E4388="","",ROUND($E4388*IF(ISNA(MATCH($C4388,'Paramètres'!$D:$D,0)),1,IF(INDEX('Paramètres'!$J:$J,MATCH($C4388,'Paramètres'!$D:$D,0))="",1,INDEX('Paramètres'!$J:$J,MATCH($C4388,'Paramètres'!$D:$D,0)))),2))</f>
        <v/>
      </c>
      <c r="L4388" s="6" t="str">
        <f>IF($D4388="","",IF($F4388&lt;&gt;"",$F4388,IF(ISNA(MATCH($D4388,'Paramètres'!$M:$M,0)),"⚠ Type inconnu",IFERROR(INDEX('Paramètres'!$P:$P,MATCH($D4388,'Paramètres'!$M:$M,0))&amp;"",""))))</f>
        <v/>
      </c>
      <c r="M4388" s="6" t="str">
        <f>IF($D4388="","",IF(ISNA(MATCH($D4388,'Paramètres'!$M:$M,0)),"⚠ Type inconnu",IF($L4388="Crédit","",IFERROR(INDEX('Paramètres'!$O:$O,MATCH($D4388,'Paramètres'!$M:$M,0))&amp;"",""))))</f>
        <v/>
      </c>
      <c r="N4388" s="6" t="str">
        <f>IF($D4388="","",IFERROR(INDEX('Paramètres'!$Q:$Q,MATCH($D4388,'Paramètres'!$M:$M,0))&amp;"",""))</f>
        <v/>
      </c>
      <c r="O4388" s="6" t="str">
        <f>IF($A4388="","",IF(OR($J4388&lt;&gt;"x",$A4388&lt;=FinReleve),1,0))</f>
        <v/>
      </c>
      <c r="P4388" s="6" t="str">
        <f>IF($D4388="","",IF(AND($L4388="Crédit",OR(IFERROR(INDEX('Paramètres'!$O:$O,MATCH($D4388,'Paramètres'!$M:$M,0))&amp;"","")&lt;&gt;"",ISNUMBER(SEARCH("remboursement",IFERROR(INDEX('Paramètres'!$N:$N,MATCH($D4388,'Paramètres'!$M:$M,0))&amp;"",""))))),1,0))</f>
        <v/>
      </c>
      <c r="Q4388" s="6" t="str">
        <f>IF($K4388="","",IF(ISNUMBER(SEARCH("transfert-interne",IFERROR(INDEX('Paramètres'!$N:$N,MATCH($D4388,'Paramètres'!$M:$M,0))&amp;"",""))),0,IF($L4388="Débit",$K4388,IF($P4388=1,-$K4388,0))))</f>
        <v/>
      </c>
      <c r="R4388" s="6" t="str">
        <f>IF($K4388="","",IF($L4388="Crédit",$K4388,-$K4388))</f>
        <v/>
      </c>
      <c r="S4388" s="6" t="str">
        <f>IF($C4388="","",IFERROR(INDEX('Paramètres'!$H:$H,MATCH($C4388,'Paramètres'!$D:$D,0))&amp;"",""))</f>
        <v/>
      </c>
      <c r="T4388" s="6" t="str">
        <f>IF($K4388="","",IF($S4388="",0,IF(ISNUMBER(SEARCH("apport-exterieur",IFERROR(INDEX('Paramètres'!$N:$N,MATCH($D4388,'Paramètres'!$M:$M,0))&amp;"",""))),0,IF(OR(IFERROR(INDEX('Paramètres'!$I:$I,MATCH($C4388,'Paramètres'!$D:$D,0))&amp;"","")="Les deux",IFERROR(INDEX('Paramètres'!$I:$I,MATCH($C4388,'Paramètres'!$D:$D,0))&amp;"","")=IF($P4388=1,"Débit",$L4388)),-IF($P4388=1,-$K4388,$K4388),0))))</f>
        <v/>
      </c>
      <c r="U4388" s="6" t="str">
        <f>IF($K4388="","",IF(ISNUMBER(SEARCH("sortie-epargne",IFERROR(INDEX('Paramètres'!$N:$N,MATCH($D4388,'Paramètres'!$M:$M,0))&amp;"",""))),$K4388,0))</f>
        <v/>
      </c>
      <c r="V4388" s="6" t="str">
        <f>IF(AND($A4388&lt;&gt;"",$O4388=1,$L4388="Débit",N($Q4388)&gt;0,$A4388&gt;=Visualisation!$B$1,$A4388&lt;Visualisation!$D$1),MAX($V$1:V4387)+1,"")</f>
        <v/>
      </c>
    </row>
    <row r="4389" spans="1:22" x14ac:dyDescent="0.25">
      <c r="A4389" s="9"/>
      <c r="E4389" s="10"/>
      <c r="K4389" s="11" t="str">
        <f>IF($E4389="","",ROUND($E4389*IF(ISNA(MATCH($C4389,'Paramètres'!$D:$D,0)),1,IF(INDEX('Paramètres'!$J:$J,MATCH($C4389,'Paramètres'!$D:$D,0))="",1,INDEX('Paramètres'!$J:$J,MATCH($C4389,'Paramètres'!$D:$D,0)))),2))</f>
        <v/>
      </c>
      <c r="L4389" s="6" t="str">
        <f>IF($D4389="","",IF($F4389&lt;&gt;"",$F4389,IF(ISNA(MATCH($D4389,'Paramètres'!$M:$M,0)),"⚠ Type inconnu",IFERROR(INDEX('Paramètres'!$P:$P,MATCH($D4389,'Paramètres'!$M:$M,0))&amp;"",""))))</f>
        <v/>
      </c>
      <c r="M4389" s="6" t="str">
        <f>IF($D4389="","",IF(ISNA(MATCH($D4389,'Paramètres'!$M:$M,0)),"⚠ Type inconnu",IF($L4389="Crédit","",IFERROR(INDEX('Paramètres'!$O:$O,MATCH($D4389,'Paramètres'!$M:$M,0))&amp;"",""))))</f>
        <v/>
      </c>
      <c r="N4389" s="6" t="str">
        <f>IF($D4389="","",IFERROR(INDEX('Paramètres'!$Q:$Q,MATCH($D4389,'Paramètres'!$M:$M,0))&amp;"",""))</f>
        <v/>
      </c>
      <c r="O4389" s="6" t="str">
        <f>IF($A4389="","",IF(OR($J4389&lt;&gt;"x",$A4389&lt;=FinReleve),1,0))</f>
        <v/>
      </c>
      <c r="P4389" s="6" t="str">
        <f>IF($D4389="","",IF(AND($L4389="Crédit",OR(IFERROR(INDEX('Paramètres'!$O:$O,MATCH($D4389,'Paramètres'!$M:$M,0))&amp;"","")&lt;&gt;"",ISNUMBER(SEARCH("remboursement",IFERROR(INDEX('Paramètres'!$N:$N,MATCH($D4389,'Paramètres'!$M:$M,0))&amp;"",""))))),1,0))</f>
        <v/>
      </c>
      <c r="Q4389" s="6" t="str">
        <f>IF($K4389="","",IF(ISNUMBER(SEARCH("transfert-interne",IFERROR(INDEX('Paramètres'!$N:$N,MATCH($D4389,'Paramètres'!$M:$M,0))&amp;"",""))),0,IF($L4389="Débit",$K4389,IF($P4389=1,-$K4389,0))))</f>
        <v/>
      </c>
      <c r="R4389" s="6" t="str">
        <f>IF($K4389="","",IF($L4389="Crédit",$K4389,-$K4389))</f>
        <v/>
      </c>
      <c r="S4389" s="6" t="str">
        <f>IF($C4389="","",IFERROR(INDEX('Paramètres'!$H:$H,MATCH($C4389,'Paramètres'!$D:$D,0))&amp;"",""))</f>
        <v/>
      </c>
      <c r="T4389" s="6" t="str">
        <f>IF($K4389="","",IF($S4389="",0,IF(ISNUMBER(SEARCH("apport-exterieur",IFERROR(INDEX('Paramètres'!$N:$N,MATCH($D4389,'Paramètres'!$M:$M,0))&amp;"",""))),0,IF(OR(IFERROR(INDEX('Paramètres'!$I:$I,MATCH($C4389,'Paramètres'!$D:$D,0))&amp;"","")="Les deux",IFERROR(INDEX('Paramètres'!$I:$I,MATCH($C4389,'Paramètres'!$D:$D,0))&amp;"","")=IF($P4389=1,"Débit",$L4389)),-IF($P4389=1,-$K4389,$K4389),0))))</f>
        <v/>
      </c>
      <c r="U4389" s="6" t="str">
        <f>IF($K4389="","",IF(ISNUMBER(SEARCH("sortie-epargne",IFERROR(INDEX('Paramètres'!$N:$N,MATCH($D4389,'Paramètres'!$M:$M,0))&amp;"",""))),$K4389,0))</f>
        <v/>
      </c>
      <c r="V4389" s="6" t="str">
        <f>IF(AND($A4389&lt;&gt;"",$O4389=1,$L4389="Débit",N($Q4389)&gt;0,$A4389&gt;=Visualisation!$B$1,$A4389&lt;Visualisation!$D$1),MAX($V$1:V4388)+1,"")</f>
        <v/>
      </c>
    </row>
    <row r="4390" spans="1:22" x14ac:dyDescent="0.25">
      <c r="A4390" s="9"/>
      <c r="E4390" s="10"/>
      <c r="K4390" s="11" t="str">
        <f>IF($E4390="","",ROUND($E4390*IF(ISNA(MATCH($C4390,'Paramètres'!$D:$D,0)),1,IF(INDEX('Paramètres'!$J:$J,MATCH($C4390,'Paramètres'!$D:$D,0))="",1,INDEX('Paramètres'!$J:$J,MATCH($C4390,'Paramètres'!$D:$D,0)))),2))</f>
        <v/>
      </c>
      <c r="L4390" s="6" t="str">
        <f>IF($D4390="","",IF($F4390&lt;&gt;"",$F4390,IF(ISNA(MATCH($D4390,'Paramètres'!$M:$M,0)),"⚠ Type inconnu",IFERROR(INDEX('Paramètres'!$P:$P,MATCH($D4390,'Paramètres'!$M:$M,0))&amp;"",""))))</f>
        <v/>
      </c>
      <c r="M4390" s="6" t="str">
        <f>IF($D4390="","",IF(ISNA(MATCH($D4390,'Paramètres'!$M:$M,0)),"⚠ Type inconnu",IF($L4390="Crédit","",IFERROR(INDEX('Paramètres'!$O:$O,MATCH($D4390,'Paramètres'!$M:$M,0))&amp;"",""))))</f>
        <v/>
      </c>
      <c r="N4390" s="6" t="str">
        <f>IF($D4390="","",IFERROR(INDEX('Paramètres'!$Q:$Q,MATCH($D4390,'Paramètres'!$M:$M,0))&amp;"",""))</f>
        <v/>
      </c>
      <c r="O4390" s="6" t="str">
        <f>IF($A4390="","",IF(OR($J4390&lt;&gt;"x",$A4390&lt;=FinReleve),1,0))</f>
        <v/>
      </c>
      <c r="P4390" s="6" t="str">
        <f>IF($D4390="","",IF(AND($L4390="Crédit",OR(IFERROR(INDEX('Paramètres'!$O:$O,MATCH($D4390,'Paramètres'!$M:$M,0))&amp;"","")&lt;&gt;"",ISNUMBER(SEARCH("remboursement",IFERROR(INDEX('Paramètres'!$N:$N,MATCH($D4390,'Paramètres'!$M:$M,0))&amp;"",""))))),1,0))</f>
        <v/>
      </c>
      <c r="Q4390" s="6" t="str">
        <f>IF($K4390="","",IF(ISNUMBER(SEARCH("transfert-interne",IFERROR(INDEX('Paramètres'!$N:$N,MATCH($D4390,'Paramètres'!$M:$M,0))&amp;"",""))),0,IF($L4390="Débit",$K4390,IF($P4390=1,-$K4390,0))))</f>
        <v/>
      </c>
      <c r="R4390" s="6" t="str">
        <f>IF($K4390="","",IF($L4390="Crédit",$K4390,-$K4390))</f>
        <v/>
      </c>
      <c r="S4390" s="6" t="str">
        <f>IF($C4390="","",IFERROR(INDEX('Paramètres'!$H:$H,MATCH($C4390,'Paramètres'!$D:$D,0))&amp;"",""))</f>
        <v/>
      </c>
      <c r="T4390" s="6" t="str">
        <f>IF($K4390="","",IF($S4390="",0,IF(ISNUMBER(SEARCH("apport-exterieur",IFERROR(INDEX('Paramètres'!$N:$N,MATCH($D4390,'Paramètres'!$M:$M,0))&amp;"",""))),0,IF(OR(IFERROR(INDEX('Paramètres'!$I:$I,MATCH($C4390,'Paramètres'!$D:$D,0))&amp;"","")="Les deux",IFERROR(INDEX('Paramètres'!$I:$I,MATCH($C4390,'Paramètres'!$D:$D,0))&amp;"","")=IF($P4390=1,"Débit",$L4390)),-IF($P4390=1,-$K4390,$K4390),0))))</f>
        <v/>
      </c>
      <c r="U4390" s="6" t="str">
        <f>IF($K4390="","",IF(ISNUMBER(SEARCH("sortie-epargne",IFERROR(INDEX('Paramètres'!$N:$N,MATCH($D4390,'Paramètres'!$M:$M,0))&amp;"",""))),$K4390,0))</f>
        <v/>
      </c>
      <c r="V4390" s="6" t="str">
        <f>IF(AND($A4390&lt;&gt;"",$O4390=1,$L4390="Débit",N($Q4390)&gt;0,$A4390&gt;=Visualisation!$B$1,$A4390&lt;Visualisation!$D$1),MAX($V$1:V4389)+1,"")</f>
        <v/>
      </c>
    </row>
    <row r="4391" spans="1:22" x14ac:dyDescent="0.25">
      <c r="A4391" s="9"/>
      <c r="E4391" s="10"/>
      <c r="K4391" s="11" t="str">
        <f>IF($E4391="","",ROUND($E4391*IF(ISNA(MATCH($C4391,'Paramètres'!$D:$D,0)),1,IF(INDEX('Paramètres'!$J:$J,MATCH($C4391,'Paramètres'!$D:$D,0))="",1,INDEX('Paramètres'!$J:$J,MATCH($C4391,'Paramètres'!$D:$D,0)))),2))</f>
        <v/>
      </c>
      <c r="L4391" s="6" t="str">
        <f>IF($D4391="","",IF($F4391&lt;&gt;"",$F4391,IF(ISNA(MATCH($D4391,'Paramètres'!$M:$M,0)),"⚠ Type inconnu",IFERROR(INDEX('Paramètres'!$P:$P,MATCH($D4391,'Paramètres'!$M:$M,0))&amp;"",""))))</f>
        <v/>
      </c>
      <c r="M4391" s="6" t="str">
        <f>IF($D4391="","",IF(ISNA(MATCH($D4391,'Paramètres'!$M:$M,0)),"⚠ Type inconnu",IF($L4391="Crédit","",IFERROR(INDEX('Paramètres'!$O:$O,MATCH($D4391,'Paramètres'!$M:$M,0))&amp;"",""))))</f>
        <v/>
      </c>
      <c r="N4391" s="6" t="str">
        <f>IF($D4391="","",IFERROR(INDEX('Paramètres'!$Q:$Q,MATCH($D4391,'Paramètres'!$M:$M,0))&amp;"",""))</f>
        <v/>
      </c>
      <c r="O4391" s="6" t="str">
        <f>IF($A4391="","",IF(OR($J4391&lt;&gt;"x",$A4391&lt;=FinReleve),1,0))</f>
        <v/>
      </c>
      <c r="P4391" s="6" t="str">
        <f>IF($D4391="","",IF(AND($L4391="Crédit",OR(IFERROR(INDEX('Paramètres'!$O:$O,MATCH($D4391,'Paramètres'!$M:$M,0))&amp;"","")&lt;&gt;"",ISNUMBER(SEARCH("remboursement",IFERROR(INDEX('Paramètres'!$N:$N,MATCH($D4391,'Paramètres'!$M:$M,0))&amp;"",""))))),1,0))</f>
        <v/>
      </c>
      <c r="Q4391" s="6" t="str">
        <f>IF($K4391="","",IF(ISNUMBER(SEARCH("transfert-interne",IFERROR(INDEX('Paramètres'!$N:$N,MATCH($D4391,'Paramètres'!$M:$M,0))&amp;"",""))),0,IF($L4391="Débit",$K4391,IF($P4391=1,-$K4391,0))))</f>
        <v/>
      </c>
      <c r="R4391" s="6" t="str">
        <f>IF($K4391="","",IF($L4391="Crédit",$K4391,-$K4391))</f>
        <v/>
      </c>
      <c r="S4391" s="6" t="str">
        <f>IF($C4391="","",IFERROR(INDEX('Paramètres'!$H:$H,MATCH($C4391,'Paramètres'!$D:$D,0))&amp;"",""))</f>
        <v/>
      </c>
      <c r="T4391" s="6" t="str">
        <f>IF($K4391="","",IF($S4391="",0,IF(ISNUMBER(SEARCH("apport-exterieur",IFERROR(INDEX('Paramètres'!$N:$N,MATCH($D4391,'Paramètres'!$M:$M,0))&amp;"",""))),0,IF(OR(IFERROR(INDEX('Paramètres'!$I:$I,MATCH($C4391,'Paramètres'!$D:$D,0))&amp;"","")="Les deux",IFERROR(INDEX('Paramètres'!$I:$I,MATCH($C4391,'Paramètres'!$D:$D,0))&amp;"","")=IF($P4391=1,"Débit",$L4391)),-IF($P4391=1,-$K4391,$K4391),0))))</f>
        <v/>
      </c>
      <c r="U4391" s="6" t="str">
        <f>IF($K4391="","",IF(ISNUMBER(SEARCH("sortie-epargne",IFERROR(INDEX('Paramètres'!$N:$N,MATCH($D4391,'Paramètres'!$M:$M,0))&amp;"",""))),$K4391,0))</f>
        <v/>
      </c>
      <c r="V4391" s="6" t="str">
        <f>IF(AND($A4391&lt;&gt;"",$O4391=1,$L4391="Débit",N($Q4391)&gt;0,$A4391&gt;=Visualisation!$B$1,$A4391&lt;Visualisation!$D$1),MAX($V$1:V4390)+1,"")</f>
        <v/>
      </c>
    </row>
    <row r="4392" spans="1:22" x14ac:dyDescent="0.25">
      <c r="A4392" s="9"/>
      <c r="E4392" s="10"/>
      <c r="K4392" s="11" t="str">
        <f>IF($E4392="","",ROUND($E4392*IF(ISNA(MATCH($C4392,'Paramètres'!$D:$D,0)),1,IF(INDEX('Paramètres'!$J:$J,MATCH($C4392,'Paramètres'!$D:$D,0))="",1,INDEX('Paramètres'!$J:$J,MATCH($C4392,'Paramètres'!$D:$D,0)))),2))</f>
        <v/>
      </c>
      <c r="L4392" s="6" t="str">
        <f>IF($D4392="","",IF($F4392&lt;&gt;"",$F4392,IF(ISNA(MATCH($D4392,'Paramètres'!$M:$M,0)),"⚠ Type inconnu",IFERROR(INDEX('Paramètres'!$P:$P,MATCH($D4392,'Paramètres'!$M:$M,0))&amp;"",""))))</f>
        <v/>
      </c>
      <c r="M4392" s="6" t="str">
        <f>IF($D4392="","",IF(ISNA(MATCH($D4392,'Paramètres'!$M:$M,0)),"⚠ Type inconnu",IF($L4392="Crédit","",IFERROR(INDEX('Paramètres'!$O:$O,MATCH($D4392,'Paramètres'!$M:$M,0))&amp;"",""))))</f>
        <v/>
      </c>
      <c r="N4392" s="6" t="str">
        <f>IF($D4392="","",IFERROR(INDEX('Paramètres'!$Q:$Q,MATCH($D4392,'Paramètres'!$M:$M,0))&amp;"",""))</f>
        <v/>
      </c>
      <c r="O4392" s="6" t="str">
        <f>IF($A4392="","",IF(OR($J4392&lt;&gt;"x",$A4392&lt;=FinReleve),1,0))</f>
        <v/>
      </c>
      <c r="P4392" s="6" t="str">
        <f>IF($D4392="","",IF(AND($L4392="Crédit",OR(IFERROR(INDEX('Paramètres'!$O:$O,MATCH($D4392,'Paramètres'!$M:$M,0))&amp;"","")&lt;&gt;"",ISNUMBER(SEARCH("remboursement",IFERROR(INDEX('Paramètres'!$N:$N,MATCH($D4392,'Paramètres'!$M:$M,0))&amp;"",""))))),1,0))</f>
        <v/>
      </c>
      <c r="Q4392" s="6" t="str">
        <f>IF($K4392="","",IF(ISNUMBER(SEARCH("transfert-interne",IFERROR(INDEX('Paramètres'!$N:$N,MATCH($D4392,'Paramètres'!$M:$M,0))&amp;"",""))),0,IF($L4392="Débit",$K4392,IF($P4392=1,-$K4392,0))))</f>
        <v/>
      </c>
      <c r="R4392" s="6" t="str">
        <f>IF($K4392="","",IF($L4392="Crédit",$K4392,-$K4392))</f>
        <v/>
      </c>
      <c r="S4392" s="6" t="str">
        <f>IF($C4392="","",IFERROR(INDEX('Paramètres'!$H:$H,MATCH($C4392,'Paramètres'!$D:$D,0))&amp;"",""))</f>
        <v/>
      </c>
      <c r="T4392" s="6" t="str">
        <f>IF($K4392="","",IF($S4392="",0,IF(ISNUMBER(SEARCH("apport-exterieur",IFERROR(INDEX('Paramètres'!$N:$N,MATCH($D4392,'Paramètres'!$M:$M,0))&amp;"",""))),0,IF(OR(IFERROR(INDEX('Paramètres'!$I:$I,MATCH($C4392,'Paramètres'!$D:$D,0))&amp;"","")="Les deux",IFERROR(INDEX('Paramètres'!$I:$I,MATCH($C4392,'Paramètres'!$D:$D,0))&amp;"","")=IF($P4392=1,"Débit",$L4392)),-IF($P4392=1,-$K4392,$K4392),0))))</f>
        <v/>
      </c>
      <c r="U4392" s="6" t="str">
        <f>IF($K4392="","",IF(ISNUMBER(SEARCH("sortie-epargne",IFERROR(INDEX('Paramètres'!$N:$N,MATCH($D4392,'Paramètres'!$M:$M,0))&amp;"",""))),$K4392,0))</f>
        <v/>
      </c>
      <c r="V4392" s="6" t="str">
        <f>IF(AND($A4392&lt;&gt;"",$O4392=1,$L4392="Débit",N($Q4392)&gt;0,$A4392&gt;=Visualisation!$B$1,$A4392&lt;Visualisation!$D$1),MAX($V$1:V4391)+1,"")</f>
        <v/>
      </c>
    </row>
    <row r="4393" spans="1:22" x14ac:dyDescent="0.25">
      <c r="A4393" s="9"/>
      <c r="E4393" s="10"/>
      <c r="K4393" s="11" t="str">
        <f>IF($E4393="","",ROUND($E4393*IF(ISNA(MATCH($C4393,'Paramètres'!$D:$D,0)),1,IF(INDEX('Paramètres'!$J:$J,MATCH($C4393,'Paramètres'!$D:$D,0))="",1,INDEX('Paramètres'!$J:$J,MATCH($C4393,'Paramètres'!$D:$D,0)))),2))</f>
        <v/>
      </c>
      <c r="L4393" s="6" t="str">
        <f>IF($D4393="","",IF($F4393&lt;&gt;"",$F4393,IF(ISNA(MATCH($D4393,'Paramètres'!$M:$M,0)),"⚠ Type inconnu",IFERROR(INDEX('Paramètres'!$P:$P,MATCH($D4393,'Paramètres'!$M:$M,0))&amp;"",""))))</f>
        <v/>
      </c>
      <c r="M4393" s="6" t="str">
        <f>IF($D4393="","",IF(ISNA(MATCH($D4393,'Paramètres'!$M:$M,0)),"⚠ Type inconnu",IF($L4393="Crédit","",IFERROR(INDEX('Paramètres'!$O:$O,MATCH($D4393,'Paramètres'!$M:$M,0))&amp;"",""))))</f>
        <v/>
      </c>
      <c r="N4393" s="6" t="str">
        <f>IF($D4393="","",IFERROR(INDEX('Paramètres'!$Q:$Q,MATCH($D4393,'Paramètres'!$M:$M,0))&amp;"",""))</f>
        <v/>
      </c>
      <c r="O4393" s="6" t="str">
        <f>IF($A4393="","",IF(OR($J4393&lt;&gt;"x",$A4393&lt;=FinReleve),1,0))</f>
        <v/>
      </c>
      <c r="P4393" s="6" t="str">
        <f>IF($D4393="","",IF(AND($L4393="Crédit",OR(IFERROR(INDEX('Paramètres'!$O:$O,MATCH($D4393,'Paramètres'!$M:$M,0))&amp;"","")&lt;&gt;"",ISNUMBER(SEARCH("remboursement",IFERROR(INDEX('Paramètres'!$N:$N,MATCH($D4393,'Paramètres'!$M:$M,0))&amp;"",""))))),1,0))</f>
        <v/>
      </c>
      <c r="Q4393" s="6" t="str">
        <f>IF($K4393="","",IF(ISNUMBER(SEARCH("transfert-interne",IFERROR(INDEX('Paramètres'!$N:$N,MATCH($D4393,'Paramètres'!$M:$M,0))&amp;"",""))),0,IF($L4393="Débit",$K4393,IF($P4393=1,-$K4393,0))))</f>
        <v/>
      </c>
      <c r="R4393" s="6" t="str">
        <f>IF($K4393="","",IF($L4393="Crédit",$K4393,-$K4393))</f>
        <v/>
      </c>
      <c r="S4393" s="6" t="str">
        <f>IF($C4393="","",IFERROR(INDEX('Paramètres'!$H:$H,MATCH($C4393,'Paramètres'!$D:$D,0))&amp;"",""))</f>
        <v/>
      </c>
      <c r="T4393" s="6" t="str">
        <f>IF($K4393="","",IF($S4393="",0,IF(ISNUMBER(SEARCH("apport-exterieur",IFERROR(INDEX('Paramètres'!$N:$N,MATCH($D4393,'Paramètres'!$M:$M,0))&amp;"",""))),0,IF(OR(IFERROR(INDEX('Paramètres'!$I:$I,MATCH($C4393,'Paramètres'!$D:$D,0))&amp;"","")="Les deux",IFERROR(INDEX('Paramètres'!$I:$I,MATCH($C4393,'Paramètres'!$D:$D,0))&amp;"","")=IF($P4393=1,"Débit",$L4393)),-IF($P4393=1,-$K4393,$K4393),0))))</f>
        <v/>
      </c>
      <c r="U4393" s="6" t="str">
        <f>IF($K4393="","",IF(ISNUMBER(SEARCH("sortie-epargne",IFERROR(INDEX('Paramètres'!$N:$N,MATCH($D4393,'Paramètres'!$M:$M,0))&amp;"",""))),$K4393,0))</f>
        <v/>
      </c>
      <c r="V4393" s="6" t="str">
        <f>IF(AND($A4393&lt;&gt;"",$O4393=1,$L4393="Débit",N($Q4393)&gt;0,$A4393&gt;=Visualisation!$B$1,$A4393&lt;Visualisation!$D$1),MAX($V$1:V4392)+1,"")</f>
        <v/>
      </c>
    </row>
    <row r="4394" spans="1:22" x14ac:dyDescent="0.25">
      <c r="A4394" s="9"/>
      <c r="E4394" s="10"/>
      <c r="K4394" s="11" t="str">
        <f>IF($E4394="","",ROUND($E4394*IF(ISNA(MATCH($C4394,'Paramètres'!$D:$D,0)),1,IF(INDEX('Paramètres'!$J:$J,MATCH($C4394,'Paramètres'!$D:$D,0))="",1,INDEX('Paramètres'!$J:$J,MATCH($C4394,'Paramètres'!$D:$D,0)))),2))</f>
        <v/>
      </c>
      <c r="L4394" s="6" t="str">
        <f>IF($D4394="","",IF($F4394&lt;&gt;"",$F4394,IF(ISNA(MATCH($D4394,'Paramètres'!$M:$M,0)),"⚠ Type inconnu",IFERROR(INDEX('Paramètres'!$P:$P,MATCH($D4394,'Paramètres'!$M:$M,0))&amp;"",""))))</f>
        <v/>
      </c>
      <c r="M4394" s="6" t="str">
        <f>IF($D4394="","",IF(ISNA(MATCH($D4394,'Paramètres'!$M:$M,0)),"⚠ Type inconnu",IF($L4394="Crédit","",IFERROR(INDEX('Paramètres'!$O:$O,MATCH($D4394,'Paramètres'!$M:$M,0))&amp;"",""))))</f>
        <v/>
      </c>
      <c r="N4394" s="6" t="str">
        <f>IF($D4394="","",IFERROR(INDEX('Paramètres'!$Q:$Q,MATCH($D4394,'Paramètres'!$M:$M,0))&amp;"",""))</f>
        <v/>
      </c>
      <c r="O4394" s="6" t="str">
        <f>IF($A4394="","",IF(OR($J4394&lt;&gt;"x",$A4394&lt;=FinReleve),1,0))</f>
        <v/>
      </c>
      <c r="P4394" s="6" t="str">
        <f>IF($D4394="","",IF(AND($L4394="Crédit",OR(IFERROR(INDEX('Paramètres'!$O:$O,MATCH($D4394,'Paramètres'!$M:$M,0))&amp;"","")&lt;&gt;"",ISNUMBER(SEARCH("remboursement",IFERROR(INDEX('Paramètres'!$N:$N,MATCH($D4394,'Paramètres'!$M:$M,0))&amp;"",""))))),1,0))</f>
        <v/>
      </c>
      <c r="Q4394" s="6" t="str">
        <f>IF($K4394="","",IF(ISNUMBER(SEARCH("transfert-interne",IFERROR(INDEX('Paramètres'!$N:$N,MATCH($D4394,'Paramètres'!$M:$M,0))&amp;"",""))),0,IF($L4394="Débit",$K4394,IF($P4394=1,-$K4394,0))))</f>
        <v/>
      </c>
      <c r="R4394" s="6" t="str">
        <f>IF($K4394="","",IF($L4394="Crédit",$K4394,-$K4394))</f>
        <v/>
      </c>
      <c r="S4394" s="6" t="str">
        <f>IF($C4394="","",IFERROR(INDEX('Paramètres'!$H:$H,MATCH($C4394,'Paramètres'!$D:$D,0))&amp;"",""))</f>
        <v/>
      </c>
      <c r="T4394" s="6" t="str">
        <f>IF($K4394="","",IF($S4394="",0,IF(ISNUMBER(SEARCH("apport-exterieur",IFERROR(INDEX('Paramètres'!$N:$N,MATCH($D4394,'Paramètres'!$M:$M,0))&amp;"",""))),0,IF(OR(IFERROR(INDEX('Paramètres'!$I:$I,MATCH($C4394,'Paramètres'!$D:$D,0))&amp;"","")="Les deux",IFERROR(INDEX('Paramètres'!$I:$I,MATCH($C4394,'Paramètres'!$D:$D,0))&amp;"","")=IF($P4394=1,"Débit",$L4394)),-IF($P4394=1,-$K4394,$K4394),0))))</f>
        <v/>
      </c>
      <c r="U4394" s="6" t="str">
        <f>IF($K4394="","",IF(ISNUMBER(SEARCH("sortie-epargne",IFERROR(INDEX('Paramètres'!$N:$N,MATCH($D4394,'Paramètres'!$M:$M,0))&amp;"",""))),$K4394,0))</f>
        <v/>
      </c>
      <c r="V4394" s="6" t="str">
        <f>IF(AND($A4394&lt;&gt;"",$O4394=1,$L4394="Débit",N($Q4394)&gt;0,$A4394&gt;=Visualisation!$B$1,$A4394&lt;Visualisation!$D$1),MAX($V$1:V4393)+1,"")</f>
        <v/>
      </c>
    </row>
    <row r="4395" spans="1:22" x14ac:dyDescent="0.25">
      <c r="A4395" s="9"/>
      <c r="E4395" s="10"/>
      <c r="K4395" s="11" t="str">
        <f>IF($E4395="","",ROUND($E4395*IF(ISNA(MATCH($C4395,'Paramètres'!$D:$D,0)),1,IF(INDEX('Paramètres'!$J:$J,MATCH($C4395,'Paramètres'!$D:$D,0))="",1,INDEX('Paramètres'!$J:$J,MATCH($C4395,'Paramètres'!$D:$D,0)))),2))</f>
        <v/>
      </c>
      <c r="L4395" s="6" t="str">
        <f>IF($D4395="","",IF($F4395&lt;&gt;"",$F4395,IF(ISNA(MATCH($D4395,'Paramètres'!$M:$M,0)),"⚠ Type inconnu",IFERROR(INDEX('Paramètres'!$P:$P,MATCH($D4395,'Paramètres'!$M:$M,0))&amp;"",""))))</f>
        <v/>
      </c>
      <c r="M4395" s="6" t="str">
        <f>IF($D4395="","",IF(ISNA(MATCH($D4395,'Paramètres'!$M:$M,0)),"⚠ Type inconnu",IF($L4395="Crédit","",IFERROR(INDEX('Paramètres'!$O:$O,MATCH($D4395,'Paramètres'!$M:$M,0))&amp;"",""))))</f>
        <v/>
      </c>
      <c r="N4395" s="6" t="str">
        <f>IF($D4395="","",IFERROR(INDEX('Paramètres'!$Q:$Q,MATCH($D4395,'Paramètres'!$M:$M,0))&amp;"",""))</f>
        <v/>
      </c>
      <c r="O4395" s="6" t="str">
        <f>IF($A4395="","",IF(OR($J4395&lt;&gt;"x",$A4395&lt;=FinReleve),1,0))</f>
        <v/>
      </c>
      <c r="P4395" s="6" t="str">
        <f>IF($D4395="","",IF(AND($L4395="Crédit",OR(IFERROR(INDEX('Paramètres'!$O:$O,MATCH($D4395,'Paramètres'!$M:$M,0))&amp;"","")&lt;&gt;"",ISNUMBER(SEARCH("remboursement",IFERROR(INDEX('Paramètres'!$N:$N,MATCH($D4395,'Paramètres'!$M:$M,0))&amp;"",""))))),1,0))</f>
        <v/>
      </c>
      <c r="Q4395" s="6" t="str">
        <f>IF($K4395="","",IF(ISNUMBER(SEARCH("transfert-interne",IFERROR(INDEX('Paramètres'!$N:$N,MATCH($D4395,'Paramètres'!$M:$M,0))&amp;"",""))),0,IF($L4395="Débit",$K4395,IF($P4395=1,-$K4395,0))))</f>
        <v/>
      </c>
      <c r="R4395" s="6" t="str">
        <f>IF($K4395="","",IF($L4395="Crédit",$K4395,-$K4395))</f>
        <v/>
      </c>
      <c r="S4395" s="6" t="str">
        <f>IF($C4395="","",IFERROR(INDEX('Paramètres'!$H:$H,MATCH($C4395,'Paramètres'!$D:$D,0))&amp;"",""))</f>
        <v/>
      </c>
      <c r="T4395" s="6" t="str">
        <f>IF($K4395="","",IF($S4395="",0,IF(ISNUMBER(SEARCH("apport-exterieur",IFERROR(INDEX('Paramètres'!$N:$N,MATCH($D4395,'Paramètres'!$M:$M,0))&amp;"",""))),0,IF(OR(IFERROR(INDEX('Paramètres'!$I:$I,MATCH($C4395,'Paramètres'!$D:$D,0))&amp;"","")="Les deux",IFERROR(INDEX('Paramètres'!$I:$I,MATCH($C4395,'Paramètres'!$D:$D,0))&amp;"","")=IF($P4395=1,"Débit",$L4395)),-IF($P4395=1,-$K4395,$K4395),0))))</f>
        <v/>
      </c>
      <c r="U4395" s="6" t="str">
        <f>IF($K4395="","",IF(ISNUMBER(SEARCH("sortie-epargne",IFERROR(INDEX('Paramètres'!$N:$N,MATCH($D4395,'Paramètres'!$M:$M,0))&amp;"",""))),$K4395,0))</f>
        <v/>
      </c>
      <c r="V4395" s="6" t="str">
        <f>IF(AND($A4395&lt;&gt;"",$O4395=1,$L4395="Débit",N($Q4395)&gt;0,$A4395&gt;=Visualisation!$B$1,$A4395&lt;Visualisation!$D$1),MAX($V$1:V4394)+1,"")</f>
        <v/>
      </c>
    </row>
    <row r="4396" spans="1:22" x14ac:dyDescent="0.25">
      <c r="A4396" s="9"/>
      <c r="E4396" s="10"/>
      <c r="K4396" s="11" t="str">
        <f>IF($E4396="","",ROUND($E4396*IF(ISNA(MATCH($C4396,'Paramètres'!$D:$D,0)),1,IF(INDEX('Paramètres'!$J:$J,MATCH($C4396,'Paramètres'!$D:$D,0))="",1,INDEX('Paramètres'!$J:$J,MATCH($C4396,'Paramètres'!$D:$D,0)))),2))</f>
        <v/>
      </c>
      <c r="L4396" s="6" t="str">
        <f>IF($D4396="","",IF($F4396&lt;&gt;"",$F4396,IF(ISNA(MATCH($D4396,'Paramètres'!$M:$M,0)),"⚠ Type inconnu",IFERROR(INDEX('Paramètres'!$P:$P,MATCH($D4396,'Paramètres'!$M:$M,0))&amp;"",""))))</f>
        <v/>
      </c>
      <c r="M4396" s="6" t="str">
        <f>IF($D4396="","",IF(ISNA(MATCH($D4396,'Paramètres'!$M:$M,0)),"⚠ Type inconnu",IF($L4396="Crédit","",IFERROR(INDEX('Paramètres'!$O:$O,MATCH($D4396,'Paramètres'!$M:$M,0))&amp;"",""))))</f>
        <v/>
      </c>
      <c r="N4396" s="6" t="str">
        <f>IF($D4396="","",IFERROR(INDEX('Paramètres'!$Q:$Q,MATCH($D4396,'Paramètres'!$M:$M,0))&amp;"",""))</f>
        <v/>
      </c>
      <c r="O4396" s="6" t="str">
        <f>IF($A4396="","",IF(OR($J4396&lt;&gt;"x",$A4396&lt;=FinReleve),1,0))</f>
        <v/>
      </c>
      <c r="P4396" s="6" t="str">
        <f>IF($D4396="","",IF(AND($L4396="Crédit",OR(IFERROR(INDEX('Paramètres'!$O:$O,MATCH($D4396,'Paramètres'!$M:$M,0))&amp;"","")&lt;&gt;"",ISNUMBER(SEARCH("remboursement",IFERROR(INDEX('Paramètres'!$N:$N,MATCH($D4396,'Paramètres'!$M:$M,0))&amp;"",""))))),1,0))</f>
        <v/>
      </c>
      <c r="Q4396" s="6" t="str">
        <f>IF($K4396="","",IF(ISNUMBER(SEARCH("transfert-interne",IFERROR(INDEX('Paramètres'!$N:$N,MATCH($D4396,'Paramètres'!$M:$M,0))&amp;"",""))),0,IF($L4396="Débit",$K4396,IF($P4396=1,-$K4396,0))))</f>
        <v/>
      </c>
      <c r="R4396" s="6" t="str">
        <f>IF($K4396="","",IF($L4396="Crédit",$K4396,-$K4396))</f>
        <v/>
      </c>
      <c r="S4396" s="6" t="str">
        <f>IF($C4396="","",IFERROR(INDEX('Paramètres'!$H:$H,MATCH($C4396,'Paramètres'!$D:$D,0))&amp;"",""))</f>
        <v/>
      </c>
      <c r="T4396" s="6" t="str">
        <f>IF($K4396="","",IF($S4396="",0,IF(ISNUMBER(SEARCH("apport-exterieur",IFERROR(INDEX('Paramètres'!$N:$N,MATCH($D4396,'Paramètres'!$M:$M,0))&amp;"",""))),0,IF(OR(IFERROR(INDEX('Paramètres'!$I:$I,MATCH($C4396,'Paramètres'!$D:$D,0))&amp;"","")="Les deux",IFERROR(INDEX('Paramètres'!$I:$I,MATCH($C4396,'Paramètres'!$D:$D,0))&amp;"","")=IF($P4396=1,"Débit",$L4396)),-IF($P4396=1,-$K4396,$K4396),0))))</f>
        <v/>
      </c>
      <c r="U4396" s="6" t="str">
        <f>IF($K4396="","",IF(ISNUMBER(SEARCH("sortie-epargne",IFERROR(INDEX('Paramètres'!$N:$N,MATCH($D4396,'Paramètres'!$M:$M,0))&amp;"",""))),$K4396,0))</f>
        <v/>
      </c>
      <c r="V4396" s="6" t="str">
        <f>IF(AND($A4396&lt;&gt;"",$O4396=1,$L4396="Débit",N($Q4396)&gt;0,$A4396&gt;=Visualisation!$B$1,$A4396&lt;Visualisation!$D$1),MAX($V$1:V4395)+1,"")</f>
        <v/>
      </c>
    </row>
    <row r="4397" spans="1:22" x14ac:dyDescent="0.25">
      <c r="A4397" s="9"/>
      <c r="E4397" s="10"/>
      <c r="K4397" s="11" t="str">
        <f>IF($E4397="","",ROUND($E4397*IF(ISNA(MATCH($C4397,'Paramètres'!$D:$D,0)),1,IF(INDEX('Paramètres'!$J:$J,MATCH($C4397,'Paramètres'!$D:$D,0))="",1,INDEX('Paramètres'!$J:$J,MATCH($C4397,'Paramètres'!$D:$D,0)))),2))</f>
        <v/>
      </c>
      <c r="L4397" s="6" t="str">
        <f>IF($D4397="","",IF($F4397&lt;&gt;"",$F4397,IF(ISNA(MATCH($D4397,'Paramètres'!$M:$M,0)),"⚠ Type inconnu",IFERROR(INDEX('Paramètres'!$P:$P,MATCH($D4397,'Paramètres'!$M:$M,0))&amp;"",""))))</f>
        <v/>
      </c>
      <c r="M4397" s="6" t="str">
        <f>IF($D4397="","",IF(ISNA(MATCH($D4397,'Paramètres'!$M:$M,0)),"⚠ Type inconnu",IF($L4397="Crédit","",IFERROR(INDEX('Paramètres'!$O:$O,MATCH($D4397,'Paramètres'!$M:$M,0))&amp;"",""))))</f>
        <v/>
      </c>
      <c r="N4397" s="6" t="str">
        <f>IF($D4397="","",IFERROR(INDEX('Paramètres'!$Q:$Q,MATCH($D4397,'Paramètres'!$M:$M,0))&amp;"",""))</f>
        <v/>
      </c>
      <c r="O4397" s="6" t="str">
        <f>IF($A4397="","",IF(OR($J4397&lt;&gt;"x",$A4397&lt;=FinReleve),1,0))</f>
        <v/>
      </c>
      <c r="P4397" s="6" t="str">
        <f>IF($D4397="","",IF(AND($L4397="Crédit",OR(IFERROR(INDEX('Paramètres'!$O:$O,MATCH($D4397,'Paramètres'!$M:$M,0))&amp;"","")&lt;&gt;"",ISNUMBER(SEARCH("remboursement",IFERROR(INDEX('Paramètres'!$N:$N,MATCH($D4397,'Paramètres'!$M:$M,0))&amp;"",""))))),1,0))</f>
        <v/>
      </c>
      <c r="Q4397" s="6" t="str">
        <f>IF($K4397="","",IF(ISNUMBER(SEARCH("transfert-interne",IFERROR(INDEX('Paramètres'!$N:$N,MATCH($D4397,'Paramètres'!$M:$M,0))&amp;"",""))),0,IF($L4397="Débit",$K4397,IF($P4397=1,-$K4397,0))))</f>
        <v/>
      </c>
      <c r="R4397" s="6" t="str">
        <f>IF($K4397="","",IF($L4397="Crédit",$K4397,-$K4397))</f>
        <v/>
      </c>
      <c r="S4397" s="6" t="str">
        <f>IF($C4397="","",IFERROR(INDEX('Paramètres'!$H:$H,MATCH($C4397,'Paramètres'!$D:$D,0))&amp;"",""))</f>
        <v/>
      </c>
      <c r="T4397" s="6" t="str">
        <f>IF($K4397="","",IF($S4397="",0,IF(ISNUMBER(SEARCH("apport-exterieur",IFERROR(INDEX('Paramètres'!$N:$N,MATCH($D4397,'Paramètres'!$M:$M,0))&amp;"",""))),0,IF(OR(IFERROR(INDEX('Paramètres'!$I:$I,MATCH($C4397,'Paramètres'!$D:$D,0))&amp;"","")="Les deux",IFERROR(INDEX('Paramètres'!$I:$I,MATCH($C4397,'Paramètres'!$D:$D,0))&amp;"","")=IF($P4397=1,"Débit",$L4397)),-IF($P4397=1,-$K4397,$K4397),0))))</f>
        <v/>
      </c>
      <c r="U4397" s="6" t="str">
        <f>IF($K4397="","",IF(ISNUMBER(SEARCH("sortie-epargne",IFERROR(INDEX('Paramètres'!$N:$N,MATCH($D4397,'Paramètres'!$M:$M,0))&amp;"",""))),$K4397,0))</f>
        <v/>
      </c>
      <c r="V4397" s="6" t="str">
        <f>IF(AND($A4397&lt;&gt;"",$O4397=1,$L4397="Débit",N($Q4397)&gt;0,$A4397&gt;=Visualisation!$B$1,$A4397&lt;Visualisation!$D$1),MAX($V$1:V4396)+1,"")</f>
        <v/>
      </c>
    </row>
    <row r="4398" spans="1:22" x14ac:dyDescent="0.25">
      <c r="A4398" s="9"/>
      <c r="E4398" s="10"/>
      <c r="K4398" s="11" t="str">
        <f>IF($E4398="","",ROUND($E4398*IF(ISNA(MATCH($C4398,'Paramètres'!$D:$D,0)),1,IF(INDEX('Paramètres'!$J:$J,MATCH($C4398,'Paramètres'!$D:$D,0))="",1,INDEX('Paramètres'!$J:$J,MATCH($C4398,'Paramètres'!$D:$D,0)))),2))</f>
        <v/>
      </c>
      <c r="L4398" s="6" t="str">
        <f>IF($D4398="","",IF($F4398&lt;&gt;"",$F4398,IF(ISNA(MATCH($D4398,'Paramètres'!$M:$M,0)),"⚠ Type inconnu",IFERROR(INDEX('Paramètres'!$P:$P,MATCH($D4398,'Paramètres'!$M:$M,0))&amp;"",""))))</f>
        <v/>
      </c>
      <c r="M4398" s="6" t="str">
        <f>IF($D4398="","",IF(ISNA(MATCH($D4398,'Paramètres'!$M:$M,0)),"⚠ Type inconnu",IF($L4398="Crédit","",IFERROR(INDEX('Paramètres'!$O:$O,MATCH($D4398,'Paramètres'!$M:$M,0))&amp;"",""))))</f>
        <v/>
      </c>
      <c r="N4398" s="6" t="str">
        <f>IF($D4398="","",IFERROR(INDEX('Paramètres'!$Q:$Q,MATCH($D4398,'Paramètres'!$M:$M,0))&amp;"",""))</f>
        <v/>
      </c>
      <c r="O4398" s="6" t="str">
        <f>IF($A4398="","",IF(OR($J4398&lt;&gt;"x",$A4398&lt;=FinReleve),1,0))</f>
        <v/>
      </c>
      <c r="P4398" s="6" t="str">
        <f>IF($D4398="","",IF(AND($L4398="Crédit",OR(IFERROR(INDEX('Paramètres'!$O:$O,MATCH($D4398,'Paramètres'!$M:$M,0))&amp;"","")&lt;&gt;"",ISNUMBER(SEARCH("remboursement",IFERROR(INDEX('Paramètres'!$N:$N,MATCH($D4398,'Paramètres'!$M:$M,0))&amp;"",""))))),1,0))</f>
        <v/>
      </c>
      <c r="Q4398" s="6" t="str">
        <f>IF($K4398="","",IF(ISNUMBER(SEARCH("transfert-interne",IFERROR(INDEX('Paramètres'!$N:$N,MATCH($D4398,'Paramètres'!$M:$M,0))&amp;"",""))),0,IF($L4398="Débit",$K4398,IF($P4398=1,-$K4398,0))))</f>
        <v/>
      </c>
      <c r="R4398" s="6" t="str">
        <f>IF($K4398="","",IF($L4398="Crédit",$K4398,-$K4398))</f>
        <v/>
      </c>
      <c r="S4398" s="6" t="str">
        <f>IF($C4398="","",IFERROR(INDEX('Paramètres'!$H:$H,MATCH($C4398,'Paramètres'!$D:$D,0))&amp;"",""))</f>
        <v/>
      </c>
      <c r="T4398" s="6" t="str">
        <f>IF($K4398="","",IF($S4398="",0,IF(ISNUMBER(SEARCH("apport-exterieur",IFERROR(INDEX('Paramètres'!$N:$N,MATCH($D4398,'Paramètres'!$M:$M,0))&amp;"",""))),0,IF(OR(IFERROR(INDEX('Paramètres'!$I:$I,MATCH($C4398,'Paramètres'!$D:$D,0))&amp;"","")="Les deux",IFERROR(INDEX('Paramètres'!$I:$I,MATCH($C4398,'Paramètres'!$D:$D,0))&amp;"","")=IF($P4398=1,"Débit",$L4398)),-IF($P4398=1,-$K4398,$K4398),0))))</f>
        <v/>
      </c>
      <c r="U4398" s="6" t="str">
        <f>IF($K4398="","",IF(ISNUMBER(SEARCH("sortie-epargne",IFERROR(INDEX('Paramètres'!$N:$N,MATCH($D4398,'Paramètres'!$M:$M,0))&amp;"",""))),$K4398,0))</f>
        <v/>
      </c>
      <c r="V4398" s="6" t="str">
        <f>IF(AND($A4398&lt;&gt;"",$O4398=1,$L4398="Débit",N($Q4398)&gt;0,$A4398&gt;=Visualisation!$B$1,$A4398&lt;Visualisation!$D$1),MAX($V$1:V4397)+1,"")</f>
        <v/>
      </c>
    </row>
    <row r="4399" spans="1:22" x14ac:dyDescent="0.25">
      <c r="A4399" s="9"/>
      <c r="E4399" s="10"/>
      <c r="K4399" s="11" t="str">
        <f>IF($E4399="","",ROUND($E4399*IF(ISNA(MATCH($C4399,'Paramètres'!$D:$D,0)),1,IF(INDEX('Paramètres'!$J:$J,MATCH($C4399,'Paramètres'!$D:$D,0))="",1,INDEX('Paramètres'!$J:$J,MATCH($C4399,'Paramètres'!$D:$D,0)))),2))</f>
        <v/>
      </c>
      <c r="L4399" s="6" t="str">
        <f>IF($D4399="","",IF($F4399&lt;&gt;"",$F4399,IF(ISNA(MATCH($D4399,'Paramètres'!$M:$M,0)),"⚠ Type inconnu",IFERROR(INDEX('Paramètres'!$P:$P,MATCH($D4399,'Paramètres'!$M:$M,0))&amp;"",""))))</f>
        <v/>
      </c>
      <c r="M4399" s="6" t="str">
        <f>IF($D4399="","",IF(ISNA(MATCH($D4399,'Paramètres'!$M:$M,0)),"⚠ Type inconnu",IF($L4399="Crédit","",IFERROR(INDEX('Paramètres'!$O:$O,MATCH($D4399,'Paramètres'!$M:$M,0))&amp;"",""))))</f>
        <v/>
      </c>
      <c r="N4399" s="6" t="str">
        <f>IF($D4399="","",IFERROR(INDEX('Paramètres'!$Q:$Q,MATCH($D4399,'Paramètres'!$M:$M,0))&amp;"",""))</f>
        <v/>
      </c>
      <c r="O4399" s="6" t="str">
        <f>IF($A4399="","",IF(OR($J4399&lt;&gt;"x",$A4399&lt;=FinReleve),1,0))</f>
        <v/>
      </c>
      <c r="P4399" s="6" t="str">
        <f>IF($D4399="","",IF(AND($L4399="Crédit",OR(IFERROR(INDEX('Paramètres'!$O:$O,MATCH($D4399,'Paramètres'!$M:$M,0))&amp;"","")&lt;&gt;"",ISNUMBER(SEARCH("remboursement",IFERROR(INDEX('Paramètres'!$N:$N,MATCH($D4399,'Paramètres'!$M:$M,0))&amp;"",""))))),1,0))</f>
        <v/>
      </c>
      <c r="Q4399" s="6" t="str">
        <f>IF($K4399="","",IF(ISNUMBER(SEARCH("transfert-interne",IFERROR(INDEX('Paramètres'!$N:$N,MATCH($D4399,'Paramètres'!$M:$M,0))&amp;"",""))),0,IF($L4399="Débit",$K4399,IF($P4399=1,-$K4399,0))))</f>
        <v/>
      </c>
      <c r="R4399" s="6" t="str">
        <f>IF($K4399="","",IF($L4399="Crédit",$K4399,-$K4399))</f>
        <v/>
      </c>
      <c r="S4399" s="6" t="str">
        <f>IF($C4399="","",IFERROR(INDEX('Paramètres'!$H:$H,MATCH($C4399,'Paramètres'!$D:$D,0))&amp;"",""))</f>
        <v/>
      </c>
      <c r="T4399" s="6" t="str">
        <f>IF($K4399="","",IF($S4399="",0,IF(ISNUMBER(SEARCH("apport-exterieur",IFERROR(INDEX('Paramètres'!$N:$N,MATCH($D4399,'Paramètres'!$M:$M,0))&amp;"",""))),0,IF(OR(IFERROR(INDEX('Paramètres'!$I:$I,MATCH($C4399,'Paramètres'!$D:$D,0))&amp;"","")="Les deux",IFERROR(INDEX('Paramètres'!$I:$I,MATCH($C4399,'Paramètres'!$D:$D,0))&amp;"","")=IF($P4399=1,"Débit",$L4399)),-IF($P4399=1,-$K4399,$K4399),0))))</f>
        <v/>
      </c>
      <c r="U4399" s="6" t="str">
        <f>IF($K4399="","",IF(ISNUMBER(SEARCH("sortie-epargne",IFERROR(INDEX('Paramètres'!$N:$N,MATCH($D4399,'Paramètres'!$M:$M,0))&amp;"",""))),$K4399,0))</f>
        <v/>
      </c>
      <c r="V4399" s="6" t="str">
        <f>IF(AND($A4399&lt;&gt;"",$O4399=1,$L4399="Débit",N($Q4399)&gt;0,$A4399&gt;=Visualisation!$B$1,$A4399&lt;Visualisation!$D$1),MAX($V$1:V4398)+1,"")</f>
        <v/>
      </c>
    </row>
    <row r="4400" spans="1:22" x14ac:dyDescent="0.25">
      <c r="A4400" s="9"/>
      <c r="E4400" s="10"/>
      <c r="K4400" s="11" t="str">
        <f>IF($E4400="","",ROUND($E4400*IF(ISNA(MATCH($C4400,'Paramètres'!$D:$D,0)),1,IF(INDEX('Paramètres'!$J:$J,MATCH($C4400,'Paramètres'!$D:$D,0))="",1,INDEX('Paramètres'!$J:$J,MATCH($C4400,'Paramètres'!$D:$D,0)))),2))</f>
        <v/>
      </c>
      <c r="L4400" s="6" t="str">
        <f>IF($D4400="","",IF($F4400&lt;&gt;"",$F4400,IF(ISNA(MATCH($D4400,'Paramètres'!$M:$M,0)),"⚠ Type inconnu",IFERROR(INDEX('Paramètres'!$P:$P,MATCH($D4400,'Paramètres'!$M:$M,0))&amp;"",""))))</f>
        <v/>
      </c>
      <c r="M4400" s="6" t="str">
        <f>IF($D4400="","",IF(ISNA(MATCH($D4400,'Paramètres'!$M:$M,0)),"⚠ Type inconnu",IF($L4400="Crédit","",IFERROR(INDEX('Paramètres'!$O:$O,MATCH($D4400,'Paramètres'!$M:$M,0))&amp;"",""))))</f>
        <v/>
      </c>
      <c r="N4400" s="6" t="str">
        <f>IF($D4400="","",IFERROR(INDEX('Paramètres'!$Q:$Q,MATCH($D4400,'Paramètres'!$M:$M,0))&amp;"",""))</f>
        <v/>
      </c>
      <c r="O4400" s="6" t="str">
        <f>IF($A4400="","",IF(OR($J4400&lt;&gt;"x",$A4400&lt;=FinReleve),1,0))</f>
        <v/>
      </c>
      <c r="P4400" s="6" t="str">
        <f>IF($D4400="","",IF(AND($L4400="Crédit",OR(IFERROR(INDEX('Paramètres'!$O:$O,MATCH($D4400,'Paramètres'!$M:$M,0))&amp;"","")&lt;&gt;"",ISNUMBER(SEARCH("remboursement",IFERROR(INDEX('Paramètres'!$N:$N,MATCH($D4400,'Paramètres'!$M:$M,0))&amp;"",""))))),1,0))</f>
        <v/>
      </c>
      <c r="Q4400" s="6" t="str">
        <f>IF($K4400="","",IF(ISNUMBER(SEARCH("transfert-interne",IFERROR(INDEX('Paramètres'!$N:$N,MATCH($D4400,'Paramètres'!$M:$M,0))&amp;"",""))),0,IF($L4400="Débit",$K4400,IF($P4400=1,-$K4400,0))))</f>
        <v/>
      </c>
      <c r="R4400" s="6" t="str">
        <f>IF($K4400="","",IF($L4400="Crédit",$K4400,-$K4400))</f>
        <v/>
      </c>
      <c r="S4400" s="6" t="str">
        <f>IF($C4400="","",IFERROR(INDEX('Paramètres'!$H:$H,MATCH($C4400,'Paramètres'!$D:$D,0))&amp;"",""))</f>
        <v/>
      </c>
      <c r="T4400" s="6" t="str">
        <f>IF($K4400="","",IF($S4400="",0,IF(ISNUMBER(SEARCH("apport-exterieur",IFERROR(INDEX('Paramètres'!$N:$N,MATCH($D4400,'Paramètres'!$M:$M,0))&amp;"",""))),0,IF(OR(IFERROR(INDEX('Paramètres'!$I:$I,MATCH($C4400,'Paramètres'!$D:$D,0))&amp;"","")="Les deux",IFERROR(INDEX('Paramètres'!$I:$I,MATCH($C4400,'Paramètres'!$D:$D,0))&amp;"","")=IF($P4400=1,"Débit",$L4400)),-IF($P4400=1,-$K4400,$K4400),0))))</f>
        <v/>
      </c>
      <c r="U4400" s="6" t="str">
        <f>IF($K4400="","",IF(ISNUMBER(SEARCH("sortie-epargne",IFERROR(INDEX('Paramètres'!$N:$N,MATCH($D4400,'Paramètres'!$M:$M,0))&amp;"",""))),$K4400,0))</f>
        <v/>
      </c>
      <c r="V4400" s="6" t="str">
        <f>IF(AND($A4400&lt;&gt;"",$O4400=1,$L4400="Débit",N($Q4400)&gt;0,$A4400&gt;=Visualisation!$B$1,$A4400&lt;Visualisation!$D$1),MAX($V$1:V4399)+1,"")</f>
        <v/>
      </c>
    </row>
    <row r="4401" spans="1:22" x14ac:dyDescent="0.25">
      <c r="A4401" s="9"/>
      <c r="E4401" s="10"/>
      <c r="K4401" s="11" t="str">
        <f>IF($E4401="","",ROUND($E4401*IF(ISNA(MATCH($C4401,'Paramètres'!$D:$D,0)),1,IF(INDEX('Paramètres'!$J:$J,MATCH($C4401,'Paramètres'!$D:$D,0))="",1,INDEX('Paramètres'!$J:$J,MATCH($C4401,'Paramètres'!$D:$D,0)))),2))</f>
        <v/>
      </c>
      <c r="L4401" s="6" t="str">
        <f>IF($D4401="","",IF($F4401&lt;&gt;"",$F4401,IF(ISNA(MATCH($D4401,'Paramètres'!$M:$M,0)),"⚠ Type inconnu",IFERROR(INDEX('Paramètres'!$P:$P,MATCH($D4401,'Paramètres'!$M:$M,0))&amp;"",""))))</f>
        <v/>
      </c>
      <c r="M4401" s="6" t="str">
        <f>IF($D4401="","",IF(ISNA(MATCH($D4401,'Paramètres'!$M:$M,0)),"⚠ Type inconnu",IF($L4401="Crédit","",IFERROR(INDEX('Paramètres'!$O:$O,MATCH($D4401,'Paramètres'!$M:$M,0))&amp;"",""))))</f>
        <v/>
      </c>
      <c r="N4401" s="6" t="str">
        <f>IF($D4401="","",IFERROR(INDEX('Paramètres'!$Q:$Q,MATCH($D4401,'Paramètres'!$M:$M,0))&amp;"",""))</f>
        <v/>
      </c>
      <c r="O4401" s="6" t="str">
        <f>IF($A4401="","",IF(OR($J4401&lt;&gt;"x",$A4401&lt;=FinReleve),1,0))</f>
        <v/>
      </c>
      <c r="P4401" s="6" t="str">
        <f>IF($D4401="","",IF(AND($L4401="Crédit",OR(IFERROR(INDEX('Paramètres'!$O:$O,MATCH($D4401,'Paramètres'!$M:$M,0))&amp;"","")&lt;&gt;"",ISNUMBER(SEARCH("remboursement",IFERROR(INDEX('Paramètres'!$N:$N,MATCH($D4401,'Paramètres'!$M:$M,0))&amp;"",""))))),1,0))</f>
        <v/>
      </c>
      <c r="Q4401" s="6" t="str">
        <f>IF($K4401="","",IF(ISNUMBER(SEARCH("transfert-interne",IFERROR(INDEX('Paramètres'!$N:$N,MATCH($D4401,'Paramètres'!$M:$M,0))&amp;"",""))),0,IF($L4401="Débit",$K4401,IF($P4401=1,-$K4401,0))))</f>
        <v/>
      </c>
      <c r="R4401" s="6" t="str">
        <f>IF($K4401="","",IF($L4401="Crédit",$K4401,-$K4401))</f>
        <v/>
      </c>
      <c r="S4401" s="6" t="str">
        <f>IF($C4401="","",IFERROR(INDEX('Paramètres'!$H:$H,MATCH($C4401,'Paramètres'!$D:$D,0))&amp;"",""))</f>
        <v/>
      </c>
      <c r="T4401" s="6" t="str">
        <f>IF($K4401="","",IF($S4401="",0,IF(ISNUMBER(SEARCH("apport-exterieur",IFERROR(INDEX('Paramètres'!$N:$N,MATCH($D4401,'Paramètres'!$M:$M,0))&amp;"",""))),0,IF(OR(IFERROR(INDEX('Paramètres'!$I:$I,MATCH($C4401,'Paramètres'!$D:$D,0))&amp;"","")="Les deux",IFERROR(INDEX('Paramètres'!$I:$I,MATCH($C4401,'Paramètres'!$D:$D,0))&amp;"","")=IF($P4401=1,"Débit",$L4401)),-IF($P4401=1,-$K4401,$K4401),0))))</f>
        <v/>
      </c>
      <c r="U4401" s="6" t="str">
        <f>IF($K4401="","",IF(ISNUMBER(SEARCH("sortie-epargne",IFERROR(INDEX('Paramètres'!$N:$N,MATCH($D4401,'Paramètres'!$M:$M,0))&amp;"",""))),$K4401,0))</f>
        <v/>
      </c>
      <c r="V4401" s="6" t="str">
        <f>IF(AND($A4401&lt;&gt;"",$O4401=1,$L4401="Débit",N($Q4401)&gt;0,$A4401&gt;=Visualisation!$B$1,$A4401&lt;Visualisation!$D$1),MAX($V$1:V4400)+1,"")</f>
        <v/>
      </c>
    </row>
    <row r="4402" spans="1:22" x14ac:dyDescent="0.25">
      <c r="A4402" s="9"/>
      <c r="E4402" s="10"/>
      <c r="K4402" s="11" t="str">
        <f>IF($E4402="","",ROUND($E4402*IF(ISNA(MATCH($C4402,'Paramètres'!$D:$D,0)),1,IF(INDEX('Paramètres'!$J:$J,MATCH($C4402,'Paramètres'!$D:$D,0))="",1,INDEX('Paramètres'!$J:$J,MATCH($C4402,'Paramètres'!$D:$D,0)))),2))</f>
        <v/>
      </c>
      <c r="L4402" s="6" t="str">
        <f>IF($D4402="","",IF($F4402&lt;&gt;"",$F4402,IF(ISNA(MATCH($D4402,'Paramètres'!$M:$M,0)),"⚠ Type inconnu",IFERROR(INDEX('Paramètres'!$P:$P,MATCH($D4402,'Paramètres'!$M:$M,0))&amp;"",""))))</f>
        <v/>
      </c>
      <c r="M4402" s="6" t="str">
        <f>IF($D4402="","",IF(ISNA(MATCH($D4402,'Paramètres'!$M:$M,0)),"⚠ Type inconnu",IF($L4402="Crédit","",IFERROR(INDEX('Paramètres'!$O:$O,MATCH($D4402,'Paramètres'!$M:$M,0))&amp;"",""))))</f>
        <v/>
      </c>
      <c r="N4402" s="6" t="str">
        <f>IF($D4402="","",IFERROR(INDEX('Paramètres'!$Q:$Q,MATCH($D4402,'Paramètres'!$M:$M,0))&amp;"",""))</f>
        <v/>
      </c>
      <c r="O4402" s="6" t="str">
        <f>IF($A4402="","",IF(OR($J4402&lt;&gt;"x",$A4402&lt;=FinReleve),1,0))</f>
        <v/>
      </c>
      <c r="P4402" s="6" t="str">
        <f>IF($D4402="","",IF(AND($L4402="Crédit",OR(IFERROR(INDEX('Paramètres'!$O:$O,MATCH($D4402,'Paramètres'!$M:$M,0))&amp;"","")&lt;&gt;"",ISNUMBER(SEARCH("remboursement",IFERROR(INDEX('Paramètres'!$N:$N,MATCH($D4402,'Paramètres'!$M:$M,0))&amp;"",""))))),1,0))</f>
        <v/>
      </c>
      <c r="Q4402" s="6" t="str">
        <f>IF($K4402="","",IF(ISNUMBER(SEARCH("transfert-interne",IFERROR(INDEX('Paramètres'!$N:$N,MATCH($D4402,'Paramètres'!$M:$M,0))&amp;"",""))),0,IF($L4402="Débit",$K4402,IF($P4402=1,-$K4402,0))))</f>
        <v/>
      </c>
      <c r="R4402" s="6" t="str">
        <f>IF($K4402="","",IF($L4402="Crédit",$K4402,-$K4402))</f>
        <v/>
      </c>
      <c r="S4402" s="6" t="str">
        <f>IF($C4402="","",IFERROR(INDEX('Paramètres'!$H:$H,MATCH($C4402,'Paramètres'!$D:$D,0))&amp;"",""))</f>
        <v/>
      </c>
      <c r="T4402" s="6" t="str">
        <f>IF($K4402="","",IF($S4402="",0,IF(ISNUMBER(SEARCH("apport-exterieur",IFERROR(INDEX('Paramètres'!$N:$N,MATCH($D4402,'Paramètres'!$M:$M,0))&amp;"",""))),0,IF(OR(IFERROR(INDEX('Paramètres'!$I:$I,MATCH($C4402,'Paramètres'!$D:$D,0))&amp;"","")="Les deux",IFERROR(INDEX('Paramètres'!$I:$I,MATCH($C4402,'Paramètres'!$D:$D,0))&amp;"","")=IF($P4402=1,"Débit",$L4402)),-IF($P4402=1,-$K4402,$K4402),0))))</f>
        <v/>
      </c>
      <c r="U4402" s="6" t="str">
        <f>IF($K4402="","",IF(ISNUMBER(SEARCH("sortie-epargne",IFERROR(INDEX('Paramètres'!$N:$N,MATCH($D4402,'Paramètres'!$M:$M,0))&amp;"",""))),$K4402,0))</f>
        <v/>
      </c>
      <c r="V4402" s="6" t="str">
        <f>IF(AND($A4402&lt;&gt;"",$O4402=1,$L4402="Débit",N($Q4402)&gt;0,$A4402&gt;=Visualisation!$B$1,$A4402&lt;Visualisation!$D$1),MAX($V$1:V4401)+1,"")</f>
        <v/>
      </c>
    </row>
    <row r="4403" spans="1:22" x14ac:dyDescent="0.25">
      <c r="A4403" s="9"/>
      <c r="E4403" s="10"/>
      <c r="K4403" s="11" t="str">
        <f>IF($E4403="","",ROUND($E4403*IF(ISNA(MATCH($C4403,'Paramètres'!$D:$D,0)),1,IF(INDEX('Paramètres'!$J:$J,MATCH($C4403,'Paramètres'!$D:$D,0))="",1,INDEX('Paramètres'!$J:$J,MATCH($C4403,'Paramètres'!$D:$D,0)))),2))</f>
        <v/>
      </c>
      <c r="L4403" s="6" t="str">
        <f>IF($D4403="","",IF($F4403&lt;&gt;"",$F4403,IF(ISNA(MATCH($D4403,'Paramètres'!$M:$M,0)),"⚠ Type inconnu",IFERROR(INDEX('Paramètres'!$P:$P,MATCH($D4403,'Paramètres'!$M:$M,0))&amp;"",""))))</f>
        <v/>
      </c>
      <c r="M4403" s="6" t="str">
        <f>IF($D4403="","",IF(ISNA(MATCH($D4403,'Paramètres'!$M:$M,0)),"⚠ Type inconnu",IF($L4403="Crédit","",IFERROR(INDEX('Paramètres'!$O:$O,MATCH($D4403,'Paramètres'!$M:$M,0))&amp;"",""))))</f>
        <v/>
      </c>
      <c r="N4403" s="6" t="str">
        <f>IF($D4403="","",IFERROR(INDEX('Paramètres'!$Q:$Q,MATCH($D4403,'Paramètres'!$M:$M,0))&amp;"",""))</f>
        <v/>
      </c>
      <c r="O4403" s="6" t="str">
        <f>IF($A4403="","",IF(OR($J4403&lt;&gt;"x",$A4403&lt;=FinReleve),1,0))</f>
        <v/>
      </c>
      <c r="P4403" s="6" t="str">
        <f>IF($D4403="","",IF(AND($L4403="Crédit",OR(IFERROR(INDEX('Paramètres'!$O:$O,MATCH($D4403,'Paramètres'!$M:$M,0))&amp;"","")&lt;&gt;"",ISNUMBER(SEARCH("remboursement",IFERROR(INDEX('Paramètres'!$N:$N,MATCH($D4403,'Paramètres'!$M:$M,0))&amp;"",""))))),1,0))</f>
        <v/>
      </c>
      <c r="Q4403" s="6" t="str">
        <f>IF($K4403="","",IF(ISNUMBER(SEARCH("transfert-interne",IFERROR(INDEX('Paramètres'!$N:$N,MATCH($D4403,'Paramètres'!$M:$M,0))&amp;"",""))),0,IF($L4403="Débit",$K4403,IF($P4403=1,-$K4403,0))))</f>
        <v/>
      </c>
      <c r="R4403" s="6" t="str">
        <f>IF($K4403="","",IF($L4403="Crédit",$K4403,-$K4403))</f>
        <v/>
      </c>
      <c r="S4403" s="6" t="str">
        <f>IF($C4403="","",IFERROR(INDEX('Paramètres'!$H:$H,MATCH($C4403,'Paramètres'!$D:$D,0))&amp;"",""))</f>
        <v/>
      </c>
      <c r="T4403" s="6" t="str">
        <f>IF($K4403="","",IF($S4403="",0,IF(ISNUMBER(SEARCH("apport-exterieur",IFERROR(INDEX('Paramètres'!$N:$N,MATCH($D4403,'Paramètres'!$M:$M,0))&amp;"",""))),0,IF(OR(IFERROR(INDEX('Paramètres'!$I:$I,MATCH($C4403,'Paramètres'!$D:$D,0))&amp;"","")="Les deux",IFERROR(INDEX('Paramètres'!$I:$I,MATCH($C4403,'Paramètres'!$D:$D,0))&amp;"","")=IF($P4403=1,"Débit",$L4403)),-IF($P4403=1,-$K4403,$K4403),0))))</f>
        <v/>
      </c>
      <c r="U4403" s="6" t="str">
        <f>IF($K4403="","",IF(ISNUMBER(SEARCH("sortie-epargne",IFERROR(INDEX('Paramètres'!$N:$N,MATCH($D4403,'Paramètres'!$M:$M,0))&amp;"",""))),$K4403,0))</f>
        <v/>
      </c>
      <c r="V4403" s="6" t="str">
        <f>IF(AND($A4403&lt;&gt;"",$O4403=1,$L4403="Débit",N($Q4403)&gt;0,$A4403&gt;=Visualisation!$B$1,$A4403&lt;Visualisation!$D$1),MAX($V$1:V4402)+1,"")</f>
        <v/>
      </c>
    </row>
    <row r="4404" spans="1:22" x14ac:dyDescent="0.25">
      <c r="A4404" s="9"/>
      <c r="E4404" s="10"/>
      <c r="K4404" s="11" t="str">
        <f>IF($E4404="","",ROUND($E4404*IF(ISNA(MATCH($C4404,'Paramètres'!$D:$D,0)),1,IF(INDEX('Paramètres'!$J:$J,MATCH($C4404,'Paramètres'!$D:$D,0))="",1,INDEX('Paramètres'!$J:$J,MATCH($C4404,'Paramètres'!$D:$D,0)))),2))</f>
        <v/>
      </c>
      <c r="L4404" s="6" t="str">
        <f>IF($D4404="","",IF($F4404&lt;&gt;"",$F4404,IF(ISNA(MATCH($D4404,'Paramètres'!$M:$M,0)),"⚠ Type inconnu",IFERROR(INDEX('Paramètres'!$P:$P,MATCH($D4404,'Paramètres'!$M:$M,0))&amp;"",""))))</f>
        <v/>
      </c>
      <c r="M4404" s="6" t="str">
        <f>IF($D4404="","",IF(ISNA(MATCH($D4404,'Paramètres'!$M:$M,0)),"⚠ Type inconnu",IF($L4404="Crédit","",IFERROR(INDEX('Paramètres'!$O:$O,MATCH($D4404,'Paramètres'!$M:$M,0))&amp;"",""))))</f>
        <v/>
      </c>
      <c r="N4404" s="6" t="str">
        <f>IF($D4404="","",IFERROR(INDEX('Paramètres'!$Q:$Q,MATCH($D4404,'Paramètres'!$M:$M,0))&amp;"",""))</f>
        <v/>
      </c>
      <c r="O4404" s="6" t="str">
        <f>IF($A4404="","",IF(OR($J4404&lt;&gt;"x",$A4404&lt;=FinReleve),1,0))</f>
        <v/>
      </c>
      <c r="P4404" s="6" t="str">
        <f>IF($D4404="","",IF(AND($L4404="Crédit",OR(IFERROR(INDEX('Paramètres'!$O:$O,MATCH($D4404,'Paramètres'!$M:$M,0))&amp;"","")&lt;&gt;"",ISNUMBER(SEARCH("remboursement",IFERROR(INDEX('Paramètres'!$N:$N,MATCH($D4404,'Paramètres'!$M:$M,0))&amp;"",""))))),1,0))</f>
        <v/>
      </c>
      <c r="Q4404" s="6" t="str">
        <f>IF($K4404="","",IF(ISNUMBER(SEARCH("transfert-interne",IFERROR(INDEX('Paramètres'!$N:$N,MATCH($D4404,'Paramètres'!$M:$M,0))&amp;"",""))),0,IF($L4404="Débit",$K4404,IF($P4404=1,-$K4404,0))))</f>
        <v/>
      </c>
      <c r="R4404" s="6" t="str">
        <f>IF($K4404="","",IF($L4404="Crédit",$K4404,-$K4404))</f>
        <v/>
      </c>
      <c r="S4404" s="6" t="str">
        <f>IF($C4404="","",IFERROR(INDEX('Paramètres'!$H:$H,MATCH($C4404,'Paramètres'!$D:$D,0))&amp;"",""))</f>
        <v/>
      </c>
      <c r="T4404" s="6" t="str">
        <f>IF($K4404="","",IF($S4404="",0,IF(ISNUMBER(SEARCH("apport-exterieur",IFERROR(INDEX('Paramètres'!$N:$N,MATCH($D4404,'Paramètres'!$M:$M,0))&amp;"",""))),0,IF(OR(IFERROR(INDEX('Paramètres'!$I:$I,MATCH($C4404,'Paramètres'!$D:$D,0))&amp;"","")="Les deux",IFERROR(INDEX('Paramètres'!$I:$I,MATCH($C4404,'Paramètres'!$D:$D,0))&amp;"","")=IF($P4404=1,"Débit",$L4404)),-IF($P4404=1,-$K4404,$K4404),0))))</f>
        <v/>
      </c>
      <c r="U4404" s="6" t="str">
        <f>IF($K4404="","",IF(ISNUMBER(SEARCH("sortie-epargne",IFERROR(INDEX('Paramètres'!$N:$N,MATCH($D4404,'Paramètres'!$M:$M,0))&amp;"",""))),$K4404,0))</f>
        <v/>
      </c>
      <c r="V4404" s="6" t="str">
        <f>IF(AND($A4404&lt;&gt;"",$O4404=1,$L4404="Débit",N($Q4404)&gt;0,$A4404&gt;=Visualisation!$B$1,$A4404&lt;Visualisation!$D$1),MAX($V$1:V4403)+1,"")</f>
        <v/>
      </c>
    </row>
    <row r="4405" spans="1:22" x14ac:dyDescent="0.25">
      <c r="A4405" s="9"/>
      <c r="E4405" s="10"/>
      <c r="K4405" s="11" t="str">
        <f>IF($E4405="","",ROUND($E4405*IF(ISNA(MATCH($C4405,'Paramètres'!$D:$D,0)),1,IF(INDEX('Paramètres'!$J:$J,MATCH($C4405,'Paramètres'!$D:$D,0))="",1,INDEX('Paramètres'!$J:$J,MATCH($C4405,'Paramètres'!$D:$D,0)))),2))</f>
        <v/>
      </c>
      <c r="L4405" s="6" t="str">
        <f>IF($D4405="","",IF($F4405&lt;&gt;"",$F4405,IF(ISNA(MATCH($D4405,'Paramètres'!$M:$M,0)),"⚠ Type inconnu",IFERROR(INDEX('Paramètres'!$P:$P,MATCH($D4405,'Paramètres'!$M:$M,0))&amp;"",""))))</f>
        <v/>
      </c>
      <c r="M4405" s="6" t="str">
        <f>IF($D4405="","",IF(ISNA(MATCH($D4405,'Paramètres'!$M:$M,0)),"⚠ Type inconnu",IF($L4405="Crédit","",IFERROR(INDEX('Paramètres'!$O:$O,MATCH($D4405,'Paramètres'!$M:$M,0))&amp;"",""))))</f>
        <v/>
      </c>
      <c r="N4405" s="6" t="str">
        <f>IF($D4405="","",IFERROR(INDEX('Paramètres'!$Q:$Q,MATCH($D4405,'Paramètres'!$M:$M,0))&amp;"",""))</f>
        <v/>
      </c>
      <c r="O4405" s="6" t="str">
        <f>IF($A4405="","",IF(OR($J4405&lt;&gt;"x",$A4405&lt;=FinReleve),1,0))</f>
        <v/>
      </c>
      <c r="P4405" s="6" t="str">
        <f>IF($D4405="","",IF(AND($L4405="Crédit",OR(IFERROR(INDEX('Paramètres'!$O:$O,MATCH($D4405,'Paramètres'!$M:$M,0))&amp;"","")&lt;&gt;"",ISNUMBER(SEARCH("remboursement",IFERROR(INDEX('Paramètres'!$N:$N,MATCH($D4405,'Paramètres'!$M:$M,0))&amp;"",""))))),1,0))</f>
        <v/>
      </c>
      <c r="Q4405" s="6" t="str">
        <f>IF($K4405="","",IF(ISNUMBER(SEARCH("transfert-interne",IFERROR(INDEX('Paramètres'!$N:$N,MATCH($D4405,'Paramètres'!$M:$M,0))&amp;"",""))),0,IF($L4405="Débit",$K4405,IF($P4405=1,-$K4405,0))))</f>
        <v/>
      </c>
      <c r="R4405" s="6" t="str">
        <f>IF($K4405="","",IF($L4405="Crédit",$K4405,-$K4405))</f>
        <v/>
      </c>
      <c r="S4405" s="6" t="str">
        <f>IF($C4405="","",IFERROR(INDEX('Paramètres'!$H:$H,MATCH($C4405,'Paramètres'!$D:$D,0))&amp;"",""))</f>
        <v/>
      </c>
      <c r="T4405" s="6" t="str">
        <f>IF($K4405="","",IF($S4405="",0,IF(ISNUMBER(SEARCH("apport-exterieur",IFERROR(INDEX('Paramètres'!$N:$N,MATCH($D4405,'Paramètres'!$M:$M,0))&amp;"",""))),0,IF(OR(IFERROR(INDEX('Paramètres'!$I:$I,MATCH($C4405,'Paramètres'!$D:$D,0))&amp;"","")="Les deux",IFERROR(INDEX('Paramètres'!$I:$I,MATCH($C4405,'Paramètres'!$D:$D,0))&amp;"","")=IF($P4405=1,"Débit",$L4405)),-IF($P4405=1,-$K4405,$K4405),0))))</f>
        <v/>
      </c>
      <c r="U4405" s="6" t="str">
        <f>IF($K4405="","",IF(ISNUMBER(SEARCH("sortie-epargne",IFERROR(INDEX('Paramètres'!$N:$N,MATCH($D4405,'Paramètres'!$M:$M,0))&amp;"",""))),$K4405,0))</f>
        <v/>
      </c>
      <c r="V4405" s="6" t="str">
        <f>IF(AND($A4405&lt;&gt;"",$O4405=1,$L4405="Débit",N($Q4405)&gt;0,$A4405&gt;=Visualisation!$B$1,$A4405&lt;Visualisation!$D$1),MAX($V$1:V4404)+1,"")</f>
        <v/>
      </c>
    </row>
    <row r="4406" spans="1:22" x14ac:dyDescent="0.25">
      <c r="A4406" s="9"/>
      <c r="E4406" s="10"/>
      <c r="K4406" s="11" t="str">
        <f>IF($E4406="","",ROUND($E4406*IF(ISNA(MATCH($C4406,'Paramètres'!$D:$D,0)),1,IF(INDEX('Paramètres'!$J:$J,MATCH($C4406,'Paramètres'!$D:$D,0))="",1,INDEX('Paramètres'!$J:$J,MATCH($C4406,'Paramètres'!$D:$D,0)))),2))</f>
        <v/>
      </c>
      <c r="L4406" s="6" t="str">
        <f>IF($D4406="","",IF($F4406&lt;&gt;"",$F4406,IF(ISNA(MATCH($D4406,'Paramètres'!$M:$M,0)),"⚠ Type inconnu",IFERROR(INDEX('Paramètres'!$P:$P,MATCH($D4406,'Paramètres'!$M:$M,0))&amp;"",""))))</f>
        <v/>
      </c>
      <c r="M4406" s="6" t="str">
        <f>IF($D4406="","",IF(ISNA(MATCH($D4406,'Paramètres'!$M:$M,0)),"⚠ Type inconnu",IF($L4406="Crédit","",IFERROR(INDEX('Paramètres'!$O:$O,MATCH($D4406,'Paramètres'!$M:$M,0))&amp;"",""))))</f>
        <v/>
      </c>
      <c r="N4406" s="6" t="str">
        <f>IF($D4406="","",IFERROR(INDEX('Paramètres'!$Q:$Q,MATCH($D4406,'Paramètres'!$M:$M,0))&amp;"",""))</f>
        <v/>
      </c>
      <c r="O4406" s="6" t="str">
        <f>IF($A4406="","",IF(OR($J4406&lt;&gt;"x",$A4406&lt;=FinReleve),1,0))</f>
        <v/>
      </c>
      <c r="P4406" s="6" t="str">
        <f>IF($D4406="","",IF(AND($L4406="Crédit",OR(IFERROR(INDEX('Paramètres'!$O:$O,MATCH($D4406,'Paramètres'!$M:$M,0))&amp;"","")&lt;&gt;"",ISNUMBER(SEARCH("remboursement",IFERROR(INDEX('Paramètres'!$N:$N,MATCH($D4406,'Paramètres'!$M:$M,0))&amp;"",""))))),1,0))</f>
        <v/>
      </c>
      <c r="Q4406" s="6" t="str">
        <f>IF($K4406="","",IF(ISNUMBER(SEARCH("transfert-interne",IFERROR(INDEX('Paramètres'!$N:$N,MATCH($D4406,'Paramètres'!$M:$M,0))&amp;"",""))),0,IF($L4406="Débit",$K4406,IF($P4406=1,-$K4406,0))))</f>
        <v/>
      </c>
      <c r="R4406" s="6" t="str">
        <f>IF($K4406="","",IF($L4406="Crédit",$K4406,-$K4406))</f>
        <v/>
      </c>
      <c r="S4406" s="6" t="str">
        <f>IF($C4406="","",IFERROR(INDEX('Paramètres'!$H:$H,MATCH($C4406,'Paramètres'!$D:$D,0))&amp;"",""))</f>
        <v/>
      </c>
      <c r="T4406" s="6" t="str">
        <f>IF($K4406="","",IF($S4406="",0,IF(ISNUMBER(SEARCH("apport-exterieur",IFERROR(INDEX('Paramètres'!$N:$N,MATCH($D4406,'Paramètres'!$M:$M,0))&amp;"",""))),0,IF(OR(IFERROR(INDEX('Paramètres'!$I:$I,MATCH($C4406,'Paramètres'!$D:$D,0))&amp;"","")="Les deux",IFERROR(INDEX('Paramètres'!$I:$I,MATCH($C4406,'Paramètres'!$D:$D,0))&amp;"","")=IF($P4406=1,"Débit",$L4406)),-IF($P4406=1,-$K4406,$K4406),0))))</f>
        <v/>
      </c>
      <c r="U4406" s="6" t="str">
        <f>IF($K4406="","",IF(ISNUMBER(SEARCH("sortie-epargne",IFERROR(INDEX('Paramètres'!$N:$N,MATCH($D4406,'Paramètres'!$M:$M,0))&amp;"",""))),$K4406,0))</f>
        <v/>
      </c>
      <c r="V4406" s="6" t="str">
        <f>IF(AND($A4406&lt;&gt;"",$O4406=1,$L4406="Débit",N($Q4406)&gt;0,$A4406&gt;=Visualisation!$B$1,$A4406&lt;Visualisation!$D$1),MAX($V$1:V4405)+1,"")</f>
        <v/>
      </c>
    </row>
    <row r="4407" spans="1:22" x14ac:dyDescent="0.25">
      <c r="A4407" s="9"/>
      <c r="E4407" s="10"/>
      <c r="K4407" s="11" t="str">
        <f>IF($E4407="","",ROUND($E4407*IF(ISNA(MATCH($C4407,'Paramètres'!$D:$D,0)),1,IF(INDEX('Paramètres'!$J:$J,MATCH($C4407,'Paramètres'!$D:$D,0))="",1,INDEX('Paramètres'!$J:$J,MATCH($C4407,'Paramètres'!$D:$D,0)))),2))</f>
        <v/>
      </c>
      <c r="L4407" s="6" t="str">
        <f>IF($D4407="","",IF($F4407&lt;&gt;"",$F4407,IF(ISNA(MATCH($D4407,'Paramètres'!$M:$M,0)),"⚠ Type inconnu",IFERROR(INDEX('Paramètres'!$P:$P,MATCH($D4407,'Paramètres'!$M:$M,0))&amp;"",""))))</f>
        <v/>
      </c>
      <c r="M4407" s="6" t="str">
        <f>IF($D4407="","",IF(ISNA(MATCH($D4407,'Paramètres'!$M:$M,0)),"⚠ Type inconnu",IF($L4407="Crédit","",IFERROR(INDEX('Paramètres'!$O:$O,MATCH($D4407,'Paramètres'!$M:$M,0))&amp;"",""))))</f>
        <v/>
      </c>
      <c r="N4407" s="6" t="str">
        <f>IF($D4407="","",IFERROR(INDEX('Paramètres'!$Q:$Q,MATCH($D4407,'Paramètres'!$M:$M,0))&amp;"",""))</f>
        <v/>
      </c>
      <c r="O4407" s="6" t="str">
        <f>IF($A4407="","",IF(OR($J4407&lt;&gt;"x",$A4407&lt;=FinReleve),1,0))</f>
        <v/>
      </c>
      <c r="P4407" s="6" t="str">
        <f>IF($D4407="","",IF(AND($L4407="Crédit",OR(IFERROR(INDEX('Paramètres'!$O:$O,MATCH($D4407,'Paramètres'!$M:$M,0))&amp;"","")&lt;&gt;"",ISNUMBER(SEARCH("remboursement",IFERROR(INDEX('Paramètres'!$N:$N,MATCH($D4407,'Paramètres'!$M:$M,0))&amp;"",""))))),1,0))</f>
        <v/>
      </c>
      <c r="Q4407" s="6" t="str">
        <f>IF($K4407="","",IF(ISNUMBER(SEARCH("transfert-interne",IFERROR(INDEX('Paramètres'!$N:$N,MATCH($D4407,'Paramètres'!$M:$M,0))&amp;"",""))),0,IF($L4407="Débit",$K4407,IF($P4407=1,-$K4407,0))))</f>
        <v/>
      </c>
      <c r="R4407" s="6" t="str">
        <f>IF($K4407="","",IF($L4407="Crédit",$K4407,-$K4407))</f>
        <v/>
      </c>
      <c r="S4407" s="6" t="str">
        <f>IF($C4407="","",IFERROR(INDEX('Paramètres'!$H:$H,MATCH($C4407,'Paramètres'!$D:$D,0))&amp;"",""))</f>
        <v/>
      </c>
      <c r="T4407" s="6" t="str">
        <f>IF($K4407="","",IF($S4407="",0,IF(ISNUMBER(SEARCH("apport-exterieur",IFERROR(INDEX('Paramètres'!$N:$N,MATCH($D4407,'Paramètres'!$M:$M,0))&amp;"",""))),0,IF(OR(IFERROR(INDEX('Paramètres'!$I:$I,MATCH($C4407,'Paramètres'!$D:$D,0))&amp;"","")="Les deux",IFERROR(INDEX('Paramètres'!$I:$I,MATCH($C4407,'Paramètres'!$D:$D,0))&amp;"","")=IF($P4407=1,"Débit",$L4407)),-IF($P4407=1,-$K4407,$K4407),0))))</f>
        <v/>
      </c>
      <c r="U4407" s="6" t="str">
        <f>IF($K4407="","",IF(ISNUMBER(SEARCH("sortie-epargne",IFERROR(INDEX('Paramètres'!$N:$N,MATCH($D4407,'Paramètres'!$M:$M,0))&amp;"",""))),$K4407,0))</f>
        <v/>
      </c>
      <c r="V4407" s="6" t="str">
        <f>IF(AND($A4407&lt;&gt;"",$O4407=1,$L4407="Débit",N($Q4407)&gt;0,$A4407&gt;=Visualisation!$B$1,$A4407&lt;Visualisation!$D$1),MAX($V$1:V4406)+1,"")</f>
        <v/>
      </c>
    </row>
    <row r="4408" spans="1:22" x14ac:dyDescent="0.25">
      <c r="A4408" s="9"/>
      <c r="E4408" s="10"/>
      <c r="K4408" s="11" t="str">
        <f>IF($E4408="","",ROUND($E4408*IF(ISNA(MATCH($C4408,'Paramètres'!$D:$D,0)),1,IF(INDEX('Paramètres'!$J:$J,MATCH($C4408,'Paramètres'!$D:$D,0))="",1,INDEX('Paramètres'!$J:$J,MATCH($C4408,'Paramètres'!$D:$D,0)))),2))</f>
        <v/>
      </c>
      <c r="L4408" s="6" t="str">
        <f>IF($D4408="","",IF($F4408&lt;&gt;"",$F4408,IF(ISNA(MATCH($D4408,'Paramètres'!$M:$M,0)),"⚠ Type inconnu",IFERROR(INDEX('Paramètres'!$P:$P,MATCH($D4408,'Paramètres'!$M:$M,0))&amp;"",""))))</f>
        <v/>
      </c>
      <c r="M4408" s="6" t="str">
        <f>IF($D4408="","",IF(ISNA(MATCH($D4408,'Paramètres'!$M:$M,0)),"⚠ Type inconnu",IF($L4408="Crédit","",IFERROR(INDEX('Paramètres'!$O:$O,MATCH($D4408,'Paramètres'!$M:$M,0))&amp;"",""))))</f>
        <v/>
      </c>
      <c r="N4408" s="6" t="str">
        <f>IF($D4408="","",IFERROR(INDEX('Paramètres'!$Q:$Q,MATCH($D4408,'Paramètres'!$M:$M,0))&amp;"",""))</f>
        <v/>
      </c>
      <c r="O4408" s="6" t="str">
        <f>IF($A4408="","",IF(OR($J4408&lt;&gt;"x",$A4408&lt;=FinReleve),1,0))</f>
        <v/>
      </c>
      <c r="P4408" s="6" t="str">
        <f>IF($D4408="","",IF(AND($L4408="Crédit",OR(IFERROR(INDEX('Paramètres'!$O:$O,MATCH($D4408,'Paramètres'!$M:$M,0))&amp;"","")&lt;&gt;"",ISNUMBER(SEARCH("remboursement",IFERROR(INDEX('Paramètres'!$N:$N,MATCH($D4408,'Paramètres'!$M:$M,0))&amp;"",""))))),1,0))</f>
        <v/>
      </c>
      <c r="Q4408" s="6" t="str">
        <f>IF($K4408="","",IF(ISNUMBER(SEARCH("transfert-interne",IFERROR(INDEX('Paramètres'!$N:$N,MATCH($D4408,'Paramètres'!$M:$M,0))&amp;"",""))),0,IF($L4408="Débit",$K4408,IF($P4408=1,-$K4408,0))))</f>
        <v/>
      </c>
      <c r="R4408" s="6" t="str">
        <f>IF($K4408="","",IF($L4408="Crédit",$K4408,-$K4408))</f>
        <v/>
      </c>
      <c r="S4408" s="6" t="str">
        <f>IF($C4408="","",IFERROR(INDEX('Paramètres'!$H:$H,MATCH($C4408,'Paramètres'!$D:$D,0))&amp;"",""))</f>
        <v/>
      </c>
      <c r="T4408" s="6" t="str">
        <f>IF($K4408="","",IF($S4408="",0,IF(ISNUMBER(SEARCH("apport-exterieur",IFERROR(INDEX('Paramètres'!$N:$N,MATCH($D4408,'Paramètres'!$M:$M,0))&amp;"",""))),0,IF(OR(IFERROR(INDEX('Paramètres'!$I:$I,MATCH($C4408,'Paramètres'!$D:$D,0))&amp;"","")="Les deux",IFERROR(INDEX('Paramètres'!$I:$I,MATCH($C4408,'Paramètres'!$D:$D,0))&amp;"","")=IF($P4408=1,"Débit",$L4408)),-IF($P4408=1,-$K4408,$K4408),0))))</f>
        <v/>
      </c>
      <c r="U4408" s="6" t="str">
        <f>IF($K4408="","",IF(ISNUMBER(SEARCH("sortie-epargne",IFERROR(INDEX('Paramètres'!$N:$N,MATCH($D4408,'Paramètres'!$M:$M,0))&amp;"",""))),$K4408,0))</f>
        <v/>
      </c>
      <c r="V4408" s="6" t="str">
        <f>IF(AND($A4408&lt;&gt;"",$O4408=1,$L4408="Débit",N($Q4408)&gt;0,$A4408&gt;=Visualisation!$B$1,$A4408&lt;Visualisation!$D$1),MAX($V$1:V4407)+1,"")</f>
        <v/>
      </c>
    </row>
    <row r="4409" spans="1:22" x14ac:dyDescent="0.25">
      <c r="A4409" s="9"/>
      <c r="E4409" s="10"/>
      <c r="K4409" s="11" t="str">
        <f>IF($E4409="","",ROUND($E4409*IF(ISNA(MATCH($C4409,'Paramètres'!$D:$D,0)),1,IF(INDEX('Paramètres'!$J:$J,MATCH($C4409,'Paramètres'!$D:$D,0))="",1,INDEX('Paramètres'!$J:$J,MATCH($C4409,'Paramètres'!$D:$D,0)))),2))</f>
        <v/>
      </c>
      <c r="L4409" s="6" t="str">
        <f>IF($D4409="","",IF($F4409&lt;&gt;"",$F4409,IF(ISNA(MATCH($D4409,'Paramètres'!$M:$M,0)),"⚠ Type inconnu",IFERROR(INDEX('Paramètres'!$P:$P,MATCH($D4409,'Paramètres'!$M:$M,0))&amp;"",""))))</f>
        <v/>
      </c>
      <c r="M4409" s="6" t="str">
        <f>IF($D4409="","",IF(ISNA(MATCH($D4409,'Paramètres'!$M:$M,0)),"⚠ Type inconnu",IF($L4409="Crédit","",IFERROR(INDEX('Paramètres'!$O:$O,MATCH($D4409,'Paramètres'!$M:$M,0))&amp;"",""))))</f>
        <v/>
      </c>
      <c r="N4409" s="6" t="str">
        <f>IF($D4409="","",IFERROR(INDEX('Paramètres'!$Q:$Q,MATCH($D4409,'Paramètres'!$M:$M,0))&amp;"",""))</f>
        <v/>
      </c>
      <c r="O4409" s="6" t="str">
        <f>IF($A4409="","",IF(OR($J4409&lt;&gt;"x",$A4409&lt;=FinReleve),1,0))</f>
        <v/>
      </c>
      <c r="P4409" s="6" t="str">
        <f>IF($D4409="","",IF(AND($L4409="Crédit",OR(IFERROR(INDEX('Paramètres'!$O:$O,MATCH($D4409,'Paramètres'!$M:$M,0))&amp;"","")&lt;&gt;"",ISNUMBER(SEARCH("remboursement",IFERROR(INDEX('Paramètres'!$N:$N,MATCH($D4409,'Paramètres'!$M:$M,0))&amp;"",""))))),1,0))</f>
        <v/>
      </c>
      <c r="Q4409" s="6" t="str">
        <f>IF($K4409="","",IF(ISNUMBER(SEARCH("transfert-interne",IFERROR(INDEX('Paramètres'!$N:$N,MATCH($D4409,'Paramètres'!$M:$M,0))&amp;"",""))),0,IF($L4409="Débit",$K4409,IF($P4409=1,-$K4409,0))))</f>
        <v/>
      </c>
      <c r="R4409" s="6" t="str">
        <f>IF($K4409="","",IF($L4409="Crédit",$K4409,-$K4409))</f>
        <v/>
      </c>
      <c r="S4409" s="6" t="str">
        <f>IF($C4409="","",IFERROR(INDEX('Paramètres'!$H:$H,MATCH($C4409,'Paramètres'!$D:$D,0))&amp;"",""))</f>
        <v/>
      </c>
      <c r="T4409" s="6" t="str">
        <f>IF($K4409="","",IF($S4409="",0,IF(ISNUMBER(SEARCH("apport-exterieur",IFERROR(INDEX('Paramètres'!$N:$N,MATCH($D4409,'Paramètres'!$M:$M,0))&amp;"",""))),0,IF(OR(IFERROR(INDEX('Paramètres'!$I:$I,MATCH($C4409,'Paramètres'!$D:$D,0))&amp;"","")="Les deux",IFERROR(INDEX('Paramètres'!$I:$I,MATCH($C4409,'Paramètres'!$D:$D,0))&amp;"","")=IF($P4409=1,"Débit",$L4409)),-IF($P4409=1,-$K4409,$K4409),0))))</f>
        <v/>
      </c>
      <c r="U4409" s="6" t="str">
        <f>IF($K4409="","",IF(ISNUMBER(SEARCH("sortie-epargne",IFERROR(INDEX('Paramètres'!$N:$N,MATCH($D4409,'Paramètres'!$M:$M,0))&amp;"",""))),$K4409,0))</f>
        <v/>
      </c>
      <c r="V4409" s="6" t="str">
        <f>IF(AND($A4409&lt;&gt;"",$O4409=1,$L4409="Débit",N($Q4409)&gt;0,$A4409&gt;=Visualisation!$B$1,$A4409&lt;Visualisation!$D$1),MAX($V$1:V4408)+1,"")</f>
        <v/>
      </c>
    </row>
    <row r="4410" spans="1:22" x14ac:dyDescent="0.25">
      <c r="A4410" s="9"/>
      <c r="E4410" s="10"/>
      <c r="K4410" s="11" t="str">
        <f>IF($E4410="","",ROUND($E4410*IF(ISNA(MATCH($C4410,'Paramètres'!$D:$D,0)),1,IF(INDEX('Paramètres'!$J:$J,MATCH($C4410,'Paramètres'!$D:$D,0))="",1,INDEX('Paramètres'!$J:$J,MATCH($C4410,'Paramètres'!$D:$D,0)))),2))</f>
        <v/>
      </c>
      <c r="L4410" s="6" t="str">
        <f>IF($D4410="","",IF($F4410&lt;&gt;"",$F4410,IF(ISNA(MATCH($D4410,'Paramètres'!$M:$M,0)),"⚠ Type inconnu",IFERROR(INDEX('Paramètres'!$P:$P,MATCH($D4410,'Paramètres'!$M:$M,0))&amp;"",""))))</f>
        <v/>
      </c>
      <c r="M4410" s="6" t="str">
        <f>IF($D4410="","",IF(ISNA(MATCH($D4410,'Paramètres'!$M:$M,0)),"⚠ Type inconnu",IF($L4410="Crédit","",IFERROR(INDEX('Paramètres'!$O:$O,MATCH($D4410,'Paramètres'!$M:$M,0))&amp;"",""))))</f>
        <v/>
      </c>
      <c r="N4410" s="6" t="str">
        <f>IF($D4410="","",IFERROR(INDEX('Paramètres'!$Q:$Q,MATCH($D4410,'Paramètres'!$M:$M,0))&amp;"",""))</f>
        <v/>
      </c>
      <c r="O4410" s="6" t="str">
        <f>IF($A4410="","",IF(OR($J4410&lt;&gt;"x",$A4410&lt;=FinReleve),1,0))</f>
        <v/>
      </c>
      <c r="P4410" s="6" t="str">
        <f>IF($D4410="","",IF(AND($L4410="Crédit",OR(IFERROR(INDEX('Paramètres'!$O:$O,MATCH($D4410,'Paramètres'!$M:$M,0))&amp;"","")&lt;&gt;"",ISNUMBER(SEARCH("remboursement",IFERROR(INDEX('Paramètres'!$N:$N,MATCH($D4410,'Paramètres'!$M:$M,0))&amp;"",""))))),1,0))</f>
        <v/>
      </c>
      <c r="Q4410" s="6" t="str">
        <f>IF($K4410="","",IF(ISNUMBER(SEARCH("transfert-interne",IFERROR(INDEX('Paramètres'!$N:$N,MATCH($D4410,'Paramètres'!$M:$M,0))&amp;"",""))),0,IF($L4410="Débit",$K4410,IF($P4410=1,-$K4410,0))))</f>
        <v/>
      </c>
      <c r="R4410" s="6" t="str">
        <f>IF($K4410="","",IF($L4410="Crédit",$K4410,-$K4410))</f>
        <v/>
      </c>
      <c r="S4410" s="6" t="str">
        <f>IF($C4410="","",IFERROR(INDEX('Paramètres'!$H:$H,MATCH($C4410,'Paramètres'!$D:$D,0))&amp;"",""))</f>
        <v/>
      </c>
      <c r="T4410" s="6" t="str">
        <f>IF($K4410="","",IF($S4410="",0,IF(ISNUMBER(SEARCH("apport-exterieur",IFERROR(INDEX('Paramètres'!$N:$N,MATCH($D4410,'Paramètres'!$M:$M,0))&amp;"",""))),0,IF(OR(IFERROR(INDEX('Paramètres'!$I:$I,MATCH($C4410,'Paramètres'!$D:$D,0))&amp;"","")="Les deux",IFERROR(INDEX('Paramètres'!$I:$I,MATCH($C4410,'Paramètres'!$D:$D,0))&amp;"","")=IF($P4410=1,"Débit",$L4410)),-IF($P4410=1,-$K4410,$K4410),0))))</f>
        <v/>
      </c>
      <c r="U4410" s="6" t="str">
        <f>IF($K4410="","",IF(ISNUMBER(SEARCH("sortie-epargne",IFERROR(INDEX('Paramètres'!$N:$N,MATCH($D4410,'Paramètres'!$M:$M,0))&amp;"",""))),$K4410,0))</f>
        <v/>
      </c>
      <c r="V4410" s="6" t="str">
        <f>IF(AND($A4410&lt;&gt;"",$O4410=1,$L4410="Débit",N($Q4410)&gt;0,$A4410&gt;=Visualisation!$B$1,$A4410&lt;Visualisation!$D$1),MAX($V$1:V4409)+1,"")</f>
        <v/>
      </c>
    </row>
    <row r="4411" spans="1:22" x14ac:dyDescent="0.25">
      <c r="A4411" s="9"/>
      <c r="E4411" s="10"/>
      <c r="K4411" s="11" t="str">
        <f>IF($E4411="","",ROUND($E4411*IF(ISNA(MATCH($C4411,'Paramètres'!$D:$D,0)),1,IF(INDEX('Paramètres'!$J:$J,MATCH($C4411,'Paramètres'!$D:$D,0))="",1,INDEX('Paramètres'!$J:$J,MATCH($C4411,'Paramètres'!$D:$D,0)))),2))</f>
        <v/>
      </c>
      <c r="L4411" s="6" t="str">
        <f>IF($D4411="","",IF($F4411&lt;&gt;"",$F4411,IF(ISNA(MATCH($D4411,'Paramètres'!$M:$M,0)),"⚠ Type inconnu",IFERROR(INDEX('Paramètres'!$P:$P,MATCH($D4411,'Paramètres'!$M:$M,0))&amp;"",""))))</f>
        <v/>
      </c>
      <c r="M4411" s="6" t="str">
        <f>IF($D4411="","",IF(ISNA(MATCH($D4411,'Paramètres'!$M:$M,0)),"⚠ Type inconnu",IF($L4411="Crédit","",IFERROR(INDEX('Paramètres'!$O:$O,MATCH($D4411,'Paramètres'!$M:$M,0))&amp;"",""))))</f>
        <v/>
      </c>
      <c r="N4411" s="6" t="str">
        <f>IF($D4411="","",IFERROR(INDEX('Paramètres'!$Q:$Q,MATCH($D4411,'Paramètres'!$M:$M,0))&amp;"",""))</f>
        <v/>
      </c>
      <c r="O4411" s="6" t="str">
        <f>IF($A4411="","",IF(OR($J4411&lt;&gt;"x",$A4411&lt;=FinReleve),1,0))</f>
        <v/>
      </c>
      <c r="P4411" s="6" t="str">
        <f>IF($D4411="","",IF(AND($L4411="Crédit",OR(IFERROR(INDEX('Paramètres'!$O:$O,MATCH($D4411,'Paramètres'!$M:$M,0))&amp;"","")&lt;&gt;"",ISNUMBER(SEARCH("remboursement",IFERROR(INDEX('Paramètres'!$N:$N,MATCH($D4411,'Paramètres'!$M:$M,0))&amp;"",""))))),1,0))</f>
        <v/>
      </c>
      <c r="Q4411" s="6" t="str">
        <f>IF($K4411="","",IF(ISNUMBER(SEARCH("transfert-interne",IFERROR(INDEX('Paramètres'!$N:$N,MATCH($D4411,'Paramètres'!$M:$M,0))&amp;"",""))),0,IF($L4411="Débit",$K4411,IF($P4411=1,-$K4411,0))))</f>
        <v/>
      </c>
      <c r="R4411" s="6" t="str">
        <f>IF($K4411="","",IF($L4411="Crédit",$K4411,-$K4411))</f>
        <v/>
      </c>
      <c r="S4411" s="6" t="str">
        <f>IF($C4411="","",IFERROR(INDEX('Paramètres'!$H:$H,MATCH($C4411,'Paramètres'!$D:$D,0))&amp;"",""))</f>
        <v/>
      </c>
      <c r="T4411" s="6" t="str">
        <f>IF($K4411="","",IF($S4411="",0,IF(ISNUMBER(SEARCH("apport-exterieur",IFERROR(INDEX('Paramètres'!$N:$N,MATCH($D4411,'Paramètres'!$M:$M,0))&amp;"",""))),0,IF(OR(IFERROR(INDEX('Paramètres'!$I:$I,MATCH($C4411,'Paramètres'!$D:$D,0))&amp;"","")="Les deux",IFERROR(INDEX('Paramètres'!$I:$I,MATCH($C4411,'Paramètres'!$D:$D,0))&amp;"","")=IF($P4411=1,"Débit",$L4411)),-IF($P4411=1,-$K4411,$K4411),0))))</f>
        <v/>
      </c>
      <c r="U4411" s="6" t="str">
        <f>IF($K4411="","",IF(ISNUMBER(SEARCH("sortie-epargne",IFERROR(INDEX('Paramètres'!$N:$N,MATCH($D4411,'Paramètres'!$M:$M,0))&amp;"",""))),$K4411,0))</f>
        <v/>
      </c>
      <c r="V4411" s="6" t="str">
        <f>IF(AND($A4411&lt;&gt;"",$O4411=1,$L4411="Débit",N($Q4411)&gt;0,$A4411&gt;=Visualisation!$B$1,$A4411&lt;Visualisation!$D$1),MAX($V$1:V4410)+1,"")</f>
        <v/>
      </c>
    </row>
    <row r="4412" spans="1:22" x14ac:dyDescent="0.25">
      <c r="A4412" s="9"/>
      <c r="E4412" s="10"/>
      <c r="K4412" s="11" t="str">
        <f>IF($E4412="","",ROUND($E4412*IF(ISNA(MATCH($C4412,'Paramètres'!$D:$D,0)),1,IF(INDEX('Paramètres'!$J:$J,MATCH($C4412,'Paramètres'!$D:$D,0))="",1,INDEX('Paramètres'!$J:$J,MATCH($C4412,'Paramètres'!$D:$D,0)))),2))</f>
        <v/>
      </c>
      <c r="L4412" s="6" t="str">
        <f>IF($D4412="","",IF($F4412&lt;&gt;"",$F4412,IF(ISNA(MATCH($D4412,'Paramètres'!$M:$M,0)),"⚠ Type inconnu",IFERROR(INDEX('Paramètres'!$P:$P,MATCH($D4412,'Paramètres'!$M:$M,0))&amp;"",""))))</f>
        <v/>
      </c>
      <c r="M4412" s="6" t="str">
        <f>IF($D4412="","",IF(ISNA(MATCH($D4412,'Paramètres'!$M:$M,0)),"⚠ Type inconnu",IF($L4412="Crédit","",IFERROR(INDEX('Paramètres'!$O:$O,MATCH($D4412,'Paramètres'!$M:$M,0))&amp;"",""))))</f>
        <v/>
      </c>
      <c r="N4412" s="6" t="str">
        <f>IF($D4412="","",IFERROR(INDEX('Paramètres'!$Q:$Q,MATCH($D4412,'Paramètres'!$M:$M,0))&amp;"",""))</f>
        <v/>
      </c>
      <c r="O4412" s="6" t="str">
        <f>IF($A4412="","",IF(OR($J4412&lt;&gt;"x",$A4412&lt;=FinReleve),1,0))</f>
        <v/>
      </c>
      <c r="P4412" s="6" t="str">
        <f>IF($D4412="","",IF(AND($L4412="Crédit",OR(IFERROR(INDEX('Paramètres'!$O:$O,MATCH($D4412,'Paramètres'!$M:$M,0))&amp;"","")&lt;&gt;"",ISNUMBER(SEARCH("remboursement",IFERROR(INDEX('Paramètres'!$N:$N,MATCH($D4412,'Paramètres'!$M:$M,0))&amp;"",""))))),1,0))</f>
        <v/>
      </c>
      <c r="Q4412" s="6" t="str">
        <f>IF($K4412="","",IF(ISNUMBER(SEARCH("transfert-interne",IFERROR(INDEX('Paramètres'!$N:$N,MATCH($D4412,'Paramètres'!$M:$M,0))&amp;"",""))),0,IF($L4412="Débit",$K4412,IF($P4412=1,-$K4412,0))))</f>
        <v/>
      </c>
      <c r="R4412" s="6" t="str">
        <f>IF($K4412="","",IF($L4412="Crédit",$K4412,-$K4412))</f>
        <v/>
      </c>
      <c r="S4412" s="6" t="str">
        <f>IF($C4412="","",IFERROR(INDEX('Paramètres'!$H:$H,MATCH($C4412,'Paramètres'!$D:$D,0))&amp;"",""))</f>
        <v/>
      </c>
      <c r="T4412" s="6" t="str">
        <f>IF($K4412="","",IF($S4412="",0,IF(ISNUMBER(SEARCH("apport-exterieur",IFERROR(INDEX('Paramètres'!$N:$N,MATCH($D4412,'Paramètres'!$M:$M,0))&amp;"",""))),0,IF(OR(IFERROR(INDEX('Paramètres'!$I:$I,MATCH($C4412,'Paramètres'!$D:$D,0))&amp;"","")="Les deux",IFERROR(INDEX('Paramètres'!$I:$I,MATCH($C4412,'Paramètres'!$D:$D,0))&amp;"","")=IF($P4412=1,"Débit",$L4412)),-IF($P4412=1,-$K4412,$K4412),0))))</f>
        <v/>
      </c>
      <c r="U4412" s="6" t="str">
        <f>IF($K4412="","",IF(ISNUMBER(SEARCH("sortie-epargne",IFERROR(INDEX('Paramètres'!$N:$N,MATCH($D4412,'Paramètres'!$M:$M,0))&amp;"",""))),$K4412,0))</f>
        <v/>
      </c>
      <c r="V4412" s="6" t="str">
        <f>IF(AND($A4412&lt;&gt;"",$O4412=1,$L4412="Débit",N($Q4412)&gt;0,$A4412&gt;=Visualisation!$B$1,$A4412&lt;Visualisation!$D$1),MAX($V$1:V4411)+1,"")</f>
        <v/>
      </c>
    </row>
    <row r="4413" spans="1:22" x14ac:dyDescent="0.25">
      <c r="A4413" s="9"/>
      <c r="E4413" s="10"/>
      <c r="K4413" s="11" t="str">
        <f>IF($E4413="","",ROUND($E4413*IF(ISNA(MATCH($C4413,'Paramètres'!$D:$D,0)),1,IF(INDEX('Paramètres'!$J:$J,MATCH($C4413,'Paramètres'!$D:$D,0))="",1,INDEX('Paramètres'!$J:$J,MATCH($C4413,'Paramètres'!$D:$D,0)))),2))</f>
        <v/>
      </c>
      <c r="L4413" s="6" t="str">
        <f>IF($D4413="","",IF($F4413&lt;&gt;"",$F4413,IF(ISNA(MATCH($D4413,'Paramètres'!$M:$M,0)),"⚠ Type inconnu",IFERROR(INDEX('Paramètres'!$P:$P,MATCH($D4413,'Paramètres'!$M:$M,0))&amp;"",""))))</f>
        <v/>
      </c>
      <c r="M4413" s="6" t="str">
        <f>IF($D4413="","",IF(ISNA(MATCH($D4413,'Paramètres'!$M:$M,0)),"⚠ Type inconnu",IF($L4413="Crédit","",IFERROR(INDEX('Paramètres'!$O:$O,MATCH($D4413,'Paramètres'!$M:$M,0))&amp;"",""))))</f>
        <v/>
      </c>
      <c r="N4413" s="6" t="str">
        <f>IF($D4413="","",IFERROR(INDEX('Paramètres'!$Q:$Q,MATCH($D4413,'Paramètres'!$M:$M,0))&amp;"",""))</f>
        <v/>
      </c>
      <c r="O4413" s="6" t="str">
        <f>IF($A4413="","",IF(OR($J4413&lt;&gt;"x",$A4413&lt;=FinReleve),1,0))</f>
        <v/>
      </c>
      <c r="P4413" s="6" t="str">
        <f>IF($D4413="","",IF(AND($L4413="Crédit",OR(IFERROR(INDEX('Paramètres'!$O:$O,MATCH($D4413,'Paramètres'!$M:$M,0))&amp;"","")&lt;&gt;"",ISNUMBER(SEARCH("remboursement",IFERROR(INDEX('Paramètres'!$N:$N,MATCH($D4413,'Paramètres'!$M:$M,0))&amp;"",""))))),1,0))</f>
        <v/>
      </c>
      <c r="Q4413" s="6" t="str">
        <f>IF($K4413="","",IF(ISNUMBER(SEARCH("transfert-interne",IFERROR(INDEX('Paramètres'!$N:$N,MATCH($D4413,'Paramètres'!$M:$M,0))&amp;"",""))),0,IF($L4413="Débit",$K4413,IF($P4413=1,-$K4413,0))))</f>
        <v/>
      </c>
      <c r="R4413" s="6" t="str">
        <f>IF($K4413="","",IF($L4413="Crédit",$K4413,-$K4413))</f>
        <v/>
      </c>
      <c r="S4413" s="6" t="str">
        <f>IF($C4413="","",IFERROR(INDEX('Paramètres'!$H:$H,MATCH($C4413,'Paramètres'!$D:$D,0))&amp;"",""))</f>
        <v/>
      </c>
      <c r="T4413" s="6" t="str">
        <f>IF($K4413="","",IF($S4413="",0,IF(ISNUMBER(SEARCH("apport-exterieur",IFERROR(INDEX('Paramètres'!$N:$N,MATCH($D4413,'Paramètres'!$M:$M,0))&amp;"",""))),0,IF(OR(IFERROR(INDEX('Paramètres'!$I:$I,MATCH($C4413,'Paramètres'!$D:$D,0))&amp;"","")="Les deux",IFERROR(INDEX('Paramètres'!$I:$I,MATCH($C4413,'Paramètres'!$D:$D,0))&amp;"","")=IF($P4413=1,"Débit",$L4413)),-IF($P4413=1,-$K4413,$K4413),0))))</f>
        <v/>
      </c>
      <c r="U4413" s="6" t="str">
        <f>IF($K4413="","",IF(ISNUMBER(SEARCH("sortie-epargne",IFERROR(INDEX('Paramètres'!$N:$N,MATCH($D4413,'Paramètres'!$M:$M,0))&amp;"",""))),$K4413,0))</f>
        <v/>
      </c>
      <c r="V4413" s="6" t="str">
        <f>IF(AND($A4413&lt;&gt;"",$O4413=1,$L4413="Débit",N($Q4413)&gt;0,$A4413&gt;=Visualisation!$B$1,$A4413&lt;Visualisation!$D$1),MAX($V$1:V4412)+1,"")</f>
        <v/>
      </c>
    </row>
    <row r="4414" spans="1:22" x14ac:dyDescent="0.25">
      <c r="A4414" s="9"/>
      <c r="E4414" s="10"/>
      <c r="K4414" s="11" t="str">
        <f>IF($E4414="","",ROUND($E4414*IF(ISNA(MATCH($C4414,'Paramètres'!$D:$D,0)),1,IF(INDEX('Paramètres'!$J:$J,MATCH($C4414,'Paramètres'!$D:$D,0))="",1,INDEX('Paramètres'!$J:$J,MATCH($C4414,'Paramètres'!$D:$D,0)))),2))</f>
        <v/>
      </c>
      <c r="L4414" s="6" t="str">
        <f>IF($D4414="","",IF($F4414&lt;&gt;"",$F4414,IF(ISNA(MATCH($D4414,'Paramètres'!$M:$M,0)),"⚠ Type inconnu",IFERROR(INDEX('Paramètres'!$P:$P,MATCH($D4414,'Paramètres'!$M:$M,0))&amp;"",""))))</f>
        <v/>
      </c>
      <c r="M4414" s="6" t="str">
        <f>IF($D4414="","",IF(ISNA(MATCH($D4414,'Paramètres'!$M:$M,0)),"⚠ Type inconnu",IF($L4414="Crédit","",IFERROR(INDEX('Paramètres'!$O:$O,MATCH($D4414,'Paramètres'!$M:$M,0))&amp;"",""))))</f>
        <v/>
      </c>
      <c r="N4414" s="6" t="str">
        <f>IF($D4414="","",IFERROR(INDEX('Paramètres'!$Q:$Q,MATCH($D4414,'Paramètres'!$M:$M,0))&amp;"",""))</f>
        <v/>
      </c>
      <c r="O4414" s="6" t="str">
        <f>IF($A4414="","",IF(OR($J4414&lt;&gt;"x",$A4414&lt;=FinReleve),1,0))</f>
        <v/>
      </c>
      <c r="P4414" s="6" t="str">
        <f>IF($D4414="","",IF(AND($L4414="Crédit",OR(IFERROR(INDEX('Paramètres'!$O:$O,MATCH($D4414,'Paramètres'!$M:$M,0))&amp;"","")&lt;&gt;"",ISNUMBER(SEARCH("remboursement",IFERROR(INDEX('Paramètres'!$N:$N,MATCH($D4414,'Paramètres'!$M:$M,0))&amp;"",""))))),1,0))</f>
        <v/>
      </c>
      <c r="Q4414" s="6" t="str">
        <f>IF($K4414="","",IF(ISNUMBER(SEARCH("transfert-interne",IFERROR(INDEX('Paramètres'!$N:$N,MATCH($D4414,'Paramètres'!$M:$M,0))&amp;"",""))),0,IF($L4414="Débit",$K4414,IF($P4414=1,-$K4414,0))))</f>
        <v/>
      </c>
      <c r="R4414" s="6" t="str">
        <f>IF($K4414="","",IF($L4414="Crédit",$K4414,-$K4414))</f>
        <v/>
      </c>
      <c r="S4414" s="6" t="str">
        <f>IF($C4414="","",IFERROR(INDEX('Paramètres'!$H:$H,MATCH($C4414,'Paramètres'!$D:$D,0))&amp;"",""))</f>
        <v/>
      </c>
      <c r="T4414" s="6" t="str">
        <f>IF($K4414="","",IF($S4414="",0,IF(ISNUMBER(SEARCH("apport-exterieur",IFERROR(INDEX('Paramètres'!$N:$N,MATCH($D4414,'Paramètres'!$M:$M,0))&amp;"",""))),0,IF(OR(IFERROR(INDEX('Paramètres'!$I:$I,MATCH($C4414,'Paramètres'!$D:$D,0))&amp;"","")="Les deux",IFERROR(INDEX('Paramètres'!$I:$I,MATCH($C4414,'Paramètres'!$D:$D,0))&amp;"","")=IF($P4414=1,"Débit",$L4414)),-IF($P4414=1,-$K4414,$K4414),0))))</f>
        <v/>
      </c>
      <c r="U4414" s="6" t="str">
        <f>IF($K4414="","",IF(ISNUMBER(SEARCH("sortie-epargne",IFERROR(INDEX('Paramètres'!$N:$N,MATCH($D4414,'Paramètres'!$M:$M,0))&amp;"",""))),$K4414,0))</f>
        <v/>
      </c>
      <c r="V4414" s="6" t="str">
        <f>IF(AND($A4414&lt;&gt;"",$O4414=1,$L4414="Débit",N($Q4414)&gt;0,$A4414&gt;=Visualisation!$B$1,$A4414&lt;Visualisation!$D$1),MAX($V$1:V4413)+1,"")</f>
        <v/>
      </c>
    </row>
    <row r="4415" spans="1:22" x14ac:dyDescent="0.25">
      <c r="A4415" s="9"/>
      <c r="E4415" s="10"/>
      <c r="K4415" s="11" t="str">
        <f>IF($E4415="","",ROUND($E4415*IF(ISNA(MATCH($C4415,'Paramètres'!$D:$D,0)),1,IF(INDEX('Paramètres'!$J:$J,MATCH($C4415,'Paramètres'!$D:$D,0))="",1,INDEX('Paramètres'!$J:$J,MATCH($C4415,'Paramètres'!$D:$D,0)))),2))</f>
        <v/>
      </c>
      <c r="L4415" s="6" t="str">
        <f>IF($D4415="","",IF($F4415&lt;&gt;"",$F4415,IF(ISNA(MATCH($D4415,'Paramètres'!$M:$M,0)),"⚠ Type inconnu",IFERROR(INDEX('Paramètres'!$P:$P,MATCH($D4415,'Paramètres'!$M:$M,0))&amp;"",""))))</f>
        <v/>
      </c>
      <c r="M4415" s="6" t="str">
        <f>IF($D4415="","",IF(ISNA(MATCH($D4415,'Paramètres'!$M:$M,0)),"⚠ Type inconnu",IF($L4415="Crédit","",IFERROR(INDEX('Paramètres'!$O:$O,MATCH($D4415,'Paramètres'!$M:$M,0))&amp;"",""))))</f>
        <v/>
      </c>
      <c r="N4415" s="6" t="str">
        <f>IF($D4415="","",IFERROR(INDEX('Paramètres'!$Q:$Q,MATCH($D4415,'Paramètres'!$M:$M,0))&amp;"",""))</f>
        <v/>
      </c>
      <c r="O4415" s="6" t="str">
        <f>IF($A4415="","",IF(OR($J4415&lt;&gt;"x",$A4415&lt;=FinReleve),1,0))</f>
        <v/>
      </c>
      <c r="P4415" s="6" t="str">
        <f>IF($D4415="","",IF(AND($L4415="Crédit",OR(IFERROR(INDEX('Paramètres'!$O:$O,MATCH($D4415,'Paramètres'!$M:$M,0))&amp;"","")&lt;&gt;"",ISNUMBER(SEARCH("remboursement",IFERROR(INDEX('Paramètres'!$N:$N,MATCH($D4415,'Paramètres'!$M:$M,0))&amp;"",""))))),1,0))</f>
        <v/>
      </c>
      <c r="Q4415" s="6" t="str">
        <f>IF($K4415="","",IF(ISNUMBER(SEARCH("transfert-interne",IFERROR(INDEX('Paramètres'!$N:$N,MATCH($D4415,'Paramètres'!$M:$M,0))&amp;"",""))),0,IF($L4415="Débit",$K4415,IF($P4415=1,-$K4415,0))))</f>
        <v/>
      </c>
      <c r="R4415" s="6" t="str">
        <f>IF($K4415="","",IF($L4415="Crédit",$K4415,-$K4415))</f>
        <v/>
      </c>
      <c r="S4415" s="6" t="str">
        <f>IF($C4415="","",IFERROR(INDEX('Paramètres'!$H:$H,MATCH($C4415,'Paramètres'!$D:$D,0))&amp;"",""))</f>
        <v/>
      </c>
      <c r="T4415" s="6" t="str">
        <f>IF($K4415="","",IF($S4415="",0,IF(ISNUMBER(SEARCH("apport-exterieur",IFERROR(INDEX('Paramètres'!$N:$N,MATCH($D4415,'Paramètres'!$M:$M,0))&amp;"",""))),0,IF(OR(IFERROR(INDEX('Paramètres'!$I:$I,MATCH($C4415,'Paramètres'!$D:$D,0))&amp;"","")="Les deux",IFERROR(INDEX('Paramètres'!$I:$I,MATCH($C4415,'Paramètres'!$D:$D,0))&amp;"","")=IF($P4415=1,"Débit",$L4415)),-IF($P4415=1,-$K4415,$K4415),0))))</f>
        <v/>
      </c>
      <c r="U4415" s="6" t="str">
        <f>IF($K4415="","",IF(ISNUMBER(SEARCH("sortie-epargne",IFERROR(INDEX('Paramètres'!$N:$N,MATCH($D4415,'Paramètres'!$M:$M,0))&amp;"",""))),$K4415,0))</f>
        <v/>
      </c>
      <c r="V4415" s="6" t="str">
        <f>IF(AND($A4415&lt;&gt;"",$O4415=1,$L4415="Débit",N($Q4415)&gt;0,$A4415&gt;=Visualisation!$B$1,$A4415&lt;Visualisation!$D$1),MAX($V$1:V4414)+1,"")</f>
        <v/>
      </c>
    </row>
    <row r="4416" spans="1:22" x14ac:dyDescent="0.25">
      <c r="A4416" s="9"/>
      <c r="E4416" s="10"/>
      <c r="K4416" s="11" t="str">
        <f>IF($E4416="","",ROUND($E4416*IF(ISNA(MATCH($C4416,'Paramètres'!$D:$D,0)),1,IF(INDEX('Paramètres'!$J:$J,MATCH($C4416,'Paramètres'!$D:$D,0))="",1,INDEX('Paramètres'!$J:$J,MATCH($C4416,'Paramètres'!$D:$D,0)))),2))</f>
        <v/>
      </c>
      <c r="L4416" s="6" t="str">
        <f>IF($D4416="","",IF($F4416&lt;&gt;"",$F4416,IF(ISNA(MATCH($D4416,'Paramètres'!$M:$M,0)),"⚠ Type inconnu",IFERROR(INDEX('Paramètres'!$P:$P,MATCH($D4416,'Paramètres'!$M:$M,0))&amp;"",""))))</f>
        <v/>
      </c>
      <c r="M4416" s="6" t="str">
        <f>IF($D4416="","",IF(ISNA(MATCH($D4416,'Paramètres'!$M:$M,0)),"⚠ Type inconnu",IF($L4416="Crédit","",IFERROR(INDEX('Paramètres'!$O:$O,MATCH($D4416,'Paramètres'!$M:$M,0))&amp;"",""))))</f>
        <v/>
      </c>
      <c r="N4416" s="6" t="str">
        <f>IF($D4416="","",IFERROR(INDEX('Paramètres'!$Q:$Q,MATCH($D4416,'Paramètres'!$M:$M,0))&amp;"",""))</f>
        <v/>
      </c>
      <c r="O4416" s="6" t="str">
        <f>IF($A4416="","",IF(OR($J4416&lt;&gt;"x",$A4416&lt;=FinReleve),1,0))</f>
        <v/>
      </c>
      <c r="P4416" s="6" t="str">
        <f>IF($D4416="","",IF(AND($L4416="Crédit",OR(IFERROR(INDEX('Paramètres'!$O:$O,MATCH($D4416,'Paramètres'!$M:$M,0))&amp;"","")&lt;&gt;"",ISNUMBER(SEARCH("remboursement",IFERROR(INDEX('Paramètres'!$N:$N,MATCH($D4416,'Paramètres'!$M:$M,0))&amp;"",""))))),1,0))</f>
        <v/>
      </c>
      <c r="Q4416" s="6" t="str">
        <f>IF($K4416="","",IF(ISNUMBER(SEARCH("transfert-interne",IFERROR(INDEX('Paramètres'!$N:$N,MATCH($D4416,'Paramètres'!$M:$M,0))&amp;"",""))),0,IF($L4416="Débit",$K4416,IF($P4416=1,-$K4416,0))))</f>
        <v/>
      </c>
      <c r="R4416" s="6" t="str">
        <f>IF($K4416="","",IF($L4416="Crédit",$K4416,-$K4416))</f>
        <v/>
      </c>
      <c r="S4416" s="6" t="str">
        <f>IF($C4416="","",IFERROR(INDEX('Paramètres'!$H:$H,MATCH($C4416,'Paramètres'!$D:$D,0))&amp;"",""))</f>
        <v/>
      </c>
      <c r="T4416" s="6" t="str">
        <f>IF($K4416="","",IF($S4416="",0,IF(ISNUMBER(SEARCH("apport-exterieur",IFERROR(INDEX('Paramètres'!$N:$N,MATCH($D4416,'Paramètres'!$M:$M,0))&amp;"",""))),0,IF(OR(IFERROR(INDEX('Paramètres'!$I:$I,MATCH($C4416,'Paramètres'!$D:$D,0))&amp;"","")="Les deux",IFERROR(INDEX('Paramètres'!$I:$I,MATCH($C4416,'Paramètres'!$D:$D,0))&amp;"","")=IF($P4416=1,"Débit",$L4416)),-IF($P4416=1,-$K4416,$K4416),0))))</f>
        <v/>
      </c>
      <c r="U4416" s="6" t="str">
        <f>IF($K4416="","",IF(ISNUMBER(SEARCH("sortie-epargne",IFERROR(INDEX('Paramètres'!$N:$N,MATCH($D4416,'Paramètres'!$M:$M,0))&amp;"",""))),$K4416,0))</f>
        <v/>
      </c>
      <c r="V4416" s="6" t="str">
        <f>IF(AND($A4416&lt;&gt;"",$O4416=1,$L4416="Débit",N($Q4416)&gt;0,$A4416&gt;=Visualisation!$B$1,$A4416&lt;Visualisation!$D$1),MAX($V$1:V4415)+1,"")</f>
        <v/>
      </c>
    </row>
    <row r="4417" spans="1:22" x14ac:dyDescent="0.25">
      <c r="A4417" s="9"/>
      <c r="E4417" s="10"/>
      <c r="K4417" s="11" t="str">
        <f>IF($E4417="","",ROUND($E4417*IF(ISNA(MATCH($C4417,'Paramètres'!$D:$D,0)),1,IF(INDEX('Paramètres'!$J:$J,MATCH($C4417,'Paramètres'!$D:$D,0))="",1,INDEX('Paramètres'!$J:$J,MATCH($C4417,'Paramètres'!$D:$D,0)))),2))</f>
        <v/>
      </c>
      <c r="L4417" s="6" t="str">
        <f>IF($D4417="","",IF($F4417&lt;&gt;"",$F4417,IF(ISNA(MATCH($D4417,'Paramètres'!$M:$M,0)),"⚠ Type inconnu",IFERROR(INDEX('Paramètres'!$P:$P,MATCH($D4417,'Paramètres'!$M:$M,0))&amp;"",""))))</f>
        <v/>
      </c>
      <c r="M4417" s="6" t="str">
        <f>IF($D4417="","",IF(ISNA(MATCH($D4417,'Paramètres'!$M:$M,0)),"⚠ Type inconnu",IF($L4417="Crédit","",IFERROR(INDEX('Paramètres'!$O:$O,MATCH($D4417,'Paramètres'!$M:$M,0))&amp;"",""))))</f>
        <v/>
      </c>
      <c r="N4417" s="6" t="str">
        <f>IF($D4417="","",IFERROR(INDEX('Paramètres'!$Q:$Q,MATCH($D4417,'Paramètres'!$M:$M,0))&amp;"",""))</f>
        <v/>
      </c>
      <c r="O4417" s="6" t="str">
        <f>IF($A4417="","",IF(OR($J4417&lt;&gt;"x",$A4417&lt;=FinReleve),1,0))</f>
        <v/>
      </c>
      <c r="P4417" s="6" t="str">
        <f>IF($D4417="","",IF(AND($L4417="Crédit",OR(IFERROR(INDEX('Paramètres'!$O:$O,MATCH($D4417,'Paramètres'!$M:$M,0))&amp;"","")&lt;&gt;"",ISNUMBER(SEARCH("remboursement",IFERROR(INDEX('Paramètres'!$N:$N,MATCH($D4417,'Paramètres'!$M:$M,0))&amp;"",""))))),1,0))</f>
        <v/>
      </c>
      <c r="Q4417" s="6" t="str">
        <f>IF($K4417="","",IF(ISNUMBER(SEARCH("transfert-interne",IFERROR(INDEX('Paramètres'!$N:$N,MATCH($D4417,'Paramètres'!$M:$M,0))&amp;"",""))),0,IF($L4417="Débit",$K4417,IF($P4417=1,-$K4417,0))))</f>
        <v/>
      </c>
      <c r="R4417" s="6" t="str">
        <f>IF($K4417="","",IF($L4417="Crédit",$K4417,-$K4417))</f>
        <v/>
      </c>
      <c r="S4417" s="6" t="str">
        <f>IF($C4417="","",IFERROR(INDEX('Paramètres'!$H:$H,MATCH($C4417,'Paramètres'!$D:$D,0))&amp;"",""))</f>
        <v/>
      </c>
      <c r="T4417" s="6" t="str">
        <f>IF($K4417="","",IF($S4417="",0,IF(ISNUMBER(SEARCH("apport-exterieur",IFERROR(INDEX('Paramètres'!$N:$N,MATCH($D4417,'Paramètres'!$M:$M,0))&amp;"",""))),0,IF(OR(IFERROR(INDEX('Paramètres'!$I:$I,MATCH($C4417,'Paramètres'!$D:$D,0))&amp;"","")="Les deux",IFERROR(INDEX('Paramètres'!$I:$I,MATCH($C4417,'Paramètres'!$D:$D,0))&amp;"","")=IF($P4417=1,"Débit",$L4417)),-IF($P4417=1,-$K4417,$K4417),0))))</f>
        <v/>
      </c>
      <c r="U4417" s="6" t="str">
        <f>IF($K4417="","",IF(ISNUMBER(SEARCH("sortie-epargne",IFERROR(INDEX('Paramètres'!$N:$N,MATCH($D4417,'Paramètres'!$M:$M,0))&amp;"",""))),$K4417,0))</f>
        <v/>
      </c>
      <c r="V4417" s="6" t="str">
        <f>IF(AND($A4417&lt;&gt;"",$O4417=1,$L4417="Débit",N($Q4417)&gt;0,$A4417&gt;=Visualisation!$B$1,$A4417&lt;Visualisation!$D$1),MAX($V$1:V4416)+1,"")</f>
        <v/>
      </c>
    </row>
    <row r="4418" spans="1:22" x14ac:dyDescent="0.25">
      <c r="A4418" s="9"/>
      <c r="E4418" s="10"/>
      <c r="K4418" s="11" t="str">
        <f>IF($E4418="","",ROUND($E4418*IF(ISNA(MATCH($C4418,'Paramètres'!$D:$D,0)),1,IF(INDEX('Paramètres'!$J:$J,MATCH($C4418,'Paramètres'!$D:$D,0))="",1,INDEX('Paramètres'!$J:$J,MATCH($C4418,'Paramètres'!$D:$D,0)))),2))</f>
        <v/>
      </c>
      <c r="L4418" s="6" t="str">
        <f>IF($D4418="","",IF($F4418&lt;&gt;"",$F4418,IF(ISNA(MATCH($D4418,'Paramètres'!$M:$M,0)),"⚠ Type inconnu",IFERROR(INDEX('Paramètres'!$P:$P,MATCH($D4418,'Paramètres'!$M:$M,0))&amp;"",""))))</f>
        <v/>
      </c>
      <c r="M4418" s="6" t="str">
        <f>IF($D4418="","",IF(ISNA(MATCH($D4418,'Paramètres'!$M:$M,0)),"⚠ Type inconnu",IF($L4418="Crédit","",IFERROR(INDEX('Paramètres'!$O:$O,MATCH($D4418,'Paramètres'!$M:$M,0))&amp;"",""))))</f>
        <v/>
      </c>
      <c r="N4418" s="6" t="str">
        <f>IF($D4418="","",IFERROR(INDEX('Paramètres'!$Q:$Q,MATCH($D4418,'Paramètres'!$M:$M,0))&amp;"",""))</f>
        <v/>
      </c>
      <c r="O4418" s="6" t="str">
        <f>IF($A4418="","",IF(OR($J4418&lt;&gt;"x",$A4418&lt;=FinReleve),1,0))</f>
        <v/>
      </c>
      <c r="P4418" s="6" t="str">
        <f>IF($D4418="","",IF(AND($L4418="Crédit",OR(IFERROR(INDEX('Paramètres'!$O:$O,MATCH($D4418,'Paramètres'!$M:$M,0))&amp;"","")&lt;&gt;"",ISNUMBER(SEARCH("remboursement",IFERROR(INDEX('Paramètres'!$N:$N,MATCH($D4418,'Paramètres'!$M:$M,0))&amp;"",""))))),1,0))</f>
        <v/>
      </c>
      <c r="Q4418" s="6" t="str">
        <f>IF($K4418="","",IF(ISNUMBER(SEARCH("transfert-interne",IFERROR(INDEX('Paramètres'!$N:$N,MATCH($D4418,'Paramètres'!$M:$M,0))&amp;"",""))),0,IF($L4418="Débit",$K4418,IF($P4418=1,-$K4418,0))))</f>
        <v/>
      </c>
      <c r="R4418" s="6" t="str">
        <f>IF($K4418="","",IF($L4418="Crédit",$K4418,-$K4418))</f>
        <v/>
      </c>
      <c r="S4418" s="6" t="str">
        <f>IF($C4418="","",IFERROR(INDEX('Paramètres'!$H:$H,MATCH($C4418,'Paramètres'!$D:$D,0))&amp;"",""))</f>
        <v/>
      </c>
      <c r="T4418" s="6" t="str">
        <f>IF($K4418="","",IF($S4418="",0,IF(ISNUMBER(SEARCH("apport-exterieur",IFERROR(INDEX('Paramètres'!$N:$N,MATCH($D4418,'Paramètres'!$M:$M,0))&amp;"",""))),0,IF(OR(IFERROR(INDEX('Paramètres'!$I:$I,MATCH($C4418,'Paramètres'!$D:$D,0))&amp;"","")="Les deux",IFERROR(INDEX('Paramètres'!$I:$I,MATCH($C4418,'Paramètres'!$D:$D,0))&amp;"","")=IF($P4418=1,"Débit",$L4418)),-IF($P4418=1,-$K4418,$K4418),0))))</f>
        <v/>
      </c>
      <c r="U4418" s="6" t="str">
        <f>IF($K4418="","",IF(ISNUMBER(SEARCH("sortie-epargne",IFERROR(INDEX('Paramètres'!$N:$N,MATCH($D4418,'Paramètres'!$M:$M,0))&amp;"",""))),$K4418,0))</f>
        <v/>
      </c>
      <c r="V4418" s="6" t="str">
        <f>IF(AND($A4418&lt;&gt;"",$O4418=1,$L4418="Débit",N($Q4418)&gt;0,$A4418&gt;=Visualisation!$B$1,$A4418&lt;Visualisation!$D$1),MAX($V$1:V4417)+1,"")</f>
        <v/>
      </c>
    </row>
    <row r="4419" spans="1:22" x14ac:dyDescent="0.25">
      <c r="A4419" s="9"/>
      <c r="E4419" s="10"/>
      <c r="K4419" s="11" t="str">
        <f>IF($E4419="","",ROUND($E4419*IF(ISNA(MATCH($C4419,'Paramètres'!$D:$D,0)),1,IF(INDEX('Paramètres'!$J:$J,MATCH($C4419,'Paramètres'!$D:$D,0))="",1,INDEX('Paramètres'!$J:$J,MATCH($C4419,'Paramètres'!$D:$D,0)))),2))</f>
        <v/>
      </c>
      <c r="L4419" s="6" t="str">
        <f>IF($D4419="","",IF($F4419&lt;&gt;"",$F4419,IF(ISNA(MATCH($D4419,'Paramètres'!$M:$M,0)),"⚠ Type inconnu",IFERROR(INDEX('Paramètres'!$P:$P,MATCH($D4419,'Paramètres'!$M:$M,0))&amp;"",""))))</f>
        <v/>
      </c>
      <c r="M4419" s="6" t="str">
        <f>IF($D4419="","",IF(ISNA(MATCH($D4419,'Paramètres'!$M:$M,0)),"⚠ Type inconnu",IF($L4419="Crédit","",IFERROR(INDEX('Paramètres'!$O:$O,MATCH($D4419,'Paramètres'!$M:$M,0))&amp;"",""))))</f>
        <v/>
      </c>
      <c r="N4419" s="6" t="str">
        <f>IF($D4419="","",IFERROR(INDEX('Paramètres'!$Q:$Q,MATCH($D4419,'Paramètres'!$M:$M,0))&amp;"",""))</f>
        <v/>
      </c>
      <c r="O4419" s="6" t="str">
        <f>IF($A4419="","",IF(OR($J4419&lt;&gt;"x",$A4419&lt;=FinReleve),1,0))</f>
        <v/>
      </c>
      <c r="P4419" s="6" t="str">
        <f>IF($D4419="","",IF(AND($L4419="Crédit",OR(IFERROR(INDEX('Paramètres'!$O:$O,MATCH($D4419,'Paramètres'!$M:$M,0))&amp;"","")&lt;&gt;"",ISNUMBER(SEARCH("remboursement",IFERROR(INDEX('Paramètres'!$N:$N,MATCH($D4419,'Paramètres'!$M:$M,0))&amp;"",""))))),1,0))</f>
        <v/>
      </c>
      <c r="Q4419" s="6" t="str">
        <f>IF($K4419="","",IF(ISNUMBER(SEARCH("transfert-interne",IFERROR(INDEX('Paramètres'!$N:$N,MATCH($D4419,'Paramètres'!$M:$M,0))&amp;"",""))),0,IF($L4419="Débit",$K4419,IF($P4419=1,-$K4419,0))))</f>
        <v/>
      </c>
      <c r="R4419" s="6" t="str">
        <f>IF($K4419="","",IF($L4419="Crédit",$K4419,-$K4419))</f>
        <v/>
      </c>
      <c r="S4419" s="6" t="str">
        <f>IF($C4419="","",IFERROR(INDEX('Paramètres'!$H:$H,MATCH($C4419,'Paramètres'!$D:$D,0))&amp;"",""))</f>
        <v/>
      </c>
      <c r="T4419" s="6" t="str">
        <f>IF($K4419="","",IF($S4419="",0,IF(ISNUMBER(SEARCH("apport-exterieur",IFERROR(INDEX('Paramètres'!$N:$N,MATCH($D4419,'Paramètres'!$M:$M,0))&amp;"",""))),0,IF(OR(IFERROR(INDEX('Paramètres'!$I:$I,MATCH($C4419,'Paramètres'!$D:$D,0))&amp;"","")="Les deux",IFERROR(INDEX('Paramètres'!$I:$I,MATCH($C4419,'Paramètres'!$D:$D,0))&amp;"","")=IF($P4419=1,"Débit",$L4419)),-IF($P4419=1,-$K4419,$K4419),0))))</f>
        <v/>
      </c>
      <c r="U4419" s="6" t="str">
        <f>IF($K4419="","",IF(ISNUMBER(SEARCH("sortie-epargne",IFERROR(INDEX('Paramètres'!$N:$N,MATCH($D4419,'Paramètres'!$M:$M,0))&amp;"",""))),$K4419,0))</f>
        <v/>
      </c>
      <c r="V4419" s="6" t="str">
        <f>IF(AND($A4419&lt;&gt;"",$O4419=1,$L4419="Débit",N($Q4419)&gt;0,$A4419&gt;=Visualisation!$B$1,$A4419&lt;Visualisation!$D$1),MAX($V$1:V4418)+1,"")</f>
        <v/>
      </c>
    </row>
    <row r="4420" spans="1:22" x14ac:dyDescent="0.25">
      <c r="A4420" s="9"/>
      <c r="E4420" s="10"/>
      <c r="K4420" s="11" t="str">
        <f>IF($E4420="","",ROUND($E4420*IF(ISNA(MATCH($C4420,'Paramètres'!$D:$D,0)),1,IF(INDEX('Paramètres'!$J:$J,MATCH($C4420,'Paramètres'!$D:$D,0))="",1,INDEX('Paramètres'!$J:$J,MATCH($C4420,'Paramètres'!$D:$D,0)))),2))</f>
        <v/>
      </c>
      <c r="L4420" s="6" t="str">
        <f>IF($D4420="","",IF($F4420&lt;&gt;"",$F4420,IF(ISNA(MATCH($D4420,'Paramètres'!$M:$M,0)),"⚠ Type inconnu",IFERROR(INDEX('Paramètres'!$P:$P,MATCH($D4420,'Paramètres'!$M:$M,0))&amp;"",""))))</f>
        <v/>
      </c>
      <c r="M4420" s="6" t="str">
        <f>IF($D4420="","",IF(ISNA(MATCH($D4420,'Paramètres'!$M:$M,0)),"⚠ Type inconnu",IF($L4420="Crédit","",IFERROR(INDEX('Paramètres'!$O:$O,MATCH($D4420,'Paramètres'!$M:$M,0))&amp;"",""))))</f>
        <v/>
      </c>
      <c r="N4420" s="6" t="str">
        <f>IF($D4420="","",IFERROR(INDEX('Paramètres'!$Q:$Q,MATCH($D4420,'Paramètres'!$M:$M,0))&amp;"",""))</f>
        <v/>
      </c>
      <c r="O4420" s="6" t="str">
        <f>IF($A4420="","",IF(OR($J4420&lt;&gt;"x",$A4420&lt;=FinReleve),1,0))</f>
        <v/>
      </c>
      <c r="P4420" s="6" t="str">
        <f>IF($D4420="","",IF(AND($L4420="Crédit",OR(IFERROR(INDEX('Paramètres'!$O:$O,MATCH($D4420,'Paramètres'!$M:$M,0))&amp;"","")&lt;&gt;"",ISNUMBER(SEARCH("remboursement",IFERROR(INDEX('Paramètres'!$N:$N,MATCH($D4420,'Paramètres'!$M:$M,0))&amp;"",""))))),1,0))</f>
        <v/>
      </c>
      <c r="Q4420" s="6" t="str">
        <f>IF($K4420="","",IF(ISNUMBER(SEARCH("transfert-interne",IFERROR(INDEX('Paramètres'!$N:$N,MATCH($D4420,'Paramètres'!$M:$M,0))&amp;"",""))),0,IF($L4420="Débit",$K4420,IF($P4420=1,-$K4420,0))))</f>
        <v/>
      </c>
      <c r="R4420" s="6" t="str">
        <f>IF($K4420="","",IF($L4420="Crédit",$K4420,-$K4420))</f>
        <v/>
      </c>
      <c r="S4420" s="6" t="str">
        <f>IF($C4420="","",IFERROR(INDEX('Paramètres'!$H:$H,MATCH($C4420,'Paramètres'!$D:$D,0))&amp;"",""))</f>
        <v/>
      </c>
      <c r="T4420" s="6" t="str">
        <f>IF($K4420="","",IF($S4420="",0,IF(ISNUMBER(SEARCH("apport-exterieur",IFERROR(INDEX('Paramètres'!$N:$N,MATCH($D4420,'Paramètres'!$M:$M,0))&amp;"",""))),0,IF(OR(IFERROR(INDEX('Paramètres'!$I:$I,MATCH($C4420,'Paramètres'!$D:$D,0))&amp;"","")="Les deux",IFERROR(INDEX('Paramètres'!$I:$I,MATCH($C4420,'Paramètres'!$D:$D,0))&amp;"","")=IF($P4420=1,"Débit",$L4420)),-IF($P4420=1,-$K4420,$K4420),0))))</f>
        <v/>
      </c>
      <c r="U4420" s="6" t="str">
        <f>IF($K4420="","",IF(ISNUMBER(SEARCH("sortie-epargne",IFERROR(INDEX('Paramètres'!$N:$N,MATCH($D4420,'Paramètres'!$M:$M,0))&amp;"",""))),$K4420,0))</f>
        <v/>
      </c>
      <c r="V4420" s="6" t="str">
        <f>IF(AND($A4420&lt;&gt;"",$O4420=1,$L4420="Débit",N($Q4420)&gt;0,$A4420&gt;=Visualisation!$B$1,$A4420&lt;Visualisation!$D$1),MAX($V$1:V4419)+1,"")</f>
        <v/>
      </c>
    </row>
    <row r="4421" spans="1:22" x14ac:dyDescent="0.25">
      <c r="A4421" s="9"/>
      <c r="E4421" s="10"/>
      <c r="K4421" s="11" t="str">
        <f>IF($E4421="","",ROUND($E4421*IF(ISNA(MATCH($C4421,'Paramètres'!$D:$D,0)),1,IF(INDEX('Paramètres'!$J:$J,MATCH($C4421,'Paramètres'!$D:$D,0))="",1,INDEX('Paramètres'!$J:$J,MATCH($C4421,'Paramètres'!$D:$D,0)))),2))</f>
        <v/>
      </c>
      <c r="L4421" s="6" t="str">
        <f>IF($D4421="","",IF($F4421&lt;&gt;"",$F4421,IF(ISNA(MATCH($D4421,'Paramètres'!$M:$M,0)),"⚠ Type inconnu",IFERROR(INDEX('Paramètres'!$P:$P,MATCH($D4421,'Paramètres'!$M:$M,0))&amp;"",""))))</f>
        <v/>
      </c>
      <c r="M4421" s="6" t="str">
        <f>IF($D4421="","",IF(ISNA(MATCH($D4421,'Paramètres'!$M:$M,0)),"⚠ Type inconnu",IF($L4421="Crédit","",IFERROR(INDEX('Paramètres'!$O:$O,MATCH($D4421,'Paramètres'!$M:$M,0))&amp;"",""))))</f>
        <v/>
      </c>
      <c r="N4421" s="6" t="str">
        <f>IF($D4421="","",IFERROR(INDEX('Paramètres'!$Q:$Q,MATCH($D4421,'Paramètres'!$M:$M,0))&amp;"",""))</f>
        <v/>
      </c>
      <c r="O4421" s="6" t="str">
        <f>IF($A4421="","",IF(OR($J4421&lt;&gt;"x",$A4421&lt;=FinReleve),1,0))</f>
        <v/>
      </c>
      <c r="P4421" s="6" t="str">
        <f>IF($D4421="","",IF(AND($L4421="Crédit",OR(IFERROR(INDEX('Paramètres'!$O:$O,MATCH($D4421,'Paramètres'!$M:$M,0))&amp;"","")&lt;&gt;"",ISNUMBER(SEARCH("remboursement",IFERROR(INDEX('Paramètres'!$N:$N,MATCH($D4421,'Paramètres'!$M:$M,0))&amp;"",""))))),1,0))</f>
        <v/>
      </c>
      <c r="Q4421" s="6" t="str">
        <f>IF($K4421="","",IF(ISNUMBER(SEARCH("transfert-interne",IFERROR(INDEX('Paramètres'!$N:$N,MATCH($D4421,'Paramètres'!$M:$M,0))&amp;"",""))),0,IF($L4421="Débit",$K4421,IF($P4421=1,-$K4421,0))))</f>
        <v/>
      </c>
      <c r="R4421" s="6" t="str">
        <f>IF($K4421="","",IF($L4421="Crédit",$K4421,-$K4421))</f>
        <v/>
      </c>
      <c r="S4421" s="6" t="str">
        <f>IF($C4421="","",IFERROR(INDEX('Paramètres'!$H:$H,MATCH($C4421,'Paramètres'!$D:$D,0))&amp;"",""))</f>
        <v/>
      </c>
      <c r="T4421" s="6" t="str">
        <f>IF($K4421="","",IF($S4421="",0,IF(ISNUMBER(SEARCH("apport-exterieur",IFERROR(INDEX('Paramètres'!$N:$N,MATCH($D4421,'Paramètres'!$M:$M,0))&amp;"",""))),0,IF(OR(IFERROR(INDEX('Paramètres'!$I:$I,MATCH($C4421,'Paramètres'!$D:$D,0))&amp;"","")="Les deux",IFERROR(INDEX('Paramètres'!$I:$I,MATCH($C4421,'Paramètres'!$D:$D,0))&amp;"","")=IF($P4421=1,"Débit",$L4421)),-IF($P4421=1,-$K4421,$K4421),0))))</f>
        <v/>
      </c>
      <c r="U4421" s="6" t="str">
        <f>IF($K4421="","",IF(ISNUMBER(SEARCH("sortie-epargne",IFERROR(INDEX('Paramètres'!$N:$N,MATCH($D4421,'Paramètres'!$M:$M,0))&amp;"",""))),$K4421,0))</f>
        <v/>
      </c>
      <c r="V4421" s="6" t="str">
        <f>IF(AND($A4421&lt;&gt;"",$O4421=1,$L4421="Débit",N($Q4421)&gt;0,$A4421&gt;=Visualisation!$B$1,$A4421&lt;Visualisation!$D$1),MAX($V$1:V4420)+1,"")</f>
        <v/>
      </c>
    </row>
    <row r="4422" spans="1:22" x14ac:dyDescent="0.25">
      <c r="A4422" s="9"/>
      <c r="E4422" s="10"/>
      <c r="K4422" s="11" t="str">
        <f>IF($E4422="","",ROUND($E4422*IF(ISNA(MATCH($C4422,'Paramètres'!$D:$D,0)),1,IF(INDEX('Paramètres'!$J:$J,MATCH($C4422,'Paramètres'!$D:$D,0))="",1,INDEX('Paramètres'!$J:$J,MATCH($C4422,'Paramètres'!$D:$D,0)))),2))</f>
        <v/>
      </c>
      <c r="L4422" s="6" t="str">
        <f>IF($D4422="","",IF($F4422&lt;&gt;"",$F4422,IF(ISNA(MATCH($D4422,'Paramètres'!$M:$M,0)),"⚠ Type inconnu",IFERROR(INDEX('Paramètres'!$P:$P,MATCH($D4422,'Paramètres'!$M:$M,0))&amp;"",""))))</f>
        <v/>
      </c>
      <c r="M4422" s="6" t="str">
        <f>IF($D4422="","",IF(ISNA(MATCH($D4422,'Paramètres'!$M:$M,0)),"⚠ Type inconnu",IF($L4422="Crédit","",IFERROR(INDEX('Paramètres'!$O:$O,MATCH($D4422,'Paramètres'!$M:$M,0))&amp;"",""))))</f>
        <v/>
      </c>
      <c r="N4422" s="6" t="str">
        <f>IF($D4422="","",IFERROR(INDEX('Paramètres'!$Q:$Q,MATCH($D4422,'Paramètres'!$M:$M,0))&amp;"",""))</f>
        <v/>
      </c>
      <c r="O4422" s="6" t="str">
        <f>IF($A4422="","",IF(OR($J4422&lt;&gt;"x",$A4422&lt;=FinReleve),1,0))</f>
        <v/>
      </c>
      <c r="P4422" s="6" t="str">
        <f>IF($D4422="","",IF(AND($L4422="Crédit",OR(IFERROR(INDEX('Paramètres'!$O:$O,MATCH($D4422,'Paramètres'!$M:$M,0))&amp;"","")&lt;&gt;"",ISNUMBER(SEARCH("remboursement",IFERROR(INDEX('Paramètres'!$N:$N,MATCH($D4422,'Paramètres'!$M:$M,0))&amp;"",""))))),1,0))</f>
        <v/>
      </c>
      <c r="Q4422" s="6" t="str">
        <f>IF($K4422="","",IF(ISNUMBER(SEARCH("transfert-interne",IFERROR(INDEX('Paramètres'!$N:$N,MATCH($D4422,'Paramètres'!$M:$M,0))&amp;"",""))),0,IF($L4422="Débit",$K4422,IF($P4422=1,-$K4422,0))))</f>
        <v/>
      </c>
      <c r="R4422" s="6" t="str">
        <f>IF($K4422="","",IF($L4422="Crédit",$K4422,-$K4422))</f>
        <v/>
      </c>
      <c r="S4422" s="6" t="str">
        <f>IF($C4422="","",IFERROR(INDEX('Paramètres'!$H:$H,MATCH($C4422,'Paramètres'!$D:$D,0))&amp;"",""))</f>
        <v/>
      </c>
      <c r="T4422" s="6" t="str">
        <f>IF($K4422="","",IF($S4422="",0,IF(ISNUMBER(SEARCH("apport-exterieur",IFERROR(INDEX('Paramètres'!$N:$N,MATCH($D4422,'Paramètres'!$M:$M,0))&amp;"",""))),0,IF(OR(IFERROR(INDEX('Paramètres'!$I:$I,MATCH($C4422,'Paramètres'!$D:$D,0))&amp;"","")="Les deux",IFERROR(INDEX('Paramètres'!$I:$I,MATCH($C4422,'Paramètres'!$D:$D,0))&amp;"","")=IF($P4422=1,"Débit",$L4422)),-IF($P4422=1,-$K4422,$K4422),0))))</f>
        <v/>
      </c>
      <c r="U4422" s="6" t="str">
        <f>IF($K4422="","",IF(ISNUMBER(SEARCH("sortie-epargne",IFERROR(INDEX('Paramètres'!$N:$N,MATCH($D4422,'Paramètres'!$M:$M,0))&amp;"",""))),$K4422,0))</f>
        <v/>
      </c>
      <c r="V4422" s="6" t="str">
        <f>IF(AND($A4422&lt;&gt;"",$O4422=1,$L4422="Débit",N($Q4422)&gt;0,$A4422&gt;=Visualisation!$B$1,$A4422&lt;Visualisation!$D$1),MAX($V$1:V4421)+1,"")</f>
        <v/>
      </c>
    </row>
    <row r="4423" spans="1:22" x14ac:dyDescent="0.25">
      <c r="A4423" s="9"/>
      <c r="E4423" s="10"/>
      <c r="K4423" s="11" t="str">
        <f>IF($E4423="","",ROUND($E4423*IF(ISNA(MATCH($C4423,'Paramètres'!$D:$D,0)),1,IF(INDEX('Paramètres'!$J:$J,MATCH($C4423,'Paramètres'!$D:$D,0))="",1,INDEX('Paramètres'!$J:$J,MATCH($C4423,'Paramètres'!$D:$D,0)))),2))</f>
        <v/>
      </c>
      <c r="L4423" s="6" t="str">
        <f>IF($D4423="","",IF($F4423&lt;&gt;"",$F4423,IF(ISNA(MATCH($D4423,'Paramètres'!$M:$M,0)),"⚠ Type inconnu",IFERROR(INDEX('Paramètres'!$P:$P,MATCH($D4423,'Paramètres'!$M:$M,0))&amp;"",""))))</f>
        <v/>
      </c>
      <c r="M4423" s="6" t="str">
        <f>IF($D4423="","",IF(ISNA(MATCH($D4423,'Paramètres'!$M:$M,0)),"⚠ Type inconnu",IF($L4423="Crédit","",IFERROR(INDEX('Paramètres'!$O:$O,MATCH($D4423,'Paramètres'!$M:$M,0))&amp;"",""))))</f>
        <v/>
      </c>
      <c r="N4423" s="6" t="str">
        <f>IF($D4423="","",IFERROR(INDEX('Paramètres'!$Q:$Q,MATCH($D4423,'Paramètres'!$M:$M,0))&amp;"",""))</f>
        <v/>
      </c>
      <c r="O4423" s="6" t="str">
        <f>IF($A4423="","",IF(OR($J4423&lt;&gt;"x",$A4423&lt;=FinReleve),1,0))</f>
        <v/>
      </c>
      <c r="P4423" s="6" t="str">
        <f>IF($D4423="","",IF(AND($L4423="Crédit",OR(IFERROR(INDEX('Paramètres'!$O:$O,MATCH($D4423,'Paramètres'!$M:$M,0))&amp;"","")&lt;&gt;"",ISNUMBER(SEARCH("remboursement",IFERROR(INDEX('Paramètres'!$N:$N,MATCH($D4423,'Paramètres'!$M:$M,0))&amp;"",""))))),1,0))</f>
        <v/>
      </c>
      <c r="Q4423" s="6" t="str">
        <f>IF($K4423="","",IF(ISNUMBER(SEARCH("transfert-interne",IFERROR(INDEX('Paramètres'!$N:$N,MATCH($D4423,'Paramètres'!$M:$M,0))&amp;"",""))),0,IF($L4423="Débit",$K4423,IF($P4423=1,-$K4423,0))))</f>
        <v/>
      </c>
      <c r="R4423" s="6" t="str">
        <f>IF($K4423="","",IF($L4423="Crédit",$K4423,-$K4423))</f>
        <v/>
      </c>
      <c r="S4423" s="6" t="str">
        <f>IF($C4423="","",IFERROR(INDEX('Paramètres'!$H:$H,MATCH($C4423,'Paramètres'!$D:$D,0))&amp;"",""))</f>
        <v/>
      </c>
      <c r="T4423" s="6" t="str">
        <f>IF($K4423="","",IF($S4423="",0,IF(ISNUMBER(SEARCH("apport-exterieur",IFERROR(INDEX('Paramètres'!$N:$N,MATCH($D4423,'Paramètres'!$M:$M,0))&amp;"",""))),0,IF(OR(IFERROR(INDEX('Paramètres'!$I:$I,MATCH($C4423,'Paramètres'!$D:$D,0))&amp;"","")="Les deux",IFERROR(INDEX('Paramètres'!$I:$I,MATCH($C4423,'Paramètres'!$D:$D,0))&amp;"","")=IF($P4423=1,"Débit",$L4423)),-IF($P4423=1,-$K4423,$K4423),0))))</f>
        <v/>
      </c>
      <c r="U4423" s="6" t="str">
        <f>IF($K4423="","",IF(ISNUMBER(SEARCH("sortie-epargne",IFERROR(INDEX('Paramètres'!$N:$N,MATCH($D4423,'Paramètres'!$M:$M,0))&amp;"",""))),$K4423,0))</f>
        <v/>
      </c>
      <c r="V4423" s="6" t="str">
        <f>IF(AND($A4423&lt;&gt;"",$O4423=1,$L4423="Débit",N($Q4423)&gt;0,$A4423&gt;=Visualisation!$B$1,$A4423&lt;Visualisation!$D$1),MAX($V$1:V4422)+1,"")</f>
        <v/>
      </c>
    </row>
    <row r="4424" spans="1:22" x14ac:dyDescent="0.25">
      <c r="A4424" s="9"/>
      <c r="E4424" s="10"/>
      <c r="K4424" s="11" t="str">
        <f>IF($E4424="","",ROUND($E4424*IF(ISNA(MATCH($C4424,'Paramètres'!$D:$D,0)),1,IF(INDEX('Paramètres'!$J:$J,MATCH($C4424,'Paramètres'!$D:$D,0))="",1,INDEX('Paramètres'!$J:$J,MATCH($C4424,'Paramètres'!$D:$D,0)))),2))</f>
        <v/>
      </c>
      <c r="L4424" s="6" t="str">
        <f>IF($D4424="","",IF($F4424&lt;&gt;"",$F4424,IF(ISNA(MATCH($D4424,'Paramètres'!$M:$M,0)),"⚠ Type inconnu",IFERROR(INDEX('Paramètres'!$P:$P,MATCH($D4424,'Paramètres'!$M:$M,0))&amp;"",""))))</f>
        <v/>
      </c>
      <c r="M4424" s="6" t="str">
        <f>IF($D4424="","",IF(ISNA(MATCH($D4424,'Paramètres'!$M:$M,0)),"⚠ Type inconnu",IF($L4424="Crédit","",IFERROR(INDEX('Paramètres'!$O:$O,MATCH($D4424,'Paramètres'!$M:$M,0))&amp;"",""))))</f>
        <v/>
      </c>
      <c r="N4424" s="6" t="str">
        <f>IF($D4424="","",IFERROR(INDEX('Paramètres'!$Q:$Q,MATCH($D4424,'Paramètres'!$M:$M,0))&amp;"",""))</f>
        <v/>
      </c>
      <c r="O4424" s="6" t="str">
        <f>IF($A4424="","",IF(OR($J4424&lt;&gt;"x",$A4424&lt;=FinReleve),1,0))</f>
        <v/>
      </c>
      <c r="P4424" s="6" t="str">
        <f>IF($D4424="","",IF(AND($L4424="Crédit",OR(IFERROR(INDEX('Paramètres'!$O:$O,MATCH($D4424,'Paramètres'!$M:$M,0))&amp;"","")&lt;&gt;"",ISNUMBER(SEARCH("remboursement",IFERROR(INDEX('Paramètres'!$N:$N,MATCH($D4424,'Paramètres'!$M:$M,0))&amp;"",""))))),1,0))</f>
        <v/>
      </c>
      <c r="Q4424" s="6" t="str">
        <f>IF($K4424="","",IF(ISNUMBER(SEARCH("transfert-interne",IFERROR(INDEX('Paramètres'!$N:$N,MATCH($D4424,'Paramètres'!$M:$M,0))&amp;"",""))),0,IF($L4424="Débit",$K4424,IF($P4424=1,-$K4424,0))))</f>
        <v/>
      </c>
      <c r="R4424" s="6" t="str">
        <f>IF($K4424="","",IF($L4424="Crédit",$K4424,-$K4424))</f>
        <v/>
      </c>
      <c r="S4424" s="6" t="str">
        <f>IF($C4424="","",IFERROR(INDEX('Paramètres'!$H:$H,MATCH($C4424,'Paramètres'!$D:$D,0))&amp;"",""))</f>
        <v/>
      </c>
      <c r="T4424" s="6" t="str">
        <f>IF($K4424="","",IF($S4424="",0,IF(ISNUMBER(SEARCH("apport-exterieur",IFERROR(INDEX('Paramètres'!$N:$N,MATCH($D4424,'Paramètres'!$M:$M,0))&amp;"",""))),0,IF(OR(IFERROR(INDEX('Paramètres'!$I:$I,MATCH($C4424,'Paramètres'!$D:$D,0))&amp;"","")="Les deux",IFERROR(INDEX('Paramètres'!$I:$I,MATCH($C4424,'Paramètres'!$D:$D,0))&amp;"","")=IF($P4424=1,"Débit",$L4424)),-IF($P4424=1,-$K4424,$K4424),0))))</f>
        <v/>
      </c>
      <c r="U4424" s="6" t="str">
        <f>IF($K4424="","",IF(ISNUMBER(SEARCH("sortie-epargne",IFERROR(INDEX('Paramètres'!$N:$N,MATCH($D4424,'Paramètres'!$M:$M,0))&amp;"",""))),$K4424,0))</f>
        <v/>
      </c>
      <c r="V4424" s="6" t="str">
        <f>IF(AND($A4424&lt;&gt;"",$O4424=1,$L4424="Débit",N($Q4424)&gt;0,$A4424&gt;=Visualisation!$B$1,$A4424&lt;Visualisation!$D$1),MAX($V$1:V4423)+1,"")</f>
        <v/>
      </c>
    </row>
    <row r="4425" spans="1:22" x14ac:dyDescent="0.25">
      <c r="A4425" s="9"/>
      <c r="E4425" s="10"/>
      <c r="K4425" s="11" t="str">
        <f>IF($E4425="","",ROUND($E4425*IF(ISNA(MATCH($C4425,'Paramètres'!$D:$D,0)),1,IF(INDEX('Paramètres'!$J:$J,MATCH($C4425,'Paramètres'!$D:$D,0))="",1,INDEX('Paramètres'!$J:$J,MATCH($C4425,'Paramètres'!$D:$D,0)))),2))</f>
        <v/>
      </c>
      <c r="L4425" s="6" t="str">
        <f>IF($D4425="","",IF($F4425&lt;&gt;"",$F4425,IF(ISNA(MATCH($D4425,'Paramètres'!$M:$M,0)),"⚠ Type inconnu",IFERROR(INDEX('Paramètres'!$P:$P,MATCH($D4425,'Paramètres'!$M:$M,0))&amp;"",""))))</f>
        <v/>
      </c>
      <c r="M4425" s="6" t="str">
        <f>IF($D4425="","",IF(ISNA(MATCH($D4425,'Paramètres'!$M:$M,0)),"⚠ Type inconnu",IF($L4425="Crédit","",IFERROR(INDEX('Paramètres'!$O:$O,MATCH($D4425,'Paramètres'!$M:$M,0))&amp;"",""))))</f>
        <v/>
      </c>
      <c r="N4425" s="6" t="str">
        <f>IF($D4425="","",IFERROR(INDEX('Paramètres'!$Q:$Q,MATCH($D4425,'Paramètres'!$M:$M,0))&amp;"",""))</f>
        <v/>
      </c>
      <c r="O4425" s="6" t="str">
        <f>IF($A4425="","",IF(OR($J4425&lt;&gt;"x",$A4425&lt;=FinReleve),1,0))</f>
        <v/>
      </c>
      <c r="P4425" s="6" t="str">
        <f>IF($D4425="","",IF(AND($L4425="Crédit",OR(IFERROR(INDEX('Paramètres'!$O:$O,MATCH($D4425,'Paramètres'!$M:$M,0))&amp;"","")&lt;&gt;"",ISNUMBER(SEARCH("remboursement",IFERROR(INDEX('Paramètres'!$N:$N,MATCH($D4425,'Paramètres'!$M:$M,0))&amp;"",""))))),1,0))</f>
        <v/>
      </c>
      <c r="Q4425" s="6" t="str">
        <f>IF($K4425="","",IF(ISNUMBER(SEARCH("transfert-interne",IFERROR(INDEX('Paramètres'!$N:$N,MATCH($D4425,'Paramètres'!$M:$M,0))&amp;"",""))),0,IF($L4425="Débit",$K4425,IF($P4425=1,-$K4425,0))))</f>
        <v/>
      </c>
      <c r="R4425" s="6" t="str">
        <f>IF($K4425="","",IF($L4425="Crédit",$K4425,-$K4425))</f>
        <v/>
      </c>
      <c r="S4425" s="6" t="str">
        <f>IF($C4425="","",IFERROR(INDEX('Paramètres'!$H:$H,MATCH($C4425,'Paramètres'!$D:$D,0))&amp;"",""))</f>
        <v/>
      </c>
      <c r="T4425" s="6" t="str">
        <f>IF($K4425="","",IF($S4425="",0,IF(ISNUMBER(SEARCH("apport-exterieur",IFERROR(INDEX('Paramètres'!$N:$N,MATCH($D4425,'Paramètres'!$M:$M,0))&amp;"",""))),0,IF(OR(IFERROR(INDEX('Paramètres'!$I:$I,MATCH($C4425,'Paramètres'!$D:$D,0))&amp;"","")="Les deux",IFERROR(INDEX('Paramètres'!$I:$I,MATCH($C4425,'Paramètres'!$D:$D,0))&amp;"","")=IF($P4425=1,"Débit",$L4425)),-IF($P4425=1,-$K4425,$K4425),0))))</f>
        <v/>
      </c>
      <c r="U4425" s="6" t="str">
        <f>IF($K4425="","",IF(ISNUMBER(SEARCH("sortie-epargne",IFERROR(INDEX('Paramètres'!$N:$N,MATCH($D4425,'Paramètres'!$M:$M,0))&amp;"",""))),$K4425,0))</f>
        <v/>
      </c>
      <c r="V4425" s="6" t="str">
        <f>IF(AND($A4425&lt;&gt;"",$O4425=1,$L4425="Débit",N($Q4425)&gt;0,$A4425&gt;=Visualisation!$B$1,$A4425&lt;Visualisation!$D$1),MAX($V$1:V4424)+1,"")</f>
        <v/>
      </c>
    </row>
    <row r="4426" spans="1:22" x14ac:dyDescent="0.25">
      <c r="A4426" s="9"/>
      <c r="E4426" s="10"/>
      <c r="K4426" s="11" t="str">
        <f>IF($E4426="","",ROUND($E4426*IF(ISNA(MATCH($C4426,'Paramètres'!$D:$D,0)),1,IF(INDEX('Paramètres'!$J:$J,MATCH($C4426,'Paramètres'!$D:$D,0))="",1,INDEX('Paramètres'!$J:$J,MATCH($C4426,'Paramètres'!$D:$D,0)))),2))</f>
        <v/>
      </c>
      <c r="L4426" s="6" t="str">
        <f>IF($D4426="","",IF($F4426&lt;&gt;"",$F4426,IF(ISNA(MATCH($D4426,'Paramètres'!$M:$M,0)),"⚠ Type inconnu",IFERROR(INDEX('Paramètres'!$P:$P,MATCH($D4426,'Paramètres'!$M:$M,0))&amp;"",""))))</f>
        <v/>
      </c>
      <c r="M4426" s="6" t="str">
        <f>IF($D4426="","",IF(ISNA(MATCH($D4426,'Paramètres'!$M:$M,0)),"⚠ Type inconnu",IF($L4426="Crédit","",IFERROR(INDEX('Paramètres'!$O:$O,MATCH($D4426,'Paramètres'!$M:$M,0))&amp;"",""))))</f>
        <v/>
      </c>
      <c r="N4426" s="6" t="str">
        <f>IF($D4426="","",IFERROR(INDEX('Paramètres'!$Q:$Q,MATCH($D4426,'Paramètres'!$M:$M,0))&amp;"",""))</f>
        <v/>
      </c>
      <c r="O4426" s="6" t="str">
        <f>IF($A4426="","",IF(OR($J4426&lt;&gt;"x",$A4426&lt;=FinReleve),1,0))</f>
        <v/>
      </c>
      <c r="P4426" s="6" t="str">
        <f>IF($D4426="","",IF(AND($L4426="Crédit",OR(IFERROR(INDEX('Paramètres'!$O:$O,MATCH($D4426,'Paramètres'!$M:$M,0))&amp;"","")&lt;&gt;"",ISNUMBER(SEARCH("remboursement",IFERROR(INDEX('Paramètres'!$N:$N,MATCH($D4426,'Paramètres'!$M:$M,0))&amp;"",""))))),1,0))</f>
        <v/>
      </c>
      <c r="Q4426" s="6" t="str">
        <f>IF($K4426="","",IF(ISNUMBER(SEARCH("transfert-interne",IFERROR(INDEX('Paramètres'!$N:$N,MATCH($D4426,'Paramètres'!$M:$M,0))&amp;"",""))),0,IF($L4426="Débit",$K4426,IF($P4426=1,-$K4426,0))))</f>
        <v/>
      </c>
      <c r="R4426" s="6" t="str">
        <f>IF($K4426="","",IF($L4426="Crédit",$K4426,-$K4426))</f>
        <v/>
      </c>
      <c r="S4426" s="6" t="str">
        <f>IF($C4426="","",IFERROR(INDEX('Paramètres'!$H:$H,MATCH($C4426,'Paramètres'!$D:$D,0))&amp;"",""))</f>
        <v/>
      </c>
      <c r="T4426" s="6" t="str">
        <f>IF($K4426="","",IF($S4426="",0,IF(ISNUMBER(SEARCH("apport-exterieur",IFERROR(INDEX('Paramètres'!$N:$N,MATCH($D4426,'Paramètres'!$M:$M,0))&amp;"",""))),0,IF(OR(IFERROR(INDEX('Paramètres'!$I:$I,MATCH($C4426,'Paramètres'!$D:$D,0))&amp;"","")="Les deux",IFERROR(INDEX('Paramètres'!$I:$I,MATCH($C4426,'Paramètres'!$D:$D,0))&amp;"","")=IF($P4426=1,"Débit",$L4426)),-IF($P4426=1,-$K4426,$K4426),0))))</f>
        <v/>
      </c>
      <c r="U4426" s="6" t="str">
        <f>IF($K4426="","",IF(ISNUMBER(SEARCH("sortie-epargne",IFERROR(INDEX('Paramètres'!$N:$N,MATCH($D4426,'Paramètres'!$M:$M,0))&amp;"",""))),$K4426,0))</f>
        <v/>
      </c>
      <c r="V4426" s="6" t="str">
        <f>IF(AND($A4426&lt;&gt;"",$O4426=1,$L4426="Débit",N($Q4426)&gt;0,$A4426&gt;=Visualisation!$B$1,$A4426&lt;Visualisation!$D$1),MAX($V$1:V4425)+1,"")</f>
        <v/>
      </c>
    </row>
    <row r="4427" spans="1:22" x14ac:dyDescent="0.25">
      <c r="A4427" s="9"/>
      <c r="E4427" s="10"/>
      <c r="K4427" s="11" t="str">
        <f>IF($E4427="","",ROUND($E4427*IF(ISNA(MATCH($C4427,'Paramètres'!$D:$D,0)),1,IF(INDEX('Paramètres'!$J:$J,MATCH($C4427,'Paramètres'!$D:$D,0))="",1,INDEX('Paramètres'!$J:$J,MATCH($C4427,'Paramètres'!$D:$D,0)))),2))</f>
        <v/>
      </c>
      <c r="L4427" s="6" t="str">
        <f>IF($D4427="","",IF($F4427&lt;&gt;"",$F4427,IF(ISNA(MATCH($D4427,'Paramètres'!$M:$M,0)),"⚠ Type inconnu",IFERROR(INDEX('Paramètres'!$P:$P,MATCH($D4427,'Paramètres'!$M:$M,0))&amp;"",""))))</f>
        <v/>
      </c>
      <c r="M4427" s="6" t="str">
        <f>IF($D4427="","",IF(ISNA(MATCH($D4427,'Paramètres'!$M:$M,0)),"⚠ Type inconnu",IF($L4427="Crédit","",IFERROR(INDEX('Paramètres'!$O:$O,MATCH($D4427,'Paramètres'!$M:$M,0))&amp;"",""))))</f>
        <v/>
      </c>
      <c r="N4427" s="6" t="str">
        <f>IF($D4427="","",IFERROR(INDEX('Paramètres'!$Q:$Q,MATCH($D4427,'Paramètres'!$M:$M,0))&amp;"",""))</f>
        <v/>
      </c>
      <c r="O4427" s="6" t="str">
        <f>IF($A4427="","",IF(OR($J4427&lt;&gt;"x",$A4427&lt;=FinReleve),1,0))</f>
        <v/>
      </c>
      <c r="P4427" s="6" t="str">
        <f>IF($D4427="","",IF(AND($L4427="Crédit",OR(IFERROR(INDEX('Paramètres'!$O:$O,MATCH($D4427,'Paramètres'!$M:$M,0))&amp;"","")&lt;&gt;"",ISNUMBER(SEARCH("remboursement",IFERROR(INDEX('Paramètres'!$N:$N,MATCH($D4427,'Paramètres'!$M:$M,0))&amp;"",""))))),1,0))</f>
        <v/>
      </c>
      <c r="Q4427" s="6" t="str">
        <f>IF($K4427="","",IF(ISNUMBER(SEARCH("transfert-interne",IFERROR(INDEX('Paramètres'!$N:$N,MATCH($D4427,'Paramètres'!$M:$M,0))&amp;"",""))),0,IF($L4427="Débit",$K4427,IF($P4427=1,-$K4427,0))))</f>
        <v/>
      </c>
      <c r="R4427" s="6" t="str">
        <f>IF($K4427="","",IF($L4427="Crédit",$K4427,-$K4427))</f>
        <v/>
      </c>
      <c r="S4427" s="6" t="str">
        <f>IF($C4427="","",IFERROR(INDEX('Paramètres'!$H:$H,MATCH($C4427,'Paramètres'!$D:$D,0))&amp;"",""))</f>
        <v/>
      </c>
      <c r="T4427" s="6" t="str">
        <f>IF($K4427="","",IF($S4427="",0,IF(ISNUMBER(SEARCH("apport-exterieur",IFERROR(INDEX('Paramètres'!$N:$N,MATCH($D4427,'Paramètres'!$M:$M,0))&amp;"",""))),0,IF(OR(IFERROR(INDEX('Paramètres'!$I:$I,MATCH($C4427,'Paramètres'!$D:$D,0))&amp;"","")="Les deux",IFERROR(INDEX('Paramètres'!$I:$I,MATCH($C4427,'Paramètres'!$D:$D,0))&amp;"","")=IF($P4427=1,"Débit",$L4427)),-IF($P4427=1,-$K4427,$K4427),0))))</f>
        <v/>
      </c>
      <c r="U4427" s="6" t="str">
        <f>IF($K4427="","",IF(ISNUMBER(SEARCH("sortie-epargne",IFERROR(INDEX('Paramètres'!$N:$N,MATCH($D4427,'Paramètres'!$M:$M,0))&amp;"",""))),$K4427,0))</f>
        <v/>
      </c>
      <c r="V4427" s="6" t="str">
        <f>IF(AND($A4427&lt;&gt;"",$O4427=1,$L4427="Débit",N($Q4427)&gt;0,$A4427&gt;=Visualisation!$B$1,$A4427&lt;Visualisation!$D$1),MAX($V$1:V4426)+1,"")</f>
        <v/>
      </c>
    </row>
    <row r="4428" spans="1:22" x14ac:dyDescent="0.25">
      <c r="A4428" s="9"/>
      <c r="E4428" s="10"/>
      <c r="K4428" s="11" t="str">
        <f>IF($E4428="","",ROUND($E4428*IF(ISNA(MATCH($C4428,'Paramètres'!$D:$D,0)),1,IF(INDEX('Paramètres'!$J:$J,MATCH($C4428,'Paramètres'!$D:$D,0))="",1,INDEX('Paramètres'!$J:$J,MATCH($C4428,'Paramètres'!$D:$D,0)))),2))</f>
        <v/>
      </c>
      <c r="L4428" s="6" t="str">
        <f>IF($D4428="","",IF($F4428&lt;&gt;"",$F4428,IF(ISNA(MATCH($D4428,'Paramètres'!$M:$M,0)),"⚠ Type inconnu",IFERROR(INDEX('Paramètres'!$P:$P,MATCH($D4428,'Paramètres'!$M:$M,0))&amp;"",""))))</f>
        <v/>
      </c>
      <c r="M4428" s="6" t="str">
        <f>IF($D4428="","",IF(ISNA(MATCH($D4428,'Paramètres'!$M:$M,0)),"⚠ Type inconnu",IF($L4428="Crédit","",IFERROR(INDEX('Paramètres'!$O:$O,MATCH($D4428,'Paramètres'!$M:$M,0))&amp;"",""))))</f>
        <v/>
      </c>
      <c r="N4428" s="6" t="str">
        <f>IF($D4428="","",IFERROR(INDEX('Paramètres'!$Q:$Q,MATCH($D4428,'Paramètres'!$M:$M,0))&amp;"",""))</f>
        <v/>
      </c>
      <c r="O4428" s="6" t="str">
        <f>IF($A4428="","",IF(OR($J4428&lt;&gt;"x",$A4428&lt;=FinReleve),1,0))</f>
        <v/>
      </c>
      <c r="P4428" s="6" t="str">
        <f>IF($D4428="","",IF(AND($L4428="Crédit",OR(IFERROR(INDEX('Paramètres'!$O:$O,MATCH($D4428,'Paramètres'!$M:$M,0))&amp;"","")&lt;&gt;"",ISNUMBER(SEARCH("remboursement",IFERROR(INDEX('Paramètres'!$N:$N,MATCH($D4428,'Paramètres'!$M:$M,0))&amp;"",""))))),1,0))</f>
        <v/>
      </c>
      <c r="Q4428" s="6" t="str">
        <f>IF($K4428="","",IF(ISNUMBER(SEARCH("transfert-interne",IFERROR(INDEX('Paramètres'!$N:$N,MATCH($D4428,'Paramètres'!$M:$M,0))&amp;"",""))),0,IF($L4428="Débit",$K4428,IF($P4428=1,-$K4428,0))))</f>
        <v/>
      </c>
      <c r="R4428" s="6" t="str">
        <f>IF($K4428="","",IF($L4428="Crédit",$K4428,-$K4428))</f>
        <v/>
      </c>
      <c r="S4428" s="6" t="str">
        <f>IF($C4428="","",IFERROR(INDEX('Paramètres'!$H:$H,MATCH($C4428,'Paramètres'!$D:$D,0))&amp;"",""))</f>
        <v/>
      </c>
      <c r="T4428" s="6" t="str">
        <f>IF($K4428="","",IF($S4428="",0,IF(ISNUMBER(SEARCH("apport-exterieur",IFERROR(INDEX('Paramètres'!$N:$N,MATCH($D4428,'Paramètres'!$M:$M,0))&amp;"",""))),0,IF(OR(IFERROR(INDEX('Paramètres'!$I:$I,MATCH($C4428,'Paramètres'!$D:$D,0))&amp;"","")="Les deux",IFERROR(INDEX('Paramètres'!$I:$I,MATCH($C4428,'Paramètres'!$D:$D,0))&amp;"","")=IF($P4428=1,"Débit",$L4428)),-IF($P4428=1,-$K4428,$K4428),0))))</f>
        <v/>
      </c>
      <c r="U4428" s="6" t="str">
        <f>IF($K4428="","",IF(ISNUMBER(SEARCH("sortie-epargne",IFERROR(INDEX('Paramètres'!$N:$N,MATCH($D4428,'Paramètres'!$M:$M,0))&amp;"",""))),$K4428,0))</f>
        <v/>
      </c>
      <c r="V4428" s="6" t="str">
        <f>IF(AND($A4428&lt;&gt;"",$O4428=1,$L4428="Débit",N($Q4428)&gt;0,$A4428&gt;=Visualisation!$B$1,$A4428&lt;Visualisation!$D$1),MAX($V$1:V4427)+1,"")</f>
        <v/>
      </c>
    </row>
    <row r="4429" spans="1:22" x14ac:dyDescent="0.25">
      <c r="A4429" s="9"/>
      <c r="E4429" s="10"/>
      <c r="K4429" s="11" t="str">
        <f>IF($E4429="","",ROUND($E4429*IF(ISNA(MATCH($C4429,'Paramètres'!$D:$D,0)),1,IF(INDEX('Paramètres'!$J:$J,MATCH($C4429,'Paramètres'!$D:$D,0))="",1,INDEX('Paramètres'!$J:$J,MATCH($C4429,'Paramètres'!$D:$D,0)))),2))</f>
        <v/>
      </c>
      <c r="L4429" s="6" t="str">
        <f>IF($D4429="","",IF($F4429&lt;&gt;"",$F4429,IF(ISNA(MATCH($D4429,'Paramètres'!$M:$M,0)),"⚠ Type inconnu",IFERROR(INDEX('Paramètres'!$P:$P,MATCH($D4429,'Paramètres'!$M:$M,0))&amp;"",""))))</f>
        <v/>
      </c>
      <c r="M4429" s="6" t="str">
        <f>IF($D4429="","",IF(ISNA(MATCH($D4429,'Paramètres'!$M:$M,0)),"⚠ Type inconnu",IF($L4429="Crédit","",IFERROR(INDEX('Paramètres'!$O:$O,MATCH($D4429,'Paramètres'!$M:$M,0))&amp;"",""))))</f>
        <v/>
      </c>
      <c r="N4429" s="6" t="str">
        <f>IF($D4429="","",IFERROR(INDEX('Paramètres'!$Q:$Q,MATCH($D4429,'Paramètres'!$M:$M,0))&amp;"",""))</f>
        <v/>
      </c>
      <c r="O4429" s="6" t="str">
        <f>IF($A4429="","",IF(OR($J4429&lt;&gt;"x",$A4429&lt;=FinReleve),1,0))</f>
        <v/>
      </c>
      <c r="P4429" s="6" t="str">
        <f>IF($D4429="","",IF(AND($L4429="Crédit",OR(IFERROR(INDEX('Paramètres'!$O:$O,MATCH($D4429,'Paramètres'!$M:$M,0))&amp;"","")&lt;&gt;"",ISNUMBER(SEARCH("remboursement",IFERROR(INDEX('Paramètres'!$N:$N,MATCH($D4429,'Paramètres'!$M:$M,0))&amp;"",""))))),1,0))</f>
        <v/>
      </c>
      <c r="Q4429" s="6" t="str">
        <f>IF($K4429="","",IF(ISNUMBER(SEARCH("transfert-interne",IFERROR(INDEX('Paramètres'!$N:$N,MATCH($D4429,'Paramètres'!$M:$M,0))&amp;"",""))),0,IF($L4429="Débit",$K4429,IF($P4429=1,-$K4429,0))))</f>
        <v/>
      </c>
      <c r="R4429" s="6" t="str">
        <f>IF($K4429="","",IF($L4429="Crédit",$K4429,-$K4429))</f>
        <v/>
      </c>
      <c r="S4429" s="6" t="str">
        <f>IF($C4429="","",IFERROR(INDEX('Paramètres'!$H:$H,MATCH($C4429,'Paramètres'!$D:$D,0))&amp;"",""))</f>
        <v/>
      </c>
      <c r="T4429" s="6" t="str">
        <f>IF($K4429="","",IF($S4429="",0,IF(ISNUMBER(SEARCH("apport-exterieur",IFERROR(INDEX('Paramètres'!$N:$N,MATCH($D4429,'Paramètres'!$M:$M,0))&amp;"",""))),0,IF(OR(IFERROR(INDEX('Paramètres'!$I:$I,MATCH($C4429,'Paramètres'!$D:$D,0))&amp;"","")="Les deux",IFERROR(INDEX('Paramètres'!$I:$I,MATCH($C4429,'Paramètres'!$D:$D,0))&amp;"","")=IF($P4429=1,"Débit",$L4429)),-IF($P4429=1,-$K4429,$K4429),0))))</f>
        <v/>
      </c>
      <c r="U4429" s="6" t="str">
        <f>IF($K4429="","",IF(ISNUMBER(SEARCH("sortie-epargne",IFERROR(INDEX('Paramètres'!$N:$N,MATCH($D4429,'Paramètres'!$M:$M,0))&amp;"",""))),$K4429,0))</f>
        <v/>
      </c>
      <c r="V4429" s="6" t="str">
        <f>IF(AND($A4429&lt;&gt;"",$O4429=1,$L4429="Débit",N($Q4429)&gt;0,$A4429&gt;=Visualisation!$B$1,$A4429&lt;Visualisation!$D$1),MAX($V$1:V4428)+1,"")</f>
        <v/>
      </c>
    </row>
    <row r="4430" spans="1:22" x14ac:dyDescent="0.25">
      <c r="A4430" s="9"/>
      <c r="E4430" s="10"/>
      <c r="K4430" s="11" t="str">
        <f>IF($E4430="","",ROUND($E4430*IF(ISNA(MATCH($C4430,'Paramètres'!$D:$D,0)),1,IF(INDEX('Paramètres'!$J:$J,MATCH($C4430,'Paramètres'!$D:$D,0))="",1,INDEX('Paramètres'!$J:$J,MATCH($C4430,'Paramètres'!$D:$D,0)))),2))</f>
        <v/>
      </c>
      <c r="L4430" s="6" t="str">
        <f>IF($D4430="","",IF($F4430&lt;&gt;"",$F4430,IF(ISNA(MATCH($D4430,'Paramètres'!$M:$M,0)),"⚠ Type inconnu",IFERROR(INDEX('Paramètres'!$P:$P,MATCH($D4430,'Paramètres'!$M:$M,0))&amp;"",""))))</f>
        <v/>
      </c>
      <c r="M4430" s="6" t="str">
        <f>IF($D4430="","",IF(ISNA(MATCH($D4430,'Paramètres'!$M:$M,0)),"⚠ Type inconnu",IF($L4430="Crédit","",IFERROR(INDEX('Paramètres'!$O:$O,MATCH($D4430,'Paramètres'!$M:$M,0))&amp;"",""))))</f>
        <v/>
      </c>
      <c r="N4430" s="6" t="str">
        <f>IF($D4430="","",IFERROR(INDEX('Paramètres'!$Q:$Q,MATCH($D4430,'Paramètres'!$M:$M,0))&amp;"",""))</f>
        <v/>
      </c>
      <c r="O4430" s="6" t="str">
        <f>IF($A4430="","",IF(OR($J4430&lt;&gt;"x",$A4430&lt;=FinReleve),1,0))</f>
        <v/>
      </c>
      <c r="P4430" s="6" t="str">
        <f>IF($D4430="","",IF(AND($L4430="Crédit",OR(IFERROR(INDEX('Paramètres'!$O:$O,MATCH($D4430,'Paramètres'!$M:$M,0))&amp;"","")&lt;&gt;"",ISNUMBER(SEARCH("remboursement",IFERROR(INDEX('Paramètres'!$N:$N,MATCH($D4430,'Paramètres'!$M:$M,0))&amp;"",""))))),1,0))</f>
        <v/>
      </c>
      <c r="Q4430" s="6" t="str">
        <f>IF($K4430="","",IF(ISNUMBER(SEARCH("transfert-interne",IFERROR(INDEX('Paramètres'!$N:$N,MATCH($D4430,'Paramètres'!$M:$M,0))&amp;"",""))),0,IF($L4430="Débit",$K4430,IF($P4430=1,-$K4430,0))))</f>
        <v/>
      </c>
      <c r="R4430" s="6" t="str">
        <f>IF($K4430="","",IF($L4430="Crédit",$K4430,-$K4430))</f>
        <v/>
      </c>
      <c r="S4430" s="6" t="str">
        <f>IF($C4430="","",IFERROR(INDEX('Paramètres'!$H:$H,MATCH($C4430,'Paramètres'!$D:$D,0))&amp;"",""))</f>
        <v/>
      </c>
      <c r="T4430" s="6" t="str">
        <f>IF($K4430="","",IF($S4430="",0,IF(ISNUMBER(SEARCH("apport-exterieur",IFERROR(INDEX('Paramètres'!$N:$N,MATCH($D4430,'Paramètres'!$M:$M,0))&amp;"",""))),0,IF(OR(IFERROR(INDEX('Paramètres'!$I:$I,MATCH($C4430,'Paramètres'!$D:$D,0))&amp;"","")="Les deux",IFERROR(INDEX('Paramètres'!$I:$I,MATCH($C4430,'Paramètres'!$D:$D,0))&amp;"","")=IF($P4430=1,"Débit",$L4430)),-IF($P4430=1,-$K4430,$K4430),0))))</f>
        <v/>
      </c>
      <c r="U4430" s="6" t="str">
        <f>IF($K4430="","",IF(ISNUMBER(SEARCH("sortie-epargne",IFERROR(INDEX('Paramètres'!$N:$N,MATCH($D4430,'Paramètres'!$M:$M,0))&amp;"",""))),$K4430,0))</f>
        <v/>
      </c>
      <c r="V4430" s="6" t="str">
        <f>IF(AND($A4430&lt;&gt;"",$O4430=1,$L4430="Débit",N($Q4430)&gt;0,$A4430&gt;=Visualisation!$B$1,$A4430&lt;Visualisation!$D$1),MAX($V$1:V4429)+1,"")</f>
        <v/>
      </c>
    </row>
    <row r="4431" spans="1:22" x14ac:dyDescent="0.25">
      <c r="A4431" s="9"/>
      <c r="E4431" s="10"/>
      <c r="K4431" s="11" t="str">
        <f>IF($E4431="","",ROUND($E4431*IF(ISNA(MATCH($C4431,'Paramètres'!$D:$D,0)),1,IF(INDEX('Paramètres'!$J:$J,MATCH($C4431,'Paramètres'!$D:$D,0))="",1,INDEX('Paramètres'!$J:$J,MATCH($C4431,'Paramètres'!$D:$D,0)))),2))</f>
        <v/>
      </c>
      <c r="L4431" s="6" t="str">
        <f>IF($D4431="","",IF($F4431&lt;&gt;"",$F4431,IF(ISNA(MATCH($D4431,'Paramètres'!$M:$M,0)),"⚠ Type inconnu",IFERROR(INDEX('Paramètres'!$P:$P,MATCH($D4431,'Paramètres'!$M:$M,0))&amp;"",""))))</f>
        <v/>
      </c>
      <c r="M4431" s="6" t="str">
        <f>IF($D4431="","",IF(ISNA(MATCH($D4431,'Paramètres'!$M:$M,0)),"⚠ Type inconnu",IF($L4431="Crédit","",IFERROR(INDEX('Paramètres'!$O:$O,MATCH($D4431,'Paramètres'!$M:$M,0))&amp;"",""))))</f>
        <v/>
      </c>
      <c r="N4431" s="6" t="str">
        <f>IF($D4431="","",IFERROR(INDEX('Paramètres'!$Q:$Q,MATCH($D4431,'Paramètres'!$M:$M,0))&amp;"",""))</f>
        <v/>
      </c>
      <c r="O4431" s="6" t="str">
        <f>IF($A4431="","",IF(OR($J4431&lt;&gt;"x",$A4431&lt;=FinReleve),1,0))</f>
        <v/>
      </c>
      <c r="P4431" s="6" t="str">
        <f>IF($D4431="","",IF(AND($L4431="Crédit",OR(IFERROR(INDEX('Paramètres'!$O:$O,MATCH($D4431,'Paramètres'!$M:$M,0))&amp;"","")&lt;&gt;"",ISNUMBER(SEARCH("remboursement",IFERROR(INDEX('Paramètres'!$N:$N,MATCH($D4431,'Paramètres'!$M:$M,0))&amp;"",""))))),1,0))</f>
        <v/>
      </c>
      <c r="Q4431" s="6" t="str">
        <f>IF($K4431="","",IF(ISNUMBER(SEARCH("transfert-interne",IFERROR(INDEX('Paramètres'!$N:$N,MATCH($D4431,'Paramètres'!$M:$M,0))&amp;"",""))),0,IF($L4431="Débit",$K4431,IF($P4431=1,-$K4431,0))))</f>
        <v/>
      </c>
      <c r="R4431" s="6" t="str">
        <f>IF($K4431="","",IF($L4431="Crédit",$K4431,-$K4431))</f>
        <v/>
      </c>
      <c r="S4431" s="6" t="str">
        <f>IF($C4431="","",IFERROR(INDEX('Paramètres'!$H:$H,MATCH($C4431,'Paramètres'!$D:$D,0))&amp;"",""))</f>
        <v/>
      </c>
      <c r="T4431" s="6" t="str">
        <f>IF($K4431="","",IF($S4431="",0,IF(ISNUMBER(SEARCH("apport-exterieur",IFERROR(INDEX('Paramètres'!$N:$N,MATCH($D4431,'Paramètres'!$M:$M,0))&amp;"",""))),0,IF(OR(IFERROR(INDEX('Paramètres'!$I:$I,MATCH($C4431,'Paramètres'!$D:$D,0))&amp;"","")="Les deux",IFERROR(INDEX('Paramètres'!$I:$I,MATCH($C4431,'Paramètres'!$D:$D,0))&amp;"","")=IF($P4431=1,"Débit",$L4431)),-IF($P4431=1,-$K4431,$K4431),0))))</f>
        <v/>
      </c>
      <c r="U4431" s="6" t="str">
        <f>IF($K4431="","",IF(ISNUMBER(SEARCH("sortie-epargne",IFERROR(INDEX('Paramètres'!$N:$N,MATCH($D4431,'Paramètres'!$M:$M,0))&amp;"",""))),$K4431,0))</f>
        <v/>
      </c>
      <c r="V4431" s="6" t="str">
        <f>IF(AND($A4431&lt;&gt;"",$O4431=1,$L4431="Débit",N($Q4431)&gt;0,$A4431&gt;=Visualisation!$B$1,$A4431&lt;Visualisation!$D$1),MAX($V$1:V4430)+1,"")</f>
        <v/>
      </c>
    </row>
    <row r="4432" spans="1:22" x14ac:dyDescent="0.25">
      <c r="A4432" s="9"/>
      <c r="E4432" s="10"/>
      <c r="K4432" s="11" t="str">
        <f>IF($E4432="","",ROUND($E4432*IF(ISNA(MATCH($C4432,'Paramètres'!$D:$D,0)),1,IF(INDEX('Paramètres'!$J:$J,MATCH($C4432,'Paramètres'!$D:$D,0))="",1,INDEX('Paramètres'!$J:$J,MATCH($C4432,'Paramètres'!$D:$D,0)))),2))</f>
        <v/>
      </c>
      <c r="L4432" s="6" t="str">
        <f>IF($D4432="","",IF($F4432&lt;&gt;"",$F4432,IF(ISNA(MATCH($D4432,'Paramètres'!$M:$M,0)),"⚠ Type inconnu",IFERROR(INDEX('Paramètres'!$P:$P,MATCH($D4432,'Paramètres'!$M:$M,0))&amp;"",""))))</f>
        <v/>
      </c>
      <c r="M4432" s="6" t="str">
        <f>IF($D4432="","",IF(ISNA(MATCH($D4432,'Paramètres'!$M:$M,0)),"⚠ Type inconnu",IF($L4432="Crédit","",IFERROR(INDEX('Paramètres'!$O:$O,MATCH($D4432,'Paramètres'!$M:$M,0))&amp;"",""))))</f>
        <v/>
      </c>
      <c r="N4432" s="6" t="str">
        <f>IF($D4432="","",IFERROR(INDEX('Paramètres'!$Q:$Q,MATCH($D4432,'Paramètres'!$M:$M,0))&amp;"",""))</f>
        <v/>
      </c>
      <c r="O4432" s="6" t="str">
        <f>IF($A4432="","",IF(OR($J4432&lt;&gt;"x",$A4432&lt;=FinReleve),1,0))</f>
        <v/>
      </c>
      <c r="P4432" s="6" t="str">
        <f>IF($D4432="","",IF(AND($L4432="Crédit",OR(IFERROR(INDEX('Paramètres'!$O:$O,MATCH($D4432,'Paramètres'!$M:$M,0))&amp;"","")&lt;&gt;"",ISNUMBER(SEARCH("remboursement",IFERROR(INDEX('Paramètres'!$N:$N,MATCH($D4432,'Paramètres'!$M:$M,0))&amp;"",""))))),1,0))</f>
        <v/>
      </c>
      <c r="Q4432" s="6" t="str">
        <f>IF($K4432="","",IF(ISNUMBER(SEARCH("transfert-interne",IFERROR(INDEX('Paramètres'!$N:$N,MATCH($D4432,'Paramètres'!$M:$M,0))&amp;"",""))),0,IF($L4432="Débit",$K4432,IF($P4432=1,-$K4432,0))))</f>
        <v/>
      </c>
      <c r="R4432" s="6" t="str">
        <f>IF($K4432="","",IF($L4432="Crédit",$K4432,-$K4432))</f>
        <v/>
      </c>
      <c r="S4432" s="6" t="str">
        <f>IF($C4432="","",IFERROR(INDEX('Paramètres'!$H:$H,MATCH($C4432,'Paramètres'!$D:$D,0))&amp;"",""))</f>
        <v/>
      </c>
      <c r="T4432" s="6" t="str">
        <f>IF($K4432="","",IF($S4432="",0,IF(ISNUMBER(SEARCH("apport-exterieur",IFERROR(INDEX('Paramètres'!$N:$N,MATCH($D4432,'Paramètres'!$M:$M,0))&amp;"",""))),0,IF(OR(IFERROR(INDEX('Paramètres'!$I:$I,MATCH($C4432,'Paramètres'!$D:$D,0))&amp;"","")="Les deux",IFERROR(INDEX('Paramètres'!$I:$I,MATCH($C4432,'Paramètres'!$D:$D,0))&amp;"","")=IF($P4432=1,"Débit",$L4432)),-IF($P4432=1,-$K4432,$K4432),0))))</f>
        <v/>
      </c>
      <c r="U4432" s="6" t="str">
        <f>IF($K4432="","",IF(ISNUMBER(SEARCH("sortie-epargne",IFERROR(INDEX('Paramètres'!$N:$N,MATCH($D4432,'Paramètres'!$M:$M,0))&amp;"",""))),$K4432,0))</f>
        <v/>
      </c>
      <c r="V4432" s="6" t="str">
        <f>IF(AND($A4432&lt;&gt;"",$O4432=1,$L4432="Débit",N($Q4432)&gt;0,$A4432&gt;=Visualisation!$B$1,$A4432&lt;Visualisation!$D$1),MAX($V$1:V4431)+1,"")</f>
        <v/>
      </c>
    </row>
    <row r="4433" spans="1:22" x14ac:dyDescent="0.25">
      <c r="A4433" s="9"/>
      <c r="E4433" s="10"/>
      <c r="K4433" s="11" t="str">
        <f>IF($E4433="","",ROUND($E4433*IF(ISNA(MATCH($C4433,'Paramètres'!$D:$D,0)),1,IF(INDEX('Paramètres'!$J:$J,MATCH($C4433,'Paramètres'!$D:$D,0))="",1,INDEX('Paramètres'!$J:$J,MATCH($C4433,'Paramètres'!$D:$D,0)))),2))</f>
        <v/>
      </c>
      <c r="L4433" s="6" t="str">
        <f>IF($D4433="","",IF($F4433&lt;&gt;"",$F4433,IF(ISNA(MATCH($D4433,'Paramètres'!$M:$M,0)),"⚠ Type inconnu",IFERROR(INDEX('Paramètres'!$P:$P,MATCH($D4433,'Paramètres'!$M:$M,0))&amp;"",""))))</f>
        <v/>
      </c>
      <c r="M4433" s="6" t="str">
        <f>IF($D4433="","",IF(ISNA(MATCH($D4433,'Paramètres'!$M:$M,0)),"⚠ Type inconnu",IF($L4433="Crédit","",IFERROR(INDEX('Paramètres'!$O:$O,MATCH($D4433,'Paramètres'!$M:$M,0))&amp;"",""))))</f>
        <v/>
      </c>
      <c r="N4433" s="6" t="str">
        <f>IF($D4433="","",IFERROR(INDEX('Paramètres'!$Q:$Q,MATCH($D4433,'Paramètres'!$M:$M,0))&amp;"",""))</f>
        <v/>
      </c>
      <c r="O4433" s="6" t="str">
        <f>IF($A4433="","",IF(OR($J4433&lt;&gt;"x",$A4433&lt;=FinReleve),1,0))</f>
        <v/>
      </c>
      <c r="P4433" s="6" t="str">
        <f>IF($D4433="","",IF(AND($L4433="Crédit",OR(IFERROR(INDEX('Paramètres'!$O:$O,MATCH($D4433,'Paramètres'!$M:$M,0))&amp;"","")&lt;&gt;"",ISNUMBER(SEARCH("remboursement",IFERROR(INDEX('Paramètres'!$N:$N,MATCH($D4433,'Paramètres'!$M:$M,0))&amp;"",""))))),1,0))</f>
        <v/>
      </c>
      <c r="Q4433" s="6" t="str">
        <f>IF($K4433="","",IF(ISNUMBER(SEARCH("transfert-interne",IFERROR(INDEX('Paramètres'!$N:$N,MATCH($D4433,'Paramètres'!$M:$M,0))&amp;"",""))),0,IF($L4433="Débit",$K4433,IF($P4433=1,-$K4433,0))))</f>
        <v/>
      </c>
      <c r="R4433" s="6" t="str">
        <f>IF($K4433="","",IF($L4433="Crédit",$K4433,-$K4433))</f>
        <v/>
      </c>
      <c r="S4433" s="6" t="str">
        <f>IF($C4433="","",IFERROR(INDEX('Paramètres'!$H:$H,MATCH($C4433,'Paramètres'!$D:$D,0))&amp;"",""))</f>
        <v/>
      </c>
      <c r="T4433" s="6" t="str">
        <f>IF($K4433="","",IF($S4433="",0,IF(ISNUMBER(SEARCH("apport-exterieur",IFERROR(INDEX('Paramètres'!$N:$N,MATCH($D4433,'Paramètres'!$M:$M,0))&amp;"",""))),0,IF(OR(IFERROR(INDEX('Paramètres'!$I:$I,MATCH($C4433,'Paramètres'!$D:$D,0))&amp;"","")="Les deux",IFERROR(INDEX('Paramètres'!$I:$I,MATCH($C4433,'Paramètres'!$D:$D,0))&amp;"","")=IF($P4433=1,"Débit",$L4433)),-IF($P4433=1,-$K4433,$K4433),0))))</f>
        <v/>
      </c>
      <c r="U4433" s="6" t="str">
        <f>IF($K4433="","",IF(ISNUMBER(SEARCH("sortie-epargne",IFERROR(INDEX('Paramètres'!$N:$N,MATCH($D4433,'Paramètres'!$M:$M,0))&amp;"",""))),$K4433,0))</f>
        <v/>
      </c>
      <c r="V4433" s="6" t="str">
        <f>IF(AND($A4433&lt;&gt;"",$O4433=1,$L4433="Débit",N($Q4433)&gt;0,$A4433&gt;=Visualisation!$B$1,$A4433&lt;Visualisation!$D$1),MAX($V$1:V4432)+1,"")</f>
        <v/>
      </c>
    </row>
    <row r="4434" spans="1:22" x14ac:dyDescent="0.25">
      <c r="A4434" s="9"/>
      <c r="E4434" s="10"/>
      <c r="K4434" s="11" t="str">
        <f>IF($E4434="","",ROUND($E4434*IF(ISNA(MATCH($C4434,'Paramètres'!$D:$D,0)),1,IF(INDEX('Paramètres'!$J:$J,MATCH($C4434,'Paramètres'!$D:$D,0))="",1,INDEX('Paramètres'!$J:$J,MATCH($C4434,'Paramètres'!$D:$D,0)))),2))</f>
        <v/>
      </c>
      <c r="L4434" s="6" t="str">
        <f>IF($D4434="","",IF($F4434&lt;&gt;"",$F4434,IF(ISNA(MATCH($D4434,'Paramètres'!$M:$M,0)),"⚠ Type inconnu",IFERROR(INDEX('Paramètres'!$P:$P,MATCH($D4434,'Paramètres'!$M:$M,0))&amp;"",""))))</f>
        <v/>
      </c>
      <c r="M4434" s="6" t="str">
        <f>IF($D4434="","",IF(ISNA(MATCH($D4434,'Paramètres'!$M:$M,0)),"⚠ Type inconnu",IF($L4434="Crédit","",IFERROR(INDEX('Paramètres'!$O:$O,MATCH($D4434,'Paramètres'!$M:$M,0))&amp;"",""))))</f>
        <v/>
      </c>
      <c r="N4434" s="6" t="str">
        <f>IF($D4434="","",IFERROR(INDEX('Paramètres'!$Q:$Q,MATCH($D4434,'Paramètres'!$M:$M,0))&amp;"",""))</f>
        <v/>
      </c>
      <c r="O4434" s="6" t="str">
        <f>IF($A4434="","",IF(OR($J4434&lt;&gt;"x",$A4434&lt;=FinReleve),1,0))</f>
        <v/>
      </c>
      <c r="P4434" s="6" t="str">
        <f>IF($D4434="","",IF(AND($L4434="Crédit",OR(IFERROR(INDEX('Paramètres'!$O:$O,MATCH($D4434,'Paramètres'!$M:$M,0))&amp;"","")&lt;&gt;"",ISNUMBER(SEARCH("remboursement",IFERROR(INDEX('Paramètres'!$N:$N,MATCH($D4434,'Paramètres'!$M:$M,0))&amp;"",""))))),1,0))</f>
        <v/>
      </c>
      <c r="Q4434" s="6" t="str">
        <f>IF($K4434="","",IF(ISNUMBER(SEARCH("transfert-interne",IFERROR(INDEX('Paramètres'!$N:$N,MATCH($D4434,'Paramètres'!$M:$M,0))&amp;"",""))),0,IF($L4434="Débit",$K4434,IF($P4434=1,-$K4434,0))))</f>
        <v/>
      </c>
      <c r="R4434" s="6" t="str">
        <f>IF($K4434="","",IF($L4434="Crédit",$K4434,-$K4434))</f>
        <v/>
      </c>
      <c r="S4434" s="6" t="str">
        <f>IF($C4434="","",IFERROR(INDEX('Paramètres'!$H:$H,MATCH($C4434,'Paramètres'!$D:$D,0))&amp;"",""))</f>
        <v/>
      </c>
      <c r="T4434" s="6" t="str">
        <f>IF($K4434="","",IF($S4434="",0,IF(ISNUMBER(SEARCH("apport-exterieur",IFERROR(INDEX('Paramètres'!$N:$N,MATCH($D4434,'Paramètres'!$M:$M,0))&amp;"",""))),0,IF(OR(IFERROR(INDEX('Paramètres'!$I:$I,MATCH($C4434,'Paramètres'!$D:$D,0))&amp;"","")="Les deux",IFERROR(INDEX('Paramètres'!$I:$I,MATCH($C4434,'Paramètres'!$D:$D,0))&amp;"","")=IF($P4434=1,"Débit",$L4434)),-IF($P4434=1,-$K4434,$K4434),0))))</f>
        <v/>
      </c>
      <c r="U4434" s="6" t="str">
        <f>IF($K4434="","",IF(ISNUMBER(SEARCH("sortie-epargne",IFERROR(INDEX('Paramètres'!$N:$N,MATCH($D4434,'Paramètres'!$M:$M,0))&amp;"",""))),$K4434,0))</f>
        <v/>
      </c>
      <c r="V4434" s="6" t="str">
        <f>IF(AND($A4434&lt;&gt;"",$O4434=1,$L4434="Débit",N($Q4434)&gt;0,$A4434&gt;=Visualisation!$B$1,$A4434&lt;Visualisation!$D$1),MAX($V$1:V4433)+1,"")</f>
        <v/>
      </c>
    </row>
    <row r="4435" spans="1:22" x14ac:dyDescent="0.25">
      <c r="A4435" s="9"/>
      <c r="E4435" s="10"/>
      <c r="K4435" s="11" t="str">
        <f>IF($E4435="","",ROUND($E4435*IF(ISNA(MATCH($C4435,'Paramètres'!$D:$D,0)),1,IF(INDEX('Paramètres'!$J:$J,MATCH($C4435,'Paramètres'!$D:$D,0))="",1,INDEX('Paramètres'!$J:$J,MATCH($C4435,'Paramètres'!$D:$D,0)))),2))</f>
        <v/>
      </c>
      <c r="L4435" s="6" t="str">
        <f>IF($D4435="","",IF($F4435&lt;&gt;"",$F4435,IF(ISNA(MATCH($D4435,'Paramètres'!$M:$M,0)),"⚠ Type inconnu",IFERROR(INDEX('Paramètres'!$P:$P,MATCH($D4435,'Paramètres'!$M:$M,0))&amp;"",""))))</f>
        <v/>
      </c>
      <c r="M4435" s="6" t="str">
        <f>IF($D4435="","",IF(ISNA(MATCH($D4435,'Paramètres'!$M:$M,0)),"⚠ Type inconnu",IF($L4435="Crédit","",IFERROR(INDEX('Paramètres'!$O:$O,MATCH($D4435,'Paramètres'!$M:$M,0))&amp;"",""))))</f>
        <v/>
      </c>
      <c r="N4435" s="6" t="str">
        <f>IF($D4435="","",IFERROR(INDEX('Paramètres'!$Q:$Q,MATCH($D4435,'Paramètres'!$M:$M,0))&amp;"",""))</f>
        <v/>
      </c>
      <c r="O4435" s="6" t="str">
        <f>IF($A4435="","",IF(OR($J4435&lt;&gt;"x",$A4435&lt;=FinReleve),1,0))</f>
        <v/>
      </c>
      <c r="P4435" s="6" t="str">
        <f>IF($D4435="","",IF(AND($L4435="Crédit",OR(IFERROR(INDEX('Paramètres'!$O:$O,MATCH($D4435,'Paramètres'!$M:$M,0))&amp;"","")&lt;&gt;"",ISNUMBER(SEARCH("remboursement",IFERROR(INDEX('Paramètres'!$N:$N,MATCH($D4435,'Paramètres'!$M:$M,0))&amp;"",""))))),1,0))</f>
        <v/>
      </c>
      <c r="Q4435" s="6" t="str">
        <f>IF($K4435="","",IF(ISNUMBER(SEARCH("transfert-interne",IFERROR(INDEX('Paramètres'!$N:$N,MATCH($D4435,'Paramètres'!$M:$M,0))&amp;"",""))),0,IF($L4435="Débit",$K4435,IF($P4435=1,-$K4435,0))))</f>
        <v/>
      </c>
      <c r="R4435" s="6" t="str">
        <f>IF($K4435="","",IF($L4435="Crédit",$K4435,-$K4435))</f>
        <v/>
      </c>
      <c r="S4435" s="6" t="str">
        <f>IF($C4435="","",IFERROR(INDEX('Paramètres'!$H:$H,MATCH($C4435,'Paramètres'!$D:$D,0))&amp;"",""))</f>
        <v/>
      </c>
      <c r="T4435" s="6" t="str">
        <f>IF($K4435="","",IF($S4435="",0,IF(ISNUMBER(SEARCH("apport-exterieur",IFERROR(INDEX('Paramètres'!$N:$N,MATCH($D4435,'Paramètres'!$M:$M,0))&amp;"",""))),0,IF(OR(IFERROR(INDEX('Paramètres'!$I:$I,MATCH($C4435,'Paramètres'!$D:$D,0))&amp;"","")="Les deux",IFERROR(INDEX('Paramètres'!$I:$I,MATCH($C4435,'Paramètres'!$D:$D,0))&amp;"","")=IF($P4435=1,"Débit",$L4435)),-IF($P4435=1,-$K4435,$K4435),0))))</f>
        <v/>
      </c>
      <c r="U4435" s="6" t="str">
        <f>IF($K4435="","",IF(ISNUMBER(SEARCH("sortie-epargne",IFERROR(INDEX('Paramètres'!$N:$N,MATCH($D4435,'Paramètres'!$M:$M,0))&amp;"",""))),$K4435,0))</f>
        <v/>
      </c>
      <c r="V4435" s="6" t="str">
        <f>IF(AND($A4435&lt;&gt;"",$O4435=1,$L4435="Débit",N($Q4435)&gt;0,$A4435&gt;=Visualisation!$B$1,$A4435&lt;Visualisation!$D$1),MAX($V$1:V4434)+1,"")</f>
        <v/>
      </c>
    </row>
    <row r="4436" spans="1:22" x14ac:dyDescent="0.25">
      <c r="A4436" s="9"/>
      <c r="E4436" s="10"/>
      <c r="K4436" s="11" t="str">
        <f>IF($E4436="","",ROUND($E4436*IF(ISNA(MATCH($C4436,'Paramètres'!$D:$D,0)),1,IF(INDEX('Paramètres'!$J:$J,MATCH($C4436,'Paramètres'!$D:$D,0))="",1,INDEX('Paramètres'!$J:$J,MATCH($C4436,'Paramètres'!$D:$D,0)))),2))</f>
        <v/>
      </c>
      <c r="L4436" s="6" t="str">
        <f>IF($D4436="","",IF($F4436&lt;&gt;"",$F4436,IF(ISNA(MATCH($D4436,'Paramètres'!$M:$M,0)),"⚠ Type inconnu",IFERROR(INDEX('Paramètres'!$P:$P,MATCH($D4436,'Paramètres'!$M:$M,0))&amp;"",""))))</f>
        <v/>
      </c>
      <c r="M4436" s="6" t="str">
        <f>IF($D4436="","",IF(ISNA(MATCH($D4436,'Paramètres'!$M:$M,0)),"⚠ Type inconnu",IF($L4436="Crédit","",IFERROR(INDEX('Paramètres'!$O:$O,MATCH($D4436,'Paramètres'!$M:$M,0))&amp;"",""))))</f>
        <v/>
      </c>
      <c r="N4436" s="6" t="str">
        <f>IF($D4436="","",IFERROR(INDEX('Paramètres'!$Q:$Q,MATCH($D4436,'Paramètres'!$M:$M,0))&amp;"",""))</f>
        <v/>
      </c>
      <c r="O4436" s="6" t="str">
        <f>IF($A4436="","",IF(OR($J4436&lt;&gt;"x",$A4436&lt;=FinReleve),1,0))</f>
        <v/>
      </c>
      <c r="P4436" s="6" t="str">
        <f>IF($D4436="","",IF(AND($L4436="Crédit",OR(IFERROR(INDEX('Paramètres'!$O:$O,MATCH($D4436,'Paramètres'!$M:$M,0))&amp;"","")&lt;&gt;"",ISNUMBER(SEARCH("remboursement",IFERROR(INDEX('Paramètres'!$N:$N,MATCH($D4436,'Paramètres'!$M:$M,0))&amp;"",""))))),1,0))</f>
        <v/>
      </c>
      <c r="Q4436" s="6" t="str">
        <f>IF($K4436="","",IF(ISNUMBER(SEARCH("transfert-interne",IFERROR(INDEX('Paramètres'!$N:$N,MATCH($D4436,'Paramètres'!$M:$M,0))&amp;"",""))),0,IF($L4436="Débit",$K4436,IF($P4436=1,-$K4436,0))))</f>
        <v/>
      </c>
      <c r="R4436" s="6" t="str">
        <f>IF($K4436="","",IF($L4436="Crédit",$K4436,-$K4436))</f>
        <v/>
      </c>
      <c r="S4436" s="6" t="str">
        <f>IF($C4436="","",IFERROR(INDEX('Paramètres'!$H:$H,MATCH($C4436,'Paramètres'!$D:$D,0))&amp;"",""))</f>
        <v/>
      </c>
      <c r="T4436" s="6" t="str">
        <f>IF($K4436="","",IF($S4436="",0,IF(ISNUMBER(SEARCH("apport-exterieur",IFERROR(INDEX('Paramètres'!$N:$N,MATCH($D4436,'Paramètres'!$M:$M,0))&amp;"",""))),0,IF(OR(IFERROR(INDEX('Paramètres'!$I:$I,MATCH($C4436,'Paramètres'!$D:$D,0))&amp;"","")="Les deux",IFERROR(INDEX('Paramètres'!$I:$I,MATCH($C4436,'Paramètres'!$D:$D,0))&amp;"","")=IF($P4436=1,"Débit",$L4436)),-IF($P4436=1,-$K4436,$K4436),0))))</f>
        <v/>
      </c>
      <c r="U4436" s="6" t="str">
        <f>IF($K4436="","",IF(ISNUMBER(SEARCH("sortie-epargne",IFERROR(INDEX('Paramètres'!$N:$N,MATCH($D4436,'Paramètres'!$M:$M,0))&amp;"",""))),$K4436,0))</f>
        <v/>
      </c>
      <c r="V4436" s="6" t="str">
        <f>IF(AND($A4436&lt;&gt;"",$O4436=1,$L4436="Débit",N($Q4436)&gt;0,$A4436&gt;=Visualisation!$B$1,$A4436&lt;Visualisation!$D$1),MAX($V$1:V4435)+1,"")</f>
        <v/>
      </c>
    </row>
    <row r="4437" spans="1:22" x14ac:dyDescent="0.25">
      <c r="A4437" s="9"/>
      <c r="E4437" s="10"/>
      <c r="K4437" s="11" t="str">
        <f>IF($E4437="","",ROUND($E4437*IF(ISNA(MATCH($C4437,'Paramètres'!$D:$D,0)),1,IF(INDEX('Paramètres'!$J:$J,MATCH($C4437,'Paramètres'!$D:$D,0))="",1,INDEX('Paramètres'!$J:$J,MATCH($C4437,'Paramètres'!$D:$D,0)))),2))</f>
        <v/>
      </c>
      <c r="L4437" s="6" t="str">
        <f>IF($D4437="","",IF($F4437&lt;&gt;"",$F4437,IF(ISNA(MATCH($D4437,'Paramètres'!$M:$M,0)),"⚠ Type inconnu",IFERROR(INDEX('Paramètres'!$P:$P,MATCH($D4437,'Paramètres'!$M:$M,0))&amp;"",""))))</f>
        <v/>
      </c>
      <c r="M4437" s="6" t="str">
        <f>IF($D4437="","",IF(ISNA(MATCH($D4437,'Paramètres'!$M:$M,0)),"⚠ Type inconnu",IF($L4437="Crédit","",IFERROR(INDEX('Paramètres'!$O:$O,MATCH($D4437,'Paramètres'!$M:$M,0))&amp;"",""))))</f>
        <v/>
      </c>
      <c r="N4437" s="6" t="str">
        <f>IF($D4437="","",IFERROR(INDEX('Paramètres'!$Q:$Q,MATCH($D4437,'Paramètres'!$M:$M,0))&amp;"",""))</f>
        <v/>
      </c>
      <c r="O4437" s="6" t="str">
        <f>IF($A4437="","",IF(OR($J4437&lt;&gt;"x",$A4437&lt;=FinReleve),1,0))</f>
        <v/>
      </c>
      <c r="P4437" s="6" t="str">
        <f>IF($D4437="","",IF(AND($L4437="Crédit",OR(IFERROR(INDEX('Paramètres'!$O:$O,MATCH($D4437,'Paramètres'!$M:$M,0))&amp;"","")&lt;&gt;"",ISNUMBER(SEARCH("remboursement",IFERROR(INDEX('Paramètres'!$N:$N,MATCH($D4437,'Paramètres'!$M:$M,0))&amp;"",""))))),1,0))</f>
        <v/>
      </c>
      <c r="Q4437" s="6" t="str">
        <f>IF($K4437="","",IF(ISNUMBER(SEARCH("transfert-interne",IFERROR(INDEX('Paramètres'!$N:$N,MATCH($D4437,'Paramètres'!$M:$M,0))&amp;"",""))),0,IF($L4437="Débit",$K4437,IF($P4437=1,-$K4437,0))))</f>
        <v/>
      </c>
      <c r="R4437" s="6" t="str">
        <f>IF($K4437="","",IF($L4437="Crédit",$K4437,-$K4437))</f>
        <v/>
      </c>
      <c r="S4437" s="6" t="str">
        <f>IF($C4437="","",IFERROR(INDEX('Paramètres'!$H:$H,MATCH($C4437,'Paramètres'!$D:$D,0))&amp;"",""))</f>
        <v/>
      </c>
      <c r="T4437" s="6" t="str">
        <f>IF($K4437="","",IF($S4437="",0,IF(ISNUMBER(SEARCH("apport-exterieur",IFERROR(INDEX('Paramètres'!$N:$N,MATCH($D4437,'Paramètres'!$M:$M,0))&amp;"",""))),0,IF(OR(IFERROR(INDEX('Paramètres'!$I:$I,MATCH($C4437,'Paramètres'!$D:$D,0))&amp;"","")="Les deux",IFERROR(INDEX('Paramètres'!$I:$I,MATCH($C4437,'Paramètres'!$D:$D,0))&amp;"","")=IF($P4437=1,"Débit",$L4437)),-IF($P4437=1,-$K4437,$K4437),0))))</f>
        <v/>
      </c>
      <c r="U4437" s="6" t="str">
        <f>IF($K4437="","",IF(ISNUMBER(SEARCH("sortie-epargne",IFERROR(INDEX('Paramètres'!$N:$N,MATCH($D4437,'Paramètres'!$M:$M,0))&amp;"",""))),$K4437,0))</f>
        <v/>
      </c>
      <c r="V4437" s="6" t="str">
        <f>IF(AND($A4437&lt;&gt;"",$O4437=1,$L4437="Débit",N($Q4437)&gt;0,$A4437&gt;=Visualisation!$B$1,$A4437&lt;Visualisation!$D$1),MAX($V$1:V4436)+1,"")</f>
        <v/>
      </c>
    </row>
    <row r="4438" spans="1:22" x14ac:dyDescent="0.25">
      <c r="A4438" s="9"/>
      <c r="E4438" s="10"/>
      <c r="K4438" s="11" t="str">
        <f>IF($E4438="","",ROUND($E4438*IF(ISNA(MATCH($C4438,'Paramètres'!$D:$D,0)),1,IF(INDEX('Paramètres'!$J:$J,MATCH($C4438,'Paramètres'!$D:$D,0))="",1,INDEX('Paramètres'!$J:$J,MATCH($C4438,'Paramètres'!$D:$D,0)))),2))</f>
        <v/>
      </c>
      <c r="L4438" s="6" t="str">
        <f>IF($D4438="","",IF($F4438&lt;&gt;"",$F4438,IF(ISNA(MATCH($D4438,'Paramètres'!$M:$M,0)),"⚠ Type inconnu",IFERROR(INDEX('Paramètres'!$P:$P,MATCH($D4438,'Paramètres'!$M:$M,0))&amp;"",""))))</f>
        <v/>
      </c>
      <c r="M4438" s="6" t="str">
        <f>IF($D4438="","",IF(ISNA(MATCH($D4438,'Paramètres'!$M:$M,0)),"⚠ Type inconnu",IF($L4438="Crédit","",IFERROR(INDEX('Paramètres'!$O:$O,MATCH($D4438,'Paramètres'!$M:$M,0))&amp;"",""))))</f>
        <v/>
      </c>
      <c r="N4438" s="6" t="str">
        <f>IF($D4438="","",IFERROR(INDEX('Paramètres'!$Q:$Q,MATCH($D4438,'Paramètres'!$M:$M,0))&amp;"",""))</f>
        <v/>
      </c>
      <c r="O4438" s="6" t="str">
        <f>IF($A4438="","",IF(OR($J4438&lt;&gt;"x",$A4438&lt;=FinReleve),1,0))</f>
        <v/>
      </c>
      <c r="P4438" s="6" t="str">
        <f>IF($D4438="","",IF(AND($L4438="Crédit",OR(IFERROR(INDEX('Paramètres'!$O:$O,MATCH($D4438,'Paramètres'!$M:$M,0))&amp;"","")&lt;&gt;"",ISNUMBER(SEARCH("remboursement",IFERROR(INDEX('Paramètres'!$N:$N,MATCH($D4438,'Paramètres'!$M:$M,0))&amp;"",""))))),1,0))</f>
        <v/>
      </c>
      <c r="Q4438" s="6" t="str">
        <f>IF($K4438="","",IF(ISNUMBER(SEARCH("transfert-interne",IFERROR(INDEX('Paramètres'!$N:$N,MATCH($D4438,'Paramètres'!$M:$M,0))&amp;"",""))),0,IF($L4438="Débit",$K4438,IF($P4438=1,-$K4438,0))))</f>
        <v/>
      </c>
      <c r="R4438" s="6" t="str">
        <f>IF($K4438="","",IF($L4438="Crédit",$K4438,-$K4438))</f>
        <v/>
      </c>
      <c r="S4438" s="6" t="str">
        <f>IF($C4438="","",IFERROR(INDEX('Paramètres'!$H:$H,MATCH($C4438,'Paramètres'!$D:$D,0))&amp;"",""))</f>
        <v/>
      </c>
      <c r="T4438" s="6" t="str">
        <f>IF($K4438="","",IF($S4438="",0,IF(ISNUMBER(SEARCH("apport-exterieur",IFERROR(INDEX('Paramètres'!$N:$N,MATCH($D4438,'Paramètres'!$M:$M,0))&amp;"",""))),0,IF(OR(IFERROR(INDEX('Paramètres'!$I:$I,MATCH($C4438,'Paramètres'!$D:$D,0))&amp;"","")="Les deux",IFERROR(INDEX('Paramètres'!$I:$I,MATCH($C4438,'Paramètres'!$D:$D,0))&amp;"","")=IF($P4438=1,"Débit",$L4438)),-IF($P4438=1,-$K4438,$K4438),0))))</f>
        <v/>
      </c>
      <c r="U4438" s="6" t="str">
        <f>IF($K4438="","",IF(ISNUMBER(SEARCH("sortie-epargne",IFERROR(INDEX('Paramètres'!$N:$N,MATCH($D4438,'Paramètres'!$M:$M,0))&amp;"",""))),$K4438,0))</f>
        <v/>
      </c>
      <c r="V4438" s="6" t="str">
        <f>IF(AND($A4438&lt;&gt;"",$O4438=1,$L4438="Débit",N($Q4438)&gt;0,$A4438&gt;=Visualisation!$B$1,$A4438&lt;Visualisation!$D$1),MAX($V$1:V4437)+1,"")</f>
        <v/>
      </c>
    </row>
    <row r="4439" spans="1:22" x14ac:dyDescent="0.25">
      <c r="A4439" s="9"/>
      <c r="E4439" s="10"/>
      <c r="K4439" s="11" t="str">
        <f>IF($E4439="","",ROUND($E4439*IF(ISNA(MATCH($C4439,'Paramètres'!$D:$D,0)),1,IF(INDEX('Paramètres'!$J:$J,MATCH($C4439,'Paramètres'!$D:$D,0))="",1,INDEX('Paramètres'!$J:$J,MATCH($C4439,'Paramètres'!$D:$D,0)))),2))</f>
        <v/>
      </c>
      <c r="L4439" s="6" t="str">
        <f>IF($D4439="","",IF($F4439&lt;&gt;"",$F4439,IF(ISNA(MATCH($D4439,'Paramètres'!$M:$M,0)),"⚠ Type inconnu",IFERROR(INDEX('Paramètres'!$P:$P,MATCH($D4439,'Paramètres'!$M:$M,0))&amp;"",""))))</f>
        <v/>
      </c>
      <c r="M4439" s="6" t="str">
        <f>IF($D4439="","",IF(ISNA(MATCH($D4439,'Paramètres'!$M:$M,0)),"⚠ Type inconnu",IF($L4439="Crédit","",IFERROR(INDEX('Paramètres'!$O:$O,MATCH($D4439,'Paramètres'!$M:$M,0))&amp;"",""))))</f>
        <v/>
      </c>
      <c r="N4439" s="6" t="str">
        <f>IF($D4439="","",IFERROR(INDEX('Paramètres'!$Q:$Q,MATCH($D4439,'Paramètres'!$M:$M,0))&amp;"",""))</f>
        <v/>
      </c>
      <c r="O4439" s="6" t="str">
        <f>IF($A4439="","",IF(OR($J4439&lt;&gt;"x",$A4439&lt;=FinReleve),1,0))</f>
        <v/>
      </c>
      <c r="P4439" s="6" t="str">
        <f>IF($D4439="","",IF(AND($L4439="Crédit",OR(IFERROR(INDEX('Paramètres'!$O:$O,MATCH($D4439,'Paramètres'!$M:$M,0))&amp;"","")&lt;&gt;"",ISNUMBER(SEARCH("remboursement",IFERROR(INDEX('Paramètres'!$N:$N,MATCH($D4439,'Paramètres'!$M:$M,0))&amp;"",""))))),1,0))</f>
        <v/>
      </c>
      <c r="Q4439" s="6" t="str">
        <f>IF($K4439="","",IF(ISNUMBER(SEARCH("transfert-interne",IFERROR(INDEX('Paramètres'!$N:$N,MATCH($D4439,'Paramètres'!$M:$M,0))&amp;"",""))),0,IF($L4439="Débit",$K4439,IF($P4439=1,-$K4439,0))))</f>
        <v/>
      </c>
      <c r="R4439" s="6" t="str">
        <f>IF($K4439="","",IF($L4439="Crédit",$K4439,-$K4439))</f>
        <v/>
      </c>
      <c r="S4439" s="6" t="str">
        <f>IF($C4439="","",IFERROR(INDEX('Paramètres'!$H:$H,MATCH($C4439,'Paramètres'!$D:$D,0))&amp;"",""))</f>
        <v/>
      </c>
      <c r="T4439" s="6" t="str">
        <f>IF($K4439="","",IF($S4439="",0,IF(ISNUMBER(SEARCH("apport-exterieur",IFERROR(INDEX('Paramètres'!$N:$N,MATCH($D4439,'Paramètres'!$M:$M,0))&amp;"",""))),0,IF(OR(IFERROR(INDEX('Paramètres'!$I:$I,MATCH($C4439,'Paramètres'!$D:$D,0))&amp;"","")="Les deux",IFERROR(INDEX('Paramètres'!$I:$I,MATCH($C4439,'Paramètres'!$D:$D,0))&amp;"","")=IF($P4439=1,"Débit",$L4439)),-IF($P4439=1,-$K4439,$K4439),0))))</f>
        <v/>
      </c>
      <c r="U4439" s="6" t="str">
        <f>IF($K4439="","",IF(ISNUMBER(SEARCH("sortie-epargne",IFERROR(INDEX('Paramètres'!$N:$N,MATCH($D4439,'Paramètres'!$M:$M,0))&amp;"",""))),$K4439,0))</f>
        <v/>
      </c>
      <c r="V4439" s="6" t="str">
        <f>IF(AND($A4439&lt;&gt;"",$O4439=1,$L4439="Débit",N($Q4439)&gt;0,$A4439&gt;=Visualisation!$B$1,$A4439&lt;Visualisation!$D$1),MAX($V$1:V4438)+1,"")</f>
        <v/>
      </c>
    </row>
    <row r="4440" spans="1:22" x14ac:dyDescent="0.25">
      <c r="A4440" s="9"/>
      <c r="E4440" s="10"/>
      <c r="K4440" s="11" t="str">
        <f>IF($E4440="","",ROUND($E4440*IF(ISNA(MATCH($C4440,'Paramètres'!$D:$D,0)),1,IF(INDEX('Paramètres'!$J:$J,MATCH($C4440,'Paramètres'!$D:$D,0))="",1,INDEX('Paramètres'!$J:$J,MATCH($C4440,'Paramètres'!$D:$D,0)))),2))</f>
        <v/>
      </c>
      <c r="L4440" s="6" t="str">
        <f>IF($D4440="","",IF($F4440&lt;&gt;"",$F4440,IF(ISNA(MATCH($D4440,'Paramètres'!$M:$M,0)),"⚠ Type inconnu",IFERROR(INDEX('Paramètres'!$P:$P,MATCH($D4440,'Paramètres'!$M:$M,0))&amp;"",""))))</f>
        <v/>
      </c>
      <c r="M4440" s="6" t="str">
        <f>IF($D4440="","",IF(ISNA(MATCH($D4440,'Paramètres'!$M:$M,0)),"⚠ Type inconnu",IF($L4440="Crédit","",IFERROR(INDEX('Paramètres'!$O:$O,MATCH($D4440,'Paramètres'!$M:$M,0))&amp;"",""))))</f>
        <v/>
      </c>
      <c r="N4440" s="6" t="str">
        <f>IF($D4440="","",IFERROR(INDEX('Paramètres'!$Q:$Q,MATCH($D4440,'Paramètres'!$M:$M,0))&amp;"",""))</f>
        <v/>
      </c>
      <c r="O4440" s="6" t="str">
        <f>IF($A4440="","",IF(OR($J4440&lt;&gt;"x",$A4440&lt;=FinReleve),1,0))</f>
        <v/>
      </c>
      <c r="P4440" s="6" t="str">
        <f>IF($D4440="","",IF(AND($L4440="Crédit",OR(IFERROR(INDEX('Paramètres'!$O:$O,MATCH($D4440,'Paramètres'!$M:$M,0))&amp;"","")&lt;&gt;"",ISNUMBER(SEARCH("remboursement",IFERROR(INDEX('Paramètres'!$N:$N,MATCH($D4440,'Paramètres'!$M:$M,0))&amp;"",""))))),1,0))</f>
        <v/>
      </c>
      <c r="Q4440" s="6" t="str">
        <f>IF($K4440="","",IF(ISNUMBER(SEARCH("transfert-interne",IFERROR(INDEX('Paramètres'!$N:$N,MATCH($D4440,'Paramètres'!$M:$M,0))&amp;"",""))),0,IF($L4440="Débit",$K4440,IF($P4440=1,-$K4440,0))))</f>
        <v/>
      </c>
      <c r="R4440" s="6" t="str">
        <f>IF($K4440="","",IF($L4440="Crédit",$K4440,-$K4440))</f>
        <v/>
      </c>
      <c r="S4440" s="6" t="str">
        <f>IF($C4440="","",IFERROR(INDEX('Paramètres'!$H:$H,MATCH($C4440,'Paramètres'!$D:$D,0))&amp;"",""))</f>
        <v/>
      </c>
      <c r="T4440" s="6" t="str">
        <f>IF($K4440="","",IF($S4440="",0,IF(ISNUMBER(SEARCH("apport-exterieur",IFERROR(INDEX('Paramètres'!$N:$N,MATCH($D4440,'Paramètres'!$M:$M,0))&amp;"",""))),0,IF(OR(IFERROR(INDEX('Paramètres'!$I:$I,MATCH($C4440,'Paramètres'!$D:$D,0))&amp;"","")="Les deux",IFERROR(INDEX('Paramètres'!$I:$I,MATCH($C4440,'Paramètres'!$D:$D,0))&amp;"","")=IF($P4440=1,"Débit",$L4440)),-IF($P4440=1,-$K4440,$K4440),0))))</f>
        <v/>
      </c>
      <c r="U4440" s="6" t="str">
        <f>IF($K4440="","",IF(ISNUMBER(SEARCH("sortie-epargne",IFERROR(INDEX('Paramètres'!$N:$N,MATCH($D4440,'Paramètres'!$M:$M,0))&amp;"",""))),$K4440,0))</f>
        <v/>
      </c>
      <c r="V4440" s="6" t="str">
        <f>IF(AND($A4440&lt;&gt;"",$O4440=1,$L4440="Débit",N($Q4440)&gt;0,$A4440&gt;=Visualisation!$B$1,$A4440&lt;Visualisation!$D$1),MAX($V$1:V4439)+1,"")</f>
        <v/>
      </c>
    </row>
    <row r="4441" spans="1:22" x14ac:dyDescent="0.25">
      <c r="A4441" s="9"/>
      <c r="E4441" s="10"/>
      <c r="K4441" s="11" t="str">
        <f>IF($E4441="","",ROUND($E4441*IF(ISNA(MATCH($C4441,'Paramètres'!$D:$D,0)),1,IF(INDEX('Paramètres'!$J:$J,MATCH($C4441,'Paramètres'!$D:$D,0))="",1,INDEX('Paramètres'!$J:$J,MATCH($C4441,'Paramètres'!$D:$D,0)))),2))</f>
        <v/>
      </c>
      <c r="L4441" s="6" t="str">
        <f>IF($D4441="","",IF($F4441&lt;&gt;"",$F4441,IF(ISNA(MATCH($D4441,'Paramètres'!$M:$M,0)),"⚠ Type inconnu",IFERROR(INDEX('Paramètres'!$P:$P,MATCH($D4441,'Paramètres'!$M:$M,0))&amp;"",""))))</f>
        <v/>
      </c>
      <c r="M4441" s="6" t="str">
        <f>IF($D4441="","",IF(ISNA(MATCH($D4441,'Paramètres'!$M:$M,0)),"⚠ Type inconnu",IF($L4441="Crédit","",IFERROR(INDEX('Paramètres'!$O:$O,MATCH($D4441,'Paramètres'!$M:$M,0))&amp;"",""))))</f>
        <v/>
      </c>
      <c r="N4441" s="6" t="str">
        <f>IF($D4441="","",IFERROR(INDEX('Paramètres'!$Q:$Q,MATCH($D4441,'Paramètres'!$M:$M,0))&amp;"",""))</f>
        <v/>
      </c>
      <c r="O4441" s="6" t="str">
        <f>IF($A4441="","",IF(OR($J4441&lt;&gt;"x",$A4441&lt;=FinReleve),1,0))</f>
        <v/>
      </c>
      <c r="P4441" s="6" t="str">
        <f>IF($D4441="","",IF(AND($L4441="Crédit",OR(IFERROR(INDEX('Paramètres'!$O:$O,MATCH($D4441,'Paramètres'!$M:$M,0))&amp;"","")&lt;&gt;"",ISNUMBER(SEARCH("remboursement",IFERROR(INDEX('Paramètres'!$N:$N,MATCH($D4441,'Paramètres'!$M:$M,0))&amp;"",""))))),1,0))</f>
        <v/>
      </c>
      <c r="Q4441" s="6" t="str">
        <f>IF($K4441="","",IF(ISNUMBER(SEARCH("transfert-interne",IFERROR(INDEX('Paramètres'!$N:$N,MATCH($D4441,'Paramètres'!$M:$M,0))&amp;"",""))),0,IF($L4441="Débit",$K4441,IF($P4441=1,-$K4441,0))))</f>
        <v/>
      </c>
      <c r="R4441" s="6" t="str">
        <f>IF($K4441="","",IF($L4441="Crédit",$K4441,-$K4441))</f>
        <v/>
      </c>
      <c r="S4441" s="6" t="str">
        <f>IF($C4441="","",IFERROR(INDEX('Paramètres'!$H:$H,MATCH($C4441,'Paramètres'!$D:$D,0))&amp;"",""))</f>
        <v/>
      </c>
      <c r="T4441" s="6" t="str">
        <f>IF($K4441="","",IF($S4441="",0,IF(ISNUMBER(SEARCH("apport-exterieur",IFERROR(INDEX('Paramètres'!$N:$N,MATCH($D4441,'Paramètres'!$M:$M,0))&amp;"",""))),0,IF(OR(IFERROR(INDEX('Paramètres'!$I:$I,MATCH($C4441,'Paramètres'!$D:$D,0))&amp;"","")="Les deux",IFERROR(INDEX('Paramètres'!$I:$I,MATCH($C4441,'Paramètres'!$D:$D,0))&amp;"","")=IF($P4441=1,"Débit",$L4441)),-IF($P4441=1,-$K4441,$K4441),0))))</f>
        <v/>
      </c>
      <c r="U4441" s="6" t="str">
        <f>IF($K4441="","",IF(ISNUMBER(SEARCH("sortie-epargne",IFERROR(INDEX('Paramètres'!$N:$N,MATCH($D4441,'Paramètres'!$M:$M,0))&amp;"",""))),$K4441,0))</f>
        <v/>
      </c>
      <c r="V4441" s="6" t="str">
        <f>IF(AND($A4441&lt;&gt;"",$O4441=1,$L4441="Débit",N($Q4441)&gt;0,$A4441&gt;=Visualisation!$B$1,$A4441&lt;Visualisation!$D$1),MAX($V$1:V4440)+1,"")</f>
        <v/>
      </c>
    </row>
    <row r="4442" spans="1:22" x14ac:dyDescent="0.25">
      <c r="A4442" s="9"/>
      <c r="E4442" s="10"/>
      <c r="K4442" s="11" t="str">
        <f>IF($E4442="","",ROUND($E4442*IF(ISNA(MATCH($C4442,'Paramètres'!$D:$D,0)),1,IF(INDEX('Paramètres'!$J:$J,MATCH($C4442,'Paramètres'!$D:$D,0))="",1,INDEX('Paramètres'!$J:$J,MATCH($C4442,'Paramètres'!$D:$D,0)))),2))</f>
        <v/>
      </c>
      <c r="L4442" s="6" t="str">
        <f>IF($D4442="","",IF($F4442&lt;&gt;"",$F4442,IF(ISNA(MATCH($D4442,'Paramètres'!$M:$M,0)),"⚠ Type inconnu",IFERROR(INDEX('Paramètres'!$P:$P,MATCH($D4442,'Paramètres'!$M:$M,0))&amp;"",""))))</f>
        <v/>
      </c>
      <c r="M4442" s="6" t="str">
        <f>IF($D4442="","",IF(ISNA(MATCH($D4442,'Paramètres'!$M:$M,0)),"⚠ Type inconnu",IF($L4442="Crédit","",IFERROR(INDEX('Paramètres'!$O:$O,MATCH($D4442,'Paramètres'!$M:$M,0))&amp;"",""))))</f>
        <v/>
      </c>
      <c r="N4442" s="6" t="str">
        <f>IF($D4442="","",IFERROR(INDEX('Paramètres'!$Q:$Q,MATCH($D4442,'Paramètres'!$M:$M,0))&amp;"",""))</f>
        <v/>
      </c>
      <c r="O4442" s="6" t="str">
        <f>IF($A4442="","",IF(OR($J4442&lt;&gt;"x",$A4442&lt;=FinReleve),1,0))</f>
        <v/>
      </c>
      <c r="P4442" s="6" t="str">
        <f>IF($D4442="","",IF(AND($L4442="Crédit",OR(IFERROR(INDEX('Paramètres'!$O:$O,MATCH($D4442,'Paramètres'!$M:$M,0))&amp;"","")&lt;&gt;"",ISNUMBER(SEARCH("remboursement",IFERROR(INDEX('Paramètres'!$N:$N,MATCH($D4442,'Paramètres'!$M:$M,0))&amp;"",""))))),1,0))</f>
        <v/>
      </c>
      <c r="Q4442" s="6" t="str">
        <f>IF($K4442="","",IF(ISNUMBER(SEARCH("transfert-interne",IFERROR(INDEX('Paramètres'!$N:$N,MATCH($D4442,'Paramètres'!$M:$M,0))&amp;"",""))),0,IF($L4442="Débit",$K4442,IF($P4442=1,-$K4442,0))))</f>
        <v/>
      </c>
      <c r="R4442" s="6" t="str">
        <f>IF($K4442="","",IF($L4442="Crédit",$K4442,-$K4442))</f>
        <v/>
      </c>
      <c r="S4442" s="6" t="str">
        <f>IF($C4442="","",IFERROR(INDEX('Paramètres'!$H:$H,MATCH($C4442,'Paramètres'!$D:$D,0))&amp;"",""))</f>
        <v/>
      </c>
      <c r="T4442" s="6" t="str">
        <f>IF($K4442="","",IF($S4442="",0,IF(ISNUMBER(SEARCH("apport-exterieur",IFERROR(INDEX('Paramètres'!$N:$N,MATCH($D4442,'Paramètres'!$M:$M,0))&amp;"",""))),0,IF(OR(IFERROR(INDEX('Paramètres'!$I:$I,MATCH($C4442,'Paramètres'!$D:$D,0))&amp;"","")="Les deux",IFERROR(INDEX('Paramètres'!$I:$I,MATCH($C4442,'Paramètres'!$D:$D,0))&amp;"","")=IF($P4442=1,"Débit",$L4442)),-IF($P4442=1,-$K4442,$K4442),0))))</f>
        <v/>
      </c>
      <c r="U4442" s="6" t="str">
        <f>IF($K4442="","",IF(ISNUMBER(SEARCH("sortie-epargne",IFERROR(INDEX('Paramètres'!$N:$N,MATCH($D4442,'Paramètres'!$M:$M,0))&amp;"",""))),$K4442,0))</f>
        <v/>
      </c>
      <c r="V4442" s="6" t="str">
        <f>IF(AND($A4442&lt;&gt;"",$O4442=1,$L4442="Débit",N($Q4442)&gt;0,$A4442&gt;=Visualisation!$B$1,$A4442&lt;Visualisation!$D$1),MAX($V$1:V4441)+1,"")</f>
        <v/>
      </c>
    </row>
    <row r="4443" spans="1:22" x14ac:dyDescent="0.25">
      <c r="A4443" s="9"/>
      <c r="E4443" s="10"/>
      <c r="K4443" s="11" t="str">
        <f>IF($E4443="","",ROUND($E4443*IF(ISNA(MATCH($C4443,'Paramètres'!$D:$D,0)),1,IF(INDEX('Paramètres'!$J:$J,MATCH($C4443,'Paramètres'!$D:$D,0))="",1,INDEX('Paramètres'!$J:$J,MATCH($C4443,'Paramètres'!$D:$D,0)))),2))</f>
        <v/>
      </c>
      <c r="L4443" s="6" t="str">
        <f>IF($D4443="","",IF($F4443&lt;&gt;"",$F4443,IF(ISNA(MATCH($D4443,'Paramètres'!$M:$M,0)),"⚠ Type inconnu",IFERROR(INDEX('Paramètres'!$P:$P,MATCH($D4443,'Paramètres'!$M:$M,0))&amp;"",""))))</f>
        <v/>
      </c>
      <c r="M4443" s="6" t="str">
        <f>IF($D4443="","",IF(ISNA(MATCH($D4443,'Paramètres'!$M:$M,0)),"⚠ Type inconnu",IF($L4443="Crédit","",IFERROR(INDEX('Paramètres'!$O:$O,MATCH($D4443,'Paramètres'!$M:$M,0))&amp;"",""))))</f>
        <v/>
      </c>
      <c r="N4443" s="6" t="str">
        <f>IF($D4443="","",IFERROR(INDEX('Paramètres'!$Q:$Q,MATCH($D4443,'Paramètres'!$M:$M,0))&amp;"",""))</f>
        <v/>
      </c>
      <c r="O4443" s="6" t="str">
        <f>IF($A4443="","",IF(OR($J4443&lt;&gt;"x",$A4443&lt;=FinReleve),1,0))</f>
        <v/>
      </c>
      <c r="P4443" s="6" t="str">
        <f>IF($D4443="","",IF(AND($L4443="Crédit",OR(IFERROR(INDEX('Paramètres'!$O:$O,MATCH($D4443,'Paramètres'!$M:$M,0))&amp;"","")&lt;&gt;"",ISNUMBER(SEARCH("remboursement",IFERROR(INDEX('Paramètres'!$N:$N,MATCH($D4443,'Paramètres'!$M:$M,0))&amp;"",""))))),1,0))</f>
        <v/>
      </c>
      <c r="Q4443" s="6" t="str">
        <f>IF($K4443="","",IF(ISNUMBER(SEARCH("transfert-interne",IFERROR(INDEX('Paramètres'!$N:$N,MATCH($D4443,'Paramètres'!$M:$M,0))&amp;"",""))),0,IF($L4443="Débit",$K4443,IF($P4443=1,-$K4443,0))))</f>
        <v/>
      </c>
      <c r="R4443" s="6" t="str">
        <f>IF($K4443="","",IF($L4443="Crédit",$K4443,-$K4443))</f>
        <v/>
      </c>
      <c r="S4443" s="6" t="str">
        <f>IF($C4443="","",IFERROR(INDEX('Paramètres'!$H:$H,MATCH($C4443,'Paramètres'!$D:$D,0))&amp;"",""))</f>
        <v/>
      </c>
      <c r="T4443" s="6" t="str">
        <f>IF($K4443="","",IF($S4443="",0,IF(ISNUMBER(SEARCH("apport-exterieur",IFERROR(INDEX('Paramètres'!$N:$N,MATCH($D4443,'Paramètres'!$M:$M,0))&amp;"",""))),0,IF(OR(IFERROR(INDEX('Paramètres'!$I:$I,MATCH($C4443,'Paramètres'!$D:$D,0))&amp;"","")="Les deux",IFERROR(INDEX('Paramètres'!$I:$I,MATCH($C4443,'Paramètres'!$D:$D,0))&amp;"","")=IF($P4443=1,"Débit",$L4443)),-IF($P4443=1,-$K4443,$K4443),0))))</f>
        <v/>
      </c>
      <c r="U4443" s="6" t="str">
        <f>IF($K4443="","",IF(ISNUMBER(SEARCH("sortie-epargne",IFERROR(INDEX('Paramètres'!$N:$N,MATCH($D4443,'Paramètres'!$M:$M,0))&amp;"",""))),$K4443,0))</f>
        <v/>
      </c>
      <c r="V4443" s="6" t="str">
        <f>IF(AND($A4443&lt;&gt;"",$O4443=1,$L4443="Débit",N($Q4443)&gt;0,$A4443&gt;=Visualisation!$B$1,$A4443&lt;Visualisation!$D$1),MAX($V$1:V4442)+1,"")</f>
        <v/>
      </c>
    </row>
    <row r="4444" spans="1:22" x14ac:dyDescent="0.25">
      <c r="A4444" s="9"/>
      <c r="E4444" s="10"/>
      <c r="K4444" s="11" t="str">
        <f>IF($E4444="","",ROUND($E4444*IF(ISNA(MATCH($C4444,'Paramètres'!$D:$D,0)),1,IF(INDEX('Paramètres'!$J:$J,MATCH($C4444,'Paramètres'!$D:$D,0))="",1,INDEX('Paramètres'!$J:$J,MATCH($C4444,'Paramètres'!$D:$D,0)))),2))</f>
        <v/>
      </c>
      <c r="L4444" s="6" t="str">
        <f>IF($D4444="","",IF($F4444&lt;&gt;"",$F4444,IF(ISNA(MATCH($D4444,'Paramètres'!$M:$M,0)),"⚠ Type inconnu",IFERROR(INDEX('Paramètres'!$P:$P,MATCH($D4444,'Paramètres'!$M:$M,0))&amp;"",""))))</f>
        <v/>
      </c>
      <c r="M4444" s="6" t="str">
        <f>IF($D4444="","",IF(ISNA(MATCH($D4444,'Paramètres'!$M:$M,0)),"⚠ Type inconnu",IF($L4444="Crédit","",IFERROR(INDEX('Paramètres'!$O:$O,MATCH($D4444,'Paramètres'!$M:$M,0))&amp;"",""))))</f>
        <v/>
      </c>
      <c r="N4444" s="6" t="str">
        <f>IF($D4444="","",IFERROR(INDEX('Paramètres'!$Q:$Q,MATCH($D4444,'Paramètres'!$M:$M,0))&amp;"",""))</f>
        <v/>
      </c>
      <c r="O4444" s="6" t="str">
        <f>IF($A4444="","",IF(OR($J4444&lt;&gt;"x",$A4444&lt;=FinReleve),1,0))</f>
        <v/>
      </c>
      <c r="P4444" s="6" t="str">
        <f>IF($D4444="","",IF(AND($L4444="Crédit",OR(IFERROR(INDEX('Paramètres'!$O:$O,MATCH($D4444,'Paramètres'!$M:$M,0))&amp;"","")&lt;&gt;"",ISNUMBER(SEARCH("remboursement",IFERROR(INDEX('Paramètres'!$N:$N,MATCH($D4444,'Paramètres'!$M:$M,0))&amp;"",""))))),1,0))</f>
        <v/>
      </c>
      <c r="Q4444" s="6" t="str">
        <f>IF($K4444="","",IF(ISNUMBER(SEARCH("transfert-interne",IFERROR(INDEX('Paramètres'!$N:$N,MATCH($D4444,'Paramètres'!$M:$M,0))&amp;"",""))),0,IF($L4444="Débit",$K4444,IF($P4444=1,-$K4444,0))))</f>
        <v/>
      </c>
      <c r="R4444" s="6" t="str">
        <f>IF($K4444="","",IF($L4444="Crédit",$K4444,-$K4444))</f>
        <v/>
      </c>
      <c r="S4444" s="6" t="str">
        <f>IF($C4444="","",IFERROR(INDEX('Paramètres'!$H:$H,MATCH($C4444,'Paramètres'!$D:$D,0))&amp;"",""))</f>
        <v/>
      </c>
      <c r="T4444" s="6" t="str">
        <f>IF($K4444="","",IF($S4444="",0,IF(ISNUMBER(SEARCH("apport-exterieur",IFERROR(INDEX('Paramètres'!$N:$N,MATCH($D4444,'Paramètres'!$M:$M,0))&amp;"",""))),0,IF(OR(IFERROR(INDEX('Paramètres'!$I:$I,MATCH($C4444,'Paramètres'!$D:$D,0))&amp;"","")="Les deux",IFERROR(INDEX('Paramètres'!$I:$I,MATCH($C4444,'Paramètres'!$D:$D,0))&amp;"","")=IF($P4444=1,"Débit",$L4444)),-IF($P4444=1,-$K4444,$K4444),0))))</f>
        <v/>
      </c>
      <c r="U4444" s="6" t="str">
        <f>IF($K4444="","",IF(ISNUMBER(SEARCH("sortie-epargne",IFERROR(INDEX('Paramètres'!$N:$N,MATCH($D4444,'Paramètres'!$M:$M,0))&amp;"",""))),$K4444,0))</f>
        <v/>
      </c>
      <c r="V4444" s="6" t="str">
        <f>IF(AND($A4444&lt;&gt;"",$O4444=1,$L4444="Débit",N($Q4444)&gt;0,$A4444&gt;=Visualisation!$B$1,$A4444&lt;Visualisation!$D$1),MAX($V$1:V4443)+1,"")</f>
        <v/>
      </c>
    </row>
    <row r="4445" spans="1:22" x14ac:dyDescent="0.25">
      <c r="A4445" s="9"/>
      <c r="E4445" s="10"/>
      <c r="K4445" s="11" t="str">
        <f>IF($E4445="","",ROUND($E4445*IF(ISNA(MATCH($C4445,'Paramètres'!$D:$D,0)),1,IF(INDEX('Paramètres'!$J:$J,MATCH($C4445,'Paramètres'!$D:$D,0))="",1,INDEX('Paramètres'!$J:$J,MATCH($C4445,'Paramètres'!$D:$D,0)))),2))</f>
        <v/>
      </c>
      <c r="L4445" s="6" t="str">
        <f>IF($D4445="","",IF($F4445&lt;&gt;"",$F4445,IF(ISNA(MATCH($D4445,'Paramètres'!$M:$M,0)),"⚠ Type inconnu",IFERROR(INDEX('Paramètres'!$P:$P,MATCH($D4445,'Paramètres'!$M:$M,0))&amp;"",""))))</f>
        <v/>
      </c>
      <c r="M4445" s="6" t="str">
        <f>IF($D4445="","",IF(ISNA(MATCH($D4445,'Paramètres'!$M:$M,0)),"⚠ Type inconnu",IF($L4445="Crédit","",IFERROR(INDEX('Paramètres'!$O:$O,MATCH($D4445,'Paramètres'!$M:$M,0))&amp;"",""))))</f>
        <v/>
      </c>
      <c r="N4445" s="6" t="str">
        <f>IF($D4445="","",IFERROR(INDEX('Paramètres'!$Q:$Q,MATCH($D4445,'Paramètres'!$M:$M,0))&amp;"",""))</f>
        <v/>
      </c>
      <c r="O4445" s="6" t="str">
        <f>IF($A4445="","",IF(OR($J4445&lt;&gt;"x",$A4445&lt;=FinReleve),1,0))</f>
        <v/>
      </c>
      <c r="P4445" s="6" t="str">
        <f>IF($D4445="","",IF(AND($L4445="Crédit",OR(IFERROR(INDEX('Paramètres'!$O:$O,MATCH($D4445,'Paramètres'!$M:$M,0))&amp;"","")&lt;&gt;"",ISNUMBER(SEARCH("remboursement",IFERROR(INDEX('Paramètres'!$N:$N,MATCH($D4445,'Paramètres'!$M:$M,0))&amp;"",""))))),1,0))</f>
        <v/>
      </c>
      <c r="Q4445" s="6" t="str">
        <f>IF($K4445="","",IF(ISNUMBER(SEARCH("transfert-interne",IFERROR(INDEX('Paramètres'!$N:$N,MATCH($D4445,'Paramètres'!$M:$M,0))&amp;"",""))),0,IF($L4445="Débit",$K4445,IF($P4445=1,-$K4445,0))))</f>
        <v/>
      </c>
      <c r="R4445" s="6" t="str">
        <f>IF($K4445="","",IF($L4445="Crédit",$K4445,-$K4445))</f>
        <v/>
      </c>
      <c r="S4445" s="6" t="str">
        <f>IF($C4445="","",IFERROR(INDEX('Paramètres'!$H:$H,MATCH($C4445,'Paramètres'!$D:$D,0))&amp;"",""))</f>
        <v/>
      </c>
      <c r="T4445" s="6" t="str">
        <f>IF($K4445="","",IF($S4445="",0,IF(ISNUMBER(SEARCH("apport-exterieur",IFERROR(INDEX('Paramètres'!$N:$N,MATCH($D4445,'Paramètres'!$M:$M,0))&amp;"",""))),0,IF(OR(IFERROR(INDEX('Paramètres'!$I:$I,MATCH($C4445,'Paramètres'!$D:$D,0))&amp;"","")="Les deux",IFERROR(INDEX('Paramètres'!$I:$I,MATCH($C4445,'Paramètres'!$D:$D,0))&amp;"","")=IF($P4445=1,"Débit",$L4445)),-IF($P4445=1,-$K4445,$K4445),0))))</f>
        <v/>
      </c>
      <c r="U4445" s="6" t="str">
        <f>IF($K4445="","",IF(ISNUMBER(SEARCH("sortie-epargne",IFERROR(INDEX('Paramètres'!$N:$N,MATCH($D4445,'Paramètres'!$M:$M,0))&amp;"",""))),$K4445,0))</f>
        <v/>
      </c>
      <c r="V4445" s="6" t="str">
        <f>IF(AND($A4445&lt;&gt;"",$O4445=1,$L4445="Débit",N($Q4445)&gt;0,$A4445&gt;=Visualisation!$B$1,$A4445&lt;Visualisation!$D$1),MAX($V$1:V4444)+1,"")</f>
        <v/>
      </c>
    </row>
    <row r="4446" spans="1:22" x14ac:dyDescent="0.25">
      <c r="A4446" s="9"/>
      <c r="E4446" s="10"/>
      <c r="K4446" s="11" t="str">
        <f>IF($E4446="","",ROUND($E4446*IF(ISNA(MATCH($C4446,'Paramètres'!$D:$D,0)),1,IF(INDEX('Paramètres'!$J:$J,MATCH($C4446,'Paramètres'!$D:$D,0))="",1,INDEX('Paramètres'!$J:$J,MATCH($C4446,'Paramètres'!$D:$D,0)))),2))</f>
        <v/>
      </c>
      <c r="L4446" s="6" t="str">
        <f>IF($D4446="","",IF($F4446&lt;&gt;"",$F4446,IF(ISNA(MATCH($D4446,'Paramètres'!$M:$M,0)),"⚠ Type inconnu",IFERROR(INDEX('Paramètres'!$P:$P,MATCH($D4446,'Paramètres'!$M:$M,0))&amp;"",""))))</f>
        <v/>
      </c>
      <c r="M4446" s="6" t="str">
        <f>IF($D4446="","",IF(ISNA(MATCH($D4446,'Paramètres'!$M:$M,0)),"⚠ Type inconnu",IF($L4446="Crédit","",IFERROR(INDEX('Paramètres'!$O:$O,MATCH($D4446,'Paramètres'!$M:$M,0))&amp;"",""))))</f>
        <v/>
      </c>
      <c r="N4446" s="6" t="str">
        <f>IF($D4446="","",IFERROR(INDEX('Paramètres'!$Q:$Q,MATCH($D4446,'Paramètres'!$M:$M,0))&amp;"",""))</f>
        <v/>
      </c>
      <c r="O4446" s="6" t="str">
        <f>IF($A4446="","",IF(OR($J4446&lt;&gt;"x",$A4446&lt;=FinReleve),1,0))</f>
        <v/>
      </c>
      <c r="P4446" s="6" t="str">
        <f>IF($D4446="","",IF(AND($L4446="Crédit",OR(IFERROR(INDEX('Paramètres'!$O:$O,MATCH($D4446,'Paramètres'!$M:$M,0))&amp;"","")&lt;&gt;"",ISNUMBER(SEARCH("remboursement",IFERROR(INDEX('Paramètres'!$N:$N,MATCH($D4446,'Paramètres'!$M:$M,0))&amp;"",""))))),1,0))</f>
        <v/>
      </c>
      <c r="Q4446" s="6" t="str">
        <f>IF($K4446="","",IF(ISNUMBER(SEARCH("transfert-interne",IFERROR(INDEX('Paramètres'!$N:$N,MATCH($D4446,'Paramètres'!$M:$M,0))&amp;"",""))),0,IF($L4446="Débit",$K4446,IF($P4446=1,-$K4446,0))))</f>
        <v/>
      </c>
      <c r="R4446" s="6" t="str">
        <f>IF($K4446="","",IF($L4446="Crédit",$K4446,-$K4446))</f>
        <v/>
      </c>
      <c r="S4446" s="6" t="str">
        <f>IF($C4446="","",IFERROR(INDEX('Paramètres'!$H:$H,MATCH($C4446,'Paramètres'!$D:$D,0))&amp;"",""))</f>
        <v/>
      </c>
      <c r="T4446" s="6" t="str">
        <f>IF($K4446="","",IF($S4446="",0,IF(ISNUMBER(SEARCH("apport-exterieur",IFERROR(INDEX('Paramètres'!$N:$N,MATCH($D4446,'Paramètres'!$M:$M,0))&amp;"",""))),0,IF(OR(IFERROR(INDEX('Paramètres'!$I:$I,MATCH($C4446,'Paramètres'!$D:$D,0))&amp;"","")="Les deux",IFERROR(INDEX('Paramètres'!$I:$I,MATCH($C4446,'Paramètres'!$D:$D,0))&amp;"","")=IF($P4446=1,"Débit",$L4446)),-IF($P4446=1,-$K4446,$K4446),0))))</f>
        <v/>
      </c>
      <c r="U4446" s="6" t="str">
        <f>IF($K4446="","",IF(ISNUMBER(SEARCH("sortie-epargne",IFERROR(INDEX('Paramètres'!$N:$N,MATCH($D4446,'Paramètres'!$M:$M,0))&amp;"",""))),$K4446,0))</f>
        <v/>
      </c>
      <c r="V4446" s="6" t="str">
        <f>IF(AND($A4446&lt;&gt;"",$O4446=1,$L4446="Débit",N($Q4446)&gt;0,$A4446&gt;=Visualisation!$B$1,$A4446&lt;Visualisation!$D$1),MAX($V$1:V4445)+1,"")</f>
        <v/>
      </c>
    </row>
    <row r="4447" spans="1:22" x14ac:dyDescent="0.25">
      <c r="A4447" s="9"/>
      <c r="E4447" s="10"/>
      <c r="K4447" s="11" t="str">
        <f>IF($E4447="","",ROUND($E4447*IF(ISNA(MATCH($C4447,'Paramètres'!$D:$D,0)),1,IF(INDEX('Paramètres'!$J:$J,MATCH($C4447,'Paramètres'!$D:$D,0))="",1,INDEX('Paramètres'!$J:$J,MATCH($C4447,'Paramètres'!$D:$D,0)))),2))</f>
        <v/>
      </c>
      <c r="L4447" s="6" t="str">
        <f>IF($D4447="","",IF($F4447&lt;&gt;"",$F4447,IF(ISNA(MATCH($D4447,'Paramètres'!$M:$M,0)),"⚠ Type inconnu",IFERROR(INDEX('Paramètres'!$P:$P,MATCH($D4447,'Paramètres'!$M:$M,0))&amp;"",""))))</f>
        <v/>
      </c>
      <c r="M4447" s="6" t="str">
        <f>IF($D4447="","",IF(ISNA(MATCH($D4447,'Paramètres'!$M:$M,0)),"⚠ Type inconnu",IF($L4447="Crédit","",IFERROR(INDEX('Paramètres'!$O:$O,MATCH($D4447,'Paramètres'!$M:$M,0))&amp;"",""))))</f>
        <v/>
      </c>
      <c r="N4447" s="6" t="str">
        <f>IF($D4447="","",IFERROR(INDEX('Paramètres'!$Q:$Q,MATCH($D4447,'Paramètres'!$M:$M,0))&amp;"",""))</f>
        <v/>
      </c>
      <c r="O4447" s="6" t="str">
        <f>IF($A4447="","",IF(OR($J4447&lt;&gt;"x",$A4447&lt;=FinReleve),1,0))</f>
        <v/>
      </c>
      <c r="P4447" s="6" t="str">
        <f>IF($D4447="","",IF(AND($L4447="Crédit",OR(IFERROR(INDEX('Paramètres'!$O:$O,MATCH($D4447,'Paramètres'!$M:$M,0))&amp;"","")&lt;&gt;"",ISNUMBER(SEARCH("remboursement",IFERROR(INDEX('Paramètres'!$N:$N,MATCH($D4447,'Paramètres'!$M:$M,0))&amp;"",""))))),1,0))</f>
        <v/>
      </c>
      <c r="Q4447" s="6" t="str">
        <f>IF($K4447="","",IF(ISNUMBER(SEARCH("transfert-interne",IFERROR(INDEX('Paramètres'!$N:$N,MATCH($D4447,'Paramètres'!$M:$M,0))&amp;"",""))),0,IF($L4447="Débit",$K4447,IF($P4447=1,-$K4447,0))))</f>
        <v/>
      </c>
      <c r="R4447" s="6" t="str">
        <f>IF($K4447="","",IF($L4447="Crédit",$K4447,-$K4447))</f>
        <v/>
      </c>
      <c r="S4447" s="6" t="str">
        <f>IF($C4447="","",IFERROR(INDEX('Paramètres'!$H:$H,MATCH($C4447,'Paramètres'!$D:$D,0))&amp;"",""))</f>
        <v/>
      </c>
      <c r="T4447" s="6" t="str">
        <f>IF($K4447="","",IF($S4447="",0,IF(ISNUMBER(SEARCH("apport-exterieur",IFERROR(INDEX('Paramètres'!$N:$N,MATCH($D4447,'Paramètres'!$M:$M,0))&amp;"",""))),0,IF(OR(IFERROR(INDEX('Paramètres'!$I:$I,MATCH($C4447,'Paramètres'!$D:$D,0))&amp;"","")="Les deux",IFERROR(INDEX('Paramètres'!$I:$I,MATCH($C4447,'Paramètres'!$D:$D,0))&amp;"","")=IF($P4447=1,"Débit",$L4447)),-IF($P4447=1,-$K4447,$K4447),0))))</f>
        <v/>
      </c>
      <c r="U4447" s="6" t="str">
        <f>IF($K4447="","",IF(ISNUMBER(SEARCH("sortie-epargne",IFERROR(INDEX('Paramètres'!$N:$N,MATCH($D4447,'Paramètres'!$M:$M,0))&amp;"",""))),$K4447,0))</f>
        <v/>
      </c>
      <c r="V4447" s="6" t="str">
        <f>IF(AND($A4447&lt;&gt;"",$O4447=1,$L4447="Débit",N($Q4447)&gt;0,$A4447&gt;=Visualisation!$B$1,$A4447&lt;Visualisation!$D$1),MAX($V$1:V4446)+1,"")</f>
        <v/>
      </c>
    </row>
    <row r="4448" spans="1:22" x14ac:dyDescent="0.25">
      <c r="A4448" s="9"/>
      <c r="E4448" s="10"/>
      <c r="K4448" s="11" t="str">
        <f>IF($E4448="","",ROUND($E4448*IF(ISNA(MATCH($C4448,'Paramètres'!$D:$D,0)),1,IF(INDEX('Paramètres'!$J:$J,MATCH($C4448,'Paramètres'!$D:$D,0))="",1,INDEX('Paramètres'!$J:$J,MATCH($C4448,'Paramètres'!$D:$D,0)))),2))</f>
        <v/>
      </c>
      <c r="L4448" s="6" t="str">
        <f>IF($D4448="","",IF($F4448&lt;&gt;"",$F4448,IF(ISNA(MATCH($D4448,'Paramètres'!$M:$M,0)),"⚠ Type inconnu",IFERROR(INDEX('Paramètres'!$P:$P,MATCH($D4448,'Paramètres'!$M:$M,0))&amp;"",""))))</f>
        <v/>
      </c>
      <c r="M4448" s="6" t="str">
        <f>IF($D4448="","",IF(ISNA(MATCH($D4448,'Paramètres'!$M:$M,0)),"⚠ Type inconnu",IF($L4448="Crédit","",IFERROR(INDEX('Paramètres'!$O:$O,MATCH($D4448,'Paramètres'!$M:$M,0))&amp;"",""))))</f>
        <v/>
      </c>
      <c r="N4448" s="6" t="str">
        <f>IF($D4448="","",IFERROR(INDEX('Paramètres'!$Q:$Q,MATCH($D4448,'Paramètres'!$M:$M,0))&amp;"",""))</f>
        <v/>
      </c>
      <c r="O4448" s="6" t="str">
        <f>IF($A4448="","",IF(OR($J4448&lt;&gt;"x",$A4448&lt;=FinReleve),1,0))</f>
        <v/>
      </c>
      <c r="P4448" s="6" t="str">
        <f>IF($D4448="","",IF(AND($L4448="Crédit",OR(IFERROR(INDEX('Paramètres'!$O:$O,MATCH($D4448,'Paramètres'!$M:$M,0))&amp;"","")&lt;&gt;"",ISNUMBER(SEARCH("remboursement",IFERROR(INDEX('Paramètres'!$N:$N,MATCH($D4448,'Paramètres'!$M:$M,0))&amp;"",""))))),1,0))</f>
        <v/>
      </c>
      <c r="Q4448" s="6" t="str">
        <f>IF($K4448="","",IF(ISNUMBER(SEARCH("transfert-interne",IFERROR(INDEX('Paramètres'!$N:$N,MATCH($D4448,'Paramètres'!$M:$M,0))&amp;"",""))),0,IF($L4448="Débit",$K4448,IF($P4448=1,-$K4448,0))))</f>
        <v/>
      </c>
      <c r="R4448" s="6" t="str">
        <f>IF($K4448="","",IF($L4448="Crédit",$K4448,-$K4448))</f>
        <v/>
      </c>
      <c r="S4448" s="6" t="str">
        <f>IF($C4448="","",IFERROR(INDEX('Paramètres'!$H:$H,MATCH($C4448,'Paramètres'!$D:$D,0))&amp;"",""))</f>
        <v/>
      </c>
      <c r="T4448" s="6" t="str">
        <f>IF($K4448="","",IF($S4448="",0,IF(ISNUMBER(SEARCH("apport-exterieur",IFERROR(INDEX('Paramètres'!$N:$N,MATCH($D4448,'Paramètres'!$M:$M,0))&amp;"",""))),0,IF(OR(IFERROR(INDEX('Paramètres'!$I:$I,MATCH($C4448,'Paramètres'!$D:$D,0))&amp;"","")="Les deux",IFERROR(INDEX('Paramètres'!$I:$I,MATCH($C4448,'Paramètres'!$D:$D,0))&amp;"","")=IF($P4448=1,"Débit",$L4448)),-IF($P4448=1,-$K4448,$K4448),0))))</f>
        <v/>
      </c>
      <c r="U4448" s="6" t="str">
        <f>IF($K4448="","",IF(ISNUMBER(SEARCH("sortie-epargne",IFERROR(INDEX('Paramètres'!$N:$N,MATCH($D4448,'Paramètres'!$M:$M,0))&amp;"",""))),$K4448,0))</f>
        <v/>
      </c>
      <c r="V4448" s="6" t="str">
        <f>IF(AND($A4448&lt;&gt;"",$O4448=1,$L4448="Débit",N($Q4448)&gt;0,$A4448&gt;=Visualisation!$B$1,$A4448&lt;Visualisation!$D$1),MAX($V$1:V4447)+1,"")</f>
        <v/>
      </c>
    </row>
    <row r="4449" spans="1:22" x14ac:dyDescent="0.25">
      <c r="A4449" s="9"/>
      <c r="E4449" s="10"/>
      <c r="K4449" s="11" t="str">
        <f>IF($E4449="","",ROUND($E4449*IF(ISNA(MATCH($C4449,'Paramètres'!$D:$D,0)),1,IF(INDEX('Paramètres'!$J:$J,MATCH($C4449,'Paramètres'!$D:$D,0))="",1,INDEX('Paramètres'!$J:$J,MATCH($C4449,'Paramètres'!$D:$D,0)))),2))</f>
        <v/>
      </c>
      <c r="L4449" s="6" t="str">
        <f>IF($D4449="","",IF($F4449&lt;&gt;"",$F4449,IF(ISNA(MATCH($D4449,'Paramètres'!$M:$M,0)),"⚠ Type inconnu",IFERROR(INDEX('Paramètres'!$P:$P,MATCH($D4449,'Paramètres'!$M:$M,0))&amp;"",""))))</f>
        <v/>
      </c>
      <c r="M4449" s="6" t="str">
        <f>IF($D4449="","",IF(ISNA(MATCH($D4449,'Paramètres'!$M:$M,0)),"⚠ Type inconnu",IF($L4449="Crédit","",IFERROR(INDEX('Paramètres'!$O:$O,MATCH($D4449,'Paramètres'!$M:$M,0))&amp;"",""))))</f>
        <v/>
      </c>
      <c r="N4449" s="6" t="str">
        <f>IF($D4449="","",IFERROR(INDEX('Paramètres'!$Q:$Q,MATCH($D4449,'Paramètres'!$M:$M,0))&amp;"",""))</f>
        <v/>
      </c>
      <c r="O4449" s="6" t="str">
        <f>IF($A4449="","",IF(OR($J4449&lt;&gt;"x",$A4449&lt;=FinReleve),1,0))</f>
        <v/>
      </c>
      <c r="P4449" s="6" t="str">
        <f>IF($D4449="","",IF(AND($L4449="Crédit",OR(IFERROR(INDEX('Paramètres'!$O:$O,MATCH($D4449,'Paramètres'!$M:$M,0))&amp;"","")&lt;&gt;"",ISNUMBER(SEARCH("remboursement",IFERROR(INDEX('Paramètres'!$N:$N,MATCH($D4449,'Paramètres'!$M:$M,0))&amp;"",""))))),1,0))</f>
        <v/>
      </c>
      <c r="Q4449" s="6" t="str">
        <f>IF($K4449="","",IF(ISNUMBER(SEARCH("transfert-interne",IFERROR(INDEX('Paramètres'!$N:$N,MATCH($D4449,'Paramètres'!$M:$M,0))&amp;"",""))),0,IF($L4449="Débit",$K4449,IF($P4449=1,-$K4449,0))))</f>
        <v/>
      </c>
      <c r="R4449" s="6" t="str">
        <f>IF($K4449="","",IF($L4449="Crédit",$K4449,-$K4449))</f>
        <v/>
      </c>
      <c r="S4449" s="6" t="str">
        <f>IF($C4449="","",IFERROR(INDEX('Paramètres'!$H:$H,MATCH($C4449,'Paramètres'!$D:$D,0))&amp;"",""))</f>
        <v/>
      </c>
      <c r="T4449" s="6" t="str">
        <f>IF($K4449="","",IF($S4449="",0,IF(ISNUMBER(SEARCH("apport-exterieur",IFERROR(INDEX('Paramètres'!$N:$N,MATCH($D4449,'Paramètres'!$M:$M,0))&amp;"",""))),0,IF(OR(IFERROR(INDEX('Paramètres'!$I:$I,MATCH($C4449,'Paramètres'!$D:$D,0))&amp;"","")="Les deux",IFERROR(INDEX('Paramètres'!$I:$I,MATCH($C4449,'Paramètres'!$D:$D,0))&amp;"","")=IF($P4449=1,"Débit",$L4449)),-IF($P4449=1,-$K4449,$K4449),0))))</f>
        <v/>
      </c>
      <c r="U4449" s="6" t="str">
        <f>IF($K4449="","",IF(ISNUMBER(SEARCH("sortie-epargne",IFERROR(INDEX('Paramètres'!$N:$N,MATCH($D4449,'Paramètres'!$M:$M,0))&amp;"",""))),$K4449,0))</f>
        <v/>
      </c>
      <c r="V4449" s="6" t="str">
        <f>IF(AND($A4449&lt;&gt;"",$O4449=1,$L4449="Débit",N($Q4449)&gt;0,$A4449&gt;=Visualisation!$B$1,$A4449&lt;Visualisation!$D$1),MAX($V$1:V4448)+1,"")</f>
        <v/>
      </c>
    </row>
    <row r="4450" spans="1:22" x14ac:dyDescent="0.25">
      <c r="A4450" s="9"/>
      <c r="E4450" s="10"/>
      <c r="K4450" s="11" t="str">
        <f>IF($E4450="","",ROUND($E4450*IF(ISNA(MATCH($C4450,'Paramètres'!$D:$D,0)),1,IF(INDEX('Paramètres'!$J:$J,MATCH($C4450,'Paramètres'!$D:$D,0))="",1,INDEX('Paramètres'!$J:$J,MATCH($C4450,'Paramètres'!$D:$D,0)))),2))</f>
        <v/>
      </c>
      <c r="L4450" s="6" t="str">
        <f>IF($D4450="","",IF($F4450&lt;&gt;"",$F4450,IF(ISNA(MATCH($D4450,'Paramètres'!$M:$M,0)),"⚠ Type inconnu",IFERROR(INDEX('Paramètres'!$P:$P,MATCH($D4450,'Paramètres'!$M:$M,0))&amp;"",""))))</f>
        <v/>
      </c>
      <c r="M4450" s="6" t="str">
        <f>IF($D4450="","",IF(ISNA(MATCH($D4450,'Paramètres'!$M:$M,0)),"⚠ Type inconnu",IF($L4450="Crédit","",IFERROR(INDEX('Paramètres'!$O:$O,MATCH($D4450,'Paramètres'!$M:$M,0))&amp;"",""))))</f>
        <v/>
      </c>
      <c r="N4450" s="6" t="str">
        <f>IF($D4450="","",IFERROR(INDEX('Paramètres'!$Q:$Q,MATCH($D4450,'Paramètres'!$M:$M,0))&amp;"",""))</f>
        <v/>
      </c>
      <c r="O4450" s="6" t="str">
        <f>IF($A4450="","",IF(OR($J4450&lt;&gt;"x",$A4450&lt;=FinReleve),1,0))</f>
        <v/>
      </c>
      <c r="P4450" s="6" t="str">
        <f>IF($D4450="","",IF(AND($L4450="Crédit",OR(IFERROR(INDEX('Paramètres'!$O:$O,MATCH($D4450,'Paramètres'!$M:$M,0))&amp;"","")&lt;&gt;"",ISNUMBER(SEARCH("remboursement",IFERROR(INDEX('Paramètres'!$N:$N,MATCH($D4450,'Paramètres'!$M:$M,0))&amp;"",""))))),1,0))</f>
        <v/>
      </c>
      <c r="Q4450" s="6" t="str">
        <f>IF($K4450="","",IF(ISNUMBER(SEARCH("transfert-interne",IFERROR(INDEX('Paramètres'!$N:$N,MATCH($D4450,'Paramètres'!$M:$M,0))&amp;"",""))),0,IF($L4450="Débit",$K4450,IF($P4450=1,-$K4450,0))))</f>
        <v/>
      </c>
      <c r="R4450" s="6" t="str">
        <f>IF($K4450="","",IF($L4450="Crédit",$K4450,-$K4450))</f>
        <v/>
      </c>
      <c r="S4450" s="6" t="str">
        <f>IF($C4450="","",IFERROR(INDEX('Paramètres'!$H:$H,MATCH($C4450,'Paramètres'!$D:$D,0))&amp;"",""))</f>
        <v/>
      </c>
      <c r="T4450" s="6" t="str">
        <f>IF($K4450="","",IF($S4450="",0,IF(ISNUMBER(SEARCH("apport-exterieur",IFERROR(INDEX('Paramètres'!$N:$N,MATCH($D4450,'Paramètres'!$M:$M,0))&amp;"",""))),0,IF(OR(IFERROR(INDEX('Paramètres'!$I:$I,MATCH($C4450,'Paramètres'!$D:$D,0))&amp;"","")="Les deux",IFERROR(INDEX('Paramètres'!$I:$I,MATCH($C4450,'Paramètres'!$D:$D,0))&amp;"","")=IF($P4450=1,"Débit",$L4450)),-IF($P4450=1,-$K4450,$K4450),0))))</f>
        <v/>
      </c>
      <c r="U4450" s="6" t="str">
        <f>IF($K4450="","",IF(ISNUMBER(SEARCH("sortie-epargne",IFERROR(INDEX('Paramètres'!$N:$N,MATCH($D4450,'Paramètres'!$M:$M,0))&amp;"",""))),$K4450,0))</f>
        <v/>
      </c>
      <c r="V4450" s="6" t="str">
        <f>IF(AND($A4450&lt;&gt;"",$O4450=1,$L4450="Débit",N($Q4450)&gt;0,$A4450&gt;=Visualisation!$B$1,$A4450&lt;Visualisation!$D$1),MAX($V$1:V4449)+1,"")</f>
        <v/>
      </c>
    </row>
    <row r="4451" spans="1:22" x14ac:dyDescent="0.25">
      <c r="A4451" s="9"/>
      <c r="E4451" s="10"/>
      <c r="K4451" s="11" t="str">
        <f>IF($E4451="","",ROUND($E4451*IF(ISNA(MATCH($C4451,'Paramètres'!$D:$D,0)),1,IF(INDEX('Paramètres'!$J:$J,MATCH($C4451,'Paramètres'!$D:$D,0))="",1,INDEX('Paramètres'!$J:$J,MATCH($C4451,'Paramètres'!$D:$D,0)))),2))</f>
        <v/>
      </c>
      <c r="L4451" s="6" t="str">
        <f>IF($D4451="","",IF($F4451&lt;&gt;"",$F4451,IF(ISNA(MATCH($D4451,'Paramètres'!$M:$M,0)),"⚠ Type inconnu",IFERROR(INDEX('Paramètres'!$P:$P,MATCH($D4451,'Paramètres'!$M:$M,0))&amp;"",""))))</f>
        <v/>
      </c>
      <c r="M4451" s="6" t="str">
        <f>IF($D4451="","",IF(ISNA(MATCH($D4451,'Paramètres'!$M:$M,0)),"⚠ Type inconnu",IF($L4451="Crédit","",IFERROR(INDEX('Paramètres'!$O:$O,MATCH($D4451,'Paramètres'!$M:$M,0))&amp;"",""))))</f>
        <v/>
      </c>
      <c r="N4451" s="6" t="str">
        <f>IF($D4451="","",IFERROR(INDEX('Paramètres'!$Q:$Q,MATCH($D4451,'Paramètres'!$M:$M,0))&amp;"",""))</f>
        <v/>
      </c>
      <c r="O4451" s="6" t="str">
        <f>IF($A4451="","",IF(OR($J4451&lt;&gt;"x",$A4451&lt;=FinReleve),1,0))</f>
        <v/>
      </c>
      <c r="P4451" s="6" t="str">
        <f>IF($D4451="","",IF(AND($L4451="Crédit",OR(IFERROR(INDEX('Paramètres'!$O:$O,MATCH($D4451,'Paramètres'!$M:$M,0))&amp;"","")&lt;&gt;"",ISNUMBER(SEARCH("remboursement",IFERROR(INDEX('Paramètres'!$N:$N,MATCH($D4451,'Paramètres'!$M:$M,0))&amp;"",""))))),1,0))</f>
        <v/>
      </c>
      <c r="Q4451" s="6" t="str">
        <f>IF($K4451="","",IF(ISNUMBER(SEARCH("transfert-interne",IFERROR(INDEX('Paramètres'!$N:$N,MATCH($D4451,'Paramètres'!$M:$M,0))&amp;"",""))),0,IF($L4451="Débit",$K4451,IF($P4451=1,-$K4451,0))))</f>
        <v/>
      </c>
      <c r="R4451" s="6" t="str">
        <f>IF($K4451="","",IF($L4451="Crédit",$K4451,-$K4451))</f>
        <v/>
      </c>
      <c r="S4451" s="6" t="str">
        <f>IF($C4451="","",IFERROR(INDEX('Paramètres'!$H:$H,MATCH($C4451,'Paramètres'!$D:$D,0))&amp;"",""))</f>
        <v/>
      </c>
      <c r="T4451" s="6" t="str">
        <f>IF($K4451="","",IF($S4451="",0,IF(ISNUMBER(SEARCH("apport-exterieur",IFERROR(INDEX('Paramètres'!$N:$N,MATCH($D4451,'Paramètres'!$M:$M,0))&amp;"",""))),0,IF(OR(IFERROR(INDEX('Paramètres'!$I:$I,MATCH($C4451,'Paramètres'!$D:$D,0))&amp;"","")="Les deux",IFERROR(INDEX('Paramètres'!$I:$I,MATCH($C4451,'Paramètres'!$D:$D,0))&amp;"","")=IF($P4451=1,"Débit",$L4451)),-IF($P4451=1,-$K4451,$K4451),0))))</f>
        <v/>
      </c>
      <c r="U4451" s="6" t="str">
        <f>IF($K4451="","",IF(ISNUMBER(SEARCH("sortie-epargne",IFERROR(INDEX('Paramètres'!$N:$N,MATCH($D4451,'Paramètres'!$M:$M,0))&amp;"",""))),$K4451,0))</f>
        <v/>
      </c>
      <c r="V4451" s="6" t="str">
        <f>IF(AND($A4451&lt;&gt;"",$O4451=1,$L4451="Débit",N($Q4451)&gt;0,$A4451&gt;=Visualisation!$B$1,$A4451&lt;Visualisation!$D$1),MAX($V$1:V4450)+1,"")</f>
        <v/>
      </c>
    </row>
    <row r="4452" spans="1:22" x14ac:dyDescent="0.25">
      <c r="A4452" s="9"/>
      <c r="E4452" s="10"/>
      <c r="K4452" s="11" t="str">
        <f>IF($E4452="","",ROUND($E4452*IF(ISNA(MATCH($C4452,'Paramètres'!$D:$D,0)),1,IF(INDEX('Paramètres'!$J:$J,MATCH($C4452,'Paramètres'!$D:$D,0))="",1,INDEX('Paramètres'!$J:$J,MATCH($C4452,'Paramètres'!$D:$D,0)))),2))</f>
        <v/>
      </c>
      <c r="L4452" s="6" t="str">
        <f>IF($D4452="","",IF($F4452&lt;&gt;"",$F4452,IF(ISNA(MATCH($D4452,'Paramètres'!$M:$M,0)),"⚠ Type inconnu",IFERROR(INDEX('Paramètres'!$P:$P,MATCH($D4452,'Paramètres'!$M:$M,0))&amp;"",""))))</f>
        <v/>
      </c>
      <c r="M4452" s="6" t="str">
        <f>IF($D4452="","",IF(ISNA(MATCH($D4452,'Paramètres'!$M:$M,0)),"⚠ Type inconnu",IF($L4452="Crédit","",IFERROR(INDEX('Paramètres'!$O:$O,MATCH($D4452,'Paramètres'!$M:$M,0))&amp;"",""))))</f>
        <v/>
      </c>
      <c r="N4452" s="6" t="str">
        <f>IF($D4452="","",IFERROR(INDEX('Paramètres'!$Q:$Q,MATCH($D4452,'Paramètres'!$M:$M,0))&amp;"",""))</f>
        <v/>
      </c>
      <c r="O4452" s="6" t="str">
        <f>IF($A4452="","",IF(OR($J4452&lt;&gt;"x",$A4452&lt;=FinReleve),1,0))</f>
        <v/>
      </c>
      <c r="P4452" s="6" t="str">
        <f>IF($D4452="","",IF(AND($L4452="Crédit",OR(IFERROR(INDEX('Paramètres'!$O:$O,MATCH($D4452,'Paramètres'!$M:$M,0))&amp;"","")&lt;&gt;"",ISNUMBER(SEARCH("remboursement",IFERROR(INDEX('Paramètres'!$N:$N,MATCH($D4452,'Paramètres'!$M:$M,0))&amp;"",""))))),1,0))</f>
        <v/>
      </c>
      <c r="Q4452" s="6" t="str">
        <f>IF($K4452="","",IF(ISNUMBER(SEARCH("transfert-interne",IFERROR(INDEX('Paramètres'!$N:$N,MATCH($D4452,'Paramètres'!$M:$M,0))&amp;"",""))),0,IF($L4452="Débit",$K4452,IF($P4452=1,-$K4452,0))))</f>
        <v/>
      </c>
      <c r="R4452" s="6" t="str">
        <f>IF($K4452="","",IF($L4452="Crédit",$K4452,-$K4452))</f>
        <v/>
      </c>
      <c r="S4452" s="6" t="str">
        <f>IF($C4452="","",IFERROR(INDEX('Paramètres'!$H:$H,MATCH($C4452,'Paramètres'!$D:$D,0))&amp;"",""))</f>
        <v/>
      </c>
      <c r="T4452" s="6" t="str">
        <f>IF($K4452="","",IF($S4452="",0,IF(ISNUMBER(SEARCH("apport-exterieur",IFERROR(INDEX('Paramètres'!$N:$N,MATCH($D4452,'Paramètres'!$M:$M,0))&amp;"",""))),0,IF(OR(IFERROR(INDEX('Paramètres'!$I:$I,MATCH($C4452,'Paramètres'!$D:$D,0))&amp;"","")="Les deux",IFERROR(INDEX('Paramètres'!$I:$I,MATCH($C4452,'Paramètres'!$D:$D,0))&amp;"","")=IF($P4452=1,"Débit",$L4452)),-IF($P4452=1,-$K4452,$K4452),0))))</f>
        <v/>
      </c>
      <c r="U4452" s="6" t="str">
        <f>IF($K4452="","",IF(ISNUMBER(SEARCH("sortie-epargne",IFERROR(INDEX('Paramètres'!$N:$N,MATCH($D4452,'Paramètres'!$M:$M,0))&amp;"",""))),$K4452,0))</f>
        <v/>
      </c>
      <c r="V4452" s="6" t="str">
        <f>IF(AND($A4452&lt;&gt;"",$O4452=1,$L4452="Débit",N($Q4452)&gt;0,$A4452&gt;=Visualisation!$B$1,$A4452&lt;Visualisation!$D$1),MAX($V$1:V4451)+1,"")</f>
        <v/>
      </c>
    </row>
    <row r="4453" spans="1:22" x14ac:dyDescent="0.25">
      <c r="A4453" s="9"/>
      <c r="E4453" s="10"/>
      <c r="K4453" s="11" t="str">
        <f>IF($E4453="","",ROUND($E4453*IF(ISNA(MATCH($C4453,'Paramètres'!$D:$D,0)),1,IF(INDEX('Paramètres'!$J:$J,MATCH($C4453,'Paramètres'!$D:$D,0))="",1,INDEX('Paramètres'!$J:$J,MATCH($C4453,'Paramètres'!$D:$D,0)))),2))</f>
        <v/>
      </c>
      <c r="L4453" s="6" t="str">
        <f>IF($D4453="","",IF($F4453&lt;&gt;"",$F4453,IF(ISNA(MATCH($D4453,'Paramètres'!$M:$M,0)),"⚠ Type inconnu",IFERROR(INDEX('Paramètres'!$P:$P,MATCH($D4453,'Paramètres'!$M:$M,0))&amp;"",""))))</f>
        <v/>
      </c>
      <c r="M4453" s="6" t="str">
        <f>IF($D4453="","",IF(ISNA(MATCH($D4453,'Paramètres'!$M:$M,0)),"⚠ Type inconnu",IF($L4453="Crédit","",IFERROR(INDEX('Paramètres'!$O:$O,MATCH($D4453,'Paramètres'!$M:$M,0))&amp;"",""))))</f>
        <v/>
      </c>
      <c r="N4453" s="6" t="str">
        <f>IF($D4453="","",IFERROR(INDEX('Paramètres'!$Q:$Q,MATCH($D4453,'Paramètres'!$M:$M,0))&amp;"",""))</f>
        <v/>
      </c>
      <c r="O4453" s="6" t="str">
        <f>IF($A4453="","",IF(OR($J4453&lt;&gt;"x",$A4453&lt;=FinReleve),1,0))</f>
        <v/>
      </c>
      <c r="P4453" s="6" t="str">
        <f>IF($D4453="","",IF(AND($L4453="Crédit",OR(IFERROR(INDEX('Paramètres'!$O:$O,MATCH($D4453,'Paramètres'!$M:$M,0))&amp;"","")&lt;&gt;"",ISNUMBER(SEARCH("remboursement",IFERROR(INDEX('Paramètres'!$N:$N,MATCH($D4453,'Paramètres'!$M:$M,0))&amp;"",""))))),1,0))</f>
        <v/>
      </c>
      <c r="Q4453" s="6" t="str">
        <f>IF($K4453="","",IF(ISNUMBER(SEARCH("transfert-interne",IFERROR(INDEX('Paramètres'!$N:$N,MATCH($D4453,'Paramètres'!$M:$M,0))&amp;"",""))),0,IF($L4453="Débit",$K4453,IF($P4453=1,-$K4453,0))))</f>
        <v/>
      </c>
      <c r="R4453" s="6" t="str">
        <f>IF($K4453="","",IF($L4453="Crédit",$K4453,-$K4453))</f>
        <v/>
      </c>
      <c r="S4453" s="6" t="str">
        <f>IF($C4453="","",IFERROR(INDEX('Paramètres'!$H:$H,MATCH($C4453,'Paramètres'!$D:$D,0))&amp;"",""))</f>
        <v/>
      </c>
      <c r="T4453" s="6" t="str">
        <f>IF($K4453="","",IF($S4453="",0,IF(ISNUMBER(SEARCH("apport-exterieur",IFERROR(INDEX('Paramètres'!$N:$N,MATCH($D4453,'Paramètres'!$M:$M,0))&amp;"",""))),0,IF(OR(IFERROR(INDEX('Paramètres'!$I:$I,MATCH($C4453,'Paramètres'!$D:$D,0))&amp;"","")="Les deux",IFERROR(INDEX('Paramètres'!$I:$I,MATCH($C4453,'Paramètres'!$D:$D,0))&amp;"","")=IF($P4453=1,"Débit",$L4453)),-IF($P4453=1,-$K4453,$K4453),0))))</f>
        <v/>
      </c>
      <c r="U4453" s="6" t="str">
        <f>IF($K4453="","",IF(ISNUMBER(SEARCH("sortie-epargne",IFERROR(INDEX('Paramètres'!$N:$N,MATCH($D4453,'Paramètres'!$M:$M,0))&amp;"",""))),$K4453,0))</f>
        <v/>
      </c>
      <c r="V4453" s="6" t="str">
        <f>IF(AND($A4453&lt;&gt;"",$O4453=1,$L4453="Débit",N($Q4453)&gt;0,$A4453&gt;=Visualisation!$B$1,$A4453&lt;Visualisation!$D$1),MAX($V$1:V4452)+1,"")</f>
        <v/>
      </c>
    </row>
    <row r="4454" spans="1:22" x14ac:dyDescent="0.25">
      <c r="A4454" s="9"/>
      <c r="E4454" s="10"/>
      <c r="K4454" s="11" t="str">
        <f>IF($E4454="","",ROUND($E4454*IF(ISNA(MATCH($C4454,'Paramètres'!$D:$D,0)),1,IF(INDEX('Paramètres'!$J:$J,MATCH($C4454,'Paramètres'!$D:$D,0))="",1,INDEX('Paramètres'!$J:$J,MATCH($C4454,'Paramètres'!$D:$D,0)))),2))</f>
        <v/>
      </c>
      <c r="L4454" s="6" t="str">
        <f>IF($D4454="","",IF($F4454&lt;&gt;"",$F4454,IF(ISNA(MATCH($D4454,'Paramètres'!$M:$M,0)),"⚠ Type inconnu",IFERROR(INDEX('Paramètres'!$P:$P,MATCH($D4454,'Paramètres'!$M:$M,0))&amp;"",""))))</f>
        <v/>
      </c>
      <c r="M4454" s="6" t="str">
        <f>IF($D4454="","",IF(ISNA(MATCH($D4454,'Paramètres'!$M:$M,0)),"⚠ Type inconnu",IF($L4454="Crédit","",IFERROR(INDEX('Paramètres'!$O:$O,MATCH($D4454,'Paramètres'!$M:$M,0))&amp;"",""))))</f>
        <v/>
      </c>
      <c r="N4454" s="6" t="str">
        <f>IF($D4454="","",IFERROR(INDEX('Paramètres'!$Q:$Q,MATCH($D4454,'Paramètres'!$M:$M,0))&amp;"",""))</f>
        <v/>
      </c>
      <c r="O4454" s="6" t="str">
        <f>IF($A4454="","",IF(OR($J4454&lt;&gt;"x",$A4454&lt;=FinReleve),1,0))</f>
        <v/>
      </c>
      <c r="P4454" s="6" t="str">
        <f>IF($D4454="","",IF(AND($L4454="Crédit",OR(IFERROR(INDEX('Paramètres'!$O:$O,MATCH($D4454,'Paramètres'!$M:$M,0))&amp;"","")&lt;&gt;"",ISNUMBER(SEARCH("remboursement",IFERROR(INDEX('Paramètres'!$N:$N,MATCH($D4454,'Paramètres'!$M:$M,0))&amp;"",""))))),1,0))</f>
        <v/>
      </c>
      <c r="Q4454" s="6" t="str">
        <f>IF($K4454="","",IF(ISNUMBER(SEARCH("transfert-interne",IFERROR(INDEX('Paramètres'!$N:$N,MATCH($D4454,'Paramètres'!$M:$M,0))&amp;"",""))),0,IF($L4454="Débit",$K4454,IF($P4454=1,-$K4454,0))))</f>
        <v/>
      </c>
      <c r="R4454" s="6" t="str">
        <f>IF($K4454="","",IF($L4454="Crédit",$K4454,-$K4454))</f>
        <v/>
      </c>
      <c r="S4454" s="6" t="str">
        <f>IF($C4454="","",IFERROR(INDEX('Paramètres'!$H:$H,MATCH($C4454,'Paramètres'!$D:$D,0))&amp;"",""))</f>
        <v/>
      </c>
      <c r="T4454" s="6" t="str">
        <f>IF($K4454="","",IF($S4454="",0,IF(ISNUMBER(SEARCH("apport-exterieur",IFERROR(INDEX('Paramètres'!$N:$N,MATCH($D4454,'Paramètres'!$M:$M,0))&amp;"",""))),0,IF(OR(IFERROR(INDEX('Paramètres'!$I:$I,MATCH($C4454,'Paramètres'!$D:$D,0))&amp;"","")="Les deux",IFERROR(INDEX('Paramètres'!$I:$I,MATCH($C4454,'Paramètres'!$D:$D,0))&amp;"","")=IF($P4454=1,"Débit",$L4454)),-IF($P4454=1,-$K4454,$K4454),0))))</f>
        <v/>
      </c>
      <c r="U4454" s="6" t="str">
        <f>IF($K4454="","",IF(ISNUMBER(SEARCH("sortie-epargne",IFERROR(INDEX('Paramètres'!$N:$N,MATCH($D4454,'Paramètres'!$M:$M,0))&amp;"",""))),$K4454,0))</f>
        <v/>
      </c>
      <c r="V4454" s="6" t="str">
        <f>IF(AND($A4454&lt;&gt;"",$O4454=1,$L4454="Débit",N($Q4454)&gt;0,$A4454&gt;=Visualisation!$B$1,$A4454&lt;Visualisation!$D$1),MAX($V$1:V4453)+1,"")</f>
        <v/>
      </c>
    </row>
    <row r="4455" spans="1:22" x14ac:dyDescent="0.25">
      <c r="A4455" s="9"/>
      <c r="E4455" s="10"/>
      <c r="K4455" s="11" t="str">
        <f>IF($E4455="","",ROUND($E4455*IF(ISNA(MATCH($C4455,'Paramètres'!$D:$D,0)),1,IF(INDEX('Paramètres'!$J:$J,MATCH($C4455,'Paramètres'!$D:$D,0))="",1,INDEX('Paramètres'!$J:$J,MATCH($C4455,'Paramètres'!$D:$D,0)))),2))</f>
        <v/>
      </c>
      <c r="L4455" s="6" t="str">
        <f>IF($D4455="","",IF($F4455&lt;&gt;"",$F4455,IF(ISNA(MATCH($D4455,'Paramètres'!$M:$M,0)),"⚠ Type inconnu",IFERROR(INDEX('Paramètres'!$P:$P,MATCH($D4455,'Paramètres'!$M:$M,0))&amp;"",""))))</f>
        <v/>
      </c>
      <c r="M4455" s="6" t="str">
        <f>IF($D4455="","",IF(ISNA(MATCH($D4455,'Paramètres'!$M:$M,0)),"⚠ Type inconnu",IF($L4455="Crédit","",IFERROR(INDEX('Paramètres'!$O:$O,MATCH($D4455,'Paramètres'!$M:$M,0))&amp;"",""))))</f>
        <v/>
      </c>
      <c r="N4455" s="6" t="str">
        <f>IF($D4455="","",IFERROR(INDEX('Paramètres'!$Q:$Q,MATCH($D4455,'Paramètres'!$M:$M,0))&amp;"",""))</f>
        <v/>
      </c>
      <c r="O4455" s="6" t="str">
        <f>IF($A4455="","",IF(OR($J4455&lt;&gt;"x",$A4455&lt;=FinReleve),1,0))</f>
        <v/>
      </c>
      <c r="P4455" s="6" t="str">
        <f>IF($D4455="","",IF(AND($L4455="Crédit",OR(IFERROR(INDEX('Paramètres'!$O:$O,MATCH($D4455,'Paramètres'!$M:$M,0))&amp;"","")&lt;&gt;"",ISNUMBER(SEARCH("remboursement",IFERROR(INDEX('Paramètres'!$N:$N,MATCH($D4455,'Paramètres'!$M:$M,0))&amp;"",""))))),1,0))</f>
        <v/>
      </c>
      <c r="Q4455" s="6" t="str">
        <f>IF($K4455="","",IF(ISNUMBER(SEARCH("transfert-interne",IFERROR(INDEX('Paramètres'!$N:$N,MATCH($D4455,'Paramètres'!$M:$M,0))&amp;"",""))),0,IF($L4455="Débit",$K4455,IF($P4455=1,-$K4455,0))))</f>
        <v/>
      </c>
      <c r="R4455" s="6" t="str">
        <f>IF($K4455="","",IF($L4455="Crédit",$K4455,-$K4455))</f>
        <v/>
      </c>
      <c r="S4455" s="6" t="str">
        <f>IF($C4455="","",IFERROR(INDEX('Paramètres'!$H:$H,MATCH($C4455,'Paramètres'!$D:$D,0))&amp;"",""))</f>
        <v/>
      </c>
      <c r="T4455" s="6" t="str">
        <f>IF($K4455="","",IF($S4455="",0,IF(ISNUMBER(SEARCH("apport-exterieur",IFERROR(INDEX('Paramètres'!$N:$N,MATCH($D4455,'Paramètres'!$M:$M,0))&amp;"",""))),0,IF(OR(IFERROR(INDEX('Paramètres'!$I:$I,MATCH($C4455,'Paramètres'!$D:$D,0))&amp;"","")="Les deux",IFERROR(INDEX('Paramètres'!$I:$I,MATCH($C4455,'Paramètres'!$D:$D,0))&amp;"","")=IF($P4455=1,"Débit",$L4455)),-IF($P4455=1,-$K4455,$K4455),0))))</f>
        <v/>
      </c>
      <c r="U4455" s="6" t="str">
        <f>IF($K4455="","",IF(ISNUMBER(SEARCH("sortie-epargne",IFERROR(INDEX('Paramètres'!$N:$N,MATCH($D4455,'Paramètres'!$M:$M,0))&amp;"",""))),$K4455,0))</f>
        <v/>
      </c>
      <c r="V4455" s="6" t="str">
        <f>IF(AND($A4455&lt;&gt;"",$O4455=1,$L4455="Débit",N($Q4455)&gt;0,$A4455&gt;=Visualisation!$B$1,$A4455&lt;Visualisation!$D$1),MAX($V$1:V4454)+1,"")</f>
        <v/>
      </c>
    </row>
    <row r="4456" spans="1:22" x14ac:dyDescent="0.25">
      <c r="A4456" s="9"/>
      <c r="E4456" s="10"/>
      <c r="K4456" s="11" t="str">
        <f>IF($E4456="","",ROUND($E4456*IF(ISNA(MATCH($C4456,'Paramètres'!$D:$D,0)),1,IF(INDEX('Paramètres'!$J:$J,MATCH($C4456,'Paramètres'!$D:$D,0))="",1,INDEX('Paramètres'!$J:$J,MATCH($C4456,'Paramètres'!$D:$D,0)))),2))</f>
        <v/>
      </c>
      <c r="L4456" s="6" t="str">
        <f>IF($D4456="","",IF($F4456&lt;&gt;"",$F4456,IF(ISNA(MATCH($D4456,'Paramètres'!$M:$M,0)),"⚠ Type inconnu",IFERROR(INDEX('Paramètres'!$P:$P,MATCH($D4456,'Paramètres'!$M:$M,0))&amp;"",""))))</f>
        <v/>
      </c>
      <c r="M4456" s="6" t="str">
        <f>IF($D4456="","",IF(ISNA(MATCH($D4456,'Paramètres'!$M:$M,0)),"⚠ Type inconnu",IF($L4456="Crédit","",IFERROR(INDEX('Paramètres'!$O:$O,MATCH($D4456,'Paramètres'!$M:$M,0))&amp;"",""))))</f>
        <v/>
      </c>
      <c r="N4456" s="6" t="str">
        <f>IF($D4456="","",IFERROR(INDEX('Paramètres'!$Q:$Q,MATCH($D4456,'Paramètres'!$M:$M,0))&amp;"",""))</f>
        <v/>
      </c>
      <c r="O4456" s="6" t="str">
        <f>IF($A4456="","",IF(OR($J4456&lt;&gt;"x",$A4456&lt;=FinReleve),1,0))</f>
        <v/>
      </c>
      <c r="P4456" s="6" t="str">
        <f>IF($D4456="","",IF(AND($L4456="Crédit",OR(IFERROR(INDEX('Paramètres'!$O:$O,MATCH($D4456,'Paramètres'!$M:$M,0))&amp;"","")&lt;&gt;"",ISNUMBER(SEARCH("remboursement",IFERROR(INDEX('Paramètres'!$N:$N,MATCH($D4456,'Paramètres'!$M:$M,0))&amp;"",""))))),1,0))</f>
        <v/>
      </c>
      <c r="Q4456" s="6" t="str">
        <f>IF($K4456="","",IF(ISNUMBER(SEARCH("transfert-interne",IFERROR(INDEX('Paramètres'!$N:$N,MATCH($D4456,'Paramètres'!$M:$M,0))&amp;"",""))),0,IF($L4456="Débit",$K4456,IF($P4456=1,-$K4456,0))))</f>
        <v/>
      </c>
      <c r="R4456" s="6" t="str">
        <f>IF($K4456="","",IF($L4456="Crédit",$K4456,-$K4456))</f>
        <v/>
      </c>
      <c r="S4456" s="6" t="str">
        <f>IF($C4456="","",IFERROR(INDEX('Paramètres'!$H:$H,MATCH($C4456,'Paramètres'!$D:$D,0))&amp;"",""))</f>
        <v/>
      </c>
      <c r="T4456" s="6" t="str">
        <f>IF($K4456="","",IF($S4456="",0,IF(ISNUMBER(SEARCH("apport-exterieur",IFERROR(INDEX('Paramètres'!$N:$N,MATCH($D4456,'Paramètres'!$M:$M,0))&amp;"",""))),0,IF(OR(IFERROR(INDEX('Paramètres'!$I:$I,MATCH($C4456,'Paramètres'!$D:$D,0))&amp;"","")="Les deux",IFERROR(INDEX('Paramètres'!$I:$I,MATCH($C4456,'Paramètres'!$D:$D,0))&amp;"","")=IF($P4456=1,"Débit",$L4456)),-IF($P4456=1,-$K4456,$K4456),0))))</f>
        <v/>
      </c>
      <c r="U4456" s="6" t="str">
        <f>IF($K4456="","",IF(ISNUMBER(SEARCH("sortie-epargne",IFERROR(INDEX('Paramètres'!$N:$N,MATCH($D4456,'Paramètres'!$M:$M,0))&amp;"",""))),$K4456,0))</f>
        <v/>
      </c>
      <c r="V4456" s="6" t="str">
        <f>IF(AND($A4456&lt;&gt;"",$O4456=1,$L4456="Débit",N($Q4456)&gt;0,$A4456&gt;=Visualisation!$B$1,$A4456&lt;Visualisation!$D$1),MAX($V$1:V4455)+1,"")</f>
        <v/>
      </c>
    </row>
    <row r="4457" spans="1:22" x14ac:dyDescent="0.25">
      <c r="A4457" s="9"/>
      <c r="E4457" s="10"/>
      <c r="K4457" s="11" t="str">
        <f>IF($E4457="","",ROUND($E4457*IF(ISNA(MATCH($C4457,'Paramètres'!$D:$D,0)),1,IF(INDEX('Paramètres'!$J:$J,MATCH($C4457,'Paramètres'!$D:$D,0))="",1,INDEX('Paramètres'!$J:$J,MATCH($C4457,'Paramètres'!$D:$D,0)))),2))</f>
        <v/>
      </c>
      <c r="L4457" s="6" t="str">
        <f>IF($D4457="","",IF($F4457&lt;&gt;"",$F4457,IF(ISNA(MATCH($D4457,'Paramètres'!$M:$M,0)),"⚠ Type inconnu",IFERROR(INDEX('Paramètres'!$P:$P,MATCH($D4457,'Paramètres'!$M:$M,0))&amp;"",""))))</f>
        <v/>
      </c>
      <c r="M4457" s="6" t="str">
        <f>IF($D4457="","",IF(ISNA(MATCH($D4457,'Paramètres'!$M:$M,0)),"⚠ Type inconnu",IF($L4457="Crédit","",IFERROR(INDEX('Paramètres'!$O:$O,MATCH($D4457,'Paramètres'!$M:$M,0))&amp;"",""))))</f>
        <v/>
      </c>
      <c r="N4457" s="6" t="str">
        <f>IF($D4457="","",IFERROR(INDEX('Paramètres'!$Q:$Q,MATCH($D4457,'Paramètres'!$M:$M,0))&amp;"",""))</f>
        <v/>
      </c>
      <c r="O4457" s="6" t="str">
        <f>IF($A4457="","",IF(OR($J4457&lt;&gt;"x",$A4457&lt;=FinReleve),1,0))</f>
        <v/>
      </c>
      <c r="P4457" s="6" t="str">
        <f>IF($D4457="","",IF(AND($L4457="Crédit",OR(IFERROR(INDEX('Paramètres'!$O:$O,MATCH($D4457,'Paramètres'!$M:$M,0))&amp;"","")&lt;&gt;"",ISNUMBER(SEARCH("remboursement",IFERROR(INDEX('Paramètres'!$N:$N,MATCH($D4457,'Paramètres'!$M:$M,0))&amp;"",""))))),1,0))</f>
        <v/>
      </c>
      <c r="Q4457" s="6" t="str">
        <f>IF($K4457="","",IF(ISNUMBER(SEARCH("transfert-interne",IFERROR(INDEX('Paramètres'!$N:$N,MATCH($D4457,'Paramètres'!$M:$M,0))&amp;"",""))),0,IF($L4457="Débit",$K4457,IF($P4457=1,-$K4457,0))))</f>
        <v/>
      </c>
      <c r="R4457" s="6" t="str">
        <f>IF($K4457="","",IF($L4457="Crédit",$K4457,-$K4457))</f>
        <v/>
      </c>
      <c r="S4457" s="6" t="str">
        <f>IF($C4457="","",IFERROR(INDEX('Paramètres'!$H:$H,MATCH($C4457,'Paramètres'!$D:$D,0))&amp;"",""))</f>
        <v/>
      </c>
      <c r="T4457" s="6" t="str">
        <f>IF($K4457="","",IF($S4457="",0,IF(ISNUMBER(SEARCH("apport-exterieur",IFERROR(INDEX('Paramètres'!$N:$N,MATCH($D4457,'Paramètres'!$M:$M,0))&amp;"",""))),0,IF(OR(IFERROR(INDEX('Paramètres'!$I:$I,MATCH($C4457,'Paramètres'!$D:$D,0))&amp;"","")="Les deux",IFERROR(INDEX('Paramètres'!$I:$I,MATCH($C4457,'Paramètres'!$D:$D,0))&amp;"","")=IF($P4457=1,"Débit",$L4457)),-IF($P4457=1,-$K4457,$K4457),0))))</f>
        <v/>
      </c>
      <c r="U4457" s="6" t="str">
        <f>IF($K4457="","",IF(ISNUMBER(SEARCH("sortie-epargne",IFERROR(INDEX('Paramètres'!$N:$N,MATCH($D4457,'Paramètres'!$M:$M,0))&amp;"",""))),$K4457,0))</f>
        <v/>
      </c>
      <c r="V4457" s="6" t="str">
        <f>IF(AND($A4457&lt;&gt;"",$O4457=1,$L4457="Débit",N($Q4457)&gt;0,$A4457&gt;=Visualisation!$B$1,$A4457&lt;Visualisation!$D$1),MAX($V$1:V4456)+1,"")</f>
        <v/>
      </c>
    </row>
    <row r="4458" spans="1:22" x14ac:dyDescent="0.25">
      <c r="A4458" s="9"/>
      <c r="E4458" s="10"/>
      <c r="K4458" s="11" t="str">
        <f>IF($E4458="","",ROUND($E4458*IF(ISNA(MATCH($C4458,'Paramètres'!$D:$D,0)),1,IF(INDEX('Paramètres'!$J:$J,MATCH($C4458,'Paramètres'!$D:$D,0))="",1,INDEX('Paramètres'!$J:$J,MATCH($C4458,'Paramètres'!$D:$D,0)))),2))</f>
        <v/>
      </c>
      <c r="L4458" s="6" t="str">
        <f>IF($D4458="","",IF($F4458&lt;&gt;"",$F4458,IF(ISNA(MATCH($D4458,'Paramètres'!$M:$M,0)),"⚠ Type inconnu",IFERROR(INDEX('Paramètres'!$P:$P,MATCH($D4458,'Paramètres'!$M:$M,0))&amp;"",""))))</f>
        <v/>
      </c>
      <c r="M4458" s="6" t="str">
        <f>IF($D4458="","",IF(ISNA(MATCH($D4458,'Paramètres'!$M:$M,0)),"⚠ Type inconnu",IF($L4458="Crédit","",IFERROR(INDEX('Paramètres'!$O:$O,MATCH($D4458,'Paramètres'!$M:$M,0))&amp;"",""))))</f>
        <v/>
      </c>
      <c r="N4458" s="6" t="str">
        <f>IF($D4458="","",IFERROR(INDEX('Paramètres'!$Q:$Q,MATCH($D4458,'Paramètres'!$M:$M,0))&amp;"",""))</f>
        <v/>
      </c>
      <c r="O4458" s="6" t="str">
        <f>IF($A4458="","",IF(OR($J4458&lt;&gt;"x",$A4458&lt;=FinReleve),1,0))</f>
        <v/>
      </c>
      <c r="P4458" s="6" t="str">
        <f>IF($D4458="","",IF(AND($L4458="Crédit",OR(IFERROR(INDEX('Paramètres'!$O:$O,MATCH($D4458,'Paramètres'!$M:$M,0))&amp;"","")&lt;&gt;"",ISNUMBER(SEARCH("remboursement",IFERROR(INDEX('Paramètres'!$N:$N,MATCH($D4458,'Paramètres'!$M:$M,0))&amp;"",""))))),1,0))</f>
        <v/>
      </c>
      <c r="Q4458" s="6" t="str">
        <f>IF($K4458="","",IF(ISNUMBER(SEARCH("transfert-interne",IFERROR(INDEX('Paramètres'!$N:$N,MATCH($D4458,'Paramètres'!$M:$M,0))&amp;"",""))),0,IF($L4458="Débit",$K4458,IF($P4458=1,-$K4458,0))))</f>
        <v/>
      </c>
      <c r="R4458" s="6" t="str">
        <f>IF($K4458="","",IF($L4458="Crédit",$K4458,-$K4458))</f>
        <v/>
      </c>
      <c r="S4458" s="6" t="str">
        <f>IF($C4458="","",IFERROR(INDEX('Paramètres'!$H:$H,MATCH($C4458,'Paramètres'!$D:$D,0))&amp;"",""))</f>
        <v/>
      </c>
      <c r="T4458" s="6" t="str">
        <f>IF($K4458="","",IF($S4458="",0,IF(ISNUMBER(SEARCH("apport-exterieur",IFERROR(INDEX('Paramètres'!$N:$N,MATCH($D4458,'Paramètres'!$M:$M,0))&amp;"",""))),0,IF(OR(IFERROR(INDEX('Paramètres'!$I:$I,MATCH($C4458,'Paramètres'!$D:$D,0))&amp;"","")="Les deux",IFERROR(INDEX('Paramètres'!$I:$I,MATCH($C4458,'Paramètres'!$D:$D,0))&amp;"","")=IF($P4458=1,"Débit",$L4458)),-IF($P4458=1,-$K4458,$K4458),0))))</f>
        <v/>
      </c>
      <c r="U4458" s="6" t="str">
        <f>IF($K4458="","",IF(ISNUMBER(SEARCH("sortie-epargne",IFERROR(INDEX('Paramètres'!$N:$N,MATCH($D4458,'Paramètres'!$M:$M,0))&amp;"",""))),$K4458,0))</f>
        <v/>
      </c>
      <c r="V4458" s="6" t="str">
        <f>IF(AND($A4458&lt;&gt;"",$O4458=1,$L4458="Débit",N($Q4458)&gt;0,$A4458&gt;=Visualisation!$B$1,$A4458&lt;Visualisation!$D$1),MAX($V$1:V4457)+1,"")</f>
        <v/>
      </c>
    </row>
    <row r="4459" spans="1:22" x14ac:dyDescent="0.25">
      <c r="A4459" s="9"/>
      <c r="E4459" s="10"/>
      <c r="K4459" s="11" t="str">
        <f>IF($E4459="","",ROUND($E4459*IF(ISNA(MATCH($C4459,'Paramètres'!$D:$D,0)),1,IF(INDEX('Paramètres'!$J:$J,MATCH($C4459,'Paramètres'!$D:$D,0))="",1,INDEX('Paramètres'!$J:$J,MATCH($C4459,'Paramètres'!$D:$D,0)))),2))</f>
        <v/>
      </c>
      <c r="L4459" s="6" t="str">
        <f>IF($D4459="","",IF($F4459&lt;&gt;"",$F4459,IF(ISNA(MATCH($D4459,'Paramètres'!$M:$M,0)),"⚠ Type inconnu",IFERROR(INDEX('Paramètres'!$P:$P,MATCH($D4459,'Paramètres'!$M:$M,0))&amp;"",""))))</f>
        <v/>
      </c>
      <c r="M4459" s="6" t="str">
        <f>IF($D4459="","",IF(ISNA(MATCH($D4459,'Paramètres'!$M:$M,0)),"⚠ Type inconnu",IF($L4459="Crédit","",IFERROR(INDEX('Paramètres'!$O:$O,MATCH($D4459,'Paramètres'!$M:$M,0))&amp;"",""))))</f>
        <v/>
      </c>
      <c r="N4459" s="6" t="str">
        <f>IF($D4459="","",IFERROR(INDEX('Paramètres'!$Q:$Q,MATCH($D4459,'Paramètres'!$M:$M,0))&amp;"",""))</f>
        <v/>
      </c>
      <c r="O4459" s="6" t="str">
        <f>IF($A4459="","",IF(OR($J4459&lt;&gt;"x",$A4459&lt;=FinReleve),1,0))</f>
        <v/>
      </c>
      <c r="P4459" s="6" t="str">
        <f>IF($D4459="","",IF(AND($L4459="Crédit",OR(IFERROR(INDEX('Paramètres'!$O:$O,MATCH($D4459,'Paramètres'!$M:$M,0))&amp;"","")&lt;&gt;"",ISNUMBER(SEARCH("remboursement",IFERROR(INDEX('Paramètres'!$N:$N,MATCH($D4459,'Paramètres'!$M:$M,0))&amp;"",""))))),1,0))</f>
        <v/>
      </c>
      <c r="Q4459" s="6" t="str">
        <f>IF($K4459="","",IF(ISNUMBER(SEARCH("transfert-interne",IFERROR(INDEX('Paramètres'!$N:$N,MATCH($D4459,'Paramètres'!$M:$M,0))&amp;"",""))),0,IF($L4459="Débit",$K4459,IF($P4459=1,-$K4459,0))))</f>
        <v/>
      </c>
      <c r="R4459" s="6" t="str">
        <f>IF($K4459="","",IF($L4459="Crédit",$K4459,-$K4459))</f>
        <v/>
      </c>
      <c r="S4459" s="6" t="str">
        <f>IF($C4459="","",IFERROR(INDEX('Paramètres'!$H:$H,MATCH($C4459,'Paramètres'!$D:$D,0))&amp;"",""))</f>
        <v/>
      </c>
      <c r="T4459" s="6" t="str">
        <f>IF($K4459="","",IF($S4459="",0,IF(ISNUMBER(SEARCH("apport-exterieur",IFERROR(INDEX('Paramètres'!$N:$N,MATCH($D4459,'Paramètres'!$M:$M,0))&amp;"",""))),0,IF(OR(IFERROR(INDEX('Paramètres'!$I:$I,MATCH($C4459,'Paramètres'!$D:$D,0))&amp;"","")="Les deux",IFERROR(INDEX('Paramètres'!$I:$I,MATCH($C4459,'Paramètres'!$D:$D,0))&amp;"","")=IF($P4459=1,"Débit",$L4459)),-IF($P4459=1,-$K4459,$K4459),0))))</f>
        <v/>
      </c>
      <c r="U4459" s="6" t="str">
        <f>IF($K4459="","",IF(ISNUMBER(SEARCH("sortie-epargne",IFERROR(INDEX('Paramètres'!$N:$N,MATCH($D4459,'Paramètres'!$M:$M,0))&amp;"",""))),$K4459,0))</f>
        <v/>
      </c>
      <c r="V4459" s="6" t="str">
        <f>IF(AND($A4459&lt;&gt;"",$O4459=1,$L4459="Débit",N($Q4459)&gt;0,$A4459&gt;=Visualisation!$B$1,$A4459&lt;Visualisation!$D$1),MAX($V$1:V4458)+1,"")</f>
        <v/>
      </c>
    </row>
    <row r="4460" spans="1:22" x14ac:dyDescent="0.25">
      <c r="A4460" s="9"/>
      <c r="E4460" s="10"/>
      <c r="K4460" s="11" t="str">
        <f>IF($E4460="","",ROUND($E4460*IF(ISNA(MATCH($C4460,'Paramètres'!$D:$D,0)),1,IF(INDEX('Paramètres'!$J:$J,MATCH($C4460,'Paramètres'!$D:$D,0))="",1,INDEX('Paramètres'!$J:$J,MATCH($C4460,'Paramètres'!$D:$D,0)))),2))</f>
        <v/>
      </c>
      <c r="L4460" s="6" t="str">
        <f>IF($D4460="","",IF($F4460&lt;&gt;"",$F4460,IF(ISNA(MATCH($D4460,'Paramètres'!$M:$M,0)),"⚠ Type inconnu",IFERROR(INDEX('Paramètres'!$P:$P,MATCH($D4460,'Paramètres'!$M:$M,0))&amp;"",""))))</f>
        <v/>
      </c>
      <c r="M4460" s="6" t="str">
        <f>IF($D4460="","",IF(ISNA(MATCH($D4460,'Paramètres'!$M:$M,0)),"⚠ Type inconnu",IF($L4460="Crédit","",IFERROR(INDEX('Paramètres'!$O:$O,MATCH($D4460,'Paramètres'!$M:$M,0))&amp;"",""))))</f>
        <v/>
      </c>
      <c r="N4460" s="6" t="str">
        <f>IF($D4460="","",IFERROR(INDEX('Paramètres'!$Q:$Q,MATCH($D4460,'Paramètres'!$M:$M,0))&amp;"",""))</f>
        <v/>
      </c>
      <c r="O4460" s="6" t="str">
        <f>IF($A4460="","",IF(OR($J4460&lt;&gt;"x",$A4460&lt;=FinReleve),1,0))</f>
        <v/>
      </c>
      <c r="P4460" s="6" t="str">
        <f>IF($D4460="","",IF(AND($L4460="Crédit",OR(IFERROR(INDEX('Paramètres'!$O:$O,MATCH($D4460,'Paramètres'!$M:$M,0))&amp;"","")&lt;&gt;"",ISNUMBER(SEARCH("remboursement",IFERROR(INDEX('Paramètres'!$N:$N,MATCH($D4460,'Paramètres'!$M:$M,0))&amp;"",""))))),1,0))</f>
        <v/>
      </c>
      <c r="Q4460" s="6" t="str">
        <f>IF($K4460="","",IF(ISNUMBER(SEARCH("transfert-interne",IFERROR(INDEX('Paramètres'!$N:$N,MATCH($D4460,'Paramètres'!$M:$M,0))&amp;"",""))),0,IF($L4460="Débit",$K4460,IF($P4460=1,-$K4460,0))))</f>
        <v/>
      </c>
      <c r="R4460" s="6" t="str">
        <f>IF($K4460="","",IF($L4460="Crédit",$K4460,-$K4460))</f>
        <v/>
      </c>
      <c r="S4460" s="6" t="str">
        <f>IF($C4460="","",IFERROR(INDEX('Paramètres'!$H:$H,MATCH($C4460,'Paramètres'!$D:$D,0))&amp;"",""))</f>
        <v/>
      </c>
      <c r="T4460" s="6" t="str">
        <f>IF($K4460="","",IF($S4460="",0,IF(ISNUMBER(SEARCH("apport-exterieur",IFERROR(INDEX('Paramètres'!$N:$N,MATCH($D4460,'Paramètres'!$M:$M,0))&amp;"",""))),0,IF(OR(IFERROR(INDEX('Paramètres'!$I:$I,MATCH($C4460,'Paramètres'!$D:$D,0))&amp;"","")="Les deux",IFERROR(INDEX('Paramètres'!$I:$I,MATCH($C4460,'Paramètres'!$D:$D,0))&amp;"","")=IF($P4460=1,"Débit",$L4460)),-IF($P4460=1,-$K4460,$K4460),0))))</f>
        <v/>
      </c>
      <c r="U4460" s="6" t="str">
        <f>IF($K4460="","",IF(ISNUMBER(SEARCH("sortie-epargne",IFERROR(INDEX('Paramètres'!$N:$N,MATCH($D4460,'Paramètres'!$M:$M,0))&amp;"",""))),$K4460,0))</f>
        <v/>
      </c>
      <c r="V4460" s="6" t="str">
        <f>IF(AND($A4460&lt;&gt;"",$O4460=1,$L4460="Débit",N($Q4460)&gt;0,$A4460&gt;=Visualisation!$B$1,$A4460&lt;Visualisation!$D$1),MAX($V$1:V4459)+1,"")</f>
        <v/>
      </c>
    </row>
    <row r="4461" spans="1:22" x14ac:dyDescent="0.25">
      <c r="A4461" s="9"/>
      <c r="E4461" s="10"/>
      <c r="K4461" s="11" t="str">
        <f>IF($E4461="","",ROUND($E4461*IF(ISNA(MATCH($C4461,'Paramètres'!$D:$D,0)),1,IF(INDEX('Paramètres'!$J:$J,MATCH($C4461,'Paramètres'!$D:$D,0))="",1,INDEX('Paramètres'!$J:$J,MATCH($C4461,'Paramètres'!$D:$D,0)))),2))</f>
        <v/>
      </c>
      <c r="L4461" s="6" t="str">
        <f>IF($D4461="","",IF($F4461&lt;&gt;"",$F4461,IF(ISNA(MATCH($D4461,'Paramètres'!$M:$M,0)),"⚠ Type inconnu",IFERROR(INDEX('Paramètres'!$P:$P,MATCH($D4461,'Paramètres'!$M:$M,0))&amp;"",""))))</f>
        <v/>
      </c>
      <c r="M4461" s="6" t="str">
        <f>IF($D4461="","",IF(ISNA(MATCH($D4461,'Paramètres'!$M:$M,0)),"⚠ Type inconnu",IF($L4461="Crédit","",IFERROR(INDEX('Paramètres'!$O:$O,MATCH($D4461,'Paramètres'!$M:$M,0))&amp;"",""))))</f>
        <v/>
      </c>
      <c r="N4461" s="6" t="str">
        <f>IF($D4461="","",IFERROR(INDEX('Paramètres'!$Q:$Q,MATCH($D4461,'Paramètres'!$M:$M,0))&amp;"",""))</f>
        <v/>
      </c>
      <c r="O4461" s="6" t="str">
        <f>IF($A4461="","",IF(OR($J4461&lt;&gt;"x",$A4461&lt;=FinReleve),1,0))</f>
        <v/>
      </c>
      <c r="P4461" s="6" t="str">
        <f>IF($D4461="","",IF(AND($L4461="Crédit",OR(IFERROR(INDEX('Paramètres'!$O:$O,MATCH($D4461,'Paramètres'!$M:$M,0))&amp;"","")&lt;&gt;"",ISNUMBER(SEARCH("remboursement",IFERROR(INDEX('Paramètres'!$N:$N,MATCH($D4461,'Paramètres'!$M:$M,0))&amp;"",""))))),1,0))</f>
        <v/>
      </c>
      <c r="Q4461" s="6" t="str">
        <f>IF($K4461="","",IF(ISNUMBER(SEARCH("transfert-interne",IFERROR(INDEX('Paramètres'!$N:$N,MATCH($D4461,'Paramètres'!$M:$M,0))&amp;"",""))),0,IF($L4461="Débit",$K4461,IF($P4461=1,-$K4461,0))))</f>
        <v/>
      </c>
      <c r="R4461" s="6" t="str">
        <f>IF($K4461="","",IF($L4461="Crédit",$K4461,-$K4461))</f>
        <v/>
      </c>
      <c r="S4461" s="6" t="str">
        <f>IF($C4461="","",IFERROR(INDEX('Paramètres'!$H:$H,MATCH($C4461,'Paramètres'!$D:$D,0))&amp;"",""))</f>
        <v/>
      </c>
      <c r="T4461" s="6" t="str">
        <f>IF($K4461="","",IF($S4461="",0,IF(ISNUMBER(SEARCH("apport-exterieur",IFERROR(INDEX('Paramètres'!$N:$N,MATCH($D4461,'Paramètres'!$M:$M,0))&amp;"",""))),0,IF(OR(IFERROR(INDEX('Paramètres'!$I:$I,MATCH($C4461,'Paramètres'!$D:$D,0))&amp;"","")="Les deux",IFERROR(INDEX('Paramètres'!$I:$I,MATCH($C4461,'Paramètres'!$D:$D,0))&amp;"","")=IF($P4461=1,"Débit",$L4461)),-IF($P4461=1,-$K4461,$K4461),0))))</f>
        <v/>
      </c>
      <c r="U4461" s="6" t="str">
        <f>IF($K4461="","",IF(ISNUMBER(SEARCH("sortie-epargne",IFERROR(INDEX('Paramètres'!$N:$N,MATCH($D4461,'Paramètres'!$M:$M,0))&amp;"",""))),$K4461,0))</f>
        <v/>
      </c>
      <c r="V4461" s="6" t="str">
        <f>IF(AND($A4461&lt;&gt;"",$O4461=1,$L4461="Débit",N($Q4461)&gt;0,$A4461&gt;=Visualisation!$B$1,$A4461&lt;Visualisation!$D$1),MAX($V$1:V4460)+1,"")</f>
        <v/>
      </c>
    </row>
    <row r="4462" spans="1:22" x14ac:dyDescent="0.25">
      <c r="A4462" s="9"/>
      <c r="E4462" s="10"/>
      <c r="K4462" s="11" t="str">
        <f>IF($E4462="","",ROUND($E4462*IF(ISNA(MATCH($C4462,'Paramètres'!$D:$D,0)),1,IF(INDEX('Paramètres'!$J:$J,MATCH($C4462,'Paramètres'!$D:$D,0))="",1,INDEX('Paramètres'!$J:$J,MATCH($C4462,'Paramètres'!$D:$D,0)))),2))</f>
        <v/>
      </c>
      <c r="L4462" s="6" t="str">
        <f>IF($D4462="","",IF($F4462&lt;&gt;"",$F4462,IF(ISNA(MATCH($D4462,'Paramètres'!$M:$M,0)),"⚠ Type inconnu",IFERROR(INDEX('Paramètres'!$P:$P,MATCH($D4462,'Paramètres'!$M:$M,0))&amp;"",""))))</f>
        <v/>
      </c>
      <c r="M4462" s="6" t="str">
        <f>IF($D4462="","",IF(ISNA(MATCH($D4462,'Paramètres'!$M:$M,0)),"⚠ Type inconnu",IF($L4462="Crédit","",IFERROR(INDEX('Paramètres'!$O:$O,MATCH($D4462,'Paramètres'!$M:$M,0))&amp;"",""))))</f>
        <v/>
      </c>
      <c r="N4462" s="6" t="str">
        <f>IF($D4462="","",IFERROR(INDEX('Paramètres'!$Q:$Q,MATCH($D4462,'Paramètres'!$M:$M,0))&amp;"",""))</f>
        <v/>
      </c>
      <c r="O4462" s="6" t="str">
        <f>IF($A4462="","",IF(OR($J4462&lt;&gt;"x",$A4462&lt;=FinReleve),1,0))</f>
        <v/>
      </c>
      <c r="P4462" s="6" t="str">
        <f>IF($D4462="","",IF(AND($L4462="Crédit",OR(IFERROR(INDEX('Paramètres'!$O:$O,MATCH($D4462,'Paramètres'!$M:$M,0))&amp;"","")&lt;&gt;"",ISNUMBER(SEARCH("remboursement",IFERROR(INDEX('Paramètres'!$N:$N,MATCH($D4462,'Paramètres'!$M:$M,0))&amp;"",""))))),1,0))</f>
        <v/>
      </c>
      <c r="Q4462" s="6" t="str">
        <f>IF($K4462="","",IF(ISNUMBER(SEARCH("transfert-interne",IFERROR(INDEX('Paramètres'!$N:$N,MATCH($D4462,'Paramètres'!$M:$M,0))&amp;"",""))),0,IF($L4462="Débit",$K4462,IF($P4462=1,-$K4462,0))))</f>
        <v/>
      </c>
      <c r="R4462" s="6" t="str">
        <f>IF($K4462="","",IF($L4462="Crédit",$K4462,-$K4462))</f>
        <v/>
      </c>
      <c r="S4462" s="6" t="str">
        <f>IF($C4462="","",IFERROR(INDEX('Paramètres'!$H:$H,MATCH($C4462,'Paramètres'!$D:$D,0))&amp;"",""))</f>
        <v/>
      </c>
      <c r="T4462" s="6" t="str">
        <f>IF($K4462="","",IF($S4462="",0,IF(ISNUMBER(SEARCH("apport-exterieur",IFERROR(INDEX('Paramètres'!$N:$N,MATCH($D4462,'Paramètres'!$M:$M,0))&amp;"",""))),0,IF(OR(IFERROR(INDEX('Paramètres'!$I:$I,MATCH($C4462,'Paramètres'!$D:$D,0))&amp;"","")="Les deux",IFERROR(INDEX('Paramètres'!$I:$I,MATCH($C4462,'Paramètres'!$D:$D,0))&amp;"","")=IF($P4462=1,"Débit",$L4462)),-IF($P4462=1,-$K4462,$K4462),0))))</f>
        <v/>
      </c>
      <c r="U4462" s="6" t="str">
        <f>IF($K4462="","",IF(ISNUMBER(SEARCH("sortie-epargne",IFERROR(INDEX('Paramètres'!$N:$N,MATCH($D4462,'Paramètres'!$M:$M,0))&amp;"",""))),$K4462,0))</f>
        <v/>
      </c>
      <c r="V4462" s="6" t="str">
        <f>IF(AND($A4462&lt;&gt;"",$O4462=1,$L4462="Débit",N($Q4462)&gt;0,$A4462&gt;=Visualisation!$B$1,$A4462&lt;Visualisation!$D$1),MAX($V$1:V4461)+1,"")</f>
        <v/>
      </c>
    </row>
    <row r="4463" spans="1:22" x14ac:dyDescent="0.25">
      <c r="A4463" s="9"/>
      <c r="E4463" s="10"/>
      <c r="K4463" s="11" t="str">
        <f>IF($E4463="","",ROUND($E4463*IF(ISNA(MATCH($C4463,'Paramètres'!$D:$D,0)),1,IF(INDEX('Paramètres'!$J:$J,MATCH($C4463,'Paramètres'!$D:$D,0))="",1,INDEX('Paramètres'!$J:$J,MATCH($C4463,'Paramètres'!$D:$D,0)))),2))</f>
        <v/>
      </c>
      <c r="L4463" s="6" t="str">
        <f>IF($D4463="","",IF($F4463&lt;&gt;"",$F4463,IF(ISNA(MATCH($D4463,'Paramètres'!$M:$M,0)),"⚠ Type inconnu",IFERROR(INDEX('Paramètres'!$P:$P,MATCH($D4463,'Paramètres'!$M:$M,0))&amp;"",""))))</f>
        <v/>
      </c>
      <c r="M4463" s="6" t="str">
        <f>IF($D4463="","",IF(ISNA(MATCH($D4463,'Paramètres'!$M:$M,0)),"⚠ Type inconnu",IF($L4463="Crédit","",IFERROR(INDEX('Paramètres'!$O:$O,MATCH($D4463,'Paramètres'!$M:$M,0))&amp;"",""))))</f>
        <v/>
      </c>
      <c r="N4463" s="6" t="str">
        <f>IF($D4463="","",IFERROR(INDEX('Paramètres'!$Q:$Q,MATCH($D4463,'Paramètres'!$M:$M,0))&amp;"",""))</f>
        <v/>
      </c>
      <c r="O4463" s="6" t="str">
        <f>IF($A4463="","",IF(OR($J4463&lt;&gt;"x",$A4463&lt;=FinReleve),1,0))</f>
        <v/>
      </c>
      <c r="P4463" s="6" t="str">
        <f>IF($D4463="","",IF(AND($L4463="Crédit",OR(IFERROR(INDEX('Paramètres'!$O:$O,MATCH($D4463,'Paramètres'!$M:$M,0))&amp;"","")&lt;&gt;"",ISNUMBER(SEARCH("remboursement",IFERROR(INDEX('Paramètres'!$N:$N,MATCH($D4463,'Paramètres'!$M:$M,0))&amp;"",""))))),1,0))</f>
        <v/>
      </c>
      <c r="Q4463" s="6" t="str">
        <f>IF($K4463="","",IF(ISNUMBER(SEARCH("transfert-interne",IFERROR(INDEX('Paramètres'!$N:$N,MATCH($D4463,'Paramètres'!$M:$M,0))&amp;"",""))),0,IF($L4463="Débit",$K4463,IF($P4463=1,-$K4463,0))))</f>
        <v/>
      </c>
      <c r="R4463" s="6" t="str">
        <f>IF($K4463="","",IF($L4463="Crédit",$K4463,-$K4463))</f>
        <v/>
      </c>
      <c r="S4463" s="6" t="str">
        <f>IF($C4463="","",IFERROR(INDEX('Paramètres'!$H:$H,MATCH($C4463,'Paramètres'!$D:$D,0))&amp;"",""))</f>
        <v/>
      </c>
      <c r="T4463" s="6" t="str">
        <f>IF($K4463="","",IF($S4463="",0,IF(ISNUMBER(SEARCH("apport-exterieur",IFERROR(INDEX('Paramètres'!$N:$N,MATCH($D4463,'Paramètres'!$M:$M,0))&amp;"",""))),0,IF(OR(IFERROR(INDEX('Paramètres'!$I:$I,MATCH($C4463,'Paramètres'!$D:$D,0))&amp;"","")="Les deux",IFERROR(INDEX('Paramètres'!$I:$I,MATCH($C4463,'Paramètres'!$D:$D,0))&amp;"","")=IF($P4463=1,"Débit",$L4463)),-IF($P4463=1,-$K4463,$K4463),0))))</f>
        <v/>
      </c>
      <c r="U4463" s="6" t="str">
        <f>IF($K4463="","",IF(ISNUMBER(SEARCH("sortie-epargne",IFERROR(INDEX('Paramètres'!$N:$N,MATCH($D4463,'Paramètres'!$M:$M,0))&amp;"",""))),$K4463,0))</f>
        <v/>
      </c>
      <c r="V4463" s="6" t="str">
        <f>IF(AND($A4463&lt;&gt;"",$O4463=1,$L4463="Débit",N($Q4463)&gt;0,$A4463&gt;=Visualisation!$B$1,$A4463&lt;Visualisation!$D$1),MAX($V$1:V4462)+1,"")</f>
        <v/>
      </c>
    </row>
    <row r="4464" spans="1:22" x14ac:dyDescent="0.25">
      <c r="A4464" s="9"/>
      <c r="E4464" s="10"/>
      <c r="K4464" s="11" t="str">
        <f>IF($E4464="","",ROUND($E4464*IF(ISNA(MATCH($C4464,'Paramètres'!$D:$D,0)),1,IF(INDEX('Paramètres'!$J:$J,MATCH($C4464,'Paramètres'!$D:$D,0))="",1,INDEX('Paramètres'!$J:$J,MATCH($C4464,'Paramètres'!$D:$D,0)))),2))</f>
        <v/>
      </c>
      <c r="L4464" s="6" t="str">
        <f>IF($D4464="","",IF($F4464&lt;&gt;"",$F4464,IF(ISNA(MATCH($D4464,'Paramètres'!$M:$M,0)),"⚠ Type inconnu",IFERROR(INDEX('Paramètres'!$P:$P,MATCH($D4464,'Paramètres'!$M:$M,0))&amp;"",""))))</f>
        <v/>
      </c>
      <c r="M4464" s="6" t="str">
        <f>IF($D4464="","",IF(ISNA(MATCH($D4464,'Paramètres'!$M:$M,0)),"⚠ Type inconnu",IF($L4464="Crédit","",IFERROR(INDEX('Paramètres'!$O:$O,MATCH($D4464,'Paramètres'!$M:$M,0))&amp;"",""))))</f>
        <v/>
      </c>
      <c r="N4464" s="6" t="str">
        <f>IF($D4464="","",IFERROR(INDEX('Paramètres'!$Q:$Q,MATCH($D4464,'Paramètres'!$M:$M,0))&amp;"",""))</f>
        <v/>
      </c>
      <c r="O4464" s="6" t="str">
        <f>IF($A4464="","",IF(OR($J4464&lt;&gt;"x",$A4464&lt;=FinReleve),1,0))</f>
        <v/>
      </c>
      <c r="P4464" s="6" t="str">
        <f>IF($D4464="","",IF(AND($L4464="Crédit",OR(IFERROR(INDEX('Paramètres'!$O:$O,MATCH($D4464,'Paramètres'!$M:$M,0))&amp;"","")&lt;&gt;"",ISNUMBER(SEARCH("remboursement",IFERROR(INDEX('Paramètres'!$N:$N,MATCH($D4464,'Paramètres'!$M:$M,0))&amp;"",""))))),1,0))</f>
        <v/>
      </c>
      <c r="Q4464" s="6" t="str">
        <f>IF($K4464="","",IF(ISNUMBER(SEARCH("transfert-interne",IFERROR(INDEX('Paramètres'!$N:$N,MATCH($D4464,'Paramètres'!$M:$M,0))&amp;"",""))),0,IF($L4464="Débit",$K4464,IF($P4464=1,-$K4464,0))))</f>
        <v/>
      </c>
      <c r="R4464" s="6" t="str">
        <f>IF($K4464="","",IF($L4464="Crédit",$K4464,-$K4464))</f>
        <v/>
      </c>
      <c r="S4464" s="6" t="str">
        <f>IF($C4464="","",IFERROR(INDEX('Paramètres'!$H:$H,MATCH($C4464,'Paramètres'!$D:$D,0))&amp;"",""))</f>
        <v/>
      </c>
      <c r="T4464" s="6" t="str">
        <f>IF($K4464="","",IF($S4464="",0,IF(ISNUMBER(SEARCH("apport-exterieur",IFERROR(INDEX('Paramètres'!$N:$N,MATCH($D4464,'Paramètres'!$M:$M,0))&amp;"",""))),0,IF(OR(IFERROR(INDEX('Paramètres'!$I:$I,MATCH($C4464,'Paramètres'!$D:$D,0))&amp;"","")="Les deux",IFERROR(INDEX('Paramètres'!$I:$I,MATCH($C4464,'Paramètres'!$D:$D,0))&amp;"","")=IF($P4464=1,"Débit",$L4464)),-IF($P4464=1,-$K4464,$K4464),0))))</f>
        <v/>
      </c>
      <c r="U4464" s="6" t="str">
        <f>IF($K4464="","",IF(ISNUMBER(SEARCH("sortie-epargne",IFERROR(INDEX('Paramètres'!$N:$N,MATCH($D4464,'Paramètres'!$M:$M,0))&amp;"",""))),$K4464,0))</f>
        <v/>
      </c>
      <c r="V4464" s="6" t="str">
        <f>IF(AND($A4464&lt;&gt;"",$O4464=1,$L4464="Débit",N($Q4464)&gt;0,$A4464&gt;=Visualisation!$B$1,$A4464&lt;Visualisation!$D$1),MAX($V$1:V4463)+1,"")</f>
        <v/>
      </c>
    </row>
    <row r="4465" spans="1:22" x14ac:dyDescent="0.25">
      <c r="A4465" s="9"/>
      <c r="E4465" s="10"/>
      <c r="K4465" s="11" t="str">
        <f>IF($E4465="","",ROUND($E4465*IF(ISNA(MATCH($C4465,'Paramètres'!$D:$D,0)),1,IF(INDEX('Paramètres'!$J:$J,MATCH($C4465,'Paramètres'!$D:$D,0))="",1,INDEX('Paramètres'!$J:$J,MATCH($C4465,'Paramètres'!$D:$D,0)))),2))</f>
        <v/>
      </c>
      <c r="L4465" s="6" t="str">
        <f>IF($D4465="","",IF($F4465&lt;&gt;"",$F4465,IF(ISNA(MATCH($D4465,'Paramètres'!$M:$M,0)),"⚠ Type inconnu",IFERROR(INDEX('Paramètres'!$P:$P,MATCH($D4465,'Paramètres'!$M:$M,0))&amp;"",""))))</f>
        <v/>
      </c>
      <c r="M4465" s="6" t="str">
        <f>IF($D4465="","",IF(ISNA(MATCH($D4465,'Paramètres'!$M:$M,0)),"⚠ Type inconnu",IF($L4465="Crédit","",IFERROR(INDEX('Paramètres'!$O:$O,MATCH($D4465,'Paramètres'!$M:$M,0))&amp;"",""))))</f>
        <v/>
      </c>
      <c r="N4465" s="6" t="str">
        <f>IF($D4465="","",IFERROR(INDEX('Paramètres'!$Q:$Q,MATCH($D4465,'Paramètres'!$M:$M,0))&amp;"",""))</f>
        <v/>
      </c>
      <c r="O4465" s="6" t="str">
        <f>IF($A4465="","",IF(OR($J4465&lt;&gt;"x",$A4465&lt;=FinReleve),1,0))</f>
        <v/>
      </c>
      <c r="P4465" s="6" t="str">
        <f>IF($D4465="","",IF(AND($L4465="Crédit",OR(IFERROR(INDEX('Paramètres'!$O:$O,MATCH($D4465,'Paramètres'!$M:$M,0))&amp;"","")&lt;&gt;"",ISNUMBER(SEARCH("remboursement",IFERROR(INDEX('Paramètres'!$N:$N,MATCH($D4465,'Paramètres'!$M:$M,0))&amp;"",""))))),1,0))</f>
        <v/>
      </c>
      <c r="Q4465" s="6" t="str">
        <f>IF($K4465="","",IF(ISNUMBER(SEARCH("transfert-interne",IFERROR(INDEX('Paramètres'!$N:$N,MATCH($D4465,'Paramètres'!$M:$M,0))&amp;"",""))),0,IF($L4465="Débit",$K4465,IF($P4465=1,-$K4465,0))))</f>
        <v/>
      </c>
      <c r="R4465" s="6" t="str">
        <f>IF($K4465="","",IF($L4465="Crédit",$K4465,-$K4465))</f>
        <v/>
      </c>
      <c r="S4465" s="6" t="str">
        <f>IF($C4465="","",IFERROR(INDEX('Paramètres'!$H:$H,MATCH($C4465,'Paramètres'!$D:$D,0))&amp;"",""))</f>
        <v/>
      </c>
      <c r="T4465" s="6" t="str">
        <f>IF($K4465="","",IF($S4465="",0,IF(ISNUMBER(SEARCH("apport-exterieur",IFERROR(INDEX('Paramètres'!$N:$N,MATCH($D4465,'Paramètres'!$M:$M,0))&amp;"",""))),0,IF(OR(IFERROR(INDEX('Paramètres'!$I:$I,MATCH($C4465,'Paramètres'!$D:$D,0))&amp;"","")="Les deux",IFERROR(INDEX('Paramètres'!$I:$I,MATCH($C4465,'Paramètres'!$D:$D,0))&amp;"","")=IF($P4465=1,"Débit",$L4465)),-IF($P4465=1,-$K4465,$K4465),0))))</f>
        <v/>
      </c>
      <c r="U4465" s="6" t="str">
        <f>IF($K4465="","",IF(ISNUMBER(SEARCH("sortie-epargne",IFERROR(INDEX('Paramètres'!$N:$N,MATCH($D4465,'Paramètres'!$M:$M,0))&amp;"",""))),$K4465,0))</f>
        <v/>
      </c>
      <c r="V4465" s="6" t="str">
        <f>IF(AND($A4465&lt;&gt;"",$O4465=1,$L4465="Débit",N($Q4465)&gt;0,$A4465&gt;=Visualisation!$B$1,$A4465&lt;Visualisation!$D$1),MAX($V$1:V4464)+1,"")</f>
        <v/>
      </c>
    </row>
    <row r="4466" spans="1:22" x14ac:dyDescent="0.25">
      <c r="A4466" s="9"/>
      <c r="E4466" s="10"/>
      <c r="K4466" s="11" t="str">
        <f>IF($E4466="","",ROUND($E4466*IF(ISNA(MATCH($C4466,'Paramètres'!$D:$D,0)),1,IF(INDEX('Paramètres'!$J:$J,MATCH($C4466,'Paramètres'!$D:$D,0))="",1,INDEX('Paramètres'!$J:$J,MATCH($C4466,'Paramètres'!$D:$D,0)))),2))</f>
        <v/>
      </c>
      <c r="L4466" s="6" t="str">
        <f>IF($D4466="","",IF($F4466&lt;&gt;"",$F4466,IF(ISNA(MATCH($D4466,'Paramètres'!$M:$M,0)),"⚠ Type inconnu",IFERROR(INDEX('Paramètres'!$P:$P,MATCH($D4466,'Paramètres'!$M:$M,0))&amp;"",""))))</f>
        <v/>
      </c>
      <c r="M4466" s="6" t="str">
        <f>IF($D4466="","",IF(ISNA(MATCH($D4466,'Paramètres'!$M:$M,0)),"⚠ Type inconnu",IF($L4466="Crédit","",IFERROR(INDEX('Paramètres'!$O:$O,MATCH($D4466,'Paramètres'!$M:$M,0))&amp;"",""))))</f>
        <v/>
      </c>
      <c r="N4466" s="6" t="str">
        <f>IF($D4466="","",IFERROR(INDEX('Paramètres'!$Q:$Q,MATCH($D4466,'Paramètres'!$M:$M,0))&amp;"",""))</f>
        <v/>
      </c>
      <c r="O4466" s="6" t="str">
        <f>IF($A4466="","",IF(OR($J4466&lt;&gt;"x",$A4466&lt;=FinReleve),1,0))</f>
        <v/>
      </c>
      <c r="P4466" s="6" t="str">
        <f>IF($D4466="","",IF(AND($L4466="Crédit",OR(IFERROR(INDEX('Paramètres'!$O:$O,MATCH($D4466,'Paramètres'!$M:$M,0))&amp;"","")&lt;&gt;"",ISNUMBER(SEARCH("remboursement",IFERROR(INDEX('Paramètres'!$N:$N,MATCH($D4466,'Paramètres'!$M:$M,0))&amp;"",""))))),1,0))</f>
        <v/>
      </c>
      <c r="Q4466" s="6" t="str">
        <f>IF($K4466="","",IF(ISNUMBER(SEARCH("transfert-interne",IFERROR(INDEX('Paramètres'!$N:$N,MATCH($D4466,'Paramètres'!$M:$M,0))&amp;"",""))),0,IF($L4466="Débit",$K4466,IF($P4466=1,-$K4466,0))))</f>
        <v/>
      </c>
      <c r="R4466" s="6" t="str">
        <f>IF($K4466="","",IF($L4466="Crédit",$K4466,-$K4466))</f>
        <v/>
      </c>
      <c r="S4466" s="6" t="str">
        <f>IF($C4466="","",IFERROR(INDEX('Paramètres'!$H:$H,MATCH($C4466,'Paramètres'!$D:$D,0))&amp;"",""))</f>
        <v/>
      </c>
      <c r="T4466" s="6" t="str">
        <f>IF($K4466="","",IF($S4466="",0,IF(ISNUMBER(SEARCH("apport-exterieur",IFERROR(INDEX('Paramètres'!$N:$N,MATCH($D4466,'Paramètres'!$M:$M,0))&amp;"",""))),0,IF(OR(IFERROR(INDEX('Paramètres'!$I:$I,MATCH($C4466,'Paramètres'!$D:$D,0))&amp;"","")="Les deux",IFERROR(INDEX('Paramètres'!$I:$I,MATCH($C4466,'Paramètres'!$D:$D,0))&amp;"","")=IF($P4466=1,"Débit",$L4466)),-IF($P4466=1,-$K4466,$K4466),0))))</f>
        <v/>
      </c>
      <c r="U4466" s="6" t="str">
        <f>IF($K4466="","",IF(ISNUMBER(SEARCH("sortie-epargne",IFERROR(INDEX('Paramètres'!$N:$N,MATCH($D4466,'Paramètres'!$M:$M,0))&amp;"",""))),$K4466,0))</f>
        <v/>
      </c>
      <c r="V4466" s="6" t="str">
        <f>IF(AND($A4466&lt;&gt;"",$O4466=1,$L4466="Débit",N($Q4466)&gt;0,$A4466&gt;=Visualisation!$B$1,$A4466&lt;Visualisation!$D$1),MAX($V$1:V4465)+1,"")</f>
        <v/>
      </c>
    </row>
    <row r="4467" spans="1:22" x14ac:dyDescent="0.25">
      <c r="A4467" s="9"/>
      <c r="E4467" s="10"/>
      <c r="K4467" s="11" t="str">
        <f>IF($E4467="","",ROUND($E4467*IF(ISNA(MATCH($C4467,'Paramètres'!$D:$D,0)),1,IF(INDEX('Paramètres'!$J:$J,MATCH($C4467,'Paramètres'!$D:$D,0))="",1,INDEX('Paramètres'!$J:$J,MATCH($C4467,'Paramètres'!$D:$D,0)))),2))</f>
        <v/>
      </c>
      <c r="L4467" s="6" t="str">
        <f>IF($D4467="","",IF($F4467&lt;&gt;"",$F4467,IF(ISNA(MATCH($D4467,'Paramètres'!$M:$M,0)),"⚠ Type inconnu",IFERROR(INDEX('Paramètres'!$P:$P,MATCH($D4467,'Paramètres'!$M:$M,0))&amp;"",""))))</f>
        <v/>
      </c>
      <c r="M4467" s="6" t="str">
        <f>IF($D4467="","",IF(ISNA(MATCH($D4467,'Paramètres'!$M:$M,0)),"⚠ Type inconnu",IF($L4467="Crédit","",IFERROR(INDEX('Paramètres'!$O:$O,MATCH($D4467,'Paramètres'!$M:$M,0))&amp;"",""))))</f>
        <v/>
      </c>
      <c r="N4467" s="6" t="str">
        <f>IF($D4467="","",IFERROR(INDEX('Paramètres'!$Q:$Q,MATCH($D4467,'Paramètres'!$M:$M,0))&amp;"",""))</f>
        <v/>
      </c>
      <c r="O4467" s="6" t="str">
        <f>IF($A4467="","",IF(OR($J4467&lt;&gt;"x",$A4467&lt;=FinReleve),1,0))</f>
        <v/>
      </c>
      <c r="P4467" s="6" t="str">
        <f>IF($D4467="","",IF(AND($L4467="Crédit",OR(IFERROR(INDEX('Paramètres'!$O:$O,MATCH($D4467,'Paramètres'!$M:$M,0))&amp;"","")&lt;&gt;"",ISNUMBER(SEARCH("remboursement",IFERROR(INDEX('Paramètres'!$N:$N,MATCH($D4467,'Paramètres'!$M:$M,0))&amp;"",""))))),1,0))</f>
        <v/>
      </c>
      <c r="Q4467" s="6" t="str">
        <f>IF($K4467="","",IF(ISNUMBER(SEARCH("transfert-interne",IFERROR(INDEX('Paramètres'!$N:$N,MATCH($D4467,'Paramètres'!$M:$M,0))&amp;"",""))),0,IF($L4467="Débit",$K4467,IF($P4467=1,-$K4467,0))))</f>
        <v/>
      </c>
      <c r="R4467" s="6" t="str">
        <f>IF($K4467="","",IF($L4467="Crédit",$K4467,-$K4467))</f>
        <v/>
      </c>
      <c r="S4467" s="6" t="str">
        <f>IF($C4467="","",IFERROR(INDEX('Paramètres'!$H:$H,MATCH($C4467,'Paramètres'!$D:$D,0))&amp;"",""))</f>
        <v/>
      </c>
      <c r="T4467" s="6" t="str">
        <f>IF($K4467="","",IF($S4467="",0,IF(ISNUMBER(SEARCH("apport-exterieur",IFERROR(INDEX('Paramètres'!$N:$N,MATCH($D4467,'Paramètres'!$M:$M,0))&amp;"",""))),0,IF(OR(IFERROR(INDEX('Paramètres'!$I:$I,MATCH($C4467,'Paramètres'!$D:$D,0))&amp;"","")="Les deux",IFERROR(INDEX('Paramètres'!$I:$I,MATCH($C4467,'Paramètres'!$D:$D,0))&amp;"","")=IF($P4467=1,"Débit",$L4467)),-IF($P4467=1,-$K4467,$K4467),0))))</f>
        <v/>
      </c>
      <c r="U4467" s="6" t="str">
        <f>IF($K4467="","",IF(ISNUMBER(SEARCH("sortie-epargne",IFERROR(INDEX('Paramètres'!$N:$N,MATCH($D4467,'Paramètres'!$M:$M,0))&amp;"",""))),$K4467,0))</f>
        <v/>
      </c>
      <c r="V4467" s="6" t="str">
        <f>IF(AND($A4467&lt;&gt;"",$O4467=1,$L4467="Débit",N($Q4467)&gt;0,$A4467&gt;=Visualisation!$B$1,$A4467&lt;Visualisation!$D$1),MAX($V$1:V4466)+1,"")</f>
        <v/>
      </c>
    </row>
    <row r="4468" spans="1:22" x14ac:dyDescent="0.25">
      <c r="A4468" s="9"/>
      <c r="E4468" s="10"/>
      <c r="K4468" s="11" t="str">
        <f>IF($E4468="","",ROUND($E4468*IF(ISNA(MATCH($C4468,'Paramètres'!$D:$D,0)),1,IF(INDEX('Paramètres'!$J:$J,MATCH($C4468,'Paramètres'!$D:$D,0))="",1,INDEX('Paramètres'!$J:$J,MATCH($C4468,'Paramètres'!$D:$D,0)))),2))</f>
        <v/>
      </c>
      <c r="L4468" s="6" t="str">
        <f>IF($D4468="","",IF($F4468&lt;&gt;"",$F4468,IF(ISNA(MATCH($D4468,'Paramètres'!$M:$M,0)),"⚠ Type inconnu",IFERROR(INDEX('Paramètres'!$P:$P,MATCH($D4468,'Paramètres'!$M:$M,0))&amp;"",""))))</f>
        <v/>
      </c>
      <c r="M4468" s="6" t="str">
        <f>IF($D4468="","",IF(ISNA(MATCH($D4468,'Paramètres'!$M:$M,0)),"⚠ Type inconnu",IF($L4468="Crédit","",IFERROR(INDEX('Paramètres'!$O:$O,MATCH($D4468,'Paramètres'!$M:$M,0))&amp;"",""))))</f>
        <v/>
      </c>
      <c r="N4468" s="6" t="str">
        <f>IF($D4468="","",IFERROR(INDEX('Paramètres'!$Q:$Q,MATCH($D4468,'Paramètres'!$M:$M,0))&amp;"",""))</f>
        <v/>
      </c>
      <c r="O4468" s="6" t="str">
        <f>IF($A4468="","",IF(OR($J4468&lt;&gt;"x",$A4468&lt;=FinReleve),1,0))</f>
        <v/>
      </c>
      <c r="P4468" s="6" t="str">
        <f>IF($D4468="","",IF(AND($L4468="Crédit",OR(IFERROR(INDEX('Paramètres'!$O:$O,MATCH($D4468,'Paramètres'!$M:$M,0))&amp;"","")&lt;&gt;"",ISNUMBER(SEARCH("remboursement",IFERROR(INDEX('Paramètres'!$N:$N,MATCH($D4468,'Paramètres'!$M:$M,0))&amp;"",""))))),1,0))</f>
        <v/>
      </c>
      <c r="Q4468" s="6" t="str">
        <f>IF($K4468="","",IF(ISNUMBER(SEARCH("transfert-interne",IFERROR(INDEX('Paramètres'!$N:$N,MATCH($D4468,'Paramètres'!$M:$M,0))&amp;"",""))),0,IF($L4468="Débit",$K4468,IF($P4468=1,-$K4468,0))))</f>
        <v/>
      </c>
      <c r="R4468" s="6" t="str">
        <f>IF($K4468="","",IF($L4468="Crédit",$K4468,-$K4468))</f>
        <v/>
      </c>
      <c r="S4468" s="6" t="str">
        <f>IF($C4468="","",IFERROR(INDEX('Paramètres'!$H:$H,MATCH($C4468,'Paramètres'!$D:$D,0))&amp;"",""))</f>
        <v/>
      </c>
      <c r="T4468" s="6" t="str">
        <f>IF($K4468="","",IF($S4468="",0,IF(ISNUMBER(SEARCH("apport-exterieur",IFERROR(INDEX('Paramètres'!$N:$N,MATCH($D4468,'Paramètres'!$M:$M,0))&amp;"",""))),0,IF(OR(IFERROR(INDEX('Paramètres'!$I:$I,MATCH($C4468,'Paramètres'!$D:$D,0))&amp;"","")="Les deux",IFERROR(INDEX('Paramètres'!$I:$I,MATCH($C4468,'Paramètres'!$D:$D,0))&amp;"","")=IF($P4468=1,"Débit",$L4468)),-IF($P4468=1,-$K4468,$K4468),0))))</f>
        <v/>
      </c>
      <c r="U4468" s="6" t="str">
        <f>IF($K4468="","",IF(ISNUMBER(SEARCH("sortie-epargne",IFERROR(INDEX('Paramètres'!$N:$N,MATCH($D4468,'Paramètres'!$M:$M,0))&amp;"",""))),$K4468,0))</f>
        <v/>
      </c>
      <c r="V4468" s="6" t="str">
        <f>IF(AND($A4468&lt;&gt;"",$O4468=1,$L4468="Débit",N($Q4468)&gt;0,$A4468&gt;=Visualisation!$B$1,$A4468&lt;Visualisation!$D$1),MAX($V$1:V4467)+1,"")</f>
        <v/>
      </c>
    </row>
    <row r="4469" spans="1:22" x14ac:dyDescent="0.25">
      <c r="A4469" s="9"/>
      <c r="E4469" s="10"/>
      <c r="K4469" s="11" t="str">
        <f>IF($E4469="","",ROUND($E4469*IF(ISNA(MATCH($C4469,'Paramètres'!$D:$D,0)),1,IF(INDEX('Paramètres'!$J:$J,MATCH($C4469,'Paramètres'!$D:$D,0))="",1,INDEX('Paramètres'!$J:$J,MATCH($C4469,'Paramètres'!$D:$D,0)))),2))</f>
        <v/>
      </c>
      <c r="L4469" s="6" t="str">
        <f>IF($D4469="","",IF($F4469&lt;&gt;"",$F4469,IF(ISNA(MATCH($D4469,'Paramètres'!$M:$M,0)),"⚠ Type inconnu",IFERROR(INDEX('Paramètres'!$P:$P,MATCH($D4469,'Paramètres'!$M:$M,0))&amp;"",""))))</f>
        <v/>
      </c>
      <c r="M4469" s="6" t="str">
        <f>IF($D4469="","",IF(ISNA(MATCH($D4469,'Paramètres'!$M:$M,0)),"⚠ Type inconnu",IF($L4469="Crédit","",IFERROR(INDEX('Paramètres'!$O:$O,MATCH($D4469,'Paramètres'!$M:$M,0))&amp;"",""))))</f>
        <v/>
      </c>
      <c r="N4469" s="6" t="str">
        <f>IF($D4469="","",IFERROR(INDEX('Paramètres'!$Q:$Q,MATCH($D4469,'Paramètres'!$M:$M,0))&amp;"",""))</f>
        <v/>
      </c>
      <c r="O4469" s="6" t="str">
        <f>IF($A4469="","",IF(OR($J4469&lt;&gt;"x",$A4469&lt;=FinReleve),1,0))</f>
        <v/>
      </c>
      <c r="P4469" s="6" t="str">
        <f>IF($D4469="","",IF(AND($L4469="Crédit",OR(IFERROR(INDEX('Paramètres'!$O:$O,MATCH($D4469,'Paramètres'!$M:$M,0))&amp;"","")&lt;&gt;"",ISNUMBER(SEARCH("remboursement",IFERROR(INDEX('Paramètres'!$N:$N,MATCH($D4469,'Paramètres'!$M:$M,0))&amp;"",""))))),1,0))</f>
        <v/>
      </c>
      <c r="Q4469" s="6" t="str">
        <f>IF($K4469="","",IF(ISNUMBER(SEARCH("transfert-interne",IFERROR(INDEX('Paramètres'!$N:$N,MATCH($D4469,'Paramètres'!$M:$M,0))&amp;"",""))),0,IF($L4469="Débit",$K4469,IF($P4469=1,-$K4469,0))))</f>
        <v/>
      </c>
      <c r="R4469" s="6" t="str">
        <f>IF($K4469="","",IF($L4469="Crédit",$K4469,-$K4469))</f>
        <v/>
      </c>
      <c r="S4469" s="6" t="str">
        <f>IF($C4469="","",IFERROR(INDEX('Paramètres'!$H:$H,MATCH($C4469,'Paramètres'!$D:$D,0))&amp;"",""))</f>
        <v/>
      </c>
      <c r="T4469" s="6" t="str">
        <f>IF($K4469="","",IF($S4469="",0,IF(ISNUMBER(SEARCH("apport-exterieur",IFERROR(INDEX('Paramètres'!$N:$N,MATCH($D4469,'Paramètres'!$M:$M,0))&amp;"",""))),0,IF(OR(IFERROR(INDEX('Paramètres'!$I:$I,MATCH($C4469,'Paramètres'!$D:$D,0))&amp;"","")="Les deux",IFERROR(INDEX('Paramètres'!$I:$I,MATCH($C4469,'Paramètres'!$D:$D,0))&amp;"","")=IF($P4469=1,"Débit",$L4469)),-IF($P4469=1,-$K4469,$K4469),0))))</f>
        <v/>
      </c>
      <c r="U4469" s="6" t="str">
        <f>IF($K4469="","",IF(ISNUMBER(SEARCH("sortie-epargne",IFERROR(INDEX('Paramètres'!$N:$N,MATCH($D4469,'Paramètres'!$M:$M,0))&amp;"",""))),$K4469,0))</f>
        <v/>
      </c>
      <c r="V4469" s="6" t="str">
        <f>IF(AND($A4469&lt;&gt;"",$O4469=1,$L4469="Débit",N($Q4469)&gt;0,$A4469&gt;=Visualisation!$B$1,$A4469&lt;Visualisation!$D$1),MAX($V$1:V4468)+1,"")</f>
        <v/>
      </c>
    </row>
    <row r="4470" spans="1:22" x14ac:dyDescent="0.25">
      <c r="A4470" s="9"/>
      <c r="E4470" s="10"/>
      <c r="K4470" s="11" t="str">
        <f>IF($E4470="","",ROUND($E4470*IF(ISNA(MATCH($C4470,'Paramètres'!$D:$D,0)),1,IF(INDEX('Paramètres'!$J:$J,MATCH($C4470,'Paramètres'!$D:$D,0))="",1,INDEX('Paramètres'!$J:$J,MATCH($C4470,'Paramètres'!$D:$D,0)))),2))</f>
        <v/>
      </c>
      <c r="L4470" s="6" t="str">
        <f>IF($D4470="","",IF($F4470&lt;&gt;"",$F4470,IF(ISNA(MATCH($D4470,'Paramètres'!$M:$M,0)),"⚠ Type inconnu",IFERROR(INDEX('Paramètres'!$P:$P,MATCH($D4470,'Paramètres'!$M:$M,0))&amp;"",""))))</f>
        <v/>
      </c>
      <c r="M4470" s="6" t="str">
        <f>IF($D4470="","",IF(ISNA(MATCH($D4470,'Paramètres'!$M:$M,0)),"⚠ Type inconnu",IF($L4470="Crédit","",IFERROR(INDEX('Paramètres'!$O:$O,MATCH($D4470,'Paramètres'!$M:$M,0))&amp;"",""))))</f>
        <v/>
      </c>
      <c r="N4470" s="6" t="str">
        <f>IF($D4470="","",IFERROR(INDEX('Paramètres'!$Q:$Q,MATCH($D4470,'Paramètres'!$M:$M,0))&amp;"",""))</f>
        <v/>
      </c>
      <c r="O4470" s="6" t="str">
        <f>IF($A4470="","",IF(OR($J4470&lt;&gt;"x",$A4470&lt;=FinReleve),1,0))</f>
        <v/>
      </c>
      <c r="P4470" s="6" t="str">
        <f>IF($D4470="","",IF(AND($L4470="Crédit",OR(IFERROR(INDEX('Paramètres'!$O:$O,MATCH($D4470,'Paramètres'!$M:$M,0))&amp;"","")&lt;&gt;"",ISNUMBER(SEARCH("remboursement",IFERROR(INDEX('Paramètres'!$N:$N,MATCH($D4470,'Paramètres'!$M:$M,0))&amp;"",""))))),1,0))</f>
        <v/>
      </c>
      <c r="Q4470" s="6" t="str">
        <f>IF($K4470="","",IF(ISNUMBER(SEARCH("transfert-interne",IFERROR(INDEX('Paramètres'!$N:$N,MATCH($D4470,'Paramètres'!$M:$M,0))&amp;"",""))),0,IF($L4470="Débit",$K4470,IF($P4470=1,-$K4470,0))))</f>
        <v/>
      </c>
      <c r="R4470" s="6" t="str">
        <f>IF($K4470="","",IF($L4470="Crédit",$K4470,-$K4470))</f>
        <v/>
      </c>
      <c r="S4470" s="6" t="str">
        <f>IF($C4470="","",IFERROR(INDEX('Paramètres'!$H:$H,MATCH($C4470,'Paramètres'!$D:$D,0))&amp;"",""))</f>
        <v/>
      </c>
      <c r="T4470" s="6" t="str">
        <f>IF($K4470="","",IF($S4470="",0,IF(ISNUMBER(SEARCH("apport-exterieur",IFERROR(INDEX('Paramètres'!$N:$N,MATCH($D4470,'Paramètres'!$M:$M,0))&amp;"",""))),0,IF(OR(IFERROR(INDEX('Paramètres'!$I:$I,MATCH($C4470,'Paramètres'!$D:$D,0))&amp;"","")="Les deux",IFERROR(INDEX('Paramètres'!$I:$I,MATCH($C4470,'Paramètres'!$D:$D,0))&amp;"","")=IF($P4470=1,"Débit",$L4470)),-IF($P4470=1,-$K4470,$K4470),0))))</f>
        <v/>
      </c>
      <c r="U4470" s="6" t="str">
        <f>IF($K4470="","",IF(ISNUMBER(SEARCH("sortie-epargne",IFERROR(INDEX('Paramètres'!$N:$N,MATCH($D4470,'Paramètres'!$M:$M,0))&amp;"",""))),$K4470,0))</f>
        <v/>
      </c>
      <c r="V4470" s="6" t="str">
        <f>IF(AND($A4470&lt;&gt;"",$O4470=1,$L4470="Débit",N($Q4470)&gt;0,$A4470&gt;=Visualisation!$B$1,$A4470&lt;Visualisation!$D$1),MAX($V$1:V4469)+1,"")</f>
        <v/>
      </c>
    </row>
    <row r="4471" spans="1:22" x14ac:dyDescent="0.25">
      <c r="A4471" s="9"/>
      <c r="E4471" s="10"/>
      <c r="K4471" s="11" t="str">
        <f>IF($E4471="","",ROUND($E4471*IF(ISNA(MATCH($C4471,'Paramètres'!$D:$D,0)),1,IF(INDEX('Paramètres'!$J:$J,MATCH($C4471,'Paramètres'!$D:$D,0))="",1,INDEX('Paramètres'!$J:$J,MATCH($C4471,'Paramètres'!$D:$D,0)))),2))</f>
        <v/>
      </c>
      <c r="L4471" s="6" t="str">
        <f>IF($D4471="","",IF($F4471&lt;&gt;"",$F4471,IF(ISNA(MATCH($D4471,'Paramètres'!$M:$M,0)),"⚠ Type inconnu",IFERROR(INDEX('Paramètres'!$P:$P,MATCH($D4471,'Paramètres'!$M:$M,0))&amp;"",""))))</f>
        <v/>
      </c>
      <c r="M4471" s="6" t="str">
        <f>IF($D4471="","",IF(ISNA(MATCH($D4471,'Paramètres'!$M:$M,0)),"⚠ Type inconnu",IF($L4471="Crédit","",IFERROR(INDEX('Paramètres'!$O:$O,MATCH($D4471,'Paramètres'!$M:$M,0))&amp;"",""))))</f>
        <v/>
      </c>
      <c r="N4471" s="6" t="str">
        <f>IF($D4471="","",IFERROR(INDEX('Paramètres'!$Q:$Q,MATCH($D4471,'Paramètres'!$M:$M,0))&amp;"",""))</f>
        <v/>
      </c>
      <c r="O4471" s="6" t="str">
        <f>IF($A4471="","",IF(OR($J4471&lt;&gt;"x",$A4471&lt;=FinReleve),1,0))</f>
        <v/>
      </c>
      <c r="P4471" s="6" t="str">
        <f>IF($D4471="","",IF(AND($L4471="Crédit",OR(IFERROR(INDEX('Paramètres'!$O:$O,MATCH($D4471,'Paramètres'!$M:$M,0))&amp;"","")&lt;&gt;"",ISNUMBER(SEARCH("remboursement",IFERROR(INDEX('Paramètres'!$N:$N,MATCH($D4471,'Paramètres'!$M:$M,0))&amp;"",""))))),1,0))</f>
        <v/>
      </c>
      <c r="Q4471" s="6" t="str">
        <f>IF($K4471="","",IF(ISNUMBER(SEARCH("transfert-interne",IFERROR(INDEX('Paramètres'!$N:$N,MATCH($D4471,'Paramètres'!$M:$M,0))&amp;"",""))),0,IF($L4471="Débit",$K4471,IF($P4471=1,-$K4471,0))))</f>
        <v/>
      </c>
      <c r="R4471" s="6" t="str">
        <f>IF($K4471="","",IF($L4471="Crédit",$K4471,-$K4471))</f>
        <v/>
      </c>
      <c r="S4471" s="6" t="str">
        <f>IF($C4471="","",IFERROR(INDEX('Paramètres'!$H:$H,MATCH($C4471,'Paramètres'!$D:$D,0))&amp;"",""))</f>
        <v/>
      </c>
      <c r="T4471" s="6" t="str">
        <f>IF($K4471="","",IF($S4471="",0,IF(ISNUMBER(SEARCH("apport-exterieur",IFERROR(INDEX('Paramètres'!$N:$N,MATCH($D4471,'Paramètres'!$M:$M,0))&amp;"",""))),0,IF(OR(IFERROR(INDEX('Paramètres'!$I:$I,MATCH($C4471,'Paramètres'!$D:$D,0))&amp;"","")="Les deux",IFERROR(INDEX('Paramètres'!$I:$I,MATCH($C4471,'Paramètres'!$D:$D,0))&amp;"","")=IF($P4471=1,"Débit",$L4471)),-IF($P4471=1,-$K4471,$K4471),0))))</f>
        <v/>
      </c>
      <c r="U4471" s="6" t="str">
        <f>IF($K4471="","",IF(ISNUMBER(SEARCH("sortie-epargne",IFERROR(INDEX('Paramètres'!$N:$N,MATCH($D4471,'Paramètres'!$M:$M,0))&amp;"",""))),$K4471,0))</f>
        <v/>
      </c>
      <c r="V4471" s="6" t="str">
        <f>IF(AND($A4471&lt;&gt;"",$O4471=1,$L4471="Débit",N($Q4471)&gt;0,$A4471&gt;=Visualisation!$B$1,$A4471&lt;Visualisation!$D$1),MAX($V$1:V4470)+1,"")</f>
        <v/>
      </c>
    </row>
    <row r="4472" spans="1:22" x14ac:dyDescent="0.25">
      <c r="A4472" s="9"/>
      <c r="E4472" s="10"/>
      <c r="K4472" s="11" t="str">
        <f>IF($E4472="","",ROUND($E4472*IF(ISNA(MATCH($C4472,'Paramètres'!$D:$D,0)),1,IF(INDEX('Paramètres'!$J:$J,MATCH($C4472,'Paramètres'!$D:$D,0))="",1,INDEX('Paramètres'!$J:$J,MATCH($C4472,'Paramètres'!$D:$D,0)))),2))</f>
        <v/>
      </c>
      <c r="L4472" s="6" t="str">
        <f>IF($D4472="","",IF($F4472&lt;&gt;"",$F4472,IF(ISNA(MATCH($D4472,'Paramètres'!$M:$M,0)),"⚠ Type inconnu",IFERROR(INDEX('Paramètres'!$P:$P,MATCH($D4472,'Paramètres'!$M:$M,0))&amp;"",""))))</f>
        <v/>
      </c>
      <c r="M4472" s="6" t="str">
        <f>IF($D4472="","",IF(ISNA(MATCH($D4472,'Paramètres'!$M:$M,0)),"⚠ Type inconnu",IF($L4472="Crédit","",IFERROR(INDEX('Paramètres'!$O:$O,MATCH($D4472,'Paramètres'!$M:$M,0))&amp;"",""))))</f>
        <v/>
      </c>
      <c r="N4472" s="6" t="str">
        <f>IF($D4472="","",IFERROR(INDEX('Paramètres'!$Q:$Q,MATCH($D4472,'Paramètres'!$M:$M,0))&amp;"",""))</f>
        <v/>
      </c>
      <c r="O4472" s="6" t="str">
        <f>IF($A4472="","",IF(OR($J4472&lt;&gt;"x",$A4472&lt;=FinReleve),1,0))</f>
        <v/>
      </c>
      <c r="P4472" s="6" t="str">
        <f>IF($D4472="","",IF(AND($L4472="Crédit",OR(IFERROR(INDEX('Paramètres'!$O:$O,MATCH($D4472,'Paramètres'!$M:$M,0))&amp;"","")&lt;&gt;"",ISNUMBER(SEARCH("remboursement",IFERROR(INDEX('Paramètres'!$N:$N,MATCH($D4472,'Paramètres'!$M:$M,0))&amp;"",""))))),1,0))</f>
        <v/>
      </c>
      <c r="Q4472" s="6" t="str">
        <f>IF($K4472="","",IF(ISNUMBER(SEARCH("transfert-interne",IFERROR(INDEX('Paramètres'!$N:$N,MATCH($D4472,'Paramètres'!$M:$M,0))&amp;"",""))),0,IF($L4472="Débit",$K4472,IF($P4472=1,-$K4472,0))))</f>
        <v/>
      </c>
      <c r="R4472" s="6" t="str">
        <f>IF($K4472="","",IF($L4472="Crédit",$K4472,-$K4472))</f>
        <v/>
      </c>
      <c r="S4472" s="6" t="str">
        <f>IF($C4472="","",IFERROR(INDEX('Paramètres'!$H:$H,MATCH($C4472,'Paramètres'!$D:$D,0))&amp;"",""))</f>
        <v/>
      </c>
      <c r="T4472" s="6" t="str">
        <f>IF($K4472="","",IF($S4472="",0,IF(ISNUMBER(SEARCH("apport-exterieur",IFERROR(INDEX('Paramètres'!$N:$N,MATCH($D4472,'Paramètres'!$M:$M,0))&amp;"",""))),0,IF(OR(IFERROR(INDEX('Paramètres'!$I:$I,MATCH($C4472,'Paramètres'!$D:$D,0))&amp;"","")="Les deux",IFERROR(INDEX('Paramètres'!$I:$I,MATCH($C4472,'Paramètres'!$D:$D,0))&amp;"","")=IF($P4472=1,"Débit",$L4472)),-IF($P4472=1,-$K4472,$K4472),0))))</f>
        <v/>
      </c>
      <c r="U4472" s="6" t="str">
        <f>IF($K4472="","",IF(ISNUMBER(SEARCH("sortie-epargne",IFERROR(INDEX('Paramètres'!$N:$N,MATCH($D4472,'Paramètres'!$M:$M,0))&amp;"",""))),$K4472,0))</f>
        <v/>
      </c>
      <c r="V4472" s="6" t="str">
        <f>IF(AND($A4472&lt;&gt;"",$O4472=1,$L4472="Débit",N($Q4472)&gt;0,$A4472&gt;=Visualisation!$B$1,$A4472&lt;Visualisation!$D$1),MAX($V$1:V4471)+1,"")</f>
        <v/>
      </c>
    </row>
    <row r="4473" spans="1:22" x14ac:dyDescent="0.25">
      <c r="A4473" s="9"/>
      <c r="E4473" s="10"/>
      <c r="K4473" s="11" t="str">
        <f>IF($E4473="","",ROUND($E4473*IF(ISNA(MATCH($C4473,'Paramètres'!$D:$D,0)),1,IF(INDEX('Paramètres'!$J:$J,MATCH($C4473,'Paramètres'!$D:$D,0))="",1,INDEX('Paramètres'!$J:$J,MATCH($C4473,'Paramètres'!$D:$D,0)))),2))</f>
        <v/>
      </c>
      <c r="L4473" s="6" t="str">
        <f>IF($D4473="","",IF($F4473&lt;&gt;"",$F4473,IF(ISNA(MATCH($D4473,'Paramètres'!$M:$M,0)),"⚠ Type inconnu",IFERROR(INDEX('Paramètres'!$P:$P,MATCH($D4473,'Paramètres'!$M:$M,0))&amp;"",""))))</f>
        <v/>
      </c>
      <c r="M4473" s="6" t="str">
        <f>IF($D4473="","",IF(ISNA(MATCH($D4473,'Paramètres'!$M:$M,0)),"⚠ Type inconnu",IF($L4473="Crédit","",IFERROR(INDEX('Paramètres'!$O:$O,MATCH($D4473,'Paramètres'!$M:$M,0))&amp;"",""))))</f>
        <v/>
      </c>
      <c r="N4473" s="6" t="str">
        <f>IF($D4473="","",IFERROR(INDEX('Paramètres'!$Q:$Q,MATCH($D4473,'Paramètres'!$M:$M,0))&amp;"",""))</f>
        <v/>
      </c>
      <c r="O4473" s="6" t="str">
        <f>IF($A4473="","",IF(OR($J4473&lt;&gt;"x",$A4473&lt;=FinReleve),1,0))</f>
        <v/>
      </c>
      <c r="P4473" s="6" t="str">
        <f>IF($D4473="","",IF(AND($L4473="Crédit",OR(IFERROR(INDEX('Paramètres'!$O:$O,MATCH($D4473,'Paramètres'!$M:$M,0))&amp;"","")&lt;&gt;"",ISNUMBER(SEARCH("remboursement",IFERROR(INDEX('Paramètres'!$N:$N,MATCH($D4473,'Paramètres'!$M:$M,0))&amp;"",""))))),1,0))</f>
        <v/>
      </c>
      <c r="Q4473" s="6" t="str">
        <f>IF($K4473="","",IF(ISNUMBER(SEARCH("transfert-interne",IFERROR(INDEX('Paramètres'!$N:$N,MATCH($D4473,'Paramètres'!$M:$M,0))&amp;"",""))),0,IF($L4473="Débit",$K4473,IF($P4473=1,-$K4473,0))))</f>
        <v/>
      </c>
      <c r="R4473" s="6" t="str">
        <f>IF($K4473="","",IF($L4473="Crédit",$K4473,-$K4473))</f>
        <v/>
      </c>
      <c r="S4473" s="6" t="str">
        <f>IF($C4473="","",IFERROR(INDEX('Paramètres'!$H:$H,MATCH($C4473,'Paramètres'!$D:$D,0))&amp;"",""))</f>
        <v/>
      </c>
      <c r="T4473" s="6" t="str">
        <f>IF($K4473="","",IF($S4473="",0,IF(ISNUMBER(SEARCH("apport-exterieur",IFERROR(INDEX('Paramètres'!$N:$N,MATCH($D4473,'Paramètres'!$M:$M,0))&amp;"",""))),0,IF(OR(IFERROR(INDEX('Paramètres'!$I:$I,MATCH($C4473,'Paramètres'!$D:$D,0))&amp;"","")="Les deux",IFERROR(INDEX('Paramètres'!$I:$I,MATCH($C4473,'Paramètres'!$D:$D,0))&amp;"","")=IF($P4473=1,"Débit",$L4473)),-IF($P4473=1,-$K4473,$K4473),0))))</f>
        <v/>
      </c>
      <c r="U4473" s="6" t="str">
        <f>IF($K4473="","",IF(ISNUMBER(SEARCH("sortie-epargne",IFERROR(INDEX('Paramètres'!$N:$N,MATCH($D4473,'Paramètres'!$M:$M,0))&amp;"",""))),$K4473,0))</f>
        <v/>
      </c>
      <c r="V4473" s="6" t="str">
        <f>IF(AND($A4473&lt;&gt;"",$O4473=1,$L4473="Débit",N($Q4473)&gt;0,$A4473&gt;=Visualisation!$B$1,$A4473&lt;Visualisation!$D$1),MAX($V$1:V4472)+1,"")</f>
        <v/>
      </c>
    </row>
    <row r="4474" spans="1:22" x14ac:dyDescent="0.25">
      <c r="A4474" s="9"/>
      <c r="E4474" s="10"/>
      <c r="K4474" s="11" t="str">
        <f>IF($E4474="","",ROUND($E4474*IF(ISNA(MATCH($C4474,'Paramètres'!$D:$D,0)),1,IF(INDEX('Paramètres'!$J:$J,MATCH($C4474,'Paramètres'!$D:$D,0))="",1,INDEX('Paramètres'!$J:$J,MATCH($C4474,'Paramètres'!$D:$D,0)))),2))</f>
        <v/>
      </c>
      <c r="L4474" s="6" t="str">
        <f>IF($D4474="","",IF($F4474&lt;&gt;"",$F4474,IF(ISNA(MATCH($D4474,'Paramètres'!$M:$M,0)),"⚠ Type inconnu",IFERROR(INDEX('Paramètres'!$P:$P,MATCH($D4474,'Paramètres'!$M:$M,0))&amp;"",""))))</f>
        <v/>
      </c>
      <c r="M4474" s="6" t="str">
        <f>IF($D4474="","",IF(ISNA(MATCH($D4474,'Paramètres'!$M:$M,0)),"⚠ Type inconnu",IF($L4474="Crédit","",IFERROR(INDEX('Paramètres'!$O:$O,MATCH($D4474,'Paramètres'!$M:$M,0))&amp;"",""))))</f>
        <v/>
      </c>
      <c r="N4474" s="6" t="str">
        <f>IF($D4474="","",IFERROR(INDEX('Paramètres'!$Q:$Q,MATCH($D4474,'Paramètres'!$M:$M,0))&amp;"",""))</f>
        <v/>
      </c>
      <c r="O4474" s="6" t="str">
        <f>IF($A4474="","",IF(OR($J4474&lt;&gt;"x",$A4474&lt;=FinReleve),1,0))</f>
        <v/>
      </c>
      <c r="P4474" s="6" t="str">
        <f>IF($D4474="","",IF(AND($L4474="Crédit",OR(IFERROR(INDEX('Paramètres'!$O:$O,MATCH($D4474,'Paramètres'!$M:$M,0))&amp;"","")&lt;&gt;"",ISNUMBER(SEARCH("remboursement",IFERROR(INDEX('Paramètres'!$N:$N,MATCH($D4474,'Paramètres'!$M:$M,0))&amp;"",""))))),1,0))</f>
        <v/>
      </c>
      <c r="Q4474" s="6" t="str">
        <f>IF($K4474="","",IF(ISNUMBER(SEARCH("transfert-interne",IFERROR(INDEX('Paramètres'!$N:$N,MATCH($D4474,'Paramètres'!$M:$M,0))&amp;"",""))),0,IF($L4474="Débit",$K4474,IF($P4474=1,-$K4474,0))))</f>
        <v/>
      </c>
      <c r="R4474" s="6" t="str">
        <f>IF($K4474="","",IF($L4474="Crédit",$K4474,-$K4474))</f>
        <v/>
      </c>
      <c r="S4474" s="6" t="str">
        <f>IF($C4474="","",IFERROR(INDEX('Paramètres'!$H:$H,MATCH($C4474,'Paramètres'!$D:$D,0))&amp;"",""))</f>
        <v/>
      </c>
      <c r="T4474" s="6" t="str">
        <f>IF($K4474="","",IF($S4474="",0,IF(ISNUMBER(SEARCH("apport-exterieur",IFERROR(INDEX('Paramètres'!$N:$N,MATCH($D4474,'Paramètres'!$M:$M,0))&amp;"",""))),0,IF(OR(IFERROR(INDEX('Paramètres'!$I:$I,MATCH($C4474,'Paramètres'!$D:$D,0))&amp;"","")="Les deux",IFERROR(INDEX('Paramètres'!$I:$I,MATCH($C4474,'Paramètres'!$D:$D,0))&amp;"","")=IF($P4474=1,"Débit",$L4474)),-IF($P4474=1,-$K4474,$K4474),0))))</f>
        <v/>
      </c>
      <c r="U4474" s="6" t="str">
        <f>IF($K4474="","",IF(ISNUMBER(SEARCH("sortie-epargne",IFERROR(INDEX('Paramètres'!$N:$N,MATCH($D4474,'Paramètres'!$M:$M,0))&amp;"",""))),$K4474,0))</f>
        <v/>
      </c>
      <c r="V4474" s="6" t="str">
        <f>IF(AND($A4474&lt;&gt;"",$O4474=1,$L4474="Débit",N($Q4474)&gt;0,$A4474&gt;=Visualisation!$B$1,$A4474&lt;Visualisation!$D$1),MAX($V$1:V4473)+1,"")</f>
        <v/>
      </c>
    </row>
    <row r="4475" spans="1:22" x14ac:dyDescent="0.25">
      <c r="A4475" s="9"/>
      <c r="E4475" s="10"/>
      <c r="K4475" s="11" t="str">
        <f>IF($E4475="","",ROUND($E4475*IF(ISNA(MATCH($C4475,'Paramètres'!$D:$D,0)),1,IF(INDEX('Paramètres'!$J:$J,MATCH($C4475,'Paramètres'!$D:$D,0))="",1,INDEX('Paramètres'!$J:$J,MATCH($C4475,'Paramètres'!$D:$D,0)))),2))</f>
        <v/>
      </c>
      <c r="L4475" s="6" t="str">
        <f>IF($D4475="","",IF($F4475&lt;&gt;"",$F4475,IF(ISNA(MATCH($D4475,'Paramètres'!$M:$M,0)),"⚠ Type inconnu",IFERROR(INDEX('Paramètres'!$P:$P,MATCH($D4475,'Paramètres'!$M:$M,0))&amp;"",""))))</f>
        <v/>
      </c>
      <c r="M4475" s="6" t="str">
        <f>IF($D4475="","",IF(ISNA(MATCH($D4475,'Paramètres'!$M:$M,0)),"⚠ Type inconnu",IF($L4475="Crédit","",IFERROR(INDEX('Paramètres'!$O:$O,MATCH($D4475,'Paramètres'!$M:$M,0))&amp;"",""))))</f>
        <v/>
      </c>
      <c r="N4475" s="6" t="str">
        <f>IF($D4475="","",IFERROR(INDEX('Paramètres'!$Q:$Q,MATCH($D4475,'Paramètres'!$M:$M,0))&amp;"",""))</f>
        <v/>
      </c>
      <c r="O4475" s="6" t="str">
        <f>IF($A4475="","",IF(OR($J4475&lt;&gt;"x",$A4475&lt;=FinReleve),1,0))</f>
        <v/>
      </c>
      <c r="P4475" s="6" t="str">
        <f>IF($D4475="","",IF(AND($L4475="Crédit",OR(IFERROR(INDEX('Paramètres'!$O:$O,MATCH($D4475,'Paramètres'!$M:$M,0))&amp;"","")&lt;&gt;"",ISNUMBER(SEARCH("remboursement",IFERROR(INDEX('Paramètres'!$N:$N,MATCH($D4475,'Paramètres'!$M:$M,0))&amp;"",""))))),1,0))</f>
        <v/>
      </c>
      <c r="Q4475" s="6" t="str">
        <f>IF($K4475="","",IF(ISNUMBER(SEARCH("transfert-interne",IFERROR(INDEX('Paramètres'!$N:$N,MATCH($D4475,'Paramètres'!$M:$M,0))&amp;"",""))),0,IF($L4475="Débit",$K4475,IF($P4475=1,-$K4475,0))))</f>
        <v/>
      </c>
      <c r="R4475" s="6" t="str">
        <f>IF($K4475="","",IF($L4475="Crédit",$K4475,-$K4475))</f>
        <v/>
      </c>
      <c r="S4475" s="6" t="str">
        <f>IF($C4475="","",IFERROR(INDEX('Paramètres'!$H:$H,MATCH($C4475,'Paramètres'!$D:$D,0))&amp;"",""))</f>
        <v/>
      </c>
      <c r="T4475" s="6" t="str">
        <f>IF($K4475="","",IF($S4475="",0,IF(ISNUMBER(SEARCH("apport-exterieur",IFERROR(INDEX('Paramètres'!$N:$N,MATCH($D4475,'Paramètres'!$M:$M,0))&amp;"",""))),0,IF(OR(IFERROR(INDEX('Paramètres'!$I:$I,MATCH($C4475,'Paramètres'!$D:$D,0))&amp;"","")="Les deux",IFERROR(INDEX('Paramètres'!$I:$I,MATCH($C4475,'Paramètres'!$D:$D,0))&amp;"","")=IF($P4475=1,"Débit",$L4475)),-IF($P4475=1,-$K4475,$K4475),0))))</f>
        <v/>
      </c>
      <c r="U4475" s="6" t="str">
        <f>IF($K4475="","",IF(ISNUMBER(SEARCH("sortie-epargne",IFERROR(INDEX('Paramètres'!$N:$N,MATCH($D4475,'Paramètres'!$M:$M,0))&amp;"",""))),$K4475,0))</f>
        <v/>
      </c>
      <c r="V4475" s="6" t="str">
        <f>IF(AND($A4475&lt;&gt;"",$O4475=1,$L4475="Débit",N($Q4475)&gt;0,$A4475&gt;=Visualisation!$B$1,$A4475&lt;Visualisation!$D$1),MAX($V$1:V4474)+1,"")</f>
        <v/>
      </c>
    </row>
    <row r="4476" spans="1:22" x14ac:dyDescent="0.25">
      <c r="A4476" s="9"/>
      <c r="E4476" s="10"/>
      <c r="K4476" s="11" t="str">
        <f>IF($E4476="","",ROUND($E4476*IF(ISNA(MATCH($C4476,'Paramètres'!$D:$D,0)),1,IF(INDEX('Paramètres'!$J:$J,MATCH($C4476,'Paramètres'!$D:$D,0))="",1,INDEX('Paramètres'!$J:$J,MATCH($C4476,'Paramètres'!$D:$D,0)))),2))</f>
        <v/>
      </c>
      <c r="L4476" s="6" t="str">
        <f>IF($D4476="","",IF($F4476&lt;&gt;"",$F4476,IF(ISNA(MATCH($D4476,'Paramètres'!$M:$M,0)),"⚠ Type inconnu",IFERROR(INDEX('Paramètres'!$P:$P,MATCH($D4476,'Paramètres'!$M:$M,0))&amp;"",""))))</f>
        <v/>
      </c>
      <c r="M4476" s="6" t="str">
        <f>IF($D4476="","",IF(ISNA(MATCH($D4476,'Paramètres'!$M:$M,0)),"⚠ Type inconnu",IF($L4476="Crédit","",IFERROR(INDEX('Paramètres'!$O:$O,MATCH($D4476,'Paramètres'!$M:$M,0))&amp;"",""))))</f>
        <v/>
      </c>
      <c r="N4476" s="6" t="str">
        <f>IF($D4476="","",IFERROR(INDEX('Paramètres'!$Q:$Q,MATCH($D4476,'Paramètres'!$M:$M,0))&amp;"",""))</f>
        <v/>
      </c>
      <c r="O4476" s="6" t="str">
        <f>IF($A4476="","",IF(OR($J4476&lt;&gt;"x",$A4476&lt;=FinReleve),1,0))</f>
        <v/>
      </c>
      <c r="P4476" s="6" t="str">
        <f>IF($D4476="","",IF(AND($L4476="Crédit",OR(IFERROR(INDEX('Paramètres'!$O:$O,MATCH($D4476,'Paramètres'!$M:$M,0))&amp;"","")&lt;&gt;"",ISNUMBER(SEARCH("remboursement",IFERROR(INDEX('Paramètres'!$N:$N,MATCH($D4476,'Paramètres'!$M:$M,0))&amp;"",""))))),1,0))</f>
        <v/>
      </c>
      <c r="Q4476" s="6" t="str">
        <f>IF($K4476="","",IF(ISNUMBER(SEARCH("transfert-interne",IFERROR(INDEX('Paramètres'!$N:$N,MATCH($D4476,'Paramètres'!$M:$M,0))&amp;"",""))),0,IF($L4476="Débit",$K4476,IF($P4476=1,-$K4476,0))))</f>
        <v/>
      </c>
      <c r="R4476" s="6" t="str">
        <f>IF($K4476="","",IF($L4476="Crédit",$K4476,-$K4476))</f>
        <v/>
      </c>
      <c r="S4476" s="6" t="str">
        <f>IF($C4476="","",IFERROR(INDEX('Paramètres'!$H:$H,MATCH($C4476,'Paramètres'!$D:$D,0))&amp;"",""))</f>
        <v/>
      </c>
      <c r="T4476" s="6" t="str">
        <f>IF($K4476="","",IF($S4476="",0,IF(ISNUMBER(SEARCH("apport-exterieur",IFERROR(INDEX('Paramètres'!$N:$N,MATCH($D4476,'Paramètres'!$M:$M,0))&amp;"",""))),0,IF(OR(IFERROR(INDEX('Paramètres'!$I:$I,MATCH($C4476,'Paramètres'!$D:$D,0))&amp;"","")="Les deux",IFERROR(INDEX('Paramètres'!$I:$I,MATCH($C4476,'Paramètres'!$D:$D,0))&amp;"","")=IF($P4476=1,"Débit",$L4476)),-IF($P4476=1,-$K4476,$K4476),0))))</f>
        <v/>
      </c>
      <c r="U4476" s="6" t="str">
        <f>IF($K4476="","",IF(ISNUMBER(SEARCH("sortie-epargne",IFERROR(INDEX('Paramètres'!$N:$N,MATCH($D4476,'Paramètres'!$M:$M,0))&amp;"",""))),$K4476,0))</f>
        <v/>
      </c>
      <c r="V4476" s="6" t="str">
        <f>IF(AND($A4476&lt;&gt;"",$O4476=1,$L4476="Débit",N($Q4476)&gt;0,$A4476&gt;=Visualisation!$B$1,$A4476&lt;Visualisation!$D$1),MAX($V$1:V4475)+1,"")</f>
        <v/>
      </c>
    </row>
    <row r="4477" spans="1:22" x14ac:dyDescent="0.25">
      <c r="A4477" s="9"/>
      <c r="E4477" s="10"/>
      <c r="K4477" s="11" t="str">
        <f>IF($E4477="","",ROUND($E4477*IF(ISNA(MATCH($C4477,'Paramètres'!$D:$D,0)),1,IF(INDEX('Paramètres'!$J:$J,MATCH($C4477,'Paramètres'!$D:$D,0))="",1,INDEX('Paramètres'!$J:$J,MATCH($C4477,'Paramètres'!$D:$D,0)))),2))</f>
        <v/>
      </c>
      <c r="L4477" s="6" t="str">
        <f>IF($D4477="","",IF($F4477&lt;&gt;"",$F4477,IF(ISNA(MATCH($D4477,'Paramètres'!$M:$M,0)),"⚠ Type inconnu",IFERROR(INDEX('Paramètres'!$P:$P,MATCH($D4477,'Paramètres'!$M:$M,0))&amp;"",""))))</f>
        <v/>
      </c>
      <c r="M4477" s="6" t="str">
        <f>IF($D4477="","",IF(ISNA(MATCH($D4477,'Paramètres'!$M:$M,0)),"⚠ Type inconnu",IF($L4477="Crédit","",IFERROR(INDEX('Paramètres'!$O:$O,MATCH($D4477,'Paramètres'!$M:$M,0))&amp;"",""))))</f>
        <v/>
      </c>
      <c r="N4477" s="6" t="str">
        <f>IF($D4477="","",IFERROR(INDEX('Paramètres'!$Q:$Q,MATCH($D4477,'Paramètres'!$M:$M,0))&amp;"",""))</f>
        <v/>
      </c>
      <c r="O4477" s="6" t="str">
        <f>IF($A4477="","",IF(OR($J4477&lt;&gt;"x",$A4477&lt;=FinReleve),1,0))</f>
        <v/>
      </c>
      <c r="P4477" s="6" t="str">
        <f>IF($D4477="","",IF(AND($L4477="Crédit",OR(IFERROR(INDEX('Paramètres'!$O:$O,MATCH($D4477,'Paramètres'!$M:$M,0))&amp;"","")&lt;&gt;"",ISNUMBER(SEARCH("remboursement",IFERROR(INDEX('Paramètres'!$N:$N,MATCH($D4477,'Paramètres'!$M:$M,0))&amp;"",""))))),1,0))</f>
        <v/>
      </c>
      <c r="Q4477" s="6" t="str">
        <f>IF($K4477="","",IF(ISNUMBER(SEARCH("transfert-interne",IFERROR(INDEX('Paramètres'!$N:$N,MATCH($D4477,'Paramètres'!$M:$M,0))&amp;"",""))),0,IF($L4477="Débit",$K4477,IF($P4477=1,-$K4477,0))))</f>
        <v/>
      </c>
      <c r="R4477" s="6" t="str">
        <f>IF($K4477="","",IF($L4477="Crédit",$K4477,-$K4477))</f>
        <v/>
      </c>
      <c r="S4477" s="6" t="str">
        <f>IF($C4477="","",IFERROR(INDEX('Paramètres'!$H:$H,MATCH($C4477,'Paramètres'!$D:$D,0))&amp;"",""))</f>
        <v/>
      </c>
      <c r="T4477" s="6" t="str">
        <f>IF($K4477="","",IF($S4477="",0,IF(ISNUMBER(SEARCH("apport-exterieur",IFERROR(INDEX('Paramètres'!$N:$N,MATCH($D4477,'Paramètres'!$M:$M,0))&amp;"",""))),0,IF(OR(IFERROR(INDEX('Paramètres'!$I:$I,MATCH($C4477,'Paramètres'!$D:$D,0))&amp;"","")="Les deux",IFERROR(INDEX('Paramètres'!$I:$I,MATCH($C4477,'Paramètres'!$D:$D,0))&amp;"","")=IF($P4477=1,"Débit",$L4477)),-IF($P4477=1,-$K4477,$K4477),0))))</f>
        <v/>
      </c>
      <c r="U4477" s="6" t="str">
        <f>IF($K4477="","",IF(ISNUMBER(SEARCH("sortie-epargne",IFERROR(INDEX('Paramètres'!$N:$N,MATCH($D4477,'Paramètres'!$M:$M,0))&amp;"",""))),$K4477,0))</f>
        <v/>
      </c>
      <c r="V4477" s="6" t="str">
        <f>IF(AND($A4477&lt;&gt;"",$O4477=1,$L4477="Débit",N($Q4477)&gt;0,$A4477&gt;=Visualisation!$B$1,$A4477&lt;Visualisation!$D$1),MAX($V$1:V4476)+1,"")</f>
        <v/>
      </c>
    </row>
    <row r="4478" spans="1:22" x14ac:dyDescent="0.25">
      <c r="A4478" s="9"/>
      <c r="E4478" s="10"/>
      <c r="K4478" s="11" t="str">
        <f>IF($E4478="","",ROUND($E4478*IF(ISNA(MATCH($C4478,'Paramètres'!$D:$D,0)),1,IF(INDEX('Paramètres'!$J:$J,MATCH($C4478,'Paramètres'!$D:$D,0))="",1,INDEX('Paramètres'!$J:$J,MATCH($C4478,'Paramètres'!$D:$D,0)))),2))</f>
        <v/>
      </c>
      <c r="L4478" s="6" t="str">
        <f>IF($D4478="","",IF($F4478&lt;&gt;"",$F4478,IF(ISNA(MATCH($D4478,'Paramètres'!$M:$M,0)),"⚠ Type inconnu",IFERROR(INDEX('Paramètres'!$P:$P,MATCH($D4478,'Paramètres'!$M:$M,0))&amp;"",""))))</f>
        <v/>
      </c>
      <c r="M4478" s="6" t="str">
        <f>IF($D4478="","",IF(ISNA(MATCH($D4478,'Paramètres'!$M:$M,0)),"⚠ Type inconnu",IF($L4478="Crédit","",IFERROR(INDEX('Paramètres'!$O:$O,MATCH($D4478,'Paramètres'!$M:$M,0))&amp;"",""))))</f>
        <v/>
      </c>
      <c r="N4478" s="6" t="str">
        <f>IF($D4478="","",IFERROR(INDEX('Paramètres'!$Q:$Q,MATCH($D4478,'Paramètres'!$M:$M,0))&amp;"",""))</f>
        <v/>
      </c>
      <c r="O4478" s="6" t="str">
        <f>IF($A4478="","",IF(OR($J4478&lt;&gt;"x",$A4478&lt;=FinReleve),1,0))</f>
        <v/>
      </c>
      <c r="P4478" s="6" t="str">
        <f>IF($D4478="","",IF(AND($L4478="Crédit",OR(IFERROR(INDEX('Paramètres'!$O:$O,MATCH($D4478,'Paramètres'!$M:$M,0))&amp;"","")&lt;&gt;"",ISNUMBER(SEARCH("remboursement",IFERROR(INDEX('Paramètres'!$N:$N,MATCH($D4478,'Paramètres'!$M:$M,0))&amp;"",""))))),1,0))</f>
        <v/>
      </c>
      <c r="Q4478" s="6" t="str">
        <f>IF($K4478="","",IF(ISNUMBER(SEARCH("transfert-interne",IFERROR(INDEX('Paramètres'!$N:$N,MATCH($D4478,'Paramètres'!$M:$M,0))&amp;"",""))),0,IF($L4478="Débit",$K4478,IF($P4478=1,-$K4478,0))))</f>
        <v/>
      </c>
      <c r="R4478" s="6" t="str">
        <f>IF($K4478="","",IF($L4478="Crédit",$K4478,-$K4478))</f>
        <v/>
      </c>
      <c r="S4478" s="6" t="str">
        <f>IF($C4478="","",IFERROR(INDEX('Paramètres'!$H:$H,MATCH($C4478,'Paramètres'!$D:$D,0))&amp;"",""))</f>
        <v/>
      </c>
      <c r="T4478" s="6" t="str">
        <f>IF($K4478="","",IF($S4478="",0,IF(ISNUMBER(SEARCH("apport-exterieur",IFERROR(INDEX('Paramètres'!$N:$N,MATCH($D4478,'Paramètres'!$M:$M,0))&amp;"",""))),0,IF(OR(IFERROR(INDEX('Paramètres'!$I:$I,MATCH($C4478,'Paramètres'!$D:$D,0))&amp;"","")="Les deux",IFERROR(INDEX('Paramètres'!$I:$I,MATCH($C4478,'Paramètres'!$D:$D,0))&amp;"","")=IF($P4478=1,"Débit",$L4478)),-IF($P4478=1,-$K4478,$K4478),0))))</f>
        <v/>
      </c>
      <c r="U4478" s="6" t="str">
        <f>IF($K4478="","",IF(ISNUMBER(SEARCH("sortie-epargne",IFERROR(INDEX('Paramètres'!$N:$N,MATCH($D4478,'Paramètres'!$M:$M,0))&amp;"",""))),$K4478,0))</f>
        <v/>
      </c>
      <c r="V4478" s="6" t="str">
        <f>IF(AND($A4478&lt;&gt;"",$O4478=1,$L4478="Débit",N($Q4478)&gt;0,$A4478&gt;=Visualisation!$B$1,$A4478&lt;Visualisation!$D$1),MAX($V$1:V4477)+1,"")</f>
        <v/>
      </c>
    </row>
    <row r="4479" spans="1:22" x14ac:dyDescent="0.25">
      <c r="A4479" s="9"/>
      <c r="E4479" s="10"/>
      <c r="K4479" s="11" t="str">
        <f>IF($E4479="","",ROUND($E4479*IF(ISNA(MATCH($C4479,'Paramètres'!$D:$D,0)),1,IF(INDEX('Paramètres'!$J:$J,MATCH($C4479,'Paramètres'!$D:$D,0))="",1,INDEX('Paramètres'!$J:$J,MATCH($C4479,'Paramètres'!$D:$D,0)))),2))</f>
        <v/>
      </c>
      <c r="L4479" s="6" t="str">
        <f>IF($D4479="","",IF($F4479&lt;&gt;"",$F4479,IF(ISNA(MATCH($D4479,'Paramètres'!$M:$M,0)),"⚠ Type inconnu",IFERROR(INDEX('Paramètres'!$P:$P,MATCH($D4479,'Paramètres'!$M:$M,0))&amp;"",""))))</f>
        <v/>
      </c>
      <c r="M4479" s="6" t="str">
        <f>IF($D4479="","",IF(ISNA(MATCH($D4479,'Paramètres'!$M:$M,0)),"⚠ Type inconnu",IF($L4479="Crédit","",IFERROR(INDEX('Paramètres'!$O:$O,MATCH($D4479,'Paramètres'!$M:$M,0))&amp;"",""))))</f>
        <v/>
      </c>
      <c r="N4479" s="6" t="str">
        <f>IF($D4479="","",IFERROR(INDEX('Paramètres'!$Q:$Q,MATCH($D4479,'Paramètres'!$M:$M,0))&amp;"",""))</f>
        <v/>
      </c>
      <c r="O4479" s="6" t="str">
        <f>IF($A4479="","",IF(OR($J4479&lt;&gt;"x",$A4479&lt;=FinReleve),1,0))</f>
        <v/>
      </c>
      <c r="P4479" s="6" t="str">
        <f>IF($D4479="","",IF(AND($L4479="Crédit",OR(IFERROR(INDEX('Paramètres'!$O:$O,MATCH($D4479,'Paramètres'!$M:$M,0))&amp;"","")&lt;&gt;"",ISNUMBER(SEARCH("remboursement",IFERROR(INDEX('Paramètres'!$N:$N,MATCH($D4479,'Paramètres'!$M:$M,0))&amp;"",""))))),1,0))</f>
        <v/>
      </c>
      <c r="Q4479" s="6" t="str">
        <f>IF($K4479="","",IF(ISNUMBER(SEARCH("transfert-interne",IFERROR(INDEX('Paramètres'!$N:$N,MATCH($D4479,'Paramètres'!$M:$M,0))&amp;"",""))),0,IF($L4479="Débit",$K4479,IF($P4479=1,-$K4479,0))))</f>
        <v/>
      </c>
      <c r="R4479" s="6" t="str">
        <f>IF($K4479="","",IF($L4479="Crédit",$K4479,-$K4479))</f>
        <v/>
      </c>
      <c r="S4479" s="6" t="str">
        <f>IF($C4479="","",IFERROR(INDEX('Paramètres'!$H:$H,MATCH($C4479,'Paramètres'!$D:$D,0))&amp;"",""))</f>
        <v/>
      </c>
      <c r="T4479" s="6" t="str">
        <f>IF($K4479="","",IF($S4479="",0,IF(ISNUMBER(SEARCH("apport-exterieur",IFERROR(INDEX('Paramètres'!$N:$N,MATCH($D4479,'Paramètres'!$M:$M,0))&amp;"",""))),0,IF(OR(IFERROR(INDEX('Paramètres'!$I:$I,MATCH($C4479,'Paramètres'!$D:$D,0))&amp;"","")="Les deux",IFERROR(INDEX('Paramètres'!$I:$I,MATCH($C4479,'Paramètres'!$D:$D,0))&amp;"","")=IF($P4479=1,"Débit",$L4479)),-IF($P4479=1,-$K4479,$K4479),0))))</f>
        <v/>
      </c>
      <c r="U4479" s="6" t="str">
        <f>IF($K4479="","",IF(ISNUMBER(SEARCH("sortie-epargne",IFERROR(INDEX('Paramètres'!$N:$N,MATCH($D4479,'Paramètres'!$M:$M,0))&amp;"",""))),$K4479,0))</f>
        <v/>
      </c>
      <c r="V4479" s="6" t="str">
        <f>IF(AND($A4479&lt;&gt;"",$O4479=1,$L4479="Débit",N($Q4479)&gt;0,$A4479&gt;=Visualisation!$B$1,$A4479&lt;Visualisation!$D$1),MAX($V$1:V4478)+1,"")</f>
        <v/>
      </c>
    </row>
    <row r="4480" spans="1:22" x14ac:dyDescent="0.25">
      <c r="A4480" s="9"/>
      <c r="E4480" s="10"/>
      <c r="K4480" s="11" t="str">
        <f>IF($E4480="","",ROUND($E4480*IF(ISNA(MATCH($C4480,'Paramètres'!$D:$D,0)),1,IF(INDEX('Paramètres'!$J:$J,MATCH($C4480,'Paramètres'!$D:$D,0))="",1,INDEX('Paramètres'!$J:$J,MATCH($C4480,'Paramètres'!$D:$D,0)))),2))</f>
        <v/>
      </c>
      <c r="L4480" s="6" t="str">
        <f>IF($D4480="","",IF($F4480&lt;&gt;"",$F4480,IF(ISNA(MATCH($D4480,'Paramètres'!$M:$M,0)),"⚠ Type inconnu",IFERROR(INDEX('Paramètres'!$P:$P,MATCH($D4480,'Paramètres'!$M:$M,0))&amp;"",""))))</f>
        <v/>
      </c>
      <c r="M4480" s="6" t="str">
        <f>IF($D4480="","",IF(ISNA(MATCH($D4480,'Paramètres'!$M:$M,0)),"⚠ Type inconnu",IF($L4480="Crédit","",IFERROR(INDEX('Paramètres'!$O:$O,MATCH($D4480,'Paramètres'!$M:$M,0))&amp;"",""))))</f>
        <v/>
      </c>
      <c r="N4480" s="6" t="str">
        <f>IF($D4480="","",IFERROR(INDEX('Paramètres'!$Q:$Q,MATCH($D4480,'Paramètres'!$M:$M,0))&amp;"",""))</f>
        <v/>
      </c>
      <c r="O4480" s="6" t="str">
        <f>IF($A4480="","",IF(OR($J4480&lt;&gt;"x",$A4480&lt;=FinReleve),1,0))</f>
        <v/>
      </c>
      <c r="P4480" s="6" t="str">
        <f>IF($D4480="","",IF(AND($L4480="Crédit",OR(IFERROR(INDEX('Paramètres'!$O:$O,MATCH($D4480,'Paramètres'!$M:$M,0))&amp;"","")&lt;&gt;"",ISNUMBER(SEARCH("remboursement",IFERROR(INDEX('Paramètres'!$N:$N,MATCH($D4480,'Paramètres'!$M:$M,0))&amp;"",""))))),1,0))</f>
        <v/>
      </c>
      <c r="Q4480" s="6" t="str">
        <f>IF($K4480="","",IF(ISNUMBER(SEARCH("transfert-interne",IFERROR(INDEX('Paramètres'!$N:$N,MATCH($D4480,'Paramètres'!$M:$M,0))&amp;"",""))),0,IF($L4480="Débit",$K4480,IF($P4480=1,-$K4480,0))))</f>
        <v/>
      </c>
      <c r="R4480" s="6" t="str">
        <f>IF($K4480="","",IF($L4480="Crédit",$K4480,-$K4480))</f>
        <v/>
      </c>
      <c r="S4480" s="6" t="str">
        <f>IF($C4480="","",IFERROR(INDEX('Paramètres'!$H:$H,MATCH($C4480,'Paramètres'!$D:$D,0))&amp;"",""))</f>
        <v/>
      </c>
      <c r="T4480" s="6" t="str">
        <f>IF($K4480="","",IF($S4480="",0,IF(ISNUMBER(SEARCH("apport-exterieur",IFERROR(INDEX('Paramètres'!$N:$N,MATCH($D4480,'Paramètres'!$M:$M,0))&amp;"",""))),0,IF(OR(IFERROR(INDEX('Paramètres'!$I:$I,MATCH($C4480,'Paramètres'!$D:$D,0))&amp;"","")="Les deux",IFERROR(INDEX('Paramètres'!$I:$I,MATCH($C4480,'Paramètres'!$D:$D,0))&amp;"","")=IF($P4480=1,"Débit",$L4480)),-IF($P4480=1,-$K4480,$K4480),0))))</f>
        <v/>
      </c>
      <c r="U4480" s="6" t="str">
        <f>IF($K4480="","",IF(ISNUMBER(SEARCH("sortie-epargne",IFERROR(INDEX('Paramètres'!$N:$N,MATCH($D4480,'Paramètres'!$M:$M,0))&amp;"",""))),$K4480,0))</f>
        <v/>
      </c>
      <c r="V4480" s="6" t="str">
        <f>IF(AND($A4480&lt;&gt;"",$O4480=1,$L4480="Débit",N($Q4480)&gt;0,$A4480&gt;=Visualisation!$B$1,$A4480&lt;Visualisation!$D$1),MAX($V$1:V4479)+1,"")</f>
        <v/>
      </c>
    </row>
    <row r="4481" spans="1:22" x14ac:dyDescent="0.25">
      <c r="A4481" s="9"/>
      <c r="E4481" s="10"/>
      <c r="K4481" s="11" t="str">
        <f>IF($E4481="","",ROUND($E4481*IF(ISNA(MATCH($C4481,'Paramètres'!$D:$D,0)),1,IF(INDEX('Paramètres'!$J:$J,MATCH($C4481,'Paramètres'!$D:$D,0))="",1,INDEX('Paramètres'!$J:$J,MATCH($C4481,'Paramètres'!$D:$D,0)))),2))</f>
        <v/>
      </c>
      <c r="L4481" s="6" t="str">
        <f>IF($D4481="","",IF($F4481&lt;&gt;"",$F4481,IF(ISNA(MATCH($D4481,'Paramètres'!$M:$M,0)),"⚠ Type inconnu",IFERROR(INDEX('Paramètres'!$P:$P,MATCH($D4481,'Paramètres'!$M:$M,0))&amp;"",""))))</f>
        <v/>
      </c>
      <c r="M4481" s="6" t="str">
        <f>IF($D4481="","",IF(ISNA(MATCH($D4481,'Paramètres'!$M:$M,0)),"⚠ Type inconnu",IF($L4481="Crédit","",IFERROR(INDEX('Paramètres'!$O:$O,MATCH($D4481,'Paramètres'!$M:$M,0))&amp;"",""))))</f>
        <v/>
      </c>
      <c r="N4481" s="6" t="str">
        <f>IF($D4481="","",IFERROR(INDEX('Paramètres'!$Q:$Q,MATCH($D4481,'Paramètres'!$M:$M,0))&amp;"",""))</f>
        <v/>
      </c>
      <c r="O4481" s="6" t="str">
        <f>IF($A4481="","",IF(OR($J4481&lt;&gt;"x",$A4481&lt;=FinReleve),1,0))</f>
        <v/>
      </c>
      <c r="P4481" s="6" t="str">
        <f>IF($D4481="","",IF(AND($L4481="Crédit",OR(IFERROR(INDEX('Paramètres'!$O:$O,MATCH($D4481,'Paramètres'!$M:$M,0))&amp;"","")&lt;&gt;"",ISNUMBER(SEARCH("remboursement",IFERROR(INDEX('Paramètres'!$N:$N,MATCH($D4481,'Paramètres'!$M:$M,0))&amp;"",""))))),1,0))</f>
        <v/>
      </c>
      <c r="Q4481" s="6" t="str">
        <f>IF($K4481="","",IF(ISNUMBER(SEARCH("transfert-interne",IFERROR(INDEX('Paramètres'!$N:$N,MATCH($D4481,'Paramètres'!$M:$M,0))&amp;"",""))),0,IF($L4481="Débit",$K4481,IF($P4481=1,-$K4481,0))))</f>
        <v/>
      </c>
      <c r="R4481" s="6" t="str">
        <f>IF($K4481="","",IF($L4481="Crédit",$K4481,-$K4481))</f>
        <v/>
      </c>
      <c r="S4481" s="6" t="str">
        <f>IF($C4481="","",IFERROR(INDEX('Paramètres'!$H:$H,MATCH($C4481,'Paramètres'!$D:$D,0))&amp;"",""))</f>
        <v/>
      </c>
      <c r="T4481" s="6" t="str">
        <f>IF($K4481="","",IF($S4481="",0,IF(ISNUMBER(SEARCH("apport-exterieur",IFERROR(INDEX('Paramètres'!$N:$N,MATCH($D4481,'Paramètres'!$M:$M,0))&amp;"",""))),0,IF(OR(IFERROR(INDEX('Paramètres'!$I:$I,MATCH($C4481,'Paramètres'!$D:$D,0))&amp;"","")="Les deux",IFERROR(INDEX('Paramètres'!$I:$I,MATCH($C4481,'Paramètres'!$D:$D,0))&amp;"","")=IF($P4481=1,"Débit",$L4481)),-IF($P4481=1,-$K4481,$K4481),0))))</f>
        <v/>
      </c>
      <c r="U4481" s="6" t="str">
        <f>IF($K4481="","",IF(ISNUMBER(SEARCH("sortie-epargne",IFERROR(INDEX('Paramètres'!$N:$N,MATCH($D4481,'Paramètres'!$M:$M,0))&amp;"",""))),$K4481,0))</f>
        <v/>
      </c>
      <c r="V4481" s="6" t="str">
        <f>IF(AND($A4481&lt;&gt;"",$O4481=1,$L4481="Débit",N($Q4481)&gt;0,$A4481&gt;=Visualisation!$B$1,$A4481&lt;Visualisation!$D$1),MAX($V$1:V4480)+1,"")</f>
        <v/>
      </c>
    </row>
    <row r="4482" spans="1:22" x14ac:dyDescent="0.25">
      <c r="A4482" s="9"/>
      <c r="E4482" s="10"/>
      <c r="K4482" s="11" t="str">
        <f>IF($E4482="","",ROUND($E4482*IF(ISNA(MATCH($C4482,'Paramètres'!$D:$D,0)),1,IF(INDEX('Paramètres'!$J:$J,MATCH($C4482,'Paramètres'!$D:$D,0))="",1,INDEX('Paramètres'!$J:$J,MATCH($C4482,'Paramètres'!$D:$D,0)))),2))</f>
        <v/>
      </c>
      <c r="L4482" s="6" t="str">
        <f>IF($D4482="","",IF($F4482&lt;&gt;"",$F4482,IF(ISNA(MATCH($D4482,'Paramètres'!$M:$M,0)),"⚠ Type inconnu",IFERROR(INDEX('Paramètres'!$P:$P,MATCH($D4482,'Paramètres'!$M:$M,0))&amp;"",""))))</f>
        <v/>
      </c>
      <c r="M4482" s="6" t="str">
        <f>IF($D4482="","",IF(ISNA(MATCH($D4482,'Paramètres'!$M:$M,0)),"⚠ Type inconnu",IF($L4482="Crédit","",IFERROR(INDEX('Paramètres'!$O:$O,MATCH($D4482,'Paramètres'!$M:$M,0))&amp;"",""))))</f>
        <v/>
      </c>
      <c r="N4482" s="6" t="str">
        <f>IF($D4482="","",IFERROR(INDEX('Paramètres'!$Q:$Q,MATCH($D4482,'Paramètres'!$M:$M,0))&amp;"",""))</f>
        <v/>
      </c>
      <c r="O4482" s="6" t="str">
        <f>IF($A4482="","",IF(OR($J4482&lt;&gt;"x",$A4482&lt;=FinReleve),1,0))</f>
        <v/>
      </c>
      <c r="P4482" s="6" t="str">
        <f>IF($D4482="","",IF(AND($L4482="Crédit",OR(IFERROR(INDEX('Paramètres'!$O:$O,MATCH($D4482,'Paramètres'!$M:$M,0))&amp;"","")&lt;&gt;"",ISNUMBER(SEARCH("remboursement",IFERROR(INDEX('Paramètres'!$N:$N,MATCH($D4482,'Paramètres'!$M:$M,0))&amp;"",""))))),1,0))</f>
        <v/>
      </c>
      <c r="Q4482" s="6" t="str">
        <f>IF($K4482="","",IF(ISNUMBER(SEARCH("transfert-interne",IFERROR(INDEX('Paramètres'!$N:$N,MATCH($D4482,'Paramètres'!$M:$M,0))&amp;"",""))),0,IF($L4482="Débit",$K4482,IF($P4482=1,-$K4482,0))))</f>
        <v/>
      </c>
      <c r="R4482" s="6" t="str">
        <f>IF($K4482="","",IF($L4482="Crédit",$K4482,-$K4482))</f>
        <v/>
      </c>
      <c r="S4482" s="6" t="str">
        <f>IF($C4482="","",IFERROR(INDEX('Paramètres'!$H:$H,MATCH($C4482,'Paramètres'!$D:$D,0))&amp;"",""))</f>
        <v/>
      </c>
      <c r="T4482" s="6" t="str">
        <f>IF($K4482="","",IF($S4482="",0,IF(ISNUMBER(SEARCH("apport-exterieur",IFERROR(INDEX('Paramètres'!$N:$N,MATCH($D4482,'Paramètres'!$M:$M,0))&amp;"",""))),0,IF(OR(IFERROR(INDEX('Paramètres'!$I:$I,MATCH($C4482,'Paramètres'!$D:$D,0))&amp;"","")="Les deux",IFERROR(INDEX('Paramètres'!$I:$I,MATCH($C4482,'Paramètres'!$D:$D,0))&amp;"","")=IF($P4482=1,"Débit",$L4482)),-IF($P4482=1,-$K4482,$K4482),0))))</f>
        <v/>
      </c>
      <c r="U4482" s="6" t="str">
        <f>IF($K4482="","",IF(ISNUMBER(SEARCH("sortie-epargne",IFERROR(INDEX('Paramètres'!$N:$N,MATCH($D4482,'Paramètres'!$M:$M,0))&amp;"",""))),$K4482,0))</f>
        <v/>
      </c>
      <c r="V4482" s="6" t="str">
        <f>IF(AND($A4482&lt;&gt;"",$O4482=1,$L4482="Débit",N($Q4482)&gt;0,$A4482&gt;=Visualisation!$B$1,$A4482&lt;Visualisation!$D$1),MAX($V$1:V4481)+1,"")</f>
        <v/>
      </c>
    </row>
    <row r="4483" spans="1:22" x14ac:dyDescent="0.25">
      <c r="A4483" s="9"/>
      <c r="E4483" s="10"/>
      <c r="K4483" s="11" t="str">
        <f>IF($E4483="","",ROUND($E4483*IF(ISNA(MATCH($C4483,'Paramètres'!$D:$D,0)),1,IF(INDEX('Paramètres'!$J:$J,MATCH($C4483,'Paramètres'!$D:$D,0))="",1,INDEX('Paramètres'!$J:$J,MATCH($C4483,'Paramètres'!$D:$D,0)))),2))</f>
        <v/>
      </c>
      <c r="L4483" s="6" t="str">
        <f>IF($D4483="","",IF($F4483&lt;&gt;"",$F4483,IF(ISNA(MATCH($D4483,'Paramètres'!$M:$M,0)),"⚠ Type inconnu",IFERROR(INDEX('Paramètres'!$P:$P,MATCH($D4483,'Paramètres'!$M:$M,0))&amp;"",""))))</f>
        <v/>
      </c>
      <c r="M4483" s="6" t="str">
        <f>IF($D4483="","",IF(ISNA(MATCH($D4483,'Paramètres'!$M:$M,0)),"⚠ Type inconnu",IF($L4483="Crédit","",IFERROR(INDEX('Paramètres'!$O:$O,MATCH($D4483,'Paramètres'!$M:$M,0))&amp;"",""))))</f>
        <v/>
      </c>
      <c r="N4483" s="6" t="str">
        <f>IF($D4483="","",IFERROR(INDEX('Paramètres'!$Q:$Q,MATCH($D4483,'Paramètres'!$M:$M,0))&amp;"",""))</f>
        <v/>
      </c>
      <c r="O4483" s="6" t="str">
        <f>IF($A4483="","",IF(OR($J4483&lt;&gt;"x",$A4483&lt;=FinReleve),1,0))</f>
        <v/>
      </c>
      <c r="P4483" s="6" t="str">
        <f>IF($D4483="","",IF(AND($L4483="Crédit",OR(IFERROR(INDEX('Paramètres'!$O:$O,MATCH($D4483,'Paramètres'!$M:$M,0))&amp;"","")&lt;&gt;"",ISNUMBER(SEARCH("remboursement",IFERROR(INDEX('Paramètres'!$N:$N,MATCH($D4483,'Paramètres'!$M:$M,0))&amp;"",""))))),1,0))</f>
        <v/>
      </c>
      <c r="Q4483" s="6" t="str">
        <f>IF($K4483="","",IF(ISNUMBER(SEARCH("transfert-interne",IFERROR(INDEX('Paramètres'!$N:$N,MATCH($D4483,'Paramètres'!$M:$M,0))&amp;"",""))),0,IF($L4483="Débit",$K4483,IF($P4483=1,-$K4483,0))))</f>
        <v/>
      </c>
      <c r="R4483" s="6" t="str">
        <f>IF($K4483="","",IF($L4483="Crédit",$K4483,-$K4483))</f>
        <v/>
      </c>
      <c r="S4483" s="6" t="str">
        <f>IF($C4483="","",IFERROR(INDEX('Paramètres'!$H:$H,MATCH($C4483,'Paramètres'!$D:$D,0))&amp;"",""))</f>
        <v/>
      </c>
      <c r="T4483" s="6" t="str">
        <f>IF($K4483="","",IF($S4483="",0,IF(ISNUMBER(SEARCH("apport-exterieur",IFERROR(INDEX('Paramètres'!$N:$N,MATCH($D4483,'Paramètres'!$M:$M,0))&amp;"",""))),0,IF(OR(IFERROR(INDEX('Paramètres'!$I:$I,MATCH($C4483,'Paramètres'!$D:$D,0))&amp;"","")="Les deux",IFERROR(INDEX('Paramètres'!$I:$I,MATCH($C4483,'Paramètres'!$D:$D,0))&amp;"","")=IF($P4483=1,"Débit",$L4483)),-IF($P4483=1,-$K4483,$K4483),0))))</f>
        <v/>
      </c>
      <c r="U4483" s="6" t="str">
        <f>IF($K4483="","",IF(ISNUMBER(SEARCH("sortie-epargne",IFERROR(INDEX('Paramètres'!$N:$N,MATCH($D4483,'Paramètres'!$M:$M,0))&amp;"",""))),$K4483,0))</f>
        <v/>
      </c>
      <c r="V4483" s="6" t="str">
        <f>IF(AND($A4483&lt;&gt;"",$O4483=1,$L4483="Débit",N($Q4483)&gt;0,$A4483&gt;=Visualisation!$B$1,$A4483&lt;Visualisation!$D$1),MAX($V$1:V4482)+1,"")</f>
        <v/>
      </c>
    </row>
    <row r="4484" spans="1:22" x14ac:dyDescent="0.25">
      <c r="A4484" s="9"/>
      <c r="E4484" s="10"/>
      <c r="K4484" s="11" t="str">
        <f>IF($E4484="","",ROUND($E4484*IF(ISNA(MATCH($C4484,'Paramètres'!$D:$D,0)),1,IF(INDEX('Paramètres'!$J:$J,MATCH($C4484,'Paramètres'!$D:$D,0))="",1,INDEX('Paramètres'!$J:$J,MATCH($C4484,'Paramètres'!$D:$D,0)))),2))</f>
        <v/>
      </c>
      <c r="L4484" s="6" t="str">
        <f>IF($D4484="","",IF($F4484&lt;&gt;"",$F4484,IF(ISNA(MATCH($D4484,'Paramètres'!$M:$M,0)),"⚠ Type inconnu",IFERROR(INDEX('Paramètres'!$P:$P,MATCH($D4484,'Paramètres'!$M:$M,0))&amp;"",""))))</f>
        <v/>
      </c>
      <c r="M4484" s="6" t="str">
        <f>IF($D4484="","",IF(ISNA(MATCH($D4484,'Paramètres'!$M:$M,0)),"⚠ Type inconnu",IF($L4484="Crédit","",IFERROR(INDEX('Paramètres'!$O:$O,MATCH($D4484,'Paramètres'!$M:$M,0))&amp;"",""))))</f>
        <v/>
      </c>
      <c r="N4484" s="6" t="str">
        <f>IF($D4484="","",IFERROR(INDEX('Paramètres'!$Q:$Q,MATCH($D4484,'Paramètres'!$M:$M,0))&amp;"",""))</f>
        <v/>
      </c>
      <c r="O4484" s="6" t="str">
        <f>IF($A4484="","",IF(OR($J4484&lt;&gt;"x",$A4484&lt;=FinReleve),1,0))</f>
        <v/>
      </c>
      <c r="P4484" s="6" t="str">
        <f>IF($D4484="","",IF(AND($L4484="Crédit",OR(IFERROR(INDEX('Paramètres'!$O:$O,MATCH($D4484,'Paramètres'!$M:$M,0))&amp;"","")&lt;&gt;"",ISNUMBER(SEARCH("remboursement",IFERROR(INDEX('Paramètres'!$N:$N,MATCH($D4484,'Paramètres'!$M:$M,0))&amp;"",""))))),1,0))</f>
        <v/>
      </c>
      <c r="Q4484" s="6" t="str">
        <f>IF($K4484="","",IF(ISNUMBER(SEARCH("transfert-interne",IFERROR(INDEX('Paramètres'!$N:$N,MATCH($D4484,'Paramètres'!$M:$M,0))&amp;"",""))),0,IF($L4484="Débit",$K4484,IF($P4484=1,-$K4484,0))))</f>
        <v/>
      </c>
      <c r="R4484" s="6" t="str">
        <f>IF($K4484="","",IF($L4484="Crédit",$K4484,-$K4484))</f>
        <v/>
      </c>
      <c r="S4484" s="6" t="str">
        <f>IF($C4484="","",IFERROR(INDEX('Paramètres'!$H:$H,MATCH($C4484,'Paramètres'!$D:$D,0))&amp;"",""))</f>
        <v/>
      </c>
      <c r="T4484" s="6" t="str">
        <f>IF($K4484="","",IF($S4484="",0,IF(ISNUMBER(SEARCH("apport-exterieur",IFERROR(INDEX('Paramètres'!$N:$N,MATCH($D4484,'Paramètres'!$M:$M,0))&amp;"",""))),0,IF(OR(IFERROR(INDEX('Paramètres'!$I:$I,MATCH($C4484,'Paramètres'!$D:$D,0))&amp;"","")="Les deux",IFERROR(INDEX('Paramètres'!$I:$I,MATCH($C4484,'Paramètres'!$D:$D,0))&amp;"","")=IF($P4484=1,"Débit",$L4484)),-IF($P4484=1,-$K4484,$K4484),0))))</f>
        <v/>
      </c>
      <c r="U4484" s="6" t="str">
        <f>IF($K4484="","",IF(ISNUMBER(SEARCH("sortie-epargne",IFERROR(INDEX('Paramètres'!$N:$N,MATCH($D4484,'Paramètres'!$M:$M,0))&amp;"",""))),$K4484,0))</f>
        <v/>
      </c>
      <c r="V4484" s="6" t="str">
        <f>IF(AND($A4484&lt;&gt;"",$O4484=1,$L4484="Débit",N($Q4484)&gt;0,$A4484&gt;=Visualisation!$B$1,$A4484&lt;Visualisation!$D$1),MAX($V$1:V4483)+1,"")</f>
        <v/>
      </c>
    </row>
    <row r="4485" spans="1:22" x14ac:dyDescent="0.25">
      <c r="A4485" s="9"/>
      <c r="E4485" s="10"/>
      <c r="K4485" s="11" t="str">
        <f>IF($E4485="","",ROUND($E4485*IF(ISNA(MATCH($C4485,'Paramètres'!$D:$D,0)),1,IF(INDEX('Paramètres'!$J:$J,MATCH($C4485,'Paramètres'!$D:$D,0))="",1,INDEX('Paramètres'!$J:$J,MATCH($C4485,'Paramètres'!$D:$D,0)))),2))</f>
        <v/>
      </c>
      <c r="L4485" s="6" t="str">
        <f>IF($D4485="","",IF($F4485&lt;&gt;"",$F4485,IF(ISNA(MATCH($D4485,'Paramètres'!$M:$M,0)),"⚠ Type inconnu",IFERROR(INDEX('Paramètres'!$P:$P,MATCH($D4485,'Paramètres'!$M:$M,0))&amp;"",""))))</f>
        <v/>
      </c>
      <c r="M4485" s="6" t="str">
        <f>IF($D4485="","",IF(ISNA(MATCH($D4485,'Paramètres'!$M:$M,0)),"⚠ Type inconnu",IF($L4485="Crédit","",IFERROR(INDEX('Paramètres'!$O:$O,MATCH($D4485,'Paramètres'!$M:$M,0))&amp;"",""))))</f>
        <v/>
      </c>
      <c r="N4485" s="6" t="str">
        <f>IF($D4485="","",IFERROR(INDEX('Paramètres'!$Q:$Q,MATCH($D4485,'Paramètres'!$M:$M,0))&amp;"",""))</f>
        <v/>
      </c>
      <c r="O4485" s="6" t="str">
        <f>IF($A4485="","",IF(OR($J4485&lt;&gt;"x",$A4485&lt;=FinReleve),1,0))</f>
        <v/>
      </c>
      <c r="P4485" s="6" t="str">
        <f>IF($D4485="","",IF(AND($L4485="Crédit",OR(IFERROR(INDEX('Paramètres'!$O:$O,MATCH($D4485,'Paramètres'!$M:$M,0))&amp;"","")&lt;&gt;"",ISNUMBER(SEARCH("remboursement",IFERROR(INDEX('Paramètres'!$N:$N,MATCH($D4485,'Paramètres'!$M:$M,0))&amp;"",""))))),1,0))</f>
        <v/>
      </c>
      <c r="Q4485" s="6" t="str">
        <f>IF($K4485="","",IF(ISNUMBER(SEARCH("transfert-interne",IFERROR(INDEX('Paramètres'!$N:$N,MATCH($D4485,'Paramètres'!$M:$M,0))&amp;"",""))),0,IF($L4485="Débit",$K4485,IF($P4485=1,-$K4485,0))))</f>
        <v/>
      </c>
      <c r="R4485" s="6" t="str">
        <f>IF($K4485="","",IF($L4485="Crédit",$K4485,-$K4485))</f>
        <v/>
      </c>
      <c r="S4485" s="6" t="str">
        <f>IF($C4485="","",IFERROR(INDEX('Paramètres'!$H:$H,MATCH($C4485,'Paramètres'!$D:$D,0))&amp;"",""))</f>
        <v/>
      </c>
      <c r="T4485" s="6" t="str">
        <f>IF($K4485="","",IF($S4485="",0,IF(ISNUMBER(SEARCH("apport-exterieur",IFERROR(INDEX('Paramètres'!$N:$N,MATCH($D4485,'Paramètres'!$M:$M,0))&amp;"",""))),0,IF(OR(IFERROR(INDEX('Paramètres'!$I:$I,MATCH($C4485,'Paramètres'!$D:$D,0))&amp;"","")="Les deux",IFERROR(INDEX('Paramètres'!$I:$I,MATCH($C4485,'Paramètres'!$D:$D,0))&amp;"","")=IF($P4485=1,"Débit",$L4485)),-IF($P4485=1,-$K4485,$K4485),0))))</f>
        <v/>
      </c>
      <c r="U4485" s="6" t="str">
        <f>IF($K4485="","",IF(ISNUMBER(SEARCH("sortie-epargne",IFERROR(INDEX('Paramètres'!$N:$N,MATCH($D4485,'Paramètres'!$M:$M,0))&amp;"",""))),$K4485,0))</f>
        <v/>
      </c>
      <c r="V4485" s="6" t="str">
        <f>IF(AND($A4485&lt;&gt;"",$O4485=1,$L4485="Débit",N($Q4485)&gt;0,$A4485&gt;=Visualisation!$B$1,$A4485&lt;Visualisation!$D$1),MAX($V$1:V4484)+1,"")</f>
        <v/>
      </c>
    </row>
    <row r="4486" spans="1:22" x14ac:dyDescent="0.25">
      <c r="A4486" s="9"/>
      <c r="E4486" s="10"/>
      <c r="K4486" s="11" t="str">
        <f>IF($E4486="","",ROUND($E4486*IF(ISNA(MATCH($C4486,'Paramètres'!$D:$D,0)),1,IF(INDEX('Paramètres'!$J:$J,MATCH($C4486,'Paramètres'!$D:$D,0))="",1,INDEX('Paramètres'!$J:$J,MATCH($C4486,'Paramètres'!$D:$D,0)))),2))</f>
        <v/>
      </c>
      <c r="L4486" s="6" t="str">
        <f>IF($D4486="","",IF($F4486&lt;&gt;"",$F4486,IF(ISNA(MATCH($D4486,'Paramètres'!$M:$M,0)),"⚠ Type inconnu",IFERROR(INDEX('Paramètres'!$P:$P,MATCH($D4486,'Paramètres'!$M:$M,0))&amp;"",""))))</f>
        <v/>
      </c>
      <c r="M4486" s="6" t="str">
        <f>IF($D4486="","",IF(ISNA(MATCH($D4486,'Paramètres'!$M:$M,0)),"⚠ Type inconnu",IF($L4486="Crédit","",IFERROR(INDEX('Paramètres'!$O:$O,MATCH($D4486,'Paramètres'!$M:$M,0))&amp;"",""))))</f>
        <v/>
      </c>
      <c r="N4486" s="6" t="str">
        <f>IF($D4486="","",IFERROR(INDEX('Paramètres'!$Q:$Q,MATCH($D4486,'Paramètres'!$M:$M,0))&amp;"",""))</f>
        <v/>
      </c>
      <c r="O4486" s="6" t="str">
        <f>IF($A4486="","",IF(OR($J4486&lt;&gt;"x",$A4486&lt;=FinReleve),1,0))</f>
        <v/>
      </c>
      <c r="P4486" s="6" t="str">
        <f>IF($D4486="","",IF(AND($L4486="Crédit",OR(IFERROR(INDEX('Paramètres'!$O:$O,MATCH($D4486,'Paramètres'!$M:$M,0))&amp;"","")&lt;&gt;"",ISNUMBER(SEARCH("remboursement",IFERROR(INDEX('Paramètres'!$N:$N,MATCH($D4486,'Paramètres'!$M:$M,0))&amp;"",""))))),1,0))</f>
        <v/>
      </c>
      <c r="Q4486" s="6" t="str">
        <f>IF($K4486="","",IF(ISNUMBER(SEARCH("transfert-interne",IFERROR(INDEX('Paramètres'!$N:$N,MATCH($D4486,'Paramètres'!$M:$M,0))&amp;"",""))),0,IF($L4486="Débit",$K4486,IF($P4486=1,-$K4486,0))))</f>
        <v/>
      </c>
      <c r="R4486" s="6" t="str">
        <f>IF($K4486="","",IF($L4486="Crédit",$K4486,-$K4486))</f>
        <v/>
      </c>
      <c r="S4486" s="6" t="str">
        <f>IF($C4486="","",IFERROR(INDEX('Paramètres'!$H:$H,MATCH($C4486,'Paramètres'!$D:$D,0))&amp;"",""))</f>
        <v/>
      </c>
      <c r="T4486" s="6" t="str">
        <f>IF($K4486="","",IF($S4486="",0,IF(ISNUMBER(SEARCH("apport-exterieur",IFERROR(INDEX('Paramètres'!$N:$N,MATCH($D4486,'Paramètres'!$M:$M,0))&amp;"",""))),0,IF(OR(IFERROR(INDEX('Paramètres'!$I:$I,MATCH($C4486,'Paramètres'!$D:$D,0))&amp;"","")="Les deux",IFERROR(INDEX('Paramètres'!$I:$I,MATCH($C4486,'Paramètres'!$D:$D,0))&amp;"","")=IF($P4486=1,"Débit",$L4486)),-IF($P4486=1,-$K4486,$K4486),0))))</f>
        <v/>
      </c>
      <c r="U4486" s="6" t="str">
        <f>IF($K4486="","",IF(ISNUMBER(SEARCH("sortie-epargne",IFERROR(INDEX('Paramètres'!$N:$N,MATCH($D4486,'Paramètres'!$M:$M,0))&amp;"",""))),$K4486,0))</f>
        <v/>
      </c>
      <c r="V4486" s="6" t="str">
        <f>IF(AND($A4486&lt;&gt;"",$O4486=1,$L4486="Débit",N($Q4486)&gt;0,$A4486&gt;=Visualisation!$B$1,$A4486&lt;Visualisation!$D$1),MAX($V$1:V4485)+1,"")</f>
        <v/>
      </c>
    </row>
    <row r="4487" spans="1:22" x14ac:dyDescent="0.25">
      <c r="A4487" s="9"/>
      <c r="E4487" s="10"/>
      <c r="K4487" s="11" t="str">
        <f>IF($E4487="","",ROUND($E4487*IF(ISNA(MATCH($C4487,'Paramètres'!$D:$D,0)),1,IF(INDEX('Paramètres'!$J:$J,MATCH($C4487,'Paramètres'!$D:$D,0))="",1,INDEX('Paramètres'!$J:$J,MATCH($C4487,'Paramètres'!$D:$D,0)))),2))</f>
        <v/>
      </c>
      <c r="L4487" s="6" t="str">
        <f>IF($D4487="","",IF($F4487&lt;&gt;"",$F4487,IF(ISNA(MATCH($D4487,'Paramètres'!$M:$M,0)),"⚠ Type inconnu",IFERROR(INDEX('Paramètres'!$P:$P,MATCH($D4487,'Paramètres'!$M:$M,0))&amp;"",""))))</f>
        <v/>
      </c>
      <c r="M4487" s="6" t="str">
        <f>IF($D4487="","",IF(ISNA(MATCH($D4487,'Paramètres'!$M:$M,0)),"⚠ Type inconnu",IF($L4487="Crédit","",IFERROR(INDEX('Paramètres'!$O:$O,MATCH($D4487,'Paramètres'!$M:$M,0))&amp;"",""))))</f>
        <v/>
      </c>
      <c r="N4487" s="6" t="str">
        <f>IF($D4487="","",IFERROR(INDEX('Paramètres'!$Q:$Q,MATCH($D4487,'Paramètres'!$M:$M,0))&amp;"",""))</f>
        <v/>
      </c>
      <c r="O4487" s="6" t="str">
        <f>IF($A4487="","",IF(OR($J4487&lt;&gt;"x",$A4487&lt;=FinReleve),1,0))</f>
        <v/>
      </c>
      <c r="P4487" s="6" t="str">
        <f>IF($D4487="","",IF(AND($L4487="Crédit",OR(IFERROR(INDEX('Paramètres'!$O:$O,MATCH($D4487,'Paramètres'!$M:$M,0))&amp;"","")&lt;&gt;"",ISNUMBER(SEARCH("remboursement",IFERROR(INDEX('Paramètres'!$N:$N,MATCH($D4487,'Paramètres'!$M:$M,0))&amp;"",""))))),1,0))</f>
        <v/>
      </c>
      <c r="Q4487" s="6" t="str">
        <f>IF($K4487="","",IF(ISNUMBER(SEARCH("transfert-interne",IFERROR(INDEX('Paramètres'!$N:$N,MATCH($D4487,'Paramètres'!$M:$M,0))&amp;"",""))),0,IF($L4487="Débit",$K4487,IF($P4487=1,-$K4487,0))))</f>
        <v/>
      </c>
      <c r="R4487" s="6" t="str">
        <f>IF($K4487="","",IF($L4487="Crédit",$K4487,-$K4487))</f>
        <v/>
      </c>
      <c r="S4487" s="6" t="str">
        <f>IF($C4487="","",IFERROR(INDEX('Paramètres'!$H:$H,MATCH($C4487,'Paramètres'!$D:$D,0))&amp;"",""))</f>
        <v/>
      </c>
      <c r="T4487" s="6" t="str">
        <f>IF($K4487="","",IF($S4487="",0,IF(ISNUMBER(SEARCH("apport-exterieur",IFERROR(INDEX('Paramètres'!$N:$N,MATCH($D4487,'Paramètres'!$M:$M,0))&amp;"",""))),0,IF(OR(IFERROR(INDEX('Paramètres'!$I:$I,MATCH($C4487,'Paramètres'!$D:$D,0))&amp;"","")="Les deux",IFERROR(INDEX('Paramètres'!$I:$I,MATCH($C4487,'Paramètres'!$D:$D,0))&amp;"","")=IF($P4487=1,"Débit",$L4487)),-IF($P4487=1,-$K4487,$K4487),0))))</f>
        <v/>
      </c>
      <c r="U4487" s="6" t="str">
        <f>IF($K4487="","",IF(ISNUMBER(SEARCH("sortie-epargne",IFERROR(INDEX('Paramètres'!$N:$N,MATCH($D4487,'Paramètres'!$M:$M,0))&amp;"",""))),$K4487,0))</f>
        <v/>
      </c>
      <c r="V4487" s="6" t="str">
        <f>IF(AND($A4487&lt;&gt;"",$O4487=1,$L4487="Débit",N($Q4487)&gt;0,$A4487&gt;=Visualisation!$B$1,$A4487&lt;Visualisation!$D$1),MAX($V$1:V4486)+1,"")</f>
        <v/>
      </c>
    </row>
    <row r="4488" spans="1:22" x14ac:dyDescent="0.25">
      <c r="A4488" s="9"/>
      <c r="E4488" s="10"/>
      <c r="K4488" s="11" t="str">
        <f>IF($E4488="","",ROUND($E4488*IF(ISNA(MATCH($C4488,'Paramètres'!$D:$D,0)),1,IF(INDEX('Paramètres'!$J:$J,MATCH($C4488,'Paramètres'!$D:$D,0))="",1,INDEX('Paramètres'!$J:$J,MATCH($C4488,'Paramètres'!$D:$D,0)))),2))</f>
        <v/>
      </c>
      <c r="L4488" s="6" t="str">
        <f>IF($D4488="","",IF($F4488&lt;&gt;"",$F4488,IF(ISNA(MATCH($D4488,'Paramètres'!$M:$M,0)),"⚠ Type inconnu",IFERROR(INDEX('Paramètres'!$P:$P,MATCH($D4488,'Paramètres'!$M:$M,0))&amp;"",""))))</f>
        <v/>
      </c>
      <c r="M4488" s="6" t="str">
        <f>IF($D4488="","",IF(ISNA(MATCH($D4488,'Paramètres'!$M:$M,0)),"⚠ Type inconnu",IF($L4488="Crédit","",IFERROR(INDEX('Paramètres'!$O:$O,MATCH($D4488,'Paramètres'!$M:$M,0))&amp;"",""))))</f>
        <v/>
      </c>
      <c r="N4488" s="6" t="str">
        <f>IF($D4488="","",IFERROR(INDEX('Paramètres'!$Q:$Q,MATCH($D4488,'Paramètres'!$M:$M,0))&amp;"",""))</f>
        <v/>
      </c>
      <c r="O4488" s="6" t="str">
        <f>IF($A4488="","",IF(OR($J4488&lt;&gt;"x",$A4488&lt;=FinReleve),1,0))</f>
        <v/>
      </c>
      <c r="P4488" s="6" t="str">
        <f>IF($D4488="","",IF(AND($L4488="Crédit",OR(IFERROR(INDEX('Paramètres'!$O:$O,MATCH($D4488,'Paramètres'!$M:$M,0))&amp;"","")&lt;&gt;"",ISNUMBER(SEARCH("remboursement",IFERROR(INDEX('Paramètres'!$N:$N,MATCH($D4488,'Paramètres'!$M:$M,0))&amp;"",""))))),1,0))</f>
        <v/>
      </c>
      <c r="Q4488" s="6" t="str">
        <f>IF($K4488="","",IF(ISNUMBER(SEARCH("transfert-interne",IFERROR(INDEX('Paramètres'!$N:$N,MATCH($D4488,'Paramètres'!$M:$M,0))&amp;"",""))),0,IF($L4488="Débit",$K4488,IF($P4488=1,-$K4488,0))))</f>
        <v/>
      </c>
      <c r="R4488" s="6" t="str">
        <f>IF($K4488="","",IF($L4488="Crédit",$K4488,-$K4488))</f>
        <v/>
      </c>
      <c r="S4488" s="6" t="str">
        <f>IF($C4488="","",IFERROR(INDEX('Paramètres'!$H:$H,MATCH($C4488,'Paramètres'!$D:$D,0))&amp;"",""))</f>
        <v/>
      </c>
      <c r="T4488" s="6" t="str">
        <f>IF($K4488="","",IF($S4488="",0,IF(ISNUMBER(SEARCH("apport-exterieur",IFERROR(INDEX('Paramètres'!$N:$N,MATCH($D4488,'Paramètres'!$M:$M,0))&amp;"",""))),0,IF(OR(IFERROR(INDEX('Paramètres'!$I:$I,MATCH($C4488,'Paramètres'!$D:$D,0))&amp;"","")="Les deux",IFERROR(INDEX('Paramètres'!$I:$I,MATCH($C4488,'Paramètres'!$D:$D,0))&amp;"","")=IF($P4488=1,"Débit",$L4488)),-IF($P4488=1,-$K4488,$K4488),0))))</f>
        <v/>
      </c>
      <c r="U4488" s="6" t="str">
        <f>IF($K4488="","",IF(ISNUMBER(SEARCH("sortie-epargne",IFERROR(INDEX('Paramètres'!$N:$N,MATCH($D4488,'Paramètres'!$M:$M,0))&amp;"",""))),$K4488,0))</f>
        <v/>
      </c>
      <c r="V4488" s="6" t="str">
        <f>IF(AND($A4488&lt;&gt;"",$O4488=1,$L4488="Débit",N($Q4488)&gt;0,$A4488&gt;=Visualisation!$B$1,$A4488&lt;Visualisation!$D$1),MAX($V$1:V4487)+1,"")</f>
        <v/>
      </c>
    </row>
    <row r="4489" spans="1:22" x14ac:dyDescent="0.25">
      <c r="A4489" s="9"/>
      <c r="E4489" s="10"/>
      <c r="K4489" s="11" t="str">
        <f>IF($E4489="","",ROUND($E4489*IF(ISNA(MATCH($C4489,'Paramètres'!$D:$D,0)),1,IF(INDEX('Paramètres'!$J:$J,MATCH($C4489,'Paramètres'!$D:$D,0))="",1,INDEX('Paramètres'!$J:$J,MATCH($C4489,'Paramètres'!$D:$D,0)))),2))</f>
        <v/>
      </c>
      <c r="L4489" s="6" t="str">
        <f>IF($D4489="","",IF($F4489&lt;&gt;"",$F4489,IF(ISNA(MATCH($D4489,'Paramètres'!$M:$M,0)),"⚠ Type inconnu",IFERROR(INDEX('Paramètres'!$P:$P,MATCH($D4489,'Paramètres'!$M:$M,0))&amp;"",""))))</f>
        <v/>
      </c>
      <c r="M4489" s="6" t="str">
        <f>IF($D4489="","",IF(ISNA(MATCH($D4489,'Paramètres'!$M:$M,0)),"⚠ Type inconnu",IF($L4489="Crédit","",IFERROR(INDEX('Paramètres'!$O:$O,MATCH($D4489,'Paramètres'!$M:$M,0))&amp;"",""))))</f>
        <v/>
      </c>
      <c r="N4489" s="6" t="str">
        <f>IF($D4489="","",IFERROR(INDEX('Paramètres'!$Q:$Q,MATCH($D4489,'Paramètres'!$M:$M,0))&amp;"",""))</f>
        <v/>
      </c>
      <c r="O4489" s="6" t="str">
        <f>IF($A4489="","",IF(OR($J4489&lt;&gt;"x",$A4489&lt;=FinReleve),1,0))</f>
        <v/>
      </c>
      <c r="P4489" s="6" t="str">
        <f>IF($D4489="","",IF(AND($L4489="Crédit",OR(IFERROR(INDEX('Paramètres'!$O:$O,MATCH($D4489,'Paramètres'!$M:$M,0))&amp;"","")&lt;&gt;"",ISNUMBER(SEARCH("remboursement",IFERROR(INDEX('Paramètres'!$N:$N,MATCH($D4489,'Paramètres'!$M:$M,0))&amp;"",""))))),1,0))</f>
        <v/>
      </c>
      <c r="Q4489" s="6" t="str">
        <f>IF($K4489="","",IF(ISNUMBER(SEARCH("transfert-interne",IFERROR(INDEX('Paramètres'!$N:$N,MATCH($D4489,'Paramètres'!$M:$M,0))&amp;"",""))),0,IF($L4489="Débit",$K4489,IF($P4489=1,-$K4489,0))))</f>
        <v/>
      </c>
      <c r="R4489" s="6" t="str">
        <f>IF($K4489="","",IF($L4489="Crédit",$K4489,-$K4489))</f>
        <v/>
      </c>
      <c r="S4489" s="6" t="str">
        <f>IF($C4489="","",IFERROR(INDEX('Paramètres'!$H:$H,MATCH($C4489,'Paramètres'!$D:$D,0))&amp;"",""))</f>
        <v/>
      </c>
      <c r="T4489" s="6" t="str">
        <f>IF($K4489="","",IF($S4489="",0,IF(ISNUMBER(SEARCH("apport-exterieur",IFERROR(INDEX('Paramètres'!$N:$N,MATCH($D4489,'Paramètres'!$M:$M,0))&amp;"",""))),0,IF(OR(IFERROR(INDEX('Paramètres'!$I:$I,MATCH($C4489,'Paramètres'!$D:$D,0))&amp;"","")="Les deux",IFERROR(INDEX('Paramètres'!$I:$I,MATCH($C4489,'Paramètres'!$D:$D,0))&amp;"","")=IF($P4489=1,"Débit",$L4489)),-IF($P4489=1,-$K4489,$K4489),0))))</f>
        <v/>
      </c>
      <c r="U4489" s="6" t="str">
        <f>IF($K4489="","",IF(ISNUMBER(SEARCH("sortie-epargne",IFERROR(INDEX('Paramètres'!$N:$N,MATCH($D4489,'Paramètres'!$M:$M,0))&amp;"",""))),$K4489,0))</f>
        <v/>
      </c>
      <c r="V4489" s="6" t="str">
        <f>IF(AND($A4489&lt;&gt;"",$O4489=1,$L4489="Débit",N($Q4489)&gt;0,$A4489&gt;=Visualisation!$B$1,$A4489&lt;Visualisation!$D$1),MAX($V$1:V4488)+1,"")</f>
        <v/>
      </c>
    </row>
    <row r="4490" spans="1:22" x14ac:dyDescent="0.25">
      <c r="A4490" s="9"/>
      <c r="E4490" s="10"/>
      <c r="K4490" s="11" t="str">
        <f>IF($E4490="","",ROUND($E4490*IF(ISNA(MATCH($C4490,'Paramètres'!$D:$D,0)),1,IF(INDEX('Paramètres'!$J:$J,MATCH($C4490,'Paramètres'!$D:$D,0))="",1,INDEX('Paramètres'!$J:$J,MATCH($C4490,'Paramètres'!$D:$D,0)))),2))</f>
        <v/>
      </c>
      <c r="L4490" s="6" t="str">
        <f>IF($D4490="","",IF($F4490&lt;&gt;"",$F4490,IF(ISNA(MATCH($D4490,'Paramètres'!$M:$M,0)),"⚠ Type inconnu",IFERROR(INDEX('Paramètres'!$P:$P,MATCH($D4490,'Paramètres'!$M:$M,0))&amp;"",""))))</f>
        <v/>
      </c>
      <c r="M4490" s="6" t="str">
        <f>IF($D4490="","",IF(ISNA(MATCH($D4490,'Paramètres'!$M:$M,0)),"⚠ Type inconnu",IF($L4490="Crédit","",IFERROR(INDEX('Paramètres'!$O:$O,MATCH($D4490,'Paramètres'!$M:$M,0))&amp;"",""))))</f>
        <v/>
      </c>
      <c r="N4490" s="6" t="str">
        <f>IF($D4490="","",IFERROR(INDEX('Paramètres'!$Q:$Q,MATCH($D4490,'Paramètres'!$M:$M,0))&amp;"",""))</f>
        <v/>
      </c>
      <c r="O4490" s="6" t="str">
        <f>IF($A4490="","",IF(OR($J4490&lt;&gt;"x",$A4490&lt;=FinReleve),1,0))</f>
        <v/>
      </c>
      <c r="P4490" s="6" t="str">
        <f>IF($D4490="","",IF(AND($L4490="Crédit",OR(IFERROR(INDEX('Paramètres'!$O:$O,MATCH($D4490,'Paramètres'!$M:$M,0))&amp;"","")&lt;&gt;"",ISNUMBER(SEARCH("remboursement",IFERROR(INDEX('Paramètres'!$N:$N,MATCH($D4490,'Paramètres'!$M:$M,0))&amp;"",""))))),1,0))</f>
        <v/>
      </c>
      <c r="Q4490" s="6" t="str">
        <f>IF($K4490="","",IF(ISNUMBER(SEARCH("transfert-interne",IFERROR(INDEX('Paramètres'!$N:$N,MATCH($D4490,'Paramètres'!$M:$M,0))&amp;"",""))),0,IF($L4490="Débit",$K4490,IF($P4490=1,-$K4490,0))))</f>
        <v/>
      </c>
      <c r="R4490" s="6" t="str">
        <f>IF($K4490="","",IF($L4490="Crédit",$K4490,-$K4490))</f>
        <v/>
      </c>
      <c r="S4490" s="6" t="str">
        <f>IF($C4490="","",IFERROR(INDEX('Paramètres'!$H:$H,MATCH($C4490,'Paramètres'!$D:$D,0))&amp;"",""))</f>
        <v/>
      </c>
      <c r="T4490" s="6" t="str">
        <f>IF($K4490="","",IF($S4490="",0,IF(ISNUMBER(SEARCH("apport-exterieur",IFERROR(INDEX('Paramètres'!$N:$N,MATCH($D4490,'Paramètres'!$M:$M,0))&amp;"",""))),0,IF(OR(IFERROR(INDEX('Paramètres'!$I:$I,MATCH($C4490,'Paramètres'!$D:$D,0))&amp;"","")="Les deux",IFERROR(INDEX('Paramètres'!$I:$I,MATCH($C4490,'Paramètres'!$D:$D,0))&amp;"","")=IF($P4490=1,"Débit",$L4490)),-IF($P4490=1,-$K4490,$K4490),0))))</f>
        <v/>
      </c>
      <c r="U4490" s="6" t="str">
        <f>IF($K4490="","",IF(ISNUMBER(SEARCH("sortie-epargne",IFERROR(INDEX('Paramètres'!$N:$N,MATCH($D4490,'Paramètres'!$M:$M,0))&amp;"",""))),$K4490,0))</f>
        <v/>
      </c>
      <c r="V4490" s="6" t="str">
        <f>IF(AND($A4490&lt;&gt;"",$O4490=1,$L4490="Débit",N($Q4490)&gt;0,$A4490&gt;=Visualisation!$B$1,$A4490&lt;Visualisation!$D$1),MAX($V$1:V4489)+1,"")</f>
        <v/>
      </c>
    </row>
    <row r="4491" spans="1:22" x14ac:dyDescent="0.25">
      <c r="A4491" s="9"/>
      <c r="E4491" s="10"/>
      <c r="K4491" s="11" t="str">
        <f>IF($E4491="","",ROUND($E4491*IF(ISNA(MATCH($C4491,'Paramètres'!$D:$D,0)),1,IF(INDEX('Paramètres'!$J:$J,MATCH($C4491,'Paramètres'!$D:$D,0))="",1,INDEX('Paramètres'!$J:$J,MATCH($C4491,'Paramètres'!$D:$D,0)))),2))</f>
        <v/>
      </c>
      <c r="L4491" s="6" t="str">
        <f>IF($D4491="","",IF($F4491&lt;&gt;"",$F4491,IF(ISNA(MATCH($D4491,'Paramètres'!$M:$M,0)),"⚠ Type inconnu",IFERROR(INDEX('Paramètres'!$P:$P,MATCH($D4491,'Paramètres'!$M:$M,0))&amp;"",""))))</f>
        <v/>
      </c>
      <c r="M4491" s="6" t="str">
        <f>IF($D4491="","",IF(ISNA(MATCH($D4491,'Paramètres'!$M:$M,0)),"⚠ Type inconnu",IF($L4491="Crédit","",IFERROR(INDEX('Paramètres'!$O:$O,MATCH($D4491,'Paramètres'!$M:$M,0))&amp;"",""))))</f>
        <v/>
      </c>
      <c r="N4491" s="6" t="str">
        <f>IF($D4491="","",IFERROR(INDEX('Paramètres'!$Q:$Q,MATCH($D4491,'Paramètres'!$M:$M,0))&amp;"",""))</f>
        <v/>
      </c>
      <c r="O4491" s="6" t="str">
        <f>IF($A4491="","",IF(OR($J4491&lt;&gt;"x",$A4491&lt;=FinReleve),1,0))</f>
        <v/>
      </c>
      <c r="P4491" s="6" t="str">
        <f>IF($D4491="","",IF(AND($L4491="Crédit",OR(IFERROR(INDEX('Paramètres'!$O:$O,MATCH($D4491,'Paramètres'!$M:$M,0))&amp;"","")&lt;&gt;"",ISNUMBER(SEARCH("remboursement",IFERROR(INDEX('Paramètres'!$N:$N,MATCH($D4491,'Paramètres'!$M:$M,0))&amp;"",""))))),1,0))</f>
        <v/>
      </c>
      <c r="Q4491" s="6" t="str">
        <f>IF($K4491="","",IF(ISNUMBER(SEARCH("transfert-interne",IFERROR(INDEX('Paramètres'!$N:$N,MATCH($D4491,'Paramètres'!$M:$M,0))&amp;"",""))),0,IF($L4491="Débit",$K4491,IF($P4491=1,-$K4491,0))))</f>
        <v/>
      </c>
      <c r="R4491" s="6" t="str">
        <f>IF($K4491="","",IF($L4491="Crédit",$K4491,-$K4491))</f>
        <v/>
      </c>
      <c r="S4491" s="6" t="str">
        <f>IF($C4491="","",IFERROR(INDEX('Paramètres'!$H:$H,MATCH($C4491,'Paramètres'!$D:$D,0))&amp;"",""))</f>
        <v/>
      </c>
      <c r="T4491" s="6" t="str">
        <f>IF($K4491="","",IF($S4491="",0,IF(ISNUMBER(SEARCH("apport-exterieur",IFERROR(INDEX('Paramètres'!$N:$N,MATCH($D4491,'Paramètres'!$M:$M,0))&amp;"",""))),0,IF(OR(IFERROR(INDEX('Paramètres'!$I:$I,MATCH($C4491,'Paramètres'!$D:$D,0))&amp;"","")="Les deux",IFERROR(INDEX('Paramètres'!$I:$I,MATCH($C4491,'Paramètres'!$D:$D,0))&amp;"","")=IF($P4491=1,"Débit",$L4491)),-IF($P4491=1,-$K4491,$K4491),0))))</f>
        <v/>
      </c>
      <c r="U4491" s="6" t="str">
        <f>IF($K4491="","",IF(ISNUMBER(SEARCH("sortie-epargne",IFERROR(INDEX('Paramètres'!$N:$N,MATCH($D4491,'Paramètres'!$M:$M,0))&amp;"",""))),$K4491,0))</f>
        <v/>
      </c>
      <c r="V4491" s="6" t="str">
        <f>IF(AND($A4491&lt;&gt;"",$O4491=1,$L4491="Débit",N($Q4491)&gt;0,$A4491&gt;=Visualisation!$B$1,$A4491&lt;Visualisation!$D$1),MAX($V$1:V4490)+1,"")</f>
        <v/>
      </c>
    </row>
    <row r="4492" spans="1:22" x14ac:dyDescent="0.25">
      <c r="A4492" s="9"/>
      <c r="E4492" s="10"/>
      <c r="K4492" s="11" t="str">
        <f>IF($E4492="","",ROUND($E4492*IF(ISNA(MATCH($C4492,'Paramètres'!$D:$D,0)),1,IF(INDEX('Paramètres'!$J:$J,MATCH($C4492,'Paramètres'!$D:$D,0))="",1,INDEX('Paramètres'!$J:$J,MATCH($C4492,'Paramètres'!$D:$D,0)))),2))</f>
        <v/>
      </c>
      <c r="L4492" s="6" t="str">
        <f>IF($D4492="","",IF($F4492&lt;&gt;"",$F4492,IF(ISNA(MATCH($D4492,'Paramètres'!$M:$M,0)),"⚠ Type inconnu",IFERROR(INDEX('Paramètres'!$P:$P,MATCH($D4492,'Paramètres'!$M:$M,0))&amp;"",""))))</f>
        <v/>
      </c>
      <c r="M4492" s="6" t="str">
        <f>IF($D4492="","",IF(ISNA(MATCH($D4492,'Paramètres'!$M:$M,0)),"⚠ Type inconnu",IF($L4492="Crédit","",IFERROR(INDEX('Paramètres'!$O:$O,MATCH($D4492,'Paramètres'!$M:$M,0))&amp;"",""))))</f>
        <v/>
      </c>
      <c r="N4492" s="6" t="str">
        <f>IF($D4492="","",IFERROR(INDEX('Paramètres'!$Q:$Q,MATCH($D4492,'Paramètres'!$M:$M,0))&amp;"",""))</f>
        <v/>
      </c>
      <c r="O4492" s="6" t="str">
        <f>IF($A4492="","",IF(OR($J4492&lt;&gt;"x",$A4492&lt;=FinReleve),1,0))</f>
        <v/>
      </c>
      <c r="P4492" s="6" t="str">
        <f>IF($D4492="","",IF(AND($L4492="Crédit",OR(IFERROR(INDEX('Paramètres'!$O:$O,MATCH($D4492,'Paramètres'!$M:$M,0))&amp;"","")&lt;&gt;"",ISNUMBER(SEARCH("remboursement",IFERROR(INDEX('Paramètres'!$N:$N,MATCH($D4492,'Paramètres'!$M:$M,0))&amp;"",""))))),1,0))</f>
        <v/>
      </c>
      <c r="Q4492" s="6" t="str">
        <f>IF($K4492="","",IF(ISNUMBER(SEARCH("transfert-interne",IFERROR(INDEX('Paramètres'!$N:$N,MATCH($D4492,'Paramètres'!$M:$M,0))&amp;"",""))),0,IF($L4492="Débit",$K4492,IF($P4492=1,-$K4492,0))))</f>
        <v/>
      </c>
      <c r="R4492" s="6" t="str">
        <f>IF($K4492="","",IF($L4492="Crédit",$K4492,-$K4492))</f>
        <v/>
      </c>
      <c r="S4492" s="6" t="str">
        <f>IF($C4492="","",IFERROR(INDEX('Paramètres'!$H:$H,MATCH($C4492,'Paramètres'!$D:$D,0))&amp;"",""))</f>
        <v/>
      </c>
      <c r="T4492" s="6" t="str">
        <f>IF($K4492="","",IF($S4492="",0,IF(ISNUMBER(SEARCH("apport-exterieur",IFERROR(INDEX('Paramètres'!$N:$N,MATCH($D4492,'Paramètres'!$M:$M,0))&amp;"",""))),0,IF(OR(IFERROR(INDEX('Paramètres'!$I:$I,MATCH($C4492,'Paramètres'!$D:$D,0))&amp;"","")="Les deux",IFERROR(INDEX('Paramètres'!$I:$I,MATCH($C4492,'Paramètres'!$D:$D,0))&amp;"","")=IF($P4492=1,"Débit",$L4492)),-IF($P4492=1,-$K4492,$K4492),0))))</f>
        <v/>
      </c>
      <c r="U4492" s="6" t="str">
        <f>IF($K4492="","",IF(ISNUMBER(SEARCH("sortie-epargne",IFERROR(INDEX('Paramètres'!$N:$N,MATCH($D4492,'Paramètres'!$M:$M,0))&amp;"",""))),$K4492,0))</f>
        <v/>
      </c>
      <c r="V4492" s="6" t="str">
        <f>IF(AND($A4492&lt;&gt;"",$O4492=1,$L4492="Débit",N($Q4492)&gt;0,$A4492&gt;=Visualisation!$B$1,$A4492&lt;Visualisation!$D$1),MAX($V$1:V4491)+1,"")</f>
        <v/>
      </c>
    </row>
    <row r="4493" spans="1:22" x14ac:dyDescent="0.25">
      <c r="A4493" s="9"/>
      <c r="E4493" s="10"/>
      <c r="K4493" s="11" t="str">
        <f>IF($E4493="","",ROUND($E4493*IF(ISNA(MATCH($C4493,'Paramètres'!$D:$D,0)),1,IF(INDEX('Paramètres'!$J:$J,MATCH($C4493,'Paramètres'!$D:$D,0))="",1,INDEX('Paramètres'!$J:$J,MATCH($C4493,'Paramètres'!$D:$D,0)))),2))</f>
        <v/>
      </c>
      <c r="L4493" s="6" t="str">
        <f>IF($D4493="","",IF($F4493&lt;&gt;"",$F4493,IF(ISNA(MATCH($D4493,'Paramètres'!$M:$M,0)),"⚠ Type inconnu",IFERROR(INDEX('Paramètres'!$P:$P,MATCH($D4493,'Paramètres'!$M:$M,0))&amp;"",""))))</f>
        <v/>
      </c>
      <c r="M4493" s="6" t="str">
        <f>IF($D4493="","",IF(ISNA(MATCH($D4493,'Paramètres'!$M:$M,0)),"⚠ Type inconnu",IF($L4493="Crédit","",IFERROR(INDEX('Paramètres'!$O:$O,MATCH($D4493,'Paramètres'!$M:$M,0))&amp;"",""))))</f>
        <v/>
      </c>
      <c r="N4493" s="6" t="str">
        <f>IF($D4493="","",IFERROR(INDEX('Paramètres'!$Q:$Q,MATCH($D4493,'Paramètres'!$M:$M,0))&amp;"",""))</f>
        <v/>
      </c>
      <c r="O4493" s="6" t="str">
        <f>IF($A4493="","",IF(OR($J4493&lt;&gt;"x",$A4493&lt;=FinReleve),1,0))</f>
        <v/>
      </c>
      <c r="P4493" s="6" t="str">
        <f>IF($D4493="","",IF(AND($L4493="Crédit",OR(IFERROR(INDEX('Paramètres'!$O:$O,MATCH($D4493,'Paramètres'!$M:$M,0))&amp;"","")&lt;&gt;"",ISNUMBER(SEARCH("remboursement",IFERROR(INDEX('Paramètres'!$N:$N,MATCH($D4493,'Paramètres'!$M:$M,0))&amp;"",""))))),1,0))</f>
        <v/>
      </c>
      <c r="Q4493" s="6" t="str">
        <f>IF($K4493="","",IF(ISNUMBER(SEARCH("transfert-interne",IFERROR(INDEX('Paramètres'!$N:$N,MATCH($D4493,'Paramètres'!$M:$M,0))&amp;"",""))),0,IF($L4493="Débit",$K4493,IF($P4493=1,-$K4493,0))))</f>
        <v/>
      </c>
      <c r="R4493" s="6" t="str">
        <f>IF($K4493="","",IF($L4493="Crédit",$K4493,-$K4493))</f>
        <v/>
      </c>
      <c r="S4493" s="6" t="str">
        <f>IF($C4493="","",IFERROR(INDEX('Paramètres'!$H:$H,MATCH($C4493,'Paramètres'!$D:$D,0))&amp;"",""))</f>
        <v/>
      </c>
      <c r="T4493" s="6" t="str">
        <f>IF($K4493="","",IF($S4493="",0,IF(ISNUMBER(SEARCH("apport-exterieur",IFERROR(INDEX('Paramètres'!$N:$N,MATCH($D4493,'Paramètres'!$M:$M,0))&amp;"",""))),0,IF(OR(IFERROR(INDEX('Paramètres'!$I:$I,MATCH($C4493,'Paramètres'!$D:$D,0))&amp;"","")="Les deux",IFERROR(INDEX('Paramètres'!$I:$I,MATCH($C4493,'Paramètres'!$D:$D,0))&amp;"","")=IF($P4493=1,"Débit",$L4493)),-IF($P4493=1,-$K4493,$K4493),0))))</f>
        <v/>
      </c>
      <c r="U4493" s="6" t="str">
        <f>IF($K4493="","",IF(ISNUMBER(SEARCH("sortie-epargne",IFERROR(INDEX('Paramètres'!$N:$N,MATCH($D4493,'Paramètres'!$M:$M,0))&amp;"",""))),$K4493,0))</f>
        <v/>
      </c>
      <c r="V4493" s="6" t="str">
        <f>IF(AND($A4493&lt;&gt;"",$O4493=1,$L4493="Débit",N($Q4493)&gt;0,$A4493&gt;=Visualisation!$B$1,$A4493&lt;Visualisation!$D$1),MAX($V$1:V4492)+1,"")</f>
        <v/>
      </c>
    </row>
    <row r="4494" spans="1:22" x14ac:dyDescent="0.25">
      <c r="A4494" s="9"/>
      <c r="E4494" s="10"/>
      <c r="K4494" s="11" t="str">
        <f>IF($E4494="","",ROUND($E4494*IF(ISNA(MATCH($C4494,'Paramètres'!$D:$D,0)),1,IF(INDEX('Paramètres'!$J:$J,MATCH($C4494,'Paramètres'!$D:$D,0))="",1,INDEX('Paramètres'!$J:$J,MATCH($C4494,'Paramètres'!$D:$D,0)))),2))</f>
        <v/>
      </c>
      <c r="L4494" s="6" t="str">
        <f>IF($D4494="","",IF($F4494&lt;&gt;"",$F4494,IF(ISNA(MATCH($D4494,'Paramètres'!$M:$M,0)),"⚠ Type inconnu",IFERROR(INDEX('Paramètres'!$P:$P,MATCH($D4494,'Paramètres'!$M:$M,0))&amp;"",""))))</f>
        <v/>
      </c>
      <c r="M4494" s="6" t="str">
        <f>IF($D4494="","",IF(ISNA(MATCH($D4494,'Paramètres'!$M:$M,0)),"⚠ Type inconnu",IF($L4494="Crédit","",IFERROR(INDEX('Paramètres'!$O:$O,MATCH($D4494,'Paramètres'!$M:$M,0))&amp;"",""))))</f>
        <v/>
      </c>
      <c r="N4494" s="6" t="str">
        <f>IF($D4494="","",IFERROR(INDEX('Paramètres'!$Q:$Q,MATCH($D4494,'Paramètres'!$M:$M,0))&amp;"",""))</f>
        <v/>
      </c>
      <c r="O4494" s="6" t="str">
        <f>IF($A4494="","",IF(OR($J4494&lt;&gt;"x",$A4494&lt;=FinReleve),1,0))</f>
        <v/>
      </c>
      <c r="P4494" s="6" t="str">
        <f>IF($D4494="","",IF(AND($L4494="Crédit",OR(IFERROR(INDEX('Paramètres'!$O:$O,MATCH($D4494,'Paramètres'!$M:$M,0))&amp;"","")&lt;&gt;"",ISNUMBER(SEARCH("remboursement",IFERROR(INDEX('Paramètres'!$N:$N,MATCH($D4494,'Paramètres'!$M:$M,0))&amp;"",""))))),1,0))</f>
        <v/>
      </c>
      <c r="Q4494" s="6" t="str">
        <f>IF($K4494="","",IF(ISNUMBER(SEARCH("transfert-interne",IFERROR(INDEX('Paramètres'!$N:$N,MATCH($D4494,'Paramètres'!$M:$M,0))&amp;"",""))),0,IF($L4494="Débit",$K4494,IF($P4494=1,-$K4494,0))))</f>
        <v/>
      </c>
      <c r="R4494" s="6" t="str">
        <f>IF($K4494="","",IF($L4494="Crédit",$K4494,-$K4494))</f>
        <v/>
      </c>
      <c r="S4494" s="6" t="str">
        <f>IF($C4494="","",IFERROR(INDEX('Paramètres'!$H:$H,MATCH($C4494,'Paramètres'!$D:$D,0))&amp;"",""))</f>
        <v/>
      </c>
      <c r="T4494" s="6" t="str">
        <f>IF($K4494="","",IF($S4494="",0,IF(ISNUMBER(SEARCH("apport-exterieur",IFERROR(INDEX('Paramètres'!$N:$N,MATCH($D4494,'Paramètres'!$M:$M,0))&amp;"",""))),0,IF(OR(IFERROR(INDEX('Paramètres'!$I:$I,MATCH($C4494,'Paramètres'!$D:$D,0))&amp;"","")="Les deux",IFERROR(INDEX('Paramètres'!$I:$I,MATCH($C4494,'Paramètres'!$D:$D,0))&amp;"","")=IF($P4494=1,"Débit",$L4494)),-IF($P4494=1,-$K4494,$K4494),0))))</f>
        <v/>
      </c>
      <c r="U4494" s="6" t="str">
        <f>IF($K4494="","",IF(ISNUMBER(SEARCH("sortie-epargne",IFERROR(INDEX('Paramètres'!$N:$N,MATCH($D4494,'Paramètres'!$M:$M,0))&amp;"",""))),$K4494,0))</f>
        <v/>
      </c>
      <c r="V4494" s="6" t="str">
        <f>IF(AND($A4494&lt;&gt;"",$O4494=1,$L4494="Débit",N($Q4494)&gt;0,$A4494&gt;=Visualisation!$B$1,$A4494&lt;Visualisation!$D$1),MAX($V$1:V4493)+1,"")</f>
        <v/>
      </c>
    </row>
    <row r="4495" spans="1:22" x14ac:dyDescent="0.25">
      <c r="A4495" s="9"/>
      <c r="E4495" s="10"/>
      <c r="K4495" s="11" t="str">
        <f>IF($E4495="","",ROUND($E4495*IF(ISNA(MATCH($C4495,'Paramètres'!$D:$D,0)),1,IF(INDEX('Paramètres'!$J:$J,MATCH($C4495,'Paramètres'!$D:$D,0))="",1,INDEX('Paramètres'!$J:$J,MATCH($C4495,'Paramètres'!$D:$D,0)))),2))</f>
        <v/>
      </c>
      <c r="L4495" s="6" t="str">
        <f>IF($D4495="","",IF($F4495&lt;&gt;"",$F4495,IF(ISNA(MATCH($D4495,'Paramètres'!$M:$M,0)),"⚠ Type inconnu",IFERROR(INDEX('Paramètres'!$P:$P,MATCH($D4495,'Paramètres'!$M:$M,0))&amp;"",""))))</f>
        <v/>
      </c>
      <c r="M4495" s="6" t="str">
        <f>IF($D4495="","",IF(ISNA(MATCH($D4495,'Paramètres'!$M:$M,0)),"⚠ Type inconnu",IF($L4495="Crédit","",IFERROR(INDEX('Paramètres'!$O:$O,MATCH($D4495,'Paramètres'!$M:$M,0))&amp;"",""))))</f>
        <v/>
      </c>
      <c r="N4495" s="6" t="str">
        <f>IF($D4495="","",IFERROR(INDEX('Paramètres'!$Q:$Q,MATCH($D4495,'Paramètres'!$M:$M,0))&amp;"",""))</f>
        <v/>
      </c>
      <c r="O4495" s="6" t="str">
        <f>IF($A4495="","",IF(OR($J4495&lt;&gt;"x",$A4495&lt;=FinReleve),1,0))</f>
        <v/>
      </c>
      <c r="P4495" s="6" t="str">
        <f>IF($D4495="","",IF(AND($L4495="Crédit",OR(IFERROR(INDEX('Paramètres'!$O:$O,MATCH($D4495,'Paramètres'!$M:$M,0))&amp;"","")&lt;&gt;"",ISNUMBER(SEARCH("remboursement",IFERROR(INDEX('Paramètres'!$N:$N,MATCH($D4495,'Paramètres'!$M:$M,0))&amp;"",""))))),1,0))</f>
        <v/>
      </c>
      <c r="Q4495" s="6" t="str">
        <f>IF($K4495="","",IF(ISNUMBER(SEARCH("transfert-interne",IFERROR(INDEX('Paramètres'!$N:$N,MATCH($D4495,'Paramètres'!$M:$M,0))&amp;"",""))),0,IF($L4495="Débit",$K4495,IF($P4495=1,-$K4495,0))))</f>
        <v/>
      </c>
      <c r="R4495" s="6" t="str">
        <f>IF($K4495="","",IF($L4495="Crédit",$K4495,-$K4495))</f>
        <v/>
      </c>
      <c r="S4495" s="6" t="str">
        <f>IF($C4495="","",IFERROR(INDEX('Paramètres'!$H:$H,MATCH($C4495,'Paramètres'!$D:$D,0))&amp;"",""))</f>
        <v/>
      </c>
      <c r="T4495" s="6" t="str">
        <f>IF($K4495="","",IF($S4495="",0,IF(ISNUMBER(SEARCH("apport-exterieur",IFERROR(INDEX('Paramètres'!$N:$N,MATCH($D4495,'Paramètres'!$M:$M,0))&amp;"",""))),0,IF(OR(IFERROR(INDEX('Paramètres'!$I:$I,MATCH($C4495,'Paramètres'!$D:$D,0))&amp;"","")="Les deux",IFERROR(INDEX('Paramètres'!$I:$I,MATCH($C4495,'Paramètres'!$D:$D,0))&amp;"","")=IF($P4495=1,"Débit",$L4495)),-IF($P4495=1,-$K4495,$K4495),0))))</f>
        <v/>
      </c>
      <c r="U4495" s="6" t="str">
        <f>IF($K4495="","",IF(ISNUMBER(SEARCH("sortie-epargne",IFERROR(INDEX('Paramètres'!$N:$N,MATCH($D4495,'Paramètres'!$M:$M,0))&amp;"",""))),$K4495,0))</f>
        <v/>
      </c>
      <c r="V4495" s="6" t="str">
        <f>IF(AND($A4495&lt;&gt;"",$O4495=1,$L4495="Débit",N($Q4495)&gt;0,$A4495&gt;=Visualisation!$B$1,$A4495&lt;Visualisation!$D$1),MAX($V$1:V4494)+1,"")</f>
        <v/>
      </c>
    </row>
    <row r="4496" spans="1:22" x14ac:dyDescent="0.25">
      <c r="A4496" s="9"/>
      <c r="E4496" s="10"/>
      <c r="K4496" s="11" t="str">
        <f>IF($E4496="","",ROUND($E4496*IF(ISNA(MATCH($C4496,'Paramètres'!$D:$D,0)),1,IF(INDEX('Paramètres'!$J:$J,MATCH($C4496,'Paramètres'!$D:$D,0))="",1,INDEX('Paramètres'!$J:$J,MATCH($C4496,'Paramètres'!$D:$D,0)))),2))</f>
        <v/>
      </c>
      <c r="L4496" s="6" t="str">
        <f>IF($D4496="","",IF($F4496&lt;&gt;"",$F4496,IF(ISNA(MATCH($D4496,'Paramètres'!$M:$M,0)),"⚠ Type inconnu",IFERROR(INDEX('Paramètres'!$P:$P,MATCH($D4496,'Paramètres'!$M:$M,0))&amp;"",""))))</f>
        <v/>
      </c>
      <c r="M4496" s="6" t="str">
        <f>IF($D4496="","",IF(ISNA(MATCH($D4496,'Paramètres'!$M:$M,0)),"⚠ Type inconnu",IF($L4496="Crédit","",IFERROR(INDEX('Paramètres'!$O:$O,MATCH($D4496,'Paramètres'!$M:$M,0))&amp;"",""))))</f>
        <v/>
      </c>
      <c r="N4496" s="6" t="str">
        <f>IF($D4496="","",IFERROR(INDEX('Paramètres'!$Q:$Q,MATCH($D4496,'Paramètres'!$M:$M,0))&amp;"",""))</f>
        <v/>
      </c>
      <c r="O4496" s="6" t="str">
        <f>IF($A4496="","",IF(OR($J4496&lt;&gt;"x",$A4496&lt;=FinReleve),1,0))</f>
        <v/>
      </c>
      <c r="P4496" s="6" t="str">
        <f>IF($D4496="","",IF(AND($L4496="Crédit",OR(IFERROR(INDEX('Paramètres'!$O:$O,MATCH($D4496,'Paramètres'!$M:$M,0))&amp;"","")&lt;&gt;"",ISNUMBER(SEARCH("remboursement",IFERROR(INDEX('Paramètres'!$N:$N,MATCH($D4496,'Paramètres'!$M:$M,0))&amp;"",""))))),1,0))</f>
        <v/>
      </c>
      <c r="Q4496" s="6" t="str">
        <f>IF($K4496="","",IF(ISNUMBER(SEARCH("transfert-interne",IFERROR(INDEX('Paramètres'!$N:$N,MATCH($D4496,'Paramètres'!$M:$M,0))&amp;"",""))),0,IF($L4496="Débit",$K4496,IF($P4496=1,-$K4496,0))))</f>
        <v/>
      </c>
      <c r="R4496" s="6" t="str">
        <f>IF($K4496="","",IF($L4496="Crédit",$K4496,-$K4496))</f>
        <v/>
      </c>
      <c r="S4496" s="6" t="str">
        <f>IF($C4496="","",IFERROR(INDEX('Paramètres'!$H:$H,MATCH($C4496,'Paramètres'!$D:$D,0))&amp;"",""))</f>
        <v/>
      </c>
      <c r="T4496" s="6" t="str">
        <f>IF($K4496="","",IF($S4496="",0,IF(ISNUMBER(SEARCH("apport-exterieur",IFERROR(INDEX('Paramètres'!$N:$N,MATCH($D4496,'Paramètres'!$M:$M,0))&amp;"",""))),0,IF(OR(IFERROR(INDEX('Paramètres'!$I:$I,MATCH($C4496,'Paramètres'!$D:$D,0))&amp;"","")="Les deux",IFERROR(INDEX('Paramètres'!$I:$I,MATCH($C4496,'Paramètres'!$D:$D,0))&amp;"","")=IF($P4496=1,"Débit",$L4496)),-IF($P4496=1,-$K4496,$K4496),0))))</f>
        <v/>
      </c>
      <c r="U4496" s="6" t="str">
        <f>IF($K4496="","",IF(ISNUMBER(SEARCH("sortie-epargne",IFERROR(INDEX('Paramètres'!$N:$N,MATCH($D4496,'Paramètres'!$M:$M,0))&amp;"",""))),$K4496,0))</f>
        <v/>
      </c>
      <c r="V4496" s="6" t="str">
        <f>IF(AND($A4496&lt;&gt;"",$O4496=1,$L4496="Débit",N($Q4496)&gt;0,$A4496&gt;=Visualisation!$B$1,$A4496&lt;Visualisation!$D$1),MAX($V$1:V4495)+1,"")</f>
        <v/>
      </c>
    </row>
    <row r="4497" spans="1:22" x14ac:dyDescent="0.25">
      <c r="A4497" s="9"/>
      <c r="E4497" s="10"/>
      <c r="K4497" s="11" t="str">
        <f>IF($E4497="","",ROUND($E4497*IF(ISNA(MATCH($C4497,'Paramètres'!$D:$D,0)),1,IF(INDEX('Paramètres'!$J:$J,MATCH($C4497,'Paramètres'!$D:$D,0))="",1,INDEX('Paramètres'!$J:$J,MATCH($C4497,'Paramètres'!$D:$D,0)))),2))</f>
        <v/>
      </c>
      <c r="L4497" s="6" t="str">
        <f>IF($D4497="","",IF($F4497&lt;&gt;"",$F4497,IF(ISNA(MATCH($D4497,'Paramètres'!$M:$M,0)),"⚠ Type inconnu",IFERROR(INDEX('Paramètres'!$P:$P,MATCH($D4497,'Paramètres'!$M:$M,0))&amp;"",""))))</f>
        <v/>
      </c>
      <c r="M4497" s="6" t="str">
        <f>IF($D4497="","",IF(ISNA(MATCH($D4497,'Paramètres'!$M:$M,0)),"⚠ Type inconnu",IF($L4497="Crédit","",IFERROR(INDEX('Paramètres'!$O:$O,MATCH($D4497,'Paramètres'!$M:$M,0))&amp;"",""))))</f>
        <v/>
      </c>
      <c r="N4497" s="6" t="str">
        <f>IF($D4497="","",IFERROR(INDEX('Paramètres'!$Q:$Q,MATCH($D4497,'Paramètres'!$M:$M,0))&amp;"",""))</f>
        <v/>
      </c>
      <c r="O4497" s="6" t="str">
        <f>IF($A4497="","",IF(OR($J4497&lt;&gt;"x",$A4497&lt;=FinReleve),1,0))</f>
        <v/>
      </c>
      <c r="P4497" s="6" t="str">
        <f>IF($D4497="","",IF(AND($L4497="Crédit",OR(IFERROR(INDEX('Paramètres'!$O:$O,MATCH($D4497,'Paramètres'!$M:$M,0))&amp;"","")&lt;&gt;"",ISNUMBER(SEARCH("remboursement",IFERROR(INDEX('Paramètres'!$N:$N,MATCH($D4497,'Paramètres'!$M:$M,0))&amp;"",""))))),1,0))</f>
        <v/>
      </c>
      <c r="Q4497" s="6" t="str">
        <f>IF($K4497="","",IF(ISNUMBER(SEARCH("transfert-interne",IFERROR(INDEX('Paramètres'!$N:$N,MATCH($D4497,'Paramètres'!$M:$M,0))&amp;"",""))),0,IF($L4497="Débit",$K4497,IF($P4497=1,-$K4497,0))))</f>
        <v/>
      </c>
      <c r="R4497" s="6" t="str">
        <f>IF($K4497="","",IF($L4497="Crédit",$K4497,-$K4497))</f>
        <v/>
      </c>
      <c r="S4497" s="6" t="str">
        <f>IF($C4497="","",IFERROR(INDEX('Paramètres'!$H:$H,MATCH($C4497,'Paramètres'!$D:$D,0))&amp;"",""))</f>
        <v/>
      </c>
      <c r="T4497" s="6" t="str">
        <f>IF($K4497="","",IF($S4497="",0,IF(ISNUMBER(SEARCH("apport-exterieur",IFERROR(INDEX('Paramètres'!$N:$N,MATCH($D4497,'Paramètres'!$M:$M,0))&amp;"",""))),0,IF(OR(IFERROR(INDEX('Paramètres'!$I:$I,MATCH($C4497,'Paramètres'!$D:$D,0))&amp;"","")="Les deux",IFERROR(INDEX('Paramètres'!$I:$I,MATCH($C4497,'Paramètres'!$D:$D,0))&amp;"","")=IF($P4497=1,"Débit",$L4497)),-IF($P4497=1,-$K4497,$K4497),0))))</f>
        <v/>
      </c>
      <c r="U4497" s="6" t="str">
        <f>IF($K4497="","",IF(ISNUMBER(SEARCH("sortie-epargne",IFERROR(INDEX('Paramètres'!$N:$N,MATCH($D4497,'Paramètres'!$M:$M,0))&amp;"",""))),$K4497,0))</f>
        <v/>
      </c>
      <c r="V4497" s="6" t="str">
        <f>IF(AND($A4497&lt;&gt;"",$O4497=1,$L4497="Débit",N($Q4497)&gt;0,$A4497&gt;=Visualisation!$B$1,$A4497&lt;Visualisation!$D$1),MAX($V$1:V4496)+1,"")</f>
        <v/>
      </c>
    </row>
    <row r="4498" spans="1:22" x14ac:dyDescent="0.25">
      <c r="A4498" s="9"/>
      <c r="E4498" s="10"/>
      <c r="K4498" s="11" t="str">
        <f>IF($E4498="","",ROUND($E4498*IF(ISNA(MATCH($C4498,'Paramètres'!$D:$D,0)),1,IF(INDEX('Paramètres'!$J:$J,MATCH($C4498,'Paramètres'!$D:$D,0))="",1,INDEX('Paramètres'!$J:$J,MATCH($C4498,'Paramètres'!$D:$D,0)))),2))</f>
        <v/>
      </c>
      <c r="L4498" s="6" t="str">
        <f>IF($D4498="","",IF($F4498&lt;&gt;"",$F4498,IF(ISNA(MATCH($D4498,'Paramètres'!$M:$M,0)),"⚠ Type inconnu",IFERROR(INDEX('Paramètres'!$P:$P,MATCH($D4498,'Paramètres'!$M:$M,0))&amp;"",""))))</f>
        <v/>
      </c>
      <c r="M4498" s="6" t="str">
        <f>IF($D4498="","",IF(ISNA(MATCH($D4498,'Paramètres'!$M:$M,0)),"⚠ Type inconnu",IF($L4498="Crédit","",IFERROR(INDEX('Paramètres'!$O:$O,MATCH($D4498,'Paramètres'!$M:$M,0))&amp;"",""))))</f>
        <v/>
      </c>
      <c r="N4498" s="6" t="str">
        <f>IF($D4498="","",IFERROR(INDEX('Paramètres'!$Q:$Q,MATCH($D4498,'Paramètres'!$M:$M,0))&amp;"",""))</f>
        <v/>
      </c>
      <c r="O4498" s="6" t="str">
        <f>IF($A4498="","",IF(OR($J4498&lt;&gt;"x",$A4498&lt;=FinReleve),1,0))</f>
        <v/>
      </c>
      <c r="P4498" s="6" t="str">
        <f>IF($D4498="","",IF(AND($L4498="Crédit",OR(IFERROR(INDEX('Paramètres'!$O:$O,MATCH($D4498,'Paramètres'!$M:$M,0))&amp;"","")&lt;&gt;"",ISNUMBER(SEARCH("remboursement",IFERROR(INDEX('Paramètres'!$N:$N,MATCH($D4498,'Paramètres'!$M:$M,0))&amp;"",""))))),1,0))</f>
        <v/>
      </c>
      <c r="Q4498" s="6" t="str">
        <f>IF($K4498="","",IF(ISNUMBER(SEARCH("transfert-interne",IFERROR(INDEX('Paramètres'!$N:$N,MATCH($D4498,'Paramètres'!$M:$M,0))&amp;"",""))),0,IF($L4498="Débit",$K4498,IF($P4498=1,-$K4498,0))))</f>
        <v/>
      </c>
      <c r="R4498" s="6" t="str">
        <f>IF($K4498="","",IF($L4498="Crédit",$K4498,-$K4498))</f>
        <v/>
      </c>
      <c r="S4498" s="6" t="str">
        <f>IF($C4498="","",IFERROR(INDEX('Paramètres'!$H:$H,MATCH($C4498,'Paramètres'!$D:$D,0))&amp;"",""))</f>
        <v/>
      </c>
      <c r="T4498" s="6" t="str">
        <f>IF($K4498="","",IF($S4498="",0,IF(ISNUMBER(SEARCH("apport-exterieur",IFERROR(INDEX('Paramètres'!$N:$N,MATCH($D4498,'Paramètres'!$M:$M,0))&amp;"",""))),0,IF(OR(IFERROR(INDEX('Paramètres'!$I:$I,MATCH($C4498,'Paramètres'!$D:$D,0))&amp;"","")="Les deux",IFERROR(INDEX('Paramètres'!$I:$I,MATCH($C4498,'Paramètres'!$D:$D,0))&amp;"","")=IF($P4498=1,"Débit",$L4498)),-IF($P4498=1,-$K4498,$K4498),0))))</f>
        <v/>
      </c>
      <c r="U4498" s="6" t="str">
        <f>IF($K4498="","",IF(ISNUMBER(SEARCH("sortie-epargne",IFERROR(INDEX('Paramètres'!$N:$N,MATCH($D4498,'Paramètres'!$M:$M,0))&amp;"",""))),$K4498,0))</f>
        <v/>
      </c>
      <c r="V4498" s="6" t="str">
        <f>IF(AND($A4498&lt;&gt;"",$O4498=1,$L4498="Débit",N($Q4498)&gt;0,$A4498&gt;=Visualisation!$B$1,$A4498&lt;Visualisation!$D$1),MAX($V$1:V4497)+1,"")</f>
        <v/>
      </c>
    </row>
    <row r="4499" spans="1:22" x14ac:dyDescent="0.25">
      <c r="A4499" s="9"/>
      <c r="E4499" s="10"/>
      <c r="K4499" s="11" t="str">
        <f>IF($E4499="","",ROUND($E4499*IF(ISNA(MATCH($C4499,'Paramètres'!$D:$D,0)),1,IF(INDEX('Paramètres'!$J:$J,MATCH($C4499,'Paramètres'!$D:$D,0))="",1,INDEX('Paramètres'!$J:$J,MATCH($C4499,'Paramètres'!$D:$D,0)))),2))</f>
        <v/>
      </c>
      <c r="L4499" s="6" t="str">
        <f>IF($D4499="","",IF($F4499&lt;&gt;"",$F4499,IF(ISNA(MATCH($D4499,'Paramètres'!$M:$M,0)),"⚠ Type inconnu",IFERROR(INDEX('Paramètres'!$P:$P,MATCH($D4499,'Paramètres'!$M:$M,0))&amp;"",""))))</f>
        <v/>
      </c>
      <c r="M4499" s="6" t="str">
        <f>IF($D4499="","",IF(ISNA(MATCH($D4499,'Paramètres'!$M:$M,0)),"⚠ Type inconnu",IF($L4499="Crédit","",IFERROR(INDEX('Paramètres'!$O:$O,MATCH($D4499,'Paramètres'!$M:$M,0))&amp;"",""))))</f>
        <v/>
      </c>
      <c r="N4499" s="6" t="str">
        <f>IF($D4499="","",IFERROR(INDEX('Paramètres'!$Q:$Q,MATCH($D4499,'Paramètres'!$M:$M,0))&amp;"",""))</f>
        <v/>
      </c>
      <c r="O4499" s="6" t="str">
        <f>IF($A4499="","",IF(OR($J4499&lt;&gt;"x",$A4499&lt;=FinReleve),1,0))</f>
        <v/>
      </c>
      <c r="P4499" s="6" t="str">
        <f>IF($D4499="","",IF(AND($L4499="Crédit",OR(IFERROR(INDEX('Paramètres'!$O:$O,MATCH($D4499,'Paramètres'!$M:$M,0))&amp;"","")&lt;&gt;"",ISNUMBER(SEARCH("remboursement",IFERROR(INDEX('Paramètres'!$N:$N,MATCH($D4499,'Paramètres'!$M:$M,0))&amp;"",""))))),1,0))</f>
        <v/>
      </c>
      <c r="Q4499" s="6" t="str">
        <f>IF($K4499="","",IF(ISNUMBER(SEARCH("transfert-interne",IFERROR(INDEX('Paramètres'!$N:$N,MATCH($D4499,'Paramètres'!$M:$M,0))&amp;"",""))),0,IF($L4499="Débit",$K4499,IF($P4499=1,-$K4499,0))))</f>
        <v/>
      </c>
      <c r="R4499" s="6" t="str">
        <f>IF($K4499="","",IF($L4499="Crédit",$K4499,-$K4499))</f>
        <v/>
      </c>
      <c r="S4499" s="6" t="str">
        <f>IF($C4499="","",IFERROR(INDEX('Paramètres'!$H:$H,MATCH($C4499,'Paramètres'!$D:$D,0))&amp;"",""))</f>
        <v/>
      </c>
      <c r="T4499" s="6" t="str">
        <f>IF($K4499="","",IF($S4499="",0,IF(ISNUMBER(SEARCH("apport-exterieur",IFERROR(INDEX('Paramètres'!$N:$N,MATCH($D4499,'Paramètres'!$M:$M,0))&amp;"",""))),0,IF(OR(IFERROR(INDEX('Paramètres'!$I:$I,MATCH($C4499,'Paramètres'!$D:$D,0))&amp;"","")="Les deux",IFERROR(INDEX('Paramètres'!$I:$I,MATCH($C4499,'Paramètres'!$D:$D,0))&amp;"","")=IF($P4499=1,"Débit",$L4499)),-IF($P4499=1,-$K4499,$K4499),0))))</f>
        <v/>
      </c>
      <c r="U4499" s="6" t="str">
        <f>IF($K4499="","",IF(ISNUMBER(SEARCH("sortie-epargne",IFERROR(INDEX('Paramètres'!$N:$N,MATCH($D4499,'Paramètres'!$M:$M,0))&amp;"",""))),$K4499,0))</f>
        <v/>
      </c>
      <c r="V4499" s="6" t="str">
        <f>IF(AND($A4499&lt;&gt;"",$O4499=1,$L4499="Débit",N($Q4499)&gt;0,$A4499&gt;=Visualisation!$B$1,$A4499&lt;Visualisation!$D$1),MAX($V$1:V4498)+1,"")</f>
        <v/>
      </c>
    </row>
    <row r="4500" spans="1:22" x14ac:dyDescent="0.25">
      <c r="A4500" s="9"/>
      <c r="E4500" s="10"/>
      <c r="K4500" s="11" t="str">
        <f>IF($E4500="","",ROUND($E4500*IF(ISNA(MATCH($C4500,'Paramètres'!$D:$D,0)),1,IF(INDEX('Paramètres'!$J:$J,MATCH($C4500,'Paramètres'!$D:$D,0))="",1,INDEX('Paramètres'!$J:$J,MATCH($C4500,'Paramètres'!$D:$D,0)))),2))</f>
        <v/>
      </c>
      <c r="L4500" s="6" t="str">
        <f>IF($D4500="","",IF($F4500&lt;&gt;"",$F4500,IF(ISNA(MATCH($D4500,'Paramètres'!$M:$M,0)),"⚠ Type inconnu",IFERROR(INDEX('Paramètres'!$P:$P,MATCH($D4500,'Paramètres'!$M:$M,0))&amp;"",""))))</f>
        <v/>
      </c>
      <c r="M4500" s="6" t="str">
        <f>IF($D4500="","",IF(ISNA(MATCH($D4500,'Paramètres'!$M:$M,0)),"⚠ Type inconnu",IF($L4500="Crédit","",IFERROR(INDEX('Paramètres'!$O:$O,MATCH($D4500,'Paramètres'!$M:$M,0))&amp;"",""))))</f>
        <v/>
      </c>
      <c r="N4500" s="6" t="str">
        <f>IF($D4500="","",IFERROR(INDEX('Paramètres'!$Q:$Q,MATCH($D4500,'Paramètres'!$M:$M,0))&amp;"",""))</f>
        <v/>
      </c>
      <c r="O4500" s="6" t="str">
        <f>IF($A4500="","",IF(OR($J4500&lt;&gt;"x",$A4500&lt;=FinReleve),1,0))</f>
        <v/>
      </c>
      <c r="P4500" s="6" t="str">
        <f>IF($D4500="","",IF(AND($L4500="Crédit",OR(IFERROR(INDEX('Paramètres'!$O:$O,MATCH($D4500,'Paramètres'!$M:$M,0))&amp;"","")&lt;&gt;"",ISNUMBER(SEARCH("remboursement",IFERROR(INDEX('Paramètres'!$N:$N,MATCH($D4500,'Paramètres'!$M:$M,0))&amp;"",""))))),1,0))</f>
        <v/>
      </c>
      <c r="Q4500" s="6" t="str">
        <f>IF($K4500="","",IF(ISNUMBER(SEARCH("transfert-interne",IFERROR(INDEX('Paramètres'!$N:$N,MATCH($D4500,'Paramètres'!$M:$M,0))&amp;"",""))),0,IF($L4500="Débit",$K4500,IF($P4500=1,-$K4500,0))))</f>
        <v/>
      </c>
      <c r="R4500" s="6" t="str">
        <f>IF($K4500="","",IF($L4500="Crédit",$K4500,-$K4500))</f>
        <v/>
      </c>
      <c r="S4500" s="6" t="str">
        <f>IF($C4500="","",IFERROR(INDEX('Paramètres'!$H:$H,MATCH($C4500,'Paramètres'!$D:$D,0))&amp;"",""))</f>
        <v/>
      </c>
      <c r="T4500" s="6" t="str">
        <f>IF($K4500="","",IF($S4500="",0,IF(ISNUMBER(SEARCH("apport-exterieur",IFERROR(INDEX('Paramètres'!$N:$N,MATCH($D4500,'Paramètres'!$M:$M,0))&amp;"",""))),0,IF(OR(IFERROR(INDEX('Paramètres'!$I:$I,MATCH($C4500,'Paramètres'!$D:$D,0))&amp;"","")="Les deux",IFERROR(INDEX('Paramètres'!$I:$I,MATCH($C4500,'Paramètres'!$D:$D,0))&amp;"","")=IF($P4500=1,"Débit",$L4500)),-IF($P4500=1,-$K4500,$K4500),0))))</f>
        <v/>
      </c>
      <c r="U4500" s="6" t="str">
        <f>IF($K4500="","",IF(ISNUMBER(SEARCH("sortie-epargne",IFERROR(INDEX('Paramètres'!$N:$N,MATCH($D4500,'Paramètres'!$M:$M,0))&amp;"",""))),$K4500,0))</f>
        <v/>
      </c>
      <c r="V4500" s="6" t="str">
        <f>IF(AND($A4500&lt;&gt;"",$O4500=1,$L4500="Débit",N($Q4500)&gt;0,$A4500&gt;=Visualisation!$B$1,$A4500&lt;Visualisation!$D$1),MAX($V$1:V4499)+1,"")</f>
        <v/>
      </c>
    </row>
    <row r="4501" spans="1:22" x14ac:dyDescent="0.25">
      <c r="A4501" s="9"/>
      <c r="E4501" s="10"/>
      <c r="K4501" s="11" t="str">
        <f>IF($E4501="","",ROUND($E4501*IF(ISNA(MATCH($C4501,'Paramètres'!$D:$D,0)),1,IF(INDEX('Paramètres'!$J:$J,MATCH($C4501,'Paramètres'!$D:$D,0))="",1,INDEX('Paramètres'!$J:$J,MATCH($C4501,'Paramètres'!$D:$D,0)))),2))</f>
        <v/>
      </c>
      <c r="L4501" s="6" t="str">
        <f>IF($D4501="","",IF($F4501&lt;&gt;"",$F4501,IF(ISNA(MATCH($D4501,'Paramètres'!$M:$M,0)),"⚠ Type inconnu",IFERROR(INDEX('Paramètres'!$P:$P,MATCH($D4501,'Paramètres'!$M:$M,0))&amp;"",""))))</f>
        <v/>
      </c>
      <c r="M4501" s="6" t="str">
        <f>IF($D4501="","",IF(ISNA(MATCH($D4501,'Paramètres'!$M:$M,0)),"⚠ Type inconnu",IF($L4501="Crédit","",IFERROR(INDEX('Paramètres'!$O:$O,MATCH($D4501,'Paramètres'!$M:$M,0))&amp;"",""))))</f>
        <v/>
      </c>
      <c r="N4501" s="6" t="str">
        <f>IF($D4501="","",IFERROR(INDEX('Paramètres'!$Q:$Q,MATCH($D4501,'Paramètres'!$M:$M,0))&amp;"",""))</f>
        <v/>
      </c>
      <c r="O4501" s="6" t="str">
        <f>IF($A4501="","",IF(OR($J4501&lt;&gt;"x",$A4501&lt;=FinReleve),1,0))</f>
        <v/>
      </c>
      <c r="P4501" s="6" t="str">
        <f>IF($D4501="","",IF(AND($L4501="Crédit",OR(IFERROR(INDEX('Paramètres'!$O:$O,MATCH($D4501,'Paramètres'!$M:$M,0))&amp;"","")&lt;&gt;"",ISNUMBER(SEARCH("remboursement",IFERROR(INDEX('Paramètres'!$N:$N,MATCH($D4501,'Paramètres'!$M:$M,0))&amp;"",""))))),1,0))</f>
        <v/>
      </c>
      <c r="Q4501" s="6" t="str">
        <f>IF($K4501="","",IF(ISNUMBER(SEARCH("transfert-interne",IFERROR(INDEX('Paramètres'!$N:$N,MATCH($D4501,'Paramètres'!$M:$M,0))&amp;"",""))),0,IF($L4501="Débit",$K4501,IF($P4501=1,-$K4501,0))))</f>
        <v/>
      </c>
      <c r="R4501" s="6" t="str">
        <f>IF($K4501="","",IF($L4501="Crédit",$K4501,-$K4501))</f>
        <v/>
      </c>
      <c r="S4501" s="6" t="str">
        <f>IF($C4501="","",IFERROR(INDEX('Paramètres'!$H:$H,MATCH($C4501,'Paramètres'!$D:$D,0))&amp;"",""))</f>
        <v/>
      </c>
      <c r="T4501" s="6" t="str">
        <f>IF($K4501="","",IF($S4501="",0,IF(ISNUMBER(SEARCH("apport-exterieur",IFERROR(INDEX('Paramètres'!$N:$N,MATCH($D4501,'Paramètres'!$M:$M,0))&amp;"",""))),0,IF(OR(IFERROR(INDEX('Paramètres'!$I:$I,MATCH($C4501,'Paramètres'!$D:$D,0))&amp;"","")="Les deux",IFERROR(INDEX('Paramètres'!$I:$I,MATCH($C4501,'Paramètres'!$D:$D,0))&amp;"","")=IF($P4501=1,"Débit",$L4501)),-IF($P4501=1,-$K4501,$K4501),0))))</f>
        <v/>
      </c>
      <c r="U4501" s="6" t="str">
        <f>IF($K4501="","",IF(ISNUMBER(SEARCH("sortie-epargne",IFERROR(INDEX('Paramètres'!$N:$N,MATCH($D4501,'Paramètres'!$M:$M,0))&amp;"",""))),$K4501,0))</f>
        <v/>
      </c>
      <c r="V4501" s="6" t="str">
        <f>IF(AND($A4501&lt;&gt;"",$O4501=1,$L4501="Débit",N($Q4501)&gt;0,$A4501&gt;=Visualisation!$B$1,$A4501&lt;Visualisation!$D$1),MAX($V$1:V4500)+1,"")</f>
        <v/>
      </c>
    </row>
    <row r="4502" spans="1:22" x14ac:dyDescent="0.25">
      <c r="A4502" s="9"/>
      <c r="E4502" s="10"/>
      <c r="K4502" s="11" t="str">
        <f>IF($E4502="","",ROUND($E4502*IF(ISNA(MATCH($C4502,'Paramètres'!$D:$D,0)),1,IF(INDEX('Paramètres'!$J:$J,MATCH($C4502,'Paramètres'!$D:$D,0))="",1,INDEX('Paramètres'!$J:$J,MATCH($C4502,'Paramètres'!$D:$D,0)))),2))</f>
        <v/>
      </c>
      <c r="L4502" s="6" t="str">
        <f>IF($D4502="","",IF($F4502&lt;&gt;"",$F4502,IF(ISNA(MATCH($D4502,'Paramètres'!$M:$M,0)),"⚠ Type inconnu",IFERROR(INDEX('Paramètres'!$P:$P,MATCH($D4502,'Paramètres'!$M:$M,0))&amp;"",""))))</f>
        <v/>
      </c>
      <c r="M4502" s="6" t="str">
        <f>IF($D4502="","",IF(ISNA(MATCH($D4502,'Paramètres'!$M:$M,0)),"⚠ Type inconnu",IF($L4502="Crédit","",IFERROR(INDEX('Paramètres'!$O:$O,MATCH($D4502,'Paramètres'!$M:$M,0))&amp;"",""))))</f>
        <v/>
      </c>
      <c r="N4502" s="6" t="str">
        <f>IF($D4502="","",IFERROR(INDEX('Paramètres'!$Q:$Q,MATCH($D4502,'Paramètres'!$M:$M,0))&amp;"",""))</f>
        <v/>
      </c>
      <c r="O4502" s="6" t="str">
        <f>IF($A4502="","",IF(OR($J4502&lt;&gt;"x",$A4502&lt;=FinReleve),1,0))</f>
        <v/>
      </c>
      <c r="P4502" s="6" t="str">
        <f>IF($D4502="","",IF(AND($L4502="Crédit",OR(IFERROR(INDEX('Paramètres'!$O:$O,MATCH($D4502,'Paramètres'!$M:$M,0))&amp;"","")&lt;&gt;"",ISNUMBER(SEARCH("remboursement",IFERROR(INDEX('Paramètres'!$N:$N,MATCH($D4502,'Paramètres'!$M:$M,0))&amp;"",""))))),1,0))</f>
        <v/>
      </c>
      <c r="Q4502" s="6" t="str">
        <f>IF($K4502="","",IF(ISNUMBER(SEARCH("transfert-interne",IFERROR(INDEX('Paramètres'!$N:$N,MATCH($D4502,'Paramètres'!$M:$M,0))&amp;"",""))),0,IF($L4502="Débit",$K4502,IF($P4502=1,-$K4502,0))))</f>
        <v/>
      </c>
      <c r="R4502" s="6" t="str">
        <f>IF($K4502="","",IF($L4502="Crédit",$K4502,-$K4502))</f>
        <v/>
      </c>
      <c r="S4502" s="6" t="str">
        <f>IF($C4502="","",IFERROR(INDEX('Paramètres'!$H:$H,MATCH($C4502,'Paramètres'!$D:$D,0))&amp;"",""))</f>
        <v/>
      </c>
      <c r="T4502" s="6" t="str">
        <f>IF($K4502="","",IF($S4502="",0,IF(ISNUMBER(SEARCH("apport-exterieur",IFERROR(INDEX('Paramètres'!$N:$N,MATCH($D4502,'Paramètres'!$M:$M,0))&amp;"",""))),0,IF(OR(IFERROR(INDEX('Paramètres'!$I:$I,MATCH($C4502,'Paramètres'!$D:$D,0))&amp;"","")="Les deux",IFERROR(INDEX('Paramètres'!$I:$I,MATCH($C4502,'Paramètres'!$D:$D,0))&amp;"","")=IF($P4502=1,"Débit",$L4502)),-IF($P4502=1,-$K4502,$K4502),0))))</f>
        <v/>
      </c>
      <c r="U4502" s="6" t="str">
        <f>IF($K4502="","",IF(ISNUMBER(SEARCH("sortie-epargne",IFERROR(INDEX('Paramètres'!$N:$N,MATCH($D4502,'Paramètres'!$M:$M,0))&amp;"",""))),$K4502,0))</f>
        <v/>
      </c>
      <c r="V4502" s="6" t="str">
        <f>IF(AND($A4502&lt;&gt;"",$O4502=1,$L4502="Débit",N($Q4502)&gt;0,$A4502&gt;=Visualisation!$B$1,$A4502&lt;Visualisation!$D$1),MAX($V$1:V4501)+1,"")</f>
        <v/>
      </c>
    </row>
    <row r="4503" spans="1:22" x14ac:dyDescent="0.25">
      <c r="A4503" s="9"/>
      <c r="E4503" s="10"/>
      <c r="K4503" s="11" t="str">
        <f>IF($E4503="","",ROUND($E4503*IF(ISNA(MATCH($C4503,'Paramètres'!$D:$D,0)),1,IF(INDEX('Paramètres'!$J:$J,MATCH($C4503,'Paramètres'!$D:$D,0))="",1,INDEX('Paramètres'!$J:$J,MATCH($C4503,'Paramètres'!$D:$D,0)))),2))</f>
        <v/>
      </c>
      <c r="L4503" s="6" t="str">
        <f>IF($D4503="","",IF($F4503&lt;&gt;"",$F4503,IF(ISNA(MATCH($D4503,'Paramètres'!$M:$M,0)),"⚠ Type inconnu",IFERROR(INDEX('Paramètres'!$P:$P,MATCH($D4503,'Paramètres'!$M:$M,0))&amp;"",""))))</f>
        <v/>
      </c>
      <c r="M4503" s="6" t="str">
        <f>IF($D4503="","",IF(ISNA(MATCH($D4503,'Paramètres'!$M:$M,0)),"⚠ Type inconnu",IF($L4503="Crédit","",IFERROR(INDEX('Paramètres'!$O:$O,MATCH($D4503,'Paramètres'!$M:$M,0))&amp;"",""))))</f>
        <v/>
      </c>
      <c r="N4503" s="6" t="str">
        <f>IF($D4503="","",IFERROR(INDEX('Paramètres'!$Q:$Q,MATCH($D4503,'Paramètres'!$M:$M,0))&amp;"",""))</f>
        <v/>
      </c>
      <c r="O4503" s="6" t="str">
        <f>IF($A4503="","",IF(OR($J4503&lt;&gt;"x",$A4503&lt;=FinReleve),1,0))</f>
        <v/>
      </c>
      <c r="P4503" s="6" t="str">
        <f>IF($D4503="","",IF(AND($L4503="Crédit",OR(IFERROR(INDEX('Paramètres'!$O:$O,MATCH($D4503,'Paramètres'!$M:$M,0))&amp;"","")&lt;&gt;"",ISNUMBER(SEARCH("remboursement",IFERROR(INDEX('Paramètres'!$N:$N,MATCH($D4503,'Paramètres'!$M:$M,0))&amp;"",""))))),1,0))</f>
        <v/>
      </c>
      <c r="Q4503" s="6" t="str">
        <f>IF($K4503="","",IF(ISNUMBER(SEARCH("transfert-interne",IFERROR(INDEX('Paramètres'!$N:$N,MATCH($D4503,'Paramètres'!$M:$M,0))&amp;"",""))),0,IF($L4503="Débit",$K4503,IF($P4503=1,-$K4503,0))))</f>
        <v/>
      </c>
      <c r="R4503" s="6" t="str">
        <f>IF($K4503="","",IF($L4503="Crédit",$K4503,-$K4503))</f>
        <v/>
      </c>
      <c r="S4503" s="6" t="str">
        <f>IF($C4503="","",IFERROR(INDEX('Paramètres'!$H:$H,MATCH($C4503,'Paramètres'!$D:$D,0))&amp;"",""))</f>
        <v/>
      </c>
      <c r="T4503" s="6" t="str">
        <f>IF($K4503="","",IF($S4503="",0,IF(ISNUMBER(SEARCH("apport-exterieur",IFERROR(INDEX('Paramètres'!$N:$N,MATCH($D4503,'Paramètres'!$M:$M,0))&amp;"",""))),0,IF(OR(IFERROR(INDEX('Paramètres'!$I:$I,MATCH($C4503,'Paramètres'!$D:$D,0))&amp;"","")="Les deux",IFERROR(INDEX('Paramètres'!$I:$I,MATCH($C4503,'Paramètres'!$D:$D,0))&amp;"","")=IF($P4503=1,"Débit",$L4503)),-IF($P4503=1,-$K4503,$K4503),0))))</f>
        <v/>
      </c>
      <c r="U4503" s="6" t="str">
        <f>IF($K4503="","",IF(ISNUMBER(SEARCH("sortie-epargne",IFERROR(INDEX('Paramètres'!$N:$N,MATCH($D4503,'Paramètres'!$M:$M,0))&amp;"",""))),$K4503,0))</f>
        <v/>
      </c>
      <c r="V4503" s="6" t="str">
        <f>IF(AND($A4503&lt;&gt;"",$O4503=1,$L4503="Débit",N($Q4503)&gt;0,$A4503&gt;=Visualisation!$B$1,$A4503&lt;Visualisation!$D$1),MAX($V$1:V4502)+1,"")</f>
        <v/>
      </c>
    </row>
    <row r="4504" spans="1:22" x14ac:dyDescent="0.25">
      <c r="A4504" s="9"/>
      <c r="E4504" s="10"/>
      <c r="K4504" s="11" t="str">
        <f>IF($E4504="","",ROUND($E4504*IF(ISNA(MATCH($C4504,'Paramètres'!$D:$D,0)),1,IF(INDEX('Paramètres'!$J:$J,MATCH($C4504,'Paramètres'!$D:$D,0))="",1,INDEX('Paramètres'!$J:$J,MATCH($C4504,'Paramètres'!$D:$D,0)))),2))</f>
        <v/>
      </c>
      <c r="L4504" s="6" t="str">
        <f>IF($D4504="","",IF($F4504&lt;&gt;"",$F4504,IF(ISNA(MATCH($D4504,'Paramètres'!$M:$M,0)),"⚠ Type inconnu",IFERROR(INDEX('Paramètres'!$P:$P,MATCH($D4504,'Paramètres'!$M:$M,0))&amp;"",""))))</f>
        <v/>
      </c>
      <c r="M4504" s="6" t="str">
        <f>IF($D4504="","",IF(ISNA(MATCH($D4504,'Paramètres'!$M:$M,0)),"⚠ Type inconnu",IF($L4504="Crédit","",IFERROR(INDEX('Paramètres'!$O:$O,MATCH($D4504,'Paramètres'!$M:$M,0))&amp;"",""))))</f>
        <v/>
      </c>
      <c r="N4504" s="6" t="str">
        <f>IF($D4504="","",IFERROR(INDEX('Paramètres'!$Q:$Q,MATCH($D4504,'Paramètres'!$M:$M,0))&amp;"",""))</f>
        <v/>
      </c>
      <c r="O4504" s="6" t="str">
        <f>IF($A4504="","",IF(OR($J4504&lt;&gt;"x",$A4504&lt;=FinReleve),1,0))</f>
        <v/>
      </c>
      <c r="P4504" s="6" t="str">
        <f>IF($D4504="","",IF(AND($L4504="Crédit",OR(IFERROR(INDEX('Paramètres'!$O:$O,MATCH($D4504,'Paramètres'!$M:$M,0))&amp;"","")&lt;&gt;"",ISNUMBER(SEARCH("remboursement",IFERROR(INDEX('Paramètres'!$N:$N,MATCH($D4504,'Paramètres'!$M:$M,0))&amp;"",""))))),1,0))</f>
        <v/>
      </c>
      <c r="Q4504" s="6" t="str">
        <f>IF($K4504="","",IF(ISNUMBER(SEARCH("transfert-interne",IFERROR(INDEX('Paramètres'!$N:$N,MATCH($D4504,'Paramètres'!$M:$M,0))&amp;"",""))),0,IF($L4504="Débit",$K4504,IF($P4504=1,-$K4504,0))))</f>
        <v/>
      </c>
      <c r="R4504" s="6" t="str">
        <f>IF($K4504="","",IF($L4504="Crédit",$K4504,-$K4504))</f>
        <v/>
      </c>
      <c r="S4504" s="6" t="str">
        <f>IF($C4504="","",IFERROR(INDEX('Paramètres'!$H:$H,MATCH($C4504,'Paramètres'!$D:$D,0))&amp;"",""))</f>
        <v/>
      </c>
      <c r="T4504" s="6" t="str">
        <f>IF($K4504="","",IF($S4504="",0,IF(ISNUMBER(SEARCH("apport-exterieur",IFERROR(INDEX('Paramètres'!$N:$N,MATCH($D4504,'Paramètres'!$M:$M,0))&amp;"",""))),0,IF(OR(IFERROR(INDEX('Paramètres'!$I:$I,MATCH($C4504,'Paramètres'!$D:$D,0))&amp;"","")="Les deux",IFERROR(INDEX('Paramètres'!$I:$I,MATCH($C4504,'Paramètres'!$D:$D,0))&amp;"","")=IF($P4504=1,"Débit",$L4504)),-IF($P4504=1,-$K4504,$K4504),0))))</f>
        <v/>
      </c>
      <c r="U4504" s="6" t="str">
        <f>IF($K4504="","",IF(ISNUMBER(SEARCH("sortie-epargne",IFERROR(INDEX('Paramètres'!$N:$N,MATCH($D4504,'Paramètres'!$M:$M,0))&amp;"",""))),$K4504,0))</f>
        <v/>
      </c>
      <c r="V4504" s="6" t="str">
        <f>IF(AND($A4504&lt;&gt;"",$O4504=1,$L4504="Débit",N($Q4504)&gt;0,$A4504&gt;=Visualisation!$B$1,$A4504&lt;Visualisation!$D$1),MAX($V$1:V4503)+1,"")</f>
        <v/>
      </c>
    </row>
    <row r="4505" spans="1:22" x14ac:dyDescent="0.25">
      <c r="A4505" s="9"/>
      <c r="E4505" s="10"/>
      <c r="K4505" s="11" t="str">
        <f>IF($E4505="","",ROUND($E4505*IF(ISNA(MATCH($C4505,'Paramètres'!$D:$D,0)),1,IF(INDEX('Paramètres'!$J:$J,MATCH($C4505,'Paramètres'!$D:$D,0))="",1,INDEX('Paramètres'!$J:$J,MATCH($C4505,'Paramètres'!$D:$D,0)))),2))</f>
        <v/>
      </c>
      <c r="L4505" s="6" t="str">
        <f>IF($D4505="","",IF($F4505&lt;&gt;"",$F4505,IF(ISNA(MATCH($D4505,'Paramètres'!$M:$M,0)),"⚠ Type inconnu",IFERROR(INDEX('Paramètres'!$P:$P,MATCH($D4505,'Paramètres'!$M:$M,0))&amp;"",""))))</f>
        <v/>
      </c>
      <c r="M4505" s="6" t="str">
        <f>IF($D4505="","",IF(ISNA(MATCH($D4505,'Paramètres'!$M:$M,0)),"⚠ Type inconnu",IF($L4505="Crédit","",IFERROR(INDEX('Paramètres'!$O:$O,MATCH($D4505,'Paramètres'!$M:$M,0))&amp;"",""))))</f>
        <v/>
      </c>
      <c r="N4505" s="6" t="str">
        <f>IF($D4505="","",IFERROR(INDEX('Paramètres'!$Q:$Q,MATCH($D4505,'Paramètres'!$M:$M,0))&amp;"",""))</f>
        <v/>
      </c>
      <c r="O4505" s="6" t="str">
        <f>IF($A4505="","",IF(OR($J4505&lt;&gt;"x",$A4505&lt;=FinReleve),1,0))</f>
        <v/>
      </c>
      <c r="P4505" s="6" t="str">
        <f>IF($D4505="","",IF(AND($L4505="Crédit",OR(IFERROR(INDEX('Paramètres'!$O:$O,MATCH($D4505,'Paramètres'!$M:$M,0))&amp;"","")&lt;&gt;"",ISNUMBER(SEARCH("remboursement",IFERROR(INDEX('Paramètres'!$N:$N,MATCH($D4505,'Paramètres'!$M:$M,0))&amp;"",""))))),1,0))</f>
        <v/>
      </c>
      <c r="Q4505" s="6" t="str">
        <f>IF($K4505="","",IF(ISNUMBER(SEARCH("transfert-interne",IFERROR(INDEX('Paramètres'!$N:$N,MATCH($D4505,'Paramètres'!$M:$M,0))&amp;"",""))),0,IF($L4505="Débit",$K4505,IF($P4505=1,-$K4505,0))))</f>
        <v/>
      </c>
      <c r="R4505" s="6" t="str">
        <f>IF($K4505="","",IF($L4505="Crédit",$K4505,-$K4505))</f>
        <v/>
      </c>
      <c r="S4505" s="6" t="str">
        <f>IF($C4505="","",IFERROR(INDEX('Paramètres'!$H:$H,MATCH($C4505,'Paramètres'!$D:$D,0))&amp;"",""))</f>
        <v/>
      </c>
      <c r="T4505" s="6" t="str">
        <f>IF($K4505="","",IF($S4505="",0,IF(ISNUMBER(SEARCH("apport-exterieur",IFERROR(INDEX('Paramètres'!$N:$N,MATCH($D4505,'Paramètres'!$M:$M,0))&amp;"",""))),0,IF(OR(IFERROR(INDEX('Paramètres'!$I:$I,MATCH($C4505,'Paramètres'!$D:$D,0))&amp;"","")="Les deux",IFERROR(INDEX('Paramètres'!$I:$I,MATCH($C4505,'Paramètres'!$D:$D,0))&amp;"","")=IF($P4505=1,"Débit",$L4505)),-IF($P4505=1,-$K4505,$K4505),0))))</f>
        <v/>
      </c>
      <c r="U4505" s="6" t="str">
        <f>IF($K4505="","",IF(ISNUMBER(SEARCH("sortie-epargne",IFERROR(INDEX('Paramètres'!$N:$N,MATCH($D4505,'Paramètres'!$M:$M,0))&amp;"",""))),$K4505,0))</f>
        <v/>
      </c>
      <c r="V4505" s="6" t="str">
        <f>IF(AND($A4505&lt;&gt;"",$O4505=1,$L4505="Débit",N($Q4505)&gt;0,$A4505&gt;=Visualisation!$B$1,$A4505&lt;Visualisation!$D$1),MAX($V$1:V4504)+1,"")</f>
        <v/>
      </c>
    </row>
    <row r="4506" spans="1:22" x14ac:dyDescent="0.25">
      <c r="A4506" s="9"/>
      <c r="E4506" s="10"/>
      <c r="K4506" s="11" t="str">
        <f>IF($E4506="","",ROUND($E4506*IF(ISNA(MATCH($C4506,'Paramètres'!$D:$D,0)),1,IF(INDEX('Paramètres'!$J:$J,MATCH($C4506,'Paramètres'!$D:$D,0))="",1,INDEX('Paramètres'!$J:$J,MATCH($C4506,'Paramètres'!$D:$D,0)))),2))</f>
        <v/>
      </c>
      <c r="L4506" s="6" t="str">
        <f>IF($D4506="","",IF($F4506&lt;&gt;"",$F4506,IF(ISNA(MATCH($D4506,'Paramètres'!$M:$M,0)),"⚠ Type inconnu",IFERROR(INDEX('Paramètres'!$P:$P,MATCH($D4506,'Paramètres'!$M:$M,0))&amp;"",""))))</f>
        <v/>
      </c>
      <c r="M4506" s="6" t="str">
        <f>IF($D4506="","",IF(ISNA(MATCH($D4506,'Paramètres'!$M:$M,0)),"⚠ Type inconnu",IF($L4506="Crédit","",IFERROR(INDEX('Paramètres'!$O:$O,MATCH($D4506,'Paramètres'!$M:$M,0))&amp;"",""))))</f>
        <v/>
      </c>
      <c r="N4506" s="6" t="str">
        <f>IF($D4506="","",IFERROR(INDEX('Paramètres'!$Q:$Q,MATCH($D4506,'Paramètres'!$M:$M,0))&amp;"",""))</f>
        <v/>
      </c>
      <c r="O4506" s="6" t="str">
        <f>IF($A4506="","",IF(OR($J4506&lt;&gt;"x",$A4506&lt;=FinReleve),1,0))</f>
        <v/>
      </c>
      <c r="P4506" s="6" t="str">
        <f>IF($D4506="","",IF(AND($L4506="Crédit",OR(IFERROR(INDEX('Paramètres'!$O:$O,MATCH($D4506,'Paramètres'!$M:$M,0))&amp;"","")&lt;&gt;"",ISNUMBER(SEARCH("remboursement",IFERROR(INDEX('Paramètres'!$N:$N,MATCH($D4506,'Paramètres'!$M:$M,0))&amp;"",""))))),1,0))</f>
        <v/>
      </c>
      <c r="Q4506" s="6" t="str">
        <f>IF($K4506="","",IF(ISNUMBER(SEARCH("transfert-interne",IFERROR(INDEX('Paramètres'!$N:$N,MATCH($D4506,'Paramètres'!$M:$M,0))&amp;"",""))),0,IF($L4506="Débit",$K4506,IF($P4506=1,-$K4506,0))))</f>
        <v/>
      </c>
      <c r="R4506" s="6" t="str">
        <f>IF($K4506="","",IF($L4506="Crédit",$K4506,-$K4506))</f>
        <v/>
      </c>
      <c r="S4506" s="6" t="str">
        <f>IF($C4506="","",IFERROR(INDEX('Paramètres'!$H:$H,MATCH($C4506,'Paramètres'!$D:$D,0))&amp;"",""))</f>
        <v/>
      </c>
      <c r="T4506" s="6" t="str">
        <f>IF($K4506="","",IF($S4506="",0,IF(ISNUMBER(SEARCH("apport-exterieur",IFERROR(INDEX('Paramètres'!$N:$N,MATCH($D4506,'Paramètres'!$M:$M,0))&amp;"",""))),0,IF(OR(IFERROR(INDEX('Paramètres'!$I:$I,MATCH($C4506,'Paramètres'!$D:$D,0))&amp;"","")="Les deux",IFERROR(INDEX('Paramètres'!$I:$I,MATCH($C4506,'Paramètres'!$D:$D,0))&amp;"","")=IF($P4506=1,"Débit",$L4506)),-IF($P4506=1,-$K4506,$K4506),0))))</f>
        <v/>
      </c>
      <c r="U4506" s="6" t="str">
        <f>IF($K4506="","",IF(ISNUMBER(SEARCH("sortie-epargne",IFERROR(INDEX('Paramètres'!$N:$N,MATCH($D4506,'Paramètres'!$M:$M,0))&amp;"",""))),$K4506,0))</f>
        <v/>
      </c>
      <c r="V4506" s="6" t="str">
        <f>IF(AND($A4506&lt;&gt;"",$O4506=1,$L4506="Débit",N($Q4506)&gt;0,$A4506&gt;=Visualisation!$B$1,$A4506&lt;Visualisation!$D$1),MAX($V$1:V4505)+1,"")</f>
        <v/>
      </c>
    </row>
    <row r="4507" spans="1:22" x14ac:dyDescent="0.25">
      <c r="A4507" s="9"/>
      <c r="E4507" s="10"/>
      <c r="K4507" s="11" t="str">
        <f>IF($E4507="","",ROUND($E4507*IF(ISNA(MATCH($C4507,'Paramètres'!$D:$D,0)),1,IF(INDEX('Paramètres'!$J:$J,MATCH($C4507,'Paramètres'!$D:$D,0))="",1,INDEX('Paramètres'!$J:$J,MATCH($C4507,'Paramètres'!$D:$D,0)))),2))</f>
        <v/>
      </c>
      <c r="L4507" s="6" t="str">
        <f>IF($D4507="","",IF($F4507&lt;&gt;"",$F4507,IF(ISNA(MATCH($D4507,'Paramètres'!$M:$M,0)),"⚠ Type inconnu",IFERROR(INDEX('Paramètres'!$P:$P,MATCH($D4507,'Paramètres'!$M:$M,0))&amp;"",""))))</f>
        <v/>
      </c>
      <c r="M4507" s="6" t="str">
        <f>IF($D4507="","",IF(ISNA(MATCH($D4507,'Paramètres'!$M:$M,0)),"⚠ Type inconnu",IF($L4507="Crédit","",IFERROR(INDEX('Paramètres'!$O:$O,MATCH($D4507,'Paramètres'!$M:$M,0))&amp;"",""))))</f>
        <v/>
      </c>
      <c r="N4507" s="6" t="str">
        <f>IF($D4507="","",IFERROR(INDEX('Paramètres'!$Q:$Q,MATCH($D4507,'Paramètres'!$M:$M,0))&amp;"",""))</f>
        <v/>
      </c>
      <c r="O4507" s="6" t="str">
        <f>IF($A4507="","",IF(OR($J4507&lt;&gt;"x",$A4507&lt;=FinReleve),1,0))</f>
        <v/>
      </c>
      <c r="P4507" s="6" t="str">
        <f>IF($D4507="","",IF(AND($L4507="Crédit",OR(IFERROR(INDEX('Paramètres'!$O:$O,MATCH($D4507,'Paramètres'!$M:$M,0))&amp;"","")&lt;&gt;"",ISNUMBER(SEARCH("remboursement",IFERROR(INDEX('Paramètres'!$N:$N,MATCH($D4507,'Paramètres'!$M:$M,0))&amp;"",""))))),1,0))</f>
        <v/>
      </c>
      <c r="Q4507" s="6" t="str">
        <f>IF($K4507="","",IF(ISNUMBER(SEARCH("transfert-interne",IFERROR(INDEX('Paramètres'!$N:$N,MATCH($D4507,'Paramètres'!$M:$M,0))&amp;"",""))),0,IF($L4507="Débit",$K4507,IF($P4507=1,-$K4507,0))))</f>
        <v/>
      </c>
      <c r="R4507" s="6" t="str">
        <f>IF($K4507="","",IF($L4507="Crédit",$K4507,-$K4507))</f>
        <v/>
      </c>
      <c r="S4507" s="6" t="str">
        <f>IF($C4507="","",IFERROR(INDEX('Paramètres'!$H:$H,MATCH($C4507,'Paramètres'!$D:$D,0))&amp;"",""))</f>
        <v/>
      </c>
      <c r="T4507" s="6" t="str">
        <f>IF($K4507="","",IF($S4507="",0,IF(ISNUMBER(SEARCH("apport-exterieur",IFERROR(INDEX('Paramètres'!$N:$N,MATCH($D4507,'Paramètres'!$M:$M,0))&amp;"",""))),0,IF(OR(IFERROR(INDEX('Paramètres'!$I:$I,MATCH($C4507,'Paramètres'!$D:$D,0))&amp;"","")="Les deux",IFERROR(INDEX('Paramètres'!$I:$I,MATCH($C4507,'Paramètres'!$D:$D,0))&amp;"","")=IF($P4507=1,"Débit",$L4507)),-IF($P4507=1,-$K4507,$K4507),0))))</f>
        <v/>
      </c>
      <c r="U4507" s="6" t="str">
        <f>IF($K4507="","",IF(ISNUMBER(SEARCH("sortie-epargne",IFERROR(INDEX('Paramètres'!$N:$N,MATCH($D4507,'Paramètres'!$M:$M,0))&amp;"",""))),$K4507,0))</f>
        <v/>
      </c>
      <c r="V4507" s="6" t="str">
        <f>IF(AND($A4507&lt;&gt;"",$O4507=1,$L4507="Débit",N($Q4507)&gt;0,$A4507&gt;=Visualisation!$B$1,$A4507&lt;Visualisation!$D$1),MAX($V$1:V4506)+1,"")</f>
        <v/>
      </c>
    </row>
    <row r="4508" spans="1:22" x14ac:dyDescent="0.25">
      <c r="A4508" s="9"/>
      <c r="E4508" s="10"/>
      <c r="K4508" s="11" t="str">
        <f>IF($E4508="","",ROUND($E4508*IF(ISNA(MATCH($C4508,'Paramètres'!$D:$D,0)),1,IF(INDEX('Paramètres'!$J:$J,MATCH($C4508,'Paramètres'!$D:$D,0))="",1,INDEX('Paramètres'!$J:$J,MATCH($C4508,'Paramètres'!$D:$D,0)))),2))</f>
        <v/>
      </c>
      <c r="L4508" s="6" t="str">
        <f>IF($D4508="","",IF($F4508&lt;&gt;"",$F4508,IF(ISNA(MATCH($D4508,'Paramètres'!$M:$M,0)),"⚠ Type inconnu",IFERROR(INDEX('Paramètres'!$P:$P,MATCH($D4508,'Paramètres'!$M:$M,0))&amp;"",""))))</f>
        <v/>
      </c>
      <c r="M4508" s="6" t="str">
        <f>IF($D4508="","",IF(ISNA(MATCH($D4508,'Paramètres'!$M:$M,0)),"⚠ Type inconnu",IF($L4508="Crédit","",IFERROR(INDEX('Paramètres'!$O:$O,MATCH($D4508,'Paramètres'!$M:$M,0))&amp;"",""))))</f>
        <v/>
      </c>
      <c r="N4508" s="6" t="str">
        <f>IF($D4508="","",IFERROR(INDEX('Paramètres'!$Q:$Q,MATCH($D4508,'Paramètres'!$M:$M,0))&amp;"",""))</f>
        <v/>
      </c>
      <c r="O4508" s="6" t="str">
        <f>IF($A4508="","",IF(OR($J4508&lt;&gt;"x",$A4508&lt;=FinReleve),1,0))</f>
        <v/>
      </c>
      <c r="P4508" s="6" t="str">
        <f>IF($D4508="","",IF(AND($L4508="Crédit",OR(IFERROR(INDEX('Paramètres'!$O:$O,MATCH($D4508,'Paramètres'!$M:$M,0))&amp;"","")&lt;&gt;"",ISNUMBER(SEARCH("remboursement",IFERROR(INDEX('Paramètres'!$N:$N,MATCH($D4508,'Paramètres'!$M:$M,0))&amp;"",""))))),1,0))</f>
        <v/>
      </c>
      <c r="Q4508" s="6" t="str">
        <f>IF($K4508="","",IF(ISNUMBER(SEARCH("transfert-interne",IFERROR(INDEX('Paramètres'!$N:$N,MATCH($D4508,'Paramètres'!$M:$M,0))&amp;"",""))),0,IF($L4508="Débit",$K4508,IF($P4508=1,-$K4508,0))))</f>
        <v/>
      </c>
      <c r="R4508" s="6" t="str">
        <f>IF($K4508="","",IF($L4508="Crédit",$K4508,-$K4508))</f>
        <v/>
      </c>
      <c r="S4508" s="6" t="str">
        <f>IF($C4508="","",IFERROR(INDEX('Paramètres'!$H:$H,MATCH($C4508,'Paramètres'!$D:$D,0))&amp;"",""))</f>
        <v/>
      </c>
      <c r="T4508" s="6" t="str">
        <f>IF($K4508="","",IF($S4508="",0,IF(ISNUMBER(SEARCH("apport-exterieur",IFERROR(INDEX('Paramètres'!$N:$N,MATCH($D4508,'Paramètres'!$M:$M,0))&amp;"",""))),0,IF(OR(IFERROR(INDEX('Paramètres'!$I:$I,MATCH($C4508,'Paramètres'!$D:$D,0))&amp;"","")="Les deux",IFERROR(INDEX('Paramètres'!$I:$I,MATCH($C4508,'Paramètres'!$D:$D,0))&amp;"","")=IF($P4508=1,"Débit",$L4508)),-IF($P4508=1,-$K4508,$K4508),0))))</f>
        <v/>
      </c>
      <c r="U4508" s="6" t="str">
        <f>IF($K4508="","",IF(ISNUMBER(SEARCH("sortie-epargne",IFERROR(INDEX('Paramètres'!$N:$N,MATCH($D4508,'Paramètres'!$M:$M,0))&amp;"",""))),$K4508,0))</f>
        <v/>
      </c>
      <c r="V4508" s="6" t="str">
        <f>IF(AND($A4508&lt;&gt;"",$O4508=1,$L4508="Débit",N($Q4508)&gt;0,$A4508&gt;=Visualisation!$B$1,$A4508&lt;Visualisation!$D$1),MAX($V$1:V4507)+1,"")</f>
        <v/>
      </c>
    </row>
    <row r="4509" spans="1:22" x14ac:dyDescent="0.25">
      <c r="A4509" s="9"/>
      <c r="E4509" s="10"/>
      <c r="K4509" s="11" t="str">
        <f>IF($E4509="","",ROUND($E4509*IF(ISNA(MATCH($C4509,'Paramètres'!$D:$D,0)),1,IF(INDEX('Paramètres'!$J:$J,MATCH($C4509,'Paramètres'!$D:$D,0))="",1,INDEX('Paramètres'!$J:$J,MATCH($C4509,'Paramètres'!$D:$D,0)))),2))</f>
        <v/>
      </c>
      <c r="L4509" s="6" t="str">
        <f>IF($D4509="","",IF($F4509&lt;&gt;"",$F4509,IF(ISNA(MATCH($D4509,'Paramètres'!$M:$M,0)),"⚠ Type inconnu",IFERROR(INDEX('Paramètres'!$P:$P,MATCH($D4509,'Paramètres'!$M:$M,0))&amp;"",""))))</f>
        <v/>
      </c>
      <c r="M4509" s="6" t="str">
        <f>IF($D4509="","",IF(ISNA(MATCH($D4509,'Paramètres'!$M:$M,0)),"⚠ Type inconnu",IF($L4509="Crédit","",IFERROR(INDEX('Paramètres'!$O:$O,MATCH($D4509,'Paramètres'!$M:$M,0))&amp;"",""))))</f>
        <v/>
      </c>
      <c r="N4509" s="6" t="str">
        <f>IF($D4509="","",IFERROR(INDEX('Paramètres'!$Q:$Q,MATCH($D4509,'Paramètres'!$M:$M,0))&amp;"",""))</f>
        <v/>
      </c>
      <c r="O4509" s="6" t="str">
        <f>IF($A4509="","",IF(OR($J4509&lt;&gt;"x",$A4509&lt;=FinReleve),1,0))</f>
        <v/>
      </c>
      <c r="P4509" s="6" t="str">
        <f>IF($D4509="","",IF(AND($L4509="Crédit",OR(IFERROR(INDEX('Paramètres'!$O:$O,MATCH($D4509,'Paramètres'!$M:$M,0))&amp;"","")&lt;&gt;"",ISNUMBER(SEARCH("remboursement",IFERROR(INDEX('Paramètres'!$N:$N,MATCH($D4509,'Paramètres'!$M:$M,0))&amp;"",""))))),1,0))</f>
        <v/>
      </c>
      <c r="Q4509" s="6" t="str">
        <f>IF($K4509="","",IF(ISNUMBER(SEARCH("transfert-interne",IFERROR(INDEX('Paramètres'!$N:$N,MATCH($D4509,'Paramètres'!$M:$M,0))&amp;"",""))),0,IF($L4509="Débit",$K4509,IF($P4509=1,-$K4509,0))))</f>
        <v/>
      </c>
      <c r="R4509" s="6" t="str">
        <f>IF($K4509="","",IF($L4509="Crédit",$K4509,-$K4509))</f>
        <v/>
      </c>
      <c r="S4509" s="6" t="str">
        <f>IF($C4509="","",IFERROR(INDEX('Paramètres'!$H:$H,MATCH($C4509,'Paramètres'!$D:$D,0))&amp;"",""))</f>
        <v/>
      </c>
      <c r="T4509" s="6" t="str">
        <f>IF($K4509="","",IF($S4509="",0,IF(ISNUMBER(SEARCH("apport-exterieur",IFERROR(INDEX('Paramètres'!$N:$N,MATCH($D4509,'Paramètres'!$M:$M,0))&amp;"",""))),0,IF(OR(IFERROR(INDEX('Paramètres'!$I:$I,MATCH($C4509,'Paramètres'!$D:$D,0))&amp;"","")="Les deux",IFERROR(INDEX('Paramètres'!$I:$I,MATCH($C4509,'Paramètres'!$D:$D,0))&amp;"","")=IF($P4509=1,"Débit",$L4509)),-IF($P4509=1,-$K4509,$K4509),0))))</f>
        <v/>
      </c>
      <c r="U4509" s="6" t="str">
        <f>IF($K4509="","",IF(ISNUMBER(SEARCH("sortie-epargne",IFERROR(INDEX('Paramètres'!$N:$N,MATCH($D4509,'Paramètres'!$M:$M,0))&amp;"",""))),$K4509,0))</f>
        <v/>
      </c>
      <c r="V4509" s="6" t="str">
        <f>IF(AND($A4509&lt;&gt;"",$O4509=1,$L4509="Débit",N($Q4509)&gt;0,$A4509&gt;=Visualisation!$B$1,$A4509&lt;Visualisation!$D$1),MAX($V$1:V4508)+1,"")</f>
        <v/>
      </c>
    </row>
    <row r="4510" spans="1:22" x14ac:dyDescent="0.25">
      <c r="A4510" s="9"/>
      <c r="E4510" s="10"/>
      <c r="K4510" s="11" t="str">
        <f>IF($E4510="","",ROUND($E4510*IF(ISNA(MATCH($C4510,'Paramètres'!$D:$D,0)),1,IF(INDEX('Paramètres'!$J:$J,MATCH($C4510,'Paramètres'!$D:$D,0))="",1,INDEX('Paramètres'!$J:$J,MATCH($C4510,'Paramètres'!$D:$D,0)))),2))</f>
        <v/>
      </c>
      <c r="L4510" s="6" t="str">
        <f>IF($D4510="","",IF($F4510&lt;&gt;"",$F4510,IF(ISNA(MATCH($D4510,'Paramètres'!$M:$M,0)),"⚠ Type inconnu",IFERROR(INDEX('Paramètres'!$P:$P,MATCH($D4510,'Paramètres'!$M:$M,0))&amp;"",""))))</f>
        <v/>
      </c>
      <c r="M4510" s="6" t="str">
        <f>IF($D4510="","",IF(ISNA(MATCH($D4510,'Paramètres'!$M:$M,0)),"⚠ Type inconnu",IF($L4510="Crédit","",IFERROR(INDEX('Paramètres'!$O:$O,MATCH($D4510,'Paramètres'!$M:$M,0))&amp;"",""))))</f>
        <v/>
      </c>
      <c r="N4510" s="6" t="str">
        <f>IF($D4510="","",IFERROR(INDEX('Paramètres'!$Q:$Q,MATCH($D4510,'Paramètres'!$M:$M,0))&amp;"",""))</f>
        <v/>
      </c>
      <c r="O4510" s="6" t="str">
        <f>IF($A4510="","",IF(OR($J4510&lt;&gt;"x",$A4510&lt;=FinReleve),1,0))</f>
        <v/>
      </c>
      <c r="P4510" s="6" t="str">
        <f>IF($D4510="","",IF(AND($L4510="Crédit",OR(IFERROR(INDEX('Paramètres'!$O:$O,MATCH($D4510,'Paramètres'!$M:$M,0))&amp;"","")&lt;&gt;"",ISNUMBER(SEARCH("remboursement",IFERROR(INDEX('Paramètres'!$N:$N,MATCH($D4510,'Paramètres'!$M:$M,0))&amp;"",""))))),1,0))</f>
        <v/>
      </c>
      <c r="Q4510" s="6" t="str">
        <f>IF($K4510="","",IF(ISNUMBER(SEARCH("transfert-interne",IFERROR(INDEX('Paramètres'!$N:$N,MATCH($D4510,'Paramètres'!$M:$M,0))&amp;"",""))),0,IF($L4510="Débit",$K4510,IF($P4510=1,-$K4510,0))))</f>
        <v/>
      </c>
      <c r="R4510" s="6" t="str">
        <f>IF($K4510="","",IF($L4510="Crédit",$K4510,-$K4510))</f>
        <v/>
      </c>
      <c r="S4510" s="6" t="str">
        <f>IF($C4510="","",IFERROR(INDEX('Paramètres'!$H:$H,MATCH($C4510,'Paramètres'!$D:$D,0))&amp;"",""))</f>
        <v/>
      </c>
      <c r="T4510" s="6" t="str">
        <f>IF($K4510="","",IF($S4510="",0,IF(ISNUMBER(SEARCH("apport-exterieur",IFERROR(INDEX('Paramètres'!$N:$N,MATCH($D4510,'Paramètres'!$M:$M,0))&amp;"",""))),0,IF(OR(IFERROR(INDEX('Paramètres'!$I:$I,MATCH($C4510,'Paramètres'!$D:$D,0))&amp;"","")="Les deux",IFERROR(INDEX('Paramètres'!$I:$I,MATCH($C4510,'Paramètres'!$D:$D,0))&amp;"","")=IF($P4510=1,"Débit",$L4510)),-IF($P4510=1,-$K4510,$K4510),0))))</f>
        <v/>
      </c>
      <c r="U4510" s="6" t="str">
        <f>IF($K4510="","",IF(ISNUMBER(SEARCH("sortie-epargne",IFERROR(INDEX('Paramètres'!$N:$N,MATCH($D4510,'Paramètres'!$M:$M,0))&amp;"",""))),$K4510,0))</f>
        <v/>
      </c>
      <c r="V4510" s="6" t="str">
        <f>IF(AND($A4510&lt;&gt;"",$O4510=1,$L4510="Débit",N($Q4510)&gt;0,$A4510&gt;=Visualisation!$B$1,$A4510&lt;Visualisation!$D$1),MAX($V$1:V4509)+1,"")</f>
        <v/>
      </c>
    </row>
    <row r="4511" spans="1:22" x14ac:dyDescent="0.25">
      <c r="A4511" s="9"/>
      <c r="E4511" s="10"/>
      <c r="K4511" s="11" t="str">
        <f>IF($E4511="","",ROUND($E4511*IF(ISNA(MATCH($C4511,'Paramètres'!$D:$D,0)),1,IF(INDEX('Paramètres'!$J:$J,MATCH($C4511,'Paramètres'!$D:$D,0))="",1,INDEX('Paramètres'!$J:$J,MATCH($C4511,'Paramètres'!$D:$D,0)))),2))</f>
        <v/>
      </c>
      <c r="L4511" s="6" t="str">
        <f>IF($D4511="","",IF($F4511&lt;&gt;"",$F4511,IF(ISNA(MATCH($D4511,'Paramètres'!$M:$M,0)),"⚠ Type inconnu",IFERROR(INDEX('Paramètres'!$P:$P,MATCH($D4511,'Paramètres'!$M:$M,0))&amp;"",""))))</f>
        <v/>
      </c>
      <c r="M4511" s="6" t="str">
        <f>IF($D4511="","",IF(ISNA(MATCH($D4511,'Paramètres'!$M:$M,0)),"⚠ Type inconnu",IF($L4511="Crédit","",IFERROR(INDEX('Paramètres'!$O:$O,MATCH($D4511,'Paramètres'!$M:$M,0))&amp;"",""))))</f>
        <v/>
      </c>
      <c r="N4511" s="6" t="str">
        <f>IF($D4511="","",IFERROR(INDEX('Paramètres'!$Q:$Q,MATCH($D4511,'Paramètres'!$M:$M,0))&amp;"",""))</f>
        <v/>
      </c>
      <c r="O4511" s="6" t="str">
        <f>IF($A4511="","",IF(OR($J4511&lt;&gt;"x",$A4511&lt;=FinReleve),1,0))</f>
        <v/>
      </c>
      <c r="P4511" s="6" t="str">
        <f>IF($D4511="","",IF(AND($L4511="Crédit",OR(IFERROR(INDEX('Paramètres'!$O:$O,MATCH($D4511,'Paramètres'!$M:$M,0))&amp;"","")&lt;&gt;"",ISNUMBER(SEARCH("remboursement",IFERROR(INDEX('Paramètres'!$N:$N,MATCH($D4511,'Paramètres'!$M:$M,0))&amp;"",""))))),1,0))</f>
        <v/>
      </c>
      <c r="Q4511" s="6" t="str">
        <f>IF($K4511="","",IF(ISNUMBER(SEARCH("transfert-interne",IFERROR(INDEX('Paramètres'!$N:$N,MATCH($D4511,'Paramètres'!$M:$M,0))&amp;"",""))),0,IF($L4511="Débit",$K4511,IF($P4511=1,-$K4511,0))))</f>
        <v/>
      </c>
      <c r="R4511" s="6" t="str">
        <f>IF($K4511="","",IF($L4511="Crédit",$K4511,-$K4511))</f>
        <v/>
      </c>
      <c r="S4511" s="6" t="str">
        <f>IF($C4511="","",IFERROR(INDEX('Paramètres'!$H:$H,MATCH($C4511,'Paramètres'!$D:$D,0))&amp;"",""))</f>
        <v/>
      </c>
      <c r="T4511" s="6" t="str">
        <f>IF($K4511="","",IF($S4511="",0,IF(ISNUMBER(SEARCH("apport-exterieur",IFERROR(INDEX('Paramètres'!$N:$N,MATCH($D4511,'Paramètres'!$M:$M,0))&amp;"",""))),0,IF(OR(IFERROR(INDEX('Paramètres'!$I:$I,MATCH($C4511,'Paramètres'!$D:$D,0))&amp;"","")="Les deux",IFERROR(INDEX('Paramètres'!$I:$I,MATCH($C4511,'Paramètres'!$D:$D,0))&amp;"","")=IF($P4511=1,"Débit",$L4511)),-IF($P4511=1,-$K4511,$K4511),0))))</f>
        <v/>
      </c>
      <c r="U4511" s="6" t="str">
        <f>IF($K4511="","",IF(ISNUMBER(SEARCH("sortie-epargne",IFERROR(INDEX('Paramètres'!$N:$N,MATCH($D4511,'Paramètres'!$M:$M,0))&amp;"",""))),$K4511,0))</f>
        <v/>
      </c>
      <c r="V4511" s="6" t="str">
        <f>IF(AND($A4511&lt;&gt;"",$O4511=1,$L4511="Débit",N($Q4511)&gt;0,$A4511&gt;=Visualisation!$B$1,$A4511&lt;Visualisation!$D$1),MAX($V$1:V4510)+1,"")</f>
        <v/>
      </c>
    </row>
    <row r="4512" spans="1:22" x14ac:dyDescent="0.25">
      <c r="A4512" s="9"/>
      <c r="E4512" s="10"/>
      <c r="K4512" s="11" t="str">
        <f>IF($E4512="","",ROUND($E4512*IF(ISNA(MATCH($C4512,'Paramètres'!$D:$D,0)),1,IF(INDEX('Paramètres'!$J:$J,MATCH($C4512,'Paramètres'!$D:$D,0))="",1,INDEX('Paramètres'!$J:$J,MATCH($C4512,'Paramètres'!$D:$D,0)))),2))</f>
        <v/>
      </c>
      <c r="L4512" s="6" t="str">
        <f>IF($D4512="","",IF($F4512&lt;&gt;"",$F4512,IF(ISNA(MATCH($D4512,'Paramètres'!$M:$M,0)),"⚠ Type inconnu",IFERROR(INDEX('Paramètres'!$P:$P,MATCH($D4512,'Paramètres'!$M:$M,0))&amp;"",""))))</f>
        <v/>
      </c>
      <c r="M4512" s="6" t="str">
        <f>IF($D4512="","",IF(ISNA(MATCH($D4512,'Paramètres'!$M:$M,0)),"⚠ Type inconnu",IF($L4512="Crédit","",IFERROR(INDEX('Paramètres'!$O:$O,MATCH($D4512,'Paramètres'!$M:$M,0))&amp;"",""))))</f>
        <v/>
      </c>
      <c r="N4512" s="6" t="str">
        <f>IF($D4512="","",IFERROR(INDEX('Paramètres'!$Q:$Q,MATCH($D4512,'Paramètres'!$M:$M,0))&amp;"",""))</f>
        <v/>
      </c>
      <c r="O4512" s="6" t="str">
        <f>IF($A4512="","",IF(OR($J4512&lt;&gt;"x",$A4512&lt;=FinReleve),1,0))</f>
        <v/>
      </c>
      <c r="P4512" s="6" t="str">
        <f>IF($D4512="","",IF(AND($L4512="Crédit",OR(IFERROR(INDEX('Paramètres'!$O:$O,MATCH($D4512,'Paramètres'!$M:$M,0))&amp;"","")&lt;&gt;"",ISNUMBER(SEARCH("remboursement",IFERROR(INDEX('Paramètres'!$N:$N,MATCH($D4512,'Paramètres'!$M:$M,0))&amp;"",""))))),1,0))</f>
        <v/>
      </c>
      <c r="Q4512" s="6" t="str">
        <f>IF($K4512="","",IF(ISNUMBER(SEARCH("transfert-interne",IFERROR(INDEX('Paramètres'!$N:$N,MATCH($D4512,'Paramètres'!$M:$M,0))&amp;"",""))),0,IF($L4512="Débit",$K4512,IF($P4512=1,-$K4512,0))))</f>
        <v/>
      </c>
      <c r="R4512" s="6" t="str">
        <f>IF($K4512="","",IF($L4512="Crédit",$K4512,-$K4512))</f>
        <v/>
      </c>
      <c r="S4512" s="6" t="str">
        <f>IF($C4512="","",IFERROR(INDEX('Paramètres'!$H:$H,MATCH($C4512,'Paramètres'!$D:$D,0))&amp;"",""))</f>
        <v/>
      </c>
      <c r="T4512" s="6" t="str">
        <f>IF($K4512="","",IF($S4512="",0,IF(ISNUMBER(SEARCH("apport-exterieur",IFERROR(INDEX('Paramètres'!$N:$N,MATCH($D4512,'Paramètres'!$M:$M,0))&amp;"",""))),0,IF(OR(IFERROR(INDEX('Paramètres'!$I:$I,MATCH($C4512,'Paramètres'!$D:$D,0))&amp;"","")="Les deux",IFERROR(INDEX('Paramètres'!$I:$I,MATCH($C4512,'Paramètres'!$D:$D,0))&amp;"","")=IF($P4512=1,"Débit",$L4512)),-IF($P4512=1,-$K4512,$K4512),0))))</f>
        <v/>
      </c>
      <c r="U4512" s="6" t="str">
        <f>IF($K4512="","",IF(ISNUMBER(SEARCH("sortie-epargne",IFERROR(INDEX('Paramètres'!$N:$N,MATCH($D4512,'Paramètres'!$M:$M,0))&amp;"",""))),$K4512,0))</f>
        <v/>
      </c>
      <c r="V4512" s="6" t="str">
        <f>IF(AND($A4512&lt;&gt;"",$O4512=1,$L4512="Débit",N($Q4512)&gt;0,$A4512&gt;=Visualisation!$B$1,$A4512&lt;Visualisation!$D$1),MAX($V$1:V4511)+1,"")</f>
        <v/>
      </c>
    </row>
    <row r="4513" spans="1:22" x14ac:dyDescent="0.25">
      <c r="A4513" s="9"/>
      <c r="E4513" s="10"/>
      <c r="K4513" s="11" t="str">
        <f>IF($E4513="","",ROUND($E4513*IF(ISNA(MATCH($C4513,'Paramètres'!$D:$D,0)),1,IF(INDEX('Paramètres'!$J:$J,MATCH($C4513,'Paramètres'!$D:$D,0))="",1,INDEX('Paramètres'!$J:$J,MATCH($C4513,'Paramètres'!$D:$D,0)))),2))</f>
        <v/>
      </c>
      <c r="L4513" s="6" t="str">
        <f>IF($D4513="","",IF($F4513&lt;&gt;"",$F4513,IF(ISNA(MATCH($D4513,'Paramètres'!$M:$M,0)),"⚠ Type inconnu",IFERROR(INDEX('Paramètres'!$P:$P,MATCH($D4513,'Paramètres'!$M:$M,0))&amp;"",""))))</f>
        <v/>
      </c>
      <c r="M4513" s="6" t="str">
        <f>IF($D4513="","",IF(ISNA(MATCH($D4513,'Paramètres'!$M:$M,0)),"⚠ Type inconnu",IF($L4513="Crédit","",IFERROR(INDEX('Paramètres'!$O:$O,MATCH($D4513,'Paramètres'!$M:$M,0))&amp;"",""))))</f>
        <v/>
      </c>
      <c r="N4513" s="6" t="str">
        <f>IF($D4513="","",IFERROR(INDEX('Paramètres'!$Q:$Q,MATCH($D4513,'Paramètres'!$M:$M,0))&amp;"",""))</f>
        <v/>
      </c>
      <c r="O4513" s="6" t="str">
        <f>IF($A4513="","",IF(OR($J4513&lt;&gt;"x",$A4513&lt;=FinReleve),1,0))</f>
        <v/>
      </c>
      <c r="P4513" s="6" t="str">
        <f>IF($D4513="","",IF(AND($L4513="Crédit",OR(IFERROR(INDEX('Paramètres'!$O:$O,MATCH($D4513,'Paramètres'!$M:$M,0))&amp;"","")&lt;&gt;"",ISNUMBER(SEARCH("remboursement",IFERROR(INDEX('Paramètres'!$N:$N,MATCH($D4513,'Paramètres'!$M:$M,0))&amp;"",""))))),1,0))</f>
        <v/>
      </c>
      <c r="Q4513" s="6" t="str">
        <f>IF($K4513="","",IF(ISNUMBER(SEARCH("transfert-interne",IFERROR(INDEX('Paramètres'!$N:$N,MATCH($D4513,'Paramètres'!$M:$M,0))&amp;"",""))),0,IF($L4513="Débit",$K4513,IF($P4513=1,-$K4513,0))))</f>
        <v/>
      </c>
      <c r="R4513" s="6" t="str">
        <f>IF($K4513="","",IF($L4513="Crédit",$K4513,-$K4513))</f>
        <v/>
      </c>
      <c r="S4513" s="6" t="str">
        <f>IF($C4513="","",IFERROR(INDEX('Paramètres'!$H:$H,MATCH($C4513,'Paramètres'!$D:$D,0))&amp;"",""))</f>
        <v/>
      </c>
      <c r="T4513" s="6" t="str">
        <f>IF($K4513="","",IF($S4513="",0,IF(ISNUMBER(SEARCH("apport-exterieur",IFERROR(INDEX('Paramètres'!$N:$N,MATCH($D4513,'Paramètres'!$M:$M,0))&amp;"",""))),0,IF(OR(IFERROR(INDEX('Paramètres'!$I:$I,MATCH($C4513,'Paramètres'!$D:$D,0))&amp;"","")="Les deux",IFERROR(INDEX('Paramètres'!$I:$I,MATCH($C4513,'Paramètres'!$D:$D,0))&amp;"","")=IF($P4513=1,"Débit",$L4513)),-IF($P4513=1,-$K4513,$K4513),0))))</f>
        <v/>
      </c>
      <c r="U4513" s="6" t="str">
        <f>IF($K4513="","",IF(ISNUMBER(SEARCH("sortie-epargne",IFERROR(INDEX('Paramètres'!$N:$N,MATCH($D4513,'Paramètres'!$M:$M,0))&amp;"",""))),$K4513,0))</f>
        <v/>
      </c>
      <c r="V4513" s="6" t="str">
        <f>IF(AND($A4513&lt;&gt;"",$O4513=1,$L4513="Débit",N($Q4513)&gt;0,$A4513&gt;=Visualisation!$B$1,$A4513&lt;Visualisation!$D$1),MAX($V$1:V4512)+1,"")</f>
        <v/>
      </c>
    </row>
    <row r="4514" spans="1:22" x14ac:dyDescent="0.25">
      <c r="A4514" s="9"/>
      <c r="E4514" s="10"/>
      <c r="K4514" s="11" t="str">
        <f>IF($E4514="","",ROUND($E4514*IF(ISNA(MATCH($C4514,'Paramètres'!$D:$D,0)),1,IF(INDEX('Paramètres'!$J:$J,MATCH($C4514,'Paramètres'!$D:$D,0))="",1,INDEX('Paramètres'!$J:$J,MATCH($C4514,'Paramètres'!$D:$D,0)))),2))</f>
        <v/>
      </c>
      <c r="L4514" s="6" t="str">
        <f>IF($D4514="","",IF($F4514&lt;&gt;"",$F4514,IF(ISNA(MATCH($D4514,'Paramètres'!$M:$M,0)),"⚠ Type inconnu",IFERROR(INDEX('Paramètres'!$P:$P,MATCH($D4514,'Paramètres'!$M:$M,0))&amp;"",""))))</f>
        <v/>
      </c>
      <c r="M4514" s="6" t="str">
        <f>IF($D4514="","",IF(ISNA(MATCH($D4514,'Paramètres'!$M:$M,0)),"⚠ Type inconnu",IF($L4514="Crédit","",IFERROR(INDEX('Paramètres'!$O:$O,MATCH($D4514,'Paramètres'!$M:$M,0))&amp;"",""))))</f>
        <v/>
      </c>
      <c r="N4514" s="6" t="str">
        <f>IF($D4514="","",IFERROR(INDEX('Paramètres'!$Q:$Q,MATCH($D4514,'Paramètres'!$M:$M,0))&amp;"",""))</f>
        <v/>
      </c>
      <c r="O4514" s="6" t="str">
        <f>IF($A4514="","",IF(OR($J4514&lt;&gt;"x",$A4514&lt;=FinReleve),1,0))</f>
        <v/>
      </c>
      <c r="P4514" s="6" t="str">
        <f>IF($D4514="","",IF(AND($L4514="Crédit",OR(IFERROR(INDEX('Paramètres'!$O:$O,MATCH($D4514,'Paramètres'!$M:$M,0))&amp;"","")&lt;&gt;"",ISNUMBER(SEARCH("remboursement",IFERROR(INDEX('Paramètres'!$N:$N,MATCH($D4514,'Paramètres'!$M:$M,0))&amp;"",""))))),1,0))</f>
        <v/>
      </c>
      <c r="Q4514" s="6" t="str">
        <f>IF($K4514="","",IF(ISNUMBER(SEARCH("transfert-interne",IFERROR(INDEX('Paramètres'!$N:$N,MATCH($D4514,'Paramètres'!$M:$M,0))&amp;"",""))),0,IF($L4514="Débit",$K4514,IF($P4514=1,-$K4514,0))))</f>
        <v/>
      </c>
      <c r="R4514" s="6" t="str">
        <f>IF($K4514="","",IF($L4514="Crédit",$K4514,-$K4514))</f>
        <v/>
      </c>
      <c r="S4514" s="6" t="str">
        <f>IF($C4514="","",IFERROR(INDEX('Paramètres'!$H:$H,MATCH($C4514,'Paramètres'!$D:$D,0))&amp;"",""))</f>
        <v/>
      </c>
      <c r="T4514" s="6" t="str">
        <f>IF($K4514="","",IF($S4514="",0,IF(ISNUMBER(SEARCH("apport-exterieur",IFERROR(INDEX('Paramètres'!$N:$N,MATCH($D4514,'Paramètres'!$M:$M,0))&amp;"",""))),0,IF(OR(IFERROR(INDEX('Paramètres'!$I:$I,MATCH($C4514,'Paramètres'!$D:$D,0))&amp;"","")="Les deux",IFERROR(INDEX('Paramètres'!$I:$I,MATCH($C4514,'Paramètres'!$D:$D,0))&amp;"","")=IF($P4514=1,"Débit",$L4514)),-IF($P4514=1,-$K4514,$K4514),0))))</f>
        <v/>
      </c>
      <c r="U4514" s="6" t="str">
        <f>IF($K4514="","",IF(ISNUMBER(SEARCH("sortie-epargne",IFERROR(INDEX('Paramètres'!$N:$N,MATCH($D4514,'Paramètres'!$M:$M,0))&amp;"",""))),$K4514,0))</f>
        <v/>
      </c>
      <c r="V4514" s="6" t="str">
        <f>IF(AND($A4514&lt;&gt;"",$O4514=1,$L4514="Débit",N($Q4514)&gt;0,$A4514&gt;=Visualisation!$B$1,$A4514&lt;Visualisation!$D$1),MAX($V$1:V4513)+1,"")</f>
        <v/>
      </c>
    </row>
    <row r="4515" spans="1:22" x14ac:dyDescent="0.25">
      <c r="A4515" s="9"/>
      <c r="E4515" s="10"/>
      <c r="K4515" s="11" t="str">
        <f>IF($E4515="","",ROUND($E4515*IF(ISNA(MATCH($C4515,'Paramètres'!$D:$D,0)),1,IF(INDEX('Paramètres'!$J:$J,MATCH($C4515,'Paramètres'!$D:$D,0))="",1,INDEX('Paramètres'!$J:$J,MATCH($C4515,'Paramètres'!$D:$D,0)))),2))</f>
        <v/>
      </c>
      <c r="L4515" s="6" t="str">
        <f>IF($D4515="","",IF($F4515&lt;&gt;"",$F4515,IF(ISNA(MATCH($D4515,'Paramètres'!$M:$M,0)),"⚠ Type inconnu",IFERROR(INDEX('Paramètres'!$P:$P,MATCH($D4515,'Paramètres'!$M:$M,0))&amp;"",""))))</f>
        <v/>
      </c>
      <c r="M4515" s="6" t="str">
        <f>IF($D4515="","",IF(ISNA(MATCH($D4515,'Paramètres'!$M:$M,0)),"⚠ Type inconnu",IF($L4515="Crédit","",IFERROR(INDEX('Paramètres'!$O:$O,MATCH($D4515,'Paramètres'!$M:$M,0))&amp;"",""))))</f>
        <v/>
      </c>
      <c r="N4515" s="6" t="str">
        <f>IF($D4515="","",IFERROR(INDEX('Paramètres'!$Q:$Q,MATCH($D4515,'Paramètres'!$M:$M,0))&amp;"",""))</f>
        <v/>
      </c>
      <c r="O4515" s="6" t="str">
        <f>IF($A4515="","",IF(OR($J4515&lt;&gt;"x",$A4515&lt;=FinReleve),1,0))</f>
        <v/>
      </c>
      <c r="P4515" s="6" t="str">
        <f>IF($D4515="","",IF(AND($L4515="Crédit",OR(IFERROR(INDEX('Paramètres'!$O:$O,MATCH($D4515,'Paramètres'!$M:$M,0))&amp;"","")&lt;&gt;"",ISNUMBER(SEARCH("remboursement",IFERROR(INDEX('Paramètres'!$N:$N,MATCH($D4515,'Paramètres'!$M:$M,0))&amp;"",""))))),1,0))</f>
        <v/>
      </c>
      <c r="Q4515" s="6" t="str">
        <f>IF($K4515="","",IF(ISNUMBER(SEARCH("transfert-interne",IFERROR(INDEX('Paramètres'!$N:$N,MATCH($D4515,'Paramètres'!$M:$M,0))&amp;"",""))),0,IF($L4515="Débit",$K4515,IF($P4515=1,-$K4515,0))))</f>
        <v/>
      </c>
      <c r="R4515" s="6" t="str">
        <f>IF($K4515="","",IF($L4515="Crédit",$K4515,-$K4515))</f>
        <v/>
      </c>
      <c r="S4515" s="6" t="str">
        <f>IF($C4515="","",IFERROR(INDEX('Paramètres'!$H:$H,MATCH($C4515,'Paramètres'!$D:$D,0))&amp;"",""))</f>
        <v/>
      </c>
      <c r="T4515" s="6" t="str">
        <f>IF($K4515="","",IF($S4515="",0,IF(ISNUMBER(SEARCH("apport-exterieur",IFERROR(INDEX('Paramètres'!$N:$N,MATCH($D4515,'Paramètres'!$M:$M,0))&amp;"",""))),0,IF(OR(IFERROR(INDEX('Paramètres'!$I:$I,MATCH($C4515,'Paramètres'!$D:$D,0))&amp;"","")="Les deux",IFERROR(INDEX('Paramètres'!$I:$I,MATCH($C4515,'Paramètres'!$D:$D,0))&amp;"","")=IF($P4515=1,"Débit",$L4515)),-IF($P4515=1,-$K4515,$K4515),0))))</f>
        <v/>
      </c>
      <c r="U4515" s="6" t="str">
        <f>IF($K4515="","",IF(ISNUMBER(SEARCH("sortie-epargne",IFERROR(INDEX('Paramètres'!$N:$N,MATCH($D4515,'Paramètres'!$M:$M,0))&amp;"",""))),$K4515,0))</f>
        <v/>
      </c>
      <c r="V4515" s="6" t="str">
        <f>IF(AND($A4515&lt;&gt;"",$O4515=1,$L4515="Débit",N($Q4515)&gt;0,$A4515&gt;=Visualisation!$B$1,$A4515&lt;Visualisation!$D$1),MAX($V$1:V4514)+1,"")</f>
        <v/>
      </c>
    </row>
    <row r="4516" spans="1:22" x14ac:dyDescent="0.25">
      <c r="A4516" s="9"/>
      <c r="E4516" s="10"/>
      <c r="K4516" s="11" t="str">
        <f>IF($E4516="","",ROUND($E4516*IF(ISNA(MATCH($C4516,'Paramètres'!$D:$D,0)),1,IF(INDEX('Paramètres'!$J:$J,MATCH($C4516,'Paramètres'!$D:$D,0))="",1,INDEX('Paramètres'!$J:$J,MATCH($C4516,'Paramètres'!$D:$D,0)))),2))</f>
        <v/>
      </c>
      <c r="L4516" s="6" t="str">
        <f>IF($D4516="","",IF($F4516&lt;&gt;"",$F4516,IF(ISNA(MATCH($D4516,'Paramètres'!$M:$M,0)),"⚠ Type inconnu",IFERROR(INDEX('Paramètres'!$P:$P,MATCH($D4516,'Paramètres'!$M:$M,0))&amp;"",""))))</f>
        <v/>
      </c>
      <c r="M4516" s="6" t="str">
        <f>IF($D4516="","",IF(ISNA(MATCH($D4516,'Paramètres'!$M:$M,0)),"⚠ Type inconnu",IF($L4516="Crédit","",IFERROR(INDEX('Paramètres'!$O:$O,MATCH($D4516,'Paramètres'!$M:$M,0))&amp;"",""))))</f>
        <v/>
      </c>
      <c r="N4516" s="6" t="str">
        <f>IF($D4516="","",IFERROR(INDEX('Paramètres'!$Q:$Q,MATCH($D4516,'Paramètres'!$M:$M,0))&amp;"",""))</f>
        <v/>
      </c>
      <c r="O4516" s="6" t="str">
        <f>IF($A4516="","",IF(OR($J4516&lt;&gt;"x",$A4516&lt;=FinReleve),1,0))</f>
        <v/>
      </c>
      <c r="P4516" s="6" t="str">
        <f>IF($D4516="","",IF(AND($L4516="Crédit",OR(IFERROR(INDEX('Paramètres'!$O:$O,MATCH($D4516,'Paramètres'!$M:$M,0))&amp;"","")&lt;&gt;"",ISNUMBER(SEARCH("remboursement",IFERROR(INDEX('Paramètres'!$N:$N,MATCH($D4516,'Paramètres'!$M:$M,0))&amp;"",""))))),1,0))</f>
        <v/>
      </c>
      <c r="Q4516" s="6" t="str">
        <f>IF($K4516="","",IF(ISNUMBER(SEARCH("transfert-interne",IFERROR(INDEX('Paramètres'!$N:$N,MATCH($D4516,'Paramètres'!$M:$M,0))&amp;"",""))),0,IF($L4516="Débit",$K4516,IF($P4516=1,-$K4516,0))))</f>
        <v/>
      </c>
      <c r="R4516" s="6" t="str">
        <f>IF($K4516="","",IF($L4516="Crédit",$K4516,-$K4516))</f>
        <v/>
      </c>
      <c r="S4516" s="6" t="str">
        <f>IF($C4516="","",IFERROR(INDEX('Paramètres'!$H:$H,MATCH($C4516,'Paramètres'!$D:$D,0))&amp;"",""))</f>
        <v/>
      </c>
      <c r="T4516" s="6" t="str">
        <f>IF($K4516="","",IF($S4516="",0,IF(ISNUMBER(SEARCH("apport-exterieur",IFERROR(INDEX('Paramètres'!$N:$N,MATCH($D4516,'Paramètres'!$M:$M,0))&amp;"",""))),0,IF(OR(IFERROR(INDEX('Paramètres'!$I:$I,MATCH($C4516,'Paramètres'!$D:$D,0))&amp;"","")="Les deux",IFERROR(INDEX('Paramètres'!$I:$I,MATCH($C4516,'Paramètres'!$D:$D,0))&amp;"","")=IF($P4516=1,"Débit",$L4516)),-IF($P4516=1,-$K4516,$K4516),0))))</f>
        <v/>
      </c>
      <c r="U4516" s="6" t="str">
        <f>IF($K4516="","",IF(ISNUMBER(SEARCH("sortie-epargne",IFERROR(INDEX('Paramètres'!$N:$N,MATCH($D4516,'Paramètres'!$M:$M,0))&amp;"",""))),$K4516,0))</f>
        <v/>
      </c>
      <c r="V4516" s="6" t="str">
        <f>IF(AND($A4516&lt;&gt;"",$O4516=1,$L4516="Débit",N($Q4516)&gt;0,$A4516&gt;=Visualisation!$B$1,$A4516&lt;Visualisation!$D$1),MAX($V$1:V4515)+1,"")</f>
        <v/>
      </c>
    </row>
    <row r="4517" spans="1:22" x14ac:dyDescent="0.25">
      <c r="A4517" s="9"/>
      <c r="E4517" s="10"/>
      <c r="K4517" s="11" t="str">
        <f>IF($E4517="","",ROUND($E4517*IF(ISNA(MATCH($C4517,'Paramètres'!$D:$D,0)),1,IF(INDEX('Paramètres'!$J:$J,MATCH($C4517,'Paramètres'!$D:$D,0))="",1,INDEX('Paramètres'!$J:$J,MATCH($C4517,'Paramètres'!$D:$D,0)))),2))</f>
        <v/>
      </c>
      <c r="L4517" s="6" t="str">
        <f>IF($D4517="","",IF($F4517&lt;&gt;"",$F4517,IF(ISNA(MATCH($D4517,'Paramètres'!$M:$M,0)),"⚠ Type inconnu",IFERROR(INDEX('Paramètres'!$P:$P,MATCH($D4517,'Paramètres'!$M:$M,0))&amp;"",""))))</f>
        <v/>
      </c>
      <c r="M4517" s="6" t="str">
        <f>IF($D4517="","",IF(ISNA(MATCH($D4517,'Paramètres'!$M:$M,0)),"⚠ Type inconnu",IF($L4517="Crédit","",IFERROR(INDEX('Paramètres'!$O:$O,MATCH($D4517,'Paramètres'!$M:$M,0))&amp;"",""))))</f>
        <v/>
      </c>
      <c r="N4517" s="6" t="str">
        <f>IF($D4517="","",IFERROR(INDEX('Paramètres'!$Q:$Q,MATCH($D4517,'Paramètres'!$M:$M,0))&amp;"",""))</f>
        <v/>
      </c>
      <c r="O4517" s="6" t="str">
        <f>IF($A4517="","",IF(OR($J4517&lt;&gt;"x",$A4517&lt;=FinReleve),1,0))</f>
        <v/>
      </c>
      <c r="P4517" s="6" t="str">
        <f>IF($D4517="","",IF(AND($L4517="Crédit",OR(IFERROR(INDEX('Paramètres'!$O:$O,MATCH($D4517,'Paramètres'!$M:$M,0))&amp;"","")&lt;&gt;"",ISNUMBER(SEARCH("remboursement",IFERROR(INDEX('Paramètres'!$N:$N,MATCH($D4517,'Paramètres'!$M:$M,0))&amp;"",""))))),1,0))</f>
        <v/>
      </c>
      <c r="Q4517" s="6" t="str">
        <f>IF($K4517="","",IF(ISNUMBER(SEARCH("transfert-interne",IFERROR(INDEX('Paramètres'!$N:$N,MATCH($D4517,'Paramètres'!$M:$M,0))&amp;"",""))),0,IF($L4517="Débit",$K4517,IF($P4517=1,-$K4517,0))))</f>
        <v/>
      </c>
      <c r="R4517" s="6" t="str">
        <f>IF($K4517="","",IF($L4517="Crédit",$K4517,-$K4517))</f>
        <v/>
      </c>
      <c r="S4517" s="6" t="str">
        <f>IF($C4517="","",IFERROR(INDEX('Paramètres'!$H:$H,MATCH($C4517,'Paramètres'!$D:$D,0))&amp;"",""))</f>
        <v/>
      </c>
      <c r="T4517" s="6" t="str">
        <f>IF($K4517="","",IF($S4517="",0,IF(ISNUMBER(SEARCH("apport-exterieur",IFERROR(INDEX('Paramètres'!$N:$N,MATCH($D4517,'Paramètres'!$M:$M,0))&amp;"",""))),0,IF(OR(IFERROR(INDEX('Paramètres'!$I:$I,MATCH($C4517,'Paramètres'!$D:$D,0))&amp;"","")="Les deux",IFERROR(INDEX('Paramètres'!$I:$I,MATCH($C4517,'Paramètres'!$D:$D,0))&amp;"","")=IF($P4517=1,"Débit",$L4517)),-IF($P4517=1,-$K4517,$K4517),0))))</f>
        <v/>
      </c>
      <c r="U4517" s="6" t="str">
        <f>IF($K4517="","",IF(ISNUMBER(SEARCH("sortie-epargne",IFERROR(INDEX('Paramètres'!$N:$N,MATCH($D4517,'Paramètres'!$M:$M,0))&amp;"",""))),$K4517,0))</f>
        <v/>
      </c>
      <c r="V4517" s="6" t="str">
        <f>IF(AND($A4517&lt;&gt;"",$O4517=1,$L4517="Débit",N($Q4517)&gt;0,$A4517&gt;=Visualisation!$B$1,$A4517&lt;Visualisation!$D$1),MAX($V$1:V4516)+1,"")</f>
        <v/>
      </c>
    </row>
    <row r="4518" spans="1:22" x14ac:dyDescent="0.25">
      <c r="A4518" s="9"/>
      <c r="E4518" s="10"/>
      <c r="K4518" s="11" t="str">
        <f>IF($E4518="","",ROUND($E4518*IF(ISNA(MATCH($C4518,'Paramètres'!$D:$D,0)),1,IF(INDEX('Paramètres'!$J:$J,MATCH($C4518,'Paramètres'!$D:$D,0))="",1,INDEX('Paramètres'!$J:$J,MATCH($C4518,'Paramètres'!$D:$D,0)))),2))</f>
        <v/>
      </c>
      <c r="L4518" s="6" t="str">
        <f>IF($D4518="","",IF($F4518&lt;&gt;"",$F4518,IF(ISNA(MATCH($D4518,'Paramètres'!$M:$M,0)),"⚠ Type inconnu",IFERROR(INDEX('Paramètres'!$P:$P,MATCH($D4518,'Paramètres'!$M:$M,0))&amp;"",""))))</f>
        <v/>
      </c>
      <c r="M4518" s="6" t="str">
        <f>IF($D4518="","",IF(ISNA(MATCH($D4518,'Paramètres'!$M:$M,0)),"⚠ Type inconnu",IF($L4518="Crédit","",IFERROR(INDEX('Paramètres'!$O:$O,MATCH($D4518,'Paramètres'!$M:$M,0))&amp;"",""))))</f>
        <v/>
      </c>
      <c r="N4518" s="6" t="str">
        <f>IF($D4518="","",IFERROR(INDEX('Paramètres'!$Q:$Q,MATCH($D4518,'Paramètres'!$M:$M,0))&amp;"",""))</f>
        <v/>
      </c>
      <c r="O4518" s="6" t="str">
        <f>IF($A4518="","",IF(OR($J4518&lt;&gt;"x",$A4518&lt;=FinReleve),1,0))</f>
        <v/>
      </c>
      <c r="P4518" s="6" t="str">
        <f>IF($D4518="","",IF(AND($L4518="Crédit",OR(IFERROR(INDEX('Paramètres'!$O:$O,MATCH($D4518,'Paramètres'!$M:$M,0))&amp;"","")&lt;&gt;"",ISNUMBER(SEARCH("remboursement",IFERROR(INDEX('Paramètres'!$N:$N,MATCH($D4518,'Paramètres'!$M:$M,0))&amp;"",""))))),1,0))</f>
        <v/>
      </c>
      <c r="Q4518" s="6" t="str">
        <f>IF($K4518="","",IF(ISNUMBER(SEARCH("transfert-interne",IFERROR(INDEX('Paramètres'!$N:$N,MATCH($D4518,'Paramètres'!$M:$M,0))&amp;"",""))),0,IF($L4518="Débit",$K4518,IF($P4518=1,-$K4518,0))))</f>
        <v/>
      </c>
      <c r="R4518" s="6" t="str">
        <f>IF($K4518="","",IF($L4518="Crédit",$K4518,-$K4518))</f>
        <v/>
      </c>
      <c r="S4518" s="6" t="str">
        <f>IF($C4518="","",IFERROR(INDEX('Paramètres'!$H:$H,MATCH($C4518,'Paramètres'!$D:$D,0))&amp;"",""))</f>
        <v/>
      </c>
      <c r="T4518" s="6" t="str">
        <f>IF($K4518="","",IF($S4518="",0,IF(ISNUMBER(SEARCH("apport-exterieur",IFERROR(INDEX('Paramètres'!$N:$N,MATCH($D4518,'Paramètres'!$M:$M,0))&amp;"",""))),0,IF(OR(IFERROR(INDEX('Paramètres'!$I:$I,MATCH($C4518,'Paramètres'!$D:$D,0))&amp;"","")="Les deux",IFERROR(INDEX('Paramètres'!$I:$I,MATCH($C4518,'Paramètres'!$D:$D,0))&amp;"","")=IF($P4518=1,"Débit",$L4518)),-IF($P4518=1,-$K4518,$K4518),0))))</f>
        <v/>
      </c>
      <c r="U4518" s="6" t="str">
        <f>IF($K4518="","",IF(ISNUMBER(SEARCH("sortie-epargne",IFERROR(INDEX('Paramètres'!$N:$N,MATCH($D4518,'Paramètres'!$M:$M,0))&amp;"",""))),$K4518,0))</f>
        <v/>
      </c>
      <c r="V4518" s="6" t="str">
        <f>IF(AND($A4518&lt;&gt;"",$O4518=1,$L4518="Débit",N($Q4518)&gt;0,$A4518&gt;=Visualisation!$B$1,$A4518&lt;Visualisation!$D$1),MAX($V$1:V4517)+1,"")</f>
        <v/>
      </c>
    </row>
    <row r="4519" spans="1:22" x14ac:dyDescent="0.25">
      <c r="A4519" s="9"/>
      <c r="E4519" s="10"/>
      <c r="K4519" s="11" t="str">
        <f>IF($E4519="","",ROUND($E4519*IF(ISNA(MATCH($C4519,'Paramètres'!$D:$D,0)),1,IF(INDEX('Paramètres'!$J:$J,MATCH($C4519,'Paramètres'!$D:$D,0))="",1,INDEX('Paramètres'!$J:$J,MATCH($C4519,'Paramètres'!$D:$D,0)))),2))</f>
        <v/>
      </c>
      <c r="L4519" s="6" t="str">
        <f>IF($D4519="","",IF($F4519&lt;&gt;"",$F4519,IF(ISNA(MATCH($D4519,'Paramètres'!$M:$M,0)),"⚠ Type inconnu",IFERROR(INDEX('Paramètres'!$P:$P,MATCH($D4519,'Paramètres'!$M:$M,0))&amp;"",""))))</f>
        <v/>
      </c>
      <c r="M4519" s="6" t="str">
        <f>IF($D4519="","",IF(ISNA(MATCH($D4519,'Paramètres'!$M:$M,0)),"⚠ Type inconnu",IF($L4519="Crédit","",IFERROR(INDEX('Paramètres'!$O:$O,MATCH($D4519,'Paramètres'!$M:$M,0))&amp;"",""))))</f>
        <v/>
      </c>
      <c r="N4519" s="6" t="str">
        <f>IF($D4519="","",IFERROR(INDEX('Paramètres'!$Q:$Q,MATCH($D4519,'Paramètres'!$M:$M,0))&amp;"",""))</f>
        <v/>
      </c>
      <c r="O4519" s="6" t="str">
        <f>IF($A4519="","",IF(OR($J4519&lt;&gt;"x",$A4519&lt;=FinReleve),1,0))</f>
        <v/>
      </c>
      <c r="P4519" s="6" t="str">
        <f>IF($D4519="","",IF(AND($L4519="Crédit",OR(IFERROR(INDEX('Paramètres'!$O:$O,MATCH($D4519,'Paramètres'!$M:$M,0))&amp;"","")&lt;&gt;"",ISNUMBER(SEARCH("remboursement",IFERROR(INDEX('Paramètres'!$N:$N,MATCH($D4519,'Paramètres'!$M:$M,0))&amp;"",""))))),1,0))</f>
        <v/>
      </c>
      <c r="Q4519" s="6" t="str">
        <f>IF($K4519="","",IF(ISNUMBER(SEARCH("transfert-interne",IFERROR(INDEX('Paramètres'!$N:$N,MATCH($D4519,'Paramètres'!$M:$M,0))&amp;"",""))),0,IF($L4519="Débit",$K4519,IF($P4519=1,-$K4519,0))))</f>
        <v/>
      </c>
      <c r="R4519" s="6" t="str">
        <f>IF($K4519="","",IF($L4519="Crédit",$K4519,-$K4519))</f>
        <v/>
      </c>
      <c r="S4519" s="6" t="str">
        <f>IF($C4519="","",IFERROR(INDEX('Paramètres'!$H:$H,MATCH($C4519,'Paramètres'!$D:$D,0))&amp;"",""))</f>
        <v/>
      </c>
      <c r="T4519" s="6" t="str">
        <f>IF($K4519="","",IF($S4519="",0,IF(ISNUMBER(SEARCH("apport-exterieur",IFERROR(INDEX('Paramètres'!$N:$N,MATCH($D4519,'Paramètres'!$M:$M,0))&amp;"",""))),0,IF(OR(IFERROR(INDEX('Paramètres'!$I:$I,MATCH($C4519,'Paramètres'!$D:$D,0))&amp;"","")="Les deux",IFERROR(INDEX('Paramètres'!$I:$I,MATCH($C4519,'Paramètres'!$D:$D,0))&amp;"","")=IF($P4519=1,"Débit",$L4519)),-IF($P4519=1,-$K4519,$K4519),0))))</f>
        <v/>
      </c>
      <c r="U4519" s="6" t="str">
        <f>IF($K4519="","",IF(ISNUMBER(SEARCH("sortie-epargne",IFERROR(INDEX('Paramètres'!$N:$N,MATCH($D4519,'Paramètres'!$M:$M,0))&amp;"",""))),$K4519,0))</f>
        <v/>
      </c>
      <c r="V4519" s="6" t="str">
        <f>IF(AND($A4519&lt;&gt;"",$O4519=1,$L4519="Débit",N($Q4519)&gt;0,$A4519&gt;=Visualisation!$B$1,$A4519&lt;Visualisation!$D$1),MAX($V$1:V4518)+1,"")</f>
        <v/>
      </c>
    </row>
    <row r="4520" spans="1:22" x14ac:dyDescent="0.25">
      <c r="A4520" s="9"/>
      <c r="E4520" s="10"/>
      <c r="K4520" s="11" t="str">
        <f>IF($E4520="","",ROUND($E4520*IF(ISNA(MATCH($C4520,'Paramètres'!$D:$D,0)),1,IF(INDEX('Paramètres'!$J:$J,MATCH($C4520,'Paramètres'!$D:$D,0))="",1,INDEX('Paramètres'!$J:$J,MATCH($C4520,'Paramètres'!$D:$D,0)))),2))</f>
        <v/>
      </c>
      <c r="L4520" s="6" t="str">
        <f>IF($D4520="","",IF($F4520&lt;&gt;"",$F4520,IF(ISNA(MATCH($D4520,'Paramètres'!$M:$M,0)),"⚠ Type inconnu",IFERROR(INDEX('Paramètres'!$P:$P,MATCH($D4520,'Paramètres'!$M:$M,0))&amp;"",""))))</f>
        <v/>
      </c>
      <c r="M4520" s="6" t="str">
        <f>IF($D4520="","",IF(ISNA(MATCH($D4520,'Paramètres'!$M:$M,0)),"⚠ Type inconnu",IF($L4520="Crédit","",IFERROR(INDEX('Paramètres'!$O:$O,MATCH($D4520,'Paramètres'!$M:$M,0))&amp;"",""))))</f>
        <v/>
      </c>
      <c r="N4520" s="6" t="str">
        <f>IF($D4520="","",IFERROR(INDEX('Paramètres'!$Q:$Q,MATCH($D4520,'Paramètres'!$M:$M,0))&amp;"",""))</f>
        <v/>
      </c>
      <c r="O4520" s="6" t="str">
        <f>IF($A4520="","",IF(OR($J4520&lt;&gt;"x",$A4520&lt;=FinReleve),1,0))</f>
        <v/>
      </c>
      <c r="P4520" s="6" t="str">
        <f>IF($D4520="","",IF(AND($L4520="Crédit",OR(IFERROR(INDEX('Paramètres'!$O:$O,MATCH($D4520,'Paramètres'!$M:$M,0))&amp;"","")&lt;&gt;"",ISNUMBER(SEARCH("remboursement",IFERROR(INDEX('Paramètres'!$N:$N,MATCH($D4520,'Paramètres'!$M:$M,0))&amp;"",""))))),1,0))</f>
        <v/>
      </c>
      <c r="Q4520" s="6" t="str">
        <f>IF($K4520="","",IF(ISNUMBER(SEARCH("transfert-interne",IFERROR(INDEX('Paramètres'!$N:$N,MATCH($D4520,'Paramètres'!$M:$M,0))&amp;"",""))),0,IF($L4520="Débit",$K4520,IF($P4520=1,-$K4520,0))))</f>
        <v/>
      </c>
      <c r="R4520" s="6" t="str">
        <f>IF($K4520="","",IF($L4520="Crédit",$K4520,-$K4520))</f>
        <v/>
      </c>
      <c r="S4520" s="6" t="str">
        <f>IF($C4520="","",IFERROR(INDEX('Paramètres'!$H:$H,MATCH($C4520,'Paramètres'!$D:$D,0))&amp;"",""))</f>
        <v/>
      </c>
      <c r="T4520" s="6" t="str">
        <f>IF($K4520="","",IF($S4520="",0,IF(ISNUMBER(SEARCH("apport-exterieur",IFERROR(INDEX('Paramètres'!$N:$N,MATCH($D4520,'Paramètres'!$M:$M,0))&amp;"",""))),0,IF(OR(IFERROR(INDEX('Paramètres'!$I:$I,MATCH($C4520,'Paramètres'!$D:$D,0))&amp;"","")="Les deux",IFERROR(INDEX('Paramètres'!$I:$I,MATCH($C4520,'Paramètres'!$D:$D,0))&amp;"","")=IF($P4520=1,"Débit",$L4520)),-IF($P4520=1,-$K4520,$K4520),0))))</f>
        <v/>
      </c>
      <c r="U4520" s="6" t="str">
        <f>IF($K4520="","",IF(ISNUMBER(SEARCH("sortie-epargne",IFERROR(INDEX('Paramètres'!$N:$N,MATCH($D4520,'Paramètres'!$M:$M,0))&amp;"",""))),$K4520,0))</f>
        <v/>
      </c>
      <c r="V4520" s="6" t="str">
        <f>IF(AND($A4520&lt;&gt;"",$O4520=1,$L4520="Débit",N($Q4520)&gt;0,$A4520&gt;=Visualisation!$B$1,$A4520&lt;Visualisation!$D$1),MAX($V$1:V4519)+1,"")</f>
        <v/>
      </c>
    </row>
    <row r="4521" spans="1:22" x14ac:dyDescent="0.25">
      <c r="A4521" s="9"/>
      <c r="E4521" s="10"/>
      <c r="K4521" s="11" t="str">
        <f>IF($E4521="","",ROUND($E4521*IF(ISNA(MATCH($C4521,'Paramètres'!$D:$D,0)),1,IF(INDEX('Paramètres'!$J:$J,MATCH($C4521,'Paramètres'!$D:$D,0))="",1,INDEX('Paramètres'!$J:$J,MATCH($C4521,'Paramètres'!$D:$D,0)))),2))</f>
        <v/>
      </c>
      <c r="L4521" s="6" t="str">
        <f>IF($D4521="","",IF($F4521&lt;&gt;"",$F4521,IF(ISNA(MATCH($D4521,'Paramètres'!$M:$M,0)),"⚠ Type inconnu",IFERROR(INDEX('Paramètres'!$P:$P,MATCH($D4521,'Paramètres'!$M:$M,0))&amp;"",""))))</f>
        <v/>
      </c>
      <c r="M4521" s="6" t="str">
        <f>IF($D4521="","",IF(ISNA(MATCH($D4521,'Paramètres'!$M:$M,0)),"⚠ Type inconnu",IF($L4521="Crédit","",IFERROR(INDEX('Paramètres'!$O:$O,MATCH($D4521,'Paramètres'!$M:$M,0))&amp;"",""))))</f>
        <v/>
      </c>
      <c r="N4521" s="6" t="str">
        <f>IF($D4521="","",IFERROR(INDEX('Paramètres'!$Q:$Q,MATCH($D4521,'Paramètres'!$M:$M,0))&amp;"",""))</f>
        <v/>
      </c>
      <c r="O4521" s="6" t="str">
        <f>IF($A4521="","",IF(OR($J4521&lt;&gt;"x",$A4521&lt;=FinReleve),1,0))</f>
        <v/>
      </c>
      <c r="P4521" s="6" t="str">
        <f>IF($D4521="","",IF(AND($L4521="Crédit",OR(IFERROR(INDEX('Paramètres'!$O:$O,MATCH($D4521,'Paramètres'!$M:$M,0))&amp;"","")&lt;&gt;"",ISNUMBER(SEARCH("remboursement",IFERROR(INDEX('Paramètres'!$N:$N,MATCH($D4521,'Paramètres'!$M:$M,0))&amp;"",""))))),1,0))</f>
        <v/>
      </c>
      <c r="Q4521" s="6" t="str">
        <f>IF($K4521="","",IF(ISNUMBER(SEARCH("transfert-interne",IFERROR(INDEX('Paramètres'!$N:$N,MATCH($D4521,'Paramètres'!$M:$M,0))&amp;"",""))),0,IF($L4521="Débit",$K4521,IF($P4521=1,-$K4521,0))))</f>
        <v/>
      </c>
      <c r="R4521" s="6" t="str">
        <f>IF($K4521="","",IF($L4521="Crédit",$K4521,-$K4521))</f>
        <v/>
      </c>
      <c r="S4521" s="6" t="str">
        <f>IF($C4521="","",IFERROR(INDEX('Paramètres'!$H:$H,MATCH($C4521,'Paramètres'!$D:$D,0))&amp;"",""))</f>
        <v/>
      </c>
      <c r="T4521" s="6" t="str">
        <f>IF($K4521="","",IF($S4521="",0,IF(ISNUMBER(SEARCH("apport-exterieur",IFERROR(INDEX('Paramètres'!$N:$N,MATCH($D4521,'Paramètres'!$M:$M,0))&amp;"",""))),0,IF(OR(IFERROR(INDEX('Paramètres'!$I:$I,MATCH($C4521,'Paramètres'!$D:$D,0))&amp;"","")="Les deux",IFERROR(INDEX('Paramètres'!$I:$I,MATCH($C4521,'Paramètres'!$D:$D,0))&amp;"","")=IF($P4521=1,"Débit",$L4521)),-IF($P4521=1,-$K4521,$K4521),0))))</f>
        <v/>
      </c>
      <c r="U4521" s="6" t="str">
        <f>IF($K4521="","",IF(ISNUMBER(SEARCH("sortie-epargne",IFERROR(INDEX('Paramètres'!$N:$N,MATCH($D4521,'Paramètres'!$M:$M,0))&amp;"",""))),$K4521,0))</f>
        <v/>
      </c>
      <c r="V4521" s="6" t="str">
        <f>IF(AND($A4521&lt;&gt;"",$O4521=1,$L4521="Débit",N($Q4521)&gt;0,$A4521&gt;=Visualisation!$B$1,$A4521&lt;Visualisation!$D$1),MAX($V$1:V4520)+1,"")</f>
        <v/>
      </c>
    </row>
    <row r="4522" spans="1:22" x14ac:dyDescent="0.25">
      <c r="A4522" s="9"/>
      <c r="E4522" s="10"/>
      <c r="K4522" s="11" t="str">
        <f>IF($E4522="","",ROUND($E4522*IF(ISNA(MATCH($C4522,'Paramètres'!$D:$D,0)),1,IF(INDEX('Paramètres'!$J:$J,MATCH($C4522,'Paramètres'!$D:$D,0))="",1,INDEX('Paramètres'!$J:$J,MATCH($C4522,'Paramètres'!$D:$D,0)))),2))</f>
        <v/>
      </c>
      <c r="L4522" s="6" t="str">
        <f>IF($D4522="","",IF($F4522&lt;&gt;"",$F4522,IF(ISNA(MATCH($D4522,'Paramètres'!$M:$M,0)),"⚠ Type inconnu",IFERROR(INDEX('Paramètres'!$P:$P,MATCH($D4522,'Paramètres'!$M:$M,0))&amp;"",""))))</f>
        <v/>
      </c>
      <c r="M4522" s="6" t="str">
        <f>IF($D4522="","",IF(ISNA(MATCH($D4522,'Paramètres'!$M:$M,0)),"⚠ Type inconnu",IF($L4522="Crédit","",IFERROR(INDEX('Paramètres'!$O:$O,MATCH($D4522,'Paramètres'!$M:$M,0))&amp;"",""))))</f>
        <v/>
      </c>
      <c r="N4522" s="6" t="str">
        <f>IF($D4522="","",IFERROR(INDEX('Paramètres'!$Q:$Q,MATCH($D4522,'Paramètres'!$M:$M,0))&amp;"",""))</f>
        <v/>
      </c>
      <c r="O4522" s="6" t="str">
        <f>IF($A4522="","",IF(OR($J4522&lt;&gt;"x",$A4522&lt;=FinReleve),1,0))</f>
        <v/>
      </c>
      <c r="P4522" s="6" t="str">
        <f>IF($D4522="","",IF(AND($L4522="Crédit",OR(IFERROR(INDEX('Paramètres'!$O:$O,MATCH($D4522,'Paramètres'!$M:$M,0))&amp;"","")&lt;&gt;"",ISNUMBER(SEARCH("remboursement",IFERROR(INDEX('Paramètres'!$N:$N,MATCH($D4522,'Paramètres'!$M:$M,0))&amp;"",""))))),1,0))</f>
        <v/>
      </c>
      <c r="Q4522" s="6" t="str">
        <f>IF($K4522="","",IF(ISNUMBER(SEARCH("transfert-interne",IFERROR(INDEX('Paramètres'!$N:$N,MATCH($D4522,'Paramètres'!$M:$M,0))&amp;"",""))),0,IF($L4522="Débit",$K4522,IF($P4522=1,-$K4522,0))))</f>
        <v/>
      </c>
      <c r="R4522" s="6" t="str">
        <f>IF($K4522="","",IF($L4522="Crédit",$K4522,-$K4522))</f>
        <v/>
      </c>
      <c r="S4522" s="6" t="str">
        <f>IF($C4522="","",IFERROR(INDEX('Paramètres'!$H:$H,MATCH($C4522,'Paramètres'!$D:$D,0))&amp;"",""))</f>
        <v/>
      </c>
      <c r="T4522" s="6" t="str">
        <f>IF($K4522="","",IF($S4522="",0,IF(ISNUMBER(SEARCH("apport-exterieur",IFERROR(INDEX('Paramètres'!$N:$N,MATCH($D4522,'Paramètres'!$M:$M,0))&amp;"",""))),0,IF(OR(IFERROR(INDEX('Paramètres'!$I:$I,MATCH($C4522,'Paramètres'!$D:$D,0))&amp;"","")="Les deux",IFERROR(INDEX('Paramètres'!$I:$I,MATCH($C4522,'Paramètres'!$D:$D,0))&amp;"","")=IF($P4522=1,"Débit",$L4522)),-IF($P4522=1,-$K4522,$K4522),0))))</f>
        <v/>
      </c>
      <c r="U4522" s="6" t="str">
        <f>IF($K4522="","",IF(ISNUMBER(SEARCH("sortie-epargne",IFERROR(INDEX('Paramètres'!$N:$N,MATCH($D4522,'Paramètres'!$M:$M,0))&amp;"",""))),$K4522,0))</f>
        <v/>
      </c>
      <c r="V4522" s="6" t="str">
        <f>IF(AND($A4522&lt;&gt;"",$O4522=1,$L4522="Débit",N($Q4522)&gt;0,$A4522&gt;=Visualisation!$B$1,$A4522&lt;Visualisation!$D$1),MAX($V$1:V4521)+1,"")</f>
        <v/>
      </c>
    </row>
    <row r="4523" spans="1:22" x14ac:dyDescent="0.25">
      <c r="A4523" s="9"/>
      <c r="E4523" s="10"/>
      <c r="K4523" s="11" t="str">
        <f>IF($E4523="","",ROUND($E4523*IF(ISNA(MATCH($C4523,'Paramètres'!$D:$D,0)),1,IF(INDEX('Paramètres'!$J:$J,MATCH($C4523,'Paramètres'!$D:$D,0))="",1,INDEX('Paramètres'!$J:$J,MATCH($C4523,'Paramètres'!$D:$D,0)))),2))</f>
        <v/>
      </c>
      <c r="L4523" s="6" t="str">
        <f>IF($D4523="","",IF($F4523&lt;&gt;"",$F4523,IF(ISNA(MATCH($D4523,'Paramètres'!$M:$M,0)),"⚠ Type inconnu",IFERROR(INDEX('Paramètres'!$P:$P,MATCH($D4523,'Paramètres'!$M:$M,0))&amp;"",""))))</f>
        <v/>
      </c>
      <c r="M4523" s="6" t="str">
        <f>IF($D4523="","",IF(ISNA(MATCH($D4523,'Paramètres'!$M:$M,0)),"⚠ Type inconnu",IF($L4523="Crédit","",IFERROR(INDEX('Paramètres'!$O:$O,MATCH($D4523,'Paramètres'!$M:$M,0))&amp;"",""))))</f>
        <v/>
      </c>
      <c r="N4523" s="6" t="str">
        <f>IF($D4523="","",IFERROR(INDEX('Paramètres'!$Q:$Q,MATCH($D4523,'Paramètres'!$M:$M,0))&amp;"",""))</f>
        <v/>
      </c>
      <c r="O4523" s="6" t="str">
        <f>IF($A4523="","",IF(OR($J4523&lt;&gt;"x",$A4523&lt;=FinReleve),1,0))</f>
        <v/>
      </c>
      <c r="P4523" s="6" t="str">
        <f>IF($D4523="","",IF(AND($L4523="Crédit",OR(IFERROR(INDEX('Paramètres'!$O:$O,MATCH($D4523,'Paramètres'!$M:$M,0))&amp;"","")&lt;&gt;"",ISNUMBER(SEARCH("remboursement",IFERROR(INDEX('Paramètres'!$N:$N,MATCH($D4523,'Paramètres'!$M:$M,0))&amp;"",""))))),1,0))</f>
        <v/>
      </c>
      <c r="Q4523" s="6" t="str">
        <f>IF($K4523="","",IF(ISNUMBER(SEARCH("transfert-interne",IFERROR(INDEX('Paramètres'!$N:$N,MATCH($D4523,'Paramètres'!$M:$M,0))&amp;"",""))),0,IF($L4523="Débit",$K4523,IF($P4523=1,-$K4523,0))))</f>
        <v/>
      </c>
      <c r="R4523" s="6" t="str">
        <f>IF($K4523="","",IF($L4523="Crédit",$K4523,-$K4523))</f>
        <v/>
      </c>
      <c r="S4523" s="6" t="str">
        <f>IF($C4523="","",IFERROR(INDEX('Paramètres'!$H:$H,MATCH($C4523,'Paramètres'!$D:$D,0))&amp;"",""))</f>
        <v/>
      </c>
      <c r="T4523" s="6" t="str">
        <f>IF($K4523="","",IF($S4523="",0,IF(ISNUMBER(SEARCH("apport-exterieur",IFERROR(INDEX('Paramètres'!$N:$N,MATCH($D4523,'Paramètres'!$M:$M,0))&amp;"",""))),0,IF(OR(IFERROR(INDEX('Paramètres'!$I:$I,MATCH($C4523,'Paramètres'!$D:$D,0))&amp;"","")="Les deux",IFERROR(INDEX('Paramètres'!$I:$I,MATCH($C4523,'Paramètres'!$D:$D,0))&amp;"","")=IF($P4523=1,"Débit",$L4523)),-IF($P4523=1,-$K4523,$K4523),0))))</f>
        <v/>
      </c>
      <c r="U4523" s="6" t="str">
        <f>IF($K4523="","",IF(ISNUMBER(SEARCH("sortie-epargne",IFERROR(INDEX('Paramètres'!$N:$N,MATCH($D4523,'Paramètres'!$M:$M,0))&amp;"",""))),$K4523,0))</f>
        <v/>
      </c>
      <c r="V4523" s="6" t="str">
        <f>IF(AND($A4523&lt;&gt;"",$O4523=1,$L4523="Débit",N($Q4523)&gt;0,$A4523&gt;=Visualisation!$B$1,$A4523&lt;Visualisation!$D$1),MAX($V$1:V4522)+1,"")</f>
        <v/>
      </c>
    </row>
    <row r="4524" spans="1:22" x14ac:dyDescent="0.25">
      <c r="A4524" s="9"/>
      <c r="E4524" s="10"/>
      <c r="K4524" s="11" t="str">
        <f>IF($E4524="","",ROUND($E4524*IF(ISNA(MATCH($C4524,'Paramètres'!$D:$D,0)),1,IF(INDEX('Paramètres'!$J:$J,MATCH($C4524,'Paramètres'!$D:$D,0))="",1,INDEX('Paramètres'!$J:$J,MATCH($C4524,'Paramètres'!$D:$D,0)))),2))</f>
        <v/>
      </c>
      <c r="L4524" s="6" t="str">
        <f>IF($D4524="","",IF($F4524&lt;&gt;"",$F4524,IF(ISNA(MATCH($D4524,'Paramètres'!$M:$M,0)),"⚠ Type inconnu",IFERROR(INDEX('Paramètres'!$P:$P,MATCH($D4524,'Paramètres'!$M:$M,0))&amp;"",""))))</f>
        <v/>
      </c>
      <c r="M4524" s="6" t="str">
        <f>IF($D4524="","",IF(ISNA(MATCH($D4524,'Paramètres'!$M:$M,0)),"⚠ Type inconnu",IF($L4524="Crédit","",IFERROR(INDEX('Paramètres'!$O:$O,MATCH($D4524,'Paramètres'!$M:$M,0))&amp;"",""))))</f>
        <v/>
      </c>
      <c r="N4524" s="6" t="str">
        <f>IF($D4524="","",IFERROR(INDEX('Paramètres'!$Q:$Q,MATCH($D4524,'Paramètres'!$M:$M,0))&amp;"",""))</f>
        <v/>
      </c>
      <c r="O4524" s="6" t="str">
        <f>IF($A4524="","",IF(OR($J4524&lt;&gt;"x",$A4524&lt;=FinReleve),1,0))</f>
        <v/>
      </c>
      <c r="P4524" s="6" t="str">
        <f>IF($D4524="","",IF(AND($L4524="Crédit",OR(IFERROR(INDEX('Paramètres'!$O:$O,MATCH($D4524,'Paramètres'!$M:$M,0))&amp;"","")&lt;&gt;"",ISNUMBER(SEARCH("remboursement",IFERROR(INDEX('Paramètres'!$N:$N,MATCH($D4524,'Paramètres'!$M:$M,0))&amp;"",""))))),1,0))</f>
        <v/>
      </c>
      <c r="Q4524" s="6" t="str">
        <f>IF($K4524="","",IF(ISNUMBER(SEARCH("transfert-interne",IFERROR(INDEX('Paramètres'!$N:$N,MATCH($D4524,'Paramètres'!$M:$M,0))&amp;"",""))),0,IF($L4524="Débit",$K4524,IF($P4524=1,-$K4524,0))))</f>
        <v/>
      </c>
      <c r="R4524" s="6" t="str">
        <f>IF($K4524="","",IF($L4524="Crédit",$K4524,-$K4524))</f>
        <v/>
      </c>
      <c r="S4524" s="6" t="str">
        <f>IF($C4524="","",IFERROR(INDEX('Paramètres'!$H:$H,MATCH($C4524,'Paramètres'!$D:$D,0))&amp;"",""))</f>
        <v/>
      </c>
      <c r="T4524" s="6" t="str">
        <f>IF($K4524="","",IF($S4524="",0,IF(ISNUMBER(SEARCH("apport-exterieur",IFERROR(INDEX('Paramètres'!$N:$N,MATCH($D4524,'Paramètres'!$M:$M,0))&amp;"",""))),0,IF(OR(IFERROR(INDEX('Paramètres'!$I:$I,MATCH($C4524,'Paramètres'!$D:$D,0))&amp;"","")="Les deux",IFERROR(INDEX('Paramètres'!$I:$I,MATCH($C4524,'Paramètres'!$D:$D,0))&amp;"","")=IF($P4524=1,"Débit",$L4524)),-IF($P4524=1,-$K4524,$K4524),0))))</f>
        <v/>
      </c>
      <c r="U4524" s="6" t="str">
        <f>IF($K4524="","",IF(ISNUMBER(SEARCH("sortie-epargne",IFERROR(INDEX('Paramètres'!$N:$N,MATCH($D4524,'Paramètres'!$M:$M,0))&amp;"",""))),$K4524,0))</f>
        <v/>
      </c>
      <c r="V4524" s="6" t="str">
        <f>IF(AND($A4524&lt;&gt;"",$O4524=1,$L4524="Débit",N($Q4524)&gt;0,$A4524&gt;=Visualisation!$B$1,$A4524&lt;Visualisation!$D$1),MAX($V$1:V4523)+1,"")</f>
        <v/>
      </c>
    </row>
    <row r="4525" spans="1:22" x14ac:dyDescent="0.25">
      <c r="A4525" s="9"/>
      <c r="E4525" s="10"/>
      <c r="K4525" s="11" t="str">
        <f>IF($E4525="","",ROUND($E4525*IF(ISNA(MATCH($C4525,'Paramètres'!$D:$D,0)),1,IF(INDEX('Paramètres'!$J:$J,MATCH($C4525,'Paramètres'!$D:$D,0))="",1,INDEX('Paramètres'!$J:$J,MATCH($C4525,'Paramètres'!$D:$D,0)))),2))</f>
        <v/>
      </c>
      <c r="L4525" s="6" t="str">
        <f>IF($D4525="","",IF($F4525&lt;&gt;"",$F4525,IF(ISNA(MATCH($D4525,'Paramètres'!$M:$M,0)),"⚠ Type inconnu",IFERROR(INDEX('Paramètres'!$P:$P,MATCH($D4525,'Paramètres'!$M:$M,0))&amp;"",""))))</f>
        <v/>
      </c>
      <c r="M4525" s="6" t="str">
        <f>IF($D4525="","",IF(ISNA(MATCH($D4525,'Paramètres'!$M:$M,0)),"⚠ Type inconnu",IF($L4525="Crédit","",IFERROR(INDEX('Paramètres'!$O:$O,MATCH($D4525,'Paramètres'!$M:$M,0))&amp;"",""))))</f>
        <v/>
      </c>
      <c r="N4525" s="6" t="str">
        <f>IF($D4525="","",IFERROR(INDEX('Paramètres'!$Q:$Q,MATCH($D4525,'Paramètres'!$M:$M,0))&amp;"",""))</f>
        <v/>
      </c>
      <c r="O4525" s="6" t="str">
        <f>IF($A4525="","",IF(OR($J4525&lt;&gt;"x",$A4525&lt;=FinReleve),1,0))</f>
        <v/>
      </c>
      <c r="P4525" s="6" t="str">
        <f>IF($D4525="","",IF(AND($L4525="Crédit",OR(IFERROR(INDEX('Paramètres'!$O:$O,MATCH($D4525,'Paramètres'!$M:$M,0))&amp;"","")&lt;&gt;"",ISNUMBER(SEARCH("remboursement",IFERROR(INDEX('Paramètres'!$N:$N,MATCH($D4525,'Paramètres'!$M:$M,0))&amp;"",""))))),1,0))</f>
        <v/>
      </c>
      <c r="Q4525" s="6" t="str">
        <f>IF($K4525="","",IF(ISNUMBER(SEARCH("transfert-interne",IFERROR(INDEX('Paramètres'!$N:$N,MATCH($D4525,'Paramètres'!$M:$M,0))&amp;"",""))),0,IF($L4525="Débit",$K4525,IF($P4525=1,-$K4525,0))))</f>
        <v/>
      </c>
      <c r="R4525" s="6" t="str">
        <f>IF($K4525="","",IF($L4525="Crédit",$K4525,-$K4525))</f>
        <v/>
      </c>
      <c r="S4525" s="6" t="str">
        <f>IF($C4525="","",IFERROR(INDEX('Paramètres'!$H:$H,MATCH($C4525,'Paramètres'!$D:$D,0))&amp;"",""))</f>
        <v/>
      </c>
      <c r="T4525" s="6" t="str">
        <f>IF($K4525="","",IF($S4525="",0,IF(ISNUMBER(SEARCH("apport-exterieur",IFERROR(INDEX('Paramètres'!$N:$N,MATCH($D4525,'Paramètres'!$M:$M,0))&amp;"",""))),0,IF(OR(IFERROR(INDEX('Paramètres'!$I:$I,MATCH($C4525,'Paramètres'!$D:$D,0))&amp;"","")="Les deux",IFERROR(INDEX('Paramètres'!$I:$I,MATCH($C4525,'Paramètres'!$D:$D,0))&amp;"","")=IF($P4525=1,"Débit",$L4525)),-IF($P4525=1,-$K4525,$K4525),0))))</f>
        <v/>
      </c>
      <c r="U4525" s="6" t="str">
        <f>IF($K4525="","",IF(ISNUMBER(SEARCH("sortie-epargne",IFERROR(INDEX('Paramètres'!$N:$N,MATCH($D4525,'Paramètres'!$M:$M,0))&amp;"",""))),$K4525,0))</f>
        <v/>
      </c>
      <c r="V4525" s="6" t="str">
        <f>IF(AND($A4525&lt;&gt;"",$O4525=1,$L4525="Débit",N($Q4525)&gt;0,$A4525&gt;=Visualisation!$B$1,$A4525&lt;Visualisation!$D$1),MAX($V$1:V4524)+1,"")</f>
        <v/>
      </c>
    </row>
    <row r="4526" spans="1:22" x14ac:dyDescent="0.25">
      <c r="A4526" s="9"/>
      <c r="E4526" s="10"/>
      <c r="K4526" s="11" t="str">
        <f>IF($E4526="","",ROUND($E4526*IF(ISNA(MATCH($C4526,'Paramètres'!$D:$D,0)),1,IF(INDEX('Paramètres'!$J:$J,MATCH($C4526,'Paramètres'!$D:$D,0))="",1,INDEX('Paramètres'!$J:$J,MATCH($C4526,'Paramètres'!$D:$D,0)))),2))</f>
        <v/>
      </c>
      <c r="L4526" s="6" t="str">
        <f>IF($D4526="","",IF($F4526&lt;&gt;"",$F4526,IF(ISNA(MATCH($D4526,'Paramètres'!$M:$M,0)),"⚠ Type inconnu",IFERROR(INDEX('Paramètres'!$P:$P,MATCH($D4526,'Paramètres'!$M:$M,0))&amp;"",""))))</f>
        <v/>
      </c>
      <c r="M4526" s="6" t="str">
        <f>IF($D4526="","",IF(ISNA(MATCH($D4526,'Paramètres'!$M:$M,0)),"⚠ Type inconnu",IF($L4526="Crédit","",IFERROR(INDEX('Paramètres'!$O:$O,MATCH($D4526,'Paramètres'!$M:$M,0))&amp;"",""))))</f>
        <v/>
      </c>
      <c r="N4526" s="6" t="str">
        <f>IF($D4526="","",IFERROR(INDEX('Paramètres'!$Q:$Q,MATCH($D4526,'Paramètres'!$M:$M,0))&amp;"",""))</f>
        <v/>
      </c>
      <c r="O4526" s="6" t="str">
        <f>IF($A4526="","",IF(OR($J4526&lt;&gt;"x",$A4526&lt;=FinReleve),1,0))</f>
        <v/>
      </c>
      <c r="P4526" s="6" t="str">
        <f>IF($D4526="","",IF(AND($L4526="Crédit",OR(IFERROR(INDEX('Paramètres'!$O:$O,MATCH($D4526,'Paramètres'!$M:$M,0))&amp;"","")&lt;&gt;"",ISNUMBER(SEARCH("remboursement",IFERROR(INDEX('Paramètres'!$N:$N,MATCH($D4526,'Paramètres'!$M:$M,0))&amp;"",""))))),1,0))</f>
        <v/>
      </c>
      <c r="Q4526" s="6" t="str">
        <f>IF($K4526="","",IF(ISNUMBER(SEARCH("transfert-interne",IFERROR(INDEX('Paramètres'!$N:$N,MATCH($D4526,'Paramètres'!$M:$M,0))&amp;"",""))),0,IF($L4526="Débit",$K4526,IF($P4526=1,-$K4526,0))))</f>
        <v/>
      </c>
      <c r="R4526" s="6" t="str">
        <f>IF($K4526="","",IF($L4526="Crédit",$K4526,-$K4526))</f>
        <v/>
      </c>
      <c r="S4526" s="6" t="str">
        <f>IF($C4526="","",IFERROR(INDEX('Paramètres'!$H:$H,MATCH($C4526,'Paramètres'!$D:$D,0))&amp;"",""))</f>
        <v/>
      </c>
      <c r="T4526" s="6" t="str">
        <f>IF($K4526="","",IF($S4526="",0,IF(ISNUMBER(SEARCH("apport-exterieur",IFERROR(INDEX('Paramètres'!$N:$N,MATCH($D4526,'Paramètres'!$M:$M,0))&amp;"",""))),0,IF(OR(IFERROR(INDEX('Paramètres'!$I:$I,MATCH($C4526,'Paramètres'!$D:$D,0))&amp;"","")="Les deux",IFERROR(INDEX('Paramètres'!$I:$I,MATCH($C4526,'Paramètres'!$D:$D,0))&amp;"","")=IF($P4526=1,"Débit",$L4526)),-IF($P4526=1,-$K4526,$K4526),0))))</f>
        <v/>
      </c>
      <c r="U4526" s="6" t="str">
        <f>IF($K4526="","",IF(ISNUMBER(SEARCH("sortie-epargne",IFERROR(INDEX('Paramètres'!$N:$N,MATCH($D4526,'Paramètres'!$M:$M,0))&amp;"",""))),$K4526,0))</f>
        <v/>
      </c>
      <c r="V4526" s="6" t="str">
        <f>IF(AND($A4526&lt;&gt;"",$O4526=1,$L4526="Débit",N($Q4526)&gt;0,$A4526&gt;=Visualisation!$B$1,$A4526&lt;Visualisation!$D$1),MAX($V$1:V4525)+1,"")</f>
        <v/>
      </c>
    </row>
    <row r="4527" spans="1:22" x14ac:dyDescent="0.25">
      <c r="A4527" s="9"/>
      <c r="E4527" s="10"/>
      <c r="K4527" s="11" t="str">
        <f>IF($E4527="","",ROUND($E4527*IF(ISNA(MATCH($C4527,'Paramètres'!$D:$D,0)),1,IF(INDEX('Paramètres'!$J:$J,MATCH($C4527,'Paramètres'!$D:$D,0))="",1,INDEX('Paramètres'!$J:$J,MATCH($C4527,'Paramètres'!$D:$D,0)))),2))</f>
        <v/>
      </c>
      <c r="L4527" s="6" t="str">
        <f>IF($D4527="","",IF($F4527&lt;&gt;"",$F4527,IF(ISNA(MATCH($D4527,'Paramètres'!$M:$M,0)),"⚠ Type inconnu",IFERROR(INDEX('Paramètres'!$P:$P,MATCH($D4527,'Paramètres'!$M:$M,0))&amp;"",""))))</f>
        <v/>
      </c>
      <c r="M4527" s="6" t="str">
        <f>IF($D4527="","",IF(ISNA(MATCH($D4527,'Paramètres'!$M:$M,0)),"⚠ Type inconnu",IF($L4527="Crédit","",IFERROR(INDEX('Paramètres'!$O:$O,MATCH($D4527,'Paramètres'!$M:$M,0))&amp;"",""))))</f>
        <v/>
      </c>
      <c r="N4527" s="6" t="str">
        <f>IF($D4527="","",IFERROR(INDEX('Paramètres'!$Q:$Q,MATCH($D4527,'Paramètres'!$M:$M,0))&amp;"",""))</f>
        <v/>
      </c>
      <c r="O4527" s="6" t="str">
        <f>IF($A4527="","",IF(OR($J4527&lt;&gt;"x",$A4527&lt;=FinReleve),1,0))</f>
        <v/>
      </c>
      <c r="P4527" s="6" t="str">
        <f>IF($D4527="","",IF(AND($L4527="Crédit",OR(IFERROR(INDEX('Paramètres'!$O:$O,MATCH($D4527,'Paramètres'!$M:$M,0))&amp;"","")&lt;&gt;"",ISNUMBER(SEARCH("remboursement",IFERROR(INDEX('Paramètres'!$N:$N,MATCH($D4527,'Paramètres'!$M:$M,0))&amp;"",""))))),1,0))</f>
        <v/>
      </c>
      <c r="Q4527" s="6" t="str">
        <f>IF($K4527="","",IF(ISNUMBER(SEARCH("transfert-interne",IFERROR(INDEX('Paramètres'!$N:$N,MATCH($D4527,'Paramètres'!$M:$M,0))&amp;"",""))),0,IF($L4527="Débit",$K4527,IF($P4527=1,-$K4527,0))))</f>
        <v/>
      </c>
      <c r="R4527" s="6" t="str">
        <f>IF($K4527="","",IF($L4527="Crédit",$K4527,-$K4527))</f>
        <v/>
      </c>
      <c r="S4527" s="6" t="str">
        <f>IF($C4527="","",IFERROR(INDEX('Paramètres'!$H:$H,MATCH($C4527,'Paramètres'!$D:$D,0))&amp;"",""))</f>
        <v/>
      </c>
      <c r="T4527" s="6" t="str">
        <f>IF($K4527="","",IF($S4527="",0,IF(ISNUMBER(SEARCH("apport-exterieur",IFERROR(INDEX('Paramètres'!$N:$N,MATCH($D4527,'Paramètres'!$M:$M,0))&amp;"",""))),0,IF(OR(IFERROR(INDEX('Paramètres'!$I:$I,MATCH($C4527,'Paramètres'!$D:$D,0))&amp;"","")="Les deux",IFERROR(INDEX('Paramètres'!$I:$I,MATCH($C4527,'Paramètres'!$D:$D,0))&amp;"","")=IF($P4527=1,"Débit",$L4527)),-IF($P4527=1,-$K4527,$K4527),0))))</f>
        <v/>
      </c>
      <c r="U4527" s="6" t="str">
        <f>IF($K4527="","",IF(ISNUMBER(SEARCH("sortie-epargne",IFERROR(INDEX('Paramètres'!$N:$N,MATCH($D4527,'Paramètres'!$M:$M,0))&amp;"",""))),$K4527,0))</f>
        <v/>
      </c>
      <c r="V4527" s="6" t="str">
        <f>IF(AND($A4527&lt;&gt;"",$O4527=1,$L4527="Débit",N($Q4527)&gt;0,$A4527&gt;=Visualisation!$B$1,$A4527&lt;Visualisation!$D$1),MAX($V$1:V4526)+1,"")</f>
        <v/>
      </c>
    </row>
    <row r="4528" spans="1:22" x14ac:dyDescent="0.25">
      <c r="A4528" s="9"/>
      <c r="E4528" s="10"/>
      <c r="K4528" s="11" t="str">
        <f>IF($E4528="","",ROUND($E4528*IF(ISNA(MATCH($C4528,'Paramètres'!$D:$D,0)),1,IF(INDEX('Paramètres'!$J:$J,MATCH($C4528,'Paramètres'!$D:$D,0))="",1,INDEX('Paramètres'!$J:$J,MATCH($C4528,'Paramètres'!$D:$D,0)))),2))</f>
        <v/>
      </c>
      <c r="L4528" s="6" t="str">
        <f>IF($D4528="","",IF($F4528&lt;&gt;"",$F4528,IF(ISNA(MATCH($D4528,'Paramètres'!$M:$M,0)),"⚠ Type inconnu",IFERROR(INDEX('Paramètres'!$P:$P,MATCH($D4528,'Paramètres'!$M:$M,0))&amp;"",""))))</f>
        <v/>
      </c>
      <c r="M4528" s="6" t="str">
        <f>IF($D4528="","",IF(ISNA(MATCH($D4528,'Paramètres'!$M:$M,0)),"⚠ Type inconnu",IF($L4528="Crédit","",IFERROR(INDEX('Paramètres'!$O:$O,MATCH($D4528,'Paramètres'!$M:$M,0))&amp;"",""))))</f>
        <v/>
      </c>
      <c r="N4528" s="6" t="str">
        <f>IF($D4528="","",IFERROR(INDEX('Paramètres'!$Q:$Q,MATCH($D4528,'Paramètres'!$M:$M,0))&amp;"",""))</f>
        <v/>
      </c>
      <c r="O4528" s="6" t="str">
        <f>IF($A4528="","",IF(OR($J4528&lt;&gt;"x",$A4528&lt;=FinReleve),1,0))</f>
        <v/>
      </c>
      <c r="P4528" s="6" t="str">
        <f>IF($D4528="","",IF(AND($L4528="Crédit",OR(IFERROR(INDEX('Paramètres'!$O:$O,MATCH($D4528,'Paramètres'!$M:$M,0))&amp;"","")&lt;&gt;"",ISNUMBER(SEARCH("remboursement",IFERROR(INDEX('Paramètres'!$N:$N,MATCH($D4528,'Paramètres'!$M:$M,0))&amp;"",""))))),1,0))</f>
        <v/>
      </c>
      <c r="Q4528" s="6" t="str">
        <f>IF($K4528="","",IF(ISNUMBER(SEARCH("transfert-interne",IFERROR(INDEX('Paramètres'!$N:$N,MATCH($D4528,'Paramètres'!$M:$M,0))&amp;"",""))),0,IF($L4528="Débit",$K4528,IF($P4528=1,-$K4528,0))))</f>
        <v/>
      </c>
      <c r="R4528" s="6" t="str">
        <f>IF($K4528="","",IF($L4528="Crédit",$K4528,-$K4528))</f>
        <v/>
      </c>
      <c r="S4528" s="6" t="str">
        <f>IF($C4528="","",IFERROR(INDEX('Paramètres'!$H:$H,MATCH($C4528,'Paramètres'!$D:$D,0))&amp;"",""))</f>
        <v/>
      </c>
      <c r="T4528" s="6" t="str">
        <f>IF($K4528="","",IF($S4528="",0,IF(ISNUMBER(SEARCH("apport-exterieur",IFERROR(INDEX('Paramètres'!$N:$N,MATCH($D4528,'Paramètres'!$M:$M,0))&amp;"",""))),0,IF(OR(IFERROR(INDEX('Paramètres'!$I:$I,MATCH($C4528,'Paramètres'!$D:$D,0))&amp;"","")="Les deux",IFERROR(INDEX('Paramètres'!$I:$I,MATCH($C4528,'Paramètres'!$D:$D,0))&amp;"","")=IF($P4528=1,"Débit",$L4528)),-IF($P4528=1,-$K4528,$K4528),0))))</f>
        <v/>
      </c>
      <c r="U4528" s="6" t="str">
        <f>IF($K4528="","",IF(ISNUMBER(SEARCH("sortie-epargne",IFERROR(INDEX('Paramètres'!$N:$N,MATCH($D4528,'Paramètres'!$M:$M,0))&amp;"",""))),$K4528,0))</f>
        <v/>
      </c>
      <c r="V4528" s="6" t="str">
        <f>IF(AND($A4528&lt;&gt;"",$O4528=1,$L4528="Débit",N($Q4528)&gt;0,$A4528&gt;=Visualisation!$B$1,$A4528&lt;Visualisation!$D$1),MAX($V$1:V4527)+1,"")</f>
        <v/>
      </c>
    </row>
    <row r="4529" spans="1:22" x14ac:dyDescent="0.25">
      <c r="A4529" s="9"/>
      <c r="E4529" s="10"/>
      <c r="K4529" s="11" t="str">
        <f>IF($E4529="","",ROUND($E4529*IF(ISNA(MATCH($C4529,'Paramètres'!$D:$D,0)),1,IF(INDEX('Paramètres'!$J:$J,MATCH($C4529,'Paramètres'!$D:$D,0))="",1,INDEX('Paramètres'!$J:$J,MATCH($C4529,'Paramètres'!$D:$D,0)))),2))</f>
        <v/>
      </c>
      <c r="L4529" s="6" t="str">
        <f>IF($D4529="","",IF($F4529&lt;&gt;"",$F4529,IF(ISNA(MATCH($D4529,'Paramètres'!$M:$M,0)),"⚠ Type inconnu",IFERROR(INDEX('Paramètres'!$P:$P,MATCH($D4529,'Paramètres'!$M:$M,0))&amp;"",""))))</f>
        <v/>
      </c>
      <c r="M4529" s="6" t="str">
        <f>IF($D4529="","",IF(ISNA(MATCH($D4529,'Paramètres'!$M:$M,0)),"⚠ Type inconnu",IF($L4529="Crédit","",IFERROR(INDEX('Paramètres'!$O:$O,MATCH($D4529,'Paramètres'!$M:$M,0))&amp;"",""))))</f>
        <v/>
      </c>
      <c r="N4529" s="6" t="str">
        <f>IF($D4529="","",IFERROR(INDEX('Paramètres'!$Q:$Q,MATCH($D4529,'Paramètres'!$M:$M,0))&amp;"",""))</f>
        <v/>
      </c>
      <c r="O4529" s="6" t="str">
        <f>IF($A4529="","",IF(OR($J4529&lt;&gt;"x",$A4529&lt;=FinReleve),1,0))</f>
        <v/>
      </c>
      <c r="P4529" s="6" t="str">
        <f>IF($D4529="","",IF(AND($L4529="Crédit",OR(IFERROR(INDEX('Paramètres'!$O:$O,MATCH($D4529,'Paramètres'!$M:$M,0))&amp;"","")&lt;&gt;"",ISNUMBER(SEARCH("remboursement",IFERROR(INDEX('Paramètres'!$N:$N,MATCH($D4529,'Paramètres'!$M:$M,0))&amp;"",""))))),1,0))</f>
        <v/>
      </c>
      <c r="Q4529" s="6" t="str">
        <f>IF($K4529="","",IF(ISNUMBER(SEARCH("transfert-interne",IFERROR(INDEX('Paramètres'!$N:$N,MATCH($D4529,'Paramètres'!$M:$M,0))&amp;"",""))),0,IF($L4529="Débit",$K4529,IF($P4529=1,-$K4529,0))))</f>
        <v/>
      </c>
      <c r="R4529" s="6" t="str">
        <f>IF($K4529="","",IF($L4529="Crédit",$K4529,-$K4529))</f>
        <v/>
      </c>
      <c r="S4529" s="6" t="str">
        <f>IF($C4529="","",IFERROR(INDEX('Paramètres'!$H:$H,MATCH($C4529,'Paramètres'!$D:$D,0))&amp;"",""))</f>
        <v/>
      </c>
      <c r="T4529" s="6" t="str">
        <f>IF($K4529="","",IF($S4529="",0,IF(ISNUMBER(SEARCH("apport-exterieur",IFERROR(INDEX('Paramètres'!$N:$N,MATCH($D4529,'Paramètres'!$M:$M,0))&amp;"",""))),0,IF(OR(IFERROR(INDEX('Paramètres'!$I:$I,MATCH($C4529,'Paramètres'!$D:$D,0))&amp;"","")="Les deux",IFERROR(INDEX('Paramètres'!$I:$I,MATCH($C4529,'Paramètres'!$D:$D,0))&amp;"","")=IF($P4529=1,"Débit",$L4529)),-IF($P4529=1,-$K4529,$K4529),0))))</f>
        <v/>
      </c>
      <c r="U4529" s="6" t="str">
        <f>IF($K4529="","",IF(ISNUMBER(SEARCH("sortie-epargne",IFERROR(INDEX('Paramètres'!$N:$N,MATCH($D4529,'Paramètres'!$M:$M,0))&amp;"",""))),$K4529,0))</f>
        <v/>
      </c>
      <c r="V4529" s="6" t="str">
        <f>IF(AND($A4529&lt;&gt;"",$O4529=1,$L4529="Débit",N($Q4529)&gt;0,$A4529&gt;=Visualisation!$B$1,$A4529&lt;Visualisation!$D$1),MAX($V$1:V4528)+1,"")</f>
        <v/>
      </c>
    </row>
    <row r="4530" spans="1:22" x14ac:dyDescent="0.25">
      <c r="A4530" s="9"/>
      <c r="E4530" s="10"/>
      <c r="K4530" s="11" t="str">
        <f>IF($E4530="","",ROUND($E4530*IF(ISNA(MATCH($C4530,'Paramètres'!$D:$D,0)),1,IF(INDEX('Paramètres'!$J:$J,MATCH($C4530,'Paramètres'!$D:$D,0))="",1,INDEX('Paramètres'!$J:$J,MATCH($C4530,'Paramètres'!$D:$D,0)))),2))</f>
        <v/>
      </c>
      <c r="L4530" s="6" t="str">
        <f>IF($D4530="","",IF($F4530&lt;&gt;"",$F4530,IF(ISNA(MATCH($D4530,'Paramètres'!$M:$M,0)),"⚠ Type inconnu",IFERROR(INDEX('Paramètres'!$P:$P,MATCH($D4530,'Paramètres'!$M:$M,0))&amp;"",""))))</f>
        <v/>
      </c>
      <c r="M4530" s="6" t="str">
        <f>IF($D4530="","",IF(ISNA(MATCH($D4530,'Paramètres'!$M:$M,0)),"⚠ Type inconnu",IF($L4530="Crédit","",IFERROR(INDEX('Paramètres'!$O:$O,MATCH($D4530,'Paramètres'!$M:$M,0))&amp;"",""))))</f>
        <v/>
      </c>
      <c r="N4530" s="6" t="str">
        <f>IF($D4530="","",IFERROR(INDEX('Paramètres'!$Q:$Q,MATCH($D4530,'Paramètres'!$M:$M,0))&amp;"",""))</f>
        <v/>
      </c>
      <c r="O4530" s="6" t="str">
        <f>IF($A4530="","",IF(OR($J4530&lt;&gt;"x",$A4530&lt;=FinReleve),1,0))</f>
        <v/>
      </c>
      <c r="P4530" s="6" t="str">
        <f>IF($D4530="","",IF(AND($L4530="Crédit",OR(IFERROR(INDEX('Paramètres'!$O:$O,MATCH($D4530,'Paramètres'!$M:$M,0))&amp;"","")&lt;&gt;"",ISNUMBER(SEARCH("remboursement",IFERROR(INDEX('Paramètres'!$N:$N,MATCH($D4530,'Paramètres'!$M:$M,0))&amp;"",""))))),1,0))</f>
        <v/>
      </c>
      <c r="Q4530" s="6" t="str">
        <f>IF($K4530="","",IF(ISNUMBER(SEARCH("transfert-interne",IFERROR(INDEX('Paramètres'!$N:$N,MATCH($D4530,'Paramètres'!$M:$M,0))&amp;"",""))),0,IF($L4530="Débit",$K4530,IF($P4530=1,-$K4530,0))))</f>
        <v/>
      </c>
      <c r="R4530" s="6" t="str">
        <f>IF($K4530="","",IF($L4530="Crédit",$K4530,-$K4530))</f>
        <v/>
      </c>
      <c r="S4530" s="6" t="str">
        <f>IF($C4530="","",IFERROR(INDEX('Paramètres'!$H:$H,MATCH($C4530,'Paramètres'!$D:$D,0))&amp;"",""))</f>
        <v/>
      </c>
      <c r="T4530" s="6" t="str">
        <f>IF($K4530="","",IF($S4530="",0,IF(ISNUMBER(SEARCH("apport-exterieur",IFERROR(INDEX('Paramètres'!$N:$N,MATCH($D4530,'Paramètres'!$M:$M,0))&amp;"",""))),0,IF(OR(IFERROR(INDEX('Paramètres'!$I:$I,MATCH($C4530,'Paramètres'!$D:$D,0))&amp;"","")="Les deux",IFERROR(INDEX('Paramètres'!$I:$I,MATCH($C4530,'Paramètres'!$D:$D,0))&amp;"","")=IF($P4530=1,"Débit",$L4530)),-IF($P4530=1,-$K4530,$K4530),0))))</f>
        <v/>
      </c>
      <c r="U4530" s="6" t="str">
        <f>IF($K4530="","",IF(ISNUMBER(SEARCH("sortie-epargne",IFERROR(INDEX('Paramètres'!$N:$N,MATCH($D4530,'Paramètres'!$M:$M,0))&amp;"",""))),$K4530,0))</f>
        <v/>
      </c>
      <c r="V4530" s="6" t="str">
        <f>IF(AND($A4530&lt;&gt;"",$O4530=1,$L4530="Débit",N($Q4530)&gt;0,$A4530&gt;=Visualisation!$B$1,$A4530&lt;Visualisation!$D$1),MAX($V$1:V4529)+1,"")</f>
        <v/>
      </c>
    </row>
    <row r="4531" spans="1:22" x14ac:dyDescent="0.25">
      <c r="A4531" s="9"/>
      <c r="E4531" s="10"/>
      <c r="K4531" s="11" t="str">
        <f>IF($E4531="","",ROUND($E4531*IF(ISNA(MATCH($C4531,'Paramètres'!$D:$D,0)),1,IF(INDEX('Paramètres'!$J:$J,MATCH($C4531,'Paramètres'!$D:$D,0))="",1,INDEX('Paramètres'!$J:$J,MATCH($C4531,'Paramètres'!$D:$D,0)))),2))</f>
        <v/>
      </c>
      <c r="L4531" s="6" t="str">
        <f>IF($D4531="","",IF($F4531&lt;&gt;"",$F4531,IF(ISNA(MATCH($D4531,'Paramètres'!$M:$M,0)),"⚠ Type inconnu",IFERROR(INDEX('Paramètres'!$P:$P,MATCH($D4531,'Paramètres'!$M:$M,0))&amp;"",""))))</f>
        <v/>
      </c>
      <c r="M4531" s="6" t="str">
        <f>IF($D4531="","",IF(ISNA(MATCH($D4531,'Paramètres'!$M:$M,0)),"⚠ Type inconnu",IF($L4531="Crédit","",IFERROR(INDEX('Paramètres'!$O:$O,MATCH($D4531,'Paramètres'!$M:$M,0))&amp;"",""))))</f>
        <v/>
      </c>
      <c r="N4531" s="6" t="str">
        <f>IF($D4531="","",IFERROR(INDEX('Paramètres'!$Q:$Q,MATCH($D4531,'Paramètres'!$M:$M,0))&amp;"",""))</f>
        <v/>
      </c>
      <c r="O4531" s="6" t="str">
        <f>IF($A4531="","",IF(OR($J4531&lt;&gt;"x",$A4531&lt;=FinReleve),1,0))</f>
        <v/>
      </c>
      <c r="P4531" s="6" t="str">
        <f>IF($D4531="","",IF(AND($L4531="Crédit",OR(IFERROR(INDEX('Paramètres'!$O:$O,MATCH($D4531,'Paramètres'!$M:$M,0))&amp;"","")&lt;&gt;"",ISNUMBER(SEARCH("remboursement",IFERROR(INDEX('Paramètres'!$N:$N,MATCH($D4531,'Paramètres'!$M:$M,0))&amp;"",""))))),1,0))</f>
        <v/>
      </c>
      <c r="Q4531" s="6" t="str">
        <f>IF($K4531="","",IF(ISNUMBER(SEARCH("transfert-interne",IFERROR(INDEX('Paramètres'!$N:$N,MATCH($D4531,'Paramètres'!$M:$M,0))&amp;"",""))),0,IF($L4531="Débit",$K4531,IF($P4531=1,-$K4531,0))))</f>
        <v/>
      </c>
      <c r="R4531" s="6" t="str">
        <f>IF($K4531="","",IF($L4531="Crédit",$K4531,-$K4531))</f>
        <v/>
      </c>
      <c r="S4531" s="6" t="str">
        <f>IF($C4531="","",IFERROR(INDEX('Paramètres'!$H:$H,MATCH($C4531,'Paramètres'!$D:$D,0))&amp;"",""))</f>
        <v/>
      </c>
      <c r="T4531" s="6" t="str">
        <f>IF($K4531="","",IF($S4531="",0,IF(ISNUMBER(SEARCH("apport-exterieur",IFERROR(INDEX('Paramètres'!$N:$N,MATCH($D4531,'Paramètres'!$M:$M,0))&amp;"",""))),0,IF(OR(IFERROR(INDEX('Paramètres'!$I:$I,MATCH($C4531,'Paramètres'!$D:$D,0))&amp;"","")="Les deux",IFERROR(INDEX('Paramètres'!$I:$I,MATCH($C4531,'Paramètres'!$D:$D,0))&amp;"","")=IF($P4531=1,"Débit",$L4531)),-IF($P4531=1,-$K4531,$K4531),0))))</f>
        <v/>
      </c>
      <c r="U4531" s="6" t="str">
        <f>IF($K4531="","",IF(ISNUMBER(SEARCH("sortie-epargne",IFERROR(INDEX('Paramètres'!$N:$N,MATCH($D4531,'Paramètres'!$M:$M,0))&amp;"",""))),$K4531,0))</f>
        <v/>
      </c>
      <c r="V4531" s="6" t="str">
        <f>IF(AND($A4531&lt;&gt;"",$O4531=1,$L4531="Débit",N($Q4531)&gt;0,$A4531&gt;=Visualisation!$B$1,$A4531&lt;Visualisation!$D$1),MAX($V$1:V4530)+1,"")</f>
        <v/>
      </c>
    </row>
    <row r="4532" spans="1:22" x14ac:dyDescent="0.25">
      <c r="A4532" s="9"/>
      <c r="E4532" s="10"/>
      <c r="K4532" s="11" t="str">
        <f>IF($E4532="","",ROUND($E4532*IF(ISNA(MATCH($C4532,'Paramètres'!$D:$D,0)),1,IF(INDEX('Paramètres'!$J:$J,MATCH($C4532,'Paramètres'!$D:$D,0))="",1,INDEX('Paramètres'!$J:$J,MATCH($C4532,'Paramètres'!$D:$D,0)))),2))</f>
        <v/>
      </c>
      <c r="L4532" s="6" t="str">
        <f>IF($D4532="","",IF($F4532&lt;&gt;"",$F4532,IF(ISNA(MATCH($D4532,'Paramètres'!$M:$M,0)),"⚠ Type inconnu",IFERROR(INDEX('Paramètres'!$P:$P,MATCH($D4532,'Paramètres'!$M:$M,0))&amp;"",""))))</f>
        <v/>
      </c>
      <c r="M4532" s="6" t="str">
        <f>IF($D4532="","",IF(ISNA(MATCH($D4532,'Paramètres'!$M:$M,0)),"⚠ Type inconnu",IF($L4532="Crédit","",IFERROR(INDEX('Paramètres'!$O:$O,MATCH($D4532,'Paramètres'!$M:$M,0))&amp;"",""))))</f>
        <v/>
      </c>
      <c r="N4532" s="6" t="str">
        <f>IF($D4532="","",IFERROR(INDEX('Paramètres'!$Q:$Q,MATCH($D4532,'Paramètres'!$M:$M,0))&amp;"",""))</f>
        <v/>
      </c>
      <c r="O4532" s="6" t="str">
        <f>IF($A4532="","",IF(OR($J4532&lt;&gt;"x",$A4532&lt;=FinReleve),1,0))</f>
        <v/>
      </c>
      <c r="P4532" s="6" t="str">
        <f>IF($D4532="","",IF(AND($L4532="Crédit",OR(IFERROR(INDEX('Paramètres'!$O:$O,MATCH($D4532,'Paramètres'!$M:$M,0))&amp;"","")&lt;&gt;"",ISNUMBER(SEARCH("remboursement",IFERROR(INDEX('Paramètres'!$N:$N,MATCH($D4532,'Paramètres'!$M:$M,0))&amp;"",""))))),1,0))</f>
        <v/>
      </c>
      <c r="Q4532" s="6" t="str">
        <f>IF($K4532="","",IF(ISNUMBER(SEARCH("transfert-interne",IFERROR(INDEX('Paramètres'!$N:$N,MATCH($D4532,'Paramètres'!$M:$M,0))&amp;"",""))),0,IF($L4532="Débit",$K4532,IF($P4532=1,-$K4532,0))))</f>
        <v/>
      </c>
      <c r="R4532" s="6" t="str">
        <f>IF($K4532="","",IF($L4532="Crédit",$K4532,-$K4532))</f>
        <v/>
      </c>
      <c r="S4532" s="6" t="str">
        <f>IF($C4532="","",IFERROR(INDEX('Paramètres'!$H:$H,MATCH($C4532,'Paramètres'!$D:$D,0))&amp;"",""))</f>
        <v/>
      </c>
      <c r="T4532" s="6" t="str">
        <f>IF($K4532="","",IF($S4532="",0,IF(ISNUMBER(SEARCH("apport-exterieur",IFERROR(INDEX('Paramètres'!$N:$N,MATCH($D4532,'Paramètres'!$M:$M,0))&amp;"",""))),0,IF(OR(IFERROR(INDEX('Paramètres'!$I:$I,MATCH($C4532,'Paramètres'!$D:$D,0))&amp;"","")="Les deux",IFERROR(INDEX('Paramètres'!$I:$I,MATCH($C4532,'Paramètres'!$D:$D,0))&amp;"","")=IF($P4532=1,"Débit",$L4532)),-IF($P4532=1,-$K4532,$K4532),0))))</f>
        <v/>
      </c>
      <c r="U4532" s="6" t="str">
        <f>IF($K4532="","",IF(ISNUMBER(SEARCH("sortie-epargne",IFERROR(INDEX('Paramètres'!$N:$N,MATCH($D4532,'Paramètres'!$M:$M,0))&amp;"",""))),$K4532,0))</f>
        <v/>
      </c>
      <c r="V4532" s="6" t="str">
        <f>IF(AND($A4532&lt;&gt;"",$O4532=1,$L4532="Débit",N($Q4532)&gt;0,$A4532&gt;=Visualisation!$B$1,$A4532&lt;Visualisation!$D$1),MAX($V$1:V4531)+1,"")</f>
        <v/>
      </c>
    </row>
    <row r="4533" spans="1:22" x14ac:dyDescent="0.25">
      <c r="A4533" s="9"/>
      <c r="E4533" s="10"/>
      <c r="K4533" s="11" t="str">
        <f>IF($E4533="","",ROUND($E4533*IF(ISNA(MATCH($C4533,'Paramètres'!$D:$D,0)),1,IF(INDEX('Paramètres'!$J:$J,MATCH($C4533,'Paramètres'!$D:$D,0))="",1,INDEX('Paramètres'!$J:$J,MATCH($C4533,'Paramètres'!$D:$D,0)))),2))</f>
        <v/>
      </c>
      <c r="L4533" s="6" t="str">
        <f>IF($D4533="","",IF($F4533&lt;&gt;"",$F4533,IF(ISNA(MATCH($D4533,'Paramètres'!$M:$M,0)),"⚠ Type inconnu",IFERROR(INDEX('Paramètres'!$P:$P,MATCH($D4533,'Paramètres'!$M:$M,0))&amp;"",""))))</f>
        <v/>
      </c>
      <c r="M4533" s="6" t="str">
        <f>IF($D4533="","",IF(ISNA(MATCH($D4533,'Paramètres'!$M:$M,0)),"⚠ Type inconnu",IF($L4533="Crédit","",IFERROR(INDEX('Paramètres'!$O:$O,MATCH($D4533,'Paramètres'!$M:$M,0))&amp;"",""))))</f>
        <v/>
      </c>
      <c r="N4533" s="6" t="str">
        <f>IF($D4533="","",IFERROR(INDEX('Paramètres'!$Q:$Q,MATCH($D4533,'Paramètres'!$M:$M,0))&amp;"",""))</f>
        <v/>
      </c>
      <c r="O4533" s="6" t="str">
        <f>IF($A4533="","",IF(OR($J4533&lt;&gt;"x",$A4533&lt;=FinReleve),1,0))</f>
        <v/>
      </c>
      <c r="P4533" s="6" t="str">
        <f>IF($D4533="","",IF(AND($L4533="Crédit",OR(IFERROR(INDEX('Paramètres'!$O:$O,MATCH($D4533,'Paramètres'!$M:$M,0))&amp;"","")&lt;&gt;"",ISNUMBER(SEARCH("remboursement",IFERROR(INDEX('Paramètres'!$N:$N,MATCH($D4533,'Paramètres'!$M:$M,0))&amp;"",""))))),1,0))</f>
        <v/>
      </c>
      <c r="Q4533" s="6" t="str">
        <f>IF($K4533="","",IF(ISNUMBER(SEARCH("transfert-interne",IFERROR(INDEX('Paramètres'!$N:$N,MATCH($D4533,'Paramètres'!$M:$M,0))&amp;"",""))),0,IF($L4533="Débit",$K4533,IF($P4533=1,-$K4533,0))))</f>
        <v/>
      </c>
      <c r="R4533" s="6" t="str">
        <f>IF($K4533="","",IF($L4533="Crédit",$K4533,-$K4533))</f>
        <v/>
      </c>
      <c r="S4533" s="6" t="str">
        <f>IF($C4533="","",IFERROR(INDEX('Paramètres'!$H:$H,MATCH($C4533,'Paramètres'!$D:$D,0))&amp;"",""))</f>
        <v/>
      </c>
      <c r="T4533" s="6" t="str">
        <f>IF($K4533="","",IF($S4533="",0,IF(ISNUMBER(SEARCH("apport-exterieur",IFERROR(INDEX('Paramètres'!$N:$N,MATCH($D4533,'Paramètres'!$M:$M,0))&amp;"",""))),0,IF(OR(IFERROR(INDEX('Paramètres'!$I:$I,MATCH($C4533,'Paramètres'!$D:$D,0))&amp;"","")="Les deux",IFERROR(INDEX('Paramètres'!$I:$I,MATCH($C4533,'Paramètres'!$D:$D,0))&amp;"","")=IF($P4533=1,"Débit",$L4533)),-IF($P4533=1,-$K4533,$K4533),0))))</f>
        <v/>
      </c>
      <c r="U4533" s="6" t="str">
        <f>IF($K4533="","",IF(ISNUMBER(SEARCH("sortie-epargne",IFERROR(INDEX('Paramètres'!$N:$N,MATCH($D4533,'Paramètres'!$M:$M,0))&amp;"",""))),$K4533,0))</f>
        <v/>
      </c>
      <c r="V4533" s="6" t="str">
        <f>IF(AND($A4533&lt;&gt;"",$O4533=1,$L4533="Débit",N($Q4533)&gt;0,$A4533&gt;=Visualisation!$B$1,$A4533&lt;Visualisation!$D$1),MAX($V$1:V4532)+1,"")</f>
        <v/>
      </c>
    </row>
    <row r="4534" spans="1:22" x14ac:dyDescent="0.25">
      <c r="A4534" s="9"/>
      <c r="E4534" s="10"/>
      <c r="K4534" s="11" t="str">
        <f>IF($E4534="","",ROUND($E4534*IF(ISNA(MATCH($C4534,'Paramètres'!$D:$D,0)),1,IF(INDEX('Paramètres'!$J:$J,MATCH($C4534,'Paramètres'!$D:$D,0))="",1,INDEX('Paramètres'!$J:$J,MATCH($C4534,'Paramètres'!$D:$D,0)))),2))</f>
        <v/>
      </c>
      <c r="L4534" s="6" t="str">
        <f>IF($D4534="","",IF($F4534&lt;&gt;"",$F4534,IF(ISNA(MATCH($D4534,'Paramètres'!$M:$M,0)),"⚠ Type inconnu",IFERROR(INDEX('Paramètres'!$P:$P,MATCH($D4534,'Paramètres'!$M:$M,0))&amp;"",""))))</f>
        <v/>
      </c>
      <c r="M4534" s="6" t="str">
        <f>IF($D4534="","",IF(ISNA(MATCH($D4534,'Paramètres'!$M:$M,0)),"⚠ Type inconnu",IF($L4534="Crédit","",IFERROR(INDEX('Paramètres'!$O:$O,MATCH($D4534,'Paramètres'!$M:$M,0))&amp;"",""))))</f>
        <v/>
      </c>
      <c r="N4534" s="6" t="str">
        <f>IF($D4534="","",IFERROR(INDEX('Paramètres'!$Q:$Q,MATCH($D4534,'Paramètres'!$M:$M,0))&amp;"",""))</f>
        <v/>
      </c>
      <c r="O4534" s="6" t="str">
        <f>IF($A4534="","",IF(OR($J4534&lt;&gt;"x",$A4534&lt;=FinReleve),1,0))</f>
        <v/>
      </c>
      <c r="P4534" s="6" t="str">
        <f>IF($D4534="","",IF(AND($L4534="Crédit",OR(IFERROR(INDEX('Paramètres'!$O:$O,MATCH($D4534,'Paramètres'!$M:$M,0))&amp;"","")&lt;&gt;"",ISNUMBER(SEARCH("remboursement",IFERROR(INDEX('Paramètres'!$N:$N,MATCH($D4534,'Paramètres'!$M:$M,0))&amp;"",""))))),1,0))</f>
        <v/>
      </c>
      <c r="Q4534" s="6" t="str">
        <f>IF($K4534="","",IF(ISNUMBER(SEARCH("transfert-interne",IFERROR(INDEX('Paramètres'!$N:$N,MATCH($D4534,'Paramètres'!$M:$M,0))&amp;"",""))),0,IF($L4534="Débit",$K4534,IF($P4534=1,-$K4534,0))))</f>
        <v/>
      </c>
      <c r="R4534" s="6" t="str">
        <f>IF($K4534="","",IF($L4534="Crédit",$K4534,-$K4534))</f>
        <v/>
      </c>
      <c r="S4534" s="6" t="str">
        <f>IF($C4534="","",IFERROR(INDEX('Paramètres'!$H:$H,MATCH($C4534,'Paramètres'!$D:$D,0))&amp;"",""))</f>
        <v/>
      </c>
      <c r="T4534" s="6" t="str">
        <f>IF($K4534="","",IF($S4534="",0,IF(ISNUMBER(SEARCH("apport-exterieur",IFERROR(INDEX('Paramètres'!$N:$N,MATCH($D4534,'Paramètres'!$M:$M,0))&amp;"",""))),0,IF(OR(IFERROR(INDEX('Paramètres'!$I:$I,MATCH($C4534,'Paramètres'!$D:$D,0))&amp;"","")="Les deux",IFERROR(INDEX('Paramètres'!$I:$I,MATCH($C4534,'Paramètres'!$D:$D,0))&amp;"","")=IF($P4534=1,"Débit",$L4534)),-IF($P4534=1,-$K4534,$K4534),0))))</f>
        <v/>
      </c>
      <c r="U4534" s="6" t="str">
        <f>IF($K4534="","",IF(ISNUMBER(SEARCH("sortie-epargne",IFERROR(INDEX('Paramètres'!$N:$N,MATCH($D4534,'Paramètres'!$M:$M,0))&amp;"",""))),$K4534,0))</f>
        <v/>
      </c>
      <c r="V4534" s="6" t="str">
        <f>IF(AND($A4534&lt;&gt;"",$O4534=1,$L4534="Débit",N($Q4534)&gt;0,$A4534&gt;=Visualisation!$B$1,$A4534&lt;Visualisation!$D$1),MAX($V$1:V4533)+1,"")</f>
        <v/>
      </c>
    </row>
    <row r="4535" spans="1:22" x14ac:dyDescent="0.25">
      <c r="A4535" s="9"/>
      <c r="E4535" s="10"/>
      <c r="K4535" s="11" t="str">
        <f>IF($E4535="","",ROUND($E4535*IF(ISNA(MATCH($C4535,'Paramètres'!$D:$D,0)),1,IF(INDEX('Paramètres'!$J:$J,MATCH($C4535,'Paramètres'!$D:$D,0))="",1,INDEX('Paramètres'!$J:$J,MATCH($C4535,'Paramètres'!$D:$D,0)))),2))</f>
        <v/>
      </c>
      <c r="L4535" s="6" t="str">
        <f>IF($D4535="","",IF($F4535&lt;&gt;"",$F4535,IF(ISNA(MATCH($D4535,'Paramètres'!$M:$M,0)),"⚠ Type inconnu",IFERROR(INDEX('Paramètres'!$P:$P,MATCH($D4535,'Paramètres'!$M:$M,0))&amp;"",""))))</f>
        <v/>
      </c>
      <c r="M4535" s="6" t="str">
        <f>IF($D4535="","",IF(ISNA(MATCH($D4535,'Paramètres'!$M:$M,0)),"⚠ Type inconnu",IF($L4535="Crédit","",IFERROR(INDEX('Paramètres'!$O:$O,MATCH($D4535,'Paramètres'!$M:$M,0))&amp;"",""))))</f>
        <v/>
      </c>
      <c r="N4535" s="6" t="str">
        <f>IF($D4535="","",IFERROR(INDEX('Paramètres'!$Q:$Q,MATCH($D4535,'Paramètres'!$M:$M,0))&amp;"",""))</f>
        <v/>
      </c>
      <c r="O4535" s="6" t="str">
        <f>IF($A4535="","",IF(OR($J4535&lt;&gt;"x",$A4535&lt;=FinReleve),1,0))</f>
        <v/>
      </c>
      <c r="P4535" s="6" t="str">
        <f>IF($D4535="","",IF(AND($L4535="Crédit",OR(IFERROR(INDEX('Paramètres'!$O:$O,MATCH($D4535,'Paramètres'!$M:$M,0))&amp;"","")&lt;&gt;"",ISNUMBER(SEARCH("remboursement",IFERROR(INDEX('Paramètres'!$N:$N,MATCH($D4535,'Paramètres'!$M:$M,0))&amp;"",""))))),1,0))</f>
        <v/>
      </c>
      <c r="Q4535" s="6" t="str">
        <f>IF($K4535="","",IF(ISNUMBER(SEARCH("transfert-interne",IFERROR(INDEX('Paramètres'!$N:$N,MATCH($D4535,'Paramètres'!$M:$M,0))&amp;"",""))),0,IF($L4535="Débit",$K4535,IF($P4535=1,-$K4535,0))))</f>
        <v/>
      </c>
      <c r="R4535" s="6" t="str">
        <f>IF($K4535="","",IF($L4535="Crédit",$K4535,-$K4535))</f>
        <v/>
      </c>
      <c r="S4535" s="6" t="str">
        <f>IF($C4535="","",IFERROR(INDEX('Paramètres'!$H:$H,MATCH($C4535,'Paramètres'!$D:$D,0))&amp;"",""))</f>
        <v/>
      </c>
      <c r="T4535" s="6" t="str">
        <f>IF($K4535="","",IF($S4535="",0,IF(ISNUMBER(SEARCH("apport-exterieur",IFERROR(INDEX('Paramètres'!$N:$N,MATCH($D4535,'Paramètres'!$M:$M,0))&amp;"",""))),0,IF(OR(IFERROR(INDEX('Paramètres'!$I:$I,MATCH($C4535,'Paramètres'!$D:$D,0))&amp;"","")="Les deux",IFERROR(INDEX('Paramètres'!$I:$I,MATCH($C4535,'Paramètres'!$D:$D,0))&amp;"","")=IF($P4535=1,"Débit",$L4535)),-IF($P4535=1,-$K4535,$K4535),0))))</f>
        <v/>
      </c>
      <c r="U4535" s="6" t="str">
        <f>IF($K4535="","",IF(ISNUMBER(SEARCH("sortie-epargne",IFERROR(INDEX('Paramètres'!$N:$N,MATCH($D4535,'Paramètres'!$M:$M,0))&amp;"",""))),$K4535,0))</f>
        <v/>
      </c>
      <c r="V4535" s="6" t="str">
        <f>IF(AND($A4535&lt;&gt;"",$O4535=1,$L4535="Débit",N($Q4535)&gt;0,$A4535&gt;=Visualisation!$B$1,$A4535&lt;Visualisation!$D$1),MAX($V$1:V4534)+1,"")</f>
        <v/>
      </c>
    </row>
    <row r="4536" spans="1:22" x14ac:dyDescent="0.25">
      <c r="A4536" s="9"/>
      <c r="E4536" s="10"/>
      <c r="K4536" s="11" t="str">
        <f>IF($E4536="","",ROUND($E4536*IF(ISNA(MATCH($C4536,'Paramètres'!$D:$D,0)),1,IF(INDEX('Paramètres'!$J:$J,MATCH($C4536,'Paramètres'!$D:$D,0))="",1,INDEX('Paramètres'!$J:$J,MATCH($C4536,'Paramètres'!$D:$D,0)))),2))</f>
        <v/>
      </c>
      <c r="L4536" s="6" t="str">
        <f>IF($D4536="","",IF($F4536&lt;&gt;"",$F4536,IF(ISNA(MATCH($D4536,'Paramètres'!$M:$M,0)),"⚠ Type inconnu",IFERROR(INDEX('Paramètres'!$P:$P,MATCH($D4536,'Paramètres'!$M:$M,0))&amp;"",""))))</f>
        <v/>
      </c>
      <c r="M4536" s="6" t="str">
        <f>IF($D4536="","",IF(ISNA(MATCH($D4536,'Paramètres'!$M:$M,0)),"⚠ Type inconnu",IF($L4536="Crédit","",IFERROR(INDEX('Paramètres'!$O:$O,MATCH($D4536,'Paramètres'!$M:$M,0))&amp;"",""))))</f>
        <v/>
      </c>
      <c r="N4536" s="6" t="str">
        <f>IF($D4536="","",IFERROR(INDEX('Paramètres'!$Q:$Q,MATCH($D4536,'Paramètres'!$M:$M,0))&amp;"",""))</f>
        <v/>
      </c>
      <c r="O4536" s="6" t="str">
        <f>IF($A4536="","",IF(OR($J4536&lt;&gt;"x",$A4536&lt;=FinReleve),1,0))</f>
        <v/>
      </c>
      <c r="P4536" s="6" t="str">
        <f>IF($D4536="","",IF(AND($L4536="Crédit",OR(IFERROR(INDEX('Paramètres'!$O:$O,MATCH($D4536,'Paramètres'!$M:$M,0))&amp;"","")&lt;&gt;"",ISNUMBER(SEARCH("remboursement",IFERROR(INDEX('Paramètres'!$N:$N,MATCH($D4536,'Paramètres'!$M:$M,0))&amp;"",""))))),1,0))</f>
        <v/>
      </c>
      <c r="Q4536" s="6" t="str">
        <f>IF($K4536="","",IF(ISNUMBER(SEARCH("transfert-interne",IFERROR(INDEX('Paramètres'!$N:$N,MATCH($D4536,'Paramètres'!$M:$M,0))&amp;"",""))),0,IF($L4536="Débit",$K4536,IF($P4536=1,-$K4536,0))))</f>
        <v/>
      </c>
      <c r="R4536" s="6" t="str">
        <f>IF($K4536="","",IF($L4536="Crédit",$K4536,-$K4536))</f>
        <v/>
      </c>
      <c r="S4536" s="6" t="str">
        <f>IF($C4536="","",IFERROR(INDEX('Paramètres'!$H:$H,MATCH($C4536,'Paramètres'!$D:$D,0))&amp;"",""))</f>
        <v/>
      </c>
      <c r="T4536" s="6" t="str">
        <f>IF($K4536="","",IF($S4536="",0,IF(ISNUMBER(SEARCH("apport-exterieur",IFERROR(INDEX('Paramètres'!$N:$N,MATCH($D4536,'Paramètres'!$M:$M,0))&amp;"",""))),0,IF(OR(IFERROR(INDEX('Paramètres'!$I:$I,MATCH($C4536,'Paramètres'!$D:$D,0))&amp;"","")="Les deux",IFERROR(INDEX('Paramètres'!$I:$I,MATCH($C4536,'Paramètres'!$D:$D,0))&amp;"","")=IF($P4536=1,"Débit",$L4536)),-IF($P4536=1,-$K4536,$K4536),0))))</f>
        <v/>
      </c>
      <c r="U4536" s="6" t="str">
        <f>IF($K4536="","",IF(ISNUMBER(SEARCH("sortie-epargne",IFERROR(INDEX('Paramètres'!$N:$N,MATCH($D4536,'Paramètres'!$M:$M,0))&amp;"",""))),$K4536,0))</f>
        <v/>
      </c>
      <c r="V4536" s="6" t="str">
        <f>IF(AND($A4536&lt;&gt;"",$O4536=1,$L4536="Débit",N($Q4536)&gt;0,$A4536&gt;=Visualisation!$B$1,$A4536&lt;Visualisation!$D$1),MAX($V$1:V4535)+1,"")</f>
        <v/>
      </c>
    </row>
    <row r="4537" spans="1:22" x14ac:dyDescent="0.25">
      <c r="A4537" s="9"/>
      <c r="E4537" s="10"/>
      <c r="K4537" s="11" t="str">
        <f>IF($E4537="","",ROUND($E4537*IF(ISNA(MATCH($C4537,'Paramètres'!$D:$D,0)),1,IF(INDEX('Paramètres'!$J:$J,MATCH($C4537,'Paramètres'!$D:$D,0))="",1,INDEX('Paramètres'!$J:$J,MATCH($C4537,'Paramètres'!$D:$D,0)))),2))</f>
        <v/>
      </c>
      <c r="L4537" s="6" t="str">
        <f>IF($D4537="","",IF($F4537&lt;&gt;"",$F4537,IF(ISNA(MATCH($D4537,'Paramètres'!$M:$M,0)),"⚠ Type inconnu",IFERROR(INDEX('Paramètres'!$P:$P,MATCH($D4537,'Paramètres'!$M:$M,0))&amp;"",""))))</f>
        <v/>
      </c>
      <c r="M4537" s="6" t="str">
        <f>IF($D4537="","",IF(ISNA(MATCH($D4537,'Paramètres'!$M:$M,0)),"⚠ Type inconnu",IF($L4537="Crédit","",IFERROR(INDEX('Paramètres'!$O:$O,MATCH($D4537,'Paramètres'!$M:$M,0))&amp;"",""))))</f>
        <v/>
      </c>
      <c r="N4537" s="6" t="str">
        <f>IF($D4537="","",IFERROR(INDEX('Paramètres'!$Q:$Q,MATCH($D4537,'Paramètres'!$M:$M,0))&amp;"",""))</f>
        <v/>
      </c>
      <c r="O4537" s="6" t="str">
        <f>IF($A4537="","",IF(OR($J4537&lt;&gt;"x",$A4537&lt;=FinReleve),1,0))</f>
        <v/>
      </c>
      <c r="P4537" s="6" t="str">
        <f>IF($D4537="","",IF(AND($L4537="Crédit",OR(IFERROR(INDEX('Paramètres'!$O:$O,MATCH($D4537,'Paramètres'!$M:$M,0))&amp;"","")&lt;&gt;"",ISNUMBER(SEARCH("remboursement",IFERROR(INDEX('Paramètres'!$N:$N,MATCH($D4537,'Paramètres'!$M:$M,0))&amp;"",""))))),1,0))</f>
        <v/>
      </c>
      <c r="Q4537" s="6" t="str">
        <f>IF($K4537="","",IF(ISNUMBER(SEARCH("transfert-interne",IFERROR(INDEX('Paramètres'!$N:$N,MATCH($D4537,'Paramètres'!$M:$M,0))&amp;"",""))),0,IF($L4537="Débit",$K4537,IF($P4537=1,-$K4537,0))))</f>
        <v/>
      </c>
      <c r="R4537" s="6" t="str">
        <f>IF($K4537="","",IF($L4537="Crédit",$K4537,-$K4537))</f>
        <v/>
      </c>
      <c r="S4537" s="6" t="str">
        <f>IF($C4537="","",IFERROR(INDEX('Paramètres'!$H:$H,MATCH($C4537,'Paramètres'!$D:$D,0))&amp;"",""))</f>
        <v/>
      </c>
      <c r="T4537" s="6" t="str">
        <f>IF($K4537="","",IF($S4537="",0,IF(ISNUMBER(SEARCH("apport-exterieur",IFERROR(INDEX('Paramètres'!$N:$N,MATCH($D4537,'Paramètres'!$M:$M,0))&amp;"",""))),0,IF(OR(IFERROR(INDEX('Paramètres'!$I:$I,MATCH($C4537,'Paramètres'!$D:$D,0))&amp;"","")="Les deux",IFERROR(INDEX('Paramètres'!$I:$I,MATCH($C4537,'Paramètres'!$D:$D,0))&amp;"","")=IF($P4537=1,"Débit",$L4537)),-IF($P4537=1,-$K4537,$K4537),0))))</f>
        <v/>
      </c>
      <c r="U4537" s="6" t="str">
        <f>IF($K4537="","",IF(ISNUMBER(SEARCH("sortie-epargne",IFERROR(INDEX('Paramètres'!$N:$N,MATCH($D4537,'Paramètres'!$M:$M,0))&amp;"",""))),$K4537,0))</f>
        <v/>
      </c>
      <c r="V4537" s="6" t="str">
        <f>IF(AND($A4537&lt;&gt;"",$O4537=1,$L4537="Débit",N($Q4537)&gt;0,$A4537&gt;=Visualisation!$B$1,$A4537&lt;Visualisation!$D$1),MAX($V$1:V4536)+1,"")</f>
        <v/>
      </c>
    </row>
    <row r="4538" spans="1:22" x14ac:dyDescent="0.25">
      <c r="A4538" s="9"/>
      <c r="E4538" s="10"/>
      <c r="K4538" s="11" t="str">
        <f>IF($E4538="","",ROUND($E4538*IF(ISNA(MATCH($C4538,'Paramètres'!$D:$D,0)),1,IF(INDEX('Paramètres'!$J:$J,MATCH($C4538,'Paramètres'!$D:$D,0))="",1,INDEX('Paramètres'!$J:$J,MATCH($C4538,'Paramètres'!$D:$D,0)))),2))</f>
        <v/>
      </c>
      <c r="L4538" s="6" t="str">
        <f>IF($D4538="","",IF($F4538&lt;&gt;"",$F4538,IF(ISNA(MATCH($D4538,'Paramètres'!$M:$M,0)),"⚠ Type inconnu",IFERROR(INDEX('Paramètres'!$P:$P,MATCH($D4538,'Paramètres'!$M:$M,0))&amp;"",""))))</f>
        <v/>
      </c>
      <c r="M4538" s="6" t="str">
        <f>IF($D4538="","",IF(ISNA(MATCH($D4538,'Paramètres'!$M:$M,0)),"⚠ Type inconnu",IF($L4538="Crédit","",IFERROR(INDEX('Paramètres'!$O:$O,MATCH($D4538,'Paramètres'!$M:$M,0))&amp;"",""))))</f>
        <v/>
      </c>
      <c r="N4538" s="6" t="str">
        <f>IF($D4538="","",IFERROR(INDEX('Paramètres'!$Q:$Q,MATCH($D4538,'Paramètres'!$M:$M,0))&amp;"",""))</f>
        <v/>
      </c>
      <c r="O4538" s="6" t="str">
        <f>IF($A4538="","",IF(OR($J4538&lt;&gt;"x",$A4538&lt;=FinReleve),1,0))</f>
        <v/>
      </c>
      <c r="P4538" s="6" t="str">
        <f>IF($D4538="","",IF(AND($L4538="Crédit",OR(IFERROR(INDEX('Paramètres'!$O:$O,MATCH($D4538,'Paramètres'!$M:$M,0))&amp;"","")&lt;&gt;"",ISNUMBER(SEARCH("remboursement",IFERROR(INDEX('Paramètres'!$N:$N,MATCH($D4538,'Paramètres'!$M:$M,0))&amp;"",""))))),1,0))</f>
        <v/>
      </c>
      <c r="Q4538" s="6" t="str">
        <f>IF($K4538="","",IF(ISNUMBER(SEARCH("transfert-interne",IFERROR(INDEX('Paramètres'!$N:$N,MATCH($D4538,'Paramètres'!$M:$M,0))&amp;"",""))),0,IF($L4538="Débit",$K4538,IF($P4538=1,-$K4538,0))))</f>
        <v/>
      </c>
      <c r="R4538" s="6" t="str">
        <f>IF($K4538="","",IF($L4538="Crédit",$K4538,-$K4538))</f>
        <v/>
      </c>
      <c r="S4538" s="6" t="str">
        <f>IF($C4538="","",IFERROR(INDEX('Paramètres'!$H:$H,MATCH($C4538,'Paramètres'!$D:$D,0))&amp;"",""))</f>
        <v/>
      </c>
      <c r="T4538" s="6" t="str">
        <f>IF($K4538="","",IF($S4538="",0,IF(ISNUMBER(SEARCH("apport-exterieur",IFERROR(INDEX('Paramètres'!$N:$N,MATCH($D4538,'Paramètres'!$M:$M,0))&amp;"",""))),0,IF(OR(IFERROR(INDEX('Paramètres'!$I:$I,MATCH($C4538,'Paramètres'!$D:$D,0))&amp;"","")="Les deux",IFERROR(INDEX('Paramètres'!$I:$I,MATCH($C4538,'Paramètres'!$D:$D,0))&amp;"","")=IF($P4538=1,"Débit",$L4538)),-IF($P4538=1,-$K4538,$K4538),0))))</f>
        <v/>
      </c>
      <c r="U4538" s="6" t="str">
        <f>IF($K4538="","",IF(ISNUMBER(SEARCH("sortie-epargne",IFERROR(INDEX('Paramètres'!$N:$N,MATCH($D4538,'Paramètres'!$M:$M,0))&amp;"",""))),$K4538,0))</f>
        <v/>
      </c>
      <c r="V4538" s="6" t="str">
        <f>IF(AND($A4538&lt;&gt;"",$O4538=1,$L4538="Débit",N($Q4538)&gt;0,$A4538&gt;=Visualisation!$B$1,$A4538&lt;Visualisation!$D$1),MAX($V$1:V4537)+1,"")</f>
        <v/>
      </c>
    </row>
    <row r="4539" spans="1:22" x14ac:dyDescent="0.25">
      <c r="A4539" s="9"/>
      <c r="E4539" s="10"/>
      <c r="K4539" s="11" t="str">
        <f>IF($E4539="","",ROUND($E4539*IF(ISNA(MATCH($C4539,'Paramètres'!$D:$D,0)),1,IF(INDEX('Paramètres'!$J:$J,MATCH($C4539,'Paramètres'!$D:$D,0))="",1,INDEX('Paramètres'!$J:$J,MATCH($C4539,'Paramètres'!$D:$D,0)))),2))</f>
        <v/>
      </c>
      <c r="L4539" s="6" t="str">
        <f>IF($D4539="","",IF($F4539&lt;&gt;"",$F4539,IF(ISNA(MATCH($D4539,'Paramètres'!$M:$M,0)),"⚠ Type inconnu",IFERROR(INDEX('Paramètres'!$P:$P,MATCH($D4539,'Paramètres'!$M:$M,0))&amp;"",""))))</f>
        <v/>
      </c>
      <c r="M4539" s="6" t="str">
        <f>IF($D4539="","",IF(ISNA(MATCH($D4539,'Paramètres'!$M:$M,0)),"⚠ Type inconnu",IF($L4539="Crédit","",IFERROR(INDEX('Paramètres'!$O:$O,MATCH($D4539,'Paramètres'!$M:$M,0))&amp;"",""))))</f>
        <v/>
      </c>
      <c r="N4539" s="6" t="str">
        <f>IF($D4539="","",IFERROR(INDEX('Paramètres'!$Q:$Q,MATCH($D4539,'Paramètres'!$M:$M,0))&amp;"",""))</f>
        <v/>
      </c>
      <c r="O4539" s="6" t="str">
        <f>IF($A4539="","",IF(OR($J4539&lt;&gt;"x",$A4539&lt;=FinReleve),1,0))</f>
        <v/>
      </c>
      <c r="P4539" s="6" t="str">
        <f>IF($D4539="","",IF(AND($L4539="Crédit",OR(IFERROR(INDEX('Paramètres'!$O:$O,MATCH($D4539,'Paramètres'!$M:$M,0))&amp;"","")&lt;&gt;"",ISNUMBER(SEARCH("remboursement",IFERROR(INDEX('Paramètres'!$N:$N,MATCH($D4539,'Paramètres'!$M:$M,0))&amp;"",""))))),1,0))</f>
        <v/>
      </c>
      <c r="Q4539" s="6" t="str">
        <f>IF($K4539="","",IF(ISNUMBER(SEARCH("transfert-interne",IFERROR(INDEX('Paramètres'!$N:$N,MATCH($D4539,'Paramètres'!$M:$M,0))&amp;"",""))),0,IF($L4539="Débit",$K4539,IF($P4539=1,-$K4539,0))))</f>
        <v/>
      </c>
      <c r="R4539" s="6" t="str">
        <f>IF($K4539="","",IF($L4539="Crédit",$K4539,-$K4539))</f>
        <v/>
      </c>
      <c r="S4539" s="6" t="str">
        <f>IF($C4539="","",IFERROR(INDEX('Paramètres'!$H:$H,MATCH($C4539,'Paramètres'!$D:$D,0))&amp;"",""))</f>
        <v/>
      </c>
      <c r="T4539" s="6" t="str">
        <f>IF($K4539="","",IF($S4539="",0,IF(ISNUMBER(SEARCH("apport-exterieur",IFERROR(INDEX('Paramètres'!$N:$N,MATCH($D4539,'Paramètres'!$M:$M,0))&amp;"",""))),0,IF(OR(IFERROR(INDEX('Paramètres'!$I:$I,MATCH($C4539,'Paramètres'!$D:$D,0))&amp;"","")="Les deux",IFERROR(INDEX('Paramètres'!$I:$I,MATCH($C4539,'Paramètres'!$D:$D,0))&amp;"","")=IF($P4539=1,"Débit",$L4539)),-IF($P4539=1,-$K4539,$K4539),0))))</f>
        <v/>
      </c>
      <c r="U4539" s="6" t="str">
        <f>IF($K4539="","",IF(ISNUMBER(SEARCH("sortie-epargne",IFERROR(INDEX('Paramètres'!$N:$N,MATCH($D4539,'Paramètres'!$M:$M,0))&amp;"",""))),$K4539,0))</f>
        <v/>
      </c>
      <c r="V4539" s="6" t="str">
        <f>IF(AND($A4539&lt;&gt;"",$O4539=1,$L4539="Débit",N($Q4539)&gt;0,$A4539&gt;=Visualisation!$B$1,$A4539&lt;Visualisation!$D$1),MAX($V$1:V4538)+1,"")</f>
        <v/>
      </c>
    </row>
    <row r="4540" spans="1:22" x14ac:dyDescent="0.25">
      <c r="A4540" s="9"/>
      <c r="E4540" s="10"/>
      <c r="K4540" s="11" t="str">
        <f>IF($E4540="","",ROUND($E4540*IF(ISNA(MATCH($C4540,'Paramètres'!$D:$D,0)),1,IF(INDEX('Paramètres'!$J:$J,MATCH($C4540,'Paramètres'!$D:$D,0))="",1,INDEX('Paramètres'!$J:$J,MATCH($C4540,'Paramètres'!$D:$D,0)))),2))</f>
        <v/>
      </c>
      <c r="L4540" s="6" t="str">
        <f>IF($D4540="","",IF($F4540&lt;&gt;"",$F4540,IF(ISNA(MATCH($D4540,'Paramètres'!$M:$M,0)),"⚠ Type inconnu",IFERROR(INDEX('Paramètres'!$P:$P,MATCH($D4540,'Paramètres'!$M:$M,0))&amp;"",""))))</f>
        <v/>
      </c>
      <c r="M4540" s="6" t="str">
        <f>IF($D4540="","",IF(ISNA(MATCH($D4540,'Paramètres'!$M:$M,0)),"⚠ Type inconnu",IF($L4540="Crédit","",IFERROR(INDEX('Paramètres'!$O:$O,MATCH($D4540,'Paramètres'!$M:$M,0))&amp;"",""))))</f>
        <v/>
      </c>
      <c r="N4540" s="6" t="str">
        <f>IF($D4540="","",IFERROR(INDEX('Paramètres'!$Q:$Q,MATCH($D4540,'Paramètres'!$M:$M,0))&amp;"",""))</f>
        <v/>
      </c>
      <c r="O4540" s="6" t="str">
        <f>IF($A4540="","",IF(OR($J4540&lt;&gt;"x",$A4540&lt;=FinReleve),1,0))</f>
        <v/>
      </c>
      <c r="P4540" s="6" t="str">
        <f>IF($D4540="","",IF(AND($L4540="Crédit",OR(IFERROR(INDEX('Paramètres'!$O:$O,MATCH($D4540,'Paramètres'!$M:$M,0))&amp;"","")&lt;&gt;"",ISNUMBER(SEARCH("remboursement",IFERROR(INDEX('Paramètres'!$N:$N,MATCH($D4540,'Paramètres'!$M:$M,0))&amp;"",""))))),1,0))</f>
        <v/>
      </c>
      <c r="Q4540" s="6" t="str">
        <f>IF($K4540="","",IF(ISNUMBER(SEARCH("transfert-interne",IFERROR(INDEX('Paramètres'!$N:$N,MATCH($D4540,'Paramètres'!$M:$M,0))&amp;"",""))),0,IF($L4540="Débit",$K4540,IF($P4540=1,-$K4540,0))))</f>
        <v/>
      </c>
      <c r="R4540" s="6" t="str">
        <f>IF($K4540="","",IF($L4540="Crédit",$K4540,-$K4540))</f>
        <v/>
      </c>
      <c r="S4540" s="6" t="str">
        <f>IF($C4540="","",IFERROR(INDEX('Paramètres'!$H:$H,MATCH($C4540,'Paramètres'!$D:$D,0))&amp;"",""))</f>
        <v/>
      </c>
      <c r="T4540" s="6" t="str">
        <f>IF($K4540="","",IF($S4540="",0,IF(ISNUMBER(SEARCH("apport-exterieur",IFERROR(INDEX('Paramètres'!$N:$N,MATCH($D4540,'Paramètres'!$M:$M,0))&amp;"",""))),0,IF(OR(IFERROR(INDEX('Paramètres'!$I:$I,MATCH($C4540,'Paramètres'!$D:$D,0))&amp;"","")="Les deux",IFERROR(INDEX('Paramètres'!$I:$I,MATCH($C4540,'Paramètres'!$D:$D,0))&amp;"","")=IF($P4540=1,"Débit",$L4540)),-IF($P4540=1,-$K4540,$K4540),0))))</f>
        <v/>
      </c>
      <c r="U4540" s="6" t="str">
        <f>IF($K4540="","",IF(ISNUMBER(SEARCH("sortie-epargne",IFERROR(INDEX('Paramètres'!$N:$N,MATCH($D4540,'Paramètres'!$M:$M,0))&amp;"",""))),$K4540,0))</f>
        <v/>
      </c>
      <c r="V4540" s="6" t="str">
        <f>IF(AND($A4540&lt;&gt;"",$O4540=1,$L4540="Débit",N($Q4540)&gt;0,$A4540&gt;=Visualisation!$B$1,$A4540&lt;Visualisation!$D$1),MAX($V$1:V4539)+1,"")</f>
        <v/>
      </c>
    </row>
    <row r="4541" spans="1:22" x14ac:dyDescent="0.25">
      <c r="A4541" s="9"/>
      <c r="E4541" s="10"/>
      <c r="K4541" s="11" t="str">
        <f>IF($E4541="","",ROUND($E4541*IF(ISNA(MATCH($C4541,'Paramètres'!$D:$D,0)),1,IF(INDEX('Paramètres'!$J:$J,MATCH($C4541,'Paramètres'!$D:$D,0))="",1,INDEX('Paramètres'!$J:$J,MATCH($C4541,'Paramètres'!$D:$D,0)))),2))</f>
        <v/>
      </c>
      <c r="L4541" s="6" t="str">
        <f>IF($D4541="","",IF($F4541&lt;&gt;"",$F4541,IF(ISNA(MATCH($D4541,'Paramètres'!$M:$M,0)),"⚠ Type inconnu",IFERROR(INDEX('Paramètres'!$P:$P,MATCH($D4541,'Paramètres'!$M:$M,0))&amp;"",""))))</f>
        <v/>
      </c>
      <c r="M4541" s="6" t="str">
        <f>IF($D4541="","",IF(ISNA(MATCH($D4541,'Paramètres'!$M:$M,0)),"⚠ Type inconnu",IF($L4541="Crédit","",IFERROR(INDEX('Paramètres'!$O:$O,MATCH($D4541,'Paramètres'!$M:$M,0))&amp;"",""))))</f>
        <v/>
      </c>
      <c r="N4541" s="6" t="str">
        <f>IF($D4541="","",IFERROR(INDEX('Paramètres'!$Q:$Q,MATCH($D4541,'Paramètres'!$M:$M,0))&amp;"",""))</f>
        <v/>
      </c>
      <c r="O4541" s="6" t="str">
        <f>IF($A4541="","",IF(OR($J4541&lt;&gt;"x",$A4541&lt;=FinReleve),1,0))</f>
        <v/>
      </c>
      <c r="P4541" s="6" t="str">
        <f>IF($D4541="","",IF(AND($L4541="Crédit",OR(IFERROR(INDEX('Paramètres'!$O:$O,MATCH($D4541,'Paramètres'!$M:$M,0))&amp;"","")&lt;&gt;"",ISNUMBER(SEARCH("remboursement",IFERROR(INDEX('Paramètres'!$N:$N,MATCH($D4541,'Paramètres'!$M:$M,0))&amp;"",""))))),1,0))</f>
        <v/>
      </c>
      <c r="Q4541" s="6" t="str">
        <f>IF($K4541="","",IF(ISNUMBER(SEARCH("transfert-interne",IFERROR(INDEX('Paramètres'!$N:$N,MATCH($D4541,'Paramètres'!$M:$M,0))&amp;"",""))),0,IF($L4541="Débit",$K4541,IF($P4541=1,-$K4541,0))))</f>
        <v/>
      </c>
      <c r="R4541" s="6" t="str">
        <f>IF($K4541="","",IF($L4541="Crédit",$K4541,-$K4541))</f>
        <v/>
      </c>
      <c r="S4541" s="6" t="str">
        <f>IF($C4541="","",IFERROR(INDEX('Paramètres'!$H:$H,MATCH($C4541,'Paramètres'!$D:$D,0))&amp;"",""))</f>
        <v/>
      </c>
      <c r="T4541" s="6" t="str">
        <f>IF($K4541="","",IF($S4541="",0,IF(ISNUMBER(SEARCH("apport-exterieur",IFERROR(INDEX('Paramètres'!$N:$N,MATCH($D4541,'Paramètres'!$M:$M,0))&amp;"",""))),0,IF(OR(IFERROR(INDEX('Paramètres'!$I:$I,MATCH($C4541,'Paramètres'!$D:$D,0))&amp;"","")="Les deux",IFERROR(INDEX('Paramètres'!$I:$I,MATCH($C4541,'Paramètres'!$D:$D,0))&amp;"","")=IF($P4541=1,"Débit",$L4541)),-IF($P4541=1,-$K4541,$K4541),0))))</f>
        <v/>
      </c>
      <c r="U4541" s="6" t="str">
        <f>IF($K4541="","",IF(ISNUMBER(SEARCH("sortie-epargne",IFERROR(INDEX('Paramètres'!$N:$N,MATCH($D4541,'Paramètres'!$M:$M,0))&amp;"",""))),$K4541,0))</f>
        <v/>
      </c>
      <c r="V4541" s="6" t="str">
        <f>IF(AND($A4541&lt;&gt;"",$O4541=1,$L4541="Débit",N($Q4541)&gt;0,$A4541&gt;=Visualisation!$B$1,$A4541&lt;Visualisation!$D$1),MAX($V$1:V4540)+1,"")</f>
        <v/>
      </c>
    </row>
    <row r="4542" spans="1:22" x14ac:dyDescent="0.25">
      <c r="A4542" s="9"/>
      <c r="E4542" s="10"/>
      <c r="K4542" s="11" t="str">
        <f>IF($E4542="","",ROUND($E4542*IF(ISNA(MATCH($C4542,'Paramètres'!$D:$D,0)),1,IF(INDEX('Paramètres'!$J:$J,MATCH($C4542,'Paramètres'!$D:$D,0))="",1,INDEX('Paramètres'!$J:$J,MATCH($C4542,'Paramètres'!$D:$D,0)))),2))</f>
        <v/>
      </c>
      <c r="L4542" s="6" t="str">
        <f>IF($D4542="","",IF($F4542&lt;&gt;"",$F4542,IF(ISNA(MATCH($D4542,'Paramètres'!$M:$M,0)),"⚠ Type inconnu",IFERROR(INDEX('Paramètres'!$P:$P,MATCH($D4542,'Paramètres'!$M:$M,0))&amp;"",""))))</f>
        <v/>
      </c>
      <c r="M4542" s="6" t="str">
        <f>IF($D4542="","",IF(ISNA(MATCH($D4542,'Paramètres'!$M:$M,0)),"⚠ Type inconnu",IF($L4542="Crédit","",IFERROR(INDEX('Paramètres'!$O:$O,MATCH($D4542,'Paramètres'!$M:$M,0))&amp;"",""))))</f>
        <v/>
      </c>
      <c r="N4542" s="6" t="str">
        <f>IF($D4542="","",IFERROR(INDEX('Paramètres'!$Q:$Q,MATCH($D4542,'Paramètres'!$M:$M,0))&amp;"",""))</f>
        <v/>
      </c>
      <c r="O4542" s="6" t="str">
        <f>IF($A4542="","",IF(OR($J4542&lt;&gt;"x",$A4542&lt;=FinReleve),1,0))</f>
        <v/>
      </c>
      <c r="P4542" s="6" t="str">
        <f>IF($D4542="","",IF(AND($L4542="Crédit",OR(IFERROR(INDEX('Paramètres'!$O:$O,MATCH($D4542,'Paramètres'!$M:$M,0))&amp;"","")&lt;&gt;"",ISNUMBER(SEARCH("remboursement",IFERROR(INDEX('Paramètres'!$N:$N,MATCH($D4542,'Paramètres'!$M:$M,0))&amp;"",""))))),1,0))</f>
        <v/>
      </c>
      <c r="Q4542" s="6" t="str">
        <f>IF($K4542="","",IF(ISNUMBER(SEARCH("transfert-interne",IFERROR(INDEX('Paramètres'!$N:$N,MATCH($D4542,'Paramètres'!$M:$M,0))&amp;"",""))),0,IF($L4542="Débit",$K4542,IF($P4542=1,-$K4542,0))))</f>
        <v/>
      </c>
      <c r="R4542" s="6" t="str">
        <f>IF($K4542="","",IF($L4542="Crédit",$K4542,-$K4542))</f>
        <v/>
      </c>
      <c r="S4542" s="6" t="str">
        <f>IF($C4542="","",IFERROR(INDEX('Paramètres'!$H:$H,MATCH($C4542,'Paramètres'!$D:$D,0))&amp;"",""))</f>
        <v/>
      </c>
      <c r="T4542" s="6" t="str">
        <f>IF($K4542="","",IF($S4542="",0,IF(ISNUMBER(SEARCH("apport-exterieur",IFERROR(INDEX('Paramètres'!$N:$N,MATCH($D4542,'Paramètres'!$M:$M,0))&amp;"",""))),0,IF(OR(IFERROR(INDEX('Paramètres'!$I:$I,MATCH($C4542,'Paramètres'!$D:$D,0))&amp;"","")="Les deux",IFERROR(INDEX('Paramètres'!$I:$I,MATCH($C4542,'Paramètres'!$D:$D,0))&amp;"","")=IF($P4542=1,"Débit",$L4542)),-IF($P4542=1,-$K4542,$K4542),0))))</f>
        <v/>
      </c>
      <c r="U4542" s="6" t="str">
        <f>IF($K4542="","",IF(ISNUMBER(SEARCH("sortie-epargne",IFERROR(INDEX('Paramètres'!$N:$N,MATCH($D4542,'Paramètres'!$M:$M,0))&amp;"",""))),$K4542,0))</f>
        <v/>
      </c>
      <c r="V4542" s="6" t="str">
        <f>IF(AND($A4542&lt;&gt;"",$O4542=1,$L4542="Débit",N($Q4542)&gt;0,$A4542&gt;=Visualisation!$B$1,$A4542&lt;Visualisation!$D$1),MAX($V$1:V4541)+1,"")</f>
        <v/>
      </c>
    </row>
    <row r="4543" spans="1:22" x14ac:dyDescent="0.25">
      <c r="A4543" s="9"/>
      <c r="E4543" s="10"/>
      <c r="K4543" s="11" t="str">
        <f>IF($E4543="","",ROUND($E4543*IF(ISNA(MATCH($C4543,'Paramètres'!$D:$D,0)),1,IF(INDEX('Paramètres'!$J:$J,MATCH($C4543,'Paramètres'!$D:$D,0))="",1,INDEX('Paramètres'!$J:$J,MATCH($C4543,'Paramètres'!$D:$D,0)))),2))</f>
        <v/>
      </c>
      <c r="L4543" s="6" t="str">
        <f>IF($D4543="","",IF($F4543&lt;&gt;"",$F4543,IF(ISNA(MATCH($D4543,'Paramètres'!$M:$M,0)),"⚠ Type inconnu",IFERROR(INDEX('Paramètres'!$P:$P,MATCH($D4543,'Paramètres'!$M:$M,0))&amp;"",""))))</f>
        <v/>
      </c>
      <c r="M4543" s="6" t="str">
        <f>IF($D4543="","",IF(ISNA(MATCH($D4543,'Paramètres'!$M:$M,0)),"⚠ Type inconnu",IF($L4543="Crédit","",IFERROR(INDEX('Paramètres'!$O:$O,MATCH($D4543,'Paramètres'!$M:$M,0))&amp;"",""))))</f>
        <v/>
      </c>
      <c r="N4543" s="6" t="str">
        <f>IF($D4543="","",IFERROR(INDEX('Paramètres'!$Q:$Q,MATCH($D4543,'Paramètres'!$M:$M,0))&amp;"",""))</f>
        <v/>
      </c>
      <c r="O4543" s="6" t="str">
        <f>IF($A4543="","",IF(OR($J4543&lt;&gt;"x",$A4543&lt;=FinReleve),1,0))</f>
        <v/>
      </c>
      <c r="P4543" s="6" t="str">
        <f>IF($D4543="","",IF(AND($L4543="Crédit",OR(IFERROR(INDEX('Paramètres'!$O:$O,MATCH($D4543,'Paramètres'!$M:$M,0))&amp;"","")&lt;&gt;"",ISNUMBER(SEARCH("remboursement",IFERROR(INDEX('Paramètres'!$N:$N,MATCH($D4543,'Paramètres'!$M:$M,0))&amp;"",""))))),1,0))</f>
        <v/>
      </c>
      <c r="Q4543" s="6" t="str">
        <f>IF($K4543="","",IF(ISNUMBER(SEARCH("transfert-interne",IFERROR(INDEX('Paramètres'!$N:$N,MATCH($D4543,'Paramètres'!$M:$M,0))&amp;"",""))),0,IF($L4543="Débit",$K4543,IF($P4543=1,-$K4543,0))))</f>
        <v/>
      </c>
      <c r="R4543" s="6" t="str">
        <f>IF($K4543="","",IF($L4543="Crédit",$K4543,-$K4543))</f>
        <v/>
      </c>
      <c r="S4543" s="6" t="str">
        <f>IF($C4543="","",IFERROR(INDEX('Paramètres'!$H:$H,MATCH($C4543,'Paramètres'!$D:$D,0))&amp;"",""))</f>
        <v/>
      </c>
      <c r="T4543" s="6" t="str">
        <f>IF($K4543="","",IF($S4543="",0,IF(ISNUMBER(SEARCH("apport-exterieur",IFERROR(INDEX('Paramètres'!$N:$N,MATCH($D4543,'Paramètres'!$M:$M,0))&amp;"",""))),0,IF(OR(IFERROR(INDEX('Paramètres'!$I:$I,MATCH($C4543,'Paramètres'!$D:$D,0))&amp;"","")="Les deux",IFERROR(INDEX('Paramètres'!$I:$I,MATCH($C4543,'Paramètres'!$D:$D,0))&amp;"","")=IF($P4543=1,"Débit",$L4543)),-IF($P4543=1,-$K4543,$K4543),0))))</f>
        <v/>
      </c>
      <c r="U4543" s="6" t="str">
        <f>IF($K4543="","",IF(ISNUMBER(SEARCH("sortie-epargne",IFERROR(INDEX('Paramètres'!$N:$N,MATCH($D4543,'Paramètres'!$M:$M,0))&amp;"",""))),$K4543,0))</f>
        <v/>
      </c>
      <c r="V4543" s="6" t="str">
        <f>IF(AND($A4543&lt;&gt;"",$O4543=1,$L4543="Débit",N($Q4543)&gt;0,$A4543&gt;=Visualisation!$B$1,$A4543&lt;Visualisation!$D$1),MAX($V$1:V4542)+1,"")</f>
        <v/>
      </c>
    </row>
    <row r="4544" spans="1:22" x14ac:dyDescent="0.25">
      <c r="A4544" s="9"/>
      <c r="E4544" s="10"/>
      <c r="K4544" s="11" t="str">
        <f>IF($E4544="","",ROUND($E4544*IF(ISNA(MATCH($C4544,'Paramètres'!$D:$D,0)),1,IF(INDEX('Paramètres'!$J:$J,MATCH($C4544,'Paramètres'!$D:$D,0))="",1,INDEX('Paramètres'!$J:$J,MATCH($C4544,'Paramètres'!$D:$D,0)))),2))</f>
        <v/>
      </c>
      <c r="L4544" s="6" t="str">
        <f>IF($D4544="","",IF($F4544&lt;&gt;"",$F4544,IF(ISNA(MATCH($D4544,'Paramètres'!$M:$M,0)),"⚠ Type inconnu",IFERROR(INDEX('Paramètres'!$P:$P,MATCH($D4544,'Paramètres'!$M:$M,0))&amp;"",""))))</f>
        <v/>
      </c>
      <c r="M4544" s="6" t="str">
        <f>IF($D4544="","",IF(ISNA(MATCH($D4544,'Paramètres'!$M:$M,0)),"⚠ Type inconnu",IF($L4544="Crédit","",IFERROR(INDEX('Paramètres'!$O:$O,MATCH($D4544,'Paramètres'!$M:$M,0))&amp;"",""))))</f>
        <v/>
      </c>
      <c r="N4544" s="6" t="str">
        <f>IF($D4544="","",IFERROR(INDEX('Paramètres'!$Q:$Q,MATCH($D4544,'Paramètres'!$M:$M,0))&amp;"",""))</f>
        <v/>
      </c>
      <c r="O4544" s="6" t="str">
        <f>IF($A4544="","",IF(OR($J4544&lt;&gt;"x",$A4544&lt;=FinReleve),1,0))</f>
        <v/>
      </c>
      <c r="P4544" s="6" t="str">
        <f>IF($D4544="","",IF(AND($L4544="Crédit",OR(IFERROR(INDEX('Paramètres'!$O:$O,MATCH($D4544,'Paramètres'!$M:$M,0))&amp;"","")&lt;&gt;"",ISNUMBER(SEARCH("remboursement",IFERROR(INDEX('Paramètres'!$N:$N,MATCH($D4544,'Paramètres'!$M:$M,0))&amp;"",""))))),1,0))</f>
        <v/>
      </c>
      <c r="Q4544" s="6" t="str">
        <f>IF($K4544="","",IF(ISNUMBER(SEARCH("transfert-interne",IFERROR(INDEX('Paramètres'!$N:$N,MATCH($D4544,'Paramètres'!$M:$M,0))&amp;"",""))),0,IF($L4544="Débit",$K4544,IF($P4544=1,-$K4544,0))))</f>
        <v/>
      </c>
      <c r="R4544" s="6" t="str">
        <f>IF($K4544="","",IF($L4544="Crédit",$K4544,-$K4544))</f>
        <v/>
      </c>
      <c r="S4544" s="6" t="str">
        <f>IF($C4544="","",IFERROR(INDEX('Paramètres'!$H:$H,MATCH($C4544,'Paramètres'!$D:$D,0))&amp;"",""))</f>
        <v/>
      </c>
      <c r="T4544" s="6" t="str">
        <f>IF($K4544="","",IF($S4544="",0,IF(ISNUMBER(SEARCH("apport-exterieur",IFERROR(INDEX('Paramètres'!$N:$N,MATCH($D4544,'Paramètres'!$M:$M,0))&amp;"",""))),0,IF(OR(IFERROR(INDEX('Paramètres'!$I:$I,MATCH($C4544,'Paramètres'!$D:$D,0))&amp;"","")="Les deux",IFERROR(INDEX('Paramètres'!$I:$I,MATCH($C4544,'Paramètres'!$D:$D,0))&amp;"","")=IF($P4544=1,"Débit",$L4544)),-IF($P4544=1,-$K4544,$K4544),0))))</f>
        <v/>
      </c>
      <c r="U4544" s="6" t="str">
        <f>IF($K4544="","",IF(ISNUMBER(SEARCH("sortie-epargne",IFERROR(INDEX('Paramètres'!$N:$N,MATCH($D4544,'Paramètres'!$M:$M,0))&amp;"",""))),$K4544,0))</f>
        <v/>
      </c>
      <c r="V4544" s="6" t="str">
        <f>IF(AND($A4544&lt;&gt;"",$O4544=1,$L4544="Débit",N($Q4544)&gt;0,$A4544&gt;=Visualisation!$B$1,$A4544&lt;Visualisation!$D$1),MAX($V$1:V4543)+1,"")</f>
        <v/>
      </c>
    </row>
    <row r="4545" spans="1:22" x14ac:dyDescent="0.25">
      <c r="A4545" s="9"/>
      <c r="E4545" s="10"/>
      <c r="K4545" s="11" t="str">
        <f>IF($E4545="","",ROUND($E4545*IF(ISNA(MATCH($C4545,'Paramètres'!$D:$D,0)),1,IF(INDEX('Paramètres'!$J:$J,MATCH($C4545,'Paramètres'!$D:$D,0))="",1,INDEX('Paramètres'!$J:$J,MATCH($C4545,'Paramètres'!$D:$D,0)))),2))</f>
        <v/>
      </c>
      <c r="L4545" s="6" t="str">
        <f>IF($D4545="","",IF($F4545&lt;&gt;"",$F4545,IF(ISNA(MATCH($D4545,'Paramètres'!$M:$M,0)),"⚠ Type inconnu",IFERROR(INDEX('Paramètres'!$P:$P,MATCH($D4545,'Paramètres'!$M:$M,0))&amp;"",""))))</f>
        <v/>
      </c>
      <c r="M4545" s="6" t="str">
        <f>IF($D4545="","",IF(ISNA(MATCH($D4545,'Paramètres'!$M:$M,0)),"⚠ Type inconnu",IF($L4545="Crédit","",IFERROR(INDEX('Paramètres'!$O:$O,MATCH($D4545,'Paramètres'!$M:$M,0))&amp;"",""))))</f>
        <v/>
      </c>
      <c r="N4545" s="6" t="str">
        <f>IF($D4545="","",IFERROR(INDEX('Paramètres'!$Q:$Q,MATCH($D4545,'Paramètres'!$M:$M,0))&amp;"",""))</f>
        <v/>
      </c>
      <c r="O4545" s="6" t="str">
        <f>IF($A4545="","",IF(OR($J4545&lt;&gt;"x",$A4545&lt;=FinReleve),1,0))</f>
        <v/>
      </c>
      <c r="P4545" s="6" t="str">
        <f>IF($D4545="","",IF(AND($L4545="Crédit",OR(IFERROR(INDEX('Paramètres'!$O:$O,MATCH($D4545,'Paramètres'!$M:$M,0))&amp;"","")&lt;&gt;"",ISNUMBER(SEARCH("remboursement",IFERROR(INDEX('Paramètres'!$N:$N,MATCH($D4545,'Paramètres'!$M:$M,0))&amp;"",""))))),1,0))</f>
        <v/>
      </c>
      <c r="Q4545" s="6" t="str">
        <f>IF($K4545="","",IF(ISNUMBER(SEARCH("transfert-interne",IFERROR(INDEX('Paramètres'!$N:$N,MATCH($D4545,'Paramètres'!$M:$M,0))&amp;"",""))),0,IF($L4545="Débit",$K4545,IF($P4545=1,-$K4545,0))))</f>
        <v/>
      </c>
      <c r="R4545" s="6" t="str">
        <f>IF($K4545="","",IF($L4545="Crédit",$K4545,-$K4545))</f>
        <v/>
      </c>
      <c r="S4545" s="6" t="str">
        <f>IF($C4545="","",IFERROR(INDEX('Paramètres'!$H:$H,MATCH($C4545,'Paramètres'!$D:$D,0))&amp;"",""))</f>
        <v/>
      </c>
      <c r="T4545" s="6" t="str">
        <f>IF($K4545="","",IF($S4545="",0,IF(ISNUMBER(SEARCH("apport-exterieur",IFERROR(INDEX('Paramètres'!$N:$N,MATCH($D4545,'Paramètres'!$M:$M,0))&amp;"",""))),0,IF(OR(IFERROR(INDEX('Paramètres'!$I:$I,MATCH($C4545,'Paramètres'!$D:$D,0))&amp;"","")="Les deux",IFERROR(INDEX('Paramètres'!$I:$I,MATCH($C4545,'Paramètres'!$D:$D,0))&amp;"","")=IF($P4545=1,"Débit",$L4545)),-IF($P4545=1,-$K4545,$K4545),0))))</f>
        <v/>
      </c>
      <c r="U4545" s="6" t="str">
        <f>IF($K4545="","",IF(ISNUMBER(SEARCH("sortie-epargne",IFERROR(INDEX('Paramètres'!$N:$N,MATCH($D4545,'Paramètres'!$M:$M,0))&amp;"",""))),$K4545,0))</f>
        <v/>
      </c>
      <c r="V4545" s="6" t="str">
        <f>IF(AND($A4545&lt;&gt;"",$O4545=1,$L4545="Débit",N($Q4545)&gt;0,$A4545&gt;=Visualisation!$B$1,$A4545&lt;Visualisation!$D$1),MAX($V$1:V4544)+1,"")</f>
        <v/>
      </c>
    </row>
    <row r="4546" spans="1:22" x14ac:dyDescent="0.25">
      <c r="A4546" s="9"/>
      <c r="E4546" s="10"/>
      <c r="K4546" s="11" t="str">
        <f>IF($E4546="","",ROUND($E4546*IF(ISNA(MATCH($C4546,'Paramètres'!$D:$D,0)),1,IF(INDEX('Paramètres'!$J:$J,MATCH($C4546,'Paramètres'!$D:$D,0))="",1,INDEX('Paramètres'!$J:$J,MATCH($C4546,'Paramètres'!$D:$D,0)))),2))</f>
        <v/>
      </c>
      <c r="L4546" s="6" t="str">
        <f>IF($D4546="","",IF($F4546&lt;&gt;"",$F4546,IF(ISNA(MATCH($D4546,'Paramètres'!$M:$M,0)),"⚠ Type inconnu",IFERROR(INDEX('Paramètres'!$P:$P,MATCH($D4546,'Paramètres'!$M:$M,0))&amp;"",""))))</f>
        <v/>
      </c>
      <c r="M4546" s="6" t="str">
        <f>IF($D4546="","",IF(ISNA(MATCH($D4546,'Paramètres'!$M:$M,0)),"⚠ Type inconnu",IF($L4546="Crédit","",IFERROR(INDEX('Paramètres'!$O:$O,MATCH($D4546,'Paramètres'!$M:$M,0))&amp;"",""))))</f>
        <v/>
      </c>
      <c r="N4546" s="6" t="str">
        <f>IF($D4546="","",IFERROR(INDEX('Paramètres'!$Q:$Q,MATCH($D4546,'Paramètres'!$M:$M,0))&amp;"",""))</f>
        <v/>
      </c>
      <c r="O4546" s="6" t="str">
        <f>IF($A4546="","",IF(OR($J4546&lt;&gt;"x",$A4546&lt;=FinReleve),1,0))</f>
        <v/>
      </c>
      <c r="P4546" s="6" t="str">
        <f>IF($D4546="","",IF(AND($L4546="Crédit",OR(IFERROR(INDEX('Paramètres'!$O:$O,MATCH($D4546,'Paramètres'!$M:$M,0))&amp;"","")&lt;&gt;"",ISNUMBER(SEARCH("remboursement",IFERROR(INDEX('Paramètres'!$N:$N,MATCH($D4546,'Paramètres'!$M:$M,0))&amp;"",""))))),1,0))</f>
        <v/>
      </c>
      <c r="Q4546" s="6" t="str">
        <f>IF($K4546="","",IF(ISNUMBER(SEARCH("transfert-interne",IFERROR(INDEX('Paramètres'!$N:$N,MATCH($D4546,'Paramètres'!$M:$M,0))&amp;"",""))),0,IF($L4546="Débit",$K4546,IF($P4546=1,-$K4546,0))))</f>
        <v/>
      </c>
      <c r="R4546" s="6" t="str">
        <f>IF($K4546="","",IF($L4546="Crédit",$K4546,-$K4546))</f>
        <v/>
      </c>
      <c r="S4546" s="6" t="str">
        <f>IF($C4546="","",IFERROR(INDEX('Paramètres'!$H:$H,MATCH($C4546,'Paramètres'!$D:$D,0))&amp;"",""))</f>
        <v/>
      </c>
      <c r="T4546" s="6" t="str">
        <f>IF($K4546="","",IF($S4546="",0,IF(ISNUMBER(SEARCH("apport-exterieur",IFERROR(INDEX('Paramètres'!$N:$N,MATCH($D4546,'Paramètres'!$M:$M,0))&amp;"",""))),0,IF(OR(IFERROR(INDEX('Paramètres'!$I:$I,MATCH($C4546,'Paramètres'!$D:$D,0))&amp;"","")="Les deux",IFERROR(INDEX('Paramètres'!$I:$I,MATCH($C4546,'Paramètres'!$D:$D,0))&amp;"","")=IF($P4546=1,"Débit",$L4546)),-IF($P4546=1,-$K4546,$K4546),0))))</f>
        <v/>
      </c>
      <c r="U4546" s="6" t="str">
        <f>IF($K4546="","",IF(ISNUMBER(SEARCH("sortie-epargne",IFERROR(INDEX('Paramètres'!$N:$N,MATCH($D4546,'Paramètres'!$M:$M,0))&amp;"",""))),$K4546,0))</f>
        <v/>
      </c>
      <c r="V4546" s="6" t="str">
        <f>IF(AND($A4546&lt;&gt;"",$O4546=1,$L4546="Débit",N($Q4546)&gt;0,$A4546&gt;=Visualisation!$B$1,$A4546&lt;Visualisation!$D$1),MAX($V$1:V4545)+1,"")</f>
        <v/>
      </c>
    </row>
    <row r="4547" spans="1:22" x14ac:dyDescent="0.25">
      <c r="A4547" s="9"/>
      <c r="E4547" s="10"/>
      <c r="K4547" s="11" t="str">
        <f>IF($E4547="","",ROUND($E4547*IF(ISNA(MATCH($C4547,'Paramètres'!$D:$D,0)),1,IF(INDEX('Paramètres'!$J:$J,MATCH($C4547,'Paramètres'!$D:$D,0))="",1,INDEX('Paramètres'!$J:$J,MATCH($C4547,'Paramètres'!$D:$D,0)))),2))</f>
        <v/>
      </c>
      <c r="L4547" s="6" t="str">
        <f>IF($D4547="","",IF($F4547&lt;&gt;"",$F4547,IF(ISNA(MATCH($D4547,'Paramètres'!$M:$M,0)),"⚠ Type inconnu",IFERROR(INDEX('Paramètres'!$P:$P,MATCH($D4547,'Paramètres'!$M:$M,0))&amp;"",""))))</f>
        <v/>
      </c>
      <c r="M4547" s="6" t="str">
        <f>IF($D4547="","",IF(ISNA(MATCH($D4547,'Paramètres'!$M:$M,0)),"⚠ Type inconnu",IF($L4547="Crédit","",IFERROR(INDEX('Paramètres'!$O:$O,MATCH($D4547,'Paramètres'!$M:$M,0))&amp;"",""))))</f>
        <v/>
      </c>
      <c r="N4547" s="6" t="str">
        <f>IF($D4547="","",IFERROR(INDEX('Paramètres'!$Q:$Q,MATCH($D4547,'Paramètres'!$M:$M,0))&amp;"",""))</f>
        <v/>
      </c>
      <c r="O4547" s="6" t="str">
        <f>IF($A4547="","",IF(OR($J4547&lt;&gt;"x",$A4547&lt;=FinReleve),1,0))</f>
        <v/>
      </c>
      <c r="P4547" s="6" t="str">
        <f>IF($D4547="","",IF(AND($L4547="Crédit",OR(IFERROR(INDEX('Paramètres'!$O:$O,MATCH($D4547,'Paramètres'!$M:$M,0))&amp;"","")&lt;&gt;"",ISNUMBER(SEARCH("remboursement",IFERROR(INDEX('Paramètres'!$N:$N,MATCH($D4547,'Paramètres'!$M:$M,0))&amp;"",""))))),1,0))</f>
        <v/>
      </c>
      <c r="Q4547" s="6" t="str">
        <f>IF($K4547="","",IF(ISNUMBER(SEARCH("transfert-interne",IFERROR(INDEX('Paramètres'!$N:$N,MATCH($D4547,'Paramètres'!$M:$M,0))&amp;"",""))),0,IF($L4547="Débit",$K4547,IF($P4547=1,-$K4547,0))))</f>
        <v/>
      </c>
      <c r="R4547" s="6" t="str">
        <f>IF($K4547="","",IF($L4547="Crédit",$K4547,-$K4547))</f>
        <v/>
      </c>
      <c r="S4547" s="6" t="str">
        <f>IF($C4547="","",IFERROR(INDEX('Paramètres'!$H:$H,MATCH($C4547,'Paramètres'!$D:$D,0))&amp;"",""))</f>
        <v/>
      </c>
      <c r="T4547" s="6" t="str">
        <f>IF($K4547="","",IF($S4547="",0,IF(ISNUMBER(SEARCH("apport-exterieur",IFERROR(INDEX('Paramètres'!$N:$N,MATCH($D4547,'Paramètres'!$M:$M,0))&amp;"",""))),0,IF(OR(IFERROR(INDEX('Paramètres'!$I:$I,MATCH($C4547,'Paramètres'!$D:$D,0))&amp;"","")="Les deux",IFERROR(INDEX('Paramètres'!$I:$I,MATCH($C4547,'Paramètres'!$D:$D,0))&amp;"","")=IF($P4547=1,"Débit",$L4547)),-IF($P4547=1,-$K4547,$K4547),0))))</f>
        <v/>
      </c>
      <c r="U4547" s="6" t="str">
        <f>IF($K4547="","",IF(ISNUMBER(SEARCH("sortie-epargne",IFERROR(INDEX('Paramètres'!$N:$N,MATCH($D4547,'Paramètres'!$M:$M,0))&amp;"",""))),$K4547,0))</f>
        <v/>
      </c>
      <c r="V4547" s="6" t="str">
        <f>IF(AND($A4547&lt;&gt;"",$O4547=1,$L4547="Débit",N($Q4547)&gt;0,$A4547&gt;=Visualisation!$B$1,$A4547&lt;Visualisation!$D$1),MAX($V$1:V4546)+1,"")</f>
        <v/>
      </c>
    </row>
    <row r="4548" spans="1:22" x14ac:dyDescent="0.25">
      <c r="A4548" s="9"/>
      <c r="E4548" s="10"/>
      <c r="K4548" s="11" t="str">
        <f>IF($E4548="","",ROUND($E4548*IF(ISNA(MATCH($C4548,'Paramètres'!$D:$D,0)),1,IF(INDEX('Paramètres'!$J:$J,MATCH($C4548,'Paramètres'!$D:$D,0))="",1,INDEX('Paramètres'!$J:$J,MATCH($C4548,'Paramètres'!$D:$D,0)))),2))</f>
        <v/>
      </c>
      <c r="L4548" s="6" t="str">
        <f>IF($D4548="","",IF($F4548&lt;&gt;"",$F4548,IF(ISNA(MATCH($D4548,'Paramètres'!$M:$M,0)),"⚠ Type inconnu",IFERROR(INDEX('Paramètres'!$P:$P,MATCH($D4548,'Paramètres'!$M:$M,0))&amp;"",""))))</f>
        <v/>
      </c>
      <c r="M4548" s="6" t="str">
        <f>IF($D4548="","",IF(ISNA(MATCH($D4548,'Paramètres'!$M:$M,0)),"⚠ Type inconnu",IF($L4548="Crédit","",IFERROR(INDEX('Paramètres'!$O:$O,MATCH($D4548,'Paramètres'!$M:$M,0))&amp;"",""))))</f>
        <v/>
      </c>
      <c r="N4548" s="6" t="str">
        <f>IF($D4548="","",IFERROR(INDEX('Paramètres'!$Q:$Q,MATCH($D4548,'Paramètres'!$M:$M,0))&amp;"",""))</f>
        <v/>
      </c>
      <c r="O4548" s="6" t="str">
        <f>IF($A4548="","",IF(OR($J4548&lt;&gt;"x",$A4548&lt;=FinReleve),1,0))</f>
        <v/>
      </c>
      <c r="P4548" s="6" t="str">
        <f>IF($D4548="","",IF(AND($L4548="Crédit",OR(IFERROR(INDEX('Paramètres'!$O:$O,MATCH($D4548,'Paramètres'!$M:$M,0))&amp;"","")&lt;&gt;"",ISNUMBER(SEARCH("remboursement",IFERROR(INDEX('Paramètres'!$N:$N,MATCH($D4548,'Paramètres'!$M:$M,0))&amp;"",""))))),1,0))</f>
        <v/>
      </c>
      <c r="Q4548" s="6" t="str">
        <f>IF($K4548="","",IF(ISNUMBER(SEARCH("transfert-interne",IFERROR(INDEX('Paramètres'!$N:$N,MATCH($D4548,'Paramètres'!$M:$M,0))&amp;"",""))),0,IF($L4548="Débit",$K4548,IF($P4548=1,-$K4548,0))))</f>
        <v/>
      </c>
      <c r="R4548" s="6" t="str">
        <f>IF($K4548="","",IF($L4548="Crédit",$K4548,-$K4548))</f>
        <v/>
      </c>
      <c r="S4548" s="6" t="str">
        <f>IF($C4548="","",IFERROR(INDEX('Paramètres'!$H:$H,MATCH($C4548,'Paramètres'!$D:$D,0))&amp;"",""))</f>
        <v/>
      </c>
      <c r="T4548" s="6" t="str">
        <f>IF($K4548="","",IF($S4548="",0,IF(ISNUMBER(SEARCH("apport-exterieur",IFERROR(INDEX('Paramètres'!$N:$N,MATCH($D4548,'Paramètres'!$M:$M,0))&amp;"",""))),0,IF(OR(IFERROR(INDEX('Paramètres'!$I:$I,MATCH($C4548,'Paramètres'!$D:$D,0))&amp;"","")="Les deux",IFERROR(INDEX('Paramètres'!$I:$I,MATCH($C4548,'Paramètres'!$D:$D,0))&amp;"","")=IF($P4548=1,"Débit",$L4548)),-IF($P4548=1,-$K4548,$K4548),0))))</f>
        <v/>
      </c>
      <c r="U4548" s="6" t="str">
        <f>IF($K4548="","",IF(ISNUMBER(SEARCH("sortie-epargne",IFERROR(INDEX('Paramètres'!$N:$N,MATCH($D4548,'Paramètres'!$M:$M,0))&amp;"",""))),$K4548,0))</f>
        <v/>
      </c>
      <c r="V4548" s="6" t="str">
        <f>IF(AND($A4548&lt;&gt;"",$O4548=1,$L4548="Débit",N($Q4548)&gt;0,$A4548&gt;=Visualisation!$B$1,$A4548&lt;Visualisation!$D$1),MAX($V$1:V4547)+1,"")</f>
        <v/>
      </c>
    </row>
    <row r="4549" spans="1:22" x14ac:dyDescent="0.25">
      <c r="A4549" s="9"/>
      <c r="E4549" s="10"/>
      <c r="K4549" s="11" t="str">
        <f>IF($E4549="","",ROUND($E4549*IF(ISNA(MATCH($C4549,'Paramètres'!$D:$D,0)),1,IF(INDEX('Paramètres'!$J:$J,MATCH($C4549,'Paramètres'!$D:$D,0))="",1,INDEX('Paramètres'!$J:$J,MATCH($C4549,'Paramètres'!$D:$D,0)))),2))</f>
        <v/>
      </c>
      <c r="L4549" s="6" t="str">
        <f>IF($D4549="","",IF($F4549&lt;&gt;"",$F4549,IF(ISNA(MATCH($D4549,'Paramètres'!$M:$M,0)),"⚠ Type inconnu",IFERROR(INDEX('Paramètres'!$P:$P,MATCH($D4549,'Paramètres'!$M:$M,0))&amp;"",""))))</f>
        <v/>
      </c>
      <c r="M4549" s="6" t="str">
        <f>IF($D4549="","",IF(ISNA(MATCH($D4549,'Paramètres'!$M:$M,0)),"⚠ Type inconnu",IF($L4549="Crédit","",IFERROR(INDEX('Paramètres'!$O:$O,MATCH($D4549,'Paramètres'!$M:$M,0))&amp;"",""))))</f>
        <v/>
      </c>
      <c r="N4549" s="6" t="str">
        <f>IF($D4549="","",IFERROR(INDEX('Paramètres'!$Q:$Q,MATCH($D4549,'Paramètres'!$M:$M,0))&amp;"",""))</f>
        <v/>
      </c>
      <c r="O4549" s="6" t="str">
        <f>IF($A4549="","",IF(OR($J4549&lt;&gt;"x",$A4549&lt;=FinReleve),1,0))</f>
        <v/>
      </c>
      <c r="P4549" s="6" t="str">
        <f>IF($D4549="","",IF(AND($L4549="Crédit",OR(IFERROR(INDEX('Paramètres'!$O:$O,MATCH($D4549,'Paramètres'!$M:$M,0))&amp;"","")&lt;&gt;"",ISNUMBER(SEARCH("remboursement",IFERROR(INDEX('Paramètres'!$N:$N,MATCH($D4549,'Paramètres'!$M:$M,0))&amp;"",""))))),1,0))</f>
        <v/>
      </c>
      <c r="Q4549" s="6" t="str">
        <f>IF($K4549="","",IF(ISNUMBER(SEARCH("transfert-interne",IFERROR(INDEX('Paramètres'!$N:$N,MATCH($D4549,'Paramètres'!$M:$M,0))&amp;"",""))),0,IF($L4549="Débit",$K4549,IF($P4549=1,-$K4549,0))))</f>
        <v/>
      </c>
      <c r="R4549" s="6" t="str">
        <f>IF($K4549="","",IF($L4549="Crédit",$K4549,-$K4549))</f>
        <v/>
      </c>
      <c r="S4549" s="6" t="str">
        <f>IF($C4549="","",IFERROR(INDEX('Paramètres'!$H:$H,MATCH($C4549,'Paramètres'!$D:$D,0))&amp;"",""))</f>
        <v/>
      </c>
      <c r="T4549" s="6" t="str">
        <f>IF($K4549="","",IF($S4549="",0,IF(ISNUMBER(SEARCH("apport-exterieur",IFERROR(INDEX('Paramètres'!$N:$N,MATCH($D4549,'Paramètres'!$M:$M,0))&amp;"",""))),0,IF(OR(IFERROR(INDEX('Paramètres'!$I:$I,MATCH($C4549,'Paramètres'!$D:$D,0))&amp;"","")="Les deux",IFERROR(INDEX('Paramètres'!$I:$I,MATCH($C4549,'Paramètres'!$D:$D,0))&amp;"","")=IF($P4549=1,"Débit",$L4549)),-IF($P4549=1,-$K4549,$K4549),0))))</f>
        <v/>
      </c>
      <c r="U4549" s="6" t="str">
        <f>IF($K4549="","",IF(ISNUMBER(SEARCH("sortie-epargne",IFERROR(INDEX('Paramètres'!$N:$N,MATCH($D4549,'Paramètres'!$M:$M,0))&amp;"",""))),$K4549,0))</f>
        <v/>
      </c>
      <c r="V4549" s="6" t="str">
        <f>IF(AND($A4549&lt;&gt;"",$O4549=1,$L4549="Débit",N($Q4549)&gt;0,$A4549&gt;=Visualisation!$B$1,$A4549&lt;Visualisation!$D$1),MAX($V$1:V4548)+1,"")</f>
        <v/>
      </c>
    </row>
    <row r="4550" spans="1:22" x14ac:dyDescent="0.25">
      <c r="A4550" s="9"/>
      <c r="E4550" s="10"/>
      <c r="K4550" s="11" t="str">
        <f>IF($E4550="","",ROUND($E4550*IF(ISNA(MATCH($C4550,'Paramètres'!$D:$D,0)),1,IF(INDEX('Paramètres'!$J:$J,MATCH($C4550,'Paramètres'!$D:$D,0))="",1,INDEX('Paramètres'!$J:$J,MATCH($C4550,'Paramètres'!$D:$D,0)))),2))</f>
        <v/>
      </c>
      <c r="L4550" s="6" t="str">
        <f>IF($D4550="","",IF($F4550&lt;&gt;"",$F4550,IF(ISNA(MATCH($D4550,'Paramètres'!$M:$M,0)),"⚠ Type inconnu",IFERROR(INDEX('Paramètres'!$P:$P,MATCH($D4550,'Paramètres'!$M:$M,0))&amp;"",""))))</f>
        <v/>
      </c>
      <c r="M4550" s="6" t="str">
        <f>IF($D4550="","",IF(ISNA(MATCH($D4550,'Paramètres'!$M:$M,0)),"⚠ Type inconnu",IF($L4550="Crédit","",IFERROR(INDEX('Paramètres'!$O:$O,MATCH($D4550,'Paramètres'!$M:$M,0))&amp;"",""))))</f>
        <v/>
      </c>
      <c r="N4550" s="6" t="str">
        <f>IF($D4550="","",IFERROR(INDEX('Paramètres'!$Q:$Q,MATCH($D4550,'Paramètres'!$M:$M,0))&amp;"",""))</f>
        <v/>
      </c>
      <c r="O4550" s="6" t="str">
        <f>IF($A4550="","",IF(OR($J4550&lt;&gt;"x",$A4550&lt;=FinReleve),1,0))</f>
        <v/>
      </c>
      <c r="P4550" s="6" t="str">
        <f>IF($D4550="","",IF(AND($L4550="Crédit",OR(IFERROR(INDEX('Paramètres'!$O:$O,MATCH($D4550,'Paramètres'!$M:$M,0))&amp;"","")&lt;&gt;"",ISNUMBER(SEARCH("remboursement",IFERROR(INDEX('Paramètres'!$N:$N,MATCH($D4550,'Paramètres'!$M:$M,0))&amp;"",""))))),1,0))</f>
        <v/>
      </c>
      <c r="Q4550" s="6" t="str">
        <f>IF($K4550="","",IF(ISNUMBER(SEARCH("transfert-interne",IFERROR(INDEX('Paramètres'!$N:$N,MATCH($D4550,'Paramètres'!$M:$M,0))&amp;"",""))),0,IF($L4550="Débit",$K4550,IF($P4550=1,-$K4550,0))))</f>
        <v/>
      </c>
      <c r="R4550" s="6" t="str">
        <f>IF($K4550="","",IF($L4550="Crédit",$K4550,-$K4550))</f>
        <v/>
      </c>
      <c r="S4550" s="6" t="str">
        <f>IF($C4550="","",IFERROR(INDEX('Paramètres'!$H:$H,MATCH($C4550,'Paramètres'!$D:$D,0))&amp;"",""))</f>
        <v/>
      </c>
      <c r="T4550" s="6" t="str">
        <f>IF($K4550="","",IF($S4550="",0,IF(ISNUMBER(SEARCH("apport-exterieur",IFERROR(INDEX('Paramètres'!$N:$N,MATCH($D4550,'Paramètres'!$M:$M,0))&amp;"",""))),0,IF(OR(IFERROR(INDEX('Paramètres'!$I:$I,MATCH($C4550,'Paramètres'!$D:$D,0))&amp;"","")="Les deux",IFERROR(INDEX('Paramètres'!$I:$I,MATCH($C4550,'Paramètres'!$D:$D,0))&amp;"","")=IF($P4550=1,"Débit",$L4550)),-IF($P4550=1,-$K4550,$K4550),0))))</f>
        <v/>
      </c>
      <c r="U4550" s="6" t="str">
        <f>IF($K4550="","",IF(ISNUMBER(SEARCH("sortie-epargne",IFERROR(INDEX('Paramètres'!$N:$N,MATCH($D4550,'Paramètres'!$M:$M,0))&amp;"",""))),$K4550,0))</f>
        <v/>
      </c>
      <c r="V4550" s="6" t="str">
        <f>IF(AND($A4550&lt;&gt;"",$O4550=1,$L4550="Débit",N($Q4550)&gt;0,$A4550&gt;=Visualisation!$B$1,$A4550&lt;Visualisation!$D$1),MAX($V$1:V4549)+1,"")</f>
        <v/>
      </c>
    </row>
    <row r="4551" spans="1:22" x14ac:dyDescent="0.25">
      <c r="A4551" s="9"/>
      <c r="E4551" s="10"/>
      <c r="K4551" s="11" t="str">
        <f>IF($E4551="","",ROUND($E4551*IF(ISNA(MATCH($C4551,'Paramètres'!$D:$D,0)),1,IF(INDEX('Paramètres'!$J:$J,MATCH($C4551,'Paramètres'!$D:$D,0))="",1,INDEX('Paramètres'!$J:$J,MATCH($C4551,'Paramètres'!$D:$D,0)))),2))</f>
        <v/>
      </c>
      <c r="L4551" s="6" t="str">
        <f>IF($D4551="","",IF($F4551&lt;&gt;"",$F4551,IF(ISNA(MATCH($D4551,'Paramètres'!$M:$M,0)),"⚠ Type inconnu",IFERROR(INDEX('Paramètres'!$P:$P,MATCH($D4551,'Paramètres'!$M:$M,0))&amp;"",""))))</f>
        <v/>
      </c>
      <c r="M4551" s="6" t="str">
        <f>IF($D4551="","",IF(ISNA(MATCH($D4551,'Paramètres'!$M:$M,0)),"⚠ Type inconnu",IF($L4551="Crédit","",IFERROR(INDEX('Paramètres'!$O:$O,MATCH($D4551,'Paramètres'!$M:$M,0))&amp;"",""))))</f>
        <v/>
      </c>
      <c r="N4551" s="6" t="str">
        <f>IF($D4551="","",IFERROR(INDEX('Paramètres'!$Q:$Q,MATCH($D4551,'Paramètres'!$M:$M,0))&amp;"",""))</f>
        <v/>
      </c>
      <c r="O4551" s="6" t="str">
        <f>IF($A4551="","",IF(OR($J4551&lt;&gt;"x",$A4551&lt;=FinReleve),1,0))</f>
        <v/>
      </c>
      <c r="P4551" s="6" t="str">
        <f>IF($D4551="","",IF(AND($L4551="Crédit",OR(IFERROR(INDEX('Paramètres'!$O:$O,MATCH($D4551,'Paramètres'!$M:$M,0))&amp;"","")&lt;&gt;"",ISNUMBER(SEARCH("remboursement",IFERROR(INDEX('Paramètres'!$N:$N,MATCH($D4551,'Paramètres'!$M:$M,0))&amp;"",""))))),1,0))</f>
        <v/>
      </c>
      <c r="Q4551" s="6" t="str">
        <f>IF($K4551="","",IF(ISNUMBER(SEARCH("transfert-interne",IFERROR(INDEX('Paramètres'!$N:$N,MATCH($D4551,'Paramètres'!$M:$M,0))&amp;"",""))),0,IF($L4551="Débit",$K4551,IF($P4551=1,-$K4551,0))))</f>
        <v/>
      </c>
      <c r="R4551" s="6" t="str">
        <f>IF($K4551="","",IF($L4551="Crédit",$K4551,-$K4551))</f>
        <v/>
      </c>
      <c r="S4551" s="6" t="str">
        <f>IF($C4551="","",IFERROR(INDEX('Paramètres'!$H:$H,MATCH($C4551,'Paramètres'!$D:$D,0))&amp;"",""))</f>
        <v/>
      </c>
      <c r="T4551" s="6" t="str">
        <f>IF($K4551="","",IF($S4551="",0,IF(ISNUMBER(SEARCH("apport-exterieur",IFERROR(INDEX('Paramètres'!$N:$N,MATCH($D4551,'Paramètres'!$M:$M,0))&amp;"",""))),0,IF(OR(IFERROR(INDEX('Paramètres'!$I:$I,MATCH($C4551,'Paramètres'!$D:$D,0))&amp;"","")="Les deux",IFERROR(INDEX('Paramètres'!$I:$I,MATCH($C4551,'Paramètres'!$D:$D,0))&amp;"","")=IF($P4551=1,"Débit",$L4551)),-IF($P4551=1,-$K4551,$K4551),0))))</f>
        <v/>
      </c>
      <c r="U4551" s="6" t="str">
        <f>IF($K4551="","",IF(ISNUMBER(SEARCH("sortie-epargne",IFERROR(INDEX('Paramètres'!$N:$N,MATCH($D4551,'Paramètres'!$M:$M,0))&amp;"",""))),$K4551,0))</f>
        <v/>
      </c>
      <c r="V4551" s="6" t="str">
        <f>IF(AND($A4551&lt;&gt;"",$O4551=1,$L4551="Débit",N($Q4551)&gt;0,$A4551&gt;=Visualisation!$B$1,$A4551&lt;Visualisation!$D$1),MAX($V$1:V4550)+1,"")</f>
        <v/>
      </c>
    </row>
    <row r="4552" spans="1:22" x14ac:dyDescent="0.25">
      <c r="A4552" s="9"/>
      <c r="E4552" s="10"/>
      <c r="K4552" s="11" t="str">
        <f>IF($E4552="","",ROUND($E4552*IF(ISNA(MATCH($C4552,'Paramètres'!$D:$D,0)),1,IF(INDEX('Paramètres'!$J:$J,MATCH($C4552,'Paramètres'!$D:$D,0))="",1,INDEX('Paramètres'!$J:$J,MATCH($C4552,'Paramètres'!$D:$D,0)))),2))</f>
        <v/>
      </c>
      <c r="L4552" s="6" t="str">
        <f>IF($D4552="","",IF($F4552&lt;&gt;"",$F4552,IF(ISNA(MATCH($D4552,'Paramètres'!$M:$M,0)),"⚠ Type inconnu",IFERROR(INDEX('Paramètres'!$P:$P,MATCH($D4552,'Paramètres'!$M:$M,0))&amp;"",""))))</f>
        <v/>
      </c>
      <c r="M4552" s="6" t="str">
        <f>IF($D4552="","",IF(ISNA(MATCH($D4552,'Paramètres'!$M:$M,0)),"⚠ Type inconnu",IF($L4552="Crédit","",IFERROR(INDEX('Paramètres'!$O:$O,MATCH($D4552,'Paramètres'!$M:$M,0))&amp;"",""))))</f>
        <v/>
      </c>
      <c r="N4552" s="6" t="str">
        <f>IF($D4552="","",IFERROR(INDEX('Paramètres'!$Q:$Q,MATCH($D4552,'Paramètres'!$M:$M,0))&amp;"",""))</f>
        <v/>
      </c>
      <c r="O4552" s="6" t="str">
        <f>IF($A4552="","",IF(OR($J4552&lt;&gt;"x",$A4552&lt;=FinReleve),1,0))</f>
        <v/>
      </c>
      <c r="P4552" s="6" t="str">
        <f>IF($D4552="","",IF(AND($L4552="Crédit",OR(IFERROR(INDEX('Paramètres'!$O:$O,MATCH($D4552,'Paramètres'!$M:$M,0))&amp;"","")&lt;&gt;"",ISNUMBER(SEARCH("remboursement",IFERROR(INDEX('Paramètres'!$N:$N,MATCH($D4552,'Paramètres'!$M:$M,0))&amp;"",""))))),1,0))</f>
        <v/>
      </c>
      <c r="Q4552" s="6" t="str">
        <f>IF($K4552="","",IF(ISNUMBER(SEARCH("transfert-interne",IFERROR(INDEX('Paramètres'!$N:$N,MATCH($D4552,'Paramètres'!$M:$M,0))&amp;"",""))),0,IF($L4552="Débit",$K4552,IF($P4552=1,-$K4552,0))))</f>
        <v/>
      </c>
      <c r="R4552" s="6" t="str">
        <f>IF($K4552="","",IF($L4552="Crédit",$K4552,-$K4552))</f>
        <v/>
      </c>
      <c r="S4552" s="6" t="str">
        <f>IF($C4552="","",IFERROR(INDEX('Paramètres'!$H:$H,MATCH($C4552,'Paramètres'!$D:$D,0))&amp;"",""))</f>
        <v/>
      </c>
      <c r="T4552" s="6" t="str">
        <f>IF($K4552="","",IF($S4552="",0,IF(ISNUMBER(SEARCH("apport-exterieur",IFERROR(INDEX('Paramètres'!$N:$N,MATCH($D4552,'Paramètres'!$M:$M,0))&amp;"",""))),0,IF(OR(IFERROR(INDEX('Paramètres'!$I:$I,MATCH($C4552,'Paramètres'!$D:$D,0))&amp;"","")="Les deux",IFERROR(INDEX('Paramètres'!$I:$I,MATCH($C4552,'Paramètres'!$D:$D,0))&amp;"","")=IF($P4552=1,"Débit",$L4552)),-IF($P4552=1,-$K4552,$K4552),0))))</f>
        <v/>
      </c>
      <c r="U4552" s="6" t="str">
        <f>IF($K4552="","",IF(ISNUMBER(SEARCH("sortie-epargne",IFERROR(INDEX('Paramètres'!$N:$N,MATCH($D4552,'Paramètres'!$M:$M,0))&amp;"",""))),$K4552,0))</f>
        <v/>
      </c>
      <c r="V4552" s="6" t="str">
        <f>IF(AND($A4552&lt;&gt;"",$O4552=1,$L4552="Débit",N($Q4552)&gt;0,$A4552&gt;=Visualisation!$B$1,$A4552&lt;Visualisation!$D$1),MAX($V$1:V4551)+1,"")</f>
        <v/>
      </c>
    </row>
    <row r="4553" spans="1:22" x14ac:dyDescent="0.25">
      <c r="A4553" s="9"/>
      <c r="E4553" s="10"/>
      <c r="K4553" s="11" t="str">
        <f>IF($E4553="","",ROUND($E4553*IF(ISNA(MATCH($C4553,'Paramètres'!$D:$D,0)),1,IF(INDEX('Paramètres'!$J:$J,MATCH($C4553,'Paramètres'!$D:$D,0))="",1,INDEX('Paramètres'!$J:$J,MATCH($C4553,'Paramètres'!$D:$D,0)))),2))</f>
        <v/>
      </c>
      <c r="L4553" s="6" t="str">
        <f>IF($D4553="","",IF($F4553&lt;&gt;"",$F4553,IF(ISNA(MATCH($D4553,'Paramètres'!$M:$M,0)),"⚠ Type inconnu",IFERROR(INDEX('Paramètres'!$P:$P,MATCH($D4553,'Paramètres'!$M:$M,0))&amp;"",""))))</f>
        <v/>
      </c>
      <c r="M4553" s="6" t="str">
        <f>IF($D4553="","",IF(ISNA(MATCH($D4553,'Paramètres'!$M:$M,0)),"⚠ Type inconnu",IF($L4553="Crédit","",IFERROR(INDEX('Paramètres'!$O:$O,MATCH($D4553,'Paramètres'!$M:$M,0))&amp;"",""))))</f>
        <v/>
      </c>
      <c r="N4553" s="6" t="str">
        <f>IF($D4553="","",IFERROR(INDEX('Paramètres'!$Q:$Q,MATCH($D4553,'Paramètres'!$M:$M,0))&amp;"",""))</f>
        <v/>
      </c>
      <c r="O4553" s="6" t="str">
        <f>IF($A4553="","",IF(OR($J4553&lt;&gt;"x",$A4553&lt;=FinReleve),1,0))</f>
        <v/>
      </c>
      <c r="P4553" s="6" t="str">
        <f>IF($D4553="","",IF(AND($L4553="Crédit",OR(IFERROR(INDEX('Paramètres'!$O:$O,MATCH($D4553,'Paramètres'!$M:$M,0))&amp;"","")&lt;&gt;"",ISNUMBER(SEARCH("remboursement",IFERROR(INDEX('Paramètres'!$N:$N,MATCH($D4553,'Paramètres'!$M:$M,0))&amp;"",""))))),1,0))</f>
        <v/>
      </c>
      <c r="Q4553" s="6" t="str">
        <f>IF($K4553="","",IF(ISNUMBER(SEARCH("transfert-interne",IFERROR(INDEX('Paramètres'!$N:$N,MATCH($D4553,'Paramètres'!$M:$M,0))&amp;"",""))),0,IF($L4553="Débit",$K4553,IF($P4553=1,-$K4553,0))))</f>
        <v/>
      </c>
      <c r="R4553" s="6" t="str">
        <f>IF($K4553="","",IF($L4553="Crédit",$K4553,-$K4553))</f>
        <v/>
      </c>
      <c r="S4553" s="6" t="str">
        <f>IF($C4553="","",IFERROR(INDEX('Paramètres'!$H:$H,MATCH($C4553,'Paramètres'!$D:$D,0))&amp;"",""))</f>
        <v/>
      </c>
      <c r="T4553" s="6" t="str">
        <f>IF($K4553="","",IF($S4553="",0,IF(ISNUMBER(SEARCH("apport-exterieur",IFERROR(INDEX('Paramètres'!$N:$N,MATCH($D4553,'Paramètres'!$M:$M,0))&amp;"",""))),0,IF(OR(IFERROR(INDEX('Paramètres'!$I:$I,MATCH($C4553,'Paramètres'!$D:$D,0))&amp;"","")="Les deux",IFERROR(INDEX('Paramètres'!$I:$I,MATCH($C4553,'Paramètres'!$D:$D,0))&amp;"","")=IF($P4553=1,"Débit",$L4553)),-IF($P4553=1,-$K4553,$K4553),0))))</f>
        <v/>
      </c>
      <c r="U4553" s="6" t="str">
        <f>IF($K4553="","",IF(ISNUMBER(SEARCH("sortie-epargne",IFERROR(INDEX('Paramètres'!$N:$N,MATCH($D4553,'Paramètres'!$M:$M,0))&amp;"",""))),$K4553,0))</f>
        <v/>
      </c>
      <c r="V4553" s="6" t="str">
        <f>IF(AND($A4553&lt;&gt;"",$O4553=1,$L4553="Débit",N($Q4553)&gt;0,$A4553&gt;=Visualisation!$B$1,$A4553&lt;Visualisation!$D$1),MAX($V$1:V4552)+1,"")</f>
        <v/>
      </c>
    </row>
    <row r="4554" spans="1:22" x14ac:dyDescent="0.25">
      <c r="A4554" s="9"/>
      <c r="E4554" s="10"/>
      <c r="K4554" s="11" t="str">
        <f>IF($E4554="","",ROUND($E4554*IF(ISNA(MATCH($C4554,'Paramètres'!$D:$D,0)),1,IF(INDEX('Paramètres'!$J:$J,MATCH($C4554,'Paramètres'!$D:$D,0))="",1,INDEX('Paramètres'!$J:$J,MATCH($C4554,'Paramètres'!$D:$D,0)))),2))</f>
        <v/>
      </c>
      <c r="L4554" s="6" t="str">
        <f>IF($D4554="","",IF($F4554&lt;&gt;"",$F4554,IF(ISNA(MATCH($D4554,'Paramètres'!$M:$M,0)),"⚠ Type inconnu",IFERROR(INDEX('Paramètres'!$P:$P,MATCH($D4554,'Paramètres'!$M:$M,0))&amp;"",""))))</f>
        <v/>
      </c>
      <c r="M4554" s="6" t="str">
        <f>IF($D4554="","",IF(ISNA(MATCH($D4554,'Paramètres'!$M:$M,0)),"⚠ Type inconnu",IF($L4554="Crédit","",IFERROR(INDEX('Paramètres'!$O:$O,MATCH($D4554,'Paramètres'!$M:$M,0))&amp;"",""))))</f>
        <v/>
      </c>
      <c r="N4554" s="6" t="str">
        <f>IF($D4554="","",IFERROR(INDEX('Paramètres'!$Q:$Q,MATCH($D4554,'Paramètres'!$M:$M,0))&amp;"",""))</f>
        <v/>
      </c>
      <c r="O4554" s="6" t="str">
        <f>IF($A4554="","",IF(OR($J4554&lt;&gt;"x",$A4554&lt;=FinReleve),1,0))</f>
        <v/>
      </c>
      <c r="P4554" s="6" t="str">
        <f>IF($D4554="","",IF(AND($L4554="Crédit",OR(IFERROR(INDEX('Paramètres'!$O:$O,MATCH($D4554,'Paramètres'!$M:$M,0))&amp;"","")&lt;&gt;"",ISNUMBER(SEARCH("remboursement",IFERROR(INDEX('Paramètres'!$N:$N,MATCH($D4554,'Paramètres'!$M:$M,0))&amp;"",""))))),1,0))</f>
        <v/>
      </c>
      <c r="Q4554" s="6" t="str">
        <f>IF($K4554="","",IF(ISNUMBER(SEARCH("transfert-interne",IFERROR(INDEX('Paramètres'!$N:$N,MATCH($D4554,'Paramètres'!$M:$M,0))&amp;"",""))),0,IF($L4554="Débit",$K4554,IF($P4554=1,-$K4554,0))))</f>
        <v/>
      </c>
      <c r="R4554" s="6" t="str">
        <f>IF($K4554="","",IF($L4554="Crédit",$K4554,-$K4554))</f>
        <v/>
      </c>
      <c r="S4554" s="6" t="str">
        <f>IF($C4554="","",IFERROR(INDEX('Paramètres'!$H:$H,MATCH($C4554,'Paramètres'!$D:$D,0))&amp;"",""))</f>
        <v/>
      </c>
      <c r="T4554" s="6" t="str">
        <f>IF($K4554="","",IF($S4554="",0,IF(ISNUMBER(SEARCH("apport-exterieur",IFERROR(INDEX('Paramètres'!$N:$N,MATCH($D4554,'Paramètres'!$M:$M,0))&amp;"",""))),0,IF(OR(IFERROR(INDEX('Paramètres'!$I:$I,MATCH($C4554,'Paramètres'!$D:$D,0))&amp;"","")="Les deux",IFERROR(INDEX('Paramètres'!$I:$I,MATCH($C4554,'Paramètres'!$D:$D,0))&amp;"","")=IF($P4554=1,"Débit",$L4554)),-IF($P4554=1,-$K4554,$K4554),0))))</f>
        <v/>
      </c>
      <c r="U4554" s="6" t="str">
        <f>IF($K4554="","",IF(ISNUMBER(SEARCH("sortie-epargne",IFERROR(INDEX('Paramètres'!$N:$N,MATCH($D4554,'Paramètres'!$M:$M,0))&amp;"",""))),$K4554,0))</f>
        <v/>
      </c>
      <c r="V4554" s="6" t="str">
        <f>IF(AND($A4554&lt;&gt;"",$O4554=1,$L4554="Débit",N($Q4554)&gt;0,$A4554&gt;=Visualisation!$B$1,$A4554&lt;Visualisation!$D$1),MAX($V$1:V4553)+1,"")</f>
        <v/>
      </c>
    </row>
    <row r="4555" spans="1:22" x14ac:dyDescent="0.25">
      <c r="A4555" s="9"/>
      <c r="E4555" s="10"/>
      <c r="K4555" s="11" t="str">
        <f>IF($E4555="","",ROUND($E4555*IF(ISNA(MATCH($C4555,'Paramètres'!$D:$D,0)),1,IF(INDEX('Paramètres'!$J:$J,MATCH($C4555,'Paramètres'!$D:$D,0))="",1,INDEX('Paramètres'!$J:$J,MATCH($C4555,'Paramètres'!$D:$D,0)))),2))</f>
        <v/>
      </c>
      <c r="L4555" s="6" t="str">
        <f>IF($D4555="","",IF($F4555&lt;&gt;"",$F4555,IF(ISNA(MATCH($D4555,'Paramètres'!$M:$M,0)),"⚠ Type inconnu",IFERROR(INDEX('Paramètres'!$P:$P,MATCH($D4555,'Paramètres'!$M:$M,0))&amp;"",""))))</f>
        <v/>
      </c>
      <c r="M4555" s="6" t="str">
        <f>IF($D4555="","",IF(ISNA(MATCH($D4555,'Paramètres'!$M:$M,0)),"⚠ Type inconnu",IF($L4555="Crédit","",IFERROR(INDEX('Paramètres'!$O:$O,MATCH($D4555,'Paramètres'!$M:$M,0))&amp;"",""))))</f>
        <v/>
      </c>
      <c r="N4555" s="6" t="str">
        <f>IF($D4555="","",IFERROR(INDEX('Paramètres'!$Q:$Q,MATCH($D4555,'Paramètres'!$M:$M,0))&amp;"",""))</f>
        <v/>
      </c>
      <c r="O4555" s="6" t="str">
        <f>IF($A4555="","",IF(OR($J4555&lt;&gt;"x",$A4555&lt;=FinReleve),1,0))</f>
        <v/>
      </c>
      <c r="P4555" s="6" t="str">
        <f>IF($D4555="","",IF(AND($L4555="Crédit",OR(IFERROR(INDEX('Paramètres'!$O:$O,MATCH($D4555,'Paramètres'!$M:$M,0))&amp;"","")&lt;&gt;"",ISNUMBER(SEARCH("remboursement",IFERROR(INDEX('Paramètres'!$N:$N,MATCH($D4555,'Paramètres'!$M:$M,0))&amp;"",""))))),1,0))</f>
        <v/>
      </c>
      <c r="Q4555" s="6" t="str">
        <f>IF($K4555="","",IF(ISNUMBER(SEARCH("transfert-interne",IFERROR(INDEX('Paramètres'!$N:$N,MATCH($D4555,'Paramètres'!$M:$M,0))&amp;"",""))),0,IF($L4555="Débit",$K4555,IF($P4555=1,-$K4555,0))))</f>
        <v/>
      </c>
      <c r="R4555" s="6" t="str">
        <f>IF($K4555="","",IF($L4555="Crédit",$K4555,-$K4555))</f>
        <v/>
      </c>
      <c r="S4555" s="6" t="str">
        <f>IF($C4555="","",IFERROR(INDEX('Paramètres'!$H:$H,MATCH($C4555,'Paramètres'!$D:$D,0))&amp;"",""))</f>
        <v/>
      </c>
      <c r="T4555" s="6" t="str">
        <f>IF($K4555="","",IF($S4555="",0,IF(ISNUMBER(SEARCH("apport-exterieur",IFERROR(INDEX('Paramètres'!$N:$N,MATCH($D4555,'Paramètres'!$M:$M,0))&amp;"",""))),0,IF(OR(IFERROR(INDEX('Paramètres'!$I:$I,MATCH($C4555,'Paramètres'!$D:$D,0))&amp;"","")="Les deux",IFERROR(INDEX('Paramètres'!$I:$I,MATCH($C4555,'Paramètres'!$D:$D,0))&amp;"","")=IF($P4555=1,"Débit",$L4555)),-IF($P4555=1,-$K4555,$K4555),0))))</f>
        <v/>
      </c>
      <c r="U4555" s="6" t="str">
        <f>IF($K4555="","",IF(ISNUMBER(SEARCH("sortie-epargne",IFERROR(INDEX('Paramètres'!$N:$N,MATCH($D4555,'Paramètres'!$M:$M,0))&amp;"",""))),$K4555,0))</f>
        <v/>
      </c>
      <c r="V4555" s="6" t="str">
        <f>IF(AND($A4555&lt;&gt;"",$O4555=1,$L4555="Débit",N($Q4555)&gt;0,$A4555&gt;=Visualisation!$B$1,$A4555&lt;Visualisation!$D$1),MAX($V$1:V4554)+1,"")</f>
        <v/>
      </c>
    </row>
    <row r="4556" spans="1:22" x14ac:dyDescent="0.25">
      <c r="A4556" s="9"/>
      <c r="E4556" s="10"/>
      <c r="K4556" s="11" t="str">
        <f>IF($E4556="","",ROUND($E4556*IF(ISNA(MATCH($C4556,'Paramètres'!$D:$D,0)),1,IF(INDEX('Paramètres'!$J:$J,MATCH($C4556,'Paramètres'!$D:$D,0))="",1,INDEX('Paramètres'!$J:$J,MATCH($C4556,'Paramètres'!$D:$D,0)))),2))</f>
        <v/>
      </c>
      <c r="L4556" s="6" t="str">
        <f>IF($D4556="","",IF($F4556&lt;&gt;"",$F4556,IF(ISNA(MATCH($D4556,'Paramètres'!$M:$M,0)),"⚠ Type inconnu",IFERROR(INDEX('Paramètres'!$P:$P,MATCH($D4556,'Paramètres'!$M:$M,0))&amp;"",""))))</f>
        <v/>
      </c>
      <c r="M4556" s="6" t="str">
        <f>IF($D4556="","",IF(ISNA(MATCH($D4556,'Paramètres'!$M:$M,0)),"⚠ Type inconnu",IF($L4556="Crédit","",IFERROR(INDEX('Paramètres'!$O:$O,MATCH($D4556,'Paramètres'!$M:$M,0))&amp;"",""))))</f>
        <v/>
      </c>
      <c r="N4556" s="6" t="str">
        <f>IF($D4556="","",IFERROR(INDEX('Paramètres'!$Q:$Q,MATCH($D4556,'Paramètres'!$M:$M,0))&amp;"",""))</f>
        <v/>
      </c>
      <c r="O4556" s="6" t="str">
        <f>IF($A4556="","",IF(OR($J4556&lt;&gt;"x",$A4556&lt;=FinReleve),1,0))</f>
        <v/>
      </c>
      <c r="P4556" s="6" t="str">
        <f>IF($D4556="","",IF(AND($L4556="Crédit",OR(IFERROR(INDEX('Paramètres'!$O:$O,MATCH($D4556,'Paramètres'!$M:$M,0))&amp;"","")&lt;&gt;"",ISNUMBER(SEARCH("remboursement",IFERROR(INDEX('Paramètres'!$N:$N,MATCH($D4556,'Paramètres'!$M:$M,0))&amp;"",""))))),1,0))</f>
        <v/>
      </c>
      <c r="Q4556" s="6" t="str">
        <f>IF($K4556="","",IF(ISNUMBER(SEARCH("transfert-interne",IFERROR(INDEX('Paramètres'!$N:$N,MATCH($D4556,'Paramètres'!$M:$M,0))&amp;"",""))),0,IF($L4556="Débit",$K4556,IF($P4556=1,-$K4556,0))))</f>
        <v/>
      </c>
      <c r="R4556" s="6" t="str">
        <f>IF($K4556="","",IF($L4556="Crédit",$K4556,-$K4556))</f>
        <v/>
      </c>
      <c r="S4556" s="6" t="str">
        <f>IF($C4556="","",IFERROR(INDEX('Paramètres'!$H:$H,MATCH($C4556,'Paramètres'!$D:$D,0))&amp;"",""))</f>
        <v/>
      </c>
      <c r="T4556" s="6" t="str">
        <f>IF($K4556="","",IF($S4556="",0,IF(ISNUMBER(SEARCH("apport-exterieur",IFERROR(INDEX('Paramètres'!$N:$N,MATCH($D4556,'Paramètres'!$M:$M,0))&amp;"",""))),0,IF(OR(IFERROR(INDEX('Paramètres'!$I:$I,MATCH($C4556,'Paramètres'!$D:$D,0))&amp;"","")="Les deux",IFERROR(INDEX('Paramètres'!$I:$I,MATCH($C4556,'Paramètres'!$D:$D,0))&amp;"","")=IF($P4556=1,"Débit",$L4556)),-IF($P4556=1,-$K4556,$K4556),0))))</f>
        <v/>
      </c>
      <c r="U4556" s="6" t="str">
        <f>IF($K4556="","",IF(ISNUMBER(SEARCH("sortie-epargne",IFERROR(INDEX('Paramètres'!$N:$N,MATCH($D4556,'Paramètres'!$M:$M,0))&amp;"",""))),$K4556,0))</f>
        <v/>
      </c>
      <c r="V4556" s="6" t="str">
        <f>IF(AND($A4556&lt;&gt;"",$O4556=1,$L4556="Débit",N($Q4556)&gt;0,$A4556&gt;=Visualisation!$B$1,$A4556&lt;Visualisation!$D$1),MAX($V$1:V4555)+1,"")</f>
        <v/>
      </c>
    </row>
    <row r="4557" spans="1:22" x14ac:dyDescent="0.25">
      <c r="A4557" s="9"/>
      <c r="E4557" s="10"/>
      <c r="K4557" s="11" t="str">
        <f>IF($E4557="","",ROUND($E4557*IF(ISNA(MATCH($C4557,'Paramètres'!$D:$D,0)),1,IF(INDEX('Paramètres'!$J:$J,MATCH($C4557,'Paramètres'!$D:$D,0))="",1,INDEX('Paramètres'!$J:$J,MATCH($C4557,'Paramètres'!$D:$D,0)))),2))</f>
        <v/>
      </c>
      <c r="L4557" s="6" t="str">
        <f>IF($D4557="","",IF($F4557&lt;&gt;"",$F4557,IF(ISNA(MATCH($D4557,'Paramètres'!$M:$M,0)),"⚠ Type inconnu",IFERROR(INDEX('Paramètres'!$P:$P,MATCH($D4557,'Paramètres'!$M:$M,0))&amp;"",""))))</f>
        <v/>
      </c>
      <c r="M4557" s="6" t="str">
        <f>IF($D4557="","",IF(ISNA(MATCH($D4557,'Paramètres'!$M:$M,0)),"⚠ Type inconnu",IF($L4557="Crédit","",IFERROR(INDEX('Paramètres'!$O:$O,MATCH($D4557,'Paramètres'!$M:$M,0))&amp;"",""))))</f>
        <v/>
      </c>
      <c r="N4557" s="6" t="str">
        <f>IF($D4557="","",IFERROR(INDEX('Paramètres'!$Q:$Q,MATCH($D4557,'Paramètres'!$M:$M,0))&amp;"",""))</f>
        <v/>
      </c>
      <c r="O4557" s="6" t="str">
        <f>IF($A4557="","",IF(OR($J4557&lt;&gt;"x",$A4557&lt;=FinReleve),1,0))</f>
        <v/>
      </c>
      <c r="P4557" s="6" t="str">
        <f>IF($D4557="","",IF(AND($L4557="Crédit",OR(IFERROR(INDEX('Paramètres'!$O:$O,MATCH($D4557,'Paramètres'!$M:$M,0))&amp;"","")&lt;&gt;"",ISNUMBER(SEARCH("remboursement",IFERROR(INDEX('Paramètres'!$N:$N,MATCH($D4557,'Paramètres'!$M:$M,0))&amp;"",""))))),1,0))</f>
        <v/>
      </c>
      <c r="Q4557" s="6" t="str">
        <f>IF($K4557="","",IF(ISNUMBER(SEARCH("transfert-interne",IFERROR(INDEX('Paramètres'!$N:$N,MATCH($D4557,'Paramètres'!$M:$M,0))&amp;"",""))),0,IF($L4557="Débit",$K4557,IF($P4557=1,-$K4557,0))))</f>
        <v/>
      </c>
      <c r="R4557" s="6" t="str">
        <f>IF($K4557="","",IF($L4557="Crédit",$K4557,-$K4557))</f>
        <v/>
      </c>
      <c r="S4557" s="6" t="str">
        <f>IF($C4557="","",IFERROR(INDEX('Paramètres'!$H:$H,MATCH($C4557,'Paramètres'!$D:$D,0))&amp;"",""))</f>
        <v/>
      </c>
      <c r="T4557" s="6" t="str">
        <f>IF($K4557="","",IF($S4557="",0,IF(ISNUMBER(SEARCH("apport-exterieur",IFERROR(INDEX('Paramètres'!$N:$N,MATCH($D4557,'Paramètres'!$M:$M,0))&amp;"",""))),0,IF(OR(IFERROR(INDEX('Paramètres'!$I:$I,MATCH($C4557,'Paramètres'!$D:$D,0))&amp;"","")="Les deux",IFERROR(INDEX('Paramètres'!$I:$I,MATCH($C4557,'Paramètres'!$D:$D,0))&amp;"","")=IF($P4557=1,"Débit",$L4557)),-IF($P4557=1,-$K4557,$K4557),0))))</f>
        <v/>
      </c>
      <c r="U4557" s="6" t="str">
        <f>IF($K4557="","",IF(ISNUMBER(SEARCH("sortie-epargne",IFERROR(INDEX('Paramètres'!$N:$N,MATCH($D4557,'Paramètres'!$M:$M,0))&amp;"",""))),$K4557,0))</f>
        <v/>
      </c>
      <c r="V4557" s="6" t="str">
        <f>IF(AND($A4557&lt;&gt;"",$O4557=1,$L4557="Débit",N($Q4557)&gt;0,$A4557&gt;=Visualisation!$B$1,$A4557&lt;Visualisation!$D$1),MAX($V$1:V4556)+1,"")</f>
        <v/>
      </c>
    </row>
    <row r="4558" spans="1:22" x14ac:dyDescent="0.25">
      <c r="A4558" s="9"/>
      <c r="E4558" s="10"/>
      <c r="K4558" s="11" t="str">
        <f>IF($E4558="","",ROUND($E4558*IF(ISNA(MATCH($C4558,'Paramètres'!$D:$D,0)),1,IF(INDEX('Paramètres'!$J:$J,MATCH($C4558,'Paramètres'!$D:$D,0))="",1,INDEX('Paramètres'!$J:$J,MATCH($C4558,'Paramètres'!$D:$D,0)))),2))</f>
        <v/>
      </c>
      <c r="L4558" s="6" t="str">
        <f>IF($D4558="","",IF($F4558&lt;&gt;"",$F4558,IF(ISNA(MATCH($D4558,'Paramètres'!$M:$M,0)),"⚠ Type inconnu",IFERROR(INDEX('Paramètres'!$P:$P,MATCH($D4558,'Paramètres'!$M:$M,0))&amp;"",""))))</f>
        <v/>
      </c>
      <c r="M4558" s="6" t="str">
        <f>IF($D4558="","",IF(ISNA(MATCH($D4558,'Paramètres'!$M:$M,0)),"⚠ Type inconnu",IF($L4558="Crédit","",IFERROR(INDEX('Paramètres'!$O:$O,MATCH($D4558,'Paramètres'!$M:$M,0))&amp;"",""))))</f>
        <v/>
      </c>
      <c r="N4558" s="6" t="str">
        <f>IF($D4558="","",IFERROR(INDEX('Paramètres'!$Q:$Q,MATCH($D4558,'Paramètres'!$M:$M,0))&amp;"",""))</f>
        <v/>
      </c>
      <c r="O4558" s="6" t="str">
        <f>IF($A4558="","",IF(OR($J4558&lt;&gt;"x",$A4558&lt;=FinReleve),1,0))</f>
        <v/>
      </c>
      <c r="P4558" s="6" t="str">
        <f>IF($D4558="","",IF(AND($L4558="Crédit",OR(IFERROR(INDEX('Paramètres'!$O:$O,MATCH($D4558,'Paramètres'!$M:$M,0))&amp;"","")&lt;&gt;"",ISNUMBER(SEARCH("remboursement",IFERROR(INDEX('Paramètres'!$N:$N,MATCH($D4558,'Paramètres'!$M:$M,0))&amp;"",""))))),1,0))</f>
        <v/>
      </c>
      <c r="Q4558" s="6" t="str">
        <f>IF($K4558="","",IF(ISNUMBER(SEARCH("transfert-interne",IFERROR(INDEX('Paramètres'!$N:$N,MATCH($D4558,'Paramètres'!$M:$M,0))&amp;"",""))),0,IF($L4558="Débit",$K4558,IF($P4558=1,-$K4558,0))))</f>
        <v/>
      </c>
      <c r="R4558" s="6" t="str">
        <f>IF($K4558="","",IF($L4558="Crédit",$K4558,-$K4558))</f>
        <v/>
      </c>
      <c r="S4558" s="6" t="str">
        <f>IF($C4558="","",IFERROR(INDEX('Paramètres'!$H:$H,MATCH($C4558,'Paramètres'!$D:$D,0))&amp;"",""))</f>
        <v/>
      </c>
      <c r="T4558" s="6" t="str">
        <f>IF($K4558="","",IF($S4558="",0,IF(ISNUMBER(SEARCH("apport-exterieur",IFERROR(INDEX('Paramètres'!$N:$N,MATCH($D4558,'Paramètres'!$M:$M,0))&amp;"",""))),0,IF(OR(IFERROR(INDEX('Paramètres'!$I:$I,MATCH($C4558,'Paramètres'!$D:$D,0))&amp;"","")="Les deux",IFERROR(INDEX('Paramètres'!$I:$I,MATCH($C4558,'Paramètres'!$D:$D,0))&amp;"","")=IF($P4558=1,"Débit",$L4558)),-IF($P4558=1,-$K4558,$K4558),0))))</f>
        <v/>
      </c>
      <c r="U4558" s="6" t="str">
        <f>IF($K4558="","",IF(ISNUMBER(SEARCH("sortie-epargne",IFERROR(INDEX('Paramètres'!$N:$N,MATCH($D4558,'Paramètres'!$M:$M,0))&amp;"",""))),$K4558,0))</f>
        <v/>
      </c>
      <c r="V4558" s="6" t="str">
        <f>IF(AND($A4558&lt;&gt;"",$O4558=1,$L4558="Débit",N($Q4558)&gt;0,$A4558&gt;=Visualisation!$B$1,$A4558&lt;Visualisation!$D$1),MAX($V$1:V4557)+1,"")</f>
        <v/>
      </c>
    </row>
    <row r="4559" spans="1:22" x14ac:dyDescent="0.25">
      <c r="A4559" s="9"/>
      <c r="E4559" s="10"/>
      <c r="K4559" s="11" t="str">
        <f>IF($E4559="","",ROUND($E4559*IF(ISNA(MATCH($C4559,'Paramètres'!$D:$D,0)),1,IF(INDEX('Paramètres'!$J:$J,MATCH($C4559,'Paramètres'!$D:$D,0))="",1,INDEX('Paramètres'!$J:$J,MATCH($C4559,'Paramètres'!$D:$D,0)))),2))</f>
        <v/>
      </c>
      <c r="L4559" s="6" t="str">
        <f>IF($D4559="","",IF($F4559&lt;&gt;"",$F4559,IF(ISNA(MATCH($D4559,'Paramètres'!$M:$M,0)),"⚠ Type inconnu",IFERROR(INDEX('Paramètres'!$P:$P,MATCH($D4559,'Paramètres'!$M:$M,0))&amp;"",""))))</f>
        <v/>
      </c>
      <c r="M4559" s="6" t="str">
        <f>IF($D4559="","",IF(ISNA(MATCH($D4559,'Paramètres'!$M:$M,0)),"⚠ Type inconnu",IF($L4559="Crédit","",IFERROR(INDEX('Paramètres'!$O:$O,MATCH($D4559,'Paramètres'!$M:$M,0))&amp;"",""))))</f>
        <v/>
      </c>
      <c r="N4559" s="6" t="str">
        <f>IF($D4559="","",IFERROR(INDEX('Paramètres'!$Q:$Q,MATCH($D4559,'Paramètres'!$M:$M,0))&amp;"",""))</f>
        <v/>
      </c>
      <c r="O4559" s="6" t="str">
        <f>IF($A4559="","",IF(OR($J4559&lt;&gt;"x",$A4559&lt;=FinReleve),1,0))</f>
        <v/>
      </c>
      <c r="P4559" s="6" t="str">
        <f>IF($D4559="","",IF(AND($L4559="Crédit",OR(IFERROR(INDEX('Paramètres'!$O:$O,MATCH($D4559,'Paramètres'!$M:$M,0))&amp;"","")&lt;&gt;"",ISNUMBER(SEARCH("remboursement",IFERROR(INDEX('Paramètres'!$N:$N,MATCH($D4559,'Paramètres'!$M:$M,0))&amp;"",""))))),1,0))</f>
        <v/>
      </c>
      <c r="Q4559" s="6" t="str">
        <f>IF($K4559="","",IF(ISNUMBER(SEARCH("transfert-interne",IFERROR(INDEX('Paramètres'!$N:$N,MATCH($D4559,'Paramètres'!$M:$M,0))&amp;"",""))),0,IF($L4559="Débit",$K4559,IF($P4559=1,-$K4559,0))))</f>
        <v/>
      </c>
      <c r="R4559" s="6" t="str">
        <f>IF($K4559="","",IF($L4559="Crédit",$K4559,-$K4559))</f>
        <v/>
      </c>
      <c r="S4559" s="6" t="str">
        <f>IF($C4559="","",IFERROR(INDEX('Paramètres'!$H:$H,MATCH($C4559,'Paramètres'!$D:$D,0))&amp;"",""))</f>
        <v/>
      </c>
      <c r="T4559" s="6" t="str">
        <f>IF($K4559="","",IF($S4559="",0,IF(ISNUMBER(SEARCH("apport-exterieur",IFERROR(INDEX('Paramètres'!$N:$N,MATCH($D4559,'Paramètres'!$M:$M,0))&amp;"",""))),0,IF(OR(IFERROR(INDEX('Paramètres'!$I:$I,MATCH($C4559,'Paramètres'!$D:$D,0))&amp;"","")="Les deux",IFERROR(INDEX('Paramètres'!$I:$I,MATCH($C4559,'Paramètres'!$D:$D,0))&amp;"","")=IF($P4559=1,"Débit",$L4559)),-IF($P4559=1,-$K4559,$K4559),0))))</f>
        <v/>
      </c>
      <c r="U4559" s="6" t="str">
        <f>IF($K4559="","",IF(ISNUMBER(SEARCH("sortie-epargne",IFERROR(INDEX('Paramètres'!$N:$N,MATCH($D4559,'Paramètres'!$M:$M,0))&amp;"",""))),$K4559,0))</f>
        <v/>
      </c>
      <c r="V4559" s="6" t="str">
        <f>IF(AND($A4559&lt;&gt;"",$O4559=1,$L4559="Débit",N($Q4559)&gt;0,$A4559&gt;=Visualisation!$B$1,$A4559&lt;Visualisation!$D$1),MAX($V$1:V4558)+1,"")</f>
        <v/>
      </c>
    </row>
    <row r="4560" spans="1:22" x14ac:dyDescent="0.25">
      <c r="A4560" s="9"/>
      <c r="E4560" s="10"/>
      <c r="K4560" s="11" t="str">
        <f>IF($E4560="","",ROUND($E4560*IF(ISNA(MATCH($C4560,'Paramètres'!$D:$D,0)),1,IF(INDEX('Paramètres'!$J:$J,MATCH($C4560,'Paramètres'!$D:$D,0))="",1,INDEX('Paramètres'!$J:$J,MATCH($C4560,'Paramètres'!$D:$D,0)))),2))</f>
        <v/>
      </c>
      <c r="L4560" s="6" t="str">
        <f>IF($D4560="","",IF($F4560&lt;&gt;"",$F4560,IF(ISNA(MATCH($D4560,'Paramètres'!$M:$M,0)),"⚠ Type inconnu",IFERROR(INDEX('Paramètres'!$P:$P,MATCH($D4560,'Paramètres'!$M:$M,0))&amp;"",""))))</f>
        <v/>
      </c>
      <c r="M4560" s="6" t="str">
        <f>IF($D4560="","",IF(ISNA(MATCH($D4560,'Paramètres'!$M:$M,0)),"⚠ Type inconnu",IF($L4560="Crédit","",IFERROR(INDEX('Paramètres'!$O:$O,MATCH($D4560,'Paramètres'!$M:$M,0))&amp;"",""))))</f>
        <v/>
      </c>
      <c r="N4560" s="6" t="str">
        <f>IF($D4560="","",IFERROR(INDEX('Paramètres'!$Q:$Q,MATCH($D4560,'Paramètres'!$M:$M,0))&amp;"",""))</f>
        <v/>
      </c>
      <c r="O4560" s="6" t="str">
        <f>IF($A4560="","",IF(OR($J4560&lt;&gt;"x",$A4560&lt;=FinReleve),1,0))</f>
        <v/>
      </c>
      <c r="P4560" s="6" t="str">
        <f>IF($D4560="","",IF(AND($L4560="Crédit",OR(IFERROR(INDEX('Paramètres'!$O:$O,MATCH($D4560,'Paramètres'!$M:$M,0))&amp;"","")&lt;&gt;"",ISNUMBER(SEARCH("remboursement",IFERROR(INDEX('Paramètres'!$N:$N,MATCH($D4560,'Paramètres'!$M:$M,0))&amp;"",""))))),1,0))</f>
        <v/>
      </c>
      <c r="Q4560" s="6" t="str">
        <f>IF($K4560="","",IF(ISNUMBER(SEARCH("transfert-interne",IFERROR(INDEX('Paramètres'!$N:$N,MATCH($D4560,'Paramètres'!$M:$M,0))&amp;"",""))),0,IF($L4560="Débit",$K4560,IF($P4560=1,-$K4560,0))))</f>
        <v/>
      </c>
      <c r="R4560" s="6" t="str">
        <f>IF($K4560="","",IF($L4560="Crédit",$K4560,-$K4560))</f>
        <v/>
      </c>
      <c r="S4560" s="6" t="str">
        <f>IF($C4560="","",IFERROR(INDEX('Paramètres'!$H:$H,MATCH($C4560,'Paramètres'!$D:$D,0))&amp;"",""))</f>
        <v/>
      </c>
      <c r="T4560" s="6" t="str">
        <f>IF($K4560="","",IF($S4560="",0,IF(ISNUMBER(SEARCH("apport-exterieur",IFERROR(INDEX('Paramètres'!$N:$N,MATCH($D4560,'Paramètres'!$M:$M,0))&amp;"",""))),0,IF(OR(IFERROR(INDEX('Paramètres'!$I:$I,MATCH($C4560,'Paramètres'!$D:$D,0))&amp;"","")="Les deux",IFERROR(INDEX('Paramètres'!$I:$I,MATCH($C4560,'Paramètres'!$D:$D,0))&amp;"","")=IF($P4560=1,"Débit",$L4560)),-IF($P4560=1,-$K4560,$K4560),0))))</f>
        <v/>
      </c>
      <c r="U4560" s="6" t="str">
        <f>IF($K4560="","",IF(ISNUMBER(SEARCH("sortie-epargne",IFERROR(INDEX('Paramètres'!$N:$N,MATCH($D4560,'Paramètres'!$M:$M,0))&amp;"",""))),$K4560,0))</f>
        <v/>
      </c>
      <c r="V4560" s="6" t="str">
        <f>IF(AND($A4560&lt;&gt;"",$O4560=1,$L4560="Débit",N($Q4560)&gt;0,$A4560&gt;=Visualisation!$B$1,$A4560&lt;Visualisation!$D$1),MAX($V$1:V4559)+1,"")</f>
        <v/>
      </c>
    </row>
    <row r="4561" spans="1:22" x14ac:dyDescent="0.25">
      <c r="A4561" s="9"/>
      <c r="E4561" s="10"/>
      <c r="K4561" s="11" t="str">
        <f>IF($E4561="","",ROUND($E4561*IF(ISNA(MATCH($C4561,'Paramètres'!$D:$D,0)),1,IF(INDEX('Paramètres'!$J:$J,MATCH($C4561,'Paramètres'!$D:$D,0))="",1,INDEX('Paramètres'!$J:$J,MATCH($C4561,'Paramètres'!$D:$D,0)))),2))</f>
        <v/>
      </c>
      <c r="L4561" s="6" t="str">
        <f>IF($D4561="","",IF($F4561&lt;&gt;"",$F4561,IF(ISNA(MATCH($D4561,'Paramètres'!$M:$M,0)),"⚠ Type inconnu",IFERROR(INDEX('Paramètres'!$P:$P,MATCH($D4561,'Paramètres'!$M:$M,0))&amp;"",""))))</f>
        <v/>
      </c>
      <c r="M4561" s="6" t="str">
        <f>IF($D4561="","",IF(ISNA(MATCH($D4561,'Paramètres'!$M:$M,0)),"⚠ Type inconnu",IF($L4561="Crédit","",IFERROR(INDEX('Paramètres'!$O:$O,MATCH($D4561,'Paramètres'!$M:$M,0))&amp;"",""))))</f>
        <v/>
      </c>
      <c r="N4561" s="6" t="str">
        <f>IF($D4561="","",IFERROR(INDEX('Paramètres'!$Q:$Q,MATCH($D4561,'Paramètres'!$M:$M,0))&amp;"",""))</f>
        <v/>
      </c>
      <c r="O4561" s="6" t="str">
        <f>IF($A4561="","",IF(OR($J4561&lt;&gt;"x",$A4561&lt;=FinReleve),1,0))</f>
        <v/>
      </c>
      <c r="P4561" s="6" t="str">
        <f>IF($D4561="","",IF(AND($L4561="Crédit",OR(IFERROR(INDEX('Paramètres'!$O:$O,MATCH($D4561,'Paramètres'!$M:$M,0))&amp;"","")&lt;&gt;"",ISNUMBER(SEARCH("remboursement",IFERROR(INDEX('Paramètres'!$N:$N,MATCH($D4561,'Paramètres'!$M:$M,0))&amp;"",""))))),1,0))</f>
        <v/>
      </c>
      <c r="Q4561" s="6" t="str">
        <f>IF($K4561="","",IF(ISNUMBER(SEARCH("transfert-interne",IFERROR(INDEX('Paramètres'!$N:$N,MATCH($D4561,'Paramètres'!$M:$M,0))&amp;"",""))),0,IF($L4561="Débit",$K4561,IF($P4561=1,-$K4561,0))))</f>
        <v/>
      </c>
      <c r="R4561" s="6" t="str">
        <f>IF($K4561="","",IF($L4561="Crédit",$K4561,-$K4561))</f>
        <v/>
      </c>
      <c r="S4561" s="6" t="str">
        <f>IF($C4561="","",IFERROR(INDEX('Paramètres'!$H:$H,MATCH($C4561,'Paramètres'!$D:$D,0))&amp;"",""))</f>
        <v/>
      </c>
      <c r="T4561" s="6" t="str">
        <f>IF($K4561="","",IF($S4561="",0,IF(ISNUMBER(SEARCH("apport-exterieur",IFERROR(INDEX('Paramètres'!$N:$N,MATCH($D4561,'Paramètres'!$M:$M,0))&amp;"",""))),0,IF(OR(IFERROR(INDEX('Paramètres'!$I:$I,MATCH($C4561,'Paramètres'!$D:$D,0))&amp;"","")="Les deux",IFERROR(INDEX('Paramètres'!$I:$I,MATCH($C4561,'Paramètres'!$D:$D,0))&amp;"","")=IF($P4561=1,"Débit",$L4561)),-IF($P4561=1,-$K4561,$K4561),0))))</f>
        <v/>
      </c>
      <c r="U4561" s="6" t="str">
        <f>IF($K4561="","",IF(ISNUMBER(SEARCH("sortie-epargne",IFERROR(INDEX('Paramètres'!$N:$N,MATCH($D4561,'Paramètres'!$M:$M,0))&amp;"",""))),$K4561,0))</f>
        <v/>
      </c>
      <c r="V4561" s="6" t="str">
        <f>IF(AND($A4561&lt;&gt;"",$O4561=1,$L4561="Débit",N($Q4561)&gt;0,$A4561&gt;=Visualisation!$B$1,$A4561&lt;Visualisation!$D$1),MAX($V$1:V4560)+1,"")</f>
        <v/>
      </c>
    </row>
    <row r="4562" spans="1:22" x14ac:dyDescent="0.25">
      <c r="A4562" s="9"/>
      <c r="E4562" s="10"/>
      <c r="K4562" s="11" t="str">
        <f>IF($E4562="","",ROUND($E4562*IF(ISNA(MATCH($C4562,'Paramètres'!$D:$D,0)),1,IF(INDEX('Paramètres'!$J:$J,MATCH($C4562,'Paramètres'!$D:$D,0))="",1,INDEX('Paramètres'!$J:$J,MATCH($C4562,'Paramètres'!$D:$D,0)))),2))</f>
        <v/>
      </c>
      <c r="L4562" s="6" t="str">
        <f>IF($D4562="","",IF($F4562&lt;&gt;"",$F4562,IF(ISNA(MATCH($D4562,'Paramètres'!$M:$M,0)),"⚠ Type inconnu",IFERROR(INDEX('Paramètres'!$P:$P,MATCH($D4562,'Paramètres'!$M:$M,0))&amp;"",""))))</f>
        <v/>
      </c>
      <c r="M4562" s="6" t="str">
        <f>IF($D4562="","",IF(ISNA(MATCH($D4562,'Paramètres'!$M:$M,0)),"⚠ Type inconnu",IF($L4562="Crédit","",IFERROR(INDEX('Paramètres'!$O:$O,MATCH($D4562,'Paramètres'!$M:$M,0))&amp;"",""))))</f>
        <v/>
      </c>
      <c r="N4562" s="6" t="str">
        <f>IF($D4562="","",IFERROR(INDEX('Paramètres'!$Q:$Q,MATCH($D4562,'Paramètres'!$M:$M,0))&amp;"",""))</f>
        <v/>
      </c>
      <c r="O4562" s="6" t="str">
        <f>IF($A4562="","",IF(OR($J4562&lt;&gt;"x",$A4562&lt;=FinReleve),1,0))</f>
        <v/>
      </c>
      <c r="P4562" s="6" t="str">
        <f>IF($D4562="","",IF(AND($L4562="Crédit",OR(IFERROR(INDEX('Paramètres'!$O:$O,MATCH($D4562,'Paramètres'!$M:$M,0))&amp;"","")&lt;&gt;"",ISNUMBER(SEARCH("remboursement",IFERROR(INDEX('Paramètres'!$N:$N,MATCH($D4562,'Paramètres'!$M:$M,0))&amp;"",""))))),1,0))</f>
        <v/>
      </c>
      <c r="Q4562" s="6" t="str">
        <f>IF($K4562="","",IF(ISNUMBER(SEARCH("transfert-interne",IFERROR(INDEX('Paramètres'!$N:$N,MATCH($D4562,'Paramètres'!$M:$M,0))&amp;"",""))),0,IF($L4562="Débit",$K4562,IF($P4562=1,-$K4562,0))))</f>
        <v/>
      </c>
      <c r="R4562" s="6" t="str">
        <f>IF($K4562="","",IF($L4562="Crédit",$K4562,-$K4562))</f>
        <v/>
      </c>
      <c r="S4562" s="6" t="str">
        <f>IF($C4562="","",IFERROR(INDEX('Paramètres'!$H:$H,MATCH($C4562,'Paramètres'!$D:$D,0))&amp;"",""))</f>
        <v/>
      </c>
      <c r="T4562" s="6" t="str">
        <f>IF($K4562="","",IF($S4562="",0,IF(ISNUMBER(SEARCH("apport-exterieur",IFERROR(INDEX('Paramètres'!$N:$N,MATCH($D4562,'Paramètres'!$M:$M,0))&amp;"",""))),0,IF(OR(IFERROR(INDEX('Paramètres'!$I:$I,MATCH($C4562,'Paramètres'!$D:$D,0))&amp;"","")="Les deux",IFERROR(INDEX('Paramètres'!$I:$I,MATCH($C4562,'Paramètres'!$D:$D,0))&amp;"","")=IF($P4562=1,"Débit",$L4562)),-IF($P4562=1,-$K4562,$K4562),0))))</f>
        <v/>
      </c>
      <c r="U4562" s="6" t="str">
        <f>IF($K4562="","",IF(ISNUMBER(SEARCH("sortie-epargne",IFERROR(INDEX('Paramètres'!$N:$N,MATCH($D4562,'Paramètres'!$M:$M,0))&amp;"",""))),$K4562,0))</f>
        <v/>
      </c>
      <c r="V4562" s="6" t="str">
        <f>IF(AND($A4562&lt;&gt;"",$O4562=1,$L4562="Débit",N($Q4562)&gt;0,$A4562&gt;=Visualisation!$B$1,$A4562&lt;Visualisation!$D$1),MAX($V$1:V4561)+1,"")</f>
        <v/>
      </c>
    </row>
    <row r="4563" spans="1:22" x14ac:dyDescent="0.25">
      <c r="A4563" s="9"/>
      <c r="E4563" s="10"/>
      <c r="K4563" s="11" t="str">
        <f>IF($E4563="","",ROUND($E4563*IF(ISNA(MATCH($C4563,'Paramètres'!$D:$D,0)),1,IF(INDEX('Paramètres'!$J:$J,MATCH($C4563,'Paramètres'!$D:$D,0))="",1,INDEX('Paramètres'!$J:$J,MATCH($C4563,'Paramètres'!$D:$D,0)))),2))</f>
        <v/>
      </c>
      <c r="L4563" s="6" t="str">
        <f>IF($D4563="","",IF($F4563&lt;&gt;"",$F4563,IF(ISNA(MATCH($D4563,'Paramètres'!$M:$M,0)),"⚠ Type inconnu",IFERROR(INDEX('Paramètres'!$P:$P,MATCH($D4563,'Paramètres'!$M:$M,0))&amp;"",""))))</f>
        <v/>
      </c>
      <c r="M4563" s="6" t="str">
        <f>IF($D4563="","",IF(ISNA(MATCH($D4563,'Paramètres'!$M:$M,0)),"⚠ Type inconnu",IF($L4563="Crédit","",IFERROR(INDEX('Paramètres'!$O:$O,MATCH($D4563,'Paramètres'!$M:$M,0))&amp;"",""))))</f>
        <v/>
      </c>
      <c r="N4563" s="6" t="str">
        <f>IF($D4563="","",IFERROR(INDEX('Paramètres'!$Q:$Q,MATCH($D4563,'Paramètres'!$M:$M,0))&amp;"",""))</f>
        <v/>
      </c>
      <c r="O4563" s="6" t="str">
        <f>IF($A4563="","",IF(OR($J4563&lt;&gt;"x",$A4563&lt;=FinReleve),1,0))</f>
        <v/>
      </c>
      <c r="P4563" s="6" t="str">
        <f>IF($D4563="","",IF(AND($L4563="Crédit",OR(IFERROR(INDEX('Paramètres'!$O:$O,MATCH($D4563,'Paramètres'!$M:$M,0))&amp;"","")&lt;&gt;"",ISNUMBER(SEARCH("remboursement",IFERROR(INDEX('Paramètres'!$N:$N,MATCH($D4563,'Paramètres'!$M:$M,0))&amp;"",""))))),1,0))</f>
        <v/>
      </c>
      <c r="Q4563" s="6" t="str">
        <f>IF($K4563="","",IF(ISNUMBER(SEARCH("transfert-interne",IFERROR(INDEX('Paramètres'!$N:$N,MATCH($D4563,'Paramètres'!$M:$M,0))&amp;"",""))),0,IF($L4563="Débit",$K4563,IF($P4563=1,-$K4563,0))))</f>
        <v/>
      </c>
      <c r="R4563" s="6" t="str">
        <f>IF($K4563="","",IF($L4563="Crédit",$K4563,-$K4563))</f>
        <v/>
      </c>
      <c r="S4563" s="6" t="str">
        <f>IF($C4563="","",IFERROR(INDEX('Paramètres'!$H:$H,MATCH($C4563,'Paramètres'!$D:$D,0))&amp;"",""))</f>
        <v/>
      </c>
      <c r="T4563" s="6" t="str">
        <f>IF($K4563="","",IF($S4563="",0,IF(ISNUMBER(SEARCH("apport-exterieur",IFERROR(INDEX('Paramètres'!$N:$N,MATCH($D4563,'Paramètres'!$M:$M,0))&amp;"",""))),0,IF(OR(IFERROR(INDEX('Paramètres'!$I:$I,MATCH($C4563,'Paramètres'!$D:$D,0))&amp;"","")="Les deux",IFERROR(INDEX('Paramètres'!$I:$I,MATCH($C4563,'Paramètres'!$D:$D,0))&amp;"","")=IF($P4563=1,"Débit",$L4563)),-IF($P4563=1,-$K4563,$K4563),0))))</f>
        <v/>
      </c>
      <c r="U4563" s="6" t="str">
        <f>IF($K4563="","",IF(ISNUMBER(SEARCH("sortie-epargne",IFERROR(INDEX('Paramètres'!$N:$N,MATCH($D4563,'Paramètres'!$M:$M,0))&amp;"",""))),$K4563,0))</f>
        <v/>
      </c>
      <c r="V4563" s="6" t="str">
        <f>IF(AND($A4563&lt;&gt;"",$O4563=1,$L4563="Débit",N($Q4563)&gt;0,$A4563&gt;=Visualisation!$B$1,$A4563&lt;Visualisation!$D$1),MAX($V$1:V4562)+1,"")</f>
        <v/>
      </c>
    </row>
    <row r="4564" spans="1:22" x14ac:dyDescent="0.25">
      <c r="A4564" s="9"/>
      <c r="E4564" s="10"/>
      <c r="K4564" s="11" t="str">
        <f>IF($E4564="","",ROUND($E4564*IF(ISNA(MATCH($C4564,'Paramètres'!$D:$D,0)),1,IF(INDEX('Paramètres'!$J:$J,MATCH($C4564,'Paramètres'!$D:$D,0))="",1,INDEX('Paramètres'!$J:$J,MATCH($C4564,'Paramètres'!$D:$D,0)))),2))</f>
        <v/>
      </c>
      <c r="L4564" s="6" t="str">
        <f>IF($D4564="","",IF($F4564&lt;&gt;"",$F4564,IF(ISNA(MATCH($D4564,'Paramètres'!$M:$M,0)),"⚠ Type inconnu",IFERROR(INDEX('Paramètres'!$P:$P,MATCH($D4564,'Paramètres'!$M:$M,0))&amp;"",""))))</f>
        <v/>
      </c>
      <c r="M4564" s="6" t="str">
        <f>IF($D4564="","",IF(ISNA(MATCH($D4564,'Paramètres'!$M:$M,0)),"⚠ Type inconnu",IF($L4564="Crédit","",IFERROR(INDEX('Paramètres'!$O:$O,MATCH($D4564,'Paramètres'!$M:$M,0))&amp;"",""))))</f>
        <v/>
      </c>
      <c r="N4564" s="6" t="str">
        <f>IF($D4564="","",IFERROR(INDEX('Paramètres'!$Q:$Q,MATCH($D4564,'Paramètres'!$M:$M,0))&amp;"",""))</f>
        <v/>
      </c>
      <c r="O4564" s="6" t="str">
        <f>IF($A4564="","",IF(OR($J4564&lt;&gt;"x",$A4564&lt;=FinReleve),1,0))</f>
        <v/>
      </c>
      <c r="P4564" s="6" t="str">
        <f>IF($D4564="","",IF(AND($L4564="Crédit",OR(IFERROR(INDEX('Paramètres'!$O:$O,MATCH($D4564,'Paramètres'!$M:$M,0))&amp;"","")&lt;&gt;"",ISNUMBER(SEARCH("remboursement",IFERROR(INDEX('Paramètres'!$N:$N,MATCH($D4564,'Paramètres'!$M:$M,0))&amp;"",""))))),1,0))</f>
        <v/>
      </c>
      <c r="Q4564" s="6" t="str">
        <f>IF($K4564="","",IF(ISNUMBER(SEARCH("transfert-interne",IFERROR(INDEX('Paramètres'!$N:$N,MATCH($D4564,'Paramètres'!$M:$M,0))&amp;"",""))),0,IF($L4564="Débit",$K4564,IF($P4564=1,-$K4564,0))))</f>
        <v/>
      </c>
      <c r="R4564" s="6" t="str">
        <f>IF($K4564="","",IF($L4564="Crédit",$K4564,-$K4564))</f>
        <v/>
      </c>
      <c r="S4564" s="6" t="str">
        <f>IF($C4564="","",IFERROR(INDEX('Paramètres'!$H:$H,MATCH($C4564,'Paramètres'!$D:$D,0))&amp;"",""))</f>
        <v/>
      </c>
      <c r="T4564" s="6" t="str">
        <f>IF($K4564="","",IF($S4564="",0,IF(ISNUMBER(SEARCH("apport-exterieur",IFERROR(INDEX('Paramètres'!$N:$N,MATCH($D4564,'Paramètres'!$M:$M,0))&amp;"",""))),0,IF(OR(IFERROR(INDEX('Paramètres'!$I:$I,MATCH($C4564,'Paramètres'!$D:$D,0))&amp;"","")="Les deux",IFERROR(INDEX('Paramètres'!$I:$I,MATCH($C4564,'Paramètres'!$D:$D,0))&amp;"","")=IF($P4564=1,"Débit",$L4564)),-IF($P4564=1,-$K4564,$K4564),0))))</f>
        <v/>
      </c>
      <c r="U4564" s="6" t="str">
        <f>IF($K4564="","",IF(ISNUMBER(SEARCH("sortie-epargne",IFERROR(INDEX('Paramètres'!$N:$N,MATCH($D4564,'Paramètres'!$M:$M,0))&amp;"",""))),$K4564,0))</f>
        <v/>
      </c>
      <c r="V4564" s="6" t="str">
        <f>IF(AND($A4564&lt;&gt;"",$O4564=1,$L4564="Débit",N($Q4564)&gt;0,$A4564&gt;=Visualisation!$B$1,$A4564&lt;Visualisation!$D$1),MAX($V$1:V4563)+1,"")</f>
        <v/>
      </c>
    </row>
    <row r="4565" spans="1:22" x14ac:dyDescent="0.25">
      <c r="A4565" s="9"/>
      <c r="E4565" s="10"/>
      <c r="K4565" s="11" t="str">
        <f>IF($E4565="","",ROUND($E4565*IF(ISNA(MATCH($C4565,'Paramètres'!$D:$D,0)),1,IF(INDEX('Paramètres'!$J:$J,MATCH($C4565,'Paramètres'!$D:$D,0))="",1,INDEX('Paramètres'!$J:$J,MATCH($C4565,'Paramètres'!$D:$D,0)))),2))</f>
        <v/>
      </c>
      <c r="L4565" s="6" t="str">
        <f>IF($D4565="","",IF($F4565&lt;&gt;"",$F4565,IF(ISNA(MATCH($D4565,'Paramètres'!$M:$M,0)),"⚠ Type inconnu",IFERROR(INDEX('Paramètres'!$P:$P,MATCH($D4565,'Paramètres'!$M:$M,0))&amp;"",""))))</f>
        <v/>
      </c>
      <c r="M4565" s="6" t="str">
        <f>IF($D4565="","",IF(ISNA(MATCH($D4565,'Paramètres'!$M:$M,0)),"⚠ Type inconnu",IF($L4565="Crédit","",IFERROR(INDEX('Paramètres'!$O:$O,MATCH($D4565,'Paramètres'!$M:$M,0))&amp;"",""))))</f>
        <v/>
      </c>
      <c r="N4565" s="6" t="str">
        <f>IF($D4565="","",IFERROR(INDEX('Paramètres'!$Q:$Q,MATCH($D4565,'Paramètres'!$M:$M,0))&amp;"",""))</f>
        <v/>
      </c>
      <c r="O4565" s="6" t="str">
        <f>IF($A4565="","",IF(OR($J4565&lt;&gt;"x",$A4565&lt;=FinReleve),1,0))</f>
        <v/>
      </c>
      <c r="P4565" s="6" t="str">
        <f>IF($D4565="","",IF(AND($L4565="Crédit",OR(IFERROR(INDEX('Paramètres'!$O:$O,MATCH($D4565,'Paramètres'!$M:$M,0))&amp;"","")&lt;&gt;"",ISNUMBER(SEARCH("remboursement",IFERROR(INDEX('Paramètres'!$N:$N,MATCH($D4565,'Paramètres'!$M:$M,0))&amp;"",""))))),1,0))</f>
        <v/>
      </c>
      <c r="Q4565" s="6" t="str">
        <f>IF($K4565="","",IF(ISNUMBER(SEARCH("transfert-interne",IFERROR(INDEX('Paramètres'!$N:$N,MATCH($D4565,'Paramètres'!$M:$M,0))&amp;"",""))),0,IF($L4565="Débit",$K4565,IF($P4565=1,-$K4565,0))))</f>
        <v/>
      </c>
      <c r="R4565" s="6" t="str">
        <f>IF($K4565="","",IF($L4565="Crédit",$K4565,-$K4565))</f>
        <v/>
      </c>
      <c r="S4565" s="6" t="str">
        <f>IF($C4565="","",IFERROR(INDEX('Paramètres'!$H:$H,MATCH($C4565,'Paramètres'!$D:$D,0))&amp;"",""))</f>
        <v/>
      </c>
      <c r="T4565" s="6" t="str">
        <f>IF($K4565="","",IF($S4565="",0,IF(ISNUMBER(SEARCH("apport-exterieur",IFERROR(INDEX('Paramètres'!$N:$N,MATCH($D4565,'Paramètres'!$M:$M,0))&amp;"",""))),0,IF(OR(IFERROR(INDEX('Paramètres'!$I:$I,MATCH($C4565,'Paramètres'!$D:$D,0))&amp;"","")="Les deux",IFERROR(INDEX('Paramètres'!$I:$I,MATCH($C4565,'Paramètres'!$D:$D,0))&amp;"","")=IF($P4565=1,"Débit",$L4565)),-IF($P4565=1,-$K4565,$K4565),0))))</f>
        <v/>
      </c>
      <c r="U4565" s="6" t="str">
        <f>IF($K4565="","",IF(ISNUMBER(SEARCH("sortie-epargne",IFERROR(INDEX('Paramètres'!$N:$N,MATCH($D4565,'Paramètres'!$M:$M,0))&amp;"",""))),$K4565,0))</f>
        <v/>
      </c>
      <c r="V4565" s="6" t="str">
        <f>IF(AND($A4565&lt;&gt;"",$O4565=1,$L4565="Débit",N($Q4565)&gt;0,$A4565&gt;=Visualisation!$B$1,$A4565&lt;Visualisation!$D$1),MAX($V$1:V4564)+1,"")</f>
        <v/>
      </c>
    </row>
    <row r="4566" spans="1:22" x14ac:dyDescent="0.25">
      <c r="A4566" s="9"/>
      <c r="E4566" s="10"/>
      <c r="K4566" s="11" t="str">
        <f>IF($E4566="","",ROUND($E4566*IF(ISNA(MATCH($C4566,'Paramètres'!$D:$D,0)),1,IF(INDEX('Paramètres'!$J:$J,MATCH($C4566,'Paramètres'!$D:$D,0))="",1,INDEX('Paramètres'!$J:$J,MATCH($C4566,'Paramètres'!$D:$D,0)))),2))</f>
        <v/>
      </c>
      <c r="L4566" s="6" t="str">
        <f>IF($D4566="","",IF($F4566&lt;&gt;"",$F4566,IF(ISNA(MATCH($D4566,'Paramètres'!$M:$M,0)),"⚠ Type inconnu",IFERROR(INDEX('Paramètres'!$P:$P,MATCH($D4566,'Paramètres'!$M:$M,0))&amp;"",""))))</f>
        <v/>
      </c>
      <c r="M4566" s="6" t="str">
        <f>IF($D4566="","",IF(ISNA(MATCH($D4566,'Paramètres'!$M:$M,0)),"⚠ Type inconnu",IF($L4566="Crédit","",IFERROR(INDEX('Paramètres'!$O:$O,MATCH($D4566,'Paramètres'!$M:$M,0))&amp;"",""))))</f>
        <v/>
      </c>
      <c r="N4566" s="6" t="str">
        <f>IF($D4566="","",IFERROR(INDEX('Paramètres'!$Q:$Q,MATCH($D4566,'Paramètres'!$M:$M,0))&amp;"",""))</f>
        <v/>
      </c>
      <c r="O4566" s="6" t="str">
        <f>IF($A4566="","",IF(OR($J4566&lt;&gt;"x",$A4566&lt;=FinReleve),1,0))</f>
        <v/>
      </c>
      <c r="P4566" s="6" t="str">
        <f>IF($D4566="","",IF(AND($L4566="Crédit",OR(IFERROR(INDEX('Paramètres'!$O:$O,MATCH($D4566,'Paramètres'!$M:$M,0))&amp;"","")&lt;&gt;"",ISNUMBER(SEARCH("remboursement",IFERROR(INDEX('Paramètres'!$N:$N,MATCH($D4566,'Paramètres'!$M:$M,0))&amp;"",""))))),1,0))</f>
        <v/>
      </c>
      <c r="Q4566" s="6" t="str">
        <f>IF($K4566="","",IF(ISNUMBER(SEARCH("transfert-interne",IFERROR(INDEX('Paramètres'!$N:$N,MATCH($D4566,'Paramètres'!$M:$M,0))&amp;"",""))),0,IF($L4566="Débit",$K4566,IF($P4566=1,-$K4566,0))))</f>
        <v/>
      </c>
      <c r="R4566" s="6" t="str">
        <f>IF($K4566="","",IF($L4566="Crédit",$K4566,-$K4566))</f>
        <v/>
      </c>
      <c r="S4566" s="6" t="str">
        <f>IF($C4566="","",IFERROR(INDEX('Paramètres'!$H:$H,MATCH($C4566,'Paramètres'!$D:$D,0))&amp;"",""))</f>
        <v/>
      </c>
      <c r="T4566" s="6" t="str">
        <f>IF($K4566="","",IF($S4566="",0,IF(ISNUMBER(SEARCH("apport-exterieur",IFERROR(INDEX('Paramètres'!$N:$N,MATCH($D4566,'Paramètres'!$M:$M,0))&amp;"",""))),0,IF(OR(IFERROR(INDEX('Paramètres'!$I:$I,MATCH($C4566,'Paramètres'!$D:$D,0))&amp;"","")="Les deux",IFERROR(INDEX('Paramètres'!$I:$I,MATCH($C4566,'Paramètres'!$D:$D,0))&amp;"","")=IF($P4566=1,"Débit",$L4566)),-IF($P4566=1,-$K4566,$K4566),0))))</f>
        <v/>
      </c>
      <c r="U4566" s="6" t="str">
        <f>IF($K4566="","",IF(ISNUMBER(SEARCH("sortie-epargne",IFERROR(INDEX('Paramètres'!$N:$N,MATCH($D4566,'Paramètres'!$M:$M,0))&amp;"",""))),$K4566,0))</f>
        <v/>
      </c>
      <c r="V4566" s="6" t="str">
        <f>IF(AND($A4566&lt;&gt;"",$O4566=1,$L4566="Débit",N($Q4566)&gt;0,$A4566&gt;=Visualisation!$B$1,$A4566&lt;Visualisation!$D$1),MAX($V$1:V4565)+1,"")</f>
        <v/>
      </c>
    </row>
    <row r="4567" spans="1:22" x14ac:dyDescent="0.25">
      <c r="A4567" s="9"/>
      <c r="E4567" s="10"/>
      <c r="K4567" s="11" t="str">
        <f>IF($E4567="","",ROUND($E4567*IF(ISNA(MATCH($C4567,'Paramètres'!$D:$D,0)),1,IF(INDEX('Paramètres'!$J:$J,MATCH($C4567,'Paramètres'!$D:$D,0))="",1,INDEX('Paramètres'!$J:$J,MATCH($C4567,'Paramètres'!$D:$D,0)))),2))</f>
        <v/>
      </c>
      <c r="L4567" s="6" t="str">
        <f>IF($D4567="","",IF($F4567&lt;&gt;"",$F4567,IF(ISNA(MATCH($D4567,'Paramètres'!$M:$M,0)),"⚠ Type inconnu",IFERROR(INDEX('Paramètres'!$P:$P,MATCH($D4567,'Paramètres'!$M:$M,0))&amp;"",""))))</f>
        <v/>
      </c>
      <c r="M4567" s="6" t="str">
        <f>IF($D4567="","",IF(ISNA(MATCH($D4567,'Paramètres'!$M:$M,0)),"⚠ Type inconnu",IF($L4567="Crédit","",IFERROR(INDEX('Paramètres'!$O:$O,MATCH($D4567,'Paramètres'!$M:$M,0))&amp;"",""))))</f>
        <v/>
      </c>
      <c r="N4567" s="6" t="str">
        <f>IF($D4567="","",IFERROR(INDEX('Paramètres'!$Q:$Q,MATCH($D4567,'Paramètres'!$M:$M,0))&amp;"",""))</f>
        <v/>
      </c>
      <c r="O4567" s="6" t="str">
        <f>IF($A4567="","",IF(OR($J4567&lt;&gt;"x",$A4567&lt;=FinReleve),1,0))</f>
        <v/>
      </c>
      <c r="P4567" s="6" t="str">
        <f>IF($D4567="","",IF(AND($L4567="Crédit",OR(IFERROR(INDEX('Paramètres'!$O:$O,MATCH($D4567,'Paramètres'!$M:$M,0))&amp;"","")&lt;&gt;"",ISNUMBER(SEARCH("remboursement",IFERROR(INDEX('Paramètres'!$N:$N,MATCH($D4567,'Paramètres'!$M:$M,0))&amp;"",""))))),1,0))</f>
        <v/>
      </c>
      <c r="Q4567" s="6" t="str">
        <f>IF($K4567="","",IF(ISNUMBER(SEARCH("transfert-interne",IFERROR(INDEX('Paramètres'!$N:$N,MATCH($D4567,'Paramètres'!$M:$M,0))&amp;"",""))),0,IF($L4567="Débit",$K4567,IF($P4567=1,-$K4567,0))))</f>
        <v/>
      </c>
      <c r="R4567" s="6" t="str">
        <f>IF($K4567="","",IF($L4567="Crédit",$K4567,-$K4567))</f>
        <v/>
      </c>
      <c r="S4567" s="6" t="str">
        <f>IF($C4567="","",IFERROR(INDEX('Paramètres'!$H:$H,MATCH($C4567,'Paramètres'!$D:$D,0))&amp;"",""))</f>
        <v/>
      </c>
      <c r="T4567" s="6" t="str">
        <f>IF($K4567="","",IF($S4567="",0,IF(ISNUMBER(SEARCH("apport-exterieur",IFERROR(INDEX('Paramètres'!$N:$N,MATCH($D4567,'Paramètres'!$M:$M,0))&amp;"",""))),0,IF(OR(IFERROR(INDEX('Paramètres'!$I:$I,MATCH($C4567,'Paramètres'!$D:$D,0))&amp;"","")="Les deux",IFERROR(INDEX('Paramètres'!$I:$I,MATCH($C4567,'Paramètres'!$D:$D,0))&amp;"","")=IF($P4567=1,"Débit",$L4567)),-IF($P4567=1,-$K4567,$K4567),0))))</f>
        <v/>
      </c>
      <c r="U4567" s="6" t="str">
        <f>IF($K4567="","",IF(ISNUMBER(SEARCH("sortie-epargne",IFERROR(INDEX('Paramètres'!$N:$N,MATCH($D4567,'Paramètres'!$M:$M,0))&amp;"",""))),$K4567,0))</f>
        <v/>
      </c>
      <c r="V4567" s="6" t="str">
        <f>IF(AND($A4567&lt;&gt;"",$O4567=1,$L4567="Débit",N($Q4567)&gt;0,$A4567&gt;=Visualisation!$B$1,$A4567&lt;Visualisation!$D$1),MAX($V$1:V4566)+1,"")</f>
        <v/>
      </c>
    </row>
    <row r="4568" spans="1:22" x14ac:dyDescent="0.25">
      <c r="A4568" s="9"/>
      <c r="E4568" s="10"/>
      <c r="K4568" s="11" t="str">
        <f>IF($E4568="","",ROUND($E4568*IF(ISNA(MATCH($C4568,'Paramètres'!$D:$D,0)),1,IF(INDEX('Paramètres'!$J:$J,MATCH($C4568,'Paramètres'!$D:$D,0))="",1,INDEX('Paramètres'!$J:$J,MATCH($C4568,'Paramètres'!$D:$D,0)))),2))</f>
        <v/>
      </c>
      <c r="L4568" s="6" t="str">
        <f>IF($D4568="","",IF($F4568&lt;&gt;"",$F4568,IF(ISNA(MATCH($D4568,'Paramètres'!$M:$M,0)),"⚠ Type inconnu",IFERROR(INDEX('Paramètres'!$P:$P,MATCH($D4568,'Paramètres'!$M:$M,0))&amp;"",""))))</f>
        <v/>
      </c>
      <c r="M4568" s="6" t="str">
        <f>IF($D4568="","",IF(ISNA(MATCH($D4568,'Paramètres'!$M:$M,0)),"⚠ Type inconnu",IF($L4568="Crédit","",IFERROR(INDEX('Paramètres'!$O:$O,MATCH($D4568,'Paramètres'!$M:$M,0))&amp;"",""))))</f>
        <v/>
      </c>
      <c r="N4568" s="6" t="str">
        <f>IF($D4568="","",IFERROR(INDEX('Paramètres'!$Q:$Q,MATCH($D4568,'Paramètres'!$M:$M,0))&amp;"",""))</f>
        <v/>
      </c>
      <c r="O4568" s="6" t="str">
        <f>IF($A4568="","",IF(OR($J4568&lt;&gt;"x",$A4568&lt;=FinReleve),1,0))</f>
        <v/>
      </c>
      <c r="P4568" s="6" t="str">
        <f>IF($D4568="","",IF(AND($L4568="Crédit",OR(IFERROR(INDEX('Paramètres'!$O:$O,MATCH($D4568,'Paramètres'!$M:$M,0))&amp;"","")&lt;&gt;"",ISNUMBER(SEARCH("remboursement",IFERROR(INDEX('Paramètres'!$N:$N,MATCH($D4568,'Paramètres'!$M:$M,0))&amp;"",""))))),1,0))</f>
        <v/>
      </c>
      <c r="Q4568" s="6" t="str">
        <f>IF($K4568="","",IF(ISNUMBER(SEARCH("transfert-interne",IFERROR(INDEX('Paramètres'!$N:$N,MATCH($D4568,'Paramètres'!$M:$M,0))&amp;"",""))),0,IF($L4568="Débit",$K4568,IF($P4568=1,-$K4568,0))))</f>
        <v/>
      </c>
      <c r="R4568" s="6" t="str">
        <f>IF($K4568="","",IF($L4568="Crédit",$K4568,-$K4568))</f>
        <v/>
      </c>
      <c r="S4568" s="6" t="str">
        <f>IF($C4568="","",IFERROR(INDEX('Paramètres'!$H:$H,MATCH($C4568,'Paramètres'!$D:$D,0))&amp;"",""))</f>
        <v/>
      </c>
      <c r="T4568" s="6" t="str">
        <f>IF($K4568="","",IF($S4568="",0,IF(ISNUMBER(SEARCH("apport-exterieur",IFERROR(INDEX('Paramètres'!$N:$N,MATCH($D4568,'Paramètres'!$M:$M,0))&amp;"",""))),0,IF(OR(IFERROR(INDEX('Paramètres'!$I:$I,MATCH($C4568,'Paramètres'!$D:$D,0))&amp;"","")="Les deux",IFERROR(INDEX('Paramètres'!$I:$I,MATCH($C4568,'Paramètres'!$D:$D,0))&amp;"","")=IF($P4568=1,"Débit",$L4568)),-IF($P4568=1,-$K4568,$K4568),0))))</f>
        <v/>
      </c>
      <c r="U4568" s="6" t="str">
        <f>IF($K4568="","",IF(ISNUMBER(SEARCH("sortie-epargne",IFERROR(INDEX('Paramètres'!$N:$N,MATCH($D4568,'Paramètres'!$M:$M,0))&amp;"",""))),$K4568,0))</f>
        <v/>
      </c>
      <c r="V4568" s="6" t="str">
        <f>IF(AND($A4568&lt;&gt;"",$O4568=1,$L4568="Débit",N($Q4568)&gt;0,$A4568&gt;=Visualisation!$B$1,$A4568&lt;Visualisation!$D$1),MAX($V$1:V4567)+1,"")</f>
        <v/>
      </c>
    </row>
    <row r="4569" spans="1:22" x14ac:dyDescent="0.25">
      <c r="A4569" s="9"/>
      <c r="E4569" s="10"/>
      <c r="K4569" s="11" t="str">
        <f>IF($E4569="","",ROUND($E4569*IF(ISNA(MATCH($C4569,'Paramètres'!$D:$D,0)),1,IF(INDEX('Paramètres'!$J:$J,MATCH($C4569,'Paramètres'!$D:$D,0))="",1,INDEX('Paramètres'!$J:$J,MATCH($C4569,'Paramètres'!$D:$D,0)))),2))</f>
        <v/>
      </c>
      <c r="L4569" s="6" t="str">
        <f>IF($D4569="","",IF($F4569&lt;&gt;"",$F4569,IF(ISNA(MATCH($D4569,'Paramètres'!$M:$M,0)),"⚠ Type inconnu",IFERROR(INDEX('Paramètres'!$P:$P,MATCH($D4569,'Paramètres'!$M:$M,0))&amp;"",""))))</f>
        <v/>
      </c>
      <c r="M4569" s="6" t="str">
        <f>IF($D4569="","",IF(ISNA(MATCH($D4569,'Paramètres'!$M:$M,0)),"⚠ Type inconnu",IF($L4569="Crédit","",IFERROR(INDEX('Paramètres'!$O:$O,MATCH($D4569,'Paramètres'!$M:$M,0))&amp;"",""))))</f>
        <v/>
      </c>
      <c r="N4569" s="6" t="str">
        <f>IF($D4569="","",IFERROR(INDEX('Paramètres'!$Q:$Q,MATCH($D4569,'Paramètres'!$M:$M,0))&amp;"",""))</f>
        <v/>
      </c>
      <c r="O4569" s="6" t="str">
        <f>IF($A4569="","",IF(OR($J4569&lt;&gt;"x",$A4569&lt;=FinReleve),1,0))</f>
        <v/>
      </c>
      <c r="P4569" s="6" t="str">
        <f>IF($D4569="","",IF(AND($L4569="Crédit",OR(IFERROR(INDEX('Paramètres'!$O:$O,MATCH($D4569,'Paramètres'!$M:$M,0))&amp;"","")&lt;&gt;"",ISNUMBER(SEARCH("remboursement",IFERROR(INDEX('Paramètres'!$N:$N,MATCH($D4569,'Paramètres'!$M:$M,0))&amp;"",""))))),1,0))</f>
        <v/>
      </c>
      <c r="Q4569" s="6" t="str">
        <f>IF($K4569="","",IF(ISNUMBER(SEARCH("transfert-interne",IFERROR(INDEX('Paramètres'!$N:$N,MATCH($D4569,'Paramètres'!$M:$M,0))&amp;"",""))),0,IF($L4569="Débit",$K4569,IF($P4569=1,-$K4569,0))))</f>
        <v/>
      </c>
      <c r="R4569" s="6" t="str">
        <f>IF($K4569="","",IF($L4569="Crédit",$K4569,-$K4569))</f>
        <v/>
      </c>
      <c r="S4569" s="6" t="str">
        <f>IF($C4569="","",IFERROR(INDEX('Paramètres'!$H:$H,MATCH($C4569,'Paramètres'!$D:$D,0))&amp;"",""))</f>
        <v/>
      </c>
      <c r="T4569" s="6" t="str">
        <f>IF($K4569="","",IF($S4569="",0,IF(ISNUMBER(SEARCH("apport-exterieur",IFERROR(INDEX('Paramètres'!$N:$N,MATCH($D4569,'Paramètres'!$M:$M,0))&amp;"",""))),0,IF(OR(IFERROR(INDEX('Paramètres'!$I:$I,MATCH($C4569,'Paramètres'!$D:$D,0))&amp;"","")="Les deux",IFERROR(INDEX('Paramètres'!$I:$I,MATCH($C4569,'Paramètres'!$D:$D,0))&amp;"","")=IF($P4569=1,"Débit",$L4569)),-IF($P4569=1,-$K4569,$K4569),0))))</f>
        <v/>
      </c>
      <c r="U4569" s="6" t="str">
        <f>IF($K4569="","",IF(ISNUMBER(SEARCH("sortie-epargne",IFERROR(INDEX('Paramètres'!$N:$N,MATCH($D4569,'Paramètres'!$M:$M,0))&amp;"",""))),$K4569,0))</f>
        <v/>
      </c>
      <c r="V4569" s="6" t="str">
        <f>IF(AND($A4569&lt;&gt;"",$O4569=1,$L4569="Débit",N($Q4569)&gt;0,$A4569&gt;=Visualisation!$B$1,$A4569&lt;Visualisation!$D$1),MAX($V$1:V4568)+1,"")</f>
        <v/>
      </c>
    </row>
    <row r="4570" spans="1:22" x14ac:dyDescent="0.25">
      <c r="A4570" s="9"/>
      <c r="E4570" s="10"/>
      <c r="K4570" s="11" t="str">
        <f>IF($E4570="","",ROUND($E4570*IF(ISNA(MATCH($C4570,'Paramètres'!$D:$D,0)),1,IF(INDEX('Paramètres'!$J:$J,MATCH($C4570,'Paramètres'!$D:$D,0))="",1,INDEX('Paramètres'!$J:$J,MATCH($C4570,'Paramètres'!$D:$D,0)))),2))</f>
        <v/>
      </c>
      <c r="L4570" s="6" t="str">
        <f>IF($D4570="","",IF($F4570&lt;&gt;"",$F4570,IF(ISNA(MATCH($D4570,'Paramètres'!$M:$M,0)),"⚠ Type inconnu",IFERROR(INDEX('Paramètres'!$P:$P,MATCH($D4570,'Paramètres'!$M:$M,0))&amp;"",""))))</f>
        <v/>
      </c>
      <c r="M4570" s="6" t="str">
        <f>IF($D4570="","",IF(ISNA(MATCH($D4570,'Paramètres'!$M:$M,0)),"⚠ Type inconnu",IF($L4570="Crédit","",IFERROR(INDEX('Paramètres'!$O:$O,MATCH($D4570,'Paramètres'!$M:$M,0))&amp;"",""))))</f>
        <v/>
      </c>
      <c r="N4570" s="6" t="str">
        <f>IF($D4570="","",IFERROR(INDEX('Paramètres'!$Q:$Q,MATCH($D4570,'Paramètres'!$M:$M,0))&amp;"",""))</f>
        <v/>
      </c>
      <c r="O4570" s="6" t="str">
        <f>IF($A4570="","",IF(OR($J4570&lt;&gt;"x",$A4570&lt;=FinReleve),1,0))</f>
        <v/>
      </c>
      <c r="P4570" s="6" t="str">
        <f>IF($D4570="","",IF(AND($L4570="Crédit",OR(IFERROR(INDEX('Paramètres'!$O:$O,MATCH($D4570,'Paramètres'!$M:$M,0))&amp;"","")&lt;&gt;"",ISNUMBER(SEARCH("remboursement",IFERROR(INDEX('Paramètres'!$N:$N,MATCH($D4570,'Paramètres'!$M:$M,0))&amp;"",""))))),1,0))</f>
        <v/>
      </c>
      <c r="Q4570" s="6" t="str">
        <f>IF($K4570="","",IF(ISNUMBER(SEARCH("transfert-interne",IFERROR(INDEX('Paramètres'!$N:$N,MATCH($D4570,'Paramètres'!$M:$M,0))&amp;"",""))),0,IF($L4570="Débit",$K4570,IF($P4570=1,-$K4570,0))))</f>
        <v/>
      </c>
      <c r="R4570" s="6" t="str">
        <f>IF($K4570="","",IF($L4570="Crédit",$K4570,-$K4570))</f>
        <v/>
      </c>
      <c r="S4570" s="6" t="str">
        <f>IF($C4570="","",IFERROR(INDEX('Paramètres'!$H:$H,MATCH($C4570,'Paramètres'!$D:$D,0))&amp;"",""))</f>
        <v/>
      </c>
      <c r="T4570" s="6" t="str">
        <f>IF($K4570="","",IF($S4570="",0,IF(ISNUMBER(SEARCH("apport-exterieur",IFERROR(INDEX('Paramètres'!$N:$N,MATCH($D4570,'Paramètres'!$M:$M,0))&amp;"",""))),0,IF(OR(IFERROR(INDEX('Paramètres'!$I:$I,MATCH($C4570,'Paramètres'!$D:$D,0))&amp;"","")="Les deux",IFERROR(INDEX('Paramètres'!$I:$I,MATCH($C4570,'Paramètres'!$D:$D,0))&amp;"","")=IF($P4570=1,"Débit",$L4570)),-IF($P4570=1,-$K4570,$K4570),0))))</f>
        <v/>
      </c>
      <c r="U4570" s="6" t="str">
        <f>IF($K4570="","",IF(ISNUMBER(SEARCH("sortie-epargne",IFERROR(INDEX('Paramètres'!$N:$N,MATCH($D4570,'Paramètres'!$M:$M,0))&amp;"",""))),$K4570,0))</f>
        <v/>
      </c>
      <c r="V4570" s="6" t="str">
        <f>IF(AND($A4570&lt;&gt;"",$O4570=1,$L4570="Débit",N($Q4570)&gt;0,$A4570&gt;=Visualisation!$B$1,$A4570&lt;Visualisation!$D$1),MAX($V$1:V4569)+1,"")</f>
        <v/>
      </c>
    </row>
    <row r="4571" spans="1:22" x14ac:dyDescent="0.25">
      <c r="A4571" s="9"/>
      <c r="E4571" s="10"/>
      <c r="K4571" s="11" t="str">
        <f>IF($E4571="","",ROUND($E4571*IF(ISNA(MATCH($C4571,'Paramètres'!$D:$D,0)),1,IF(INDEX('Paramètres'!$J:$J,MATCH($C4571,'Paramètres'!$D:$D,0))="",1,INDEX('Paramètres'!$J:$J,MATCH($C4571,'Paramètres'!$D:$D,0)))),2))</f>
        <v/>
      </c>
      <c r="L4571" s="6" t="str">
        <f>IF($D4571="","",IF($F4571&lt;&gt;"",$F4571,IF(ISNA(MATCH($D4571,'Paramètres'!$M:$M,0)),"⚠ Type inconnu",IFERROR(INDEX('Paramètres'!$P:$P,MATCH($D4571,'Paramètres'!$M:$M,0))&amp;"",""))))</f>
        <v/>
      </c>
      <c r="M4571" s="6" t="str">
        <f>IF($D4571="","",IF(ISNA(MATCH($D4571,'Paramètres'!$M:$M,0)),"⚠ Type inconnu",IF($L4571="Crédit","",IFERROR(INDEX('Paramètres'!$O:$O,MATCH($D4571,'Paramètres'!$M:$M,0))&amp;"",""))))</f>
        <v/>
      </c>
      <c r="N4571" s="6" t="str">
        <f>IF($D4571="","",IFERROR(INDEX('Paramètres'!$Q:$Q,MATCH($D4571,'Paramètres'!$M:$M,0))&amp;"",""))</f>
        <v/>
      </c>
      <c r="O4571" s="6" t="str">
        <f>IF($A4571="","",IF(OR($J4571&lt;&gt;"x",$A4571&lt;=FinReleve),1,0))</f>
        <v/>
      </c>
      <c r="P4571" s="6" t="str">
        <f>IF($D4571="","",IF(AND($L4571="Crédit",OR(IFERROR(INDEX('Paramètres'!$O:$O,MATCH($D4571,'Paramètres'!$M:$M,0))&amp;"","")&lt;&gt;"",ISNUMBER(SEARCH("remboursement",IFERROR(INDEX('Paramètres'!$N:$N,MATCH($D4571,'Paramètres'!$M:$M,0))&amp;"",""))))),1,0))</f>
        <v/>
      </c>
      <c r="Q4571" s="6" t="str">
        <f>IF($K4571="","",IF(ISNUMBER(SEARCH("transfert-interne",IFERROR(INDEX('Paramètres'!$N:$N,MATCH($D4571,'Paramètres'!$M:$M,0))&amp;"",""))),0,IF($L4571="Débit",$K4571,IF($P4571=1,-$K4571,0))))</f>
        <v/>
      </c>
      <c r="R4571" s="6" t="str">
        <f>IF($K4571="","",IF($L4571="Crédit",$K4571,-$K4571))</f>
        <v/>
      </c>
      <c r="S4571" s="6" t="str">
        <f>IF($C4571="","",IFERROR(INDEX('Paramètres'!$H:$H,MATCH($C4571,'Paramètres'!$D:$D,0))&amp;"",""))</f>
        <v/>
      </c>
      <c r="T4571" s="6" t="str">
        <f>IF($K4571="","",IF($S4571="",0,IF(ISNUMBER(SEARCH("apport-exterieur",IFERROR(INDEX('Paramètres'!$N:$N,MATCH($D4571,'Paramètres'!$M:$M,0))&amp;"",""))),0,IF(OR(IFERROR(INDEX('Paramètres'!$I:$I,MATCH($C4571,'Paramètres'!$D:$D,0))&amp;"","")="Les deux",IFERROR(INDEX('Paramètres'!$I:$I,MATCH($C4571,'Paramètres'!$D:$D,0))&amp;"","")=IF($P4571=1,"Débit",$L4571)),-IF($P4571=1,-$K4571,$K4571),0))))</f>
        <v/>
      </c>
      <c r="U4571" s="6" t="str">
        <f>IF($K4571="","",IF(ISNUMBER(SEARCH("sortie-epargne",IFERROR(INDEX('Paramètres'!$N:$N,MATCH($D4571,'Paramètres'!$M:$M,0))&amp;"",""))),$K4571,0))</f>
        <v/>
      </c>
      <c r="V4571" s="6" t="str">
        <f>IF(AND($A4571&lt;&gt;"",$O4571=1,$L4571="Débit",N($Q4571)&gt;0,$A4571&gt;=Visualisation!$B$1,$A4571&lt;Visualisation!$D$1),MAX($V$1:V4570)+1,"")</f>
        <v/>
      </c>
    </row>
    <row r="4572" spans="1:22" x14ac:dyDescent="0.25">
      <c r="A4572" s="9"/>
      <c r="E4572" s="10"/>
      <c r="K4572" s="11" t="str">
        <f>IF($E4572="","",ROUND($E4572*IF(ISNA(MATCH($C4572,'Paramètres'!$D:$D,0)),1,IF(INDEX('Paramètres'!$J:$J,MATCH($C4572,'Paramètres'!$D:$D,0))="",1,INDEX('Paramètres'!$J:$J,MATCH($C4572,'Paramètres'!$D:$D,0)))),2))</f>
        <v/>
      </c>
      <c r="L4572" s="6" t="str">
        <f>IF($D4572="","",IF($F4572&lt;&gt;"",$F4572,IF(ISNA(MATCH($D4572,'Paramètres'!$M:$M,0)),"⚠ Type inconnu",IFERROR(INDEX('Paramètres'!$P:$P,MATCH($D4572,'Paramètres'!$M:$M,0))&amp;"",""))))</f>
        <v/>
      </c>
      <c r="M4572" s="6" t="str">
        <f>IF($D4572="","",IF(ISNA(MATCH($D4572,'Paramètres'!$M:$M,0)),"⚠ Type inconnu",IF($L4572="Crédit","",IFERROR(INDEX('Paramètres'!$O:$O,MATCH($D4572,'Paramètres'!$M:$M,0))&amp;"",""))))</f>
        <v/>
      </c>
      <c r="N4572" s="6" t="str">
        <f>IF($D4572="","",IFERROR(INDEX('Paramètres'!$Q:$Q,MATCH($D4572,'Paramètres'!$M:$M,0))&amp;"",""))</f>
        <v/>
      </c>
      <c r="O4572" s="6" t="str">
        <f>IF($A4572="","",IF(OR($J4572&lt;&gt;"x",$A4572&lt;=FinReleve),1,0))</f>
        <v/>
      </c>
      <c r="P4572" s="6" t="str">
        <f>IF($D4572="","",IF(AND($L4572="Crédit",OR(IFERROR(INDEX('Paramètres'!$O:$O,MATCH($D4572,'Paramètres'!$M:$M,0))&amp;"","")&lt;&gt;"",ISNUMBER(SEARCH("remboursement",IFERROR(INDEX('Paramètres'!$N:$N,MATCH($D4572,'Paramètres'!$M:$M,0))&amp;"",""))))),1,0))</f>
        <v/>
      </c>
      <c r="Q4572" s="6" t="str">
        <f>IF($K4572="","",IF(ISNUMBER(SEARCH("transfert-interne",IFERROR(INDEX('Paramètres'!$N:$N,MATCH($D4572,'Paramètres'!$M:$M,0))&amp;"",""))),0,IF($L4572="Débit",$K4572,IF($P4572=1,-$K4572,0))))</f>
        <v/>
      </c>
      <c r="R4572" s="6" t="str">
        <f>IF($K4572="","",IF($L4572="Crédit",$K4572,-$K4572))</f>
        <v/>
      </c>
      <c r="S4572" s="6" t="str">
        <f>IF($C4572="","",IFERROR(INDEX('Paramètres'!$H:$H,MATCH($C4572,'Paramètres'!$D:$D,0))&amp;"",""))</f>
        <v/>
      </c>
      <c r="T4572" s="6" t="str">
        <f>IF($K4572="","",IF($S4572="",0,IF(ISNUMBER(SEARCH("apport-exterieur",IFERROR(INDEX('Paramètres'!$N:$N,MATCH($D4572,'Paramètres'!$M:$M,0))&amp;"",""))),0,IF(OR(IFERROR(INDEX('Paramètres'!$I:$I,MATCH($C4572,'Paramètres'!$D:$D,0))&amp;"","")="Les deux",IFERROR(INDEX('Paramètres'!$I:$I,MATCH($C4572,'Paramètres'!$D:$D,0))&amp;"","")=IF($P4572=1,"Débit",$L4572)),-IF($P4572=1,-$K4572,$K4572),0))))</f>
        <v/>
      </c>
      <c r="U4572" s="6" t="str">
        <f>IF($K4572="","",IF(ISNUMBER(SEARCH("sortie-epargne",IFERROR(INDEX('Paramètres'!$N:$N,MATCH($D4572,'Paramètres'!$M:$M,0))&amp;"",""))),$K4572,0))</f>
        <v/>
      </c>
      <c r="V4572" s="6" t="str">
        <f>IF(AND($A4572&lt;&gt;"",$O4572=1,$L4572="Débit",N($Q4572)&gt;0,$A4572&gt;=Visualisation!$B$1,$A4572&lt;Visualisation!$D$1),MAX($V$1:V4571)+1,"")</f>
        <v/>
      </c>
    </row>
    <row r="4573" spans="1:22" x14ac:dyDescent="0.25">
      <c r="A4573" s="9"/>
      <c r="E4573" s="10"/>
      <c r="K4573" s="11" t="str">
        <f>IF($E4573="","",ROUND($E4573*IF(ISNA(MATCH($C4573,'Paramètres'!$D:$D,0)),1,IF(INDEX('Paramètres'!$J:$J,MATCH($C4573,'Paramètres'!$D:$D,0))="",1,INDEX('Paramètres'!$J:$J,MATCH($C4573,'Paramètres'!$D:$D,0)))),2))</f>
        <v/>
      </c>
      <c r="L4573" s="6" t="str">
        <f>IF($D4573="","",IF($F4573&lt;&gt;"",$F4573,IF(ISNA(MATCH($D4573,'Paramètres'!$M:$M,0)),"⚠ Type inconnu",IFERROR(INDEX('Paramètres'!$P:$P,MATCH($D4573,'Paramètres'!$M:$M,0))&amp;"",""))))</f>
        <v/>
      </c>
      <c r="M4573" s="6" t="str">
        <f>IF($D4573="","",IF(ISNA(MATCH($D4573,'Paramètres'!$M:$M,0)),"⚠ Type inconnu",IF($L4573="Crédit","",IFERROR(INDEX('Paramètres'!$O:$O,MATCH($D4573,'Paramètres'!$M:$M,0))&amp;"",""))))</f>
        <v/>
      </c>
      <c r="N4573" s="6" t="str">
        <f>IF($D4573="","",IFERROR(INDEX('Paramètres'!$Q:$Q,MATCH($D4573,'Paramètres'!$M:$M,0))&amp;"",""))</f>
        <v/>
      </c>
      <c r="O4573" s="6" t="str">
        <f>IF($A4573="","",IF(OR($J4573&lt;&gt;"x",$A4573&lt;=FinReleve),1,0))</f>
        <v/>
      </c>
      <c r="P4573" s="6" t="str">
        <f>IF($D4573="","",IF(AND($L4573="Crédit",OR(IFERROR(INDEX('Paramètres'!$O:$O,MATCH($D4573,'Paramètres'!$M:$M,0))&amp;"","")&lt;&gt;"",ISNUMBER(SEARCH("remboursement",IFERROR(INDEX('Paramètres'!$N:$N,MATCH($D4573,'Paramètres'!$M:$M,0))&amp;"",""))))),1,0))</f>
        <v/>
      </c>
      <c r="Q4573" s="6" t="str">
        <f>IF($K4573="","",IF(ISNUMBER(SEARCH("transfert-interne",IFERROR(INDEX('Paramètres'!$N:$N,MATCH($D4573,'Paramètres'!$M:$M,0))&amp;"",""))),0,IF($L4573="Débit",$K4573,IF($P4573=1,-$K4573,0))))</f>
        <v/>
      </c>
      <c r="R4573" s="6" t="str">
        <f>IF($K4573="","",IF($L4573="Crédit",$K4573,-$K4573))</f>
        <v/>
      </c>
      <c r="S4573" s="6" t="str">
        <f>IF($C4573="","",IFERROR(INDEX('Paramètres'!$H:$H,MATCH($C4573,'Paramètres'!$D:$D,0))&amp;"",""))</f>
        <v/>
      </c>
      <c r="T4573" s="6" t="str">
        <f>IF($K4573="","",IF($S4573="",0,IF(ISNUMBER(SEARCH("apport-exterieur",IFERROR(INDEX('Paramètres'!$N:$N,MATCH($D4573,'Paramètres'!$M:$M,0))&amp;"",""))),0,IF(OR(IFERROR(INDEX('Paramètres'!$I:$I,MATCH($C4573,'Paramètres'!$D:$D,0))&amp;"","")="Les deux",IFERROR(INDEX('Paramètres'!$I:$I,MATCH($C4573,'Paramètres'!$D:$D,0))&amp;"","")=IF($P4573=1,"Débit",$L4573)),-IF($P4573=1,-$K4573,$K4573),0))))</f>
        <v/>
      </c>
      <c r="U4573" s="6" t="str">
        <f>IF($K4573="","",IF(ISNUMBER(SEARCH("sortie-epargne",IFERROR(INDEX('Paramètres'!$N:$N,MATCH($D4573,'Paramètres'!$M:$M,0))&amp;"",""))),$K4573,0))</f>
        <v/>
      </c>
      <c r="V4573" s="6" t="str">
        <f>IF(AND($A4573&lt;&gt;"",$O4573=1,$L4573="Débit",N($Q4573)&gt;0,$A4573&gt;=Visualisation!$B$1,$A4573&lt;Visualisation!$D$1),MAX($V$1:V4572)+1,"")</f>
        <v/>
      </c>
    </row>
    <row r="4574" spans="1:22" x14ac:dyDescent="0.25">
      <c r="A4574" s="9"/>
      <c r="E4574" s="10"/>
      <c r="K4574" s="11" t="str">
        <f>IF($E4574="","",ROUND($E4574*IF(ISNA(MATCH($C4574,'Paramètres'!$D:$D,0)),1,IF(INDEX('Paramètres'!$J:$J,MATCH($C4574,'Paramètres'!$D:$D,0))="",1,INDEX('Paramètres'!$J:$J,MATCH($C4574,'Paramètres'!$D:$D,0)))),2))</f>
        <v/>
      </c>
      <c r="L4574" s="6" t="str">
        <f>IF($D4574="","",IF($F4574&lt;&gt;"",$F4574,IF(ISNA(MATCH($D4574,'Paramètres'!$M:$M,0)),"⚠ Type inconnu",IFERROR(INDEX('Paramètres'!$P:$P,MATCH($D4574,'Paramètres'!$M:$M,0))&amp;"",""))))</f>
        <v/>
      </c>
      <c r="M4574" s="6" t="str">
        <f>IF($D4574="","",IF(ISNA(MATCH($D4574,'Paramètres'!$M:$M,0)),"⚠ Type inconnu",IF($L4574="Crédit","",IFERROR(INDEX('Paramètres'!$O:$O,MATCH($D4574,'Paramètres'!$M:$M,0))&amp;"",""))))</f>
        <v/>
      </c>
      <c r="N4574" s="6" t="str">
        <f>IF($D4574="","",IFERROR(INDEX('Paramètres'!$Q:$Q,MATCH($D4574,'Paramètres'!$M:$M,0))&amp;"",""))</f>
        <v/>
      </c>
      <c r="O4574" s="6" t="str">
        <f>IF($A4574="","",IF(OR($J4574&lt;&gt;"x",$A4574&lt;=FinReleve),1,0))</f>
        <v/>
      </c>
      <c r="P4574" s="6" t="str">
        <f>IF($D4574="","",IF(AND($L4574="Crédit",OR(IFERROR(INDEX('Paramètres'!$O:$O,MATCH($D4574,'Paramètres'!$M:$M,0))&amp;"","")&lt;&gt;"",ISNUMBER(SEARCH("remboursement",IFERROR(INDEX('Paramètres'!$N:$N,MATCH($D4574,'Paramètres'!$M:$M,0))&amp;"",""))))),1,0))</f>
        <v/>
      </c>
      <c r="Q4574" s="6" t="str">
        <f>IF($K4574="","",IF(ISNUMBER(SEARCH("transfert-interne",IFERROR(INDEX('Paramètres'!$N:$N,MATCH($D4574,'Paramètres'!$M:$M,0))&amp;"",""))),0,IF($L4574="Débit",$K4574,IF($P4574=1,-$K4574,0))))</f>
        <v/>
      </c>
      <c r="R4574" s="6" t="str">
        <f>IF($K4574="","",IF($L4574="Crédit",$K4574,-$K4574))</f>
        <v/>
      </c>
      <c r="S4574" s="6" t="str">
        <f>IF($C4574="","",IFERROR(INDEX('Paramètres'!$H:$H,MATCH($C4574,'Paramètres'!$D:$D,0))&amp;"",""))</f>
        <v/>
      </c>
      <c r="T4574" s="6" t="str">
        <f>IF($K4574="","",IF($S4574="",0,IF(ISNUMBER(SEARCH("apport-exterieur",IFERROR(INDEX('Paramètres'!$N:$N,MATCH($D4574,'Paramètres'!$M:$M,0))&amp;"",""))),0,IF(OR(IFERROR(INDEX('Paramètres'!$I:$I,MATCH($C4574,'Paramètres'!$D:$D,0))&amp;"","")="Les deux",IFERROR(INDEX('Paramètres'!$I:$I,MATCH($C4574,'Paramètres'!$D:$D,0))&amp;"","")=IF($P4574=1,"Débit",$L4574)),-IF($P4574=1,-$K4574,$K4574),0))))</f>
        <v/>
      </c>
      <c r="U4574" s="6" t="str">
        <f>IF($K4574="","",IF(ISNUMBER(SEARCH("sortie-epargne",IFERROR(INDEX('Paramètres'!$N:$N,MATCH($D4574,'Paramètres'!$M:$M,0))&amp;"",""))),$K4574,0))</f>
        <v/>
      </c>
      <c r="V4574" s="6" t="str">
        <f>IF(AND($A4574&lt;&gt;"",$O4574=1,$L4574="Débit",N($Q4574)&gt;0,$A4574&gt;=Visualisation!$B$1,$A4574&lt;Visualisation!$D$1),MAX($V$1:V4573)+1,"")</f>
        <v/>
      </c>
    </row>
    <row r="4575" spans="1:22" x14ac:dyDescent="0.25">
      <c r="A4575" s="9"/>
      <c r="E4575" s="10"/>
      <c r="K4575" s="11" t="str">
        <f>IF($E4575="","",ROUND($E4575*IF(ISNA(MATCH($C4575,'Paramètres'!$D:$D,0)),1,IF(INDEX('Paramètres'!$J:$J,MATCH($C4575,'Paramètres'!$D:$D,0))="",1,INDEX('Paramètres'!$J:$J,MATCH($C4575,'Paramètres'!$D:$D,0)))),2))</f>
        <v/>
      </c>
      <c r="L4575" s="6" t="str">
        <f>IF($D4575="","",IF($F4575&lt;&gt;"",$F4575,IF(ISNA(MATCH($D4575,'Paramètres'!$M:$M,0)),"⚠ Type inconnu",IFERROR(INDEX('Paramètres'!$P:$P,MATCH($D4575,'Paramètres'!$M:$M,0))&amp;"",""))))</f>
        <v/>
      </c>
      <c r="M4575" s="6" t="str">
        <f>IF($D4575="","",IF(ISNA(MATCH($D4575,'Paramètres'!$M:$M,0)),"⚠ Type inconnu",IF($L4575="Crédit","",IFERROR(INDEX('Paramètres'!$O:$O,MATCH($D4575,'Paramètres'!$M:$M,0))&amp;"",""))))</f>
        <v/>
      </c>
      <c r="N4575" s="6" t="str">
        <f>IF($D4575="","",IFERROR(INDEX('Paramètres'!$Q:$Q,MATCH($D4575,'Paramètres'!$M:$M,0))&amp;"",""))</f>
        <v/>
      </c>
      <c r="O4575" s="6" t="str">
        <f>IF($A4575="","",IF(OR($J4575&lt;&gt;"x",$A4575&lt;=FinReleve),1,0))</f>
        <v/>
      </c>
      <c r="P4575" s="6" t="str">
        <f>IF($D4575="","",IF(AND($L4575="Crédit",OR(IFERROR(INDEX('Paramètres'!$O:$O,MATCH($D4575,'Paramètres'!$M:$M,0))&amp;"","")&lt;&gt;"",ISNUMBER(SEARCH("remboursement",IFERROR(INDEX('Paramètres'!$N:$N,MATCH($D4575,'Paramètres'!$M:$M,0))&amp;"",""))))),1,0))</f>
        <v/>
      </c>
      <c r="Q4575" s="6" t="str">
        <f>IF($K4575="","",IF(ISNUMBER(SEARCH("transfert-interne",IFERROR(INDEX('Paramètres'!$N:$N,MATCH($D4575,'Paramètres'!$M:$M,0))&amp;"",""))),0,IF($L4575="Débit",$K4575,IF($P4575=1,-$K4575,0))))</f>
        <v/>
      </c>
      <c r="R4575" s="6" t="str">
        <f>IF($K4575="","",IF($L4575="Crédit",$K4575,-$K4575))</f>
        <v/>
      </c>
      <c r="S4575" s="6" t="str">
        <f>IF($C4575="","",IFERROR(INDEX('Paramètres'!$H:$H,MATCH($C4575,'Paramètres'!$D:$D,0))&amp;"",""))</f>
        <v/>
      </c>
      <c r="T4575" s="6" t="str">
        <f>IF($K4575="","",IF($S4575="",0,IF(ISNUMBER(SEARCH("apport-exterieur",IFERROR(INDEX('Paramètres'!$N:$N,MATCH($D4575,'Paramètres'!$M:$M,0))&amp;"",""))),0,IF(OR(IFERROR(INDEX('Paramètres'!$I:$I,MATCH($C4575,'Paramètres'!$D:$D,0))&amp;"","")="Les deux",IFERROR(INDEX('Paramètres'!$I:$I,MATCH($C4575,'Paramètres'!$D:$D,0))&amp;"","")=IF($P4575=1,"Débit",$L4575)),-IF($P4575=1,-$K4575,$K4575),0))))</f>
        <v/>
      </c>
      <c r="U4575" s="6" t="str">
        <f>IF($K4575="","",IF(ISNUMBER(SEARCH("sortie-epargne",IFERROR(INDEX('Paramètres'!$N:$N,MATCH($D4575,'Paramètres'!$M:$M,0))&amp;"",""))),$K4575,0))</f>
        <v/>
      </c>
      <c r="V4575" s="6" t="str">
        <f>IF(AND($A4575&lt;&gt;"",$O4575=1,$L4575="Débit",N($Q4575)&gt;0,$A4575&gt;=Visualisation!$B$1,$A4575&lt;Visualisation!$D$1),MAX($V$1:V4574)+1,"")</f>
        <v/>
      </c>
    </row>
    <row r="4576" spans="1:22" x14ac:dyDescent="0.25">
      <c r="A4576" s="9"/>
      <c r="E4576" s="10"/>
      <c r="K4576" s="11" t="str">
        <f>IF($E4576="","",ROUND($E4576*IF(ISNA(MATCH($C4576,'Paramètres'!$D:$D,0)),1,IF(INDEX('Paramètres'!$J:$J,MATCH($C4576,'Paramètres'!$D:$D,0))="",1,INDEX('Paramètres'!$J:$J,MATCH($C4576,'Paramètres'!$D:$D,0)))),2))</f>
        <v/>
      </c>
      <c r="L4576" s="6" t="str">
        <f>IF($D4576="","",IF($F4576&lt;&gt;"",$F4576,IF(ISNA(MATCH($D4576,'Paramètres'!$M:$M,0)),"⚠ Type inconnu",IFERROR(INDEX('Paramètres'!$P:$P,MATCH($D4576,'Paramètres'!$M:$M,0))&amp;"",""))))</f>
        <v/>
      </c>
      <c r="M4576" s="6" t="str">
        <f>IF($D4576="","",IF(ISNA(MATCH($D4576,'Paramètres'!$M:$M,0)),"⚠ Type inconnu",IF($L4576="Crédit","",IFERROR(INDEX('Paramètres'!$O:$O,MATCH($D4576,'Paramètres'!$M:$M,0))&amp;"",""))))</f>
        <v/>
      </c>
      <c r="N4576" s="6" t="str">
        <f>IF($D4576="","",IFERROR(INDEX('Paramètres'!$Q:$Q,MATCH($D4576,'Paramètres'!$M:$M,0))&amp;"",""))</f>
        <v/>
      </c>
      <c r="O4576" s="6" t="str">
        <f>IF($A4576="","",IF(OR($J4576&lt;&gt;"x",$A4576&lt;=FinReleve),1,0))</f>
        <v/>
      </c>
      <c r="P4576" s="6" t="str">
        <f>IF($D4576="","",IF(AND($L4576="Crédit",OR(IFERROR(INDEX('Paramètres'!$O:$O,MATCH($D4576,'Paramètres'!$M:$M,0))&amp;"","")&lt;&gt;"",ISNUMBER(SEARCH("remboursement",IFERROR(INDEX('Paramètres'!$N:$N,MATCH($D4576,'Paramètres'!$M:$M,0))&amp;"",""))))),1,0))</f>
        <v/>
      </c>
      <c r="Q4576" s="6" t="str">
        <f>IF($K4576="","",IF(ISNUMBER(SEARCH("transfert-interne",IFERROR(INDEX('Paramètres'!$N:$N,MATCH($D4576,'Paramètres'!$M:$M,0))&amp;"",""))),0,IF($L4576="Débit",$K4576,IF($P4576=1,-$K4576,0))))</f>
        <v/>
      </c>
      <c r="R4576" s="6" t="str">
        <f>IF($K4576="","",IF($L4576="Crédit",$K4576,-$K4576))</f>
        <v/>
      </c>
      <c r="S4576" s="6" t="str">
        <f>IF($C4576="","",IFERROR(INDEX('Paramètres'!$H:$H,MATCH($C4576,'Paramètres'!$D:$D,0))&amp;"",""))</f>
        <v/>
      </c>
      <c r="T4576" s="6" t="str">
        <f>IF($K4576="","",IF($S4576="",0,IF(ISNUMBER(SEARCH("apport-exterieur",IFERROR(INDEX('Paramètres'!$N:$N,MATCH($D4576,'Paramètres'!$M:$M,0))&amp;"",""))),0,IF(OR(IFERROR(INDEX('Paramètres'!$I:$I,MATCH($C4576,'Paramètres'!$D:$D,0))&amp;"","")="Les deux",IFERROR(INDEX('Paramètres'!$I:$I,MATCH($C4576,'Paramètres'!$D:$D,0))&amp;"","")=IF($P4576=1,"Débit",$L4576)),-IF($P4576=1,-$K4576,$K4576),0))))</f>
        <v/>
      </c>
      <c r="U4576" s="6" t="str">
        <f>IF($K4576="","",IF(ISNUMBER(SEARCH("sortie-epargne",IFERROR(INDEX('Paramètres'!$N:$N,MATCH($D4576,'Paramètres'!$M:$M,0))&amp;"",""))),$K4576,0))</f>
        <v/>
      </c>
      <c r="V4576" s="6" t="str">
        <f>IF(AND($A4576&lt;&gt;"",$O4576=1,$L4576="Débit",N($Q4576)&gt;0,$A4576&gt;=Visualisation!$B$1,$A4576&lt;Visualisation!$D$1),MAX($V$1:V4575)+1,"")</f>
        <v/>
      </c>
    </row>
    <row r="4577" spans="1:22" x14ac:dyDescent="0.25">
      <c r="A4577" s="9"/>
      <c r="E4577" s="10"/>
      <c r="K4577" s="11" t="str">
        <f>IF($E4577="","",ROUND($E4577*IF(ISNA(MATCH($C4577,'Paramètres'!$D:$D,0)),1,IF(INDEX('Paramètres'!$J:$J,MATCH($C4577,'Paramètres'!$D:$D,0))="",1,INDEX('Paramètres'!$J:$J,MATCH($C4577,'Paramètres'!$D:$D,0)))),2))</f>
        <v/>
      </c>
      <c r="L4577" s="6" t="str">
        <f>IF($D4577="","",IF($F4577&lt;&gt;"",$F4577,IF(ISNA(MATCH($D4577,'Paramètres'!$M:$M,0)),"⚠ Type inconnu",IFERROR(INDEX('Paramètres'!$P:$P,MATCH($D4577,'Paramètres'!$M:$M,0))&amp;"",""))))</f>
        <v/>
      </c>
      <c r="M4577" s="6" t="str">
        <f>IF($D4577="","",IF(ISNA(MATCH($D4577,'Paramètres'!$M:$M,0)),"⚠ Type inconnu",IF($L4577="Crédit","",IFERROR(INDEX('Paramètres'!$O:$O,MATCH($D4577,'Paramètres'!$M:$M,0))&amp;"",""))))</f>
        <v/>
      </c>
      <c r="N4577" s="6" t="str">
        <f>IF($D4577="","",IFERROR(INDEX('Paramètres'!$Q:$Q,MATCH($D4577,'Paramètres'!$M:$M,0))&amp;"",""))</f>
        <v/>
      </c>
      <c r="O4577" s="6" t="str">
        <f>IF($A4577="","",IF(OR($J4577&lt;&gt;"x",$A4577&lt;=FinReleve),1,0))</f>
        <v/>
      </c>
      <c r="P4577" s="6" t="str">
        <f>IF($D4577="","",IF(AND($L4577="Crédit",OR(IFERROR(INDEX('Paramètres'!$O:$O,MATCH($D4577,'Paramètres'!$M:$M,0))&amp;"","")&lt;&gt;"",ISNUMBER(SEARCH("remboursement",IFERROR(INDEX('Paramètres'!$N:$N,MATCH($D4577,'Paramètres'!$M:$M,0))&amp;"",""))))),1,0))</f>
        <v/>
      </c>
      <c r="Q4577" s="6" t="str">
        <f>IF($K4577="","",IF(ISNUMBER(SEARCH("transfert-interne",IFERROR(INDEX('Paramètres'!$N:$N,MATCH($D4577,'Paramètres'!$M:$M,0))&amp;"",""))),0,IF($L4577="Débit",$K4577,IF($P4577=1,-$K4577,0))))</f>
        <v/>
      </c>
      <c r="R4577" s="6" t="str">
        <f>IF($K4577="","",IF($L4577="Crédit",$K4577,-$K4577))</f>
        <v/>
      </c>
      <c r="S4577" s="6" t="str">
        <f>IF($C4577="","",IFERROR(INDEX('Paramètres'!$H:$H,MATCH($C4577,'Paramètres'!$D:$D,0))&amp;"",""))</f>
        <v/>
      </c>
      <c r="T4577" s="6" t="str">
        <f>IF($K4577="","",IF($S4577="",0,IF(ISNUMBER(SEARCH("apport-exterieur",IFERROR(INDEX('Paramètres'!$N:$N,MATCH($D4577,'Paramètres'!$M:$M,0))&amp;"",""))),0,IF(OR(IFERROR(INDEX('Paramètres'!$I:$I,MATCH($C4577,'Paramètres'!$D:$D,0))&amp;"","")="Les deux",IFERROR(INDEX('Paramètres'!$I:$I,MATCH($C4577,'Paramètres'!$D:$D,0))&amp;"","")=IF($P4577=1,"Débit",$L4577)),-IF($P4577=1,-$K4577,$K4577),0))))</f>
        <v/>
      </c>
      <c r="U4577" s="6" t="str">
        <f>IF($K4577="","",IF(ISNUMBER(SEARCH("sortie-epargne",IFERROR(INDEX('Paramètres'!$N:$N,MATCH($D4577,'Paramètres'!$M:$M,0))&amp;"",""))),$K4577,0))</f>
        <v/>
      </c>
      <c r="V4577" s="6" t="str">
        <f>IF(AND($A4577&lt;&gt;"",$O4577=1,$L4577="Débit",N($Q4577)&gt;0,$A4577&gt;=Visualisation!$B$1,$A4577&lt;Visualisation!$D$1),MAX($V$1:V4576)+1,"")</f>
        <v/>
      </c>
    </row>
    <row r="4578" spans="1:22" x14ac:dyDescent="0.25">
      <c r="A4578" s="9"/>
      <c r="E4578" s="10"/>
      <c r="K4578" s="11" t="str">
        <f>IF($E4578="","",ROUND($E4578*IF(ISNA(MATCH($C4578,'Paramètres'!$D:$D,0)),1,IF(INDEX('Paramètres'!$J:$J,MATCH($C4578,'Paramètres'!$D:$D,0))="",1,INDEX('Paramètres'!$J:$J,MATCH($C4578,'Paramètres'!$D:$D,0)))),2))</f>
        <v/>
      </c>
      <c r="L4578" s="6" t="str">
        <f>IF($D4578="","",IF($F4578&lt;&gt;"",$F4578,IF(ISNA(MATCH($D4578,'Paramètres'!$M:$M,0)),"⚠ Type inconnu",IFERROR(INDEX('Paramètres'!$P:$P,MATCH($D4578,'Paramètres'!$M:$M,0))&amp;"",""))))</f>
        <v/>
      </c>
      <c r="M4578" s="6" t="str">
        <f>IF($D4578="","",IF(ISNA(MATCH($D4578,'Paramètres'!$M:$M,0)),"⚠ Type inconnu",IF($L4578="Crédit","",IFERROR(INDEX('Paramètres'!$O:$O,MATCH($D4578,'Paramètres'!$M:$M,0))&amp;"",""))))</f>
        <v/>
      </c>
      <c r="N4578" s="6" t="str">
        <f>IF($D4578="","",IFERROR(INDEX('Paramètres'!$Q:$Q,MATCH($D4578,'Paramètres'!$M:$M,0))&amp;"",""))</f>
        <v/>
      </c>
      <c r="O4578" s="6" t="str">
        <f>IF($A4578="","",IF(OR($J4578&lt;&gt;"x",$A4578&lt;=FinReleve),1,0))</f>
        <v/>
      </c>
      <c r="P4578" s="6" t="str">
        <f>IF($D4578="","",IF(AND($L4578="Crédit",OR(IFERROR(INDEX('Paramètres'!$O:$O,MATCH($D4578,'Paramètres'!$M:$M,0))&amp;"","")&lt;&gt;"",ISNUMBER(SEARCH("remboursement",IFERROR(INDEX('Paramètres'!$N:$N,MATCH($D4578,'Paramètres'!$M:$M,0))&amp;"",""))))),1,0))</f>
        <v/>
      </c>
      <c r="Q4578" s="6" t="str">
        <f>IF($K4578="","",IF(ISNUMBER(SEARCH("transfert-interne",IFERROR(INDEX('Paramètres'!$N:$N,MATCH($D4578,'Paramètres'!$M:$M,0))&amp;"",""))),0,IF($L4578="Débit",$K4578,IF($P4578=1,-$K4578,0))))</f>
        <v/>
      </c>
      <c r="R4578" s="6" t="str">
        <f>IF($K4578="","",IF($L4578="Crédit",$K4578,-$K4578))</f>
        <v/>
      </c>
      <c r="S4578" s="6" t="str">
        <f>IF($C4578="","",IFERROR(INDEX('Paramètres'!$H:$H,MATCH($C4578,'Paramètres'!$D:$D,0))&amp;"",""))</f>
        <v/>
      </c>
      <c r="T4578" s="6" t="str">
        <f>IF($K4578="","",IF($S4578="",0,IF(ISNUMBER(SEARCH("apport-exterieur",IFERROR(INDEX('Paramètres'!$N:$N,MATCH($D4578,'Paramètres'!$M:$M,0))&amp;"",""))),0,IF(OR(IFERROR(INDEX('Paramètres'!$I:$I,MATCH($C4578,'Paramètres'!$D:$D,0))&amp;"","")="Les deux",IFERROR(INDEX('Paramètres'!$I:$I,MATCH($C4578,'Paramètres'!$D:$D,0))&amp;"","")=IF($P4578=1,"Débit",$L4578)),-IF($P4578=1,-$K4578,$K4578),0))))</f>
        <v/>
      </c>
      <c r="U4578" s="6" t="str">
        <f>IF($K4578="","",IF(ISNUMBER(SEARCH("sortie-epargne",IFERROR(INDEX('Paramètres'!$N:$N,MATCH($D4578,'Paramètres'!$M:$M,0))&amp;"",""))),$K4578,0))</f>
        <v/>
      </c>
      <c r="V4578" s="6" t="str">
        <f>IF(AND($A4578&lt;&gt;"",$O4578=1,$L4578="Débit",N($Q4578)&gt;0,$A4578&gt;=Visualisation!$B$1,$A4578&lt;Visualisation!$D$1),MAX($V$1:V4577)+1,"")</f>
        <v/>
      </c>
    </row>
    <row r="4579" spans="1:22" x14ac:dyDescent="0.25">
      <c r="A4579" s="9"/>
      <c r="E4579" s="10"/>
      <c r="K4579" s="11" t="str">
        <f>IF($E4579="","",ROUND($E4579*IF(ISNA(MATCH($C4579,'Paramètres'!$D:$D,0)),1,IF(INDEX('Paramètres'!$J:$J,MATCH($C4579,'Paramètres'!$D:$D,0))="",1,INDEX('Paramètres'!$J:$J,MATCH($C4579,'Paramètres'!$D:$D,0)))),2))</f>
        <v/>
      </c>
      <c r="L4579" s="6" t="str">
        <f>IF($D4579="","",IF($F4579&lt;&gt;"",$F4579,IF(ISNA(MATCH($D4579,'Paramètres'!$M:$M,0)),"⚠ Type inconnu",IFERROR(INDEX('Paramètres'!$P:$P,MATCH($D4579,'Paramètres'!$M:$M,0))&amp;"",""))))</f>
        <v/>
      </c>
      <c r="M4579" s="6" t="str">
        <f>IF($D4579="","",IF(ISNA(MATCH($D4579,'Paramètres'!$M:$M,0)),"⚠ Type inconnu",IF($L4579="Crédit","",IFERROR(INDEX('Paramètres'!$O:$O,MATCH($D4579,'Paramètres'!$M:$M,0))&amp;"",""))))</f>
        <v/>
      </c>
      <c r="N4579" s="6" t="str">
        <f>IF($D4579="","",IFERROR(INDEX('Paramètres'!$Q:$Q,MATCH($D4579,'Paramètres'!$M:$M,0))&amp;"",""))</f>
        <v/>
      </c>
      <c r="O4579" s="6" t="str">
        <f>IF($A4579="","",IF(OR($J4579&lt;&gt;"x",$A4579&lt;=FinReleve),1,0))</f>
        <v/>
      </c>
      <c r="P4579" s="6" t="str">
        <f>IF($D4579="","",IF(AND($L4579="Crédit",OR(IFERROR(INDEX('Paramètres'!$O:$O,MATCH($D4579,'Paramètres'!$M:$M,0))&amp;"","")&lt;&gt;"",ISNUMBER(SEARCH("remboursement",IFERROR(INDEX('Paramètres'!$N:$N,MATCH($D4579,'Paramètres'!$M:$M,0))&amp;"",""))))),1,0))</f>
        <v/>
      </c>
      <c r="Q4579" s="6" t="str">
        <f>IF($K4579="","",IF(ISNUMBER(SEARCH("transfert-interne",IFERROR(INDEX('Paramètres'!$N:$N,MATCH($D4579,'Paramètres'!$M:$M,0))&amp;"",""))),0,IF($L4579="Débit",$K4579,IF($P4579=1,-$K4579,0))))</f>
        <v/>
      </c>
      <c r="R4579" s="6" t="str">
        <f>IF($K4579="","",IF($L4579="Crédit",$K4579,-$K4579))</f>
        <v/>
      </c>
      <c r="S4579" s="6" t="str">
        <f>IF($C4579="","",IFERROR(INDEX('Paramètres'!$H:$H,MATCH($C4579,'Paramètres'!$D:$D,0))&amp;"",""))</f>
        <v/>
      </c>
      <c r="T4579" s="6" t="str">
        <f>IF($K4579="","",IF($S4579="",0,IF(ISNUMBER(SEARCH("apport-exterieur",IFERROR(INDEX('Paramètres'!$N:$N,MATCH($D4579,'Paramètres'!$M:$M,0))&amp;"",""))),0,IF(OR(IFERROR(INDEX('Paramètres'!$I:$I,MATCH($C4579,'Paramètres'!$D:$D,0))&amp;"","")="Les deux",IFERROR(INDEX('Paramètres'!$I:$I,MATCH($C4579,'Paramètres'!$D:$D,0))&amp;"","")=IF($P4579=1,"Débit",$L4579)),-IF($P4579=1,-$K4579,$K4579),0))))</f>
        <v/>
      </c>
      <c r="U4579" s="6" t="str">
        <f>IF($K4579="","",IF(ISNUMBER(SEARCH("sortie-epargne",IFERROR(INDEX('Paramètres'!$N:$N,MATCH($D4579,'Paramètres'!$M:$M,0))&amp;"",""))),$K4579,0))</f>
        <v/>
      </c>
      <c r="V4579" s="6" t="str">
        <f>IF(AND($A4579&lt;&gt;"",$O4579=1,$L4579="Débit",N($Q4579)&gt;0,$A4579&gt;=Visualisation!$B$1,$A4579&lt;Visualisation!$D$1),MAX($V$1:V4578)+1,"")</f>
        <v/>
      </c>
    </row>
    <row r="4580" spans="1:22" x14ac:dyDescent="0.25">
      <c r="A4580" s="9"/>
      <c r="E4580" s="10"/>
      <c r="K4580" s="11" t="str">
        <f>IF($E4580="","",ROUND($E4580*IF(ISNA(MATCH($C4580,'Paramètres'!$D:$D,0)),1,IF(INDEX('Paramètres'!$J:$J,MATCH($C4580,'Paramètres'!$D:$D,0))="",1,INDEX('Paramètres'!$J:$J,MATCH($C4580,'Paramètres'!$D:$D,0)))),2))</f>
        <v/>
      </c>
      <c r="L4580" s="6" t="str">
        <f>IF($D4580="","",IF($F4580&lt;&gt;"",$F4580,IF(ISNA(MATCH($D4580,'Paramètres'!$M:$M,0)),"⚠ Type inconnu",IFERROR(INDEX('Paramètres'!$P:$P,MATCH($D4580,'Paramètres'!$M:$M,0))&amp;"",""))))</f>
        <v/>
      </c>
      <c r="M4580" s="6" t="str">
        <f>IF($D4580="","",IF(ISNA(MATCH($D4580,'Paramètres'!$M:$M,0)),"⚠ Type inconnu",IF($L4580="Crédit","",IFERROR(INDEX('Paramètres'!$O:$O,MATCH($D4580,'Paramètres'!$M:$M,0))&amp;"",""))))</f>
        <v/>
      </c>
      <c r="N4580" s="6" t="str">
        <f>IF($D4580="","",IFERROR(INDEX('Paramètres'!$Q:$Q,MATCH($D4580,'Paramètres'!$M:$M,0))&amp;"",""))</f>
        <v/>
      </c>
      <c r="O4580" s="6" t="str">
        <f>IF($A4580="","",IF(OR($J4580&lt;&gt;"x",$A4580&lt;=FinReleve),1,0))</f>
        <v/>
      </c>
      <c r="P4580" s="6" t="str">
        <f>IF($D4580="","",IF(AND($L4580="Crédit",OR(IFERROR(INDEX('Paramètres'!$O:$O,MATCH($D4580,'Paramètres'!$M:$M,0))&amp;"","")&lt;&gt;"",ISNUMBER(SEARCH("remboursement",IFERROR(INDEX('Paramètres'!$N:$N,MATCH($D4580,'Paramètres'!$M:$M,0))&amp;"",""))))),1,0))</f>
        <v/>
      </c>
      <c r="Q4580" s="6" t="str">
        <f>IF($K4580="","",IF(ISNUMBER(SEARCH("transfert-interne",IFERROR(INDEX('Paramètres'!$N:$N,MATCH($D4580,'Paramètres'!$M:$M,0))&amp;"",""))),0,IF($L4580="Débit",$K4580,IF($P4580=1,-$K4580,0))))</f>
        <v/>
      </c>
      <c r="R4580" s="6" t="str">
        <f>IF($K4580="","",IF($L4580="Crédit",$K4580,-$K4580))</f>
        <v/>
      </c>
      <c r="S4580" s="6" t="str">
        <f>IF($C4580="","",IFERROR(INDEX('Paramètres'!$H:$H,MATCH($C4580,'Paramètres'!$D:$D,0))&amp;"",""))</f>
        <v/>
      </c>
      <c r="T4580" s="6" t="str">
        <f>IF($K4580="","",IF($S4580="",0,IF(ISNUMBER(SEARCH("apport-exterieur",IFERROR(INDEX('Paramètres'!$N:$N,MATCH($D4580,'Paramètres'!$M:$M,0))&amp;"",""))),0,IF(OR(IFERROR(INDEX('Paramètres'!$I:$I,MATCH($C4580,'Paramètres'!$D:$D,0))&amp;"","")="Les deux",IFERROR(INDEX('Paramètres'!$I:$I,MATCH($C4580,'Paramètres'!$D:$D,0))&amp;"","")=IF($P4580=1,"Débit",$L4580)),-IF($P4580=1,-$K4580,$K4580),0))))</f>
        <v/>
      </c>
      <c r="U4580" s="6" t="str">
        <f>IF($K4580="","",IF(ISNUMBER(SEARCH("sortie-epargne",IFERROR(INDEX('Paramètres'!$N:$N,MATCH($D4580,'Paramètres'!$M:$M,0))&amp;"",""))),$K4580,0))</f>
        <v/>
      </c>
      <c r="V4580" s="6" t="str">
        <f>IF(AND($A4580&lt;&gt;"",$O4580=1,$L4580="Débit",N($Q4580)&gt;0,$A4580&gt;=Visualisation!$B$1,$A4580&lt;Visualisation!$D$1),MAX($V$1:V4579)+1,"")</f>
        <v/>
      </c>
    </row>
    <row r="4581" spans="1:22" x14ac:dyDescent="0.25">
      <c r="A4581" s="9"/>
      <c r="E4581" s="10"/>
      <c r="K4581" s="11" t="str">
        <f>IF($E4581="","",ROUND($E4581*IF(ISNA(MATCH($C4581,'Paramètres'!$D:$D,0)),1,IF(INDEX('Paramètres'!$J:$J,MATCH($C4581,'Paramètres'!$D:$D,0))="",1,INDEX('Paramètres'!$J:$J,MATCH($C4581,'Paramètres'!$D:$D,0)))),2))</f>
        <v/>
      </c>
      <c r="L4581" s="6" t="str">
        <f>IF($D4581="","",IF($F4581&lt;&gt;"",$F4581,IF(ISNA(MATCH($D4581,'Paramètres'!$M:$M,0)),"⚠ Type inconnu",IFERROR(INDEX('Paramètres'!$P:$P,MATCH($D4581,'Paramètres'!$M:$M,0))&amp;"",""))))</f>
        <v/>
      </c>
      <c r="M4581" s="6" t="str">
        <f>IF($D4581="","",IF(ISNA(MATCH($D4581,'Paramètres'!$M:$M,0)),"⚠ Type inconnu",IF($L4581="Crédit","",IFERROR(INDEX('Paramètres'!$O:$O,MATCH($D4581,'Paramètres'!$M:$M,0))&amp;"",""))))</f>
        <v/>
      </c>
      <c r="N4581" s="6" t="str">
        <f>IF($D4581="","",IFERROR(INDEX('Paramètres'!$Q:$Q,MATCH($D4581,'Paramètres'!$M:$M,0))&amp;"",""))</f>
        <v/>
      </c>
      <c r="O4581" s="6" t="str">
        <f>IF($A4581="","",IF(OR($J4581&lt;&gt;"x",$A4581&lt;=FinReleve),1,0))</f>
        <v/>
      </c>
      <c r="P4581" s="6" t="str">
        <f>IF($D4581="","",IF(AND($L4581="Crédit",OR(IFERROR(INDEX('Paramètres'!$O:$O,MATCH($D4581,'Paramètres'!$M:$M,0))&amp;"","")&lt;&gt;"",ISNUMBER(SEARCH("remboursement",IFERROR(INDEX('Paramètres'!$N:$N,MATCH($D4581,'Paramètres'!$M:$M,0))&amp;"",""))))),1,0))</f>
        <v/>
      </c>
      <c r="Q4581" s="6" t="str">
        <f>IF($K4581="","",IF(ISNUMBER(SEARCH("transfert-interne",IFERROR(INDEX('Paramètres'!$N:$N,MATCH($D4581,'Paramètres'!$M:$M,0))&amp;"",""))),0,IF($L4581="Débit",$K4581,IF($P4581=1,-$K4581,0))))</f>
        <v/>
      </c>
      <c r="R4581" s="6" t="str">
        <f>IF($K4581="","",IF($L4581="Crédit",$K4581,-$K4581))</f>
        <v/>
      </c>
      <c r="S4581" s="6" t="str">
        <f>IF($C4581="","",IFERROR(INDEX('Paramètres'!$H:$H,MATCH($C4581,'Paramètres'!$D:$D,0))&amp;"",""))</f>
        <v/>
      </c>
      <c r="T4581" s="6" t="str">
        <f>IF($K4581="","",IF($S4581="",0,IF(ISNUMBER(SEARCH("apport-exterieur",IFERROR(INDEX('Paramètres'!$N:$N,MATCH($D4581,'Paramètres'!$M:$M,0))&amp;"",""))),0,IF(OR(IFERROR(INDEX('Paramètres'!$I:$I,MATCH($C4581,'Paramètres'!$D:$D,0))&amp;"","")="Les deux",IFERROR(INDEX('Paramètres'!$I:$I,MATCH($C4581,'Paramètres'!$D:$D,0))&amp;"","")=IF($P4581=1,"Débit",$L4581)),-IF($P4581=1,-$K4581,$K4581),0))))</f>
        <v/>
      </c>
      <c r="U4581" s="6" t="str">
        <f>IF($K4581="","",IF(ISNUMBER(SEARCH("sortie-epargne",IFERROR(INDEX('Paramètres'!$N:$N,MATCH($D4581,'Paramètres'!$M:$M,0))&amp;"",""))),$K4581,0))</f>
        <v/>
      </c>
      <c r="V4581" s="6" t="str">
        <f>IF(AND($A4581&lt;&gt;"",$O4581=1,$L4581="Débit",N($Q4581)&gt;0,$A4581&gt;=Visualisation!$B$1,$A4581&lt;Visualisation!$D$1),MAX($V$1:V4580)+1,"")</f>
        <v/>
      </c>
    </row>
    <row r="4582" spans="1:22" x14ac:dyDescent="0.25">
      <c r="A4582" s="9"/>
      <c r="E4582" s="10"/>
      <c r="K4582" s="11" t="str">
        <f>IF($E4582="","",ROUND($E4582*IF(ISNA(MATCH($C4582,'Paramètres'!$D:$D,0)),1,IF(INDEX('Paramètres'!$J:$J,MATCH($C4582,'Paramètres'!$D:$D,0))="",1,INDEX('Paramètres'!$J:$J,MATCH($C4582,'Paramètres'!$D:$D,0)))),2))</f>
        <v/>
      </c>
      <c r="L4582" s="6" t="str">
        <f>IF($D4582="","",IF($F4582&lt;&gt;"",$F4582,IF(ISNA(MATCH($D4582,'Paramètres'!$M:$M,0)),"⚠ Type inconnu",IFERROR(INDEX('Paramètres'!$P:$P,MATCH($D4582,'Paramètres'!$M:$M,0))&amp;"",""))))</f>
        <v/>
      </c>
      <c r="M4582" s="6" t="str">
        <f>IF($D4582="","",IF(ISNA(MATCH($D4582,'Paramètres'!$M:$M,0)),"⚠ Type inconnu",IF($L4582="Crédit","",IFERROR(INDEX('Paramètres'!$O:$O,MATCH($D4582,'Paramètres'!$M:$M,0))&amp;"",""))))</f>
        <v/>
      </c>
      <c r="N4582" s="6" t="str">
        <f>IF($D4582="","",IFERROR(INDEX('Paramètres'!$Q:$Q,MATCH($D4582,'Paramètres'!$M:$M,0))&amp;"",""))</f>
        <v/>
      </c>
      <c r="O4582" s="6" t="str">
        <f>IF($A4582="","",IF(OR($J4582&lt;&gt;"x",$A4582&lt;=FinReleve),1,0))</f>
        <v/>
      </c>
      <c r="P4582" s="6" t="str">
        <f>IF($D4582="","",IF(AND($L4582="Crédit",OR(IFERROR(INDEX('Paramètres'!$O:$O,MATCH($D4582,'Paramètres'!$M:$M,0))&amp;"","")&lt;&gt;"",ISNUMBER(SEARCH("remboursement",IFERROR(INDEX('Paramètres'!$N:$N,MATCH($D4582,'Paramètres'!$M:$M,0))&amp;"",""))))),1,0))</f>
        <v/>
      </c>
      <c r="Q4582" s="6" t="str">
        <f>IF($K4582="","",IF(ISNUMBER(SEARCH("transfert-interne",IFERROR(INDEX('Paramètres'!$N:$N,MATCH($D4582,'Paramètres'!$M:$M,0))&amp;"",""))),0,IF($L4582="Débit",$K4582,IF($P4582=1,-$K4582,0))))</f>
        <v/>
      </c>
      <c r="R4582" s="6" t="str">
        <f>IF($K4582="","",IF($L4582="Crédit",$K4582,-$K4582))</f>
        <v/>
      </c>
      <c r="S4582" s="6" t="str">
        <f>IF($C4582="","",IFERROR(INDEX('Paramètres'!$H:$H,MATCH($C4582,'Paramètres'!$D:$D,0))&amp;"",""))</f>
        <v/>
      </c>
      <c r="T4582" s="6" t="str">
        <f>IF($K4582="","",IF($S4582="",0,IF(ISNUMBER(SEARCH("apport-exterieur",IFERROR(INDEX('Paramètres'!$N:$N,MATCH($D4582,'Paramètres'!$M:$M,0))&amp;"",""))),0,IF(OR(IFERROR(INDEX('Paramètres'!$I:$I,MATCH($C4582,'Paramètres'!$D:$D,0))&amp;"","")="Les deux",IFERROR(INDEX('Paramètres'!$I:$I,MATCH($C4582,'Paramètres'!$D:$D,0))&amp;"","")=IF($P4582=1,"Débit",$L4582)),-IF($P4582=1,-$K4582,$K4582),0))))</f>
        <v/>
      </c>
      <c r="U4582" s="6" t="str">
        <f>IF($K4582="","",IF(ISNUMBER(SEARCH("sortie-epargne",IFERROR(INDEX('Paramètres'!$N:$N,MATCH($D4582,'Paramètres'!$M:$M,0))&amp;"",""))),$K4582,0))</f>
        <v/>
      </c>
      <c r="V4582" s="6" t="str">
        <f>IF(AND($A4582&lt;&gt;"",$O4582=1,$L4582="Débit",N($Q4582)&gt;0,$A4582&gt;=Visualisation!$B$1,$A4582&lt;Visualisation!$D$1),MAX($V$1:V4581)+1,"")</f>
        <v/>
      </c>
    </row>
    <row r="4583" spans="1:22" x14ac:dyDescent="0.25">
      <c r="A4583" s="9"/>
      <c r="E4583" s="10"/>
      <c r="K4583" s="11" t="str">
        <f>IF($E4583="","",ROUND($E4583*IF(ISNA(MATCH($C4583,'Paramètres'!$D:$D,0)),1,IF(INDEX('Paramètres'!$J:$J,MATCH($C4583,'Paramètres'!$D:$D,0))="",1,INDEX('Paramètres'!$J:$J,MATCH($C4583,'Paramètres'!$D:$D,0)))),2))</f>
        <v/>
      </c>
      <c r="L4583" s="6" t="str">
        <f>IF($D4583="","",IF($F4583&lt;&gt;"",$F4583,IF(ISNA(MATCH($D4583,'Paramètres'!$M:$M,0)),"⚠ Type inconnu",IFERROR(INDEX('Paramètres'!$P:$P,MATCH($D4583,'Paramètres'!$M:$M,0))&amp;"",""))))</f>
        <v/>
      </c>
      <c r="M4583" s="6" t="str">
        <f>IF($D4583="","",IF(ISNA(MATCH($D4583,'Paramètres'!$M:$M,0)),"⚠ Type inconnu",IF($L4583="Crédit","",IFERROR(INDEX('Paramètres'!$O:$O,MATCH($D4583,'Paramètres'!$M:$M,0))&amp;"",""))))</f>
        <v/>
      </c>
      <c r="N4583" s="6" t="str">
        <f>IF($D4583="","",IFERROR(INDEX('Paramètres'!$Q:$Q,MATCH($D4583,'Paramètres'!$M:$M,0))&amp;"",""))</f>
        <v/>
      </c>
      <c r="O4583" s="6" t="str">
        <f>IF($A4583="","",IF(OR($J4583&lt;&gt;"x",$A4583&lt;=FinReleve),1,0))</f>
        <v/>
      </c>
      <c r="P4583" s="6" t="str">
        <f>IF($D4583="","",IF(AND($L4583="Crédit",OR(IFERROR(INDEX('Paramètres'!$O:$O,MATCH($D4583,'Paramètres'!$M:$M,0))&amp;"","")&lt;&gt;"",ISNUMBER(SEARCH("remboursement",IFERROR(INDEX('Paramètres'!$N:$N,MATCH($D4583,'Paramètres'!$M:$M,0))&amp;"",""))))),1,0))</f>
        <v/>
      </c>
      <c r="Q4583" s="6" t="str">
        <f>IF($K4583="","",IF(ISNUMBER(SEARCH("transfert-interne",IFERROR(INDEX('Paramètres'!$N:$N,MATCH($D4583,'Paramètres'!$M:$M,0))&amp;"",""))),0,IF($L4583="Débit",$K4583,IF($P4583=1,-$K4583,0))))</f>
        <v/>
      </c>
      <c r="R4583" s="6" t="str">
        <f>IF($K4583="","",IF($L4583="Crédit",$K4583,-$K4583))</f>
        <v/>
      </c>
      <c r="S4583" s="6" t="str">
        <f>IF($C4583="","",IFERROR(INDEX('Paramètres'!$H:$H,MATCH($C4583,'Paramètres'!$D:$D,0))&amp;"",""))</f>
        <v/>
      </c>
      <c r="T4583" s="6" t="str">
        <f>IF($K4583="","",IF($S4583="",0,IF(ISNUMBER(SEARCH("apport-exterieur",IFERROR(INDEX('Paramètres'!$N:$N,MATCH($D4583,'Paramètres'!$M:$M,0))&amp;"",""))),0,IF(OR(IFERROR(INDEX('Paramètres'!$I:$I,MATCH($C4583,'Paramètres'!$D:$D,0))&amp;"","")="Les deux",IFERROR(INDEX('Paramètres'!$I:$I,MATCH($C4583,'Paramètres'!$D:$D,0))&amp;"","")=IF($P4583=1,"Débit",$L4583)),-IF($P4583=1,-$K4583,$K4583),0))))</f>
        <v/>
      </c>
      <c r="U4583" s="6" t="str">
        <f>IF($K4583="","",IF(ISNUMBER(SEARCH("sortie-epargne",IFERROR(INDEX('Paramètres'!$N:$N,MATCH($D4583,'Paramètres'!$M:$M,0))&amp;"",""))),$K4583,0))</f>
        <v/>
      </c>
      <c r="V4583" s="6" t="str">
        <f>IF(AND($A4583&lt;&gt;"",$O4583=1,$L4583="Débit",N($Q4583)&gt;0,$A4583&gt;=Visualisation!$B$1,$A4583&lt;Visualisation!$D$1),MAX($V$1:V4582)+1,"")</f>
        <v/>
      </c>
    </row>
    <row r="4584" spans="1:22" x14ac:dyDescent="0.25">
      <c r="A4584" s="9"/>
      <c r="E4584" s="10"/>
      <c r="K4584" s="11" t="str">
        <f>IF($E4584="","",ROUND($E4584*IF(ISNA(MATCH($C4584,'Paramètres'!$D:$D,0)),1,IF(INDEX('Paramètres'!$J:$J,MATCH($C4584,'Paramètres'!$D:$D,0))="",1,INDEX('Paramètres'!$J:$J,MATCH($C4584,'Paramètres'!$D:$D,0)))),2))</f>
        <v/>
      </c>
      <c r="L4584" s="6" t="str">
        <f>IF($D4584="","",IF($F4584&lt;&gt;"",$F4584,IF(ISNA(MATCH($D4584,'Paramètres'!$M:$M,0)),"⚠ Type inconnu",IFERROR(INDEX('Paramètres'!$P:$P,MATCH($D4584,'Paramètres'!$M:$M,0))&amp;"",""))))</f>
        <v/>
      </c>
      <c r="M4584" s="6" t="str">
        <f>IF($D4584="","",IF(ISNA(MATCH($D4584,'Paramètres'!$M:$M,0)),"⚠ Type inconnu",IF($L4584="Crédit","",IFERROR(INDEX('Paramètres'!$O:$O,MATCH($D4584,'Paramètres'!$M:$M,0))&amp;"",""))))</f>
        <v/>
      </c>
      <c r="N4584" s="6" t="str">
        <f>IF($D4584="","",IFERROR(INDEX('Paramètres'!$Q:$Q,MATCH($D4584,'Paramètres'!$M:$M,0))&amp;"",""))</f>
        <v/>
      </c>
      <c r="O4584" s="6" t="str">
        <f>IF($A4584="","",IF(OR($J4584&lt;&gt;"x",$A4584&lt;=FinReleve),1,0))</f>
        <v/>
      </c>
      <c r="P4584" s="6" t="str">
        <f>IF($D4584="","",IF(AND($L4584="Crédit",OR(IFERROR(INDEX('Paramètres'!$O:$O,MATCH($D4584,'Paramètres'!$M:$M,0))&amp;"","")&lt;&gt;"",ISNUMBER(SEARCH("remboursement",IFERROR(INDEX('Paramètres'!$N:$N,MATCH($D4584,'Paramètres'!$M:$M,0))&amp;"",""))))),1,0))</f>
        <v/>
      </c>
      <c r="Q4584" s="6" t="str">
        <f>IF($K4584="","",IF(ISNUMBER(SEARCH("transfert-interne",IFERROR(INDEX('Paramètres'!$N:$N,MATCH($D4584,'Paramètres'!$M:$M,0))&amp;"",""))),0,IF($L4584="Débit",$K4584,IF($P4584=1,-$K4584,0))))</f>
        <v/>
      </c>
      <c r="R4584" s="6" t="str">
        <f>IF($K4584="","",IF($L4584="Crédit",$K4584,-$K4584))</f>
        <v/>
      </c>
      <c r="S4584" s="6" t="str">
        <f>IF($C4584="","",IFERROR(INDEX('Paramètres'!$H:$H,MATCH($C4584,'Paramètres'!$D:$D,0))&amp;"",""))</f>
        <v/>
      </c>
      <c r="T4584" s="6" t="str">
        <f>IF($K4584="","",IF($S4584="",0,IF(ISNUMBER(SEARCH("apport-exterieur",IFERROR(INDEX('Paramètres'!$N:$N,MATCH($D4584,'Paramètres'!$M:$M,0))&amp;"",""))),0,IF(OR(IFERROR(INDEX('Paramètres'!$I:$I,MATCH($C4584,'Paramètres'!$D:$D,0))&amp;"","")="Les deux",IFERROR(INDEX('Paramètres'!$I:$I,MATCH($C4584,'Paramètres'!$D:$D,0))&amp;"","")=IF($P4584=1,"Débit",$L4584)),-IF($P4584=1,-$K4584,$K4584),0))))</f>
        <v/>
      </c>
      <c r="U4584" s="6" t="str">
        <f>IF($K4584="","",IF(ISNUMBER(SEARCH("sortie-epargne",IFERROR(INDEX('Paramètres'!$N:$N,MATCH($D4584,'Paramètres'!$M:$M,0))&amp;"",""))),$K4584,0))</f>
        <v/>
      </c>
      <c r="V4584" s="6" t="str">
        <f>IF(AND($A4584&lt;&gt;"",$O4584=1,$L4584="Débit",N($Q4584)&gt;0,$A4584&gt;=Visualisation!$B$1,$A4584&lt;Visualisation!$D$1),MAX($V$1:V4583)+1,"")</f>
        <v/>
      </c>
    </row>
    <row r="4585" spans="1:22" x14ac:dyDescent="0.25">
      <c r="A4585" s="9"/>
      <c r="E4585" s="10"/>
      <c r="K4585" s="11" t="str">
        <f>IF($E4585="","",ROUND($E4585*IF(ISNA(MATCH($C4585,'Paramètres'!$D:$D,0)),1,IF(INDEX('Paramètres'!$J:$J,MATCH($C4585,'Paramètres'!$D:$D,0))="",1,INDEX('Paramètres'!$J:$J,MATCH($C4585,'Paramètres'!$D:$D,0)))),2))</f>
        <v/>
      </c>
      <c r="L4585" s="6" t="str">
        <f>IF($D4585="","",IF($F4585&lt;&gt;"",$F4585,IF(ISNA(MATCH($D4585,'Paramètres'!$M:$M,0)),"⚠ Type inconnu",IFERROR(INDEX('Paramètres'!$P:$P,MATCH($D4585,'Paramètres'!$M:$M,0))&amp;"",""))))</f>
        <v/>
      </c>
      <c r="M4585" s="6" t="str">
        <f>IF($D4585="","",IF(ISNA(MATCH($D4585,'Paramètres'!$M:$M,0)),"⚠ Type inconnu",IF($L4585="Crédit","",IFERROR(INDEX('Paramètres'!$O:$O,MATCH($D4585,'Paramètres'!$M:$M,0))&amp;"",""))))</f>
        <v/>
      </c>
      <c r="N4585" s="6" t="str">
        <f>IF($D4585="","",IFERROR(INDEX('Paramètres'!$Q:$Q,MATCH($D4585,'Paramètres'!$M:$M,0))&amp;"",""))</f>
        <v/>
      </c>
      <c r="O4585" s="6" t="str">
        <f>IF($A4585="","",IF(OR($J4585&lt;&gt;"x",$A4585&lt;=FinReleve),1,0))</f>
        <v/>
      </c>
      <c r="P4585" s="6" t="str">
        <f>IF($D4585="","",IF(AND($L4585="Crédit",OR(IFERROR(INDEX('Paramètres'!$O:$O,MATCH($D4585,'Paramètres'!$M:$M,0))&amp;"","")&lt;&gt;"",ISNUMBER(SEARCH("remboursement",IFERROR(INDEX('Paramètres'!$N:$N,MATCH($D4585,'Paramètres'!$M:$M,0))&amp;"",""))))),1,0))</f>
        <v/>
      </c>
      <c r="Q4585" s="6" t="str">
        <f>IF($K4585="","",IF(ISNUMBER(SEARCH("transfert-interne",IFERROR(INDEX('Paramètres'!$N:$N,MATCH($D4585,'Paramètres'!$M:$M,0))&amp;"",""))),0,IF($L4585="Débit",$K4585,IF($P4585=1,-$K4585,0))))</f>
        <v/>
      </c>
      <c r="R4585" s="6" t="str">
        <f>IF($K4585="","",IF($L4585="Crédit",$K4585,-$K4585))</f>
        <v/>
      </c>
      <c r="S4585" s="6" t="str">
        <f>IF($C4585="","",IFERROR(INDEX('Paramètres'!$H:$H,MATCH($C4585,'Paramètres'!$D:$D,0))&amp;"",""))</f>
        <v/>
      </c>
      <c r="T4585" s="6" t="str">
        <f>IF($K4585="","",IF($S4585="",0,IF(ISNUMBER(SEARCH("apport-exterieur",IFERROR(INDEX('Paramètres'!$N:$N,MATCH($D4585,'Paramètres'!$M:$M,0))&amp;"",""))),0,IF(OR(IFERROR(INDEX('Paramètres'!$I:$I,MATCH($C4585,'Paramètres'!$D:$D,0))&amp;"","")="Les deux",IFERROR(INDEX('Paramètres'!$I:$I,MATCH($C4585,'Paramètres'!$D:$D,0))&amp;"","")=IF($P4585=1,"Débit",$L4585)),-IF($P4585=1,-$K4585,$K4585),0))))</f>
        <v/>
      </c>
      <c r="U4585" s="6" t="str">
        <f>IF($K4585="","",IF(ISNUMBER(SEARCH("sortie-epargne",IFERROR(INDEX('Paramètres'!$N:$N,MATCH($D4585,'Paramètres'!$M:$M,0))&amp;"",""))),$K4585,0))</f>
        <v/>
      </c>
      <c r="V4585" s="6" t="str">
        <f>IF(AND($A4585&lt;&gt;"",$O4585=1,$L4585="Débit",N($Q4585)&gt;0,$A4585&gt;=Visualisation!$B$1,$A4585&lt;Visualisation!$D$1),MAX($V$1:V4584)+1,"")</f>
        <v/>
      </c>
    </row>
    <row r="4586" spans="1:22" x14ac:dyDescent="0.25">
      <c r="A4586" s="9"/>
      <c r="E4586" s="10"/>
      <c r="K4586" s="11" t="str">
        <f>IF($E4586="","",ROUND($E4586*IF(ISNA(MATCH($C4586,'Paramètres'!$D:$D,0)),1,IF(INDEX('Paramètres'!$J:$J,MATCH($C4586,'Paramètres'!$D:$D,0))="",1,INDEX('Paramètres'!$J:$J,MATCH($C4586,'Paramètres'!$D:$D,0)))),2))</f>
        <v/>
      </c>
      <c r="L4586" s="6" t="str">
        <f>IF($D4586="","",IF($F4586&lt;&gt;"",$F4586,IF(ISNA(MATCH($D4586,'Paramètres'!$M:$M,0)),"⚠ Type inconnu",IFERROR(INDEX('Paramètres'!$P:$P,MATCH($D4586,'Paramètres'!$M:$M,0))&amp;"",""))))</f>
        <v/>
      </c>
      <c r="M4586" s="6" t="str">
        <f>IF($D4586="","",IF(ISNA(MATCH($D4586,'Paramètres'!$M:$M,0)),"⚠ Type inconnu",IF($L4586="Crédit","",IFERROR(INDEX('Paramètres'!$O:$O,MATCH($D4586,'Paramètres'!$M:$M,0))&amp;"",""))))</f>
        <v/>
      </c>
      <c r="N4586" s="6" t="str">
        <f>IF($D4586="","",IFERROR(INDEX('Paramètres'!$Q:$Q,MATCH($D4586,'Paramètres'!$M:$M,0))&amp;"",""))</f>
        <v/>
      </c>
      <c r="O4586" s="6" t="str">
        <f>IF($A4586="","",IF(OR($J4586&lt;&gt;"x",$A4586&lt;=FinReleve),1,0))</f>
        <v/>
      </c>
      <c r="P4586" s="6" t="str">
        <f>IF($D4586="","",IF(AND($L4586="Crédit",OR(IFERROR(INDEX('Paramètres'!$O:$O,MATCH($D4586,'Paramètres'!$M:$M,0))&amp;"","")&lt;&gt;"",ISNUMBER(SEARCH("remboursement",IFERROR(INDEX('Paramètres'!$N:$N,MATCH($D4586,'Paramètres'!$M:$M,0))&amp;"",""))))),1,0))</f>
        <v/>
      </c>
      <c r="Q4586" s="6" t="str">
        <f>IF($K4586="","",IF(ISNUMBER(SEARCH("transfert-interne",IFERROR(INDEX('Paramètres'!$N:$N,MATCH($D4586,'Paramètres'!$M:$M,0))&amp;"",""))),0,IF($L4586="Débit",$K4586,IF($P4586=1,-$K4586,0))))</f>
        <v/>
      </c>
      <c r="R4586" s="6" t="str">
        <f>IF($K4586="","",IF($L4586="Crédit",$K4586,-$K4586))</f>
        <v/>
      </c>
      <c r="S4586" s="6" t="str">
        <f>IF($C4586="","",IFERROR(INDEX('Paramètres'!$H:$H,MATCH($C4586,'Paramètres'!$D:$D,0))&amp;"",""))</f>
        <v/>
      </c>
      <c r="T4586" s="6" t="str">
        <f>IF($K4586="","",IF($S4586="",0,IF(ISNUMBER(SEARCH("apport-exterieur",IFERROR(INDEX('Paramètres'!$N:$N,MATCH($D4586,'Paramètres'!$M:$M,0))&amp;"",""))),0,IF(OR(IFERROR(INDEX('Paramètres'!$I:$I,MATCH($C4586,'Paramètres'!$D:$D,0))&amp;"","")="Les deux",IFERROR(INDEX('Paramètres'!$I:$I,MATCH($C4586,'Paramètres'!$D:$D,0))&amp;"","")=IF($P4586=1,"Débit",$L4586)),-IF($P4586=1,-$K4586,$K4586),0))))</f>
        <v/>
      </c>
      <c r="U4586" s="6" t="str">
        <f>IF($K4586="","",IF(ISNUMBER(SEARCH("sortie-epargne",IFERROR(INDEX('Paramètres'!$N:$N,MATCH($D4586,'Paramètres'!$M:$M,0))&amp;"",""))),$K4586,0))</f>
        <v/>
      </c>
      <c r="V4586" s="6" t="str">
        <f>IF(AND($A4586&lt;&gt;"",$O4586=1,$L4586="Débit",N($Q4586)&gt;0,$A4586&gt;=Visualisation!$B$1,$A4586&lt;Visualisation!$D$1),MAX($V$1:V4585)+1,"")</f>
        <v/>
      </c>
    </row>
    <row r="4587" spans="1:22" x14ac:dyDescent="0.25">
      <c r="A4587" s="9"/>
      <c r="E4587" s="10"/>
      <c r="K4587" s="11" t="str">
        <f>IF($E4587="","",ROUND($E4587*IF(ISNA(MATCH($C4587,'Paramètres'!$D:$D,0)),1,IF(INDEX('Paramètres'!$J:$J,MATCH($C4587,'Paramètres'!$D:$D,0))="",1,INDEX('Paramètres'!$J:$J,MATCH($C4587,'Paramètres'!$D:$D,0)))),2))</f>
        <v/>
      </c>
      <c r="L4587" s="6" t="str">
        <f>IF($D4587="","",IF($F4587&lt;&gt;"",$F4587,IF(ISNA(MATCH($D4587,'Paramètres'!$M:$M,0)),"⚠ Type inconnu",IFERROR(INDEX('Paramètres'!$P:$P,MATCH($D4587,'Paramètres'!$M:$M,0))&amp;"",""))))</f>
        <v/>
      </c>
      <c r="M4587" s="6" t="str">
        <f>IF($D4587="","",IF(ISNA(MATCH($D4587,'Paramètres'!$M:$M,0)),"⚠ Type inconnu",IF($L4587="Crédit","",IFERROR(INDEX('Paramètres'!$O:$O,MATCH($D4587,'Paramètres'!$M:$M,0))&amp;"",""))))</f>
        <v/>
      </c>
      <c r="N4587" s="6" t="str">
        <f>IF($D4587="","",IFERROR(INDEX('Paramètres'!$Q:$Q,MATCH($D4587,'Paramètres'!$M:$M,0))&amp;"",""))</f>
        <v/>
      </c>
      <c r="O4587" s="6" t="str">
        <f>IF($A4587="","",IF(OR($J4587&lt;&gt;"x",$A4587&lt;=FinReleve),1,0))</f>
        <v/>
      </c>
      <c r="P4587" s="6" t="str">
        <f>IF($D4587="","",IF(AND($L4587="Crédit",OR(IFERROR(INDEX('Paramètres'!$O:$O,MATCH($D4587,'Paramètres'!$M:$M,0))&amp;"","")&lt;&gt;"",ISNUMBER(SEARCH("remboursement",IFERROR(INDEX('Paramètres'!$N:$N,MATCH($D4587,'Paramètres'!$M:$M,0))&amp;"",""))))),1,0))</f>
        <v/>
      </c>
      <c r="Q4587" s="6" t="str">
        <f>IF($K4587="","",IF(ISNUMBER(SEARCH("transfert-interne",IFERROR(INDEX('Paramètres'!$N:$N,MATCH($D4587,'Paramètres'!$M:$M,0))&amp;"",""))),0,IF($L4587="Débit",$K4587,IF($P4587=1,-$K4587,0))))</f>
        <v/>
      </c>
      <c r="R4587" s="6" t="str">
        <f>IF($K4587="","",IF($L4587="Crédit",$K4587,-$K4587))</f>
        <v/>
      </c>
      <c r="S4587" s="6" t="str">
        <f>IF($C4587="","",IFERROR(INDEX('Paramètres'!$H:$H,MATCH($C4587,'Paramètres'!$D:$D,0))&amp;"",""))</f>
        <v/>
      </c>
      <c r="T4587" s="6" t="str">
        <f>IF($K4587="","",IF($S4587="",0,IF(ISNUMBER(SEARCH("apport-exterieur",IFERROR(INDEX('Paramètres'!$N:$N,MATCH($D4587,'Paramètres'!$M:$M,0))&amp;"",""))),0,IF(OR(IFERROR(INDEX('Paramètres'!$I:$I,MATCH($C4587,'Paramètres'!$D:$D,0))&amp;"","")="Les deux",IFERROR(INDEX('Paramètres'!$I:$I,MATCH($C4587,'Paramètres'!$D:$D,0))&amp;"","")=IF($P4587=1,"Débit",$L4587)),-IF($P4587=1,-$K4587,$K4587),0))))</f>
        <v/>
      </c>
      <c r="U4587" s="6" t="str">
        <f>IF($K4587="","",IF(ISNUMBER(SEARCH("sortie-epargne",IFERROR(INDEX('Paramètres'!$N:$N,MATCH($D4587,'Paramètres'!$M:$M,0))&amp;"",""))),$K4587,0))</f>
        <v/>
      </c>
      <c r="V4587" s="6" t="str">
        <f>IF(AND($A4587&lt;&gt;"",$O4587=1,$L4587="Débit",N($Q4587)&gt;0,$A4587&gt;=Visualisation!$B$1,$A4587&lt;Visualisation!$D$1),MAX($V$1:V4586)+1,"")</f>
        <v/>
      </c>
    </row>
    <row r="4588" spans="1:22" x14ac:dyDescent="0.25">
      <c r="A4588" s="9"/>
      <c r="E4588" s="10"/>
      <c r="K4588" s="11" t="str">
        <f>IF($E4588="","",ROUND($E4588*IF(ISNA(MATCH($C4588,'Paramètres'!$D:$D,0)),1,IF(INDEX('Paramètres'!$J:$J,MATCH($C4588,'Paramètres'!$D:$D,0))="",1,INDEX('Paramètres'!$J:$J,MATCH($C4588,'Paramètres'!$D:$D,0)))),2))</f>
        <v/>
      </c>
      <c r="L4588" s="6" t="str">
        <f>IF($D4588="","",IF($F4588&lt;&gt;"",$F4588,IF(ISNA(MATCH($D4588,'Paramètres'!$M:$M,0)),"⚠ Type inconnu",IFERROR(INDEX('Paramètres'!$P:$P,MATCH($D4588,'Paramètres'!$M:$M,0))&amp;"",""))))</f>
        <v/>
      </c>
      <c r="M4588" s="6" t="str">
        <f>IF($D4588="","",IF(ISNA(MATCH($D4588,'Paramètres'!$M:$M,0)),"⚠ Type inconnu",IF($L4588="Crédit","",IFERROR(INDEX('Paramètres'!$O:$O,MATCH($D4588,'Paramètres'!$M:$M,0))&amp;"",""))))</f>
        <v/>
      </c>
      <c r="N4588" s="6" t="str">
        <f>IF($D4588="","",IFERROR(INDEX('Paramètres'!$Q:$Q,MATCH($D4588,'Paramètres'!$M:$M,0))&amp;"",""))</f>
        <v/>
      </c>
      <c r="O4588" s="6" t="str">
        <f>IF($A4588="","",IF(OR($J4588&lt;&gt;"x",$A4588&lt;=FinReleve),1,0))</f>
        <v/>
      </c>
      <c r="P4588" s="6" t="str">
        <f>IF($D4588="","",IF(AND($L4588="Crédit",OR(IFERROR(INDEX('Paramètres'!$O:$O,MATCH($D4588,'Paramètres'!$M:$M,0))&amp;"","")&lt;&gt;"",ISNUMBER(SEARCH("remboursement",IFERROR(INDEX('Paramètres'!$N:$N,MATCH($D4588,'Paramètres'!$M:$M,0))&amp;"",""))))),1,0))</f>
        <v/>
      </c>
      <c r="Q4588" s="6" t="str">
        <f>IF($K4588="","",IF(ISNUMBER(SEARCH("transfert-interne",IFERROR(INDEX('Paramètres'!$N:$N,MATCH($D4588,'Paramètres'!$M:$M,0))&amp;"",""))),0,IF($L4588="Débit",$K4588,IF($P4588=1,-$K4588,0))))</f>
        <v/>
      </c>
      <c r="R4588" s="6" t="str">
        <f>IF($K4588="","",IF($L4588="Crédit",$K4588,-$K4588))</f>
        <v/>
      </c>
      <c r="S4588" s="6" t="str">
        <f>IF($C4588="","",IFERROR(INDEX('Paramètres'!$H:$H,MATCH($C4588,'Paramètres'!$D:$D,0))&amp;"",""))</f>
        <v/>
      </c>
      <c r="T4588" s="6" t="str">
        <f>IF($K4588="","",IF($S4588="",0,IF(ISNUMBER(SEARCH("apport-exterieur",IFERROR(INDEX('Paramètres'!$N:$N,MATCH($D4588,'Paramètres'!$M:$M,0))&amp;"",""))),0,IF(OR(IFERROR(INDEX('Paramètres'!$I:$I,MATCH($C4588,'Paramètres'!$D:$D,0))&amp;"","")="Les deux",IFERROR(INDEX('Paramètres'!$I:$I,MATCH($C4588,'Paramètres'!$D:$D,0))&amp;"","")=IF($P4588=1,"Débit",$L4588)),-IF($P4588=1,-$K4588,$K4588),0))))</f>
        <v/>
      </c>
      <c r="U4588" s="6" t="str">
        <f>IF($K4588="","",IF(ISNUMBER(SEARCH("sortie-epargne",IFERROR(INDEX('Paramètres'!$N:$N,MATCH($D4588,'Paramètres'!$M:$M,0))&amp;"",""))),$K4588,0))</f>
        <v/>
      </c>
      <c r="V4588" s="6" t="str">
        <f>IF(AND($A4588&lt;&gt;"",$O4588=1,$L4588="Débit",N($Q4588)&gt;0,$A4588&gt;=Visualisation!$B$1,$A4588&lt;Visualisation!$D$1),MAX($V$1:V4587)+1,"")</f>
        <v/>
      </c>
    </row>
    <row r="4589" spans="1:22" x14ac:dyDescent="0.25">
      <c r="A4589" s="9"/>
      <c r="E4589" s="10"/>
      <c r="K4589" s="11" t="str">
        <f>IF($E4589="","",ROUND($E4589*IF(ISNA(MATCH($C4589,'Paramètres'!$D:$D,0)),1,IF(INDEX('Paramètres'!$J:$J,MATCH($C4589,'Paramètres'!$D:$D,0))="",1,INDEX('Paramètres'!$J:$J,MATCH($C4589,'Paramètres'!$D:$D,0)))),2))</f>
        <v/>
      </c>
      <c r="L4589" s="6" t="str">
        <f>IF($D4589="","",IF($F4589&lt;&gt;"",$F4589,IF(ISNA(MATCH($D4589,'Paramètres'!$M:$M,0)),"⚠ Type inconnu",IFERROR(INDEX('Paramètres'!$P:$P,MATCH($D4589,'Paramètres'!$M:$M,0))&amp;"",""))))</f>
        <v/>
      </c>
      <c r="M4589" s="6" t="str">
        <f>IF($D4589="","",IF(ISNA(MATCH($D4589,'Paramètres'!$M:$M,0)),"⚠ Type inconnu",IF($L4589="Crédit","",IFERROR(INDEX('Paramètres'!$O:$O,MATCH($D4589,'Paramètres'!$M:$M,0))&amp;"",""))))</f>
        <v/>
      </c>
      <c r="N4589" s="6" t="str">
        <f>IF($D4589="","",IFERROR(INDEX('Paramètres'!$Q:$Q,MATCH($D4589,'Paramètres'!$M:$M,0))&amp;"",""))</f>
        <v/>
      </c>
      <c r="O4589" s="6" t="str">
        <f>IF($A4589="","",IF(OR($J4589&lt;&gt;"x",$A4589&lt;=FinReleve),1,0))</f>
        <v/>
      </c>
      <c r="P4589" s="6" t="str">
        <f>IF($D4589="","",IF(AND($L4589="Crédit",OR(IFERROR(INDEX('Paramètres'!$O:$O,MATCH($D4589,'Paramètres'!$M:$M,0))&amp;"","")&lt;&gt;"",ISNUMBER(SEARCH("remboursement",IFERROR(INDEX('Paramètres'!$N:$N,MATCH($D4589,'Paramètres'!$M:$M,0))&amp;"",""))))),1,0))</f>
        <v/>
      </c>
      <c r="Q4589" s="6" t="str">
        <f>IF($K4589="","",IF(ISNUMBER(SEARCH("transfert-interne",IFERROR(INDEX('Paramètres'!$N:$N,MATCH($D4589,'Paramètres'!$M:$M,0))&amp;"",""))),0,IF($L4589="Débit",$K4589,IF($P4589=1,-$K4589,0))))</f>
        <v/>
      </c>
      <c r="R4589" s="6" t="str">
        <f>IF($K4589="","",IF($L4589="Crédit",$K4589,-$K4589))</f>
        <v/>
      </c>
      <c r="S4589" s="6" t="str">
        <f>IF($C4589="","",IFERROR(INDEX('Paramètres'!$H:$H,MATCH($C4589,'Paramètres'!$D:$D,0))&amp;"",""))</f>
        <v/>
      </c>
      <c r="T4589" s="6" t="str">
        <f>IF($K4589="","",IF($S4589="",0,IF(ISNUMBER(SEARCH("apport-exterieur",IFERROR(INDEX('Paramètres'!$N:$N,MATCH($D4589,'Paramètres'!$M:$M,0))&amp;"",""))),0,IF(OR(IFERROR(INDEX('Paramètres'!$I:$I,MATCH($C4589,'Paramètres'!$D:$D,0))&amp;"","")="Les deux",IFERROR(INDEX('Paramètres'!$I:$I,MATCH($C4589,'Paramètres'!$D:$D,0))&amp;"","")=IF($P4589=1,"Débit",$L4589)),-IF($P4589=1,-$K4589,$K4589),0))))</f>
        <v/>
      </c>
      <c r="U4589" s="6" t="str">
        <f>IF($K4589="","",IF(ISNUMBER(SEARCH("sortie-epargne",IFERROR(INDEX('Paramètres'!$N:$N,MATCH($D4589,'Paramètres'!$M:$M,0))&amp;"",""))),$K4589,0))</f>
        <v/>
      </c>
      <c r="V4589" s="6" t="str">
        <f>IF(AND($A4589&lt;&gt;"",$O4589=1,$L4589="Débit",N($Q4589)&gt;0,$A4589&gt;=Visualisation!$B$1,$A4589&lt;Visualisation!$D$1),MAX($V$1:V4588)+1,"")</f>
        <v/>
      </c>
    </row>
    <row r="4590" spans="1:22" x14ac:dyDescent="0.25">
      <c r="A4590" s="9"/>
      <c r="E4590" s="10"/>
      <c r="K4590" s="11" t="str">
        <f>IF($E4590="","",ROUND($E4590*IF(ISNA(MATCH($C4590,'Paramètres'!$D:$D,0)),1,IF(INDEX('Paramètres'!$J:$J,MATCH($C4590,'Paramètres'!$D:$D,0))="",1,INDEX('Paramètres'!$J:$J,MATCH($C4590,'Paramètres'!$D:$D,0)))),2))</f>
        <v/>
      </c>
      <c r="L4590" s="6" t="str">
        <f>IF($D4590="","",IF($F4590&lt;&gt;"",$F4590,IF(ISNA(MATCH($D4590,'Paramètres'!$M:$M,0)),"⚠ Type inconnu",IFERROR(INDEX('Paramètres'!$P:$P,MATCH($D4590,'Paramètres'!$M:$M,0))&amp;"",""))))</f>
        <v/>
      </c>
      <c r="M4590" s="6" t="str">
        <f>IF($D4590="","",IF(ISNA(MATCH($D4590,'Paramètres'!$M:$M,0)),"⚠ Type inconnu",IF($L4590="Crédit","",IFERROR(INDEX('Paramètres'!$O:$O,MATCH($D4590,'Paramètres'!$M:$M,0))&amp;"",""))))</f>
        <v/>
      </c>
      <c r="N4590" s="6" t="str">
        <f>IF($D4590="","",IFERROR(INDEX('Paramètres'!$Q:$Q,MATCH($D4590,'Paramètres'!$M:$M,0))&amp;"",""))</f>
        <v/>
      </c>
      <c r="O4590" s="6" t="str">
        <f>IF($A4590="","",IF(OR($J4590&lt;&gt;"x",$A4590&lt;=FinReleve),1,0))</f>
        <v/>
      </c>
      <c r="P4590" s="6" t="str">
        <f>IF($D4590="","",IF(AND($L4590="Crédit",OR(IFERROR(INDEX('Paramètres'!$O:$O,MATCH($D4590,'Paramètres'!$M:$M,0))&amp;"","")&lt;&gt;"",ISNUMBER(SEARCH("remboursement",IFERROR(INDEX('Paramètres'!$N:$N,MATCH($D4590,'Paramètres'!$M:$M,0))&amp;"",""))))),1,0))</f>
        <v/>
      </c>
      <c r="Q4590" s="6" t="str">
        <f>IF($K4590="","",IF(ISNUMBER(SEARCH("transfert-interne",IFERROR(INDEX('Paramètres'!$N:$N,MATCH($D4590,'Paramètres'!$M:$M,0))&amp;"",""))),0,IF($L4590="Débit",$K4590,IF($P4590=1,-$K4590,0))))</f>
        <v/>
      </c>
      <c r="R4590" s="6" t="str">
        <f>IF($K4590="","",IF($L4590="Crédit",$K4590,-$K4590))</f>
        <v/>
      </c>
      <c r="S4590" s="6" t="str">
        <f>IF($C4590="","",IFERROR(INDEX('Paramètres'!$H:$H,MATCH($C4590,'Paramètres'!$D:$D,0))&amp;"",""))</f>
        <v/>
      </c>
      <c r="T4590" s="6" t="str">
        <f>IF($K4590="","",IF($S4590="",0,IF(ISNUMBER(SEARCH("apport-exterieur",IFERROR(INDEX('Paramètres'!$N:$N,MATCH($D4590,'Paramètres'!$M:$M,0))&amp;"",""))),0,IF(OR(IFERROR(INDEX('Paramètres'!$I:$I,MATCH($C4590,'Paramètres'!$D:$D,0))&amp;"","")="Les deux",IFERROR(INDEX('Paramètres'!$I:$I,MATCH($C4590,'Paramètres'!$D:$D,0))&amp;"","")=IF($P4590=1,"Débit",$L4590)),-IF($P4590=1,-$K4590,$K4590),0))))</f>
        <v/>
      </c>
      <c r="U4590" s="6" t="str">
        <f>IF($K4590="","",IF(ISNUMBER(SEARCH("sortie-epargne",IFERROR(INDEX('Paramètres'!$N:$N,MATCH($D4590,'Paramètres'!$M:$M,0))&amp;"",""))),$K4590,0))</f>
        <v/>
      </c>
      <c r="V4590" s="6" t="str">
        <f>IF(AND($A4590&lt;&gt;"",$O4590=1,$L4590="Débit",N($Q4590)&gt;0,$A4590&gt;=Visualisation!$B$1,$A4590&lt;Visualisation!$D$1),MAX($V$1:V4589)+1,"")</f>
        <v/>
      </c>
    </row>
    <row r="4591" spans="1:22" x14ac:dyDescent="0.25">
      <c r="A4591" s="9"/>
      <c r="E4591" s="10"/>
      <c r="K4591" s="11" t="str">
        <f>IF($E4591="","",ROUND($E4591*IF(ISNA(MATCH($C4591,'Paramètres'!$D:$D,0)),1,IF(INDEX('Paramètres'!$J:$J,MATCH($C4591,'Paramètres'!$D:$D,0))="",1,INDEX('Paramètres'!$J:$J,MATCH($C4591,'Paramètres'!$D:$D,0)))),2))</f>
        <v/>
      </c>
      <c r="L4591" s="6" t="str">
        <f>IF($D4591="","",IF($F4591&lt;&gt;"",$F4591,IF(ISNA(MATCH($D4591,'Paramètres'!$M:$M,0)),"⚠ Type inconnu",IFERROR(INDEX('Paramètres'!$P:$P,MATCH($D4591,'Paramètres'!$M:$M,0))&amp;"",""))))</f>
        <v/>
      </c>
      <c r="M4591" s="6" t="str">
        <f>IF($D4591="","",IF(ISNA(MATCH($D4591,'Paramètres'!$M:$M,0)),"⚠ Type inconnu",IF($L4591="Crédit","",IFERROR(INDEX('Paramètres'!$O:$O,MATCH($D4591,'Paramètres'!$M:$M,0))&amp;"",""))))</f>
        <v/>
      </c>
      <c r="N4591" s="6" t="str">
        <f>IF($D4591="","",IFERROR(INDEX('Paramètres'!$Q:$Q,MATCH($D4591,'Paramètres'!$M:$M,0))&amp;"",""))</f>
        <v/>
      </c>
      <c r="O4591" s="6" t="str">
        <f>IF($A4591="","",IF(OR($J4591&lt;&gt;"x",$A4591&lt;=FinReleve),1,0))</f>
        <v/>
      </c>
      <c r="P4591" s="6" t="str">
        <f>IF($D4591="","",IF(AND($L4591="Crédit",OR(IFERROR(INDEX('Paramètres'!$O:$O,MATCH($D4591,'Paramètres'!$M:$M,0))&amp;"","")&lt;&gt;"",ISNUMBER(SEARCH("remboursement",IFERROR(INDEX('Paramètres'!$N:$N,MATCH($D4591,'Paramètres'!$M:$M,0))&amp;"",""))))),1,0))</f>
        <v/>
      </c>
      <c r="Q4591" s="6" t="str">
        <f>IF($K4591="","",IF(ISNUMBER(SEARCH("transfert-interne",IFERROR(INDEX('Paramètres'!$N:$N,MATCH($D4591,'Paramètres'!$M:$M,0))&amp;"",""))),0,IF($L4591="Débit",$K4591,IF($P4591=1,-$K4591,0))))</f>
        <v/>
      </c>
      <c r="R4591" s="6" t="str">
        <f>IF($K4591="","",IF($L4591="Crédit",$K4591,-$K4591))</f>
        <v/>
      </c>
      <c r="S4591" s="6" t="str">
        <f>IF($C4591="","",IFERROR(INDEX('Paramètres'!$H:$H,MATCH($C4591,'Paramètres'!$D:$D,0))&amp;"",""))</f>
        <v/>
      </c>
      <c r="T4591" s="6" t="str">
        <f>IF($K4591="","",IF($S4591="",0,IF(ISNUMBER(SEARCH("apport-exterieur",IFERROR(INDEX('Paramètres'!$N:$N,MATCH($D4591,'Paramètres'!$M:$M,0))&amp;"",""))),0,IF(OR(IFERROR(INDEX('Paramètres'!$I:$I,MATCH($C4591,'Paramètres'!$D:$D,0))&amp;"","")="Les deux",IFERROR(INDEX('Paramètres'!$I:$I,MATCH($C4591,'Paramètres'!$D:$D,0))&amp;"","")=IF($P4591=1,"Débit",$L4591)),-IF($P4591=1,-$K4591,$K4591),0))))</f>
        <v/>
      </c>
      <c r="U4591" s="6" t="str">
        <f>IF($K4591="","",IF(ISNUMBER(SEARCH("sortie-epargne",IFERROR(INDEX('Paramètres'!$N:$N,MATCH($D4591,'Paramètres'!$M:$M,0))&amp;"",""))),$K4591,0))</f>
        <v/>
      </c>
      <c r="V4591" s="6" t="str">
        <f>IF(AND($A4591&lt;&gt;"",$O4591=1,$L4591="Débit",N($Q4591)&gt;0,$A4591&gt;=Visualisation!$B$1,$A4591&lt;Visualisation!$D$1),MAX($V$1:V4590)+1,"")</f>
        <v/>
      </c>
    </row>
    <row r="4592" spans="1:22" x14ac:dyDescent="0.25">
      <c r="A4592" s="9"/>
      <c r="E4592" s="10"/>
      <c r="K4592" s="11" t="str">
        <f>IF($E4592="","",ROUND($E4592*IF(ISNA(MATCH($C4592,'Paramètres'!$D:$D,0)),1,IF(INDEX('Paramètres'!$J:$J,MATCH($C4592,'Paramètres'!$D:$D,0))="",1,INDEX('Paramètres'!$J:$J,MATCH($C4592,'Paramètres'!$D:$D,0)))),2))</f>
        <v/>
      </c>
      <c r="L4592" s="6" t="str">
        <f>IF($D4592="","",IF($F4592&lt;&gt;"",$F4592,IF(ISNA(MATCH($D4592,'Paramètres'!$M:$M,0)),"⚠ Type inconnu",IFERROR(INDEX('Paramètres'!$P:$P,MATCH($D4592,'Paramètres'!$M:$M,0))&amp;"",""))))</f>
        <v/>
      </c>
      <c r="M4592" s="6" t="str">
        <f>IF($D4592="","",IF(ISNA(MATCH($D4592,'Paramètres'!$M:$M,0)),"⚠ Type inconnu",IF($L4592="Crédit","",IFERROR(INDEX('Paramètres'!$O:$O,MATCH($D4592,'Paramètres'!$M:$M,0))&amp;"",""))))</f>
        <v/>
      </c>
      <c r="N4592" s="6" t="str">
        <f>IF($D4592="","",IFERROR(INDEX('Paramètres'!$Q:$Q,MATCH($D4592,'Paramètres'!$M:$M,0))&amp;"",""))</f>
        <v/>
      </c>
      <c r="O4592" s="6" t="str">
        <f>IF($A4592="","",IF(OR($J4592&lt;&gt;"x",$A4592&lt;=FinReleve),1,0))</f>
        <v/>
      </c>
      <c r="P4592" s="6" t="str">
        <f>IF($D4592="","",IF(AND($L4592="Crédit",OR(IFERROR(INDEX('Paramètres'!$O:$O,MATCH($D4592,'Paramètres'!$M:$M,0))&amp;"","")&lt;&gt;"",ISNUMBER(SEARCH("remboursement",IFERROR(INDEX('Paramètres'!$N:$N,MATCH($D4592,'Paramètres'!$M:$M,0))&amp;"",""))))),1,0))</f>
        <v/>
      </c>
      <c r="Q4592" s="6" t="str">
        <f>IF($K4592="","",IF(ISNUMBER(SEARCH("transfert-interne",IFERROR(INDEX('Paramètres'!$N:$N,MATCH($D4592,'Paramètres'!$M:$M,0))&amp;"",""))),0,IF($L4592="Débit",$K4592,IF($P4592=1,-$K4592,0))))</f>
        <v/>
      </c>
      <c r="R4592" s="6" t="str">
        <f>IF($K4592="","",IF($L4592="Crédit",$K4592,-$K4592))</f>
        <v/>
      </c>
      <c r="S4592" s="6" t="str">
        <f>IF($C4592="","",IFERROR(INDEX('Paramètres'!$H:$H,MATCH($C4592,'Paramètres'!$D:$D,0))&amp;"",""))</f>
        <v/>
      </c>
      <c r="T4592" s="6" t="str">
        <f>IF($K4592="","",IF($S4592="",0,IF(ISNUMBER(SEARCH("apport-exterieur",IFERROR(INDEX('Paramètres'!$N:$N,MATCH($D4592,'Paramètres'!$M:$M,0))&amp;"",""))),0,IF(OR(IFERROR(INDEX('Paramètres'!$I:$I,MATCH($C4592,'Paramètres'!$D:$D,0))&amp;"","")="Les deux",IFERROR(INDEX('Paramètres'!$I:$I,MATCH($C4592,'Paramètres'!$D:$D,0))&amp;"","")=IF($P4592=1,"Débit",$L4592)),-IF($P4592=1,-$K4592,$K4592),0))))</f>
        <v/>
      </c>
      <c r="U4592" s="6" t="str">
        <f>IF($K4592="","",IF(ISNUMBER(SEARCH("sortie-epargne",IFERROR(INDEX('Paramètres'!$N:$N,MATCH($D4592,'Paramètres'!$M:$M,0))&amp;"",""))),$K4592,0))</f>
        <v/>
      </c>
      <c r="V4592" s="6" t="str">
        <f>IF(AND($A4592&lt;&gt;"",$O4592=1,$L4592="Débit",N($Q4592)&gt;0,$A4592&gt;=Visualisation!$B$1,$A4592&lt;Visualisation!$D$1),MAX($V$1:V4591)+1,"")</f>
        <v/>
      </c>
    </row>
    <row r="4593" spans="1:22" x14ac:dyDescent="0.25">
      <c r="A4593" s="9"/>
      <c r="E4593" s="10"/>
      <c r="K4593" s="11" t="str">
        <f>IF($E4593="","",ROUND($E4593*IF(ISNA(MATCH($C4593,'Paramètres'!$D:$D,0)),1,IF(INDEX('Paramètres'!$J:$J,MATCH($C4593,'Paramètres'!$D:$D,0))="",1,INDEX('Paramètres'!$J:$J,MATCH($C4593,'Paramètres'!$D:$D,0)))),2))</f>
        <v/>
      </c>
      <c r="L4593" s="6" t="str">
        <f>IF($D4593="","",IF($F4593&lt;&gt;"",$F4593,IF(ISNA(MATCH($D4593,'Paramètres'!$M:$M,0)),"⚠ Type inconnu",IFERROR(INDEX('Paramètres'!$P:$P,MATCH($D4593,'Paramètres'!$M:$M,0))&amp;"",""))))</f>
        <v/>
      </c>
      <c r="M4593" s="6" t="str">
        <f>IF($D4593="","",IF(ISNA(MATCH($D4593,'Paramètres'!$M:$M,0)),"⚠ Type inconnu",IF($L4593="Crédit","",IFERROR(INDEX('Paramètres'!$O:$O,MATCH($D4593,'Paramètres'!$M:$M,0))&amp;"",""))))</f>
        <v/>
      </c>
      <c r="N4593" s="6" t="str">
        <f>IF($D4593="","",IFERROR(INDEX('Paramètres'!$Q:$Q,MATCH($D4593,'Paramètres'!$M:$M,0))&amp;"",""))</f>
        <v/>
      </c>
      <c r="O4593" s="6" t="str">
        <f>IF($A4593="","",IF(OR($J4593&lt;&gt;"x",$A4593&lt;=FinReleve),1,0))</f>
        <v/>
      </c>
      <c r="P4593" s="6" t="str">
        <f>IF($D4593="","",IF(AND($L4593="Crédit",OR(IFERROR(INDEX('Paramètres'!$O:$O,MATCH($D4593,'Paramètres'!$M:$M,0))&amp;"","")&lt;&gt;"",ISNUMBER(SEARCH("remboursement",IFERROR(INDEX('Paramètres'!$N:$N,MATCH($D4593,'Paramètres'!$M:$M,0))&amp;"",""))))),1,0))</f>
        <v/>
      </c>
      <c r="Q4593" s="6" t="str">
        <f>IF($K4593="","",IF(ISNUMBER(SEARCH("transfert-interne",IFERROR(INDEX('Paramètres'!$N:$N,MATCH($D4593,'Paramètres'!$M:$M,0))&amp;"",""))),0,IF($L4593="Débit",$K4593,IF($P4593=1,-$K4593,0))))</f>
        <v/>
      </c>
      <c r="R4593" s="6" t="str">
        <f>IF($K4593="","",IF($L4593="Crédit",$K4593,-$K4593))</f>
        <v/>
      </c>
      <c r="S4593" s="6" t="str">
        <f>IF($C4593="","",IFERROR(INDEX('Paramètres'!$H:$H,MATCH($C4593,'Paramètres'!$D:$D,0))&amp;"",""))</f>
        <v/>
      </c>
      <c r="T4593" s="6" t="str">
        <f>IF($K4593="","",IF($S4593="",0,IF(ISNUMBER(SEARCH("apport-exterieur",IFERROR(INDEX('Paramètres'!$N:$N,MATCH($D4593,'Paramètres'!$M:$M,0))&amp;"",""))),0,IF(OR(IFERROR(INDEX('Paramètres'!$I:$I,MATCH($C4593,'Paramètres'!$D:$D,0))&amp;"","")="Les deux",IFERROR(INDEX('Paramètres'!$I:$I,MATCH($C4593,'Paramètres'!$D:$D,0))&amp;"","")=IF($P4593=1,"Débit",$L4593)),-IF($P4593=1,-$K4593,$K4593),0))))</f>
        <v/>
      </c>
      <c r="U4593" s="6" t="str">
        <f>IF($K4593="","",IF(ISNUMBER(SEARCH("sortie-epargne",IFERROR(INDEX('Paramètres'!$N:$N,MATCH($D4593,'Paramètres'!$M:$M,0))&amp;"",""))),$K4593,0))</f>
        <v/>
      </c>
      <c r="V4593" s="6" t="str">
        <f>IF(AND($A4593&lt;&gt;"",$O4593=1,$L4593="Débit",N($Q4593)&gt;0,$A4593&gt;=Visualisation!$B$1,$A4593&lt;Visualisation!$D$1),MAX($V$1:V4592)+1,"")</f>
        <v/>
      </c>
    </row>
    <row r="4594" spans="1:22" x14ac:dyDescent="0.25">
      <c r="A4594" s="9"/>
      <c r="E4594" s="10"/>
      <c r="K4594" s="11" t="str">
        <f>IF($E4594="","",ROUND($E4594*IF(ISNA(MATCH($C4594,'Paramètres'!$D:$D,0)),1,IF(INDEX('Paramètres'!$J:$J,MATCH($C4594,'Paramètres'!$D:$D,0))="",1,INDEX('Paramètres'!$J:$J,MATCH($C4594,'Paramètres'!$D:$D,0)))),2))</f>
        <v/>
      </c>
      <c r="L4594" s="6" t="str">
        <f>IF($D4594="","",IF($F4594&lt;&gt;"",$F4594,IF(ISNA(MATCH($D4594,'Paramètres'!$M:$M,0)),"⚠ Type inconnu",IFERROR(INDEX('Paramètres'!$P:$P,MATCH($D4594,'Paramètres'!$M:$M,0))&amp;"",""))))</f>
        <v/>
      </c>
      <c r="M4594" s="6" t="str">
        <f>IF($D4594="","",IF(ISNA(MATCH($D4594,'Paramètres'!$M:$M,0)),"⚠ Type inconnu",IF($L4594="Crédit","",IFERROR(INDEX('Paramètres'!$O:$O,MATCH($D4594,'Paramètres'!$M:$M,0))&amp;"",""))))</f>
        <v/>
      </c>
      <c r="N4594" s="6" t="str">
        <f>IF($D4594="","",IFERROR(INDEX('Paramètres'!$Q:$Q,MATCH($D4594,'Paramètres'!$M:$M,0))&amp;"",""))</f>
        <v/>
      </c>
      <c r="O4594" s="6" t="str">
        <f>IF($A4594="","",IF(OR($J4594&lt;&gt;"x",$A4594&lt;=FinReleve),1,0))</f>
        <v/>
      </c>
      <c r="P4594" s="6" t="str">
        <f>IF($D4594="","",IF(AND($L4594="Crédit",OR(IFERROR(INDEX('Paramètres'!$O:$O,MATCH($D4594,'Paramètres'!$M:$M,0))&amp;"","")&lt;&gt;"",ISNUMBER(SEARCH("remboursement",IFERROR(INDEX('Paramètres'!$N:$N,MATCH($D4594,'Paramètres'!$M:$M,0))&amp;"",""))))),1,0))</f>
        <v/>
      </c>
      <c r="Q4594" s="6" t="str">
        <f>IF($K4594="","",IF(ISNUMBER(SEARCH("transfert-interne",IFERROR(INDEX('Paramètres'!$N:$N,MATCH($D4594,'Paramètres'!$M:$M,0))&amp;"",""))),0,IF($L4594="Débit",$K4594,IF($P4594=1,-$K4594,0))))</f>
        <v/>
      </c>
      <c r="R4594" s="6" t="str">
        <f>IF($K4594="","",IF($L4594="Crédit",$K4594,-$K4594))</f>
        <v/>
      </c>
      <c r="S4594" s="6" t="str">
        <f>IF($C4594="","",IFERROR(INDEX('Paramètres'!$H:$H,MATCH($C4594,'Paramètres'!$D:$D,0))&amp;"",""))</f>
        <v/>
      </c>
      <c r="T4594" s="6" t="str">
        <f>IF($K4594="","",IF($S4594="",0,IF(ISNUMBER(SEARCH("apport-exterieur",IFERROR(INDEX('Paramètres'!$N:$N,MATCH($D4594,'Paramètres'!$M:$M,0))&amp;"",""))),0,IF(OR(IFERROR(INDEX('Paramètres'!$I:$I,MATCH($C4594,'Paramètres'!$D:$D,0))&amp;"","")="Les deux",IFERROR(INDEX('Paramètres'!$I:$I,MATCH($C4594,'Paramètres'!$D:$D,0))&amp;"","")=IF($P4594=1,"Débit",$L4594)),-IF($P4594=1,-$K4594,$K4594),0))))</f>
        <v/>
      </c>
      <c r="U4594" s="6" t="str">
        <f>IF($K4594="","",IF(ISNUMBER(SEARCH("sortie-epargne",IFERROR(INDEX('Paramètres'!$N:$N,MATCH($D4594,'Paramètres'!$M:$M,0))&amp;"",""))),$K4594,0))</f>
        <v/>
      </c>
      <c r="V4594" s="6" t="str">
        <f>IF(AND($A4594&lt;&gt;"",$O4594=1,$L4594="Débit",N($Q4594)&gt;0,$A4594&gt;=Visualisation!$B$1,$A4594&lt;Visualisation!$D$1),MAX($V$1:V4593)+1,"")</f>
        <v/>
      </c>
    </row>
    <row r="4595" spans="1:22" x14ac:dyDescent="0.25">
      <c r="A4595" s="9"/>
      <c r="E4595" s="10"/>
      <c r="K4595" s="11" t="str">
        <f>IF($E4595="","",ROUND($E4595*IF(ISNA(MATCH($C4595,'Paramètres'!$D:$D,0)),1,IF(INDEX('Paramètres'!$J:$J,MATCH($C4595,'Paramètres'!$D:$D,0))="",1,INDEX('Paramètres'!$J:$J,MATCH($C4595,'Paramètres'!$D:$D,0)))),2))</f>
        <v/>
      </c>
      <c r="L4595" s="6" t="str">
        <f>IF($D4595="","",IF($F4595&lt;&gt;"",$F4595,IF(ISNA(MATCH($D4595,'Paramètres'!$M:$M,0)),"⚠ Type inconnu",IFERROR(INDEX('Paramètres'!$P:$P,MATCH($D4595,'Paramètres'!$M:$M,0))&amp;"",""))))</f>
        <v/>
      </c>
      <c r="M4595" s="6" t="str">
        <f>IF($D4595="","",IF(ISNA(MATCH($D4595,'Paramètres'!$M:$M,0)),"⚠ Type inconnu",IF($L4595="Crédit","",IFERROR(INDEX('Paramètres'!$O:$O,MATCH($D4595,'Paramètres'!$M:$M,0))&amp;"",""))))</f>
        <v/>
      </c>
      <c r="N4595" s="6" t="str">
        <f>IF($D4595="","",IFERROR(INDEX('Paramètres'!$Q:$Q,MATCH($D4595,'Paramètres'!$M:$M,0))&amp;"",""))</f>
        <v/>
      </c>
      <c r="O4595" s="6" t="str">
        <f>IF($A4595="","",IF(OR($J4595&lt;&gt;"x",$A4595&lt;=FinReleve),1,0))</f>
        <v/>
      </c>
      <c r="P4595" s="6" t="str">
        <f>IF($D4595="","",IF(AND($L4595="Crédit",OR(IFERROR(INDEX('Paramètres'!$O:$O,MATCH($D4595,'Paramètres'!$M:$M,0))&amp;"","")&lt;&gt;"",ISNUMBER(SEARCH("remboursement",IFERROR(INDEX('Paramètres'!$N:$N,MATCH($D4595,'Paramètres'!$M:$M,0))&amp;"",""))))),1,0))</f>
        <v/>
      </c>
      <c r="Q4595" s="6" t="str">
        <f>IF($K4595="","",IF(ISNUMBER(SEARCH("transfert-interne",IFERROR(INDEX('Paramètres'!$N:$N,MATCH($D4595,'Paramètres'!$M:$M,0))&amp;"",""))),0,IF($L4595="Débit",$K4595,IF($P4595=1,-$K4595,0))))</f>
        <v/>
      </c>
      <c r="R4595" s="6" t="str">
        <f>IF($K4595="","",IF($L4595="Crédit",$K4595,-$K4595))</f>
        <v/>
      </c>
      <c r="S4595" s="6" t="str">
        <f>IF($C4595="","",IFERROR(INDEX('Paramètres'!$H:$H,MATCH($C4595,'Paramètres'!$D:$D,0))&amp;"",""))</f>
        <v/>
      </c>
      <c r="T4595" s="6" t="str">
        <f>IF($K4595="","",IF($S4595="",0,IF(ISNUMBER(SEARCH("apport-exterieur",IFERROR(INDEX('Paramètres'!$N:$N,MATCH($D4595,'Paramètres'!$M:$M,0))&amp;"",""))),0,IF(OR(IFERROR(INDEX('Paramètres'!$I:$I,MATCH($C4595,'Paramètres'!$D:$D,0))&amp;"","")="Les deux",IFERROR(INDEX('Paramètres'!$I:$I,MATCH($C4595,'Paramètres'!$D:$D,0))&amp;"","")=IF($P4595=1,"Débit",$L4595)),-IF($P4595=1,-$K4595,$K4595),0))))</f>
        <v/>
      </c>
      <c r="U4595" s="6" t="str">
        <f>IF($K4595="","",IF(ISNUMBER(SEARCH("sortie-epargne",IFERROR(INDEX('Paramètres'!$N:$N,MATCH($D4595,'Paramètres'!$M:$M,0))&amp;"",""))),$K4595,0))</f>
        <v/>
      </c>
      <c r="V4595" s="6" t="str">
        <f>IF(AND($A4595&lt;&gt;"",$O4595=1,$L4595="Débit",N($Q4595)&gt;0,$A4595&gt;=Visualisation!$B$1,$A4595&lt;Visualisation!$D$1),MAX($V$1:V4594)+1,"")</f>
        <v/>
      </c>
    </row>
    <row r="4596" spans="1:22" x14ac:dyDescent="0.25">
      <c r="A4596" s="9"/>
      <c r="E4596" s="10"/>
      <c r="K4596" s="11" t="str">
        <f>IF($E4596="","",ROUND($E4596*IF(ISNA(MATCH($C4596,'Paramètres'!$D:$D,0)),1,IF(INDEX('Paramètres'!$J:$J,MATCH($C4596,'Paramètres'!$D:$D,0))="",1,INDEX('Paramètres'!$J:$J,MATCH($C4596,'Paramètres'!$D:$D,0)))),2))</f>
        <v/>
      </c>
      <c r="L4596" s="6" t="str">
        <f>IF($D4596="","",IF($F4596&lt;&gt;"",$F4596,IF(ISNA(MATCH($D4596,'Paramètres'!$M:$M,0)),"⚠ Type inconnu",IFERROR(INDEX('Paramètres'!$P:$P,MATCH($D4596,'Paramètres'!$M:$M,0))&amp;"",""))))</f>
        <v/>
      </c>
      <c r="M4596" s="6" t="str">
        <f>IF($D4596="","",IF(ISNA(MATCH($D4596,'Paramètres'!$M:$M,0)),"⚠ Type inconnu",IF($L4596="Crédit","",IFERROR(INDEX('Paramètres'!$O:$O,MATCH($D4596,'Paramètres'!$M:$M,0))&amp;"",""))))</f>
        <v/>
      </c>
      <c r="N4596" s="6" t="str">
        <f>IF($D4596="","",IFERROR(INDEX('Paramètres'!$Q:$Q,MATCH($D4596,'Paramètres'!$M:$M,0))&amp;"",""))</f>
        <v/>
      </c>
      <c r="O4596" s="6" t="str">
        <f>IF($A4596="","",IF(OR($J4596&lt;&gt;"x",$A4596&lt;=FinReleve),1,0))</f>
        <v/>
      </c>
      <c r="P4596" s="6" t="str">
        <f>IF($D4596="","",IF(AND($L4596="Crédit",OR(IFERROR(INDEX('Paramètres'!$O:$O,MATCH($D4596,'Paramètres'!$M:$M,0))&amp;"","")&lt;&gt;"",ISNUMBER(SEARCH("remboursement",IFERROR(INDEX('Paramètres'!$N:$N,MATCH($D4596,'Paramètres'!$M:$M,0))&amp;"",""))))),1,0))</f>
        <v/>
      </c>
      <c r="Q4596" s="6" t="str">
        <f>IF($K4596="","",IF(ISNUMBER(SEARCH("transfert-interne",IFERROR(INDEX('Paramètres'!$N:$N,MATCH($D4596,'Paramètres'!$M:$M,0))&amp;"",""))),0,IF($L4596="Débit",$K4596,IF($P4596=1,-$K4596,0))))</f>
        <v/>
      </c>
      <c r="R4596" s="6" t="str">
        <f>IF($K4596="","",IF($L4596="Crédit",$K4596,-$K4596))</f>
        <v/>
      </c>
      <c r="S4596" s="6" t="str">
        <f>IF($C4596="","",IFERROR(INDEX('Paramètres'!$H:$H,MATCH($C4596,'Paramètres'!$D:$D,0))&amp;"",""))</f>
        <v/>
      </c>
      <c r="T4596" s="6" t="str">
        <f>IF($K4596="","",IF($S4596="",0,IF(ISNUMBER(SEARCH("apport-exterieur",IFERROR(INDEX('Paramètres'!$N:$N,MATCH($D4596,'Paramètres'!$M:$M,0))&amp;"",""))),0,IF(OR(IFERROR(INDEX('Paramètres'!$I:$I,MATCH($C4596,'Paramètres'!$D:$D,0))&amp;"","")="Les deux",IFERROR(INDEX('Paramètres'!$I:$I,MATCH($C4596,'Paramètres'!$D:$D,0))&amp;"","")=IF($P4596=1,"Débit",$L4596)),-IF($P4596=1,-$K4596,$K4596),0))))</f>
        <v/>
      </c>
      <c r="U4596" s="6" t="str">
        <f>IF($K4596="","",IF(ISNUMBER(SEARCH("sortie-epargne",IFERROR(INDEX('Paramètres'!$N:$N,MATCH($D4596,'Paramètres'!$M:$M,0))&amp;"",""))),$K4596,0))</f>
        <v/>
      </c>
      <c r="V4596" s="6" t="str">
        <f>IF(AND($A4596&lt;&gt;"",$O4596=1,$L4596="Débit",N($Q4596)&gt;0,$A4596&gt;=Visualisation!$B$1,$A4596&lt;Visualisation!$D$1),MAX($V$1:V4595)+1,"")</f>
        <v/>
      </c>
    </row>
    <row r="4597" spans="1:22" x14ac:dyDescent="0.25">
      <c r="A4597" s="9"/>
      <c r="E4597" s="10"/>
      <c r="K4597" s="11" t="str">
        <f>IF($E4597="","",ROUND($E4597*IF(ISNA(MATCH($C4597,'Paramètres'!$D:$D,0)),1,IF(INDEX('Paramètres'!$J:$J,MATCH($C4597,'Paramètres'!$D:$D,0))="",1,INDEX('Paramètres'!$J:$J,MATCH($C4597,'Paramètres'!$D:$D,0)))),2))</f>
        <v/>
      </c>
      <c r="L4597" s="6" t="str">
        <f>IF($D4597="","",IF($F4597&lt;&gt;"",$F4597,IF(ISNA(MATCH($D4597,'Paramètres'!$M:$M,0)),"⚠ Type inconnu",IFERROR(INDEX('Paramètres'!$P:$P,MATCH($D4597,'Paramètres'!$M:$M,0))&amp;"",""))))</f>
        <v/>
      </c>
      <c r="M4597" s="6" t="str">
        <f>IF($D4597="","",IF(ISNA(MATCH($D4597,'Paramètres'!$M:$M,0)),"⚠ Type inconnu",IF($L4597="Crédit","",IFERROR(INDEX('Paramètres'!$O:$O,MATCH($D4597,'Paramètres'!$M:$M,0))&amp;"",""))))</f>
        <v/>
      </c>
      <c r="N4597" s="6" t="str">
        <f>IF($D4597="","",IFERROR(INDEX('Paramètres'!$Q:$Q,MATCH($D4597,'Paramètres'!$M:$M,0))&amp;"",""))</f>
        <v/>
      </c>
      <c r="O4597" s="6" t="str">
        <f>IF($A4597="","",IF(OR($J4597&lt;&gt;"x",$A4597&lt;=FinReleve),1,0))</f>
        <v/>
      </c>
      <c r="P4597" s="6" t="str">
        <f>IF($D4597="","",IF(AND($L4597="Crédit",OR(IFERROR(INDEX('Paramètres'!$O:$O,MATCH($D4597,'Paramètres'!$M:$M,0))&amp;"","")&lt;&gt;"",ISNUMBER(SEARCH("remboursement",IFERROR(INDEX('Paramètres'!$N:$N,MATCH($D4597,'Paramètres'!$M:$M,0))&amp;"",""))))),1,0))</f>
        <v/>
      </c>
      <c r="Q4597" s="6" t="str">
        <f>IF($K4597="","",IF(ISNUMBER(SEARCH("transfert-interne",IFERROR(INDEX('Paramètres'!$N:$N,MATCH($D4597,'Paramètres'!$M:$M,0))&amp;"",""))),0,IF($L4597="Débit",$K4597,IF($P4597=1,-$K4597,0))))</f>
        <v/>
      </c>
      <c r="R4597" s="6" t="str">
        <f>IF($K4597="","",IF($L4597="Crédit",$K4597,-$K4597))</f>
        <v/>
      </c>
      <c r="S4597" s="6" t="str">
        <f>IF($C4597="","",IFERROR(INDEX('Paramètres'!$H:$H,MATCH($C4597,'Paramètres'!$D:$D,0))&amp;"",""))</f>
        <v/>
      </c>
      <c r="T4597" s="6" t="str">
        <f>IF($K4597="","",IF($S4597="",0,IF(ISNUMBER(SEARCH("apport-exterieur",IFERROR(INDEX('Paramètres'!$N:$N,MATCH($D4597,'Paramètres'!$M:$M,0))&amp;"",""))),0,IF(OR(IFERROR(INDEX('Paramètres'!$I:$I,MATCH($C4597,'Paramètres'!$D:$D,0))&amp;"","")="Les deux",IFERROR(INDEX('Paramètres'!$I:$I,MATCH($C4597,'Paramètres'!$D:$D,0))&amp;"","")=IF($P4597=1,"Débit",$L4597)),-IF($P4597=1,-$K4597,$K4597),0))))</f>
        <v/>
      </c>
      <c r="U4597" s="6" t="str">
        <f>IF($K4597="","",IF(ISNUMBER(SEARCH("sortie-epargne",IFERROR(INDEX('Paramètres'!$N:$N,MATCH($D4597,'Paramètres'!$M:$M,0))&amp;"",""))),$K4597,0))</f>
        <v/>
      </c>
      <c r="V4597" s="6" t="str">
        <f>IF(AND($A4597&lt;&gt;"",$O4597=1,$L4597="Débit",N($Q4597)&gt;0,$A4597&gt;=Visualisation!$B$1,$A4597&lt;Visualisation!$D$1),MAX($V$1:V4596)+1,"")</f>
        <v/>
      </c>
    </row>
    <row r="4598" spans="1:22" x14ac:dyDescent="0.25">
      <c r="A4598" s="9"/>
      <c r="E4598" s="10"/>
      <c r="K4598" s="11" t="str">
        <f>IF($E4598="","",ROUND($E4598*IF(ISNA(MATCH($C4598,'Paramètres'!$D:$D,0)),1,IF(INDEX('Paramètres'!$J:$J,MATCH($C4598,'Paramètres'!$D:$D,0))="",1,INDEX('Paramètres'!$J:$J,MATCH($C4598,'Paramètres'!$D:$D,0)))),2))</f>
        <v/>
      </c>
      <c r="L4598" s="6" t="str">
        <f>IF($D4598="","",IF($F4598&lt;&gt;"",$F4598,IF(ISNA(MATCH($D4598,'Paramètres'!$M:$M,0)),"⚠ Type inconnu",IFERROR(INDEX('Paramètres'!$P:$P,MATCH($D4598,'Paramètres'!$M:$M,0))&amp;"",""))))</f>
        <v/>
      </c>
      <c r="M4598" s="6" t="str">
        <f>IF($D4598="","",IF(ISNA(MATCH($D4598,'Paramètres'!$M:$M,0)),"⚠ Type inconnu",IF($L4598="Crédit","",IFERROR(INDEX('Paramètres'!$O:$O,MATCH($D4598,'Paramètres'!$M:$M,0))&amp;"",""))))</f>
        <v/>
      </c>
      <c r="N4598" s="6" t="str">
        <f>IF($D4598="","",IFERROR(INDEX('Paramètres'!$Q:$Q,MATCH($D4598,'Paramètres'!$M:$M,0))&amp;"",""))</f>
        <v/>
      </c>
      <c r="O4598" s="6" t="str">
        <f>IF($A4598="","",IF(OR($J4598&lt;&gt;"x",$A4598&lt;=FinReleve),1,0))</f>
        <v/>
      </c>
      <c r="P4598" s="6" t="str">
        <f>IF($D4598="","",IF(AND($L4598="Crédit",OR(IFERROR(INDEX('Paramètres'!$O:$O,MATCH($D4598,'Paramètres'!$M:$M,0))&amp;"","")&lt;&gt;"",ISNUMBER(SEARCH("remboursement",IFERROR(INDEX('Paramètres'!$N:$N,MATCH($D4598,'Paramètres'!$M:$M,0))&amp;"",""))))),1,0))</f>
        <v/>
      </c>
      <c r="Q4598" s="6" t="str">
        <f>IF($K4598="","",IF(ISNUMBER(SEARCH("transfert-interne",IFERROR(INDEX('Paramètres'!$N:$N,MATCH($D4598,'Paramètres'!$M:$M,0))&amp;"",""))),0,IF($L4598="Débit",$K4598,IF($P4598=1,-$K4598,0))))</f>
        <v/>
      </c>
      <c r="R4598" s="6" t="str">
        <f>IF($K4598="","",IF($L4598="Crédit",$K4598,-$K4598))</f>
        <v/>
      </c>
      <c r="S4598" s="6" t="str">
        <f>IF($C4598="","",IFERROR(INDEX('Paramètres'!$H:$H,MATCH($C4598,'Paramètres'!$D:$D,0))&amp;"",""))</f>
        <v/>
      </c>
      <c r="T4598" s="6" t="str">
        <f>IF($K4598="","",IF($S4598="",0,IF(ISNUMBER(SEARCH("apport-exterieur",IFERROR(INDEX('Paramètres'!$N:$N,MATCH($D4598,'Paramètres'!$M:$M,0))&amp;"",""))),0,IF(OR(IFERROR(INDEX('Paramètres'!$I:$I,MATCH($C4598,'Paramètres'!$D:$D,0))&amp;"","")="Les deux",IFERROR(INDEX('Paramètres'!$I:$I,MATCH($C4598,'Paramètres'!$D:$D,0))&amp;"","")=IF($P4598=1,"Débit",$L4598)),-IF($P4598=1,-$K4598,$K4598),0))))</f>
        <v/>
      </c>
      <c r="U4598" s="6" t="str">
        <f>IF($K4598="","",IF(ISNUMBER(SEARCH("sortie-epargne",IFERROR(INDEX('Paramètres'!$N:$N,MATCH($D4598,'Paramètres'!$M:$M,0))&amp;"",""))),$K4598,0))</f>
        <v/>
      </c>
      <c r="V4598" s="6" t="str">
        <f>IF(AND($A4598&lt;&gt;"",$O4598=1,$L4598="Débit",N($Q4598)&gt;0,$A4598&gt;=Visualisation!$B$1,$A4598&lt;Visualisation!$D$1),MAX($V$1:V4597)+1,"")</f>
        <v/>
      </c>
    </row>
    <row r="4599" spans="1:22" x14ac:dyDescent="0.25">
      <c r="A4599" s="9"/>
      <c r="E4599" s="10"/>
      <c r="K4599" s="11" t="str">
        <f>IF($E4599="","",ROUND($E4599*IF(ISNA(MATCH($C4599,'Paramètres'!$D:$D,0)),1,IF(INDEX('Paramètres'!$J:$J,MATCH($C4599,'Paramètres'!$D:$D,0))="",1,INDEX('Paramètres'!$J:$J,MATCH($C4599,'Paramètres'!$D:$D,0)))),2))</f>
        <v/>
      </c>
      <c r="L4599" s="6" t="str">
        <f>IF($D4599="","",IF($F4599&lt;&gt;"",$F4599,IF(ISNA(MATCH($D4599,'Paramètres'!$M:$M,0)),"⚠ Type inconnu",IFERROR(INDEX('Paramètres'!$P:$P,MATCH($D4599,'Paramètres'!$M:$M,0))&amp;"",""))))</f>
        <v/>
      </c>
      <c r="M4599" s="6" t="str">
        <f>IF($D4599="","",IF(ISNA(MATCH($D4599,'Paramètres'!$M:$M,0)),"⚠ Type inconnu",IF($L4599="Crédit","",IFERROR(INDEX('Paramètres'!$O:$O,MATCH($D4599,'Paramètres'!$M:$M,0))&amp;"",""))))</f>
        <v/>
      </c>
      <c r="N4599" s="6" t="str">
        <f>IF($D4599="","",IFERROR(INDEX('Paramètres'!$Q:$Q,MATCH($D4599,'Paramètres'!$M:$M,0))&amp;"",""))</f>
        <v/>
      </c>
      <c r="O4599" s="6" t="str">
        <f>IF($A4599="","",IF(OR($J4599&lt;&gt;"x",$A4599&lt;=FinReleve),1,0))</f>
        <v/>
      </c>
      <c r="P4599" s="6" t="str">
        <f>IF($D4599="","",IF(AND($L4599="Crédit",OR(IFERROR(INDEX('Paramètres'!$O:$O,MATCH($D4599,'Paramètres'!$M:$M,0))&amp;"","")&lt;&gt;"",ISNUMBER(SEARCH("remboursement",IFERROR(INDEX('Paramètres'!$N:$N,MATCH($D4599,'Paramètres'!$M:$M,0))&amp;"",""))))),1,0))</f>
        <v/>
      </c>
      <c r="Q4599" s="6" t="str">
        <f>IF($K4599="","",IF(ISNUMBER(SEARCH("transfert-interne",IFERROR(INDEX('Paramètres'!$N:$N,MATCH($D4599,'Paramètres'!$M:$M,0))&amp;"",""))),0,IF($L4599="Débit",$K4599,IF($P4599=1,-$K4599,0))))</f>
        <v/>
      </c>
      <c r="R4599" s="6" t="str">
        <f>IF($K4599="","",IF($L4599="Crédit",$K4599,-$K4599))</f>
        <v/>
      </c>
      <c r="S4599" s="6" t="str">
        <f>IF($C4599="","",IFERROR(INDEX('Paramètres'!$H:$H,MATCH($C4599,'Paramètres'!$D:$D,0))&amp;"",""))</f>
        <v/>
      </c>
      <c r="T4599" s="6" t="str">
        <f>IF($K4599="","",IF($S4599="",0,IF(ISNUMBER(SEARCH("apport-exterieur",IFERROR(INDEX('Paramètres'!$N:$N,MATCH($D4599,'Paramètres'!$M:$M,0))&amp;"",""))),0,IF(OR(IFERROR(INDEX('Paramètres'!$I:$I,MATCH($C4599,'Paramètres'!$D:$D,0))&amp;"","")="Les deux",IFERROR(INDEX('Paramètres'!$I:$I,MATCH($C4599,'Paramètres'!$D:$D,0))&amp;"","")=IF($P4599=1,"Débit",$L4599)),-IF($P4599=1,-$K4599,$K4599),0))))</f>
        <v/>
      </c>
      <c r="U4599" s="6" t="str">
        <f>IF($K4599="","",IF(ISNUMBER(SEARCH("sortie-epargne",IFERROR(INDEX('Paramètres'!$N:$N,MATCH($D4599,'Paramètres'!$M:$M,0))&amp;"",""))),$K4599,0))</f>
        <v/>
      </c>
      <c r="V4599" s="6" t="str">
        <f>IF(AND($A4599&lt;&gt;"",$O4599=1,$L4599="Débit",N($Q4599)&gt;0,$A4599&gt;=Visualisation!$B$1,$A4599&lt;Visualisation!$D$1),MAX($V$1:V4598)+1,"")</f>
        <v/>
      </c>
    </row>
    <row r="4600" spans="1:22" x14ac:dyDescent="0.25">
      <c r="A4600" s="9"/>
      <c r="E4600" s="10"/>
      <c r="K4600" s="11" t="str">
        <f>IF($E4600="","",ROUND($E4600*IF(ISNA(MATCH($C4600,'Paramètres'!$D:$D,0)),1,IF(INDEX('Paramètres'!$J:$J,MATCH($C4600,'Paramètres'!$D:$D,0))="",1,INDEX('Paramètres'!$J:$J,MATCH($C4600,'Paramètres'!$D:$D,0)))),2))</f>
        <v/>
      </c>
      <c r="L4600" s="6" t="str">
        <f>IF($D4600="","",IF($F4600&lt;&gt;"",$F4600,IF(ISNA(MATCH($D4600,'Paramètres'!$M:$M,0)),"⚠ Type inconnu",IFERROR(INDEX('Paramètres'!$P:$P,MATCH($D4600,'Paramètres'!$M:$M,0))&amp;"",""))))</f>
        <v/>
      </c>
      <c r="M4600" s="6" t="str">
        <f>IF($D4600="","",IF(ISNA(MATCH($D4600,'Paramètres'!$M:$M,0)),"⚠ Type inconnu",IF($L4600="Crédit","",IFERROR(INDEX('Paramètres'!$O:$O,MATCH($D4600,'Paramètres'!$M:$M,0))&amp;"",""))))</f>
        <v/>
      </c>
      <c r="N4600" s="6" t="str">
        <f>IF($D4600="","",IFERROR(INDEX('Paramètres'!$Q:$Q,MATCH($D4600,'Paramètres'!$M:$M,0))&amp;"",""))</f>
        <v/>
      </c>
      <c r="O4600" s="6" t="str">
        <f>IF($A4600="","",IF(OR($J4600&lt;&gt;"x",$A4600&lt;=FinReleve),1,0))</f>
        <v/>
      </c>
      <c r="P4600" s="6" t="str">
        <f>IF($D4600="","",IF(AND($L4600="Crédit",OR(IFERROR(INDEX('Paramètres'!$O:$O,MATCH($D4600,'Paramètres'!$M:$M,0))&amp;"","")&lt;&gt;"",ISNUMBER(SEARCH("remboursement",IFERROR(INDEX('Paramètres'!$N:$N,MATCH($D4600,'Paramètres'!$M:$M,0))&amp;"",""))))),1,0))</f>
        <v/>
      </c>
      <c r="Q4600" s="6" t="str">
        <f>IF($K4600="","",IF(ISNUMBER(SEARCH("transfert-interne",IFERROR(INDEX('Paramètres'!$N:$N,MATCH($D4600,'Paramètres'!$M:$M,0))&amp;"",""))),0,IF($L4600="Débit",$K4600,IF($P4600=1,-$K4600,0))))</f>
        <v/>
      </c>
      <c r="R4600" s="6" t="str">
        <f>IF($K4600="","",IF($L4600="Crédit",$K4600,-$K4600))</f>
        <v/>
      </c>
      <c r="S4600" s="6" t="str">
        <f>IF($C4600="","",IFERROR(INDEX('Paramètres'!$H:$H,MATCH($C4600,'Paramètres'!$D:$D,0))&amp;"",""))</f>
        <v/>
      </c>
      <c r="T4600" s="6" t="str">
        <f>IF($K4600="","",IF($S4600="",0,IF(ISNUMBER(SEARCH("apport-exterieur",IFERROR(INDEX('Paramètres'!$N:$N,MATCH($D4600,'Paramètres'!$M:$M,0))&amp;"",""))),0,IF(OR(IFERROR(INDEX('Paramètres'!$I:$I,MATCH($C4600,'Paramètres'!$D:$D,0))&amp;"","")="Les deux",IFERROR(INDEX('Paramètres'!$I:$I,MATCH($C4600,'Paramètres'!$D:$D,0))&amp;"","")=IF($P4600=1,"Débit",$L4600)),-IF($P4600=1,-$K4600,$K4600),0))))</f>
        <v/>
      </c>
      <c r="U4600" s="6" t="str">
        <f>IF($K4600="","",IF(ISNUMBER(SEARCH("sortie-epargne",IFERROR(INDEX('Paramètres'!$N:$N,MATCH($D4600,'Paramètres'!$M:$M,0))&amp;"",""))),$K4600,0))</f>
        <v/>
      </c>
      <c r="V4600" s="6" t="str">
        <f>IF(AND($A4600&lt;&gt;"",$O4600=1,$L4600="Débit",N($Q4600)&gt;0,$A4600&gt;=Visualisation!$B$1,$A4600&lt;Visualisation!$D$1),MAX($V$1:V4599)+1,"")</f>
        <v/>
      </c>
    </row>
    <row r="4601" spans="1:22" x14ac:dyDescent="0.25">
      <c r="A4601" s="9"/>
      <c r="E4601" s="10"/>
      <c r="K4601" s="11" t="str">
        <f>IF($E4601="","",ROUND($E4601*IF(ISNA(MATCH($C4601,'Paramètres'!$D:$D,0)),1,IF(INDEX('Paramètres'!$J:$J,MATCH($C4601,'Paramètres'!$D:$D,0))="",1,INDEX('Paramètres'!$J:$J,MATCH($C4601,'Paramètres'!$D:$D,0)))),2))</f>
        <v/>
      </c>
      <c r="L4601" s="6" t="str">
        <f>IF($D4601="","",IF($F4601&lt;&gt;"",$F4601,IF(ISNA(MATCH($D4601,'Paramètres'!$M:$M,0)),"⚠ Type inconnu",IFERROR(INDEX('Paramètres'!$P:$P,MATCH($D4601,'Paramètres'!$M:$M,0))&amp;"",""))))</f>
        <v/>
      </c>
      <c r="M4601" s="6" t="str">
        <f>IF($D4601="","",IF(ISNA(MATCH($D4601,'Paramètres'!$M:$M,0)),"⚠ Type inconnu",IF($L4601="Crédit","",IFERROR(INDEX('Paramètres'!$O:$O,MATCH($D4601,'Paramètres'!$M:$M,0))&amp;"",""))))</f>
        <v/>
      </c>
      <c r="N4601" s="6" t="str">
        <f>IF($D4601="","",IFERROR(INDEX('Paramètres'!$Q:$Q,MATCH($D4601,'Paramètres'!$M:$M,0))&amp;"",""))</f>
        <v/>
      </c>
      <c r="O4601" s="6" t="str">
        <f>IF($A4601="","",IF(OR($J4601&lt;&gt;"x",$A4601&lt;=FinReleve),1,0))</f>
        <v/>
      </c>
      <c r="P4601" s="6" t="str">
        <f>IF($D4601="","",IF(AND($L4601="Crédit",OR(IFERROR(INDEX('Paramètres'!$O:$O,MATCH($D4601,'Paramètres'!$M:$M,0))&amp;"","")&lt;&gt;"",ISNUMBER(SEARCH("remboursement",IFERROR(INDEX('Paramètres'!$N:$N,MATCH($D4601,'Paramètres'!$M:$M,0))&amp;"",""))))),1,0))</f>
        <v/>
      </c>
      <c r="Q4601" s="6" t="str">
        <f>IF($K4601="","",IF(ISNUMBER(SEARCH("transfert-interne",IFERROR(INDEX('Paramètres'!$N:$N,MATCH($D4601,'Paramètres'!$M:$M,0))&amp;"",""))),0,IF($L4601="Débit",$K4601,IF($P4601=1,-$K4601,0))))</f>
        <v/>
      </c>
      <c r="R4601" s="6" t="str">
        <f>IF($K4601="","",IF($L4601="Crédit",$K4601,-$K4601))</f>
        <v/>
      </c>
      <c r="S4601" s="6" t="str">
        <f>IF($C4601="","",IFERROR(INDEX('Paramètres'!$H:$H,MATCH($C4601,'Paramètres'!$D:$D,0))&amp;"",""))</f>
        <v/>
      </c>
      <c r="T4601" s="6" t="str">
        <f>IF($K4601="","",IF($S4601="",0,IF(ISNUMBER(SEARCH("apport-exterieur",IFERROR(INDEX('Paramètres'!$N:$N,MATCH($D4601,'Paramètres'!$M:$M,0))&amp;"",""))),0,IF(OR(IFERROR(INDEX('Paramètres'!$I:$I,MATCH($C4601,'Paramètres'!$D:$D,0))&amp;"","")="Les deux",IFERROR(INDEX('Paramètres'!$I:$I,MATCH($C4601,'Paramètres'!$D:$D,0))&amp;"","")=IF($P4601=1,"Débit",$L4601)),-IF($P4601=1,-$K4601,$K4601),0))))</f>
        <v/>
      </c>
      <c r="U4601" s="6" t="str">
        <f>IF($K4601="","",IF(ISNUMBER(SEARCH("sortie-epargne",IFERROR(INDEX('Paramètres'!$N:$N,MATCH($D4601,'Paramètres'!$M:$M,0))&amp;"",""))),$K4601,0))</f>
        <v/>
      </c>
      <c r="V4601" s="6" t="str">
        <f>IF(AND($A4601&lt;&gt;"",$O4601=1,$L4601="Débit",N($Q4601)&gt;0,$A4601&gt;=Visualisation!$B$1,$A4601&lt;Visualisation!$D$1),MAX($V$1:V4600)+1,"")</f>
        <v/>
      </c>
    </row>
    <row r="4602" spans="1:22" x14ac:dyDescent="0.25">
      <c r="A4602" s="9"/>
      <c r="E4602" s="10"/>
      <c r="K4602" s="11" t="str">
        <f>IF($E4602="","",ROUND($E4602*IF(ISNA(MATCH($C4602,'Paramètres'!$D:$D,0)),1,IF(INDEX('Paramètres'!$J:$J,MATCH($C4602,'Paramètres'!$D:$D,0))="",1,INDEX('Paramètres'!$J:$J,MATCH($C4602,'Paramètres'!$D:$D,0)))),2))</f>
        <v/>
      </c>
      <c r="L4602" s="6" t="str">
        <f>IF($D4602="","",IF($F4602&lt;&gt;"",$F4602,IF(ISNA(MATCH($D4602,'Paramètres'!$M:$M,0)),"⚠ Type inconnu",IFERROR(INDEX('Paramètres'!$P:$P,MATCH($D4602,'Paramètres'!$M:$M,0))&amp;"",""))))</f>
        <v/>
      </c>
      <c r="M4602" s="6" t="str">
        <f>IF($D4602="","",IF(ISNA(MATCH($D4602,'Paramètres'!$M:$M,0)),"⚠ Type inconnu",IF($L4602="Crédit","",IFERROR(INDEX('Paramètres'!$O:$O,MATCH($D4602,'Paramètres'!$M:$M,0))&amp;"",""))))</f>
        <v/>
      </c>
      <c r="N4602" s="6" t="str">
        <f>IF($D4602="","",IFERROR(INDEX('Paramètres'!$Q:$Q,MATCH($D4602,'Paramètres'!$M:$M,0))&amp;"",""))</f>
        <v/>
      </c>
      <c r="O4602" s="6" t="str">
        <f>IF($A4602="","",IF(OR($J4602&lt;&gt;"x",$A4602&lt;=FinReleve),1,0))</f>
        <v/>
      </c>
      <c r="P4602" s="6" t="str">
        <f>IF($D4602="","",IF(AND($L4602="Crédit",OR(IFERROR(INDEX('Paramètres'!$O:$O,MATCH($D4602,'Paramètres'!$M:$M,0))&amp;"","")&lt;&gt;"",ISNUMBER(SEARCH("remboursement",IFERROR(INDEX('Paramètres'!$N:$N,MATCH($D4602,'Paramètres'!$M:$M,0))&amp;"",""))))),1,0))</f>
        <v/>
      </c>
      <c r="Q4602" s="6" t="str">
        <f>IF($K4602="","",IF(ISNUMBER(SEARCH("transfert-interne",IFERROR(INDEX('Paramètres'!$N:$N,MATCH($D4602,'Paramètres'!$M:$M,0))&amp;"",""))),0,IF($L4602="Débit",$K4602,IF($P4602=1,-$K4602,0))))</f>
        <v/>
      </c>
      <c r="R4602" s="6" t="str">
        <f>IF($K4602="","",IF($L4602="Crédit",$K4602,-$K4602))</f>
        <v/>
      </c>
      <c r="S4602" s="6" t="str">
        <f>IF($C4602="","",IFERROR(INDEX('Paramètres'!$H:$H,MATCH($C4602,'Paramètres'!$D:$D,0))&amp;"",""))</f>
        <v/>
      </c>
      <c r="T4602" s="6" t="str">
        <f>IF($K4602="","",IF($S4602="",0,IF(ISNUMBER(SEARCH("apport-exterieur",IFERROR(INDEX('Paramètres'!$N:$N,MATCH($D4602,'Paramètres'!$M:$M,0))&amp;"",""))),0,IF(OR(IFERROR(INDEX('Paramètres'!$I:$I,MATCH($C4602,'Paramètres'!$D:$D,0))&amp;"","")="Les deux",IFERROR(INDEX('Paramètres'!$I:$I,MATCH($C4602,'Paramètres'!$D:$D,0))&amp;"","")=IF($P4602=1,"Débit",$L4602)),-IF($P4602=1,-$K4602,$K4602),0))))</f>
        <v/>
      </c>
      <c r="U4602" s="6" t="str">
        <f>IF($K4602="","",IF(ISNUMBER(SEARCH("sortie-epargne",IFERROR(INDEX('Paramètres'!$N:$N,MATCH($D4602,'Paramètres'!$M:$M,0))&amp;"",""))),$K4602,0))</f>
        <v/>
      </c>
      <c r="V4602" s="6" t="str">
        <f>IF(AND($A4602&lt;&gt;"",$O4602=1,$L4602="Débit",N($Q4602)&gt;0,$A4602&gt;=Visualisation!$B$1,$A4602&lt;Visualisation!$D$1),MAX($V$1:V4601)+1,"")</f>
        <v/>
      </c>
    </row>
    <row r="4603" spans="1:22" x14ac:dyDescent="0.25">
      <c r="A4603" s="9"/>
      <c r="E4603" s="10"/>
      <c r="K4603" s="11" t="str">
        <f>IF($E4603="","",ROUND($E4603*IF(ISNA(MATCH($C4603,'Paramètres'!$D:$D,0)),1,IF(INDEX('Paramètres'!$J:$J,MATCH($C4603,'Paramètres'!$D:$D,0))="",1,INDEX('Paramètres'!$J:$J,MATCH($C4603,'Paramètres'!$D:$D,0)))),2))</f>
        <v/>
      </c>
      <c r="L4603" s="6" t="str">
        <f>IF($D4603="","",IF($F4603&lt;&gt;"",$F4603,IF(ISNA(MATCH($D4603,'Paramètres'!$M:$M,0)),"⚠ Type inconnu",IFERROR(INDEX('Paramètres'!$P:$P,MATCH($D4603,'Paramètres'!$M:$M,0))&amp;"",""))))</f>
        <v/>
      </c>
      <c r="M4603" s="6" t="str">
        <f>IF($D4603="","",IF(ISNA(MATCH($D4603,'Paramètres'!$M:$M,0)),"⚠ Type inconnu",IF($L4603="Crédit","",IFERROR(INDEX('Paramètres'!$O:$O,MATCH($D4603,'Paramètres'!$M:$M,0))&amp;"",""))))</f>
        <v/>
      </c>
      <c r="N4603" s="6" t="str">
        <f>IF($D4603="","",IFERROR(INDEX('Paramètres'!$Q:$Q,MATCH($D4603,'Paramètres'!$M:$M,0))&amp;"",""))</f>
        <v/>
      </c>
      <c r="O4603" s="6" t="str">
        <f>IF($A4603="","",IF(OR($J4603&lt;&gt;"x",$A4603&lt;=FinReleve),1,0))</f>
        <v/>
      </c>
      <c r="P4603" s="6" t="str">
        <f>IF($D4603="","",IF(AND($L4603="Crédit",OR(IFERROR(INDEX('Paramètres'!$O:$O,MATCH($D4603,'Paramètres'!$M:$M,0))&amp;"","")&lt;&gt;"",ISNUMBER(SEARCH("remboursement",IFERROR(INDEX('Paramètres'!$N:$N,MATCH($D4603,'Paramètres'!$M:$M,0))&amp;"",""))))),1,0))</f>
        <v/>
      </c>
      <c r="Q4603" s="6" t="str">
        <f>IF($K4603="","",IF(ISNUMBER(SEARCH("transfert-interne",IFERROR(INDEX('Paramètres'!$N:$N,MATCH($D4603,'Paramètres'!$M:$M,0))&amp;"",""))),0,IF($L4603="Débit",$K4603,IF($P4603=1,-$K4603,0))))</f>
        <v/>
      </c>
      <c r="R4603" s="6" t="str">
        <f>IF($K4603="","",IF($L4603="Crédit",$K4603,-$K4603))</f>
        <v/>
      </c>
      <c r="S4603" s="6" t="str">
        <f>IF($C4603="","",IFERROR(INDEX('Paramètres'!$H:$H,MATCH($C4603,'Paramètres'!$D:$D,0))&amp;"",""))</f>
        <v/>
      </c>
      <c r="T4603" s="6" t="str">
        <f>IF($K4603="","",IF($S4603="",0,IF(ISNUMBER(SEARCH("apport-exterieur",IFERROR(INDEX('Paramètres'!$N:$N,MATCH($D4603,'Paramètres'!$M:$M,0))&amp;"",""))),0,IF(OR(IFERROR(INDEX('Paramètres'!$I:$I,MATCH($C4603,'Paramètres'!$D:$D,0))&amp;"","")="Les deux",IFERROR(INDEX('Paramètres'!$I:$I,MATCH($C4603,'Paramètres'!$D:$D,0))&amp;"","")=IF($P4603=1,"Débit",$L4603)),-IF($P4603=1,-$K4603,$K4603),0))))</f>
        <v/>
      </c>
      <c r="U4603" s="6" t="str">
        <f>IF($K4603="","",IF(ISNUMBER(SEARCH("sortie-epargne",IFERROR(INDEX('Paramètres'!$N:$N,MATCH($D4603,'Paramètres'!$M:$M,0))&amp;"",""))),$K4603,0))</f>
        <v/>
      </c>
      <c r="V4603" s="6" t="str">
        <f>IF(AND($A4603&lt;&gt;"",$O4603=1,$L4603="Débit",N($Q4603)&gt;0,$A4603&gt;=Visualisation!$B$1,$A4603&lt;Visualisation!$D$1),MAX($V$1:V4602)+1,"")</f>
        <v/>
      </c>
    </row>
    <row r="4604" spans="1:22" x14ac:dyDescent="0.25">
      <c r="A4604" s="9"/>
      <c r="E4604" s="10"/>
      <c r="K4604" s="11" t="str">
        <f>IF($E4604="","",ROUND($E4604*IF(ISNA(MATCH($C4604,'Paramètres'!$D:$D,0)),1,IF(INDEX('Paramètres'!$J:$J,MATCH($C4604,'Paramètres'!$D:$D,0))="",1,INDEX('Paramètres'!$J:$J,MATCH($C4604,'Paramètres'!$D:$D,0)))),2))</f>
        <v/>
      </c>
      <c r="L4604" s="6" t="str">
        <f>IF($D4604="","",IF($F4604&lt;&gt;"",$F4604,IF(ISNA(MATCH($D4604,'Paramètres'!$M:$M,0)),"⚠ Type inconnu",IFERROR(INDEX('Paramètres'!$P:$P,MATCH($D4604,'Paramètres'!$M:$M,0))&amp;"",""))))</f>
        <v/>
      </c>
      <c r="M4604" s="6" t="str">
        <f>IF($D4604="","",IF(ISNA(MATCH($D4604,'Paramètres'!$M:$M,0)),"⚠ Type inconnu",IF($L4604="Crédit","",IFERROR(INDEX('Paramètres'!$O:$O,MATCH($D4604,'Paramètres'!$M:$M,0))&amp;"",""))))</f>
        <v/>
      </c>
      <c r="N4604" s="6" t="str">
        <f>IF($D4604="","",IFERROR(INDEX('Paramètres'!$Q:$Q,MATCH($D4604,'Paramètres'!$M:$M,0))&amp;"",""))</f>
        <v/>
      </c>
      <c r="O4604" s="6" t="str">
        <f>IF($A4604="","",IF(OR($J4604&lt;&gt;"x",$A4604&lt;=FinReleve),1,0))</f>
        <v/>
      </c>
      <c r="P4604" s="6" t="str">
        <f>IF($D4604="","",IF(AND($L4604="Crédit",OR(IFERROR(INDEX('Paramètres'!$O:$O,MATCH($D4604,'Paramètres'!$M:$M,0))&amp;"","")&lt;&gt;"",ISNUMBER(SEARCH("remboursement",IFERROR(INDEX('Paramètres'!$N:$N,MATCH($D4604,'Paramètres'!$M:$M,0))&amp;"",""))))),1,0))</f>
        <v/>
      </c>
      <c r="Q4604" s="6" t="str">
        <f>IF($K4604="","",IF(ISNUMBER(SEARCH("transfert-interne",IFERROR(INDEX('Paramètres'!$N:$N,MATCH($D4604,'Paramètres'!$M:$M,0))&amp;"",""))),0,IF($L4604="Débit",$K4604,IF($P4604=1,-$K4604,0))))</f>
        <v/>
      </c>
      <c r="R4604" s="6" t="str">
        <f>IF($K4604="","",IF($L4604="Crédit",$K4604,-$K4604))</f>
        <v/>
      </c>
      <c r="S4604" s="6" t="str">
        <f>IF($C4604="","",IFERROR(INDEX('Paramètres'!$H:$H,MATCH($C4604,'Paramètres'!$D:$D,0))&amp;"",""))</f>
        <v/>
      </c>
      <c r="T4604" s="6" t="str">
        <f>IF($K4604="","",IF($S4604="",0,IF(ISNUMBER(SEARCH("apport-exterieur",IFERROR(INDEX('Paramètres'!$N:$N,MATCH($D4604,'Paramètres'!$M:$M,0))&amp;"",""))),0,IF(OR(IFERROR(INDEX('Paramètres'!$I:$I,MATCH($C4604,'Paramètres'!$D:$D,0))&amp;"","")="Les deux",IFERROR(INDEX('Paramètres'!$I:$I,MATCH($C4604,'Paramètres'!$D:$D,0))&amp;"","")=IF($P4604=1,"Débit",$L4604)),-IF($P4604=1,-$K4604,$K4604),0))))</f>
        <v/>
      </c>
      <c r="U4604" s="6" t="str">
        <f>IF($K4604="","",IF(ISNUMBER(SEARCH("sortie-epargne",IFERROR(INDEX('Paramètres'!$N:$N,MATCH($D4604,'Paramètres'!$M:$M,0))&amp;"",""))),$K4604,0))</f>
        <v/>
      </c>
      <c r="V4604" s="6" t="str">
        <f>IF(AND($A4604&lt;&gt;"",$O4604=1,$L4604="Débit",N($Q4604)&gt;0,$A4604&gt;=Visualisation!$B$1,$A4604&lt;Visualisation!$D$1),MAX($V$1:V4603)+1,"")</f>
        <v/>
      </c>
    </row>
    <row r="4605" spans="1:22" x14ac:dyDescent="0.25">
      <c r="A4605" s="9"/>
      <c r="E4605" s="10"/>
      <c r="K4605" s="11" t="str">
        <f>IF($E4605="","",ROUND($E4605*IF(ISNA(MATCH($C4605,'Paramètres'!$D:$D,0)),1,IF(INDEX('Paramètres'!$J:$J,MATCH($C4605,'Paramètres'!$D:$D,0))="",1,INDEX('Paramètres'!$J:$J,MATCH($C4605,'Paramètres'!$D:$D,0)))),2))</f>
        <v/>
      </c>
      <c r="L4605" s="6" t="str">
        <f>IF($D4605="","",IF($F4605&lt;&gt;"",$F4605,IF(ISNA(MATCH($D4605,'Paramètres'!$M:$M,0)),"⚠ Type inconnu",IFERROR(INDEX('Paramètres'!$P:$P,MATCH($D4605,'Paramètres'!$M:$M,0))&amp;"",""))))</f>
        <v/>
      </c>
      <c r="M4605" s="6" t="str">
        <f>IF($D4605="","",IF(ISNA(MATCH($D4605,'Paramètres'!$M:$M,0)),"⚠ Type inconnu",IF($L4605="Crédit","",IFERROR(INDEX('Paramètres'!$O:$O,MATCH($D4605,'Paramètres'!$M:$M,0))&amp;"",""))))</f>
        <v/>
      </c>
      <c r="N4605" s="6" t="str">
        <f>IF($D4605="","",IFERROR(INDEX('Paramètres'!$Q:$Q,MATCH($D4605,'Paramètres'!$M:$M,0))&amp;"",""))</f>
        <v/>
      </c>
      <c r="O4605" s="6" t="str">
        <f>IF($A4605="","",IF(OR($J4605&lt;&gt;"x",$A4605&lt;=FinReleve),1,0))</f>
        <v/>
      </c>
      <c r="P4605" s="6" t="str">
        <f>IF($D4605="","",IF(AND($L4605="Crédit",OR(IFERROR(INDEX('Paramètres'!$O:$O,MATCH($D4605,'Paramètres'!$M:$M,0))&amp;"","")&lt;&gt;"",ISNUMBER(SEARCH("remboursement",IFERROR(INDEX('Paramètres'!$N:$N,MATCH($D4605,'Paramètres'!$M:$M,0))&amp;"",""))))),1,0))</f>
        <v/>
      </c>
      <c r="Q4605" s="6" t="str">
        <f>IF($K4605="","",IF(ISNUMBER(SEARCH("transfert-interne",IFERROR(INDEX('Paramètres'!$N:$N,MATCH($D4605,'Paramètres'!$M:$M,0))&amp;"",""))),0,IF($L4605="Débit",$K4605,IF($P4605=1,-$K4605,0))))</f>
        <v/>
      </c>
      <c r="R4605" s="6" t="str">
        <f>IF($K4605="","",IF($L4605="Crédit",$K4605,-$K4605))</f>
        <v/>
      </c>
      <c r="S4605" s="6" t="str">
        <f>IF($C4605="","",IFERROR(INDEX('Paramètres'!$H:$H,MATCH($C4605,'Paramètres'!$D:$D,0))&amp;"",""))</f>
        <v/>
      </c>
      <c r="T4605" s="6" t="str">
        <f>IF($K4605="","",IF($S4605="",0,IF(ISNUMBER(SEARCH("apport-exterieur",IFERROR(INDEX('Paramètres'!$N:$N,MATCH($D4605,'Paramètres'!$M:$M,0))&amp;"",""))),0,IF(OR(IFERROR(INDEX('Paramètres'!$I:$I,MATCH($C4605,'Paramètres'!$D:$D,0))&amp;"","")="Les deux",IFERROR(INDEX('Paramètres'!$I:$I,MATCH($C4605,'Paramètres'!$D:$D,0))&amp;"","")=IF($P4605=1,"Débit",$L4605)),-IF($P4605=1,-$K4605,$K4605),0))))</f>
        <v/>
      </c>
      <c r="U4605" s="6" t="str">
        <f>IF($K4605="","",IF(ISNUMBER(SEARCH("sortie-epargne",IFERROR(INDEX('Paramètres'!$N:$N,MATCH($D4605,'Paramètres'!$M:$M,0))&amp;"",""))),$K4605,0))</f>
        <v/>
      </c>
      <c r="V4605" s="6" t="str">
        <f>IF(AND($A4605&lt;&gt;"",$O4605=1,$L4605="Débit",N($Q4605)&gt;0,$A4605&gt;=Visualisation!$B$1,$A4605&lt;Visualisation!$D$1),MAX($V$1:V4604)+1,"")</f>
        <v/>
      </c>
    </row>
    <row r="4606" spans="1:22" x14ac:dyDescent="0.25">
      <c r="A4606" s="9"/>
      <c r="E4606" s="10"/>
      <c r="K4606" s="11" t="str">
        <f>IF($E4606="","",ROUND($E4606*IF(ISNA(MATCH($C4606,'Paramètres'!$D:$D,0)),1,IF(INDEX('Paramètres'!$J:$J,MATCH($C4606,'Paramètres'!$D:$D,0))="",1,INDEX('Paramètres'!$J:$J,MATCH($C4606,'Paramètres'!$D:$D,0)))),2))</f>
        <v/>
      </c>
      <c r="L4606" s="6" t="str">
        <f>IF($D4606="","",IF($F4606&lt;&gt;"",$F4606,IF(ISNA(MATCH($D4606,'Paramètres'!$M:$M,0)),"⚠ Type inconnu",IFERROR(INDEX('Paramètres'!$P:$P,MATCH($D4606,'Paramètres'!$M:$M,0))&amp;"",""))))</f>
        <v/>
      </c>
      <c r="M4606" s="6" t="str">
        <f>IF($D4606="","",IF(ISNA(MATCH($D4606,'Paramètres'!$M:$M,0)),"⚠ Type inconnu",IF($L4606="Crédit","",IFERROR(INDEX('Paramètres'!$O:$O,MATCH($D4606,'Paramètres'!$M:$M,0))&amp;"",""))))</f>
        <v/>
      </c>
      <c r="N4606" s="6" t="str">
        <f>IF($D4606="","",IFERROR(INDEX('Paramètres'!$Q:$Q,MATCH($D4606,'Paramètres'!$M:$M,0))&amp;"",""))</f>
        <v/>
      </c>
      <c r="O4606" s="6" t="str">
        <f>IF($A4606="","",IF(OR($J4606&lt;&gt;"x",$A4606&lt;=FinReleve),1,0))</f>
        <v/>
      </c>
      <c r="P4606" s="6" t="str">
        <f>IF($D4606="","",IF(AND($L4606="Crédit",OR(IFERROR(INDEX('Paramètres'!$O:$O,MATCH($D4606,'Paramètres'!$M:$M,0))&amp;"","")&lt;&gt;"",ISNUMBER(SEARCH("remboursement",IFERROR(INDEX('Paramètres'!$N:$N,MATCH($D4606,'Paramètres'!$M:$M,0))&amp;"",""))))),1,0))</f>
        <v/>
      </c>
      <c r="Q4606" s="6" t="str">
        <f>IF($K4606="","",IF(ISNUMBER(SEARCH("transfert-interne",IFERROR(INDEX('Paramètres'!$N:$N,MATCH($D4606,'Paramètres'!$M:$M,0))&amp;"",""))),0,IF($L4606="Débit",$K4606,IF($P4606=1,-$K4606,0))))</f>
        <v/>
      </c>
      <c r="R4606" s="6" t="str">
        <f>IF($K4606="","",IF($L4606="Crédit",$K4606,-$K4606))</f>
        <v/>
      </c>
      <c r="S4606" s="6" t="str">
        <f>IF($C4606="","",IFERROR(INDEX('Paramètres'!$H:$H,MATCH($C4606,'Paramètres'!$D:$D,0))&amp;"",""))</f>
        <v/>
      </c>
      <c r="T4606" s="6" t="str">
        <f>IF($K4606="","",IF($S4606="",0,IF(ISNUMBER(SEARCH("apport-exterieur",IFERROR(INDEX('Paramètres'!$N:$N,MATCH($D4606,'Paramètres'!$M:$M,0))&amp;"",""))),0,IF(OR(IFERROR(INDEX('Paramètres'!$I:$I,MATCH($C4606,'Paramètres'!$D:$D,0))&amp;"","")="Les deux",IFERROR(INDEX('Paramètres'!$I:$I,MATCH($C4606,'Paramètres'!$D:$D,0))&amp;"","")=IF($P4606=1,"Débit",$L4606)),-IF($P4606=1,-$K4606,$K4606),0))))</f>
        <v/>
      </c>
      <c r="U4606" s="6" t="str">
        <f>IF($K4606="","",IF(ISNUMBER(SEARCH("sortie-epargne",IFERROR(INDEX('Paramètres'!$N:$N,MATCH($D4606,'Paramètres'!$M:$M,0))&amp;"",""))),$K4606,0))</f>
        <v/>
      </c>
      <c r="V4606" s="6" t="str">
        <f>IF(AND($A4606&lt;&gt;"",$O4606=1,$L4606="Débit",N($Q4606)&gt;0,$A4606&gt;=Visualisation!$B$1,$A4606&lt;Visualisation!$D$1),MAX($V$1:V4605)+1,"")</f>
        <v/>
      </c>
    </row>
    <row r="4607" spans="1:22" x14ac:dyDescent="0.25">
      <c r="A4607" s="9"/>
      <c r="E4607" s="10"/>
      <c r="K4607" s="11" t="str">
        <f>IF($E4607="","",ROUND($E4607*IF(ISNA(MATCH($C4607,'Paramètres'!$D:$D,0)),1,IF(INDEX('Paramètres'!$J:$J,MATCH($C4607,'Paramètres'!$D:$D,0))="",1,INDEX('Paramètres'!$J:$J,MATCH($C4607,'Paramètres'!$D:$D,0)))),2))</f>
        <v/>
      </c>
      <c r="L4607" s="6" t="str">
        <f>IF($D4607="","",IF($F4607&lt;&gt;"",$F4607,IF(ISNA(MATCH($D4607,'Paramètres'!$M:$M,0)),"⚠ Type inconnu",IFERROR(INDEX('Paramètres'!$P:$P,MATCH($D4607,'Paramètres'!$M:$M,0))&amp;"",""))))</f>
        <v/>
      </c>
      <c r="M4607" s="6" t="str">
        <f>IF($D4607="","",IF(ISNA(MATCH($D4607,'Paramètres'!$M:$M,0)),"⚠ Type inconnu",IF($L4607="Crédit","",IFERROR(INDEX('Paramètres'!$O:$O,MATCH($D4607,'Paramètres'!$M:$M,0))&amp;"",""))))</f>
        <v/>
      </c>
      <c r="N4607" s="6" t="str">
        <f>IF($D4607="","",IFERROR(INDEX('Paramètres'!$Q:$Q,MATCH($D4607,'Paramètres'!$M:$M,0))&amp;"",""))</f>
        <v/>
      </c>
      <c r="O4607" s="6" t="str">
        <f>IF($A4607="","",IF(OR($J4607&lt;&gt;"x",$A4607&lt;=FinReleve),1,0))</f>
        <v/>
      </c>
      <c r="P4607" s="6" t="str">
        <f>IF($D4607="","",IF(AND($L4607="Crédit",OR(IFERROR(INDEX('Paramètres'!$O:$O,MATCH($D4607,'Paramètres'!$M:$M,0))&amp;"","")&lt;&gt;"",ISNUMBER(SEARCH("remboursement",IFERROR(INDEX('Paramètres'!$N:$N,MATCH($D4607,'Paramètres'!$M:$M,0))&amp;"",""))))),1,0))</f>
        <v/>
      </c>
      <c r="Q4607" s="6" t="str">
        <f>IF($K4607="","",IF(ISNUMBER(SEARCH("transfert-interne",IFERROR(INDEX('Paramètres'!$N:$N,MATCH($D4607,'Paramètres'!$M:$M,0))&amp;"",""))),0,IF($L4607="Débit",$K4607,IF($P4607=1,-$K4607,0))))</f>
        <v/>
      </c>
      <c r="R4607" s="6" t="str">
        <f>IF($K4607="","",IF($L4607="Crédit",$K4607,-$K4607))</f>
        <v/>
      </c>
      <c r="S4607" s="6" t="str">
        <f>IF($C4607="","",IFERROR(INDEX('Paramètres'!$H:$H,MATCH($C4607,'Paramètres'!$D:$D,0))&amp;"",""))</f>
        <v/>
      </c>
      <c r="T4607" s="6" t="str">
        <f>IF($K4607="","",IF($S4607="",0,IF(ISNUMBER(SEARCH("apport-exterieur",IFERROR(INDEX('Paramètres'!$N:$N,MATCH($D4607,'Paramètres'!$M:$M,0))&amp;"",""))),0,IF(OR(IFERROR(INDEX('Paramètres'!$I:$I,MATCH($C4607,'Paramètres'!$D:$D,0))&amp;"","")="Les deux",IFERROR(INDEX('Paramètres'!$I:$I,MATCH($C4607,'Paramètres'!$D:$D,0))&amp;"","")=IF($P4607=1,"Débit",$L4607)),-IF($P4607=1,-$K4607,$K4607),0))))</f>
        <v/>
      </c>
      <c r="U4607" s="6" t="str">
        <f>IF($K4607="","",IF(ISNUMBER(SEARCH("sortie-epargne",IFERROR(INDEX('Paramètres'!$N:$N,MATCH($D4607,'Paramètres'!$M:$M,0))&amp;"",""))),$K4607,0))</f>
        <v/>
      </c>
      <c r="V4607" s="6" t="str">
        <f>IF(AND($A4607&lt;&gt;"",$O4607=1,$L4607="Débit",N($Q4607)&gt;0,$A4607&gt;=Visualisation!$B$1,$A4607&lt;Visualisation!$D$1),MAX($V$1:V4606)+1,"")</f>
        <v/>
      </c>
    </row>
    <row r="4608" spans="1:22" x14ac:dyDescent="0.25">
      <c r="A4608" s="9"/>
      <c r="E4608" s="10"/>
      <c r="K4608" s="11" t="str">
        <f>IF($E4608="","",ROUND($E4608*IF(ISNA(MATCH($C4608,'Paramètres'!$D:$D,0)),1,IF(INDEX('Paramètres'!$J:$J,MATCH($C4608,'Paramètres'!$D:$D,0))="",1,INDEX('Paramètres'!$J:$J,MATCH($C4608,'Paramètres'!$D:$D,0)))),2))</f>
        <v/>
      </c>
      <c r="L4608" s="6" t="str">
        <f>IF($D4608="","",IF($F4608&lt;&gt;"",$F4608,IF(ISNA(MATCH($D4608,'Paramètres'!$M:$M,0)),"⚠ Type inconnu",IFERROR(INDEX('Paramètres'!$P:$P,MATCH($D4608,'Paramètres'!$M:$M,0))&amp;"",""))))</f>
        <v/>
      </c>
      <c r="M4608" s="6" t="str">
        <f>IF($D4608="","",IF(ISNA(MATCH($D4608,'Paramètres'!$M:$M,0)),"⚠ Type inconnu",IF($L4608="Crédit","",IFERROR(INDEX('Paramètres'!$O:$O,MATCH($D4608,'Paramètres'!$M:$M,0))&amp;"",""))))</f>
        <v/>
      </c>
      <c r="N4608" s="6" t="str">
        <f>IF($D4608="","",IFERROR(INDEX('Paramètres'!$Q:$Q,MATCH($D4608,'Paramètres'!$M:$M,0))&amp;"",""))</f>
        <v/>
      </c>
      <c r="O4608" s="6" t="str">
        <f>IF($A4608="","",IF(OR($J4608&lt;&gt;"x",$A4608&lt;=FinReleve),1,0))</f>
        <v/>
      </c>
      <c r="P4608" s="6" t="str">
        <f>IF($D4608="","",IF(AND($L4608="Crédit",OR(IFERROR(INDEX('Paramètres'!$O:$O,MATCH($D4608,'Paramètres'!$M:$M,0))&amp;"","")&lt;&gt;"",ISNUMBER(SEARCH("remboursement",IFERROR(INDEX('Paramètres'!$N:$N,MATCH($D4608,'Paramètres'!$M:$M,0))&amp;"",""))))),1,0))</f>
        <v/>
      </c>
      <c r="Q4608" s="6" t="str">
        <f>IF($K4608="","",IF(ISNUMBER(SEARCH("transfert-interne",IFERROR(INDEX('Paramètres'!$N:$N,MATCH($D4608,'Paramètres'!$M:$M,0))&amp;"",""))),0,IF($L4608="Débit",$K4608,IF($P4608=1,-$K4608,0))))</f>
        <v/>
      </c>
      <c r="R4608" s="6" t="str">
        <f>IF($K4608="","",IF($L4608="Crédit",$K4608,-$K4608))</f>
        <v/>
      </c>
      <c r="S4608" s="6" t="str">
        <f>IF($C4608="","",IFERROR(INDEX('Paramètres'!$H:$H,MATCH($C4608,'Paramètres'!$D:$D,0))&amp;"",""))</f>
        <v/>
      </c>
      <c r="T4608" s="6" t="str">
        <f>IF($K4608="","",IF($S4608="",0,IF(ISNUMBER(SEARCH("apport-exterieur",IFERROR(INDEX('Paramètres'!$N:$N,MATCH($D4608,'Paramètres'!$M:$M,0))&amp;"",""))),0,IF(OR(IFERROR(INDEX('Paramètres'!$I:$I,MATCH($C4608,'Paramètres'!$D:$D,0))&amp;"","")="Les deux",IFERROR(INDEX('Paramètres'!$I:$I,MATCH($C4608,'Paramètres'!$D:$D,0))&amp;"","")=IF($P4608=1,"Débit",$L4608)),-IF($P4608=1,-$K4608,$K4608),0))))</f>
        <v/>
      </c>
      <c r="U4608" s="6" t="str">
        <f>IF($K4608="","",IF(ISNUMBER(SEARCH("sortie-epargne",IFERROR(INDEX('Paramètres'!$N:$N,MATCH($D4608,'Paramètres'!$M:$M,0))&amp;"",""))),$K4608,0))</f>
        <v/>
      </c>
      <c r="V4608" s="6" t="str">
        <f>IF(AND($A4608&lt;&gt;"",$O4608=1,$L4608="Débit",N($Q4608)&gt;0,$A4608&gt;=Visualisation!$B$1,$A4608&lt;Visualisation!$D$1),MAX($V$1:V4607)+1,"")</f>
        <v/>
      </c>
    </row>
    <row r="4609" spans="1:22" x14ac:dyDescent="0.25">
      <c r="A4609" s="9"/>
      <c r="E4609" s="10"/>
      <c r="K4609" s="11" t="str">
        <f>IF($E4609="","",ROUND($E4609*IF(ISNA(MATCH($C4609,'Paramètres'!$D:$D,0)),1,IF(INDEX('Paramètres'!$J:$J,MATCH($C4609,'Paramètres'!$D:$D,0))="",1,INDEX('Paramètres'!$J:$J,MATCH($C4609,'Paramètres'!$D:$D,0)))),2))</f>
        <v/>
      </c>
      <c r="L4609" s="6" t="str">
        <f>IF($D4609="","",IF($F4609&lt;&gt;"",$F4609,IF(ISNA(MATCH($D4609,'Paramètres'!$M:$M,0)),"⚠ Type inconnu",IFERROR(INDEX('Paramètres'!$P:$P,MATCH($D4609,'Paramètres'!$M:$M,0))&amp;"",""))))</f>
        <v/>
      </c>
      <c r="M4609" s="6" t="str">
        <f>IF($D4609="","",IF(ISNA(MATCH($D4609,'Paramètres'!$M:$M,0)),"⚠ Type inconnu",IF($L4609="Crédit","",IFERROR(INDEX('Paramètres'!$O:$O,MATCH($D4609,'Paramètres'!$M:$M,0))&amp;"",""))))</f>
        <v/>
      </c>
      <c r="N4609" s="6" t="str">
        <f>IF($D4609="","",IFERROR(INDEX('Paramètres'!$Q:$Q,MATCH($D4609,'Paramètres'!$M:$M,0))&amp;"",""))</f>
        <v/>
      </c>
      <c r="O4609" s="6" t="str">
        <f>IF($A4609="","",IF(OR($J4609&lt;&gt;"x",$A4609&lt;=FinReleve),1,0))</f>
        <v/>
      </c>
      <c r="P4609" s="6" t="str">
        <f>IF($D4609="","",IF(AND($L4609="Crédit",OR(IFERROR(INDEX('Paramètres'!$O:$O,MATCH($D4609,'Paramètres'!$M:$M,0))&amp;"","")&lt;&gt;"",ISNUMBER(SEARCH("remboursement",IFERROR(INDEX('Paramètres'!$N:$N,MATCH($D4609,'Paramètres'!$M:$M,0))&amp;"",""))))),1,0))</f>
        <v/>
      </c>
      <c r="Q4609" s="6" t="str">
        <f>IF($K4609="","",IF(ISNUMBER(SEARCH("transfert-interne",IFERROR(INDEX('Paramètres'!$N:$N,MATCH($D4609,'Paramètres'!$M:$M,0))&amp;"",""))),0,IF($L4609="Débit",$K4609,IF($P4609=1,-$K4609,0))))</f>
        <v/>
      </c>
      <c r="R4609" s="6" t="str">
        <f>IF($K4609="","",IF($L4609="Crédit",$K4609,-$K4609))</f>
        <v/>
      </c>
      <c r="S4609" s="6" t="str">
        <f>IF($C4609="","",IFERROR(INDEX('Paramètres'!$H:$H,MATCH($C4609,'Paramètres'!$D:$D,0))&amp;"",""))</f>
        <v/>
      </c>
      <c r="T4609" s="6" t="str">
        <f>IF($K4609="","",IF($S4609="",0,IF(ISNUMBER(SEARCH("apport-exterieur",IFERROR(INDEX('Paramètres'!$N:$N,MATCH($D4609,'Paramètres'!$M:$M,0))&amp;"",""))),0,IF(OR(IFERROR(INDEX('Paramètres'!$I:$I,MATCH($C4609,'Paramètres'!$D:$D,0))&amp;"","")="Les deux",IFERROR(INDEX('Paramètres'!$I:$I,MATCH($C4609,'Paramètres'!$D:$D,0))&amp;"","")=IF($P4609=1,"Débit",$L4609)),-IF($P4609=1,-$K4609,$K4609),0))))</f>
        <v/>
      </c>
      <c r="U4609" s="6" t="str">
        <f>IF($K4609="","",IF(ISNUMBER(SEARCH("sortie-epargne",IFERROR(INDEX('Paramètres'!$N:$N,MATCH($D4609,'Paramètres'!$M:$M,0))&amp;"",""))),$K4609,0))</f>
        <v/>
      </c>
      <c r="V4609" s="6" t="str">
        <f>IF(AND($A4609&lt;&gt;"",$O4609=1,$L4609="Débit",N($Q4609)&gt;0,$A4609&gt;=Visualisation!$B$1,$A4609&lt;Visualisation!$D$1),MAX($V$1:V4608)+1,"")</f>
        <v/>
      </c>
    </row>
    <row r="4610" spans="1:22" x14ac:dyDescent="0.25">
      <c r="A4610" s="9"/>
      <c r="E4610" s="10"/>
      <c r="K4610" s="11" t="str">
        <f>IF($E4610="","",ROUND($E4610*IF(ISNA(MATCH($C4610,'Paramètres'!$D:$D,0)),1,IF(INDEX('Paramètres'!$J:$J,MATCH($C4610,'Paramètres'!$D:$D,0))="",1,INDEX('Paramètres'!$J:$J,MATCH($C4610,'Paramètres'!$D:$D,0)))),2))</f>
        <v/>
      </c>
      <c r="L4610" s="6" t="str">
        <f>IF($D4610="","",IF($F4610&lt;&gt;"",$F4610,IF(ISNA(MATCH($D4610,'Paramètres'!$M:$M,0)),"⚠ Type inconnu",IFERROR(INDEX('Paramètres'!$P:$P,MATCH($D4610,'Paramètres'!$M:$M,0))&amp;"",""))))</f>
        <v/>
      </c>
      <c r="M4610" s="6" t="str">
        <f>IF($D4610="","",IF(ISNA(MATCH($D4610,'Paramètres'!$M:$M,0)),"⚠ Type inconnu",IF($L4610="Crédit","",IFERROR(INDEX('Paramètres'!$O:$O,MATCH($D4610,'Paramètres'!$M:$M,0))&amp;"",""))))</f>
        <v/>
      </c>
      <c r="N4610" s="6" t="str">
        <f>IF($D4610="","",IFERROR(INDEX('Paramètres'!$Q:$Q,MATCH($D4610,'Paramètres'!$M:$M,0))&amp;"",""))</f>
        <v/>
      </c>
      <c r="O4610" s="6" t="str">
        <f>IF($A4610="","",IF(OR($J4610&lt;&gt;"x",$A4610&lt;=FinReleve),1,0))</f>
        <v/>
      </c>
      <c r="P4610" s="6" t="str">
        <f>IF($D4610="","",IF(AND($L4610="Crédit",OR(IFERROR(INDEX('Paramètres'!$O:$O,MATCH($D4610,'Paramètres'!$M:$M,0))&amp;"","")&lt;&gt;"",ISNUMBER(SEARCH("remboursement",IFERROR(INDEX('Paramètres'!$N:$N,MATCH($D4610,'Paramètres'!$M:$M,0))&amp;"",""))))),1,0))</f>
        <v/>
      </c>
      <c r="Q4610" s="6" t="str">
        <f>IF($K4610="","",IF(ISNUMBER(SEARCH("transfert-interne",IFERROR(INDEX('Paramètres'!$N:$N,MATCH($D4610,'Paramètres'!$M:$M,0))&amp;"",""))),0,IF($L4610="Débit",$K4610,IF($P4610=1,-$K4610,0))))</f>
        <v/>
      </c>
      <c r="R4610" s="6" t="str">
        <f>IF($K4610="","",IF($L4610="Crédit",$K4610,-$K4610))</f>
        <v/>
      </c>
      <c r="S4610" s="6" t="str">
        <f>IF($C4610="","",IFERROR(INDEX('Paramètres'!$H:$H,MATCH($C4610,'Paramètres'!$D:$D,0))&amp;"",""))</f>
        <v/>
      </c>
      <c r="T4610" s="6" t="str">
        <f>IF($K4610="","",IF($S4610="",0,IF(ISNUMBER(SEARCH("apport-exterieur",IFERROR(INDEX('Paramètres'!$N:$N,MATCH($D4610,'Paramètres'!$M:$M,0))&amp;"",""))),0,IF(OR(IFERROR(INDEX('Paramètres'!$I:$I,MATCH($C4610,'Paramètres'!$D:$D,0))&amp;"","")="Les deux",IFERROR(INDEX('Paramètres'!$I:$I,MATCH($C4610,'Paramètres'!$D:$D,0))&amp;"","")=IF($P4610=1,"Débit",$L4610)),-IF($P4610=1,-$K4610,$K4610),0))))</f>
        <v/>
      </c>
      <c r="U4610" s="6" t="str">
        <f>IF($K4610="","",IF(ISNUMBER(SEARCH("sortie-epargne",IFERROR(INDEX('Paramètres'!$N:$N,MATCH($D4610,'Paramètres'!$M:$M,0))&amp;"",""))),$K4610,0))</f>
        <v/>
      </c>
      <c r="V4610" s="6" t="str">
        <f>IF(AND($A4610&lt;&gt;"",$O4610=1,$L4610="Débit",N($Q4610)&gt;0,$A4610&gt;=Visualisation!$B$1,$A4610&lt;Visualisation!$D$1),MAX($V$1:V4609)+1,"")</f>
        <v/>
      </c>
    </row>
    <row r="4611" spans="1:22" x14ac:dyDescent="0.25">
      <c r="A4611" s="9"/>
      <c r="E4611" s="10"/>
      <c r="K4611" s="11" t="str">
        <f>IF($E4611="","",ROUND($E4611*IF(ISNA(MATCH($C4611,'Paramètres'!$D:$D,0)),1,IF(INDEX('Paramètres'!$J:$J,MATCH($C4611,'Paramètres'!$D:$D,0))="",1,INDEX('Paramètres'!$J:$J,MATCH($C4611,'Paramètres'!$D:$D,0)))),2))</f>
        <v/>
      </c>
      <c r="L4611" s="6" t="str">
        <f>IF($D4611="","",IF($F4611&lt;&gt;"",$F4611,IF(ISNA(MATCH($D4611,'Paramètres'!$M:$M,0)),"⚠ Type inconnu",IFERROR(INDEX('Paramètres'!$P:$P,MATCH($D4611,'Paramètres'!$M:$M,0))&amp;"",""))))</f>
        <v/>
      </c>
      <c r="M4611" s="6" t="str">
        <f>IF($D4611="","",IF(ISNA(MATCH($D4611,'Paramètres'!$M:$M,0)),"⚠ Type inconnu",IF($L4611="Crédit","",IFERROR(INDEX('Paramètres'!$O:$O,MATCH($D4611,'Paramètres'!$M:$M,0))&amp;"",""))))</f>
        <v/>
      </c>
      <c r="N4611" s="6" t="str">
        <f>IF($D4611="","",IFERROR(INDEX('Paramètres'!$Q:$Q,MATCH($D4611,'Paramètres'!$M:$M,0))&amp;"",""))</f>
        <v/>
      </c>
      <c r="O4611" s="6" t="str">
        <f>IF($A4611="","",IF(OR($J4611&lt;&gt;"x",$A4611&lt;=FinReleve),1,0))</f>
        <v/>
      </c>
      <c r="P4611" s="6" t="str">
        <f>IF($D4611="","",IF(AND($L4611="Crédit",OR(IFERROR(INDEX('Paramètres'!$O:$O,MATCH($D4611,'Paramètres'!$M:$M,0))&amp;"","")&lt;&gt;"",ISNUMBER(SEARCH("remboursement",IFERROR(INDEX('Paramètres'!$N:$N,MATCH($D4611,'Paramètres'!$M:$M,0))&amp;"",""))))),1,0))</f>
        <v/>
      </c>
      <c r="Q4611" s="6" t="str">
        <f>IF($K4611="","",IF(ISNUMBER(SEARCH("transfert-interne",IFERROR(INDEX('Paramètres'!$N:$N,MATCH($D4611,'Paramètres'!$M:$M,0))&amp;"",""))),0,IF($L4611="Débit",$K4611,IF($P4611=1,-$K4611,0))))</f>
        <v/>
      </c>
      <c r="R4611" s="6" t="str">
        <f>IF($K4611="","",IF($L4611="Crédit",$K4611,-$K4611))</f>
        <v/>
      </c>
      <c r="S4611" s="6" t="str">
        <f>IF($C4611="","",IFERROR(INDEX('Paramètres'!$H:$H,MATCH($C4611,'Paramètres'!$D:$D,0))&amp;"",""))</f>
        <v/>
      </c>
      <c r="T4611" s="6" t="str">
        <f>IF($K4611="","",IF($S4611="",0,IF(ISNUMBER(SEARCH("apport-exterieur",IFERROR(INDEX('Paramètres'!$N:$N,MATCH($D4611,'Paramètres'!$M:$M,0))&amp;"",""))),0,IF(OR(IFERROR(INDEX('Paramètres'!$I:$I,MATCH($C4611,'Paramètres'!$D:$D,0))&amp;"","")="Les deux",IFERROR(INDEX('Paramètres'!$I:$I,MATCH($C4611,'Paramètres'!$D:$D,0))&amp;"","")=IF($P4611=1,"Débit",$L4611)),-IF($P4611=1,-$K4611,$K4611),0))))</f>
        <v/>
      </c>
      <c r="U4611" s="6" t="str">
        <f>IF($K4611="","",IF(ISNUMBER(SEARCH("sortie-epargne",IFERROR(INDEX('Paramètres'!$N:$N,MATCH($D4611,'Paramètres'!$M:$M,0))&amp;"",""))),$K4611,0))</f>
        <v/>
      </c>
      <c r="V4611" s="6" t="str">
        <f>IF(AND($A4611&lt;&gt;"",$O4611=1,$L4611="Débit",N($Q4611)&gt;0,$A4611&gt;=Visualisation!$B$1,$A4611&lt;Visualisation!$D$1),MAX($V$1:V4610)+1,"")</f>
        <v/>
      </c>
    </row>
    <row r="4612" spans="1:22" x14ac:dyDescent="0.25">
      <c r="A4612" s="9"/>
      <c r="E4612" s="10"/>
      <c r="K4612" s="11" t="str">
        <f>IF($E4612="","",ROUND($E4612*IF(ISNA(MATCH($C4612,'Paramètres'!$D:$D,0)),1,IF(INDEX('Paramètres'!$J:$J,MATCH($C4612,'Paramètres'!$D:$D,0))="",1,INDEX('Paramètres'!$J:$J,MATCH($C4612,'Paramètres'!$D:$D,0)))),2))</f>
        <v/>
      </c>
      <c r="L4612" s="6" t="str">
        <f>IF($D4612="","",IF($F4612&lt;&gt;"",$F4612,IF(ISNA(MATCH($D4612,'Paramètres'!$M:$M,0)),"⚠ Type inconnu",IFERROR(INDEX('Paramètres'!$P:$P,MATCH($D4612,'Paramètres'!$M:$M,0))&amp;"",""))))</f>
        <v/>
      </c>
      <c r="M4612" s="6" t="str">
        <f>IF($D4612="","",IF(ISNA(MATCH($D4612,'Paramètres'!$M:$M,0)),"⚠ Type inconnu",IF($L4612="Crédit","",IFERROR(INDEX('Paramètres'!$O:$O,MATCH($D4612,'Paramètres'!$M:$M,0))&amp;"",""))))</f>
        <v/>
      </c>
      <c r="N4612" s="6" t="str">
        <f>IF($D4612="","",IFERROR(INDEX('Paramètres'!$Q:$Q,MATCH($D4612,'Paramètres'!$M:$M,0))&amp;"",""))</f>
        <v/>
      </c>
      <c r="O4612" s="6" t="str">
        <f>IF($A4612="","",IF(OR($J4612&lt;&gt;"x",$A4612&lt;=FinReleve),1,0))</f>
        <v/>
      </c>
      <c r="P4612" s="6" t="str">
        <f>IF($D4612="","",IF(AND($L4612="Crédit",OR(IFERROR(INDEX('Paramètres'!$O:$O,MATCH($D4612,'Paramètres'!$M:$M,0))&amp;"","")&lt;&gt;"",ISNUMBER(SEARCH("remboursement",IFERROR(INDEX('Paramètres'!$N:$N,MATCH($D4612,'Paramètres'!$M:$M,0))&amp;"",""))))),1,0))</f>
        <v/>
      </c>
      <c r="Q4612" s="6" t="str">
        <f>IF($K4612="","",IF(ISNUMBER(SEARCH("transfert-interne",IFERROR(INDEX('Paramètres'!$N:$N,MATCH($D4612,'Paramètres'!$M:$M,0))&amp;"",""))),0,IF($L4612="Débit",$K4612,IF($P4612=1,-$K4612,0))))</f>
        <v/>
      </c>
      <c r="R4612" s="6" t="str">
        <f>IF($K4612="","",IF($L4612="Crédit",$K4612,-$K4612))</f>
        <v/>
      </c>
      <c r="S4612" s="6" t="str">
        <f>IF($C4612="","",IFERROR(INDEX('Paramètres'!$H:$H,MATCH($C4612,'Paramètres'!$D:$D,0))&amp;"",""))</f>
        <v/>
      </c>
      <c r="T4612" s="6" t="str">
        <f>IF($K4612="","",IF($S4612="",0,IF(ISNUMBER(SEARCH("apport-exterieur",IFERROR(INDEX('Paramètres'!$N:$N,MATCH($D4612,'Paramètres'!$M:$M,0))&amp;"",""))),0,IF(OR(IFERROR(INDEX('Paramètres'!$I:$I,MATCH($C4612,'Paramètres'!$D:$D,0))&amp;"","")="Les deux",IFERROR(INDEX('Paramètres'!$I:$I,MATCH($C4612,'Paramètres'!$D:$D,0))&amp;"","")=IF($P4612=1,"Débit",$L4612)),-IF($P4612=1,-$K4612,$K4612),0))))</f>
        <v/>
      </c>
      <c r="U4612" s="6" t="str">
        <f>IF($K4612="","",IF(ISNUMBER(SEARCH("sortie-epargne",IFERROR(INDEX('Paramètres'!$N:$N,MATCH($D4612,'Paramètres'!$M:$M,0))&amp;"",""))),$K4612,0))</f>
        <v/>
      </c>
      <c r="V4612" s="6" t="str">
        <f>IF(AND($A4612&lt;&gt;"",$O4612=1,$L4612="Débit",N($Q4612)&gt;0,$A4612&gt;=Visualisation!$B$1,$A4612&lt;Visualisation!$D$1),MAX($V$1:V4611)+1,"")</f>
        <v/>
      </c>
    </row>
    <row r="4613" spans="1:22" x14ac:dyDescent="0.25">
      <c r="A4613" s="9"/>
      <c r="E4613" s="10"/>
      <c r="K4613" s="11" t="str">
        <f>IF($E4613="","",ROUND($E4613*IF(ISNA(MATCH($C4613,'Paramètres'!$D:$D,0)),1,IF(INDEX('Paramètres'!$J:$J,MATCH($C4613,'Paramètres'!$D:$D,0))="",1,INDEX('Paramètres'!$J:$J,MATCH($C4613,'Paramètres'!$D:$D,0)))),2))</f>
        <v/>
      </c>
      <c r="L4613" s="6" t="str">
        <f>IF($D4613="","",IF($F4613&lt;&gt;"",$F4613,IF(ISNA(MATCH($D4613,'Paramètres'!$M:$M,0)),"⚠ Type inconnu",IFERROR(INDEX('Paramètres'!$P:$P,MATCH($D4613,'Paramètres'!$M:$M,0))&amp;"",""))))</f>
        <v/>
      </c>
      <c r="M4613" s="6" t="str">
        <f>IF($D4613="","",IF(ISNA(MATCH($D4613,'Paramètres'!$M:$M,0)),"⚠ Type inconnu",IF($L4613="Crédit","",IFERROR(INDEX('Paramètres'!$O:$O,MATCH($D4613,'Paramètres'!$M:$M,0))&amp;"",""))))</f>
        <v/>
      </c>
      <c r="N4613" s="6" t="str">
        <f>IF($D4613="","",IFERROR(INDEX('Paramètres'!$Q:$Q,MATCH($D4613,'Paramètres'!$M:$M,0))&amp;"",""))</f>
        <v/>
      </c>
      <c r="O4613" s="6" t="str">
        <f>IF($A4613="","",IF(OR($J4613&lt;&gt;"x",$A4613&lt;=FinReleve),1,0))</f>
        <v/>
      </c>
      <c r="P4613" s="6" t="str">
        <f>IF($D4613="","",IF(AND($L4613="Crédit",OR(IFERROR(INDEX('Paramètres'!$O:$O,MATCH($D4613,'Paramètres'!$M:$M,0))&amp;"","")&lt;&gt;"",ISNUMBER(SEARCH("remboursement",IFERROR(INDEX('Paramètres'!$N:$N,MATCH($D4613,'Paramètres'!$M:$M,0))&amp;"",""))))),1,0))</f>
        <v/>
      </c>
      <c r="Q4613" s="6" t="str">
        <f>IF($K4613="","",IF(ISNUMBER(SEARCH("transfert-interne",IFERROR(INDEX('Paramètres'!$N:$N,MATCH($D4613,'Paramètres'!$M:$M,0))&amp;"",""))),0,IF($L4613="Débit",$K4613,IF($P4613=1,-$K4613,0))))</f>
        <v/>
      </c>
      <c r="R4613" s="6" t="str">
        <f>IF($K4613="","",IF($L4613="Crédit",$K4613,-$K4613))</f>
        <v/>
      </c>
      <c r="S4613" s="6" t="str">
        <f>IF($C4613="","",IFERROR(INDEX('Paramètres'!$H:$H,MATCH($C4613,'Paramètres'!$D:$D,0))&amp;"",""))</f>
        <v/>
      </c>
      <c r="T4613" s="6" t="str">
        <f>IF($K4613="","",IF($S4613="",0,IF(ISNUMBER(SEARCH("apport-exterieur",IFERROR(INDEX('Paramètres'!$N:$N,MATCH($D4613,'Paramètres'!$M:$M,0))&amp;"",""))),0,IF(OR(IFERROR(INDEX('Paramètres'!$I:$I,MATCH($C4613,'Paramètres'!$D:$D,0))&amp;"","")="Les deux",IFERROR(INDEX('Paramètres'!$I:$I,MATCH($C4613,'Paramètres'!$D:$D,0))&amp;"","")=IF($P4613=1,"Débit",$L4613)),-IF($P4613=1,-$K4613,$K4613),0))))</f>
        <v/>
      </c>
      <c r="U4613" s="6" t="str">
        <f>IF($K4613="","",IF(ISNUMBER(SEARCH("sortie-epargne",IFERROR(INDEX('Paramètres'!$N:$N,MATCH($D4613,'Paramètres'!$M:$M,0))&amp;"",""))),$K4613,0))</f>
        <v/>
      </c>
      <c r="V4613" s="6" t="str">
        <f>IF(AND($A4613&lt;&gt;"",$O4613=1,$L4613="Débit",N($Q4613)&gt;0,$A4613&gt;=Visualisation!$B$1,$A4613&lt;Visualisation!$D$1),MAX($V$1:V4612)+1,"")</f>
        <v/>
      </c>
    </row>
    <row r="4614" spans="1:22" x14ac:dyDescent="0.25">
      <c r="A4614" s="9"/>
      <c r="E4614" s="10"/>
      <c r="K4614" s="11" t="str">
        <f>IF($E4614="","",ROUND($E4614*IF(ISNA(MATCH($C4614,'Paramètres'!$D:$D,0)),1,IF(INDEX('Paramètres'!$J:$J,MATCH($C4614,'Paramètres'!$D:$D,0))="",1,INDEX('Paramètres'!$J:$J,MATCH($C4614,'Paramètres'!$D:$D,0)))),2))</f>
        <v/>
      </c>
      <c r="L4614" s="6" t="str">
        <f>IF($D4614="","",IF($F4614&lt;&gt;"",$F4614,IF(ISNA(MATCH($D4614,'Paramètres'!$M:$M,0)),"⚠ Type inconnu",IFERROR(INDEX('Paramètres'!$P:$P,MATCH($D4614,'Paramètres'!$M:$M,0))&amp;"",""))))</f>
        <v/>
      </c>
      <c r="M4614" s="6" t="str">
        <f>IF($D4614="","",IF(ISNA(MATCH($D4614,'Paramètres'!$M:$M,0)),"⚠ Type inconnu",IF($L4614="Crédit","",IFERROR(INDEX('Paramètres'!$O:$O,MATCH($D4614,'Paramètres'!$M:$M,0))&amp;"",""))))</f>
        <v/>
      </c>
      <c r="N4614" s="6" t="str">
        <f>IF($D4614="","",IFERROR(INDEX('Paramètres'!$Q:$Q,MATCH($D4614,'Paramètres'!$M:$M,0))&amp;"",""))</f>
        <v/>
      </c>
      <c r="O4614" s="6" t="str">
        <f>IF($A4614="","",IF(OR($J4614&lt;&gt;"x",$A4614&lt;=FinReleve),1,0))</f>
        <v/>
      </c>
      <c r="P4614" s="6" t="str">
        <f>IF($D4614="","",IF(AND($L4614="Crédit",OR(IFERROR(INDEX('Paramètres'!$O:$O,MATCH($D4614,'Paramètres'!$M:$M,0))&amp;"","")&lt;&gt;"",ISNUMBER(SEARCH("remboursement",IFERROR(INDEX('Paramètres'!$N:$N,MATCH($D4614,'Paramètres'!$M:$M,0))&amp;"",""))))),1,0))</f>
        <v/>
      </c>
      <c r="Q4614" s="6" t="str">
        <f>IF($K4614="","",IF(ISNUMBER(SEARCH("transfert-interne",IFERROR(INDEX('Paramètres'!$N:$N,MATCH($D4614,'Paramètres'!$M:$M,0))&amp;"",""))),0,IF($L4614="Débit",$K4614,IF($P4614=1,-$K4614,0))))</f>
        <v/>
      </c>
      <c r="R4614" s="6" t="str">
        <f>IF($K4614="","",IF($L4614="Crédit",$K4614,-$K4614))</f>
        <v/>
      </c>
      <c r="S4614" s="6" t="str">
        <f>IF($C4614="","",IFERROR(INDEX('Paramètres'!$H:$H,MATCH($C4614,'Paramètres'!$D:$D,0))&amp;"",""))</f>
        <v/>
      </c>
      <c r="T4614" s="6" t="str">
        <f>IF($K4614="","",IF($S4614="",0,IF(ISNUMBER(SEARCH("apport-exterieur",IFERROR(INDEX('Paramètres'!$N:$N,MATCH($D4614,'Paramètres'!$M:$M,0))&amp;"",""))),0,IF(OR(IFERROR(INDEX('Paramètres'!$I:$I,MATCH($C4614,'Paramètres'!$D:$D,0))&amp;"","")="Les deux",IFERROR(INDEX('Paramètres'!$I:$I,MATCH($C4614,'Paramètres'!$D:$D,0))&amp;"","")=IF($P4614=1,"Débit",$L4614)),-IF($P4614=1,-$K4614,$K4614),0))))</f>
        <v/>
      </c>
      <c r="U4614" s="6" t="str">
        <f>IF($K4614="","",IF(ISNUMBER(SEARCH("sortie-epargne",IFERROR(INDEX('Paramètres'!$N:$N,MATCH($D4614,'Paramètres'!$M:$M,0))&amp;"",""))),$K4614,0))</f>
        <v/>
      </c>
      <c r="V4614" s="6" t="str">
        <f>IF(AND($A4614&lt;&gt;"",$O4614=1,$L4614="Débit",N($Q4614)&gt;0,$A4614&gt;=Visualisation!$B$1,$A4614&lt;Visualisation!$D$1),MAX($V$1:V4613)+1,"")</f>
        <v/>
      </c>
    </row>
    <row r="4615" spans="1:22" x14ac:dyDescent="0.25">
      <c r="A4615" s="9"/>
      <c r="E4615" s="10"/>
      <c r="K4615" s="11" t="str">
        <f>IF($E4615="","",ROUND($E4615*IF(ISNA(MATCH($C4615,'Paramètres'!$D:$D,0)),1,IF(INDEX('Paramètres'!$J:$J,MATCH($C4615,'Paramètres'!$D:$D,0))="",1,INDEX('Paramètres'!$J:$J,MATCH($C4615,'Paramètres'!$D:$D,0)))),2))</f>
        <v/>
      </c>
      <c r="L4615" s="6" t="str">
        <f>IF($D4615="","",IF($F4615&lt;&gt;"",$F4615,IF(ISNA(MATCH($D4615,'Paramètres'!$M:$M,0)),"⚠ Type inconnu",IFERROR(INDEX('Paramètres'!$P:$P,MATCH($D4615,'Paramètres'!$M:$M,0))&amp;"",""))))</f>
        <v/>
      </c>
      <c r="M4615" s="6" t="str">
        <f>IF($D4615="","",IF(ISNA(MATCH($D4615,'Paramètres'!$M:$M,0)),"⚠ Type inconnu",IF($L4615="Crédit","",IFERROR(INDEX('Paramètres'!$O:$O,MATCH($D4615,'Paramètres'!$M:$M,0))&amp;"",""))))</f>
        <v/>
      </c>
      <c r="N4615" s="6" t="str">
        <f>IF($D4615="","",IFERROR(INDEX('Paramètres'!$Q:$Q,MATCH($D4615,'Paramètres'!$M:$M,0))&amp;"",""))</f>
        <v/>
      </c>
      <c r="O4615" s="6" t="str">
        <f>IF($A4615="","",IF(OR($J4615&lt;&gt;"x",$A4615&lt;=FinReleve),1,0))</f>
        <v/>
      </c>
      <c r="P4615" s="6" t="str">
        <f>IF($D4615="","",IF(AND($L4615="Crédit",OR(IFERROR(INDEX('Paramètres'!$O:$O,MATCH($D4615,'Paramètres'!$M:$M,0))&amp;"","")&lt;&gt;"",ISNUMBER(SEARCH("remboursement",IFERROR(INDEX('Paramètres'!$N:$N,MATCH($D4615,'Paramètres'!$M:$M,0))&amp;"",""))))),1,0))</f>
        <v/>
      </c>
      <c r="Q4615" s="6" t="str">
        <f>IF($K4615="","",IF(ISNUMBER(SEARCH("transfert-interne",IFERROR(INDEX('Paramètres'!$N:$N,MATCH($D4615,'Paramètres'!$M:$M,0))&amp;"",""))),0,IF($L4615="Débit",$K4615,IF($P4615=1,-$K4615,0))))</f>
        <v/>
      </c>
      <c r="R4615" s="6" t="str">
        <f>IF($K4615="","",IF($L4615="Crédit",$K4615,-$K4615))</f>
        <v/>
      </c>
      <c r="S4615" s="6" t="str">
        <f>IF($C4615="","",IFERROR(INDEX('Paramètres'!$H:$H,MATCH($C4615,'Paramètres'!$D:$D,0))&amp;"",""))</f>
        <v/>
      </c>
      <c r="T4615" s="6" t="str">
        <f>IF($K4615="","",IF($S4615="",0,IF(ISNUMBER(SEARCH("apport-exterieur",IFERROR(INDEX('Paramètres'!$N:$N,MATCH($D4615,'Paramètres'!$M:$M,0))&amp;"",""))),0,IF(OR(IFERROR(INDEX('Paramètres'!$I:$I,MATCH($C4615,'Paramètres'!$D:$D,0))&amp;"","")="Les deux",IFERROR(INDEX('Paramètres'!$I:$I,MATCH($C4615,'Paramètres'!$D:$D,0))&amp;"","")=IF($P4615=1,"Débit",$L4615)),-IF($P4615=1,-$K4615,$K4615),0))))</f>
        <v/>
      </c>
      <c r="U4615" s="6" t="str">
        <f>IF($K4615="","",IF(ISNUMBER(SEARCH("sortie-epargne",IFERROR(INDEX('Paramètres'!$N:$N,MATCH($D4615,'Paramètres'!$M:$M,0))&amp;"",""))),$K4615,0))</f>
        <v/>
      </c>
      <c r="V4615" s="6" t="str">
        <f>IF(AND($A4615&lt;&gt;"",$O4615=1,$L4615="Débit",N($Q4615)&gt;0,$A4615&gt;=Visualisation!$B$1,$A4615&lt;Visualisation!$D$1),MAX($V$1:V4614)+1,"")</f>
        <v/>
      </c>
    </row>
    <row r="4616" spans="1:22" x14ac:dyDescent="0.25">
      <c r="A4616" s="9"/>
      <c r="E4616" s="10"/>
      <c r="K4616" s="11" t="str">
        <f>IF($E4616="","",ROUND($E4616*IF(ISNA(MATCH($C4616,'Paramètres'!$D:$D,0)),1,IF(INDEX('Paramètres'!$J:$J,MATCH($C4616,'Paramètres'!$D:$D,0))="",1,INDEX('Paramètres'!$J:$J,MATCH($C4616,'Paramètres'!$D:$D,0)))),2))</f>
        <v/>
      </c>
      <c r="L4616" s="6" t="str">
        <f>IF($D4616="","",IF($F4616&lt;&gt;"",$F4616,IF(ISNA(MATCH($D4616,'Paramètres'!$M:$M,0)),"⚠ Type inconnu",IFERROR(INDEX('Paramètres'!$P:$P,MATCH($D4616,'Paramètres'!$M:$M,0))&amp;"",""))))</f>
        <v/>
      </c>
      <c r="M4616" s="6" t="str">
        <f>IF($D4616="","",IF(ISNA(MATCH($D4616,'Paramètres'!$M:$M,0)),"⚠ Type inconnu",IF($L4616="Crédit","",IFERROR(INDEX('Paramètres'!$O:$O,MATCH($D4616,'Paramètres'!$M:$M,0))&amp;"",""))))</f>
        <v/>
      </c>
      <c r="N4616" s="6" t="str">
        <f>IF($D4616="","",IFERROR(INDEX('Paramètres'!$Q:$Q,MATCH($D4616,'Paramètres'!$M:$M,0))&amp;"",""))</f>
        <v/>
      </c>
      <c r="O4616" s="6" t="str">
        <f>IF($A4616="","",IF(OR($J4616&lt;&gt;"x",$A4616&lt;=FinReleve),1,0))</f>
        <v/>
      </c>
      <c r="P4616" s="6" t="str">
        <f>IF($D4616="","",IF(AND($L4616="Crédit",OR(IFERROR(INDEX('Paramètres'!$O:$O,MATCH($D4616,'Paramètres'!$M:$M,0))&amp;"","")&lt;&gt;"",ISNUMBER(SEARCH("remboursement",IFERROR(INDEX('Paramètres'!$N:$N,MATCH($D4616,'Paramètres'!$M:$M,0))&amp;"",""))))),1,0))</f>
        <v/>
      </c>
      <c r="Q4616" s="6" t="str">
        <f>IF($K4616="","",IF(ISNUMBER(SEARCH("transfert-interne",IFERROR(INDEX('Paramètres'!$N:$N,MATCH($D4616,'Paramètres'!$M:$M,0))&amp;"",""))),0,IF($L4616="Débit",$K4616,IF($P4616=1,-$K4616,0))))</f>
        <v/>
      </c>
      <c r="R4616" s="6" t="str">
        <f>IF($K4616="","",IF($L4616="Crédit",$K4616,-$K4616))</f>
        <v/>
      </c>
      <c r="S4616" s="6" t="str">
        <f>IF($C4616="","",IFERROR(INDEX('Paramètres'!$H:$H,MATCH($C4616,'Paramètres'!$D:$D,0))&amp;"",""))</f>
        <v/>
      </c>
      <c r="T4616" s="6" t="str">
        <f>IF($K4616="","",IF($S4616="",0,IF(ISNUMBER(SEARCH("apport-exterieur",IFERROR(INDEX('Paramètres'!$N:$N,MATCH($D4616,'Paramètres'!$M:$M,0))&amp;"",""))),0,IF(OR(IFERROR(INDEX('Paramètres'!$I:$I,MATCH($C4616,'Paramètres'!$D:$D,0))&amp;"","")="Les deux",IFERROR(INDEX('Paramètres'!$I:$I,MATCH($C4616,'Paramètres'!$D:$D,0))&amp;"","")=IF($P4616=1,"Débit",$L4616)),-IF($P4616=1,-$K4616,$K4616),0))))</f>
        <v/>
      </c>
      <c r="U4616" s="6" t="str">
        <f>IF($K4616="","",IF(ISNUMBER(SEARCH("sortie-epargne",IFERROR(INDEX('Paramètres'!$N:$N,MATCH($D4616,'Paramètres'!$M:$M,0))&amp;"",""))),$K4616,0))</f>
        <v/>
      </c>
      <c r="V4616" s="6" t="str">
        <f>IF(AND($A4616&lt;&gt;"",$O4616=1,$L4616="Débit",N($Q4616)&gt;0,$A4616&gt;=Visualisation!$B$1,$A4616&lt;Visualisation!$D$1),MAX($V$1:V4615)+1,"")</f>
        <v/>
      </c>
    </row>
    <row r="4617" spans="1:22" x14ac:dyDescent="0.25">
      <c r="A4617" s="9"/>
      <c r="E4617" s="10"/>
      <c r="K4617" s="11" t="str">
        <f>IF($E4617="","",ROUND($E4617*IF(ISNA(MATCH($C4617,'Paramètres'!$D:$D,0)),1,IF(INDEX('Paramètres'!$J:$J,MATCH($C4617,'Paramètres'!$D:$D,0))="",1,INDEX('Paramètres'!$J:$J,MATCH($C4617,'Paramètres'!$D:$D,0)))),2))</f>
        <v/>
      </c>
      <c r="L4617" s="6" t="str">
        <f>IF($D4617="","",IF($F4617&lt;&gt;"",$F4617,IF(ISNA(MATCH($D4617,'Paramètres'!$M:$M,0)),"⚠ Type inconnu",IFERROR(INDEX('Paramètres'!$P:$P,MATCH($D4617,'Paramètres'!$M:$M,0))&amp;"",""))))</f>
        <v/>
      </c>
      <c r="M4617" s="6" t="str">
        <f>IF($D4617="","",IF(ISNA(MATCH($D4617,'Paramètres'!$M:$M,0)),"⚠ Type inconnu",IF($L4617="Crédit","",IFERROR(INDEX('Paramètres'!$O:$O,MATCH($D4617,'Paramètres'!$M:$M,0))&amp;"",""))))</f>
        <v/>
      </c>
      <c r="N4617" s="6" t="str">
        <f>IF($D4617="","",IFERROR(INDEX('Paramètres'!$Q:$Q,MATCH($D4617,'Paramètres'!$M:$M,0))&amp;"",""))</f>
        <v/>
      </c>
      <c r="O4617" s="6" t="str">
        <f>IF($A4617="","",IF(OR($J4617&lt;&gt;"x",$A4617&lt;=FinReleve),1,0))</f>
        <v/>
      </c>
      <c r="P4617" s="6" t="str">
        <f>IF($D4617="","",IF(AND($L4617="Crédit",OR(IFERROR(INDEX('Paramètres'!$O:$O,MATCH($D4617,'Paramètres'!$M:$M,0))&amp;"","")&lt;&gt;"",ISNUMBER(SEARCH("remboursement",IFERROR(INDEX('Paramètres'!$N:$N,MATCH($D4617,'Paramètres'!$M:$M,0))&amp;"",""))))),1,0))</f>
        <v/>
      </c>
      <c r="Q4617" s="6" t="str">
        <f>IF($K4617="","",IF(ISNUMBER(SEARCH("transfert-interne",IFERROR(INDEX('Paramètres'!$N:$N,MATCH($D4617,'Paramètres'!$M:$M,0))&amp;"",""))),0,IF($L4617="Débit",$K4617,IF($P4617=1,-$K4617,0))))</f>
        <v/>
      </c>
      <c r="R4617" s="6" t="str">
        <f>IF($K4617="","",IF($L4617="Crédit",$K4617,-$K4617))</f>
        <v/>
      </c>
      <c r="S4617" s="6" t="str">
        <f>IF($C4617="","",IFERROR(INDEX('Paramètres'!$H:$H,MATCH($C4617,'Paramètres'!$D:$D,0))&amp;"",""))</f>
        <v/>
      </c>
      <c r="T4617" s="6" t="str">
        <f>IF($K4617="","",IF($S4617="",0,IF(ISNUMBER(SEARCH("apport-exterieur",IFERROR(INDEX('Paramètres'!$N:$N,MATCH($D4617,'Paramètres'!$M:$M,0))&amp;"",""))),0,IF(OR(IFERROR(INDEX('Paramètres'!$I:$I,MATCH($C4617,'Paramètres'!$D:$D,0))&amp;"","")="Les deux",IFERROR(INDEX('Paramètres'!$I:$I,MATCH($C4617,'Paramètres'!$D:$D,0))&amp;"","")=IF($P4617=1,"Débit",$L4617)),-IF($P4617=1,-$K4617,$K4617),0))))</f>
        <v/>
      </c>
      <c r="U4617" s="6" t="str">
        <f>IF($K4617="","",IF(ISNUMBER(SEARCH("sortie-epargne",IFERROR(INDEX('Paramètres'!$N:$N,MATCH($D4617,'Paramètres'!$M:$M,0))&amp;"",""))),$K4617,0))</f>
        <v/>
      </c>
      <c r="V4617" s="6" t="str">
        <f>IF(AND($A4617&lt;&gt;"",$O4617=1,$L4617="Débit",N($Q4617)&gt;0,$A4617&gt;=Visualisation!$B$1,$A4617&lt;Visualisation!$D$1),MAX($V$1:V4616)+1,"")</f>
        <v/>
      </c>
    </row>
    <row r="4618" spans="1:22" x14ac:dyDescent="0.25">
      <c r="A4618" s="9"/>
      <c r="E4618" s="10"/>
      <c r="K4618" s="11" t="str">
        <f>IF($E4618="","",ROUND($E4618*IF(ISNA(MATCH($C4618,'Paramètres'!$D:$D,0)),1,IF(INDEX('Paramètres'!$J:$J,MATCH($C4618,'Paramètres'!$D:$D,0))="",1,INDEX('Paramètres'!$J:$J,MATCH($C4618,'Paramètres'!$D:$D,0)))),2))</f>
        <v/>
      </c>
      <c r="L4618" s="6" t="str">
        <f>IF($D4618="","",IF($F4618&lt;&gt;"",$F4618,IF(ISNA(MATCH($D4618,'Paramètres'!$M:$M,0)),"⚠ Type inconnu",IFERROR(INDEX('Paramètres'!$P:$P,MATCH($D4618,'Paramètres'!$M:$M,0))&amp;"",""))))</f>
        <v/>
      </c>
      <c r="M4618" s="6" t="str">
        <f>IF($D4618="","",IF(ISNA(MATCH($D4618,'Paramètres'!$M:$M,0)),"⚠ Type inconnu",IF($L4618="Crédit","",IFERROR(INDEX('Paramètres'!$O:$O,MATCH($D4618,'Paramètres'!$M:$M,0))&amp;"",""))))</f>
        <v/>
      </c>
      <c r="N4618" s="6" t="str">
        <f>IF($D4618="","",IFERROR(INDEX('Paramètres'!$Q:$Q,MATCH($D4618,'Paramètres'!$M:$M,0))&amp;"",""))</f>
        <v/>
      </c>
      <c r="O4618" s="6" t="str">
        <f>IF($A4618="","",IF(OR($J4618&lt;&gt;"x",$A4618&lt;=FinReleve),1,0))</f>
        <v/>
      </c>
      <c r="P4618" s="6" t="str">
        <f>IF($D4618="","",IF(AND($L4618="Crédit",OR(IFERROR(INDEX('Paramètres'!$O:$O,MATCH($D4618,'Paramètres'!$M:$M,0))&amp;"","")&lt;&gt;"",ISNUMBER(SEARCH("remboursement",IFERROR(INDEX('Paramètres'!$N:$N,MATCH($D4618,'Paramètres'!$M:$M,0))&amp;"",""))))),1,0))</f>
        <v/>
      </c>
      <c r="Q4618" s="6" t="str">
        <f>IF($K4618="","",IF(ISNUMBER(SEARCH("transfert-interne",IFERROR(INDEX('Paramètres'!$N:$N,MATCH($D4618,'Paramètres'!$M:$M,0))&amp;"",""))),0,IF($L4618="Débit",$K4618,IF($P4618=1,-$K4618,0))))</f>
        <v/>
      </c>
      <c r="R4618" s="6" t="str">
        <f>IF($K4618="","",IF($L4618="Crédit",$K4618,-$K4618))</f>
        <v/>
      </c>
      <c r="S4618" s="6" t="str">
        <f>IF($C4618="","",IFERROR(INDEX('Paramètres'!$H:$H,MATCH($C4618,'Paramètres'!$D:$D,0))&amp;"",""))</f>
        <v/>
      </c>
      <c r="T4618" s="6" t="str">
        <f>IF($K4618="","",IF($S4618="",0,IF(ISNUMBER(SEARCH("apport-exterieur",IFERROR(INDEX('Paramètres'!$N:$N,MATCH($D4618,'Paramètres'!$M:$M,0))&amp;"",""))),0,IF(OR(IFERROR(INDEX('Paramètres'!$I:$I,MATCH($C4618,'Paramètres'!$D:$D,0))&amp;"","")="Les deux",IFERROR(INDEX('Paramètres'!$I:$I,MATCH($C4618,'Paramètres'!$D:$D,0))&amp;"","")=IF($P4618=1,"Débit",$L4618)),-IF($P4618=1,-$K4618,$K4618),0))))</f>
        <v/>
      </c>
      <c r="U4618" s="6" t="str">
        <f>IF($K4618="","",IF(ISNUMBER(SEARCH("sortie-epargne",IFERROR(INDEX('Paramètres'!$N:$N,MATCH($D4618,'Paramètres'!$M:$M,0))&amp;"",""))),$K4618,0))</f>
        <v/>
      </c>
      <c r="V4618" s="6" t="str">
        <f>IF(AND($A4618&lt;&gt;"",$O4618=1,$L4618="Débit",N($Q4618)&gt;0,$A4618&gt;=Visualisation!$B$1,$A4618&lt;Visualisation!$D$1),MAX($V$1:V4617)+1,"")</f>
        <v/>
      </c>
    </row>
    <row r="4619" spans="1:22" x14ac:dyDescent="0.25">
      <c r="A4619" s="9"/>
      <c r="E4619" s="10"/>
      <c r="K4619" s="11" t="str">
        <f>IF($E4619="","",ROUND($E4619*IF(ISNA(MATCH($C4619,'Paramètres'!$D:$D,0)),1,IF(INDEX('Paramètres'!$J:$J,MATCH($C4619,'Paramètres'!$D:$D,0))="",1,INDEX('Paramètres'!$J:$J,MATCH($C4619,'Paramètres'!$D:$D,0)))),2))</f>
        <v/>
      </c>
      <c r="L4619" s="6" t="str">
        <f>IF($D4619="","",IF($F4619&lt;&gt;"",$F4619,IF(ISNA(MATCH($D4619,'Paramètres'!$M:$M,0)),"⚠ Type inconnu",IFERROR(INDEX('Paramètres'!$P:$P,MATCH($D4619,'Paramètres'!$M:$M,0))&amp;"",""))))</f>
        <v/>
      </c>
      <c r="M4619" s="6" t="str">
        <f>IF($D4619="","",IF(ISNA(MATCH($D4619,'Paramètres'!$M:$M,0)),"⚠ Type inconnu",IF($L4619="Crédit","",IFERROR(INDEX('Paramètres'!$O:$O,MATCH($D4619,'Paramètres'!$M:$M,0))&amp;"",""))))</f>
        <v/>
      </c>
      <c r="N4619" s="6" t="str">
        <f>IF($D4619="","",IFERROR(INDEX('Paramètres'!$Q:$Q,MATCH($D4619,'Paramètres'!$M:$M,0))&amp;"",""))</f>
        <v/>
      </c>
      <c r="O4619" s="6" t="str">
        <f>IF($A4619="","",IF(OR($J4619&lt;&gt;"x",$A4619&lt;=FinReleve),1,0))</f>
        <v/>
      </c>
      <c r="P4619" s="6" t="str">
        <f>IF($D4619="","",IF(AND($L4619="Crédit",OR(IFERROR(INDEX('Paramètres'!$O:$O,MATCH($D4619,'Paramètres'!$M:$M,0))&amp;"","")&lt;&gt;"",ISNUMBER(SEARCH("remboursement",IFERROR(INDEX('Paramètres'!$N:$N,MATCH($D4619,'Paramètres'!$M:$M,0))&amp;"",""))))),1,0))</f>
        <v/>
      </c>
      <c r="Q4619" s="6" t="str">
        <f>IF($K4619="","",IF(ISNUMBER(SEARCH("transfert-interne",IFERROR(INDEX('Paramètres'!$N:$N,MATCH($D4619,'Paramètres'!$M:$M,0))&amp;"",""))),0,IF($L4619="Débit",$K4619,IF($P4619=1,-$K4619,0))))</f>
        <v/>
      </c>
      <c r="R4619" s="6" t="str">
        <f>IF($K4619="","",IF($L4619="Crédit",$K4619,-$K4619))</f>
        <v/>
      </c>
      <c r="S4619" s="6" t="str">
        <f>IF($C4619="","",IFERROR(INDEX('Paramètres'!$H:$H,MATCH($C4619,'Paramètres'!$D:$D,0))&amp;"",""))</f>
        <v/>
      </c>
      <c r="T4619" s="6" t="str">
        <f>IF($K4619="","",IF($S4619="",0,IF(ISNUMBER(SEARCH("apport-exterieur",IFERROR(INDEX('Paramètres'!$N:$N,MATCH($D4619,'Paramètres'!$M:$M,0))&amp;"",""))),0,IF(OR(IFERROR(INDEX('Paramètres'!$I:$I,MATCH($C4619,'Paramètres'!$D:$D,0))&amp;"","")="Les deux",IFERROR(INDEX('Paramètres'!$I:$I,MATCH($C4619,'Paramètres'!$D:$D,0))&amp;"","")=IF($P4619=1,"Débit",$L4619)),-IF($P4619=1,-$K4619,$K4619),0))))</f>
        <v/>
      </c>
      <c r="U4619" s="6" t="str">
        <f>IF($K4619="","",IF(ISNUMBER(SEARCH("sortie-epargne",IFERROR(INDEX('Paramètres'!$N:$N,MATCH($D4619,'Paramètres'!$M:$M,0))&amp;"",""))),$K4619,0))</f>
        <v/>
      </c>
      <c r="V4619" s="6" t="str">
        <f>IF(AND($A4619&lt;&gt;"",$O4619=1,$L4619="Débit",N($Q4619)&gt;0,$A4619&gt;=Visualisation!$B$1,$A4619&lt;Visualisation!$D$1),MAX($V$1:V4618)+1,"")</f>
        <v/>
      </c>
    </row>
    <row r="4620" spans="1:22" x14ac:dyDescent="0.25">
      <c r="A4620" s="9"/>
      <c r="E4620" s="10"/>
      <c r="K4620" s="11" t="str">
        <f>IF($E4620="","",ROUND($E4620*IF(ISNA(MATCH($C4620,'Paramètres'!$D:$D,0)),1,IF(INDEX('Paramètres'!$J:$J,MATCH($C4620,'Paramètres'!$D:$D,0))="",1,INDEX('Paramètres'!$J:$J,MATCH($C4620,'Paramètres'!$D:$D,0)))),2))</f>
        <v/>
      </c>
      <c r="L4620" s="6" t="str">
        <f>IF($D4620="","",IF($F4620&lt;&gt;"",$F4620,IF(ISNA(MATCH($D4620,'Paramètres'!$M:$M,0)),"⚠ Type inconnu",IFERROR(INDEX('Paramètres'!$P:$P,MATCH($D4620,'Paramètres'!$M:$M,0))&amp;"",""))))</f>
        <v/>
      </c>
      <c r="M4620" s="6" t="str">
        <f>IF($D4620="","",IF(ISNA(MATCH($D4620,'Paramètres'!$M:$M,0)),"⚠ Type inconnu",IF($L4620="Crédit","",IFERROR(INDEX('Paramètres'!$O:$O,MATCH($D4620,'Paramètres'!$M:$M,0))&amp;"",""))))</f>
        <v/>
      </c>
      <c r="N4620" s="6" t="str">
        <f>IF($D4620="","",IFERROR(INDEX('Paramètres'!$Q:$Q,MATCH($D4620,'Paramètres'!$M:$M,0))&amp;"",""))</f>
        <v/>
      </c>
      <c r="O4620" s="6" t="str">
        <f>IF($A4620="","",IF(OR($J4620&lt;&gt;"x",$A4620&lt;=FinReleve),1,0))</f>
        <v/>
      </c>
      <c r="P4620" s="6" t="str">
        <f>IF($D4620="","",IF(AND($L4620="Crédit",OR(IFERROR(INDEX('Paramètres'!$O:$O,MATCH($D4620,'Paramètres'!$M:$M,0))&amp;"","")&lt;&gt;"",ISNUMBER(SEARCH("remboursement",IFERROR(INDEX('Paramètres'!$N:$N,MATCH($D4620,'Paramètres'!$M:$M,0))&amp;"",""))))),1,0))</f>
        <v/>
      </c>
      <c r="Q4620" s="6" t="str">
        <f>IF($K4620="","",IF(ISNUMBER(SEARCH("transfert-interne",IFERROR(INDEX('Paramètres'!$N:$N,MATCH($D4620,'Paramètres'!$M:$M,0))&amp;"",""))),0,IF($L4620="Débit",$K4620,IF($P4620=1,-$K4620,0))))</f>
        <v/>
      </c>
      <c r="R4620" s="6" t="str">
        <f>IF($K4620="","",IF($L4620="Crédit",$K4620,-$K4620))</f>
        <v/>
      </c>
      <c r="S4620" s="6" t="str">
        <f>IF($C4620="","",IFERROR(INDEX('Paramètres'!$H:$H,MATCH($C4620,'Paramètres'!$D:$D,0))&amp;"",""))</f>
        <v/>
      </c>
      <c r="T4620" s="6" t="str">
        <f>IF($K4620="","",IF($S4620="",0,IF(ISNUMBER(SEARCH("apport-exterieur",IFERROR(INDEX('Paramètres'!$N:$N,MATCH($D4620,'Paramètres'!$M:$M,0))&amp;"",""))),0,IF(OR(IFERROR(INDEX('Paramètres'!$I:$I,MATCH($C4620,'Paramètres'!$D:$D,0))&amp;"","")="Les deux",IFERROR(INDEX('Paramètres'!$I:$I,MATCH($C4620,'Paramètres'!$D:$D,0))&amp;"","")=IF($P4620=1,"Débit",$L4620)),-IF($P4620=1,-$K4620,$K4620),0))))</f>
        <v/>
      </c>
      <c r="U4620" s="6" t="str">
        <f>IF($K4620="","",IF(ISNUMBER(SEARCH("sortie-epargne",IFERROR(INDEX('Paramètres'!$N:$N,MATCH($D4620,'Paramètres'!$M:$M,0))&amp;"",""))),$K4620,0))</f>
        <v/>
      </c>
      <c r="V4620" s="6" t="str">
        <f>IF(AND($A4620&lt;&gt;"",$O4620=1,$L4620="Débit",N($Q4620)&gt;0,$A4620&gt;=Visualisation!$B$1,$A4620&lt;Visualisation!$D$1),MAX($V$1:V4619)+1,"")</f>
        <v/>
      </c>
    </row>
    <row r="4621" spans="1:22" x14ac:dyDescent="0.25">
      <c r="A4621" s="9"/>
      <c r="E4621" s="10"/>
      <c r="K4621" s="11" t="str">
        <f>IF($E4621="","",ROUND($E4621*IF(ISNA(MATCH($C4621,'Paramètres'!$D:$D,0)),1,IF(INDEX('Paramètres'!$J:$J,MATCH($C4621,'Paramètres'!$D:$D,0))="",1,INDEX('Paramètres'!$J:$J,MATCH($C4621,'Paramètres'!$D:$D,0)))),2))</f>
        <v/>
      </c>
      <c r="L4621" s="6" t="str">
        <f>IF($D4621="","",IF($F4621&lt;&gt;"",$F4621,IF(ISNA(MATCH($D4621,'Paramètres'!$M:$M,0)),"⚠ Type inconnu",IFERROR(INDEX('Paramètres'!$P:$P,MATCH($D4621,'Paramètres'!$M:$M,0))&amp;"",""))))</f>
        <v/>
      </c>
      <c r="M4621" s="6" t="str">
        <f>IF($D4621="","",IF(ISNA(MATCH($D4621,'Paramètres'!$M:$M,0)),"⚠ Type inconnu",IF($L4621="Crédit","",IFERROR(INDEX('Paramètres'!$O:$O,MATCH($D4621,'Paramètres'!$M:$M,0))&amp;"",""))))</f>
        <v/>
      </c>
      <c r="N4621" s="6" t="str">
        <f>IF($D4621="","",IFERROR(INDEX('Paramètres'!$Q:$Q,MATCH($D4621,'Paramètres'!$M:$M,0))&amp;"",""))</f>
        <v/>
      </c>
      <c r="O4621" s="6" t="str">
        <f>IF($A4621="","",IF(OR($J4621&lt;&gt;"x",$A4621&lt;=FinReleve),1,0))</f>
        <v/>
      </c>
      <c r="P4621" s="6" t="str">
        <f>IF($D4621="","",IF(AND($L4621="Crédit",OR(IFERROR(INDEX('Paramètres'!$O:$O,MATCH($D4621,'Paramètres'!$M:$M,0))&amp;"","")&lt;&gt;"",ISNUMBER(SEARCH("remboursement",IFERROR(INDEX('Paramètres'!$N:$N,MATCH($D4621,'Paramètres'!$M:$M,0))&amp;"",""))))),1,0))</f>
        <v/>
      </c>
      <c r="Q4621" s="6" t="str">
        <f>IF($K4621="","",IF(ISNUMBER(SEARCH("transfert-interne",IFERROR(INDEX('Paramètres'!$N:$N,MATCH($D4621,'Paramètres'!$M:$M,0))&amp;"",""))),0,IF($L4621="Débit",$K4621,IF($P4621=1,-$K4621,0))))</f>
        <v/>
      </c>
      <c r="R4621" s="6" t="str">
        <f>IF($K4621="","",IF($L4621="Crédit",$K4621,-$K4621))</f>
        <v/>
      </c>
      <c r="S4621" s="6" t="str">
        <f>IF($C4621="","",IFERROR(INDEX('Paramètres'!$H:$H,MATCH($C4621,'Paramètres'!$D:$D,0))&amp;"",""))</f>
        <v/>
      </c>
      <c r="T4621" s="6" t="str">
        <f>IF($K4621="","",IF($S4621="",0,IF(ISNUMBER(SEARCH("apport-exterieur",IFERROR(INDEX('Paramètres'!$N:$N,MATCH($D4621,'Paramètres'!$M:$M,0))&amp;"",""))),0,IF(OR(IFERROR(INDEX('Paramètres'!$I:$I,MATCH($C4621,'Paramètres'!$D:$D,0))&amp;"","")="Les deux",IFERROR(INDEX('Paramètres'!$I:$I,MATCH($C4621,'Paramètres'!$D:$D,0))&amp;"","")=IF($P4621=1,"Débit",$L4621)),-IF($P4621=1,-$K4621,$K4621),0))))</f>
        <v/>
      </c>
      <c r="U4621" s="6" t="str">
        <f>IF($K4621="","",IF(ISNUMBER(SEARCH("sortie-epargne",IFERROR(INDEX('Paramètres'!$N:$N,MATCH($D4621,'Paramètres'!$M:$M,0))&amp;"",""))),$K4621,0))</f>
        <v/>
      </c>
      <c r="V4621" s="6" t="str">
        <f>IF(AND($A4621&lt;&gt;"",$O4621=1,$L4621="Débit",N($Q4621)&gt;0,$A4621&gt;=Visualisation!$B$1,$A4621&lt;Visualisation!$D$1),MAX($V$1:V4620)+1,"")</f>
        <v/>
      </c>
    </row>
    <row r="4622" spans="1:22" x14ac:dyDescent="0.25">
      <c r="A4622" s="9"/>
      <c r="E4622" s="10"/>
      <c r="K4622" s="11" t="str">
        <f>IF($E4622="","",ROUND($E4622*IF(ISNA(MATCH($C4622,'Paramètres'!$D:$D,0)),1,IF(INDEX('Paramètres'!$J:$J,MATCH($C4622,'Paramètres'!$D:$D,0))="",1,INDEX('Paramètres'!$J:$J,MATCH($C4622,'Paramètres'!$D:$D,0)))),2))</f>
        <v/>
      </c>
      <c r="L4622" s="6" t="str">
        <f>IF($D4622="","",IF($F4622&lt;&gt;"",$F4622,IF(ISNA(MATCH($D4622,'Paramètres'!$M:$M,0)),"⚠ Type inconnu",IFERROR(INDEX('Paramètres'!$P:$P,MATCH($D4622,'Paramètres'!$M:$M,0))&amp;"",""))))</f>
        <v/>
      </c>
      <c r="M4622" s="6" t="str">
        <f>IF($D4622="","",IF(ISNA(MATCH($D4622,'Paramètres'!$M:$M,0)),"⚠ Type inconnu",IF($L4622="Crédit","",IFERROR(INDEX('Paramètres'!$O:$O,MATCH($D4622,'Paramètres'!$M:$M,0))&amp;"",""))))</f>
        <v/>
      </c>
      <c r="N4622" s="6" t="str">
        <f>IF($D4622="","",IFERROR(INDEX('Paramètres'!$Q:$Q,MATCH($D4622,'Paramètres'!$M:$M,0))&amp;"",""))</f>
        <v/>
      </c>
      <c r="O4622" s="6" t="str">
        <f>IF($A4622="","",IF(OR($J4622&lt;&gt;"x",$A4622&lt;=FinReleve),1,0))</f>
        <v/>
      </c>
      <c r="P4622" s="6" t="str">
        <f>IF($D4622="","",IF(AND($L4622="Crédit",OR(IFERROR(INDEX('Paramètres'!$O:$O,MATCH($D4622,'Paramètres'!$M:$M,0))&amp;"","")&lt;&gt;"",ISNUMBER(SEARCH("remboursement",IFERROR(INDEX('Paramètres'!$N:$N,MATCH($D4622,'Paramètres'!$M:$M,0))&amp;"",""))))),1,0))</f>
        <v/>
      </c>
      <c r="Q4622" s="6" t="str">
        <f>IF($K4622="","",IF(ISNUMBER(SEARCH("transfert-interne",IFERROR(INDEX('Paramètres'!$N:$N,MATCH($D4622,'Paramètres'!$M:$M,0))&amp;"",""))),0,IF($L4622="Débit",$K4622,IF($P4622=1,-$K4622,0))))</f>
        <v/>
      </c>
      <c r="R4622" s="6" t="str">
        <f>IF($K4622="","",IF($L4622="Crédit",$K4622,-$K4622))</f>
        <v/>
      </c>
      <c r="S4622" s="6" t="str">
        <f>IF($C4622="","",IFERROR(INDEX('Paramètres'!$H:$H,MATCH($C4622,'Paramètres'!$D:$D,0))&amp;"",""))</f>
        <v/>
      </c>
      <c r="T4622" s="6" t="str">
        <f>IF($K4622="","",IF($S4622="",0,IF(ISNUMBER(SEARCH("apport-exterieur",IFERROR(INDEX('Paramètres'!$N:$N,MATCH($D4622,'Paramètres'!$M:$M,0))&amp;"",""))),0,IF(OR(IFERROR(INDEX('Paramètres'!$I:$I,MATCH($C4622,'Paramètres'!$D:$D,0))&amp;"","")="Les deux",IFERROR(INDEX('Paramètres'!$I:$I,MATCH($C4622,'Paramètres'!$D:$D,0))&amp;"","")=IF($P4622=1,"Débit",$L4622)),-IF($P4622=1,-$K4622,$K4622),0))))</f>
        <v/>
      </c>
      <c r="U4622" s="6" t="str">
        <f>IF($K4622="","",IF(ISNUMBER(SEARCH("sortie-epargne",IFERROR(INDEX('Paramètres'!$N:$N,MATCH($D4622,'Paramètres'!$M:$M,0))&amp;"",""))),$K4622,0))</f>
        <v/>
      </c>
      <c r="V4622" s="6" t="str">
        <f>IF(AND($A4622&lt;&gt;"",$O4622=1,$L4622="Débit",N($Q4622)&gt;0,$A4622&gt;=Visualisation!$B$1,$A4622&lt;Visualisation!$D$1),MAX($V$1:V4621)+1,"")</f>
        <v/>
      </c>
    </row>
    <row r="4623" spans="1:22" x14ac:dyDescent="0.25">
      <c r="A4623" s="9"/>
      <c r="E4623" s="10"/>
      <c r="K4623" s="11" t="str">
        <f>IF($E4623="","",ROUND($E4623*IF(ISNA(MATCH($C4623,'Paramètres'!$D:$D,0)),1,IF(INDEX('Paramètres'!$J:$J,MATCH($C4623,'Paramètres'!$D:$D,0))="",1,INDEX('Paramètres'!$J:$J,MATCH($C4623,'Paramètres'!$D:$D,0)))),2))</f>
        <v/>
      </c>
      <c r="L4623" s="6" t="str">
        <f>IF($D4623="","",IF($F4623&lt;&gt;"",$F4623,IF(ISNA(MATCH($D4623,'Paramètres'!$M:$M,0)),"⚠ Type inconnu",IFERROR(INDEX('Paramètres'!$P:$P,MATCH($D4623,'Paramètres'!$M:$M,0))&amp;"",""))))</f>
        <v/>
      </c>
      <c r="M4623" s="6" t="str">
        <f>IF($D4623="","",IF(ISNA(MATCH($D4623,'Paramètres'!$M:$M,0)),"⚠ Type inconnu",IF($L4623="Crédit","",IFERROR(INDEX('Paramètres'!$O:$O,MATCH($D4623,'Paramètres'!$M:$M,0))&amp;"",""))))</f>
        <v/>
      </c>
      <c r="N4623" s="6" t="str">
        <f>IF($D4623="","",IFERROR(INDEX('Paramètres'!$Q:$Q,MATCH($D4623,'Paramètres'!$M:$M,0))&amp;"",""))</f>
        <v/>
      </c>
      <c r="O4623" s="6" t="str">
        <f>IF($A4623="","",IF(OR($J4623&lt;&gt;"x",$A4623&lt;=FinReleve),1,0))</f>
        <v/>
      </c>
      <c r="P4623" s="6" t="str">
        <f>IF($D4623="","",IF(AND($L4623="Crédit",OR(IFERROR(INDEX('Paramètres'!$O:$O,MATCH($D4623,'Paramètres'!$M:$M,0))&amp;"","")&lt;&gt;"",ISNUMBER(SEARCH("remboursement",IFERROR(INDEX('Paramètres'!$N:$N,MATCH($D4623,'Paramètres'!$M:$M,0))&amp;"",""))))),1,0))</f>
        <v/>
      </c>
      <c r="Q4623" s="6" t="str">
        <f>IF($K4623="","",IF(ISNUMBER(SEARCH("transfert-interne",IFERROR(INDEX('Paramètres'!$N:$N,MATCH($D4623,'Paramètres'!$M:$M,0))&amp;"",""))),0,IF($L4623="Débit",$K4623,IF($P4623=1,-$K4623,0))))</f>
        <v/>
      </c>
      <c r="R4623" s="6" t="str">
        <f>IF($K4623="","",IF($L4623="Crédit",$K4623,-$K4623))</f>
        <v/>
      </c>
      <c r="S4623" s="6" t="str">
        <f>IF($C4623="","",IFERROR(INDEX('Paramètres'!$H:$H,MATCH($C4623,'Paramètres'!$D:$D,0))&amp;"",""))</f>
        <v/>
      </c>
      <c r="T4623" s="6" t="str">
        <f>IF($K4623="","",IF($S4623="",0,IF(ISNUMBER(SEARCH("apport-exterieur",IFERROR(INDEX('Paramètres'!$N:$N,MATCH($D4623,'Paramètres'!$M:$M,0))&amp;"",""))),0,IF(OR(IFERROR(INDEX('Paramètres'!$I:$I,MATCH($C4623,'Paramètres'!$D:$D,0))&amp;"","")="Les deux",IFERROR(INDEX('Paramètres'!$I:$I,MATCH($C4623,'Paramètres'!$D:$D,0))&amp;"","")=IF($P4623=1,"Débit",$L4623)),-IF($P4623=1,-$K4623,$K4623),0))))</f>
        <v/>
      </c>
      <c r="U4623" s="6" t="str">
        <f>IF($K4623="","",IF(ISNUMBER(SEARCH("sortie-epargne",IFERROR(INDEX('Paramètres'!$N:$N,MATCH($D4623,'Paramètres'!$M:$M,0))&amp;"",""))),$K4623,0))</f>
        <v/>
      </c>
      <c r="V4623" s="6" t="str">
        <f>IF(AND($A4623&lt;&gt;"",$O4623=1,$L4623="Débit",N($Q4623)&gt;0,$A4623&gt;=Visualisation!$B$1,$A4623&lt;Visualisation!$D$1),MAX($V$1:V4622)+1,"")</f>
        <v/>
      </c>
    </row>
    <row r="4624" spans="1:22" x14ac:dyDescent="0.25">
      <c r="A4624" s="9"/>
      <c r="E4624" s="10"/>
      <c r="K4624" s="11" t="str">
        <f>IF($E4624="","",ROUND($E4624*IF(ISNA(MATCH($C4624,'Paramètres'!$D:$D,0)),1,IF(INDEX('Paramètres'!$J:$J,MATCH($C4624,'Paramètres'!$D:$D,0))="",1,INDEX('Paramètres'!$J:$J,MATCH($C4624,'Paramètres'!$D:$D,0)))),2))</f>
        <v/>
      </c>
      <c r="L4624" s="6" t="str">
        <f>IF($D4624="","",IF($F4624&lt;&gt;"",$F4624,IF(ISNA(MATCH($D4624,'Paramètres'!$M:$M,0)),"⚠ Type inconnu",IFERROR(INDEX('Paramètres'!$P:$P,MATCH($D4624,'Paramètres'!$M:$M,0))&amp;"",""))))</f>
        <v/>
      </c>
      <c r="M4624" s="6" t="str">
        <f>IF($D4624="","",IF(ISNA(MATCH($D4624,'Paramètres'!$M:$M,0)),"⚠ Type inconnu",IF($L4624="Crédit","",IFERROR(INDEX('Paramètres'!$O:$O,MATCH($D4624,'Paramètres'!$M:$M,0))&amp;"",""))))</f>
        <v/>
      </c>
      <c r="N4624" s="6" t="str">
        <f>IF($D4624="","",IFERROR(INDEX('Paramètres'!$Q:$Q,MATCH($D4624,'Paramètres'!$M:$M,0))&amp;"",""))</f>
        <v/>
      </c>
      <c r="O4624" s="6" t="str">
        <f>IF($A4624="","",IF(OR($J4624&lt;&gt;"x",$A4624&lt;=FinReleve),1,0))</f>
        <v/>
      </c>
      <c r="P4624" s="6" t="str">
        <f>IF($D4624="","",IF(AND($L4624="Crédit",OR(IFERROR(INDEX('Paramètres'!$O:$O,MATCH($D4624,'Paramètres'!$M:$M,0))&amp;"","")&lt;&gt;"",ISNUMBER(SEARCH("remboursement",IFERROR(INDEX('Paramètres'!$N:$N,MATCH($D4624,'Paramètres'!$M:$M,0))&amp;"",""))))),1,0))</f>
        <v/>
      </c>
      <c r="Q4624" s="6" t="str">
        <f>IF($K4624="","",IF(ISNUMBER(SEARCH("transfert-interne",IFERROR(INDEX('Paramètres'!$N:$N,MATCH($D4624,'Paramètres'!$M:$M,0))&amp;"",""))),0,IF($L4624="Débit",$K4624,IF($P4624=1,-$K4624,0))))</f>
        <v/>
      </c>
      <c r="R4624" s="6" t="str">
        <f>IF($K4624="","",IF($L4624="Crédit",$K4624,-$K4624))</f>
        <v/>
      </c>
      <c r="S4624" s="6" t="str">
        <f>IF($C4624="","",IFERROR(INDEX('Paramètres'!$H:$H,MATCH($C4624,'Paramètres'!$D:$D,0))&amp;"",""))</f>
        <v/>
      </c>
      <c r="T4624" s="6" t="str">
        <f>IF($K4624="","",IF($S4624="",0,IF(ISNUMBER(SEARCH("apport-exterieur",IFERROR(INDEX('Paramètres'!$N:$N,MATCH($D4624,'Paramètres'!$M:$M,0))&amp;"",""))),0,IF(OR(IFERROR(INDEX('Paramètres'!$I:$I,MATCH($C4624,'Paramètres'!$D:$D,0))&amp;"","")="Les deux",IFERROR(INDEX('Paramètres'!$I:$I,MATCH($C4624,'Paramètres'!$D:$D,0))&amp;"","")=IF($P4624=1,"Débit",$L4624)),-IF($P4624=1,-$K4624,$K4624),0))))</f>
        <v/>
      </c>
      <c r="U4624" s="6" t="str">
        <f>IF($K4624="","",IF(ISNUMBER(SEARCH("sortie-epargne",IFERROR(INDEX('Paramètres'!$N:$N,MATCH($D4624,'Paramètres'!$M:$M,0))&amp;"",""))),$K4624,0))</f>
        <v/>
      </c>
      <c r="V4624" s="6" t="str">
        <f>IF(AND($A4624&lt;&gt;"",$O4624=1,$L4624="Débit",N($Q4624)&gt;0,$A4624&gt;=Visualisation!$B$1,$A4624&lt;Visualisation!$D$1),MAX($V$1:V4623)+1,"")</f>
        <v/>
      </c>
    </row>
    <row r="4625" spans="1:22" x14ac:dyDescent="0.25">
      <c r="A4625" s="9"/>
      <c r="E4625" s="10"/>
      <c r="K4625" s="11" t="str">
        <f>IF($E4625="","",ROUND($E4625*IF(ISNA(MATCH($C4625,'Paramètres'!$D:$D,0)),1,IF(INDEX('Paramètres'!$J:$J,MATCH($C4625,'Paramètres'!$D:$D,0))="",1,INDEX('Paramètres'!$J:$J,MATCH($C4625,'Paramètres'!$D:$D,0)))),2))</f>
        <v/>
      </c>
      <c r="L4625" s="6" t="str">
        <f>IF($D4625="","",IF($F4625&lt;&gt;"",$F4625,IF(ISNA(MATCH($D4625,'Paramètres'!$M:$M,0)),"⚠ Type inconnu",IFERROR(INDEX('Paramètres'!$P:$P,MATCH($D4625,'Paramètres'!$M:$M,0))&amp;"",""))))</f>
        <v/>
      </c>
      <c r="M4625" s="6" t="str">
        <f>IF($D4625="","",IF(ISNA(MATCH($D4625,'Paramètres'!$M:$M,0)),"⚠ Type inconnu",IF($L4625="Crédit","",IFERROR(INDEX('Paramètres'!$O:$O,MATCH($D4625,'Paramètres'!$M:$M,0))&amp;"",""))))</f>
        <v/>
      </c>
      <c r="N4625" s="6" t="str">
        <f>IF($D4625="","",IFERROR(INDEX('Paramètres'!$Q:$Q,MATCH($D4625,'Paramètres'!$M:$M,0))&amp;"",""))</f>
        <v/>
      </c>
      <c r="O4625" s="6" t="str">
        <f>IF($A4625="","",IF(OR($J4625&lt;&gt;"x",$A4625&lt;=FinReleve),1,0))</f>
        <v/>
      </c>
      <c r="P4625" s="6" t="str">
        <f>IF($D4625="","",IF(AND($L4625="Crédit",OR(IFERROR(INDEX('Paramètres'!$O:$O,MATCH($D4625,'Paramètres'!$M:$M,0))&amp;"","")&lt;&gt;"",ISNUMBER(SEARCH("remboursement",IFERROR(INDEX('Paramètres'!$N:$N,MATCH($D4625,'Paramètres'!$M:$M,0))&amp;"",""))))),1,0))</f>
        <v/>
      </c>
      <c r="Q4625" s="6" t="str">
        <f>IF($K4625="","",IF(ISNUMBER(SEARCH("transfert-interne",IFERROR(INDEX('Paramètres'!$N:$N,MATCH($D4625,'Paramètres'!$M:$M,0))&amp;"",""))),0,IF($L4625="Débit",$K4625,IF($P4625=1,-$K4625,0))))</f>
        <v/>
      </c>
      <c r="R4625" s="6" t="str">
        <f>IF($K4625="","",IF($L4625="Crédit",$K4625,-$K4625))</f>
        <v/>
      </c>
      <c r="S4625" s="6" t="str">
        <f>IF($C4625="","",IFERROR(INDEX('Paramètres'!$H:$H,MATCH($C4625,'Paramètres'!$D:$D,0))&amp;"",""))</f>
        <v/>
      </c>
      <c r="T4625" s="6" t="str">
        <f>IF($K4625="","",IF($S4625="",0,IF(ISNUMBER(SEARCH("apport-exterieur",IFERROR(INDEX('Paramètres'!$N:$N,MATCH($D4625,'Paramètres'!$M:$M,0))&amp;"",""))),0,IF(OR(IFERROR(INDEX('Paramètres'!$I:$I,MATCH($C4625,'Paramètres'!$D:$D,0))&amp;"","")="Les deux",IFERROR(INDEX('Paramètres'!$I:$I,MATCH($C4625,'Paramètres'!$D:$D,0))&amp;"","")=IF($P4625=1,"Débit",$L4625)),-IF($P4625=1,-$K4625,$K4625),0))))</f>
        <v/>
      </c>
      <c r="U4625" s="6" t="str">
        <f>IF($K4625="","",IF(ISNUMBER(SEARCH("sortie-epargne",IFERROR(INDEX('Paramètres'!$N:$N,MATCH($D4625,'Paramètres'!$M:$M,0))&amp;"",""))),$K4625,0))</f>
        <v/>
      </c>
      <c r="V4625" s="6" t="str">
        <f>IF(AND($A4625&lt;&gt;"",$O4625=1,$L4625="Débit",N($Q4625)&gt;0,$A4625&gt;=Visualisation!$B$1,$A4625&lt;Visualisation!$D$1),MAX($V$1:V4624)+1,"")</f>
        <v/>
      </c>
    </row>
    <row r="4626" spans="1:22" x14ac:dyDescent="0.25">
      <c r="A4626" s="9"/>
      <c r="E4626" s="10"/>
      <c r="K4626" s="11" t="str">
        <f>IF($E4626="","",ROUND($E4626*IF(ISNA(MATCH($C4626,'Paramètres'!$D:$D,0)),1,IF(INDEX('Paramètres'!$J:$J,MATCH($C4626,'Paramètres'!$D:$D,0))="",1,INDEX('Paramètres'!$J:$J,MATCH($C4626,'Paramètres'!$D:$D,0)))),2))</f>
        <v/>
      </c>
      <c r="L4626" s="6" t="str">
        <f>IF($D4626="","",IF($F4626&lt;&gt;"",$F4626,IF(ISNA(MATCH($D4626,'Paramètres'!$M:$M,0)),"⚠ Type inconnu",IFERROR(INDEX('Paramètres'!$P:$P,MATCH($D4626,'Paramètres'!$M:$M,0))&amp;"",""))))</f>
        <v/>
      </c>
      <c r="M4626" s="6" t="str">
        <f>IF($D4626="","",IF(ISNA(MATCH($D4626,'Paramètres'!$M:$M,0)),"⚠ Type inconnu",IF($L4626="Crédit","",IFERROR(INDEX('Paramètres'!$O:$O,MATCH($D4626,'Paramètres'!$M:$M,0))&amp;"",""))))</f>
        <v/>
      </c>
      <c r="N4626" s="6" t="str">
        <f>IF($D4626="","",IFERROR(INDEX('Paramètres'!$Q:$Q,MATCH($D4626,'Paramètres'!$M:$M,0))&amp;"",""))</f>
        <v/>
      </c>
      <c r="O4626" s="6" t="str">
        <f>IF($A4626="","",IF(OR($J4626&lt;&gt;"x",$A4626&lt;=FinReleve),1,0))</f>
        <v/>
      </c>
      <c r="P4626" s="6" t="str">
        <f>IF($D4626="","",IF(AND($L4626="Crédit",OR(IFERROR(INDEX('Paramètres'!$O:$O,MATCH($D4626,'Paramètres'!$M:$M,0))&amp;"","")&lt;&gt;"",ISNUMBER(SEARCH("remboursement",IFERROR(INDEX('Paramètres'!$N:$N,MATCH($D4626,'Paramètres'!$M:$M,0))&amp;"",""))))),1,0))</f>
        <v/>
      </c>
      <c r="Q4626" s="6" t="str">
        <f>IF($K4626="","",IF(ISNUMBER(SEARCH("transfert-interne",IFERROR(INDEX('Paramètres'!$N:$N,MATCH($D4626,'Paramètres'!$M:$M,0))&amp;"",""))),0,IF($L4626="Débit",$K4626,IF($P4626=1,-$K4626,0))))</f>
        <v/>
      </c>
      <c r="R4626" s="6" t="str">
        <f>IF($K4626="","",IF($L4626="Crédit",$K4626,-$K4626))</f>
        <v/>
      </c>
      <c r="S4626" s="6" t="str">
        <f>IF($C4626="","",IFERROR(INDEX('Paramètres'!$H:$H,MATCH($C4626,'Paramètres'!$D:$D,0))&amp;"",""))</f>
        <v/>
      </c>
      <c r="T4626" s="6" t="str">
        <f>IF($K4626="","",IF($S4626="",0,IF(ISNUMBER(SEARCH("apport-exterieur",IFERROR(INDEX('Paramètres'!$N:$N,MATCH($D4626,'Paramètres'!$M:$M,0))&amp;"",""))),0,IF(OR(IFERROR(INDEX('Paramètres'!$I:$I,MATCH($C4626,'Paramètres'!$D:$D,0))&amp;"","")="Les deux",IFERROR(INDEX('Paramètres'!$I:$I,MATCH($C4626,'Paramètres'!$D:$D,0))&amp;"","")=IF($P4626=1,"Débit",$L4626)),-IF($P4626=1,-$K4626,$K4626),0))))</f>
        <v/>
      </c>
      <c r="U4626" s="6" t="str">
        <f>IF($K4626="","",IF(ISNUMBER(SEARCH("sortie-epargne",IFERROR(INDEX('Paramètres'!$N:$N,MATCH($D4626,'Paramètres'!$M:$M,0))&amp;"",""))),$K4626,0))</f>
        <v/>
      </c>
      <c r="V4626" s="6" t="str">
        <f>IF(AND($A4626&lt;&gt;"",$O4626=1,$L4626="Débit",N($Q4626)&gt;0,$A4626&gt;=Visualisation!$B$1,$A4626&lt;Visualisation!$D$1),MAX($V$1:V4625)+1,"")</f>
        <v/>
      </c>
    </row>
    <row r="4627" spans="1:22" x14ac:dyDescent="0.25">
      <c r="A4627" s="9"/>
      <c r="E4627" s="10"/>
      <c r="K4627" s="11" t="str">
        <f>IF($E4627="","",ROUND($E4627*IF(ISNA(MATCH($C4627,'Paramètres'!$D:$D,0)),1,IF(INDEX('Paramètres'!$J:$J,MATCH($C4627,'Paramètres'!$D:$D,0))="",1,INDEX('Paramètres'!$J:$J,MATCH($C4627,'Paramètres'!$D:$D,0)))),2))</f>
        <v/>
      </c>
      <c r="L4627" s="6" t="str">
        <f>IF($D4627="","",IF($F4627&lt;&gt;"",$F4627,IF(ISNA(MATCH($D4627,'Paramètres'!$M:$M,0)),"⚠ Type inconnu",IFERROR(INDEX('Paramètres'!$P:$P,MATCH($D4627,'Paramètres'!$M:$M,0))&amp;"",""))))</f>
        <v/>
      </c>
      <c r="M4627" s="6" t="str">
        <f>IF($D4627="","",IF(ISNA(MATCH($D4627,'Paramètres'!$M:$M,0)),"⚠ Type inconnu",IF($L4627="Crédit","",IFERROR(INDEX('Paramètres'!$O:$O,MATCH($D4627,'Paramètres'!$M:$M,0))&amp;"",""))))</f>
        <v/>
      </c>
      <c r="N4627" s="6" t="str">
        <f>IF($D4627="","",IFERROR(INDEX('Paramètres'!$Q:$Q,MATCH($D4627,'Paramètres'!$M:$M,0))&amp;"",""))</f>
        <v/>
      </c>
      <c r="O4627" s="6" t="str">
        <f>IF($A4627="","",IF(OR($J4627&lt;&gt;"x",$A4627&lt;=FinReleve),1,0))</f>
        <v/>
      </c>
      <c r="P4627" s="6" t="str">
        <f>IF($D4627="","",IF(AND($L4627="Crédit",OR(IFERROR(INDEX('Paramètres'!$O:$O,MATCH($D4627,'Paramètres'!$M:$M,0))&amp;"","")&lt;&gt;"",ISNUMBER(SEARCH("remboursement",IFERROR(INDEX('Paramètres'!$N:$N,MATCH($D4627,'Paramètres'!$M:$M,0))&amp;"",""))))),1,0))</f>
        <v/>
      </c>
      <c r="Q4627" s="6" t="str">
        <f>IF($K4627="","",IF(ISNUMBER(SEARCH("transfert-interne",IFERROR(INDEX('Paramètres'!$N:$N,MATCH($D4627,'Paramètres'!$M:$M,0))&amp;"",""))),0,IF($L4627="Débit",$K4627,IF($P4627=1,-$K4627,0))))</f>
        <v/>
      </c>
      <c r="R4627" s="6" t="str">
        <f>IF($K4627="","",IF($L4627="Crédit",$K4627,-$K4627))</f>
        <v/>
      </c>
      <c r="S4627" s="6" t="str">
        <f>IF($C4627="","",IFERROR(INDEX('Paramètres'!$H:$H,MATCH($C4627,'Paramètres'!$D:$D,0))&amp;"",""))</f>
        <v/>
      </c>
      <c r="T4627" s="6" t="str">
        <f>IF($K4627="","",IF($S4627="",0,IF(ISNUMBER(SEARCH("apport-exterieur",IFERROR(INDEX('Paramètres'!$N:$N,MATCH($D4627,'Paramètres'!$M:$M,0))&amp;"",""))),0,IF(OR(IFERROR(INDEX('Paramètres'!$I:$I,MATCH($C4627,'Paramètres'!$D:$D,0))&amp;"","")="Les deux",IFERROR(INDEX('Paramètres'!$I:$I,MATCH($C4627,'Paramètres'!$D:$D,0))&amp;"","")=IF($P4627=1,"Débit",$L4627)),-IF($P4627=1,-$K4627,$K4627),0))))</f>
        <v/>
      </c>
      <c r="U4627" s="6" t="str">
        <f>IF($K4627="","",IF(ISNUMBER(SEARCH("sortie-epargne",IFERROR(INDEX('Paramètres'!$N:$N,MATCH($D4627,'Paramètres'!$M:$M,0))&amp;"",""))),$K4627,0))</f>
        <v/>
      </c>
      <c r="V4627" s="6" t="str">
        <f>IF(AND($A4627&lt;&gt;"",$O4627=1,$L4627="Débit",N($Q4627)&gt;0,$A4627&gt;=Visualisation!$B$1,$A4627&lt;Visualisation!$D$1),MAX($V$1:V4626)+1,"")</f>
        <v/>
      </c>
    </row>
    <row r="4628" spans="1:22" x14ac:dyDescent="0.25">
      <c r="A4628" s="9"/>
      <c r="E4628" s="10"/>
      <c r="K4628" s="11" t="str">
        <f>IF($E4628="","",ROUND($E4628*IF(ISNA(MATCH($C4628,'Paramètres'!$D:$D,0)),1,IF(INDEX('Paramètres'!$J:$J,MATCH($C4628,'Paramètres'!$D:$D,0))="",1,INDEX('Paramètres'!$J:$J,MATCH($C4628,'Paramètres'!$D:$D,0)))),2))</f>
        <v/>
      </c>
      <c r="L4628" s="6" t="str">
        <f>IF($D4628="","",IF($F4628&lt;&gt;"",$F4628,IF(ISNA(MATCH($D4628,'Paramètres'!$M:$M,0)),"⚠ Type inconnu",IFERROR(INDEX('Paramètres'!$P:$P,MATCH($D4628,'Paramètres'!$M:$M,0))&amp;"",""))))</f>
        <v/>
      </c>
      <c r="M4628" s="6" t="str">
        <f>IF($D4628="","",IF(ISNA(MATCH($D4628,'Paramètres'!$M:$M,0)),"⚠ Type inconnu",IF($L4628="Crédit","",IFERROR(INDEX('Paramètres'!$O:$O,MATCH($D4628,'Paramètres'!$M:$M,0))&amp;"",""))))</f>
        <v/>
      </c>
      <c r="N4628" s="6" t="str">
        <f>IF($D4628="","",IFERROR(INDEX('Paramètres'!$Q:$Q,MATCH($D4628,'Paramètres'!$M:$M,0))&amp;"",""))</f>
        <v/>
      </c>
      <c r="O4628" s="6" t="str">
        <f>IF($A4628="","",IF(OR($J4628&lt;&gt;"x",$A4628&lt;=FinReleve),1,0))</f>
        <v/>
      </c>
      <c r="P4628" s="6" t="str">
        <f>IF($D4628="","",IF(AND($L4628="Crédit",OR(IFERROR(INDEX('Paramètres'!$O:$O,MATCH($D4628,'Paramètres'!$M:$M,0))&amp;"","")&lt;&gt;"",ISNUMBER(SEARCH("remboursement",IFERROR(INDEX('Paramètres'!$N:$N,MATCH($D4628,'Paramètres'!$M:$M,0))&amp;"",""))))),1,0))</f>
        <v/>
      </c>
      <c r="Q4628" s="6" t="str">
        <f>IF($K4628="","",IF(ISNUMBER(SEARCH("transfert-interne",IFERROR(INDEX('Paramètres'!$N:$N,MATCH($D4628,'Paramètres'!$M:$M,0))&amp;"",""))),0,IF($L4628="Débit",$K4628,IF($P4628=1,-$K4628,0))))</f>
        <v/>
      </c>
      <c r="R4628" s="6" t="str">
        <f>IF($K4628="","",IF($L4628="Crédit",$K4628,-$K4628))</f>
        <v/>
      </c>
      <c r="S4628" s="6" t="str">
        <f>IF($C4628="","",IFERROR(INDEX('Paramètres'!$H:$H,MATCH($C4628,'Paramètres'!$D:$D,0))&amp;"",""))</f>
        <v/>
      </c>
      <c r="T4628" s="6" t="str">
        <f>IF($K4628="","",IF($S4628="",0,IF(ISNUMBER(SEARCH("apport-exterieur",IFERROR(INDEX('Paramètres'!$N:$N,MATCH($D4628,'Paramètres'!$M:$M,0))&amp;"",""))),0,IF(OR(IFERROR(INDEX('Paramètres'!$I:$I,MATCH($C4628,'Paramètres'!$D:$D,0))&amp;"","")="Les deux",IFERROR(INDEX('Paramètres'!$I:$I,MATCH($C4628,'Paramètres'!$D:$D,0))&amp;"","")=IF($P4628=1,"Débit",$L4628)),-IF($P4628=1,-$K4628,$K4628),0))))</f>
        <v/>
      </c>
      <c r="U4628" s="6" t="str">
        <f>IF($K4628="","",IF(ISNUMBER(SEARCH("sortie-epargne",IFERROR(INDEX('Paramètres'!$N:$N,MATCH($D4628,'Paramètres'!$M:$M,0))&amp;"",""))),$K4628,0))</f>
        <v/>
      </c>
      <c r="V4628" s="6" t="str">
        <f>IF(AND($A4628&lt;&gt;"",$O4628=1,$L4628="Débit",N($Q4628)&gt;0,$A4628&gt;=Visualisation!$B$1,$A4628&lt;Visualisation!$D$1),MAX($V$1:V4627)+1,"")</f>
        <v/>
      </c>
    </row>
    <row r="4629" spans="1:22" x14ac:dyDescent="0.25">
      <c r="A4629" s="9"/>
      <c r="E4629" s="10"/>
      <c r="K4629" s="11" t="str">
        <f>IF($E4629="","",ROUND($E4629*IF(ISNA(MATCH($C4629,'Paramètres'!$D:$D,0)),1,IF(INDEX('Paramètres'!$J:$J,MATCH($C4629,'Paramètres'!$D:$D,0))="",1,INDEX('Paramètres'!$J:$J,MATCH($C4629,'Paramètres'!$D:$D,0)))),2))</f>
        <v/>
      </c>
      <c r="L4629" s="6" t="str">
        <f>IF($D4629="","",IF($F4629&lt;&gt;"",$F4629,IF(ISNA(MATCH($D4629,'Paramètres'!$M:$M,0)),"⚠ Type inconnu",IFERROR(INDEX('Paramètres'!$P:$P,MATCH($D4629,'Paramètres'!$M:$M,0))&amp;"",""))))</f>
        <v/>
      </c>
      <c r="M4629" s="6" t="str">
        <f>IF($D4629="","",IF(ISNA(MATCH($D4629,'Paramètres'!$M:$M,0)),"⚠ Type inconnu",IF($L4629="Crédit","",IFERROR(INDEX('Paramètres'!$O:$O,MATCH($D4629,'Paramètres'!$M:$M,0))&amp;"",""))))</f>
        <v/>
      </c>
      <c r="N4629" s="6" t="str">
        <f>IF($D4629="","",IFERROR(INDEX('Paramètres'!$Q:$Q,MATCH($D4629,'Paramètres'!$M:$M,0))&amp;"",""))</f>
        <v/>
      </c>
      <c r="O4629" s="6" t="str">
        <f>IF($A4629="","",IF(OR($J4629&lt;&gt;"x",$A4629&lt;=FinReleve),1,0))</f>
        <v/>
      </c>
      <c r="P4629" s="6" t="str">
        <f>IF($D4629="","",IF(AND($L4629="Crédit",OR(IFERROR(INDEX('Paramètres'!$O:$O,MATCH($D4629,'Paramètres'!$M:$M,0))&amp;"","")&lt;&gt;"",ISNUMBER(SEARCH("remboursement",IFERROR(INDEX('Paramètres'!$N:$N,MATCH($D4629,'Paramètres'!$M:$M,0))&amp;"",""))))),1,0))</f>
        <v/>
      </c>
      <c r="Q4629" s="6" t="str">
        <f>IF($K4629="","",IF(ISNUMBER(SEARCH("transfert-interne",IFERROR(INDEX('Paramètres'!$N:$N,MATCH($D4629,'Paramètres'!$M:$M,0))&amp;"",""))),0,IF($L4629="Débit",$K4629,IF($P4629=1,-$K4629,0))))</f>
        <v/>
      </c>
      <c r="R4629" s="6" t="str">
        <f>IF($K4629="","",IF($L4629="Crédit",$K4629,-$K4629))</f>
        <v/>
      </c>
      <c r="S4629" s="6" t="str">
        <f>IF($C4629="","",IFERROR(INDEX('Paramètres'!$H:$H,MATCH($C4629,'Paramètres'!$D:$D,0))&amp;"",""))</f>
        <v/>
      </c>
      <c r="T4629" s="6" t="str">
        <f>IF($K4629="","",IF($S4629="",0,IF(ISNUMBER(SEARCH("apport-exterieur",IFERROR(INDEX('Paramètres'!$N:$N,MATCH($D4629,'Paramètres'!$M:$M,0))&amp;"",""))),0,IF(OR(IFERROR(INDEX('Paramètres'!$I:$I,MATCH($C4629,'Paramètres'!$D:$D,0))&amp;"","")="Les deux",IFERROR(INDEX('Paramètres'!$I:$I,MATCH($C4629,'Paramètres'!$D:$D,0))&amp;"","")=IF($P4629=1,"Débit",$L4629)),-IF($P4629=1,-$K4629,$K4629),0))))</f>
        <v/>
      </c>
      <c r="U4629" s="6" t="str">
        <f>IF($K4629="","",IF(ISNUMBER(SEARCH("sortie-epargne",IFERROR(INDEX('Paramètres'!$N:$N,MATCH($D4629,'Paramètres'!$M:$M,0))&amp;"",""))),$K4629,0))</f>
        <v/>
      </c>
      <c r="V4629" s="6" t="str">
        <f>IF(AND($A4629&lt;&gt;"",$O4629=1,$L4629="Débit",N($Q4629)&gt;0,$A4629&gt;=Visualisation!$B$1,$A4629&lt;Visualisation!$D$1),MAX($V$1:V4628)+1,"")</f>
        <v/>
      </c>
    </row>
    <row r="4630" spans="1:22" x14ac:dyDescent="0.25">
      <c r="A4630" s="9"/>
      <c r="E4630" s="10"/>
      <c r="K4630" s="11" t="str">
        <f>IF($E4630="","",ROUND($E4630*IF(ISNA(MATCH($C4630,'Paramètres'!$D:$D,0)),1,IF(INDEX('Paramètres'!$J:$J,MATCH($C4630,'Paramètres'!$D:$D,0))="",1,INDEX('Paramètres'!$J:$J,MATCH($C4630,'Paramètres'!$D:$D,0)))),2))</f>
        <v/>
      </c>
      <c r="L4630" s="6" t="str">
        <f>IF($D4630="","",IF($F4630&lt;&gt;"",$F4630,IF(ISNA(MATCH($D4630,'Paramètres'!$M:$M,0)),"⚠ Type inconnu",IFERROR(INDEX('Paramètres'!$P:$P,MATCH($D4630,'Paramètres'!$M:$M,0))&amp;"",""))))</f>
        <v/>
      </c>
      <c r="M4630" s="6" t="str">
        <f>IF($D4630="","",IF(ISNA(MATCH($D4630,'Paramètres'!$M:$M,0)),"⚠ Type inconnu",IF($L4630="Crédit","",IFERROR(INDEX('Paramètres'!$O:$O,MATCH($D4630,'Paramètres'!$M:$M,0))&amp;"",""))))</f>
        <v/>
      </c>
      <c r="N4630" s="6" t="str">
        <f>IF($D4630="","",IFERROR(INDEX('Paramètres'!$Q:$Q,MATCH($D4630,'Paramètres'!$M:$M,0))&amp;"",""))</f>
        <v/>
      </c>
      <c r="O4630" s="6" t="str">
        <f>IF($A4630="","",IF(OR($J4630&lt;&gt;"x",$A4630&lt;=FinReleve),1,0))</f>
        <v/>
      </c>
      <c r="P4630" s="6" t="str">
        <f>IF($D4630="","",IF(AND($L4630="Crédit",OR(IFERROR(INDEX('Paramètres'!$O:$O,MATCH($D4630,'Paramètres'!$M:$M,0))&amp;"","")&lt;&gt;"",ISNUMBER(SEARCH("remboursement",IFERROR(INDEX('Paramètres'!$N:$N,MATCH($D4630,'Paramètres'!$M:$M,0))&amp;"",""))))),1,0))</f>
        <v/>
      </c>
      <c r="Q4630" s="6" t="str">
        <f>IF($K4630="","",IF(ISNUMBER(SEARCH("transfert-interne",IFERROR(INDEX('Paramètres'!$N:$N,MATCH($D4630,'Paramètres'!$M:$M,0))&amp;"",""))),0,IF($L4630="Débit",$K4630,IF($P4630=1,-$K4630,0))))</f>
        <v/>
      </c>
      <c r="R4630" s="6" t="str">
        <f>IF($K4630="","",IF($L4630="Crédit",$K4630,-$K4630))</f>
        <v/>
      </c>
      <c r="S4630" s="6" t="str">
        <f>IF($C4630="","",IFERROR(INDEX('Paramètres'!$H:$H,MATCH($C4630,'Paramètres'!$D:$D,0))&amp;"",""))</f>
        <v/>
      </c>
      <c r="T4630" s="6" t="str">
        <f>IF($K4630="","",IF($S4630="",0,IF(ISNUMBER(SEARCH("apport-exterieur",IFERROR(INDEX('Paramètres'!$N:$N,MATCH($D4630,'Paramètres'!$M:$M,0))&amp;"",""))),0,IF(OR(IFERROR(INDEX('Paramètres'!$I:$I,MATCH($C4630,'Paramètres'!$D:$D,0))&amp;"","")="Les deux",IFERROR(INDEX('Paramètres'!$I:$I,MATCH($C4630,'Paramètres'!$D:$D,0))&amp;"","")=IF($P4630=1,"Débit",$L4630)),-IF($P4630=1,-$K4630,$K4630),0))))</f>
        <v/>
      </c>
      <c r="U4630" s="6" t="str">
        <f>IF($K4630="","",IF(ISNUMBER(SEARCH("sortie-epargne",IFERROR(INDEX('Paramètres'!$N:$N,MATCH($D4630,'Paramètres'!$M:$M,0))&amp;"",""))),$K4630,0))</f>
        <v/>
      </c>
      <c r="V4630" s="6" t="str">
        <f>IF(AND($A4630&lt;&gt;"",$O4630=1,$L4630="Débit",N($Q4630)&gt;0,$A4630&gt;=Visualisation!$B$1,$A4630&lt;Visualisation!$D$1),MAX($V$1:V4629)+1,"")</f>
        <v/>
      </c>
    </row>
    <row r="4631" spans="1:22" x14ac:dyDescent="0.25">
      <c r="A4631" s="9"/>
      <c r="E4631" s="10"/>
      <c r="K4631" s="11" t="str">
        <f>IF($E4631="","",ROUND($E4631*IF(ISNA(MATCH($C4631,'Paramètres'!$D:$D,0)),1,IF(INDEX('Paramètres'!$J:$J,MATCH($C4631,'Paramètres'!$D:$D,0))="",1,INDEX('Paramètres'!$J:$J,MATCH($C4631,'Paramètres'!$D:$D,0)))),2))</f>
        <v/>
      </c>
      <c r="L4631" s="6" t="str">
        <f>IF($D4631="","",IF($F4631&lt;&gt;"",$F4631,IF(ISNA(MATCH($D4631,'Paramètres'!$M:$M,0)),"⚠ Type inconnu",IFERROR(INDEX('Paramètres'!$P:$P,MATCH($D4631,'Paramètres'!$M:$M,0))&amp;"",""))))</f>
        <v/>
      </c>
      <c r="M4631" s="6" t="str">
        <f>IF($D4631="","",IF(ISNA(MATCH($D4631,'Paramètres'!$M:$M,0)),"⚠ Type inconnu",IF($L4631="Crédit","",IFERROR(INDEX('Paramètres'!$O:$O,MATCH($D4631,'Paramètres'!$M:$M,0))&amp;"",""))))</f>
        <v/>
      </c>
      <c r="N4631" s="6" t="str">
        <f>IF($D4631="","",IFERROR(INDEX('Paramètres'!$Q:$Q,MATCH($D4631,'Paramètres'!$M:$M,0))&amp;"",""))</f>
        <v/>
      </c>
      <c r="O4631" s="6" t="str">
        <f>IF($A4631="","",IF(OR($J4631&lt;&gt;"x",$A4631&lt;=FinReleve),1,0))</f>
        <v/>
      </c>
      <c r="P4631" s="6" t="str">
        <f>IF($D4631="","",IF(AND($L4631="Crédit",OR(IFERROR(INDEX('Paramètres'!$O:$O,MATCH($D4631,'Paramètres'!$M:$M,0))&amp;"","")&lt;&gt;"",ISNUMBER(SEARCH("remboursement",IFERROR(INDEX('Paramètres'!$N:$N,MATCH($D4631,'Paramètres'!$M:$M,0))&amp;"",""))))),1,0))</f>
        <v/>
      </c>
      <c r="Q4631" s="6" t="str">
        <f>IF($K4631="","",IF(ISNUMBER(SEARCH("transfert-interne",IFERROR(INDEX('Paramètres'!$N:$N,MATCH($D4631,'Paramètres'!$M:$M,0))&amp;"",""))),0,IF($L4631="Débit",$K4631,IF($P4631=1,-$K4631,0))))</f>
        <v/>
      </c>
      <c r="R4631" s="6" t="str">
        <f>IF($K4631="","",IF($L4631="Crédit",$K4631,-$K4631))</f>
        <v/>
      </c>
      <c r="S4631" s="6" t="str">
        <f>IF($C4631="","",IFERROR(INDEX('Paramètres'!$H:$H,MATCH($C4631,'Paramètres'!$D:$D,0))&amp;"",""))</f>
        <v/>
      </c>
      <c r="T4631" s="6" t="str">
        <f>IF($K4631="","",IF($S4631="",0,IF(ISNUMBER(SEARCH("apport-exterieur",IFERROR(INDEX('Paramètres'!$N:$N,MATCH($D4631,'Paramètres'!$M:$M,0))&amp;"",""))),0,IF(OR(IFERROR(INDEX('Paramètres'!$I:$I,MATCH($C4631,'Paramètres'!$D:$D,0))&amp;"","")="Les deux",IFERROR(INDEX('Paramètres'!$I:$I,MATCH($C4631,'Paramètres'!$D:$D,0))&amp;"","")=IF($P4631=1,"Débit",$L4631)),-IF($P4631=1,-$K4631,$K4631),0))))</f>
        <v/>
      </c>
      <c r="U4631" s="6" t="str">
        <f>IF($K4631="","",IF(ISNUMBER(SEARCH("sortie-epargne",IFERROR(INDEX('Paramètres'!$N:$N,MATCH($D4631,'Paramètres'!$M:$M,0))&amp;"",""))),$K4631,0))</f>
        <v/>
      </c>
      <c r="V4631" s="6" t="str">
        <f>IF(AND($A4631&lt;&gt;"",$O4631=1,$L4631="Débit",N($Q4631)&gt;0,$A4631&gt;=Visualisation!$B$1,$A4631&lt;Visualisation!$D$1),MAX($V$1:V4630)+1,"")</f>
        <v/>
      </c>
    </row>
    <row r="4632" spans="1:22" x14ac:dyDescent="0.25">
      <c r="A4632" s="9"/>
      <c r="E4632" s="10"/>
      <c r="K4632" s="11" t="str">
        <f>IF($E4632="","",ROUND($E4632*IF(ISNA(MATCH($C4632,'Paramètres'!$D:$D,0)),1,IF(INDEX('Paramètres'!$J:$J,MATCH($C4632,'Paramètres'!$D:$D,0))="",1,INDEX('Paramètres'!$J:$J,MATCH($C4632,'Paramètres'!$D:$D,0)))),2))</f>
        <v/>
      </c>
      <c r="L4632" s="6" t="str">
        <f>IF($D4632="","",IF($F4632&lt;&gt;"",$F4632,IF(ISNA(MATCH($D4632,'Paramètres'!$M:$M,0)),"⚠ Type inconnu",IFERROR(INDEX('Paramètres'!$P:$P,MATCH($D4632,'Paramètres'!$M:$M,0))&amp;"",""))))</f>
        <v/>
      </c>
      <c r="M4632" s="6" t="str">
        <f>IF($D4632="","",IF(ISNA(MATCH($D4632,'Paramètres'!$M:$M,0)),"⚠ Type inconnu",IF($L4632="Crédit","",IFERROR(INDEX('Paramètres'!$O:$O,MATCH($D4632,'Paramètres'!$M:$M,0))&amp;"",""))))</f>
        <v/>
      </c>
      <c r="N4632" s="6" t="str">
        <f>IF($D4632="","",IFERROR(INDEX('Paramètres'!$Q:$Q,MATCH($D4632,'Paramètres'!$M:$M,0))&amp;"",""))</f>
        <v/>
      </c>
      <c r="O4632" s="6" t="str">
        <f>IF($A4632="","",IF(OR($J4632&lt;&gt;"x",$A4632&lt;=FinReleve),1,0))</f>
        <v/>
      </c>
      <c r="P4632" s="6" t="str">
        <f>IF($D4632="","",IF(AND($L4632="Crédit",OR(IFERROR(INDEX('Paramètres'!$O:$O,MATCH($D4632,'Paramètres'!$M:$M,0))&amp;"","")&lt;&gt;"",ISNUMBER(SEARCH("remboursement",IFERROR(INDEX('Paramètres'!$N:$N,MATCH($D4632,'Paramètres'!$M:$M,0))&amp;"",""))))),1,0))</f>
        <v/>
      </c>
      <c r="Q4632" s="6" t="str">
        <f>IF($K4632="","",IF(ISNUMBER(SEARCH("transfert-interne",IFERROR(INDEX('Paramètres'!$N:$N,MATCH($D4632,'Paramètres'!$M:$M,0))&amp;"",""))),0,IF($L4632="Débit",$K4632,IF($P4632=1,-$K4632,0))))</f>
        <v/>
      </c>
      <c r="R4632" s="6" t="str">
        <f>IF($K4632="","",IF($L4632="Crédit",$K4632,-$K4632))</f>
        <v/>
      </c>
      <c r="S4632" s="6" t="str">
        <f>IF($C4632="","",IFERROR(INDEX('Paramètres'!$H:$H,MATCH($C4632,'Paramètres'!$D:$D,0))&amp;"",""))</f>
        <v/>
      </c>
      <c r="T4632" s="6" t="str">
        <f>IF($K4632="","",IF($S4632="",0,IF(ISNUMBER(SEARCH("apport-exterieur",IFERROR(INDEX('Paramètres'!$N:$N,MATCH($D4632,'Paramètres'!$M:$M,0))&amp;"",""))),0,IF(OR(IFERROR(INDEX('Paramètres'!$I:$I,MATCH($C4632,'Paramètres'!$D:$D,0))&amp;"","")="Les deux",IFERROR(INDEX('Paramètres'!$I:$I,MATCH($C4632,'Paramètres'!$D:$D,0))&amp;"","")=IF($P4632=1,"Débit",$L4632)),-IF($P4632=1,-$K4632,$K4632),0))))</f>
        <v/>
      </c>
      <c r="U4632" s="6" t="str">
        <f>IF($K4632="","",IF(ISNUMBER(SEARCH("sortie-epargne",IFERROR(INDEX('Paramètres'!$N:$N,MATCH($D4632,'Paramètres'!$M:$M,0))&amp;"",""))),$K4632,0))</f>
        <v/>
      </c>
      <c r="V4632" s="6" t="str">
        <f>IF(AND($A4632&lt;&gt;"",$O4632=1,$L4632="Débit",N($Q4632)&gt;0,$A4632&gt;=Visualisation!$B$1,$A4632&lt;Visualisation!$D$1),MAX($V$1:V4631)+1,"")</f>
        <v/>
      </c>
    </row>
    <row r="4633" spans="1:22" x14ac:dyDescent="0.25">
      <c r="A4633" s="9"/>
      <c r="E4633" s="10"/>
      <c r="K4633" s="11" t="str">
        <f>IF($E4633="","",ROUND($E4633*IF(ISNA(MATCH($C4633,'Paramètres'!$D:$D,0)),1,IF(INDEX('Paramètres'!$J:$J,MATCH($C4633,'Paramètres'!$D:$D,0))="",1,INDEX('Paramètres'!$J:$J,MATCH($C4633,'Paramètres'!$D:$D,0)))),2))</f>
        <v/>
      </c>
      <c r="L4633" s="6" t="str">
        <f>IF($D4633="","",IF($F4633&lt;&gt;"",$F4633,IF(ISNA(MATCH($D4633,'Paramètres'!$M:$M,0)),"⚠ Type inconnu",IFERROR(INDEX('Paramètres'!$P:$P,MATCH($D4633,'Paramètres'!$M:$M,0))&amp;"",""))))</f>
        <v/>
      </c>
      <c r="M4633" s="6" t="str">
        <f>IF($D4633="","",IF(ISNA(MATCH($D4633,'Paramètres'!$M:$M,0)),"⚠ Type inconnu",IF($L4633="Crédit","",IFERROR(INDEX('Paramètres'!$O:$O,MATCH($D4633,'Paramètres'!$M:$M,0))&amp;"",""))))</f>
        <v/>
      </c>
      <c r="N4633" s="6" t="str">
        <f>IF($D4633="","",IFERROR(INDEX('Paramètres'!$Q:$Q,MATCH($D4633,'Paramètres'!$M:$M,0))&amp;"",""))</f>
        <v/>
      </c>
      <c r="O4633" s="6" t="str">
        <f>IF($A4633="","",IF(OR($J4633&lt;&gt;"x",$A4633&lt;=FinReleve),1,0))</f>
        <v/>
      </c>
      <c r="P4633" s="6" t="str">
        <f>IF($D4633="","",IF(AND($L4633="Crédit",OR(IFERROR(INDEX('Paramètres'!$O:$O,MATCH($D4633,'Paramètres'!$M:$M,0))&amp;"","")&lt;&gt;"",ISNUMBER(SEARCH("remboursement",IFERROR(INDEX('Paramètres'!$N:$N,MATCH($D4633,'Paramètres'!$M:$M,0))&amp;"",""))))),1,0))</f>
        <v/>
      </c>
      <c r="Q4633" s="6" t="str">
        <f>IF($K4633="","",IF(ISNUMBER(SEARCH("transfert-interne",IFERROR(INDEX('Paramètres'!$N:$N,MATCH($D4633,'Paramètres'!$M:$M,0))&amp;"",""))),0,IF($L4633="Débit",$K4633,IF($P4633=1,-$K4633,0))))</f>
        <v/>
      </c>
      <c r="R4633" s="6" t="str">
        <f>IF($K4633="","",IF($L4633="Crédit",$K4633,-$K4633))</f>
        <v/>
      </c>
      <c r="S4633" s="6" t="str">
        <f>IF($C4633="","",IFERROR(INDEX('Paramètres'!$H:$H,MATCH($C4633,'Paramètres'!$D:$D,0))&amp;"",""))</f>
        <v/>
      </c>
      <c r="T4633" s="6" t="str">
        <f>IF($K4633="","",IF($S4633="",0,IF(ISNUMBER(SEARCH("apport-exterieur",IFERROR(INDEX('Paramètres'!$N:$N,MATCH($D4633,'Paramètres'!$M:$M,0))&amp;"",""))),0,IF(OR(IFERROR(INDEX('Paramètres'!$I:$I,MATCH($C4633,'Paramètres'!$D:$D,0))&amp;"","")="Les deux",IFERROR(INDEX('Paramètres'!$I:$I,MATCH($C4633,'Paramètres'!$D:$D,0))&amp;"","")=IF($P4633=1,"Débit",$L4633)),-IF($P4633=1,-$K4633,$K4633),0))))</f>
        <v/>
      </c>
      <c r="U4633" s="6" t="str">
        <f>IF($K4633="","",IF(ISNUMBER(SEARCH("sortie-epargne",IFERROR(INDEX('Paramètres'!$N:$N,MATCH($D4633,'Paramètres'!$M:$M,0))&amp;"",""))),$K4633,0))</f>
        <v/>
      </c>
      <c r="V4633" s="6" t="str">
        <f>IF(AND($A4633&lt;&gt;"",$O4633=1,$L4633="Débit",N($Q4633)&gt;0,$A4633&gt;=Visualisation!$B$1,$A4633&lt;Visualisation!$D$1),MAX($V$1:V4632)+1,"")</f>
        <v/>
      </c>
    </row>
    <row r="4634" spans="1:22" x14ac:dyDescent="0.25">
      <c r="A4634" s="9"/>
      <c r="E4634" s="10"/>
      <c r="K4634" s="11" t="str">
        <f>IF($E4634="","",ROUND($E4634*IF(ISNA(MATCH($C4634,'Paramètres'!$D:$D,0)),1,IF(INDEX('Paramètres'!$J:$J,MATCH($C4634,'Paramètres'!$D:$D,0))="",1,INDEX('Paramètres'!$J:$J,MATCH($C4634,'Paramètres'!$D:$D,0)))),2))</f>
        <v/>
      </c>
      <c r="L4634" s="6" t="str">
        <f>IF($D4634="","",IF($F4634&lt;&gt;"",$F4634,IF(ISNA(MATCH($D4634,'Paramètres'!$M:$M,0)),"⚠ Type inconnu",IFERROR(INDEX('Paramètres'!$P:$P,MATCH($D4634,'Paramètres'!$M:$M,0))&amp;"",""))))</f>
        <v/>
      </c>
      <c r="M4634" s="6" t="str">
        <f>IF($D4634="","",IF(ISNA(MATCH($D4634,'Paramètres'!$M:$M,0)),"⚠ Type inconnu",IF($L4634="Crédit","",IFERROR(INDEX('Paramètres'!$O:$O,MATCH($D4634,'Paramètres'!$M:$M,0))&amp;"",""))))</f>
        <v/>
      </c>
      <c r="N4634" s="6" t="str">
        <f>IF($D4634="","",IFERROR(INDEX('Paramètres'!$Q:$Q,MATCH($D4634,'Paramètres'!$M:$M,0))&amp;"",""))</f>
        <v/>
      </c>
      <c r="O4634" s="6" t="str">
        <f>IF($A4634="","",IF(OR($J4634&lt;&gt;"x",$A4634&lt;=FinReleve),1,0))</f>
        <v/>
      </c>
      <c r="P4634" s="6" t="str">
        <f>IF($D4634="","",IF(AND($L4634="Crédit",OR(IFERROR(INDEX('Paramètres'!$O:$O,MATCH($D4634,'Paramètres'!$M:$M,0))&amp;"","")&lt;&gt;"",ISNUMBER(SEARCH("remboursement",IFERROR(INDEX('Paramètres'!$N:$N,MATCH($D4634,'Paramètres'!$M:$M,0))&amp;"",""))))),1,0))</f>
        <v/>
      </c>
      <c r="Q4634" s="6" t="str">
        <f>IF($K4634="","",IF(ISNUMBER(SEARCH("transfert-interne",IFERROR(INDEX('Paramètres'!$N:$N,MATCH($D4634,'Paramètres'!$M:$M,0))&amp;"",""))),0,IF($L4634="Débit",$K4634,IF($P4634=1,-$K4634,0))))</f>
        <v/>
      </c>
      <c r="R4634" s="6" t="str">
        <f>IF($K4634="","",IF($L4634="Crédit",$K4634,-$K4634))</f>
        <v/>
      </c>
      <c r="S4634" s="6" t="str">
        <f>IF($C4634="","",IFERROR(INDEX('Paramètres'!$H:$H,MATCH($C4634,'Paramètres'!$D:$D,0))&amp;"",""))</f>
        <v/>
      </c>
      <c r="T4634" s="6" t="str">
        <f>IF($K4634="","",IF($S4634="",0,IF(ISNUMBER(SEARCH("apport-exterieur",IFERROR(INDEX('Paramètres'!$N:$N,MATCH($D4634,'Paramètres'!$M:$M,0))&amp;"",""))),0,IF(OR(IFERROR(INDEX('Paramètres'!$I:$I,MATCH($C4634,'Paramètres'!$D:$D,0))&amp;"","")="Les deux",IFERROR(INDEX('Paramètres'!$I:$I,MATCH($C4634,'Paramètres'!$D:$D,0))&amp;"","")=IF($P4634=1,"Débit",$L4634)),-IF($P4634=1,-$K4634,$K4634),0))))</f>
        <v/>
      </c>
      <c r="U4634" s="6" t="str">
        <f>IF($K4634="","",IF(ISNUMBER(SEARCH("sortie-epargne",IFERROR(INDEX('Paramètres'!$N:$N,MATCH($D4634,'Paramètres'!$M:$M,0))&amp;"",""))),$K4634,0))</f>
        <v/>
      </c>
      <c r="V4634" s="6" t="str">
        <f>IF(AND($A4634&lt;&gt;"",$O4634=1,$L4634="Débit",N($Q4634)&gt;0,$A4634&gt;=Visualisation!$B$1,$A4634&lt;Visualisation!$D$1),MAX($V$1:V4633)+1,"")</f>
        <v/>
      </c>
    </row>
    <row r="4635" spans="1:22" x14ac:dyDescent="0.25">
      <c r="A4635" s="9"/>
      <c r="E4635" s="10"/>
      <c r="K4635" s="11" t="str">
        <f>IF($E4635="","",ROUND($E4635*IF(ISNA(MATCH($C4635,'Paramètres'!$D:$D,0)),1,IF(INDEX('Paramètres'!$J:$J,MATCH($C4635,'Paramètres'!$D:$D,0))="",1,INDEX('Paramètres'!$J:$J,MATCH($C4635,'Paramètres'!$D:$D,0)))),2))</f>
        <v/>
      </c>
      <c r="L4635" s="6" t="str">
        <f>IF($D4635="","",IF($F4635&lt;&gt;"",$F4635,IF(ISNA(MATCH($D4635,'Paramètres'!$M:$M,0)),"⚠ Type inconnu",IFERROR(INDEX('Paramètres'!$P:$P,MATCH($D4635,'Paramètres'!$M:$M,0))&amp;"",""))))</f>
        <v/>
      </c>
      <c r="M4635" s="6" t="str">
        <f>IF($D4635="","",IF(ISNA(MATCH($D4635,'Paramètres'!$M:$M,0)),"⚠ Type inconnu",IF($L4635="Crédit","",IFERROR(INDEX('Paramètres'!$O:$O,MATCH($D4635,'Paramètres'!$M:$M,0))&amp;"",""))))</f>
        <v/>
      </c>
      <c r="N4635" s="6" t="str">
        <f>IF($D4635="","",IFERROR(INDEX('Paramètres'!$Q:$Q,MATCH($D4635,'Paramètres'!$M:$M,0))&amp;"",""))</f>
        <v/>
      </c>
      <c r="O4635" s="6" t="str">
        <f>IF($A4635="","",IF(OR($J4635&lt;&gt;"x",$A4635&lt;=FinReleve),1,0))</f>
        <v/>
      </c>
      <c r="P4635" s="6" t="str">
        <f>IF($D4635="","",IF(AND($L4635="Crédit",OR(IFERROR(INDEX('Paramètres'!$O:$O,MATCH($D4635,'Paramètres'!$M:$M,0))&amp;"","")&lt;&gt;"",ISNUMBER(SEARCH("remboursement",IFERROR(INDEX('Paramètres'!$N:$N,MATCH($D4635,'Paramètres'!$M:$M,0))&amp;"",""))))),1,0))</f>
        <v/>
      </c>
      <c r="Q4635" s="6" t="str">
        <f>IF($K4635="","",IF(ISNUMBER(SEARCH("transfert-interne",IFERROR(INDEX('Paramètres'!$N:$N,MATCH($D4635,'Paramètres'!$M:$M,0))&amp;"",""))),0,IF($L4635="Débit",$K4635,IF($P4635=1,-$K4635,0))))</f>
        <v/>
      </c>
      <c r="R4635" s="6" t="str">
        <f>IF($K4635="","",IF($L4635="Crédit",$K4635,-$K4635))</f>
        <v/>
      </c>
      <c r="S4635" s="6" t="str">
        <f>IF($C4635="","",IFERROR(INDEX('Paramètres'!$H:$H,MATCH($C4635,'Paramètres'!$D:$D,0))&amp;"",""))</f>
        <v/>
      </c>
      <c r="T4635" s="6" t="str">
        <f>IF($K4635="","",IF($S4635="",0,IF(ISNUMBER(SEARCH("apport-exterieur",IFERROR(INDEX('Paramètres'!$N:$N,MATCH($D4635,'Paramètres'!$M:$M,0))&amp;"",""))),0,IF(OR(IFERROR(INDEX('Paramètres'!$I:$I,MATCH($C4635,'Paramètres'!$D:$D,0))&amp;"","")="Les deux",IFERROR(INDEX('Paramètres'!$I:$I,MATCH($C4635,'Paramètres'!$D:$D,0))&amp;"","")=IF($P4635=1,"Débit",$L4635)),-IF($P4635=1,-$K4635,$K4635),0))))</f>
        <v/>
      </c>
      <c r="U4635" s="6" t="str">
        <f>IF($K4635="","",IF(ISNUMBER(SEARCH("sortie-epargne",IFERROR(INDEX('Paramètres'!$N:$N,MATCH($D4635,'Paramètres'!$M:$M,0))&amp;"",""))),$K4635,0))</f>
        <v/>
      </c>
      <c r="V4635" s="6" t="str">
        <f>IF(AND($A4635&lt;&gt;"",$O4635=1,$L4635="Débit",N($Q4635)&gt;0,$A4635&gt;=Visualisation!$B$1,$A4635&lt;Visualisation!$D$1),MAX($V$1:V4634)+1,"")</f>
        <v/>
      </c>
    </row>
    <row r="4636" spans="1:22" x14ac:dyDescent="0.25">
      <c r="A4636" s="9"/>
      <c r="E4636" s="10"/>
      <c r="K4636" s="11" t="str">
        <f>IF($E4636="","",ROUND($E4636*IF(ISNA(MATCH($C4636,'Paramètres'!$D:$D,0)),1,IF(INDEX('Paramètres'!$J:$J,MATCH($C4636,'Paramètres'!$D:$D,0))="",1,INDEX('Paramètres'!$J:$J,MATCH($C4636,'Paramètres'!$D:$D,0)))),2))</f>
        <v/>
      </c>
      <c r="L4636" s="6" t="str">
        <f>IF($D4636="","",IF($F4636&lt;&gt;"",$F4636,IF(ISNA(MATCH($D4636,'Paramètres'!$M:$M,0)),"⚠ Type inconnu",IFERROR(INDEX('Paramètres'!$P:$P,MATCH($D4636,'Paramètres'!$M:$M,0))&amp;"",""))))</f>
        <v/>
      </c>
      <c r="M4636" s="6" t="str">
        <f>IF($D4636="","",IF(ISNA(MATCH($D4636,'Paramètres'!$M:$M,0)),"⚠ Type inconnu",IF($L4636="Crédit","",IFERROR(INDEX('Paramètres'!$O:$O,MATCH($D4636,'Paramètres'!$M:$M,0))&amp;"",""))))</f>
        <v/>
      </c>
      <c r="N4636" s="6" t="str">
        <f>IF($D4636="","",IFERROR(INDEX('Paramètres'!$Q:$Q,MATCH($D4636,'Paramètres'!$M:$M,0))&amp;"",""))</f>
        <v/>
      </c>
      <c r="O4636" s="6" t="str">
        <f>IF($A4636="","",IF(OR($J4636&lt;&gt;"x",$A4636&lt;=FinReleve),1,0))</f>
        <v/>
      </c>
      <c r="P4636" s="6" t="str">
        <f>IF($D4636="","",IF(AND($L4636="Crédit",OR(IFERROR(INDEX('Paramètres'!$O:$O,MATCH($D4636,'Paramètres'!$M:$M,0))&amp;"","")&lt;&gt;"",ISNUMBER(SEARCH("remboursement",IFERROR(INDEX('Paramètres'!$N:$N,MATCH($D4636,'Paramètres'!$M:$M,0))&amp;"",""))))),1,0))</f>
        <v/>
      </c>
      <c r="Q4636" s="6" t="str">
        <f>IF($K4636="","",IF(ISNUMBER(SEARCH("transfert-interne",IFERROR(INDEX('Paramètres'!$N:$N,MATCH($D4636,'Paramètres'!$M:$M,0))&amp;"",""))),0,IF($L4636="Débit",$K4636,IF($P4636=1,-$K4636,0))))</f>
        <v/>
      </c>
      <c r="R4636" s="6" t="str">
        <f>IF($K4636="","",IF($L4636="Crédit",$K4636,-$K4636))</f>
        <v/>
      </c>
      <c r="S4636" s="6" t="str">
        <f>IF($C4636="","",IFERROR(INDEX('Paramètres'!$H:$H,MATCH($C4636,'Paramètres'!$D:$D,0))&amp;"",""))</f>
        <v/>
      </c>
      <c r="T4636" s="6" t="str">
        <f>IF($K4636="","",IF($S4636="",0,IF(ISNUMBER(SEARCH("apport-exterieur",IFERROR(INDEX('Paramètres'!$N:$N,MATCH($D4636,'Paramètres'!$M:$M,0))&amp;"",""))),0,IF(OR(IFERROR(INDEX('Paramètres'!$I:$I,MATCH($C4636,'Paramètres'!$D:$D,0))&amp;"","")="Les deux",IFERROR(INDEX('Paramètres'!$I:$I,MATCH($C4636,'Paramètres'!$D:$D,0))&amp;"","")=IF($P4636=1,"Débit",$L4636)),-IF($P4636=1,-$K4636,$K4636),0))))</f>
        <v/>
      </c>
      <c r="U4636" s="6" t="str">
        <f>IF($K4636="","",IF(ISNUMBER(SEARCH("sortie-epargne",IFERROR(INDEX('Paramètres'!$N:$N,MATCH($D4636,'Paramètres'!$M:$M,0))&amp;"",""))),$K4636,0))</f>
        <v/>
      </c>
      <c r="V4636" s="6" t="str">
        <f>IF(AND($A4636&lt;&gt;"",$O4636=1,$L4636="Débit",N($Q4636)&gt;0,$A4636&gt;=Visualisation!$B$1,$A4636&lt;Visualisation!$D$1),MAX($V$1:V4635)+1,"")</f>
        <v/>
      </c>
    </row>
    <row r="4637" spans="1:22" x14ac:dyDescent="0.25">
      <c r="A4637" s="9"/>
      <c r="E4637" s="10"/>
      <c r="K4637" s="11" t="str">
        <f>IF($E4637="","",ROUND($E4637*IF(ISNA(MATCH($C4637,'Paramètres'!$D:$D,0)),1,IF(INDEX('Paramètres'!$J:$J,MATCH($C4637,'Paramètres'!$D:$D,0))="",1,INDEX('Paramètres'!$J:$J,MATCH($C4637,'Paramètres'!$D:$D,0)))),2))</f>
        <v/>
      </c>
      <c r="L4637" s="6" t="str">
        <f>IF($D4637="","",IF($F4637&lt;&gt;"",$F4637,IF(ISNA(MATCH($D4637,'Paramètres'!$M:$M,0)),"⚠ Type inconnu",IFERROR(INDEX('Paramètres'!$P:$P,MATCH($D4637,'Paramètres'!$M:$M,0))&amp;"",""))))</f>
        <v/>
      </c>
      <c r="M4637" s="6" t="str">
        <f>IF($D4637="","",IF(ISNA(MATCH($D4637,'Paramètres'!$M:$M,0)),"⚠ Type inconnu",IF($L4637="Crédit","",IFERROR(INDEX('Paramètres'!$O:$O,MATCH($D4637,'Paramètres'!$M:$M,0))&amp;"",""))))</f>
        <v/>
      </c>
      <c r="N4637" s="6" t="str">
        <f>IF($D4637="","",IFERROR(INDEX('Paramètres'!$Q:$Q,MATCH($D4637,'Paramètres'!$M:$M,0))&amp;"",""))</f>
        <v/>
      </c>
      <c r="O4637" s="6" t="str">
        <f>IF($A4637="","",IF(OR($J4637&lt;&gt;"x",$A4637&lt;=FinReleve),1,0))</f>
        <v/>
      </c>
      <c r="P4637" s="6" t="str">
        <f>IF($D4637="","",IF(AND($L4637="Crédit",OR(IFERROR(INDEX('Paramètres'!$O:$O,MATCH($D4637,'Paramètres'!$M:$M,0))&amp;"","")&lt;&gt;"",ISNUMBER(SEARCH("remboursement",IFERROR(INDEX('Paramètres'!$N:$N,MATCH($D4637,'Paramètres'!$M:$M,0))&amp;"",""))))),1,0))</f>
        <v/>
      </c>
      <c r="Q4637" s="6" t="str">
        <f>IF($K4637="","",IF(ISNUMBER(SEARCH("transfert-interne",IFERROR(INDEX('Paramètres'!$N:$N,MATCH($D4637,'Paramètres'!$M:$M,0))&amp;"",""))),0,IF($L4637="Débit",$K4637,IF($P4637=1,-$K4637,0))))</f>
        <v/>
      </c>
      <c r="R4637" s="6" t="str">
        <f>IF($K4637="","",IF($L4637="Crédit",$K4637,-$K4637))</f>
        <v/>
      </c>
      <c r="S4637" s="6" t="str">
        <f>IF($C4637="","",IFERROR(INDEX('Paramètres'!$H:$H,MATCH($C4637,'Paramètres'!$D:$D,0))&amp;"",""))</f>
        <v/>
      </c>
      <c r="T4637" s="6" t="str">
        <f>IF($K4637="","",IF($S4637="",0,IF(ISNUMBER(SEARCH("apport-exterieur",IFERROR(INDEX('Paramètres'!$N:$N,MATCH($D4637,'Paramètres'!$M:$M,0))&amp;"",""))),0,IF(OR(IFERROR(INDEX('Paramètres'!$I:$I,MATCH($C4637,'Paramètres'!$D:$D,0))&amp;"","")="Les deux",IFERROR(INDEX('Paramètres'!$I:$I,MATCH($C4637,'Paramètres'!$D:$D,0))&amp;"","")=IF($P4637=1,"Débit",$L4637)),-IF($P4637=1,-$K4637,$K4637),0))))</f>
        <v/>
      </c>
      <c r="U4637" s="6" t="str">
        <f>IF($K4637="","",IF(ISNUMBER(SEARCH("sortie-epargne",IFERROR(INDEX('Paramètres'!$N:$N,MATCH($D4637,'Paramètres'!$M:$M,0))&amp;"",""))),$K4637,0))</f>
        <v/>
      </c>
      <c r="V4637" s="6" t="str">
        <f>IF(AND($A4637&lt;&gt;"",$O4637=1,$L4637="Débit",N($Q4637)&gt;0,$A4637&gt;=Visualisation!$B$1,$A4637&lt;Visualisation!$D$1),MAX($V$1:V4636)+1,"")</f>
        <v/>
      </c>
    </row>
    <row r="4638" spans="1:22" x14ac:dyDescent="0.25">
      <c r="A4638" s="9"/>
      <c r="E4638" s="10"/>
      <c r="K4638" s="11" t="str">
        <f>IF($E4638="","",ROUND($E4638*IF(ISNA(MATCH($C4638,'Paramètres'!$D:$D,0)),1,IF(INDEX('Paramètres'!$J:$J,MATCH($C4638,'Paramètres'!$D:$D,0))="",1,INDEX('Paramètres'!$J:$J,MATCH($C4638,'Paramètres'!$D:$D,0)))),2))</f>
        <v/>
      </c>
      <c r="L4638" s="6" t="str">
        <f>IF($D4638="","",IF($F4638&lt;&gt;"",$F4638,IF(ISNA(MATCH($D4638,'Paramètres'!$M:$M,0)),"⚠ Type inconnu",IFERROR(INDEX('Paramètres'!$P:$P,MATCH($D4638,'Paramètres'!$M:$M,0))&amp;"",""))))</f>
        <v/>
      </c>
      <c r="M4638" s="6" t="str">
        <f>IF($D4638="","",IF(ISNA(MATCH($D4638,'Paramètres'!$M:$M,0)),"⚠ Type inconnu",IF($L4638="Crédit","",IFERROR(INDEX('Paramètres'!$O:$O,MATCH($D4638,'Paramètres'!$M:$M,0))&amp;"",""))))</f>
        <v/>
      </c>
      <c r="N4638" s="6" t="str">
        <f>IF($D4638="","",IFERROR(INDEX('Paramètres'!$Q:$Q,MATCH($D4638,'Paramètres'!$M:$M,0))&amp;"",""))</f>
        <v/>
      </c>
      <c r="O4638" s="6" t="str">
        <f>IF($A4638="","",IF(OR($J4638&lt;&gt;"x",$A4638&lt;=FinReleve),1,0))</f>
        <v/>
      </c>
      <c r="P4638" s="6" t="str">
        <f>IF($D4638="","",IF(AND($L4638="Crédit",OR(IFERROR(INDEX('Paramètres'!$O:$O,MATCH($D4638,'Paramètres'!$M:$M,0))&amp;"","")&lt;&gt;"",ISNUMBER(SEARCH("remboursement",IFERROR(INDEX('Paramètres'!$N:$N,MATCH($D4638,'Paramètres'!$M:$M,0))&amp;"",""))))),1,0))</f>
        <v/>
      </c>
      <c r="Q4638" s="6" t="str">
        <f>IF($K4638="","",IF(ISNUMBER(SEARCH("transfert-interne",IFERROR(INDEX('Paramètres'!$N:$N,MATCH($D4638,'Paramètres'!$M:$M,0))&amp;"",""))),0,IF($L4638="Débit",$K4638,IF($P4638=1,-$K4638,0))))</f>
        <v/>
      </c>
      <c r="R4638" s="6" t="str">
        <f>IF($K4638="","",IF($L4638="Crédit",$K4638,-$K4638))</f>
        <v/>
      </c>
      <c r="S4638" s="6" t="str">
        <f>IF($C4638="","",IFERROR(INDEX('Paramètres'!$H:$H,MATCH($C4638,'Paramètres'!$D:$D,0))&amp;"",""))</f>
        <v/>
      </c>
      <c r="T4638" s="6" t="str">
        <f>IF($K4638="","",IF($S4638="",0,IF(ISNUMBER(SEARCH("apport-exterieur",IFERROR(INDEX('Paramètres'!$N:$N,MATCH($D4638,'Paramètres'!$M:$M,0))&amp;"",""))),0,IF(OR(IFERROR(INDEX('Paramètres'!$I:$I,MATCH($C4638,'Paramètres'!$D:$D,0))&amp;"","")="Les deux",IFERROR(INDEX('Paramètres'!$I:$I,MATCH($C4638,'Paramètres'!$D:$D,0))&amp;"","")=IF($P4638=1,"Débit",$L4638)),-IF($P4638=1,-$K4638,$K4638),0))))</f>
        <v/>
      </c>
      <c r="U4638" s="6" t="str">
        <f>IF($K4638="","",IF(ISNUMBER(SEARCH("sortie-epargne",IFERROR(INDEX('Paramètres'!$N:$N,MATCH($D4638,'Paramètres'!$M:$M,0))&amp;"",""))),$K4638,0))</f>
        <v/>
      </c>
      <c r="V4638" s="6" t="str">
        <f>IF(AND($A4638&lt;&gt;"",$O4638=1,$L4638="Débit",N($Q4638)&gt;0,$A4638&gt;=Visualisation!$B$1,$A4638&lt;Visualisation!$D$1),MAX($V$1:V4637)+1,"")</f>
        <v/>
      </c>
    </row>
    <row r="4639" spans="1:22" x14ac:dyDescent="0.25">
      <c r="A4639" s="9"/>
      <c r="E4639" s="10"/>
      <c r="K4639" s="11" t="str">
        <f>IF($E4639="","",ROUND($E4639*IF(ISNA(MATCH($C4639,'Paramètres'!$D:$D,0)),1,IF(INDEX('Paramètres'!$J:$J,MATCH($C4639,'Paramètres'!$D:$D,0))="",1,INDEX('Paramètres'!$J:$J,MATCH($C4639,'Paramètres'!$D:$D,0)))),2))</f>
        <v/>
      </c>
      <c r="L4639" s="6" t="str">
        <f>IF($D4639="","",IF($F4639&lt;&gt;"",$F4639,IF(ISNA(MATCH($D4639,'Paramètres'!$M:$M,0)),"⚠ Type inconnu",IFERROR(INDEX('Paramètres'!$P:$P,MATCH($D4639,'Paramètres'!$M:$M,0))&amp;"",""))))</f>
        <v/>
      </c>
      <c r="M4639" s="6" t="str">
        <f>IF($D4639="","",IF(ISNA(MATCH($D4639,'Paramètres'!$M:$M,0)),"⚠ Type inconnu",IF($L4639="Crédit","",IFERROR(INDEX('Paramètres'!$O:$O,MATCH($D4639,'Paramètres'!$M:$M,0))&amp;"",""))))</f>
        <v/>
      </c>
      <c r="N4639" s="6" t="str">
        <f>IF($D4639="","",IFERROR(INDEX('Paramètres'!$Q:$Q,MATCH($D4639,'Paramètres'!$M:$M,0))&amp;"",""))</f>
        <v/>
      </c>
      <c r="O4639" s="6" t="str">
        <f>IF($A4639="","",IF(OR($J4639&lt;&gt;"x",$A4639&lt;=FinReleve),1,0))</f>
        <v/>
      </c>
      <c r="P4639" s="6" t="str">
        <f>IF($D4639="","",IF(AND($L4639="Crédit",OR(IFERROR(INDEX('Paramètres'!$O:$O,MATCH($D4639,'Paramètres'!$M:$M,0))&amp;"","")&lt;&gt;"",ISNUMBER(SEARCH("remboursement",IFERROR(INDEX('Paramètres'!$N:$N,MATCH($D4639,'Paramètres'!$M:$M,0))&amp;"",""))))),1,0))</f>
        <v/>
      </c>
      <c r="Q4639" s="6" t="str">
        <f>IF($K4639="","",IF(ISNUMBER(SEARCH("transfert-interne",IFERROR(INDEX('Paramètres'!$N:$N,MATCH($D4639,'Paramètres'!$M:$M,0))&amp;"",""))),0,IF($L4639="Débit",$K4639,IF($P4639=1,-$K4639,0))))</f>
        <v/>
      </c>
      <c r="R4639" s="6" t="str">
        <f>IF($K4639="","",IF($L4639="Crédit",$K4639,-$K4639))</f>
        <v/>
      </c>
      <c r="S4639" s="6" t="str">
        <f>IF($C4639="","",IFERROR(INDEX('Paramètres'!$H:$H,MATCH($C4639,'Paramètres'!$D:$D,0))&amp;"",""))</f>
        <v/>
      </c>
      <c r="T4639" s="6" t="str">
        <f>IF($K4639="","",IF($S4639="",0,IF(ISNUMBER(SEARCH("apport-exterieur",IFERROR(INDEX('Paramètres'!$N:$N,MATCH($D4639,'Paramètres'!$M:$M,0))&amp;"",""))),0,IF(OR(IFERROR(INDEX('Paramètres'!$I:$I,MATCH($C4639,'Paramètres'!$D:$D,0))&amp;"","")="Les deux",IFERROR(INDEX('Paramètres'!$I:$I,MATCH($C4639,'Paramètres'!$D:$D,0))&amp;"","")=IF($P4639=1,"Débit",$L4639)),-IF($P4639=1,-$K4639,$K4639),0))))</f>
        <v/>
      </c>
      <c r="U4639" s="6" t="str">
        <f>IF($K4639="","",IF(ISNUMBER(SEARCH("sortie-epargne",IFERROR(INDEX('Paramètres'!$N:$N,MATCH($D4639,'Paramètres'!$M:$M,0))&amp;"",""))),$K4639,0))</f>
        <v/>
      </c>
      <c r="V4639" s="6" t="str">
        <f>IF(AND($A4639&lt;&gt;"",$O4639=1,$L4639="Débit",N($Q4639)&gt;0,$A4639&gt;=Visualisation!$B$1,$A4639&lt;Visualisation!$D$1),MAX($V$1:V4638)+1,"")</f>
        <v/>
      </c>
    </row>
    <row r="4640" spans="1:22" x14ac:dyDescent="0.25">
      <c r="A4640" s="9"/>
      <c r="E4640" s="10"/>
      <c r="K4640" s="11" t="str">
        <f>IF($E4640="","",ROUND($E4640*IF(ISNA(MATCH($C4640,'Paramètres'!$D:$D,0)),1,IF(INDEX('Paramètres'!$J:$J,MATCH($C4640,'Paramètres'!$D:$D,0))="",1,INDEX('Paramètres'!$J:$J,MATCH($C4640,'Paramètres'!$D:$D,0)))),2))</f>
        <v/>
      </c>
      <c r="L4640" s="6" t="str">
        <f>IF($D4640="","",IF($F4640&lt;&gt;"",$F4640,IF(ISNA(MATCH($D4640,'Paramètres'!$M:$M,0)),"⚠ Type inconnu",IFERROR(INDEX('Paramètres'!$P:$P,MATCH($D4640,'Paramètres'!$M:$M,0))&amp;"",""))))</f>
        <v/>
      </c>
      <c r="M4640" s="6" t="str">
        <f>IF($D4640="","",IF(ISNA(MATCH($D4640,'Paramètres'!$M:$M,0)),"⚠ Type inconnu",IF($L4640="Crédit","",IFERROR(INDEX('Paramètres'!$O:$O,MATCH($D4640,'Paramètres'!$M:$M,0))&amp;"",""))))</f>
        <v/>
      </c>
      <c r="N4640" s="6" t="str">
        <f>IF($D4640="","",IFERROR(INDEX('Paramètres'!$Q:$Q,MATCH($D4640,'Paramètres'!$M:$M,0))&amp;"",""))</f>
        <v/>
      </c>
      <c r="O4640" s="6" t="str">
        <f>IF($A4640="","",IF(OR($J4640&lt;&gt;"x",$A4640&lt;=FinReleve),1,0))</f>
        <v/>
      </c>
      <c r="P4640" s="6" t="str">
        <f>IF($D4640="","",IF(AND($L4640="Crédit",OR(IFERROR(INDEX('Paramètres'!$O:$O,MATCH($D4640,'Paramètres'!$M:$M,0))&amp;"","")&lt;&gt;"",ISNUMBER(SEARCH("remboursement",IFERROR(INDEX('Paramètres'!$N:$N,MATCH($D4640,'Paramètres'!$M:$M,0))&amp;"",""))))),1,0))</f>
        <v/>
      </c>
      <c r="Q4640" s="6" t="str">
        <f>IF($K4640="","",IF(ISNUMBER(SEARCH("transfert-interne",IFERROR(INDEX('Paramètres'!$N:$N,MATCH($D4640,'Paramètres'!$M:$M,0))&amp;"",""))),0,IF($L4640="Débit",$K4640,IF($P4640=1,-$K4640,0))))</f>
        <v/>
      </c>
      <c r="R4640" s="6" t="str">
        <f>IF($K4640="","",IF($L4640="Crédit",$K4640,-$K4640))</f>
        <v/>
      </c>
      <c r="S4640" s="6" t="str">
        <f>IF($C4640="","",IFERROR(INDEX('Paramètres'!$H:$H,MATCH($C4640,'Paramètres'!$D:$D,0))&amp;"",""))</f>
        <v/>
      </c>
      <c r="T4640" s="6" t="str">
        <f>IF($K4640="","",IF($S4640="",0,IF(ISNUMBER(SEARCH("apport-exterieur",IFERROR(INDEX('Paramètres'!$N:$N,MATCH($D4640,'Paramètres'!$M:$M,0))&amp;"",""))),0,IF(OR(IFERROR(INDEX('Paramètres'!$I:$I,MATCH($C4640,'Paramètres'!$D:$D,0))&amp;"","")="Les deux",IFERROR(INDEX('Paramètres'!$I:$I,MATCH($C4640,'Paramètres'!$D:$D,0))&amp;"","")=IF($P4640=1,"Débit",$L4640)),-IF($P4640=1,-$K4640,$K4640),0))))</f>
        <v/>
      </c>
      <c r="U4640" s="6" t="str">
        <f>IF($K4640="","",IF(ISNUMBER(SEARCH("sortie-epargne",IFERROR(INDEX('Paramètres'!$N:$N,MATCH($D4640,'Paramètres'!$M:$M,0))&amp;"",""))),$K4640,0))</f>
        <v/>
      </c>
      <c r="V4640" s="6" t="str">
        <f>IF(AND($A4640&lt;&gt;"",$O4640=1,$L4640="Débit",N($Q4640)&gt;0,$A4640&gt;=Visualisation!$B$1,$A4640&lt;Visualisation!$D$1),MAX($V$1:V4639)+1,"")</f>
        <v/>
      </c>
    </row>
    <row r="4641" spans="1:22" x14ac:dyDescent="0.25">
      <c r="A4641" s="9"/>
      <c r="E4641" s="10"/>
      <c r="K4641" s="11" t="str">
        <f>IF($E4641="","",ROUND($E4641*IF(ISNA(MATCH($C4641,'Paramètres'!$D:$D,0)),1,IF(INDEX('Paramètres'!$J:$J,MATCH($C4641,'Paramètres'!$D:$D,0))="",1,INDEX('Paramètres'!$J:$J,MATCH($C4641,'Paramètres'!$D:$D,0)))),2))</f>
        <v/>
      </c>
      <c r="L4641" s="6" t="str">
        <f>IF($D4641="","",IF($F4641&lt;&gt;"",$F4641,IF(ISNA(MATCH($D4641,'Paramètres'!$M:$M,0)),"⚠ Type inconnu",IFERROR(INDEX('Paramètres'!$P:$P,MATCH($D4641,'Paramètres'!$M:$M,0))&amp;"",""))))</f>
        <v/>
      </c>
      <c r="M4641" s="6" t="str">
        <f>IF($D4641="","",IF(ISNA(MATCH($D4641,'Paramètres'!$M:$M,0)),"⚠ Type inconnu",IF($L4641="Crédit","",IFERROR(INDEX('Paramètres'!$O:$O,MATCH($D4641,'Paramètres'!$M:$M,0))&amp;"",""))))</f>
        <v/>
      </c>
      <c r="N4641" s="6" t="str">
        <f>IF($D4641="","",IFERROR(INDEX('Paramètres'!$Q:$Q,MATCH($D4641,'Paramètres'!$M:$M,0))&amp;"",""))</f>
        <v/>
      </c>
      <c r="O4641" s="6" t="str">
        <f>IF($A4641="","",IF(OR($J4641&lt;&gt;"x",$A4641&lt;=FinReleve),1,0))</f>
        <v/>
      </c>
      <c r="P4641" s="6" t="str">
        <f>IF($D4641="","",IF(AND($L4641="Crédit",OR(IFERROR(INDEX('Paramètres'!$O:$O,MATCH($D4641,'Paramètres'!$M:$M,0))&amp;"","")&lt;&gt;"",ISNUMBER(SEARCH("remboursement",IFERROR(INDEX('Paramètres'!$N:$N,MATCH($D4641,'Paramètres'!$M:$M,0))&amp;"",""))))),1,0))</f>
        <v/>
      </c>
      <c r="Q4641" s="6" t="str">
        <f>IF($K4641="","",IF(ISNUMBER(SEARCH("transfert-interne",IFERROR(INDEX('Paramètres'!$N:$N,MATCH($D4641,'Paramètres'!$M:$M,0))&amp;"",""))),0,IF($L4641="Débit",$K4641,IF($P4641=1,-$K4641,0))))</f>
        <v/>
      </c>
      <c r="R4641" s="6" t="str">
        <f>IF($K4641="","",IF($L4641="Crédit",$K4641,-$K4641))</f>
        <v/>
      </c>
      <c r="S4641" s="6" t="str">
        <f>IF($C4641="","",IFERROR(INDEX('Paramètres'!$H:$H,MATCH($C4641,'Paramètres'!$D:$D,0))&amp;"",""))</f>
        <v/>
      </c>
      <c r="T4641" s="6" t="str">
        <f>IF($K4641="","",IF($S4641="",0,IF(ISNUMBER(SEARCH("apport-exterieur",IFERROR(INDEX('Paramètres'!$N:$N,MATCH($D4641,'Paramètres'!$M:$M,0))&amp;"",""))),0,IF(OR(IFERROR(INDEX('Paramètres'!$I:$I,MATCH($C4641,'Paramètres'!$D:$D,0))&amp;"","")="Les deux",IFERROR(INDEX('Paramètres'!$I:$I,MATCH($C4641,'Paramètres'!$D:$D,0))&amp;"","")=IF($P4641=1,"Débit",$L4641)),-IF($P4641=1,-$K4641,$K4641),0))))</f>
        <v/>
      </c>
      <c r="U4641" s="6" t="str">
        <f>IF($K4641="","",IF(ISNUMBER(SEARCH("sortie-epargne",IFERROR(INDEX('Paramètres'!$N:$N,MATCH($D4641,'Paramètres'!$M:$M,0))&amp;"",""))),$K4641,0))</f>
        <v/>
      </c>
      <c r="V4641" s="6" t="str">
        <f>IF(AND($A4641&lt;&gt;"",$O4641=1,$L4641="Débit",N($Q4641)&gt;0,$A4641&gt;=Visualisation!$B$1,$A4641&lt;Visualisation!$D$1),MAX($V$1:V4640)+1,"")</f>
        <v/>
      </c>
    </row>
    <row r="4642" spans="1:22" x14ac:dyDescent="0.25">
      <c r="A4642" s="9"/>
      <c r="E4642" s="10"/>
      <c r="K4642" s="11" t="str">
        <f>IF($E4642="","",ROUND($E4642*IF(ISNA(MATCH($C4642,'Paramètres'!$D:$D,0)),1,IF(INDEX('Paramètres'!$J:$J,MATCH($C4642,'Paramètres'!$D:$D,0))="",1,INDEX('Paramètres'!$J:$J,MATCH($C4642,'Paramètres'!$D:$D,0)))),2))</f>
        <v/>
      </c>
      <c r="L4642" s="6" t="str">
        <f>IF($D4642="","",IF($F4642&lt;&gt;"",$F4642,IF(ISNA(MATCH($D4642,'Paramètres'!$M:$M,0)),"⚠ Type inconnu",IFERROR(INDEX('Paramètres'!$P:$P,MATCH($D4642,'Paramètres'!$M:$M,0))&amp;"",""))))</f>
        <v/>
      </c>
      <c r="M4642" s="6" t="str">
        <f>IF($D4642="","",IF(ISNA(MATCH($D4642,'Paramètres'!$M:$M,0)),"⚠ Type inconnu",IF($L4642="Crédit","",IFERROR(INDEX('Paramètres'!$O:$O,MATCH($D4642,'Paramètres'!$M:$M,0))&amp;"",""))))</f>
        <v/>
      </c>
      <c r="N4642" s="6" t="str">
        <f>IF($D4642="","",IFERROR(INDEX('Paramètres'!$Q:$Q,MATCH($D4642,'Paramètres'!$M:$M,0))&amp;"",""))</f>
        <v/>
      </c>
      <c r="O4642" s="6" t="str">
        <f>IF($A4642="","",IF(OR($J4642&lt;&gt;"x",$A4642&lt;=FinReleve),1,0))</f>
        <v/>
      </c>
      <c r="P4642" s="6" t="str">
        <f>IF($D4642="","",IF(AND($L4642="Crédit",OR(IFERROR(INDEX('Paramètres'!$O:$O,MATCH($D4642,'Paramètres'!$M:$M,0))&amp;"","")&lt;&gt;"",ISNUMBER(SEARCH("remboursement",IFERROR(INDEX('Paramètres'!$N:$N,MATCH($D4642,'Paramètres'!$M:$M,0))&amp;"",""))))),1,0))</f>
        <v/>
      </c>
      <c r="Q4642" s="6" t="str">
        <f>IF($K4642="","",IF(ISNUMBER(SEARCH("transfert-interne",IFERROR(INDEX('Paramètres'!$N:$N,MATCH($D4642,'Paramètres'!$M:$M,0))&amp;"",""))),0,IF($L4642="Débit",$K4642,IF($P4642=1,-$K4642,0))))</f>
        <v/>
      </c>
      <c r="R4642" s="6" t="str">
        <f>IF($K4642="","",IF($L4642="Crédit",$K4642,-$K4642))</f>
        <v/>
      </c>
      <c r="S4642" s="6" t="str">
        <f>IF($C4642="","",IFERROR(INDEX('Paramètres'!$H:$H,MATCH($C4642,'Paramètres'!$D:$D,0))&amp;"",""))</f>
        <v/>
      </c>
      <c r="T4642" s="6" t="str">
        <f>IF($K4642="","",IF($S4642="",0,IF(ISNUMBER(SEARCH("apport-exterieur",IFERROR(INDEX('Paramètres'!$N:$N,MATCH($D4642,'Paramètres'!$M:$M,0))&amp;"",""))),0,IF(OR(IFERROR(INDEX('Paramètres'!$I:$I,MATCH($C4642,'Paramètres'!$D:$D,0))&amp;"","")="Les deux",IFERROR(INDEX('Paramètres'!$I:$I,MATCH($C4642,'Paramètres'!$D:$D,0))&amp;"","")=IF($P4642=1,"Débit",$L4642)),-IF($P4642=1,-$K4642,$K4642),0))))</f>
        <v/>
      </c>
      <c r="U4642" s="6" t="str">
        <f>IF($K4642="","",IF(ISNUMBER(SEARCH("sortie-epargne",IFERROR(INDEX('Paramètres'!$N:$N,MATCH($D4642,'Paramètres'!$M:$M,0))&amp;"",""))),$K4642,0))</f>
        <v/>
      </c>
      <c r="V4642" s="6" t="str">
        <f>IF(AND($A4642&lt;&gt;"",$O4642=1,$L4642="Débit",N($Q4642)&gt;0,$A4642&gt;=Visualisation!$B$1,$A4642&lt;Visualisation!$D$1),MAX($V$1:V4641)+1,"")</f>
        <v/>
      </c>
    </row>
    <row r="4643" spans="1:22" x14ac:dyDescent="0.25">
      <c r="A4643" s="9"/>
      <c r="E4643" s="10"/>
      <c r="K4643" s="11" t="str">
        <f>IF($E4643="","",ROUND($E4643*IF(ISNA(MATCH($C4643,'Paramètres'!$D:$D,0)),1,IF(INDEX('Paramètres'!$J:$J,MATCH($C4643,'Paramètres'!$D:$D,0))="",1,INDEX('Paramètres'!$J:$J,MATCH($C4643,'Paramètres'!$D:$D,0)))),2))</f>
        <v/>
      </c>
      <c r="L4643" s="6" t="str">
        <f>IF($D4643="","",IF($F4643&lt;&gt;"",$F4643,IF(ISNA(MATCH($D4643,'Paramètres'!$M:$M,0)),"⚠ Type inconnu",IFERROR(INDEX('Paramètres'!$P:$P,MATCH($D4643,'Paramètres'!$M:$M,0))&amp;"",""))))</f>
        <v/>
      </c>
      <c r="M4643" s="6" t="str">
        <f>IF($D4643="","",IF(ISNA(MATCH($D4643,'Paramètres'!$M:$M,0)),"⚠ Type inconnu",IF($L4643="Crédit","",IFERROR(INDEX('Paramètres'!$O:$O,MATCH($D4643,'Paramètres'!$M:$M,0))&amp;"",""))))</f>
        <v/>
      </c>
      <c r="N4643" s="6" t="str">
        <f>IF($D4643="","",IFERROR(INDEX('Paramètres'!$Q:$Q,MATCH($D4643,'Paramètres'!$M:$M,0))&amp;"",""))</f>
        <v/>
      </c>
      <c r="O4643" s="6" t="str">
        <f>IF($A4643="","",IF(OR($J4643&lt;&gt;"x",$A4643&lt;=FinReleve),1,0))</f>
        <v/>
      </c>
      <c r="P4643" s="6" t="str">
        <f>IF($D4643="","",IF(AND($L4643="Crédit",OR(IFERROR(INDEX('Paramètres'!$O:$O,MATCH($D4643,'Paramètres'!$M:$M,0))&amp;"","")&lt;&gt;"",ISNUMBER(SEARCH("remboursement",IFERROR(INDEX('Paramètres'!$N:$N,MATCH($D4643,'Paramètres'!$M:$M,0))&amp;"",""))))),1,0))</f>
        <v/>
      </c>
      <c r="Q4643" s="6" t="str">
        <f>IF($K4643="","",IF(ISNUMBER(SEARCH("transfert-interne",IFERROR(INDEX('Paramètres'!$N:$N,MATCH($D4643,'Paramètres'!$M:$M,0))&amp;"",""))),0,IF($L4643="Débit",$K4643,IF($P4643=1,-$K4643,0))))</f>
        <v/>
      </c>
      <c r="R4643" s="6" t="str">
        <f>IF($K4643="","",IF($L4643="Crédit",$K4643,-$K4643))</f>
        <v/>
      </c>
      <c r="S4643" s="6" t="str">
        <f>IF($C4643="","",IFERROR(INDEX('Paramètres'!$H:$H,MATCH($C4643,'Paramètres'!$D:$D,0))&amp;"",""))</f>
        <v/>
      </c>
      <c r="T4643" s="6" t="str">
        <f>IF($K4643="","",IF($S4643="",0,IF(ISNUMBER(SEARCH("apport-exterieur",IFERROR(INDEX('Paramètres'!$N:$N,MATCH($D4643,'Paramètres'!$M:$M,0))&amp;"",""))),0,IF(OR(IFERROR(INDEX('Paramètres'!$I:$I,MATCH($C4643,'Paramètres'!$D:$D,0))&amp;"","")="Les deux",IFERROR(INDEX('Paramètres'!$I:$I,MATCH($C4643,'Paramètres'!$D:$D,0))&amp;"","")=IF($P4643=1,"Débit",$L4643)),-IF($P4643=1,-$K4643,$K4643),0))))</f>
        <v/>
      </c>
      <c r="U4643" s="6" t="str">
        <f>IF($K4643="","",IF(ISNUMBER(SEARCH("sortie-epargne",IFERROR(INDEX('Paramètres'!$N:$N,MATCH($D4643,'Paramètres'!$M:$M,0))&amp;"",""))),$K4643,0))</f>
        <v/>
      </c>
      <c r="V4643" s="6" t="str">
        <f>IF(AND($A4643&lt;&gt;"",$O4643=1,$L4643="Débit",N($Q4643)&gt;0,$A4643&gt;=Visualisation!$B$1,$A4643&lt;Visualisation!$D$1),MAX($V$1:V4642)+1,"")</f>
        <v/>
      </c>
    </row>
    <row r="4644" spans="1:22" x14ac:dyDescent="0.25">
      <c r="A4644" s="9"/>
      <c r="E4644" s="10"/>
      <c r="K4644" s="11" t="str">
        <f>IF($E4644="","",ROUND($E4644*IF(ISNA(MATCH($C4644,'Paramètres'!$D:$D,0)),1,IF(INDEX('Paramètres'!$J:$J,MATCH($C4644,'Paramètres'!$D:$D,0))="",1,INDEX('Paramètres'!$J:$J,MATCH($C4644,'Paramètres'!$D:$D,0)))),2))</f>
        <v/>
      </c>
      <c r="L4644" s="6" t="str">
        <f>IF($D4644="","",IF($F4644&lt;&gt;"",$F4644,IF(ISNA(MATCH($D4644,'Paramètres'!$M:$M,0)),"⚠ Type inconnu",IFERROR(INDEX('Paramètres'!$P:$P,MATCH($D4644,'Paramètres'!$M:$M,0))&amp;"",""))))</f>
        <v/>
      </c>
      <c r="M4644" s="6" t="str">
        <f>IF($D4644="","",IF(ISNA(MATCH($D4644,'Paramètres'!$M:$M,0)),"⚠ Type inconnu",IF($L4644="Crédit","",IFERROR(INDEX('Paramètres'!$O:$O,MATCH($D4644,'Paramètres'!$M:$M,0))&amp;"",""))))</f>
        <v/>
      </c>
      <c r="N4644" s="6" t="str">
        <f>IF($D4644="","",IFERROR(INDEX('Paramètres'!$Q:$Q,MATCH($D4644,'Paramètres'!$M:$M,0))&amp;"",""))</f>
        <v/>
      </c>
      <c r="O4644" s="6" t="str">
        <f>IF($A4644="","",IF(OR($J4644&lt;&gt;"x",$A4644&lt;=FinReleve),1,0))</f>
        <v/>
      </c>
      <c r="P4644" s="6" t="str">
        <f>IF($D4644="","",IF(AND($L4644="Crédit",OR(IFERROR(INDEX('Paramètres'!$O:$O,MATCH($D4644,'Paramètres'!$M:$M,0))&amp;"","")&lt;&gt;"",ISNUMBER(SEARCH("remboursement",IFERROR(INDEX('Paramètres'!$N:$N,MATCH($D4644,'Paramètres'!$M:$M,0))&amp;"",""))))),1,0))</f>
        <v/>
      </c>
      <c r="Q4644" s="6" t="str">
        <f>IF($K4644="","",IF(ISNUMBER(SEARCH("transfert-interne",IFERROR(INDEX('Paramètres'!$N:$N,MATCH($D4644,'Paramètres'!$M:$M,0))&amp;"",""))),0,IF($L4644="Débit",$K4644,IF($P4644=1,-$K4644,0))))</f>
        <v/>
      </c>
      <c r="R4644" s="6" t="str">
        <f>IF($K4644="","",IF($L4644="Crédit",$K4644,-$K4644))</f>
        <v/>
      </c>
      <c r="S4644" s="6" t="str">
        <f>IF($C4644="","",IFERROR(INDEX('Paramètres'!$H:$H,MATCH($C4644,'Paramètres'!$D:$D,0))&amp;"",""))</f>
        <v/>
      </c>
      <c r="T4644" s="6" t="str">
        <f>IF($K4644="","",IF($S4644="",0,IF(ISNUMBER(SEARCH("apport-exterieur",IFERROR(INDEX('Paramètres'!$N:$N,MATCH($D4644,'Paramètres'!$M:$M,0))&amp;"",""))),0,IF(OR(IFERROR(INDEX('Paramètres'!$I:$I,MATCH($C4644,'Paramètres'!$D:$D,0))&amp;"","")="Les deux",IFERROR(INDEX('Paramètres'!$I:$I,MATCH($C4644,'Paramètres'!$D:$D,0))&amp;"","")=IF($P4644=1,"Débit",$L4644)),-IF($P4644=1,-$K4644,$K4644),0))))</f>
        <v/>
      </c>
      <c r="U4644" s="6" t="str">
        <f>IF($K4644="","",IF(ISNUMBER(SEARCH("sortie-epargne",IFERROR(INDEX('Paramètres'!$N:$N,MATCH($D4644,'Paramètres'!$M:$M,0))&amp;"",""))),$K4644,0))</f>
        <v/>
      </c>
      <c r="V4644" s="6" t="str">
        <f>IF(AND($A4644&lt;&gt;"",$O4644=1,$L4644="Débit",N($Q4644)&gt;0,$A4644&gt;=Visualisation!$B$1,$A4644&lt;Visualisation!$D$1),MAX($V$1:V4643)+1,"")</f>
        <v/>
      </c>
    </row>
    <row r="4645" spans="1:22" x14ac:dyDescent="0.25">
      <c r="A4645" s="9"/>
      <c r="E4645" s="10"/>
      <c r="K4645" s="11" t="str">
        <f>IF($E4645="","",ROUND($E4645*IF(ISNA(MATCH($C4645,'Paramètres'!$D:$D,0)),1,IF(INDEX('Paramètres'!$J:$J,MATCH($C4645,'Paramètres'!$D:$D,0))="",1,INDEX('Paramètres'!$J:$J,MATCH($C4645,'Paramètres'!$D:$D,0)))),2))</f>
        <v/>
      </c>
      <c r="L4645" s="6" t="str">
        <f>IF($D4645="","",IF($F4645&lt;&gt;"",$F4645,IF(ISNA(MATCH($D4645,'Paramètres'!$M:$M,0)),"⚠ Type inconnu",IFERROR(INDEX('Paramètres'!$P:$P,MATCH($D4645,'Paramètres'!$M:$M,0))&amp;"",""))))</f>
        <v/>
      </c>
      <c r="M4645" s="6" t="str">
        <f>IF($D4645="","",IF(ISNA(MATCH($D4645,'Paramètres'!$M:$M,0)),"⚠ Type inconnu",IF($L4645="Crédit","",IFERROR(INDEX('Paramètres'!$O:$O,MATCH($D4645,'Paramètres'!$M:$M,0))&amp;"",""))))</f>
        <v/>
      </c>
      <c r="N4645" s="6" t="str">
        <f>IF($D4645="","",IFERROR(INDEX('Paramètres'!$Q:$Q,MATCH($D4645,'Paramètres'!$M:$M,0))&amp;"",""))</f>
        <v/>
      </c>
      <c r="O4645" s="6" t="str">
        <f>IF($A4645="","",IF(OR($J4645&lt;&gt;"x",$A4645&lt;=FinReleve),1,0))</f>
        <v/>
      </c>
      <c r="P4645" s="6" t="str">
        <f>IF($D4645="","",IF(AND($L4645="Crédit",OR(IFERROR(INDEX('Paramètres'!$O:$O,MATCH($D4645,'Paramètres'!$M:$M,0))&amp;"","")&lt;&gt;"",ISNUMBER(SEARCH("remboursement",IFERROR(INDEX('Paramètres'!$N:$N,MATCH($D4645,'Paramètres'!$M:$M,0))&amp;"",""))))),1,0))</f>
        <v/>
      </c>
      <c r="Q4645" s="6" t="str">
        <f>IF($K4645="","",IF(ISNUMBER(SEARCH("transfert-interne",IFERROR(INDEX('Paramètres'!$N:$N,MATCH($D4645,'Paramètres'!$M:$M,0))&amp;"",""))),0,IF($L4645="Débit",$K4645,IF($P4645=1,-$K4645,0))))</f>
        <v/>
      </c>
      <c r="R4645" s="6" t="str">
        <f>IF($K4645="","",IF($L4645="Crédit",$K4645,-$K4645))</f>
        <v/>
      </c>
      <c r="S4645" s="6" t="str">
        <f>IF($C4645="","",IFERROR(INDEX('Paramètres'!$H:$H,MATCH($C4645,'Paramètres'!$D:$D,0))&amp;"",""))</f>
        <v/>
      </c>
      <c r="T4645" s="6" t="str">
        <f>IF($K4645="","",IF($S4645="",0,IF(ISNUMBER(SEARCH("apport-exterieur",IFERROR(INDEX('Paramètres'!$N:$N,MATCH($D4645,'Paramètres'!$M:$M,0))&amp;"",""))),0,IF(OR(IFERROR(INDEX('Paramètres'!$I:$I,MATCH($C4645,'Paramètres'!$D:$D,0))&amp;"","")="Les deux",IFERROR(INDEX('Paramètres'!$I:$I,MATCH($C4645,'Paramètres'!$D:$D,0))&amp;"","")=IF($P4645=1,"Débit",$L4645)),-IF($P4645=1,-$K4645,$K4645),0))))</f>
        <v/>
      </c>
      <c r="U4645" s="6" t="str">
        <f>IF($K4645="","",IF(ISNUMBER(SEARCH("sortie-epargne",IFERROR(INDEX('Paramètres'!$N:$N,MATCH($D4645,'Paramètres'!$M:$M,0))&amp;"",""))),$K4645,0))</f>
        <v/>
      </c>
      <c r="V4645" s="6" t="str">
        <f>IF(AND($A4645&lt;&gt;"",$O4645=1,$L4645="Débit",N($Q4645)&gt;0,$A4645&gt;=Visualisation!$B$1,$A4645&lt;Visualisation!$D$1),MAX($V$1:V4644)+1,"")</f>
        <v/>
      </c>
    </row>
    <row r="4646" spans="1:22" x14ac:dyDescent="0.25">
      <c r="A4646" s="9"/>
      <c r="E4646" s="10"/>
      <c r="K4646" s="11" t="str">
        <f>IF($E4646="","",ROUND($E4646*IF(ISNA(MATCH($C4646,'Paramètres'!$D:$D,0)),1,IF(INDEX('Paramètres'!$J:$J,MATCH($C4646,'Paramètres'!$D:$D,0))="",1,INDEX('Paramètres'!$J:$J,MATCH($C4646,'Paramètres'!$D:$D,0)))),2))</f>
        <v/>
      </c>
      <c r="L4646" s="6" t="str">
        <f>IF($D4646="","",IF($F4646&lt;&gt;"",$F4646,IF(ISNA(MATCH($D4646,'Paramètres'!$M:$M,0)),"⚠ Type inconnu",IFERROR(INDEX('Paramètres'!$P:$P,MATCH($D4646,'Paramètres'!$M:$M,0))&amp;"",""))))</f>
        <v/>
      </c>
      <c r="M4646" s="6" t="str">
        <f>IF($D4646="","",IF(ISNA(MATCH($D4646,'Paramètres'!$M:$M,0)),"⚠ Type inconnu",IF($L4646="Crédit","",IFERROR(INDEX('Paramètres'!$O:$O,MATCH($D4646,'Paramètres'!$M:$M,0))&amp;"",""))))</f>
        <v/>
      </c>
      <c r="N4646" s="6" t="str">
        <f>IF($D4646="","",IFERROR(INDEX('Paramètres'!$Q:$Q,MATCH($D4646,'Paramètres'!$M:$M,0))&amp;"",""))</f>
        <v/>
      </c>
      <c r="O4646" s="6" t="str">
        <f>IF($A4646="","",IF(OR($J4646&lt;&gt;"x",$A4646&lt;=FinReleve),1,0))</f>
        <v/>
      </c>
      <c r="P4646" s="6" t="str">
        <f>IF($D4646="","",IF(AND($L4646="Crédit",OR(IFERROR(INDEX('Paramètres'!$O:$O,MATCH($D4646,'Paramètres'!$M:$M,0))&amp;"","")&lt;&gt;"",ISNUMBER(SEARCH("remboursement",IFERROR(INDEX('Paramètres'!$N:$N,MATCH($D4646,'Paramètres'!$M:$M,0))&amp;"",""))))),1,0))</f>
        <v/>
      </c>
      <c r="Q4646" s="6" t="str">
        <f>IF($K4646="","",IF(ISNUMBER(SEARCH("transfert-interne",IFERROR(INDEX('Paramètres'!$N:$N,MATCH($D4646,'Paramètres'!$M:$M,0))&amp;"",""))),0,IF($L4646="Débit",$K4646,IF($P4646=1,-$K4646,0))))</f>
        <v/>
      </c>
      <c r="R4646" s="6" t="str">
        <f>IF($K4646="","",IF($L4646="Crédit",$K4646,-$K4646))</f>
        <v/>
      </c>
      <c r="S4646" s="6" t="str">
        <f>IF($C4646="","",IFERROR(INDEX('Paramètres'!$H:$H,MATCH($C4646,'Paramètres'!$D:$D,0))&amp;"",""))</f>
        <v/>
      </c>
      <c r="T4646" s="6" t="str">
        <f>IF($K4646="","",IF($S4646="",0,IF(ISNUMBER(SEARCH("apport-exterieur",IFERROR(INDEX('Paramètres'!$N:$N,MATCH($D4646,'Paramètres'!$M:$M,0))&amp;"",""))),0,IF(OR(IFERROR(INDEX('Paramètres'!$I:$I,MATCH($C4646,'Paramètres'!$D:$D,0))&amp;"","")="Les deux",IFERROR(INDEX('Paramètres'!$I:$I,MATCH($C4646,'Paramètres'!$D:$D,0))&amp;"","")=IF($P4646=1,"Débit",$L4646)),-IF($P4646=1,-$K4646,$K4646),0))))</f>
        <v/>
      </c>
      <c r="U4646" s="6" t="str">
        <f>IF($K4646="","",IF(ISNUMBER(SEARCH("sortie-epargne",IFERROR(INDEX('Paramètres'!$N:$N,MATCH($D4646,'Paramètres'!$M:$M,0))&amp;"",""))),$K4646,0))</f>
        <v/>
      </c>
      <c r="V4646" s="6" t="str">
        <f>IF(AND($A4646&lt;&gt;"",$O4646=1,$L4646="Débit",N($Q4646)&gt;0,$A4646&gt;=Visualisation!$B$1,$A4646&lt;Visualisation!$D$1),MAX($V$1:V4645)+1,"")</f>
        <v/>
      </c>
    </row>
    <row r="4647" spans="1:22" x14ac:dyDescent="0.25">
      <c r="A4647" s="9"/>
      <c r="E4647" s="10"/>
      <c r="K4647" s="11" t="str">
        <f>IF($E4647="","",ROUND($E4647*IF(ISNA(MATCH($C4647,'Paramètres'!$D:$D,0)),1,IF(INDEX('Paramètres'!$J:$J,MATCH($C4647,'Paramètres'!$D:$D,0))="",1,INDEX('Paramètres'!$J:$J,MATCH($C4647,'Paramètres'!$D:$D,0)))),2))</f>
        <v/>
      </c>
      <c r="L4647" s="6" t="str">
        <f>IF($D4647="","",IF($F4647&lt;&gt;"",$F4647,IF(ISNA(MATCH($D4647,'Paramètres'!$M:$M,0)),"⚠ Type inconnu",IFERROR(INDEX('Paramètres'!$P:$P,MATCH($D4647,'Paramètres'!$M:$M,0))&amp;"",""))))</f>
        <v/>
      </c>
      <c r="M4647" s="6" t="str">
        <f>IF($D4647="","",IF(ISNA(MATCH($D4647,'Paramètres'!$M:$M,0)),"⚠ Type inconnu",IF($L4647="Crédit","",IFERROR(INDEX('Paramètres'!$O:$O,MATCH($D4647,'Paramètres'!$M:$M,0))&amp;"",""))))</f>
        <v/>
      </c>
      <c r="N4647" s="6" t="str">
        <f>IF($D4647="","",IFERROR(INDEX('Paramètres'!$Q:$Q,MATCH($D4647,'Paramètres'!$M:$M,0))&amp;"",""))</f>
        <v/>
      </c>
      <c r="O4647" s="6" t="str">
        <f>IF($A4647="","",IF(OR($J4647&lt;&gt;"x",$A4647&lt;=FinReleve),1,0))</f>
        <v/>
      </c>
      <c r="P4647" s="6" t="str">
        <f>IF($D4647="","",IF(AND($L4647="Crédit",OR(IFERROR(INDEX('Paramètres'!$O:$O,MATCH($D4647,'Paramètres'!$M:$M,0))&amp;"","")&lt;&gt;"",ISNUMBER(SEARCH("remboursement",IFERROR(INDEX('Paramètres'!$N:$N,MATCH($D4647,'Paramètres'!$M:$M,0))&amp;"",""))))),1,0))</f>
        <v/>
      </c>
      <c r="Q4647" s="6" t="str">
        <f>IF($K4647="","",IF(ISNUMBER(SEARCH("transfert-interne",IFERROR(INDEX('Paramètres'!$N:$N,MATCH($D4647,'Paramètres'!$M:$M,0))&amp;"",""))),0,IF($L4647="Débit",$K4647,IF($P4647=1,-$K4647,0))))</f>
        <v/>
      </c>
      <c r="R4647" s="6" t="str">
        <f>IF($K4647="","",IF($L4647="Crédit",$K4647,-$K4647))</f>
        <v/>
      </c>
      <c r="S4647" s="6" t="str">
        <f>IF($C4647="","",IFERROR(INDEX('Paramètres'!$H:$H,MATCH($C4647,'Paramètres'!$D:$D,0))&amp;"",""))</f>
        <v/>
      </c>
      <c r="T4647" s="6" t="str">
        <f>IF($K4647="","",IF($S4647="",0,IF(ISNUMBER(SEARCH("apport-exterieur",IFERROR(INDEX('Paramètres'!$N:$N,MATCH($D4647,'Paramètres'!$M:$M,0))&amp;"",""))),0,IF(OR(IFERROR(INDEX('Paramètres'!$I:$I,MATCH($C4647,'Paramètres'!$D:$D,0))&amp;"","")="Les deux",IFERROR(INDEX('Paramètres'!$I:$I,MATCH($C4647,'Paramètres'!$D:$D,0))&amp;"","")=IF($P4647=1,"Débit",$L4647)),-IF($P4647=1,-$K4647,$K4647),0))))</f>
        <v/>
      </c>
      <c r="U4647" s="6" t="str">
        <f>IF($K4647="","",IF(ISNUMBER(SEARCH("sortie-epargne",IFERROR(INDEX('Paramètres'!$N:$N,MATCH($D4647,'Paramètres'!$M:$M,0))&amp;"",""))),$K4647,0))</f>
        <v/>
      </c>
      <c r="V4647" s="6" t="str">
        <f>IF(AND($A4647&lt;&gt;"",$O4647=1,$L4647="Débit",N($Q4647)&gt;0,$A4647&gt;=Visualisation!$B$1,$A4647&lt;Visualisation!$D$1),MAX($V$1:V4646)+1,"")</f>
        <v/>
      </c>
    </row>
    <row r="4648" spans="1:22" x14ac:dyDescent="0.25">
      <c r="A4648" s="9"/>
      <c r="E4648" s="10"/>
      <c r="K4648" s="11" t="str">
        <f>IF($E4648="","",ROUND($E4648*IF(ISNA(MATCH($C4648,'Paramètres'!$D:$D,0)),1,IF(INDEX('Paramètres'!$J:$J,MATCH($C4648,'Paramètres'!$D:$D,0))="",1,INDEX('Paramètres'!$J:$J,MATCH($C4648,'Paramètres'!$D:$D,0)))),2))</f>
        <v/>
      </c>
      <c r="L4648" s="6" t="str">
        <f>IF($D4648="","",IF($F4648&lt;&gt;"",$F4648,IF(ISNA(MATCH($D4648,'Paramètres'!$M:$M,0)),"⚠ Type inconnu",IFERROR(INDEX('Paramètres'!$P:$P,MATCH($D4648,'Paramètres'!$M:$M,0))&amp;"",""))))</f>
        <v/>
      </c>
      <c r="M4648" s="6" t="str">
        <f>IF($D4648="","",IF(ISNA(MATCH($D4648,'Paramètres'!$M:$M,0)),"⚠ Type inconnu",IF($L4648="Crédit","",IFERROR(INDEX('Paramètres'!$O:$O,MATCH($D4648,'Paramètres'!$M:$M,0))&amp;"",""))))</f>
        <v/>
      </c>
      <c r="N4648" s="6" t="str">
        <f>IF($D4648="","",IFERROR(INDEX('Paramètres'!$Q:$Q,MATCH($D4648,'Paramètres'!$M:$M,0))&amp;"",""))</f>
        <v/>
      </c>
      <c r="O4648" s="6" t="str">
        <f>IF($A4648="","",IF(OR($J4648&lt;&gt;"x",$A4648&lt;=FinReleve),1,0))</f>
        <v/>
      </c>
      <c r="P4648" s="6" t="str">
        <f>IF($D4648="","",IF(AND($L4648="Crédit",OR(IFERROR(INDEX('Paramètres'!$O:$O,MATCH($D4648,'Paramètres'!$M:$M,0))&amp;"","")&lt;&gt;"",ISNUMBER(SEARCH("remboursement",IFERROR(INDEX('Paramètres'!$N:$N,MATCH($D4648,'Paramètres'!$M:$M,0))&amp;"",""))))),1,0))</f>
        <v/>
      </c>
      <c r="Q4648" s="6" t="str">
        <f>IF($K4648="","",IF(ISNUMBER(SEARCH("transfert-interne",IFERROR(INDEX('Paramètres'!$N:$N,MATCH($D4648,'Paramètres'!$M:$M,0))&amp;"",""))),0,IF($L4648="Débit",$K4648,IF($P4648=1,-$K4648,0))))</f>
        <v/>
      </c>
      <c r="R4648" s="6" t="str">
        <f>IF($K4648="","",IF($L4648="Crédit",$K4648,-$K4648))</f>
        <v/>
      </c>
      <c r="S4648" s="6" t="str">
        <f>IF($C4648="","",IFERROR(INDEX('Paramètres'!$H:$H,MATCH($C4648,'Paramètres'!$D:$D,0))&amp;"",""))</f>
        <v/>
      </c>
      <c r="T4648" s="6" t="str">
        <f>IF($K4648="","",IF($S4648="",0,IF(ISNUMBER(SEARCH("apport-exterieur",IFERROR(INDEX('Paramètres'!$N:$N,MATCH($D4648,'Paramètres'!$M:$M,0))&amp;"",""))),0,IF(OR(IFERROR(INDEX('Paramètres'!$I:$I,MATCH($C4648,'Paramètres'!$D:$D,0))&amp;"","")="Les deux",IFERROR(INDEX('Paramètres'!$I:$I,MATCH($C4648,'Paramètres'!$D:$D,0))&amp;"","")=IF($P4648=1,"Débit",$L4648)),-IF($P4648=1,-$K4648,$K4648),0))))</f>
        <v/>
      </c>
      <c r="U4648" s="6" t="str">
        <f>IF($K4648="","",IF(ISNUMBER(SEARCH("sortie-epargne",IFERROR(INDEX('Paramètres'!$N:$N,MATCH($D4648,'Paramètres'!$M:$M,0))&amp;"",""))),$K4648,0))</f>
        <v/>
      </c>
      <c r="V4648" s="6" t="str">
        <f>IF(AND($A4648&lt;&gt;"",$O4648=1,$L4648="Débit",N($Q4648)&gt;0,$A4648&gt;=Visualisation!$B$1,$A4648&lt;Visualisation!$D$1),MAX($V$1:V4647)+1,"")</f>
        <v/>
      </c>
    </row>
    <row r="4649" spans="1:22" x14ac:dyDescent="0.25">
      <c r="A4649" s="9"/>
      <c r="E4649" s="10"/>
      <c r="K4649" s="11" t="str">
        <f>IF($E4649="","",ROUND($E4649*IF(ISNA(MATCH($C4649,'Paramètres'!$D:$D,0)),1,IF(INDEX('Paramètres'!$J:$J,MATCH($C4649,'Paramètres'!$D:$D,0))="",1,INDEX('Paramètres'!$J:$J,MATCH($C4649,'Paramètres'!$D:$D,0)))),2))</f>
        <v/>
      </c>
      <c r="L4649" s="6" t="str">
        <f>IF($D4649="","",IF($F4649&lt;&gt;"",$F4649,IF(ISNA(MATCH($D4649,'Paramètres'!$M:$M,0)),"⚠ Type inconnu",IFERROR(INDEX('Paramètres'!$P:$P,MATCH($D4649,'Paramètres'!$M:$M,0))&amp;"",""))))</f>
        <v/>
      </c>
      <c r="M4649" s="6" t="str">
        <f>IF($D4649="","",IF(ISNA(MATCH($D4649,'Paramètres'!$M:$M,0)),"⚠ Type inconnu",IF($L4649="Crédit","",IFERROR(INDEX('Paramètres'!$O:$O,MATCH($D4649,'Paramètres'!$M:$M,0))&amp;"",""))))</f>
        <v/>
      </c>
      <c r="N4649" s="6" t="str">
        <f>IF($D4649="","",IFERROR(INDEX('Paramètres'!$Q:$Q,MATCH($D4649,'Paramètres'!$M:$M,0))&amp;"",""))</f>
        <v/>
      </c>
      <c r="O4649" s="6" t="str">
        <f>IF($A4649="","",IF(OR($J4649&lt;&gt;"x",$A4649&lt;=FinReleve),1,0))</f>
        <v/>
      </c>
      <c r="P4649" s="6" t="str">
        <f>IF($D4649="","",IF(AND($L4649="Crédit",OR(IFERROR(INDEX('Paramètres'!$O:$O,MATCH($D4649,'Paramètres'!$M:$M,0))&amp;"","")&lt;&gt;"",ISNUMBER(SEARCH("remboursement",IFERROR(INDEX('Paramètres'!$N:$N,MATCH($D4649,'Paramètres'!$M:$M,0))&amp;"",""))))),1,0))</f>
        <v/>
      </c>
      <c r="Q4649" s="6" t="str">
        <f>IF($K4649="","",IF(ISNUMBER(SEARCH("transfert-interne",IFERROR(INDEX('Paramètres'!$N:$N,MATCH($D4649,'Paramètres'!$M:$M,0))&amp;"",""))),0,IF($L4649="Débit",$K4649,IF($P4649=1,-$K4649,0))))</f>
        <v/>
      </c>
      <c r="R4649" s="6" t="str">
        <f>IF($K4649="","",IF($L4649="Crédit",$K4649,-$K4649))</f>
        <v/>
      </c>
      <c r="S4649" s="6" t="str">
        <f>IF($C4649="","",IFERROR(INDEX('Paramètres'!$H:$H,MATCH($C4649,'Paramètres'!$D:$D,0))&amp;"",""))</f>
        <v/>
      </c>
      <c r="T4649" s="6" t="str">
        <f>IF($K4649="","",IF($S4649="",0,IF(ISNUMBER(SEARCH("apport-exterieur",IFERROR(INDEX('Paramètres'!$N:$N,MATCH($D4649,'Paramètres'!$M:$M,0))&amp;"",""))),0,IF(OR(IFERROR(INDEX('Paramètres'!$I:$I,MATCH($C4649,'Paramètres'!$D:$D,0))&amp;"","")="Les deux",IFERROR(INDEX('Paramètres'!$I:$I,MATCH($C4649,'Paramètres'!$D:$D,0))&amp;"","")=IF($P4649=1,"Débit",$L4649)),-IF($P4649=1,-$K4649,$K4649),0))))</f>
        <v/>
      </c>
      <c r="U4649" s="6" t="str">
        <f>IF($K4649="","",IF(ISNUMBER(SEARCH("sortie-epargne",IFERROR(INDEX('Paramètres'!$N:$N,MATCH($D4649,'Paramètres'!$M:$M,0))&amp;"",""))),$K4649,0))</f>
        <v/>
      </c>
      <c r="V4649" s="6" t="str">
        <f>IF(AND($A4649&lt;&gt;"",$O4649=1,$L4649="Débit",N($Q4649)&gt;0,$A4649&gt;=Visualisation!$B$1,$A4649&lt;Visualisation!$D$1),MAX($V$1:V4648)+1,"")</f>
        <v/>
      </c>
    </row>
    <row r="4650" spans="1:22" x14ac:dyDescent="0.25">
      <c r="A4650" s="9"/>
      <c r="E4650" s="10"/>
      <c r="K4650" s="11" t="str">
        <f>IF($E4650="","",ROUND($E4650*IF(ISNA(MATCH($C4650,'Paramètres'!$D:$D,0)),1,IF(INDEX('Paramètres'!$J:$J,MATCH($C4650,'Paramètres'!$D:$D,0))="",1,INDEX('Paramètres'!$J:$J,MATCH($C4650,'Paramètres'!$D:$D,0)))),2))</f>
        <v/>
      </c>
      <c r="L4650" s="6" t="str">
        <f>IF($D4650="","",IF($F4650&lt;&gt;"",$F4650,IF(ISNA(MATCH($D4650,'Paramètres'!$M:$M,0)),"⚠ Type inconnu",IFERROR(INDEX('Paramètres'!$P:$P,MATCH($D4650,'Paramètres'!$M:$M,0))&amp;"",""))))</f>
        <v/>
      </c>
      <c r="M4650" s="6" t="str">
        <f>IF($D4650="","",IF(ISNA(MATCH($D4650,'Paramètres'!$M:$M,0)),"⚠ Type inconnu",IF($L4650="Crédit","",IFERROR(INDEX('Paramètres'!$O:$O,MATCH($D4650,'Paramètres'!$M:$M,0))&amp;"",""))))</f>
        <v/>
      </c>
      <c r="N4650" s="6" t="str">
        <f>IF($D4650="","",IFERROR(INDEX('Paramètres'!$Q:$Q,MATCH($D4650,'Paramètres'!$M:$M,0))&amp;"",""))</f>
        <v/>
      </c>
      <c r="O4650" s="6" t="str">
        <f>IF($A4650="","",IF(OR($J4650&lt;&gt;"x",$A4650&lt;=FinReleve),1,0))</f>
        <v/>
      </c>
      <c r="P4650" s="6" t="str">
        <f>IF($D4650="","",IF(AND($L4650="Crédit",OR(IFERROR(INDEX('Paramètres'!$O:$O,MATCH($D4650,'Paramètres'!$M:$M,0))&amp;"","")&lt;&gt;"",ISNUMBER(SEARCH("remboursement",IFERROR(INDEX('Paramètres'!$N:$N,MATCH($D4650,'Paramètres'!$M:$M,0))&amp;"",""))))),1,0))</f>
        <v/>
      </c>
      <c r="Q4650" s="6" t="str">
        <f>IF($K4650="","",IF(ISNUMBER(SEARCH("transfert-interne",IFERROR(INDEX('Paramètres'!$N:$N,MATCH($D4650,'Paramètres'!$M:$M,0))&amp;"",""))),0,IF($L4650="Débit",$K4650,IF($P4650=1,-$K4650,0))))</f>
        <v/>
      </c>
      <c r="R4650" s="6" t="str">
        <f>IF($K4650="","",IF($L4650="Crédit",$K4650,-$K4650))</f>
        <v/>
      </c>
      <c r="S4650" s="6" t="str">
        <f>IF($C4650="","",IFERROR(INDEX('Paramètres'!$H:$H,MATCH($C4650,'Paramètres'!$D:$D,0))&amp;"",""))</f>
        <v/>
      </c>
      <c r="T4650" s="6" t="str">
        <f>IF($K4650="","",IF($S4650="",0,IF(ISNUMBER(SEARCH("apport-exterieur",IFERROR(INDEX('Paramètres'!$N:$N,MATCH($D4650,'Paramètres'!$M:$M,0))&amp;"",""))),0,IF(OR(IFERROR(INDEX('Paramètres'!$I:$I,MATCH($C4650,'Paramètres'!$D:$D,0))&amp;"","")="Les deux",IFERROR(INDEX('Paramètres'!$I:$I,MATCH($C4650,'Paramètres'!$D:$D,0))&amp;"","")=IF($P4650=1,"Débit",$L4650)),-IF($P4650=1,-$K4650,$K4650),0))))</f>
        <v/>
      </c>
      <c r="U4650" s="6" t="str">
        <f>IF($K4650="","",IF(ISNUMBER(SEARCH("sortie-epargne",IFERROR(INDEX('Paramètres'!$N:$N,MATCH($D4650,'Paramètres'!$M:$M,0))&amp;"",""))),$K4650,0))</f>
        <v/>
      </c>
      <c r="V4650" s="6" t="str">
        <f>IF(AND($A4650&lt;&gt;"",$O4650=1,$L4650="Débit",N($Q4650)&gt;0,$A4650&gt;=Visualisation!$B$1,$A4650&lt;Visualisation!$D$1),MAX($V$1:V4649)+1,"")</f>
        <v/>
      </c>
    </row>
    <row r="4651" spans="1:22" x14ac:dyDescent="0.25">
      <c r="A4651" s="9"/>
      <c r="E4651" s="10"/>
      <c r="K4651" s="11" t="str">
        <f>IF($E4651="","",ROUND($E4651*IF(ISNA(MATCH($C4651,'Paramètres'!$D:$D,0)),1,IF(INDEX('Paramètres'!$J:$J,MATCH($C4651,'Paramètres'!$D:$D,0))="",1,INDEX('Paramètres'!$J:$J,MATCH($C4651,'Paramètres'!$D:$D,0)))),2))</f>
        <v/>
      </c>
      <c r="L4651" s="6" t="str">
        <f>IF($D4651="","",IF($F4651&lt;&gt;"",$F4651,IF(ISNA(MATCH($D4651,'Paramètres'!$M:$M,0)),"⚠ Type inconnu",IFERROR(INDEX('Paramètres'!$P:$P,MATCH($D4651,'Paramètres'!$M:$M,0))&amp;"",""))))</f>
        <v/>
      </c>
      <c r="M4651" s="6" t="str">
        <f>IF($D4651="","",IF(ISNA(MATCH($D4651,'Paramètres'!$M:$M,0)),"⚠ Type inconnu",IF($L4651="Crédit","",IFERROR(INDEX('Paramètres'!$O:$O,MATCH($D4651,'Paramètres'!$M:$M,0))&amp;"",""))))</f>
        <v/>
      </c>
      <c r="N4651" s="6" t="str">
        <f>IF($D4651="","",IFERROR(INDEX('Paramètres'!$Q:$Q,MATCH($D4651,'Paramètres'!$M:$M,0))&amp;"",""))</f>
        <v/>
      </c>
      <c r="O4651" s="6" t="str">
        <f>IF($A4651="","",IF(OR($J4651&lt;&gt;"x",$A4651&lt;=FinReleve),1,0))</f>
        <v/>
      </c>
      <c r="P4651" s="6" t="str">
        <f>IF($D4651="","",IF(AND($L4651="Crédit",OR(IFERROR(INDEX('Paramètres'!$O:$O,MATCH($D4651,'Paramètres'!$M:$M,0))&amp;"","")&lt;&gt;"",ISNUMBER(SEARCH("remboursement",IFERROR(INDEX('Paramètres'!$N:$N,MATCH($D4651,'Paramètres'!$M:$M,0))&amp;"",""))))),1,0))</f>
        <v/>
      </c>
      <c r="Q4651" s="6" t="str">
        <f>IF($K4651="","",IF(ISNUMBER(SEARCH("transfert-interne",IFERROR(INDEX('Paramètres'!$N:$N,MATCH($D4651,'Paramètres'!$M:$M,0))&amp;"",""))),0,IF($L4651="Débit",$K4651,IF($P4651=1,-$K4651,0))))</f>
        <v/>
      </c>
      <c r="R4651" s="6" t="str">
        <f>IF($K4651="","",IF($L4651="Crédit",$K4651,-$K4651))</f>
        <v/>
      </c>
      <c r="S4651" s="6" t="str">
        <f>IF($C4651="","",IFERROR(INDEX('Paramètres'!$H:$H,MATCH($C4651,'Paramètres'!$D:$D,0))&amp;"",""))</f>
        <v/>
      </c>
      <c r="T4651" s="6" t="str">
        <f>IF($K4651="","",IF($S4651="",0,IF(ISNUMBER(SEARCH("apport-exterieur",IFERROR(INDEX('Paramètres'!$N:$N,MATCH($D4651,'Paramètres'!$M:$M,0))&amp;"",""))),0,IF(OR(IFERROR(INDEX('Paramètres'!$I:$I,MATCH($C4651,'Paramètres'!$D:$D,0))&amp;"","")="Les deux",IFERROR(INDEX('Paramètres'!$I:$I,MATCH($C4651,'Paramètres'!$D:$D,0))&amp;"","")=IF($P4651=1,"Débit",$L4651)),-IF($P4651=1,-$K4651,$K4651),0))))</f>
        <v/>
      </c>
      <c r="U4651" s="6" t="str">
        <f>IF($K4651="","",IF(ISNUMBER(SEARCH("sortie-epargne",IFERROR(INDEX('Paramètres'!$N:$N,MATCH($D4651,'Paramètres'!$M:$M,0))&amp;"",""))),$K4651,0))</f>
        <v/>
      </c>
      <c r="V4651" s="6" t="str">
        <f>IF(AND($A4651&lt;&gt;"",$O4651=1,$L4651="Débit",N($Q4651)&gt;0,$A4651&gt;=Visualisation!$B$1,$A4651&lt;Visualisation!$D$1),MAX($V$1:V4650)+1,"")</f>
        <v/>
      </c>
    </row>
    <row r="4652" spans="1:22" x14ac:dyDescent="0.25">
      <c r="A4652" s="9"/>
      <c r="E4652" s="10"/>
      <c r="K4652" s="11" t="str">
        <f>IF($E4652="","",ROUND($E4652*IF(ISNA(MATCH($C4652,'Paramètres'!$D:$D,0)),1,IF(INDEX('Paramètres'!$J:$J,MATCH($C4652,'Paramètres'!$D:$D,0))="",1,INDEX('Paramètres'!$J:$J,MATCH($C4652,'Paramètres'!$D:$D,0)))),2))</f>
        <v/>
      </c>
      <c r="L4652" s="6" t="str">
        <f>IF($D4652="","",IF($F4652&lt;&gt;"",$F4652,IF(ISNA(MATCH($D4652,'Paramètres'!$M:$M,0)),"⚠ Type inconnu",IFERROR(INDEX('Paramètres'!$P:$P,MATCH($D4652,'Paramètres'!$M:$M,0))&amp;"",""))))</f>
        <v/>
      </c>
      <c r="M4652" s="6" t="str">
        <f>IF($D4652="","",IF(ISNA(MATCH($D4652,'Paramètres'!$M:$M,0)),"⚠ Type inconnu",IF($L4652="Crédit","",IFERROR(INDEX('Paramètres'!$O:$O,MATCH($D4652,'Paramètres'!$M:$M,0))&amp;"",""))))</f>
        <v/>
      </c>
      <c r="N4652" s="6" t="str">
        <f>IF($D4652="","",IFERROR(INDEX('Paramètres'!$Q:$Q,MATCH($D4652,'Paramètres'!$M:$M,0))&amp;"",""))</f>
        <v/>
      </c>
      <c r="O4652" s="6" t="str">
        <f>IF($A4652="","",IF(OR($J4652&lt;&gt;"x",$A4652&lt;=FinReleve),1,0))</f>
        <v/>
      </c>
      <c r="P4652" s="6" t="str">
        <f>IF($D4652="","",IF(AND($L4652="Crédit",OR(IFERROR(INDEX('Paramètres'!$O:$O,MATCH($D4652,'Paramètres'!$M:$M,0))&amp;"","")&lt;&gt;"",ISNUMBER(SEARCH("remboursement",IFERROR(INDEX('Paramètres'!$N:$N,MATCH($D4652,'Paramètres'!$M:$M,0))&amp;"",""))))),1,0))</f>
        <v/>
      </c>
      <c r="Q4652" s="6" t="str">
        <f>IF($K4652="","",IF(ISNUMBER(SEARCH("transfert-interne",IFERROR(INDEX('Paramètres'!$N:$N,MATCH($D4652,'Paramètres'!$M:$M,0))&amp;"",""))),0,IF($L4652="Débit",$K4652,IF($P4652=1,-$K4652,0))))</f>
        <v/>
      </c>
      <c r="R4652" s="6" t="str">
        <f>IF($K4652="","",IF($L4652="Crédit",$K4652,-$K4652))</f>
        <v/>
      </c>
      <c r="S4652" s="6" t="str">
        <f>IF($C4652="","",IFERROR(INDEX('Paramètres'!$H:$H,MATCH($C4652,'Paramètres'!$D:$D,0))&amp;"",""))</f>
        <v/>
      </c>
      <c r="T4652" s="6" t="str">
        <f>IF($K4652="","",IF($S4652="",0,IF(ISNUMBER(SEARCH("apport-exterieur",IFERROR(INDEX('Paramètres'!$N:$N,MATCH($D4652,'Paramètres'!$M:$M,0))&amp;"",""))),0,IF(OR(IFERROR(INDEX('Paramètres'!$I:$I,MATCH($C4652,'Paramètres'!$D:$D,0))&amp;"","")="Les deux",IFERROR(INDEX('Paramètres'!$I:$I,MATCH($C4652,'Paramètres'!$D:$D,0))&amp;"","")=IF($P4652=1,"Débit",$L4652)),-IF($P4652=1,-$K4652,$K4652),0))))</f>
        <v/>
      </c>
      <c r="U4652" s="6" t="str">
        <f>IF($K4652="","",IF(ISNUMBER(SEARCH("sortie-epargne",IFERROR(INDEX('Paramètres'!$N:$N,MATCH($D4652,'Paramètres'!$M:$M,0))&amp;"",""))),$K4652,0))</f>
        <v/>
      </c>
      <c r="V4652" s="6" t="str">
        <f>IF(AND($A4652&lt;&gt;"",$O4652=1,$L4652="Débit",N($Q4652)&gt;0,$A4652&gt;=Visualisation!$B$1,$A4652&lt;Visualisation!$D$1),MAX($V$1:V4651)+1,"")</f>
        <v/>
      </c>
    </row>
    <row r="4653" spans="1:22" x14ac:dyDescent="0.25">
      <c r="A4653" s="9"/>
      <c r="E4653" s="10"/>
      <c r="K4653" s="11" t="str">
        <f>IF($E4653="","",ROUND($E4653*IF(ISNA(MATCH($C4653,'Paramètres'!$D:$D,0)),1,IF(INDEX('Paramètres'!$J:$J,MATCH($C4653,'Paramètres'!$D:$D,0))="",1,INDEX('Paramètres'!$J:$J,MATCH($C4653,'Paramètres'!$D:$D,0)))),2))</f>
        <v/>
      </c>
      <c r="L4653" s="6" t="str">
        <f>IF($D4653="","",IF($F4653&lt;&gt;"",$F4653,IF(ISNA(MATCH($D4653,'Paramètres'!$M:$M,0)),"⚠ Type inconnu",IFERROR(INDEX('Paramètres'!$P:$P,MATCH($D4653,'Paramètres'!$M:$M,0))&amp;"",""))))</f>
        <v/>
      </c>
      <c r="M4653" s="6" t="str">
        <f>IF($D4653="","",IF(ISNA(MATCH($D4653,'Paramètres'!$M:$M,0)),"⚠ Type inconnu",IF($L4653="Crédit","",IFERROR(INDEX('Paramètres'!$O:$O,MATCH($D4653,'Paramètres'!$M:$M,0))&amp;"",""))))</f>
        <v/>
      </c>
      <c r="N4653" s="6" t="str">
        <f>IF($D4653="","",IFERROR(INDEX('Paramètres'!$Q:$Q,MATCH($D4653,'Paramètres'!$M:$M,0))&amp;"",""))</f>
        <v/>
      </c>
      <c r="O4653" s="6" t="str">
        <f>IF($A4653="","",IF(OR($J4653&lt;&gt;"x",$A4653&lt;=FinReleve),1,0))</f>
        <v/>
      </c>
      <c r="P4653" s="6" t="str">
        <f>IF($D4653="","",IF(AND($L4653="Crédit",OR(IFERROR(INDEX('Paramètres'!$O:$O,MATCH($D4653,'Paramètres'!$M:$M,0))&amp;"","")&lt;&gt;"",ISNUMBER(SEARCH("remboursement",IFERROR(INDEX('Paramètres'!$N:$N,MATCH($D4653,'Paramètres'!$M:$M,0))&amp;"",""))))),1,0))</f>
        <v/>
      </c>
      <c r="Q4653" s="6" t="str">
        <f>IF($K4653="","",IF(ISNUMBER(SEARCH("transfert-interne",IFERROR(INDEX('Paramètres'!$N:$N,MATCH($D4653,'Paramètres'!$M:$M,0))&amp;"",""))),0,IF($L4653="Débit",$K4653,IF($P4653=1,-$K4653,0))))</f>
        <v/>
      </c>
      <c r="R4653" s="6" t="str">
        <f>IF($K4653="","",IF($L4653="Crédit",$K4653,-$K4653))</f>
        <v/>
      </c>
      <c r="S4653" s="6" t="str">
        <f>IF($C4653="","",IFERROR(INDEX('Paramètres'!$H:$H,MATCH($C4653,'Paramètres'!$D:$D,0))&amp;"",""))</f>
        <v/>
      </c>
      <c r="T4653" s="6" t="str">
        <f>IF($K4653="","",IF($S4653="",0,IF(ISNUMBER(SEARCH("apport-exterieur",IFERROR(INDEX('Paramètres'!$N:$N,MATCH($D4653,'Paramètres'!$M:$M,0))&amp;"",""))),0,IF(OR(IFERROR(INDEX('Paramètres'!$I:$I,MATCH($C4653,'Paramètres'!$D:$D,0))&amp;"","")="Les deux",IFERROR(INDEX('Paramètres'!$I:$I,MATCH($C4653,'Paramètres'!$D:$D,0))&amp;"","")=IF($P4653=1,"Débit",$L4653)),-IF($P4653=1,-$K4653,$K4653),0))))</f>
        <v/>
      </c>
      <c r="U4653" s="6" t="str">
        <f>IF($K4653="","",IF(ISNUMBER(SEARCH("sortie-epargne",IFERROR(INDEX('Paramètres'!$N:$N,MATCH($D4653,'Paramètres'!$M:$M,0))&amp;"",""))),$K4653,0))</f>
        <v/>
      </c>
      <c r="V4653" s="6" t="str">
        <f>IF(AND($A4653&lt;&gt;"",$O4653=1,$L4653="Débit",N($Q4653)&gt;0,$A4653&gt;=Visualisation!$B$1,$A4653&lt;Visualisation!$D$1),MAX($V$1:V4652)+1,"")</f>
        <v/>
      </c>
    </row>
    <row r="4654" spans="1:22" x14ac:dyDescent="0.25">
      <c r="A4654" s="9"/>
      <c r="E4654" s="10"/>
      <c r="K4654" s="11" t="str">
        <f>IF($E4654="","",ROUND($E4654*IF(ISNA(MATCH($C4654,'Paramètres'!$D:$D,0)),1,IF(INDEX('Paramètres'!$J:$J,MATCH($C4654,'Paramètres'!$D:$D,0))="",1,INDEX('Paramètres'!$J:$J,MATCH($C4654,'Paramètres'!$D:$D,0)))),2))</f>
        <v/>
      </c>
      <c r="L4654" s="6" t="str">
        <f>IF($D4654="","",IF($F4654&lt;&gt;"",$F4654,IF(ISNA(MATCH($D4654,'Paramètres'!$M:$M,0)),"⚠ Type inconnu",IFERROR(INDEX('Paramètres'!$P:$P,MATCH($D4654,'Paramètres'!$M:$M,0))&amp;"",""))))</f>
        <v/>
      </c>
      <c r="M4654" s="6" t="str">
        <f>IF($D4654="","",IF(ISNA(MATCH($D4654,'Paramètres'!$M:$M,0)),"⚠ Type inconnu",IF($L4654="Crédit","",IFERROR(INDEX('Paramètres'!$O:$O,MATCH($D4654,'Paramètres'!$M:$M,0))&amp;"",""))))</f>
        <v/>
      </c>
      <c r="N4654" s="6" t="str">
        <f>IF($D4654="","",IFERROR(INDEX('Paramètres'!$Q:$Q,MATCH($D4654,'Paramètres'!$M:$M,0))&amp;"",""))</f>
        <v/>
      </c>
      <c r="O4654" s="6" t="str">
        <f>IF($A4654="","",IF(OR($J4654&lt;&gt;"x",$A4654&lt;=FinReleve),1,0))</f>
        <v/>
      </c>
      <c r="P4654" s="6" t="str">
        <f>IF($D4654="","",IF(AND($L4654="Crédit",OR(IFERROR(INDEX('Paramètres'!$O:$O,MATCH($D4654,'Paramètres'!$M:$M,0))&amp;"","")&lt;&gt;"",ISNUMBER(SEARCH("remboursement",IFERROR(INDEX('Paramètres'!$N:$N,MATCH($D4654,'Paramètres'!$M:$M,0))&amp;"",""))))),1,0))</f>
        <v/>
      </c>
      <c r="Q4654" s="6" t="str">
        <f>IF($K4654="","",IF(ISNUMBER(SEARCH("transfert-interne",IFERROR(INDEX('Paramètres'!$N:$N,MATCH($D4654,'Paramètres'!$M:$M,0))&amp;"",""))),0,IF($L4654="Débit",$K4654,IF($P4654=1,-$K4654,0))))</f>
        <v/>
      </c>
      <c r="R4654" s="6" t="str">
        <f>IF($K4654="","",IF($L4654="Crédit",$K4654,-$K4654))</f>
        <v/>
      </c>
      <c r="S4654" s="6" t="str">
        <f>IF($C4654="","",IFERROR(INDEX('Paramètres'!$H:$H,MATCH($C4654,'Paramètres'!$D:$D,0))&amp;"",""))</f>
        <v/>
      </c>
      <c r="T4654" s="6" t="str">
        <f>IF($K4654="","",IF($S4654="",0,IF(ISNUMBER(SEARCH("apport-exterieur",IFERROR(INDEX('Paramètres'!$N:$N,MATCH($D4654,'Paramètres'!$M:$M,0))&amp;"",""))),0,IF(OR(IFERROR(INDEX('Paramètres'!$I:$I,MATCH($C4654,'Paramètres'!$D:$D,0))&amp;"","")="Les deux",IFERROR(INDEX('Paramètres'!$I:$I,MATCH($C4654,'Paramètres'!$D:$D,0))&amp;"","")=IF($P4654=1,"Débit",$L4654)),-IF($P4654=1,-$K4654,$K4654),0))))</f>
        <v/>
      </c>
      <c r="U4654" s="6" t="str">
        <f>IF($K4654="","",IF(ISNUMBER(SEARCH("sortie-epargne",IFERROR(INDEX('Paramètres'!$N:$N,MATCH($D4654,'Paramètres'!$M:$M,0))&amp;"",""))),$K4654,0))</f>
        <v/>
      </c>
      <c r="V4654" s="6" t="str">
        <f>IF(AND($A4654&lt;&gt;"",$O4654=1,$L4654="Débit",N($Q4654)&gt;0,$A4654&gt;=Visualisation!$B$1,$A4654&lt;Visualisation!$D$1),MAX($V$1:V4653)+1,"")</f>
        <v/>
      </c>
    </row>
    <row r="4655" spans="1:22" x14ac:dyDescent="0.25">
      <c r="A4655" s="9"/>
      <c r="E4655" s="10"/>
      <c r="K4655" s="11" t="str">
        <f>IF($E4655="","",ROUND($E4655*IF(ISNA(MATCH($C4655,'Paramètres'!$D:$D,0)),1,IF(INDEX('Paramètres'!$J:$J,MATCH($C4655,'Paramètres'!$D:$D,0))="",1,INDEX('Paramètres'!$J:$J,MATCH($C4655,'Paramètres'!$D:$D,0)))),2))</f>
        <v/>
      </c>
      <c r="L4655" s="6" t="str">
        <f>IF($D4655="","",IF($F4655&lt;&gt;"",$F4655,IF(ISNA(MATCH($D4655,'Paramètres'!$M:$M,0)),"⚠ Type inconnu",IFERROR(INDEX('Paramètres'!$P:$P,MATCH($D4655,'Paramètres'!$M:$M,0))&amp;"",""))))</f>
        <v/>
      </c>
      <c r="M4655" s="6" t="str">
        <f>IF($D4655="","",IF(ISNA(MATCH($D4655,'Paramètres'!$M:$M,0)),"⚠ Type inconnu",IF($L4655="Crédit","",IFERROR(INDEX('Paramètres'!$O:$O,MATCH($D4655,'Paramètres'!$M:$M,0))&amp;"",""))))</f>
        <v/>
      </c>
      <c r="N4655" s="6" t="str">
        <f>IF($D4655="","",IFERROR(INDEX('Paramètres'!$Q:$Q,MATCH($D4655,'Paramètres'!$M:$M,0))&amp;"",""))</f>
        <v/>
      </c>
      <c r="O4655" s="6" t="str">
        <f>IF($A4655="","",IF(OR($J4655&lt;&gt;"x",$A4655&lt;=FinReleve),1,0))</f>
        <v/>
      </c>
      <c r="P4655" s="6" t="str">
        <f>IF($D4655="","",IF(AND($L4655="Crédit",OR(IFERROR(INDEX('Paramètres'!$O:$O,MATCH($D4655,'Paramètres'!$M:$M,0))&amp;"","")&lt;&gt;"",ISNUMBER(SEARCH("remboursement",IFERROR(INDEX('Paramètres'!$N:$N,MATCH($D4655,'Paramètres'!$M:$M,0))&amp;"",""))))),1,0))</f>
        <v/>
      </c>
      <c r="Q4655" s="6" t="str">
        <f>IF($K4655="","",IF(ISNUMBER(SEARCH("transfert-interne",IFERROR(INDEX('Paramètres'!$N:$N,MATCH($D4655,'Paramètres'!$M:$M,0))&amp;"",""))),0,IF($L4655="Débit",$K4655,IF($P4655=1,-$K4655,0))))</f>
        <v/>
      </c>
      <c r="R4655" s="6" t="str">
        <f>IF($K4655="","",IF($L4655="Crédit",$K4655,-$K4655))</f>
        <v/>
      </c>
      <c r="S4655" s="6" t="str">
        <f>IF($C4655="","",IFERROR(INDEX('Paramètres'!$H:$H,MATCH($C4655,'Paramètres'!$D:$D,0))&amp;"",""))</f>
        <v/>
      </c>
      <c r="T4655" s="6" t="str">
        <f>IF($K4655="","",IF($S4655="",0,IF(ISNUMBER(SEARCH("apport-exterieur",IFERROR(INDEX('Paramètres'!$N:$N,MATCH($D4655,'Paramètres'!$M:$M,0))&amp;"",""))),0,IF(OR(IFERROR(INDEX('Paramètres'!$I:$I,MATCH($C4655,'Paramètres'!$D:$D,0))&amp;"","")="Les deux",IFERROR(INDEX('Paramètres'!$I:$I,MATCH($C4655,'Paramètres'!$D:$D,0))&amp;"","")=IF($P4655=1,"Débit",$L4655)),-IF($P4655=1,-$K4655,$K4655),0))))</f>
        <v/>
      </c>
      <c r="U4655" s="6" t="str">
        <f>IF($K4655="","",IF(ISNUMBER(SEARCH("sortie-epargne",IFERROR(INDEX('Paramètres'!$N:$N,MATCH($D4655,'Paramètres'!$M:$M,0))&amp;"",""))),$K4655,0))</f>
        <v/>
      </c>
      <c r="V4655" s="6" t="str">
        <f>IF(AND($A4655&lt;&gt;"",$O4655=1,$L4655="Débit",N($Q4655)&gt;0,$A4655&gt;=Visualisation!$B$1,$A4655&lt;Visualisation!$D$1),MAX($V$1:V4654)+1,"")</f>
        <v/>
      </c>
    </row>
    <row r="4656" spans="1:22" x14ac:dyDescent="0.25">
      <c r="A4656" s="9"/>
      <c r="E4656" s="10"/>
      <c r="K4656" s="11" t="str">
        <f>IF($E4656="","",ROUND($E4656*IF(ISNA(MATCH($C4656,'Paramètres'!$D:$D,0)),1,IF(INDEX('Paramètres'!$J:$J,MATCH($C4656,'Paramètres'!$D:$D,0))="",1,INDEX('Paramètres'!$J:$J,MATCH($C4656,'Paramètres'!$D:$D,0)))),2))</f>
        <v/>
      </c>
      <c r="L4656" s="6" t="str">
        <f>IF($D4656="","",IF($F4656&lt;&gt;"",$F4656,IF(ISNA(MATCH($D4656,'Paramètres'!$M:$M,0)),"⚠ Type inconnu",IFERROR(INDEX('Paramètres'!$P:$P,MATCH($D4656,'Paramètres'!$M:$M,0))&amp;"",""))))</f>
        <v/>
      </c>
      <c r="M4656" s="6" t="str">
        <f>IF($D4656="","",IF(ISNA(MATCH($D4656,'Paramètres'!$M:$M,0)),"⚠ Type inconnu",IF($L4656="Crédit","",IFERROR(INDEX('Paramètres'!$O:$O,MATCH($D4656,'Paramètres'!$M:$M,0))&amp;"",""))))</f>
        <v/>
      </c>
      <c r="N4656" s="6" t="str">
        <f>IF($D4656="","",IFERROR(INDEX('Paramètres'!$Q:$Q,MATCH($D4656,'Paramètres'!$M:$M,0))&amp;"",""))</f>
        <v/>
      </c>
      <c r="O4656" s="6" t="str">
        <f>IF($A4656="","",IF(OR($J4656&lt;&gt;"x",$A4656&lt;=FinReleve),1,0))</f>
        <v/>
      </c>
      <c r="P4656" s="6" t="str">
        <f>IF($D4656="","",IF(AND($L4656="Crédit",OR(IFERROR(INDEX('Paramètres'!$O:$O,MATCH($D4656,'Paramètres'!$M:$M,0))&amp;"","")&lt;&gt;"",ISNUMBER(SEARCH("remboursement",IFERROR(INDEX('Paramètres'!$N:$N,MATCH($D4656,'Paramètres'!$M:$M,0))&amp;"",""))))),1,0))</f>
        <v/>
      </c>
      <c r="Q4656" s="6" t="str">
        <f>IF($K4656="","",IF(ISNUMBER(SEARCH("transfert-interne",IFERROR(INDEX('Paramètres'!$N:$N,MATCH($D4656,'Paramètres'!$M:$M,0))&amp;"",""))),0,IF($L4656="Débit",$K4656,IF($P4656=1,-$K4656,0))))</f>
        <v/>
      </c>
      <c r="R4656" s="6" t="str">
        <f>IF($K4656="","",IF($L4656="Crédit",$K4656,-$K4656))</f>
        <v/>
      </c>
      <c r="S4656" s="6" t="str">
        <f>IF($C4656="","",IFERROR(INDEX('Paramètres'!$H:$H,MATCH($C4656,'Paramètres'!$D:$D,0))&amp;"",""))</f>
        <v/>
      </c>
      <c r="T4656" s="6" t="str">
        <f>IF($K4656="","",IF($S4656="",0,IF(ISNUMBER(SEARCH("apport-exterieur",IFERROR(INDEX('Paramètres'!$N:$N,MATCH($D4656,'Paramètres'!$M:$M,0))&amp;"",""))),0,IF(OR(IFERROR(INDEX('Paramètres'!$I:$I,MATCH($C4656,'Paramètres'!$D:$D,0))&amp;"","")="Les deux",IFERROR(INDEX('Paramètres'!$I:$I,MATCH($C4656,'Paramètres'!$D:$D,0))&amp;"","")=IF($P4656=1,"Débit",$L4656)),-IF($P4656=1,-$K4656,$K4656),0))))</f>
        <v/>
      </c>
      <c r="U4656" s="6" t="str">
        <f>IF($K4656="","",IF(ISNUMBER(SEARCH("sortie-epargne",IFERROR(INDEX('Paramètres'!$N:$N,MATCH($D4656,'Paramètres'!$M:$M,0))&amp;"",""))),$K4656,0))</f>
        <v/>
      </c>
      <c r="V4656" s="6" t="str">
        <f>IF(AND($A4656&lt;&gt;"",$O4656=1,$L4656="Débit",N($Q4656)&gt;0,$A4656&gt;=Visualisation!$B$1,$A4656&lt;Visualisation!$D$1),MAX($V$1:V4655)+1,"")</f>
        <v/>
      </c>
    </row>
    <row r="4657" spans="1:22" x14ac:dyDescent="0.25">
      <c r="A4657" s="9"/>
      <c r="E4657" s="10"/>
      <c r="K4657" s="11" t="str">
        <f>IF($E4657="","",ROUND($E4657*IF(ISNA(MATCH($C4657,'Paramètres'!$D:$D,0)),1,IF(INDEX('Paramètres'!$J:$J,MATCH($C4657,'Paramètres'!$D:$D,0))="",1,INDEX('Paramètres'!$J:$J,MATCH($C4657,'Paramètres'!$D:$D,0)))),2))</f>
        <v/>
      </c>
      <c r="L4657" s="6" t="str">
        <f>IF($D4657="","",IF($F4657&lt;&gt;"",$F4657,IF(ISNA(MATCH($D4657,'Paramètres'!$M:$M,0)),"⚠ Type inconnu",IFERROR(INDEX('Paramètres'!$P:$P,MATCH($D4657,'Paramètres'!$M:$M,0))&amp;"",""))))</f>
        <v/>
      </c>
      <c r="M4657" s="6" t="str">
        <f>IF($D4657="","",IF(ISNA(MATCH($D4657,'Paramètres'!$M:$M,0)),"⚠ Type inconnu",IF($L4657="Crédit","",IFERROR(INDEX('Paramètres'!$O:$O,MATCH($D4657,'Paramètres'!$M:$M,0))&amp;"",""))))</f>
        <v/>
      </c>
      <c r="N4657" s="6" t="str">
        <f>IF($D4657="","",IFERROR(INDEX('Paramètres'!$Q:$Q,MATCH($D4657,'Paramètres'!$M:$M,0))&amp;"",""))</f>
        <v/>
      </c>
      <c r="O4657" s="6" t="str">
        <f>IF($A4657="","",IF(OR($J4657&lt;&gt;"x",$A4657&lt;=FinReleve),1,0))</f>
        <v/>
      </c>
      <c r="P4657" s="6" t="str">
        <f>IF($D4657="","",IF(AND($L4657="Crédit",OR(IFERROR(INDEX('Paramètres'!$O:$O,MATCH($D4657,'Paramètres'!$M:$M,0))&amp;"","")&lt;&gt;"",ISNUMBER(SEARCH("remboursement",IFERROR(INDEX('Paramètres'!$N:$N,MATCH($D4657,'Paramètres'!$M:$M,0))&amp;"",""))))),1,0))</f>
        <v/>
      </c>
      <c r="Q4657" s="6" t="str">
        <f>IF($K4657="","",IF(ISNUMBER(SEARCH("transfert-interne",IFERROR(INDEX('Paramètres'!$N:$N,MATCH($D4657,'Paramètres'!$M:$M,0))&amp;"",""))),0,IF($L4657="Débit",$K4657,IF($P4657=1,-$K4657,0))))</f>
        <v/>
      </c>
      <c r="R4657" s="6" t="str">
        <f>IF($K4657="","",IF($L4657="Crédit",$K4657,-$K4657))</f>
        <v/>
      </c>
      <c r="S4657" s="6" t="str">
        <f>IF($C4657="","",IFERROR(INDEX('Paramètres'!$H:$H,MATCH($C4657,'Paramètres'!$D:$D,0))&amp;"",""))</f>
        <v/>
      </c>
      <c r="T4657" s="6" t="str">
        <f>IF($K4657="","",IF($S4657="",0,IF(ISNUMBER(SEARCH("apport-exterieur",IFERROR(INDEX('Paramètres'!$N:$N,MATCH($D4657,'Paramètres'!$M:$M,0))&amp;"",""))),0,IF(OR(IFERROR(INDEX('Paramètres'!$I:$I,MATCH($C4657,'Paramètres'!$D:$D,0))&amp;"","")="Les deux",IFERROR(INDEX('Paramètres'!$I:$I,MATCH($C4657,'Paramètres'!$D:$D,0))&amp;"","")=IF($P4657=1,"Débit",$L4657)),-IF($P4657=1,-$K4657,$K4657),0))))</f>
        <v/>
      </c>
      <c r="U4657" s="6" t="str">
        <f>IF($K4657="","",IF(ISNUMBER(SEARCH("sortie-epargne",IFERROR(INDEX('Paramètres'!$N:$N,MATCH($D4657,'Paramètres'!$M:$M,0))&amp;"",""))),$K4657,0))</f>
        <v/>
      </c>
      <c r="V4657" s="6" t="str">
        <f>IF(AND($A4657&lt;&gt;"",$O4657=1,$L4657="Débit",N($Q4657)&gt;0,$A4657&gt;=Visualisation!$B$1,$A4657&lt;Visualisation!$D$1),MAX($V$1:V4656)+1,"")</f>
        <v/>
      </c>
    </row>
    <row r="4658" spans="1:22" x14ac:dyDescent="0.25">
      <c r="A4658" s="9"/>
      <c r="E4658" s="10"/>
      <c r="K4658" s="11" t="str">
        <f>IF($E4658="","",ROUND($E4658*IF(ISNA(MATCH($C4658,'Paramètres'!$D:$D,0)),1,IF(INDEX('Paramètres'!$J:$J,MATCH($C4658,'Paramètres'!$D:$D,0))="",1,INDEX('Paramètres'!$J:$J,MATCH($C4658,'Paramètres'!$D:$D,0)))),2))</f>
        <v/>
      </c>
      <c r="L4658" s="6" t="str">
        <f>IF($D4658="","",IF($F4658&lt;&gt;"",$F4658,IF(ISNA(MATCH($D4658,'Paramètres'!$M:$M,0)),"⚠ Type inconnu",IFERROR(INDEX('Paramètres'!$P:$P,MATCH($D4658,'Paramètres'!$M:$M,0))&amp;"",""))))</f>
        <v/>
      </c>
      <c r="M4658" s="6" t="str">
        <f>IF($D4658="","",IF(ISNA(MATCH($D4658,'Paramètres'!$M:$M,0)),"⚠ Type inconnu",IF($L4658="Crédit","",IFERROR(INDEX('Paramètres'!$O:$O,MATCH($D4658,'Paramètres'!$M:$M,0))&amp;"",""))))</f>
        <v/>
      </c>
      <c r="N4658" s="6" t="str">
        <f>IF($D4658="","",IFERROR(INDEX('Paramètres'!$Q:$Q,MATCH($D4658,'Paramètres'!$M:$M,0))&amp;"",""))</f>
        <v/>
      </c>
      <c r="O4658" s="6" t="str">
        <f>IF($A4658="","",IF(OR($J4658&lt;&gt;"x",$A4658&lt;=FinReleve),1,0))</f>
        <v/>
      </c>
      <c r="P4658" s="6" t="str">
        <f>IF($D4658="","",IF(AND($L4658="Crédit",OR(IFERROR(INDEX('Paramètres'!$O:$O,MATCH($D4658,'Paramètres'!$M:$M,0))&amp;"","")&lt;&gt;"",ISNUMBER(SEARCH("remboursement",IFERROR(INDEX('Paramètres'!$N:$N,MATCH($D4658,'Paramètres'!$M:$M,0))&amp;"",""))))),1,0))</f>
        <v/>
      </c>
      <c r="Q4658" s="6" t="str">
        <f>IF($K4658="","",IF(ISNUMBER(SEARCH("transfert-interne",IFERROR(INDEX('Paramètres'!$N:$N,MATCH($D4658,'Paramètres'!$M:$M,0))&amp;"",""))),0,IF($L4658="Débit",$K4658,IF($P4658=1,-$K4658,0))))</f>
        <v/>
      </c>
      <c r="R4658" s="6" t="str">
        <f>IF($K4658="","",IF($L4658="Crédit",$K4658,-$K4658))</f>
        <v/>
      </c>
      <c r="S4658" s="6" t="str">
        <f>IF($C4658="","",IFERROR(INDEX('Paramètres'!$H:$H,MATCH($C4658,'Paramètres'!$D:$D,0))&amp;"",""))</f>
        <v/>
      </c>
      <c r="T4658" s="6" t="str">
        <f>IF($K4658="","",IF($S4658="",0,IF(ISNUMBER(SEARCH("apport-exterieur",IFERROR(INDEX('Paramètres'!$N:$N,MATCH($D4658,'Paramètres'!$M:$M,0))&amp;"",""))),0,IF(OR(IFERROR(INDEX('Paramètres'!$I:$I,MATCH($C4658,'Paramètres'!$D:$D,0))&amp;"","")="Les deux",IFERROR(INDEX('Paramètres'!$I:$I,MATCH($C4658,'Paramètres'!$D:$D,0))&amp;"","")=IF($P4658=1,"Débit",$L4658)),-IF($P4658=1,-$K4658,$K4658),0))))</f>
        <v/>
      </c>
      <c r="U4658" s="6" t="str">
        <f>IF($K4658="","",IF(ISNUMBER(SEARCH("sortie-epargne",IFERROR(INDEX('Paramètres'!$N:$N,MATCH($D4658,'Paramètres'!$M:$M,0))&amp;"",""))),$K4658,0))</f>
        <v/>
      </c>
      <c r="V4658" s="6" t="str">
        <f>IF(AND($A4658&lt;&gt;"",$O4658=1,$L4658="Débit",N($Q4658)&gt;0,$A4658&gt;=Visualisation!$B$1,$A4658&lt;Visualisation!$D$1),MAX($V$1:V4657)+1,"")</f>
        <v/>
      </c>
    </row>
    <row r="4659" spans="1:22" x14ac:dyDescent="0.25">
      <c r="A4659" s="9"/>
      <c r="E4659" s="10"/>
      <c r="K4659" s="11" t="str">
        <f>IF($E4659="","",ROUND($E4659*IF(ISNA(MATCH($C4659,'Paramètres'!$D:$D,0)),1,IF(INDEX('Paramètres'!$J:$J,MATCH($C4659,'Paramètres'!$D:$D,0))="",1,INDEX('Paramètres'!$J:$J,MATCH($C4659,'Paramètres'!$D:$D,0)))),2))</f>
        <v/>
      </c>
      <c r="L4659" s="6" t="str">
        <f>IF($D4659="","",IF($F4659&lt;&gt;"",$F4659,IF(ISNA(MATCH($D4659,'Paramètres'!$M:$M,0)),"⚠ Type inconnu",IFERROR(INDEX('Paramètres'!$P:$P,MATCH($D4659,'Paramètres'!$M:$M,0))&amp;"",""))))</f>
        <v/>
      </c>
      <c r="M4659" s="6" t="str">
        <f>IF($D4659="","",IF(ISNA(MATCH($D4659,'Paramètres'!$M:$M,0)),"⚠ Type inconnu",IF($L4659="Crédit","",IFERROR(INDEX('Paramètres'!$O:$O,MATCH($D4659,'Paramètres'!$M:$M,0))&amp;"",""))))</f>
        <v/>
      </c>
      <c r="N4659" s="6" t="str">
        <f>IF($D4659="","",IFERROR(INDEX('Paramètres'!$Q:$Q,MATCH($D4659,'Paramètres'!$M:$M,0))&amp;"",""))</f>
        <v/>
      </c>
      <c r="O4659" s="6" t="str">
        <f>IF($A4659="","",IF(OR($J4659&lt;&gt;"x",$A4659&lt;=FinReleve),1,0))</f>
        <v/>
      </c>
      <c r="P4659" s="6" t="str">
        <f>IF($D4659="","",IF(AND($L4659="Crédit",OR(IFERROR(INDEX('Paramètres'!$O:$O,MATCH($D4659,'Paramètres'!$M:$M,0))&amp;"","")&lt;&gt;"",ISNUMBER(SEARCH("remboursement",IFERROR(INDEX('Paramètres'!$N:$N,MATCH($D4659,'Paramètres'!$M:$M,0))&amp;"",""))))),1,0))</f>
        <v/>
      </c>
      <c r="Q4659" s="6" t="str">
        <f>IF($K4659="","",IF(ISNUMBER(SEARCH("transfert-interne",IFERROR(INDEX('Paramètres'!$N:$N,MATCH($D4659,'Paramètres'!$M:$M,0))&amp;"",""))),0,IF($L4659="Débit",$K4659,IF($P4659=1,-$K4659,0))))</f>
        <v/>
      </c>
      <c r="R4659" s="6" t="str">
        <f>IF($K4659="","",IF($L4659="Crédit",$K4659,-$K4659))</f>
        <v/>
      </c>
      <c r="S4659" s="6" t="str">
        <f>IF($C4659="","",IFERROR(INDEX('Paramètres'!$H:$H,MATCH($C4659,'Paramètres'!$D:$D,0))&amp;"",""))</f>
        <v/>
      </c>
      <c r="T4659" s="6" t="str">
        <f>IF($K4659="","",IF($S4659="",0,IF(ISNUMBER(SEARCH("apport-exterieur",IFERROR(INDEX('Paramètres'!$N:$N,MATCH($D4659,'Paramètres'!$M:$M,0))&amp;"",""))),0,IF(OR(IFERROR(INDEX('Paramètres'!$I:$I,MATCH($C4659,'Paramètres'!$D:$D,0))&amp;"","")="Les deux",IFERROR(INDEX('Paramètres'!$I:$I,MATCH($C4659,'Paramètres'!$D:$D,0))&amp;"","")=IF($P4659=1,"Débit",$L4659)),-IF($P4659=1,-$K4659,$K4659),0))))</f>
        <v/>
      </c>
      <c r="U4659" s="6" t="str">
        <f>IF($K4659="","",IF(ISNUMBER(SEARCH("sortie-epargne",IFERROR(INDEX('Paramètres'!$N:$N,MATCH($D4659,'Paramètres'!$M:$M,0))&amp;"",""))),$K4659,0))</f>
        <v/>
      </c>
      <c r="V4659" s="6" t="str">
        <f>IF(AND($A4659&lt;&gt;"",$O4659=1,$L4659="Débit",N($Q4659)&gt;0,$A4659&gt;=Visualisation!$B$1,$A4659&lt;Visualisation!$D$1),MAX($V$1:V4658)+1,"")</f>
        <v/>
      </c>
    </row>
    <row r="4660" spans="1:22" x14ac:dyDescent="0.25">
      <c r="A4660" s="9"/>
      <c r="E4660" s="10"/>
      <c r="K4660" s="11" t="str">
        <f>IF($E4660="","",ROUND($E4660*IF(ISNA(MATCH($C4660,'Paramètres'!$D:$D,0)),1,IF(INDEX('Paramètres'!$J:$J,MATCH($C4660,'Paramètres'!$D:$D,0))="",1,INDEX('Paramètres'!$J:$J,MATCH($C4660,'Paramètres'!$D:$D,0)))),2))</f>
        <v/>
      </c>
      <c r="L4660" s="6" t="str">
        <f>IF($D4660="","",IF($F4660&lt;&gt;"",$F4660,IF(ISNA(MATCH($D4660,'Paramètres'!$M:$M,0)),"⚠ Type inconnu",IFERROR(INDEX('Paramètres'!$P:$P,MATCH($D4660,'Paramètres'!$M:$M,0))&amp;"",""))))</f>
        <v/>
      </c>
      <c r="M4660" s="6" t="str">
        <f>IF($D4660="","",IF(ISNA(MATCH($D4660,'Paramètres'!$M:$M,0)),"⚠ Type inconnu",IF($L4660="Crédit","",IFERROR(INDEX('Paramètres'!$O:$O,MATCH($D4660,'Paramètres'!$M:$M,0))&amp;"",""))))</f>
        <v/>
      </c>
      <c r="N4660" s="6" t="str">
        <f>IF($D4660="","",IFERROR(INDEX('Paramètres'!$Q:$Q,MATCH($D4660,'Paramètres'!$M:$M,0))&amp;"",""))</f>
        <v/>
      </c>
      <c r="O4660" s="6" t="str">
        <f>IF($A4660="","",IF(OR($J4660&lt;&gt;"x",$A4660&lt;=FinReleve),1,0))</f>
        <v/>
      </c>
      <c r="P4660" s="6" t="str">
        <f>IF($D4660="","",IF(AND($L4660="Crédit",OR(IFERROR(INDEX('Paramètres'!$O:$O,MATCH($D4660,'Paramètres'!$M:$M,0))&amp;"","")&lt;&gt;"",ISNUMBER(SEARCH("remboursement",IFERROR(INDEX('Paramètres'!$N:$N,MATCH($D4660,'Paramètres'!$M:$M,0))&amp;"",""))))),1,0))</f>
        <v/>
      </c>
      <c r="Q4660" s="6" t="str">
        <f>IF($K4660="","",IF(ISNUMBER(SEARCH("transfert-interne",IFERROR(INDEX('Paramètres'!$N:$N,MATCH($D4660,'Paramètres'!$M:$M,0))&amp;"",""))),0,IF($L4660="Débit",$K4660,IF($P4660=1,-$K4660,0))))</f>
        <v/>
      </c>
      <c r="R4660" s="6" t="str">
        <f>IF($K4660="","",IF($L4660="Crédit",$K4660,-$K4660))</f>
        <v/>
      </c>
      <c r="S4660" s="6" t="str">
        <f>IF($C4660="","",IFERROR(INDEX('Paramètres'!$H:$H,MATCH($C4660,'Paramètres'!$D:$D,0))&amp;"",""))</f>
        <v/>
      </c>
      <c r="T4660" s="6" t="str">
        <f>IF($K4660="","",IF($S4660="",0,IF(ISNUMBER(SEARCH("apport-exterieur",IFERROR(INDEX('Paramètres'!$N:$N,MATCH($D4660,'Paramètres'!$M:$M,0))&amp;"",""))),0,IF(OR(IFERROR(INDEX('Paramètres'!$I:$I,MATCH($C4660,'Paramètres'!$D:$D,0))&amp;"","")="Les deux",IFERROR(INDEX('Paramètres'!$I:$I,MATCH($C4660,'Paramètres'!$D:$D,0))&amp;"","")=IF($P4660=1,"Débit",$L4660)),-IF($P4660=1,-$K4660,$K4660),0))))</f>
        <v/>
      </c>
      <c r="U4660" s="6" t="str">
        <f>IF($K4660="","",IF(ISNUMBER(SEARCH("sortie-epargne",IFERROR(INDEX('Paramètres'!$N:$N,MATCH($D4660,'Paramètres'!$M:$M,0))&amp;"",""))),$K4660,0))</f>
        <v/>
      </c>
      <c r="V4660" s="6" t="str">
        <f>IF(AND($A4660&lt;&gt;"",$O4660=1,$L4660="Débit",N($Q4660)&gt;0,$A4660&gt;=Visualisation!$B$1,$A4660&lt;Visualisation!$D$1),MAX($V$1:V4659)+1,"")</f>
        <v/>
      </c>
    </row>
    <row r="4661" spans="1:22" x14ac:dyDescent="0.25">
      <c r="A4661" s="9"/>
      <c r="E4661" s="10"/>
      <c r="K4661" s="11" t="str">
        <f>IF($E4661="","",ROUND($E4661*IF(ISNA(MATCH($C4661,'Paramètres'!$D:$D,0)),1,IF(INDEX('Paramètres'!$J:$J,MATCH($C4661,'Paramètres'!$D:$D,0))="",1,INDEX('Paramètres'!$J:$J,MATCH($C4661,'Paramètres'!$D:$D,0)))),2))</f>
        <v/>
      </c>
      <c r="L4661" s="6" t="str">
        <f>IF($D4661="","",IF($F4661&lt;&gt;"",$F4661,IF(ISNA(MATCH($D4661,'Paramètres'!$M:$M,0)),"⚠ Type inconnu",IFERROR(INDEX('Paramètres'!$P:$P,MATCH($D4661,'Paramètres'!$M:$M,0))&amp;"",""))))</f>
        <v/>
      </c>
      <c r="M4661" s="6" t="str">
        <f>IF($D4661="","",IF(ISNA(MATCH($D4661,'Paramètres'!$M:$M,0)),"⚠ Type inconnu",IF($L4661="Crédit","",IFERROR(INDEX('Paramètres'!$O:$O,MATCH($D4661,'Paramètres'!$M:$M,0))&amp;"",""))))</f>
        <v/>
      </c>
      <c r="N4661" s="6" t="str">
        <f>IF($D4661="","",IFERROR(INDEX('Paramètres'!$Q:$Q,MATCH($D4661,'Paramètres'!$M:$M,0))&amp;"",""))</f>
        <v/>
      </c>
      <c r="O4661" s="6" t="str">
        <f>IF($A4661="","",IF(OR($J4661&lt;&gt;"x",$A4661&lt;=FinReleve),1,0))</f>
        <v/>
      </c>
      <c r="P4661" s="6" t="str">
        <f>IF($D4661="","",IF(AND($L4661="Crédit",OR(IFERROR(INDEX('Paramètres'!$O:$O,MATCH($D4661,'Paramètres'!$M:$M,0))&amp;"","")&lt;&gt;"",ISNUMBER(SEARCH("remboursement",IFERROR(INDEX('Paramètres'!$N:$N,MATCH($D4661,'Paramètres'!$M:$M,0))&amp;"",""))))),1,0))</f>
        <v/>
      </c>
      <c r="Q4661" s="6" t="str">
        <f>IF($K4661="","",IF(ISNUMBER(SEARCH("transfert-interne",IFERROR(INDEX('Paramètres'!$N:$N,MATCH($D4661,'Paramètres'!$M:$M,0))&amp;"",""))),0,IF($L4661="Débit",$K4661,IF($P4661=1,-$K4661,0))))</f>
        <v/>
      </c>
      <c r="R4661" s="6" t="str">
        <f>IF($K4661="","",IF($L4661="Crédit",$K4661,-$K4661))</f>
        <v/>
      </c>
      <c r="S4661" s="6" t="str">
        <f>IF($C4661="","",IFERROR(INDEX('Paramètres'!$H:$H,MATCH($C4661,'Paramètres'!$D:$D,0))&amp;"",""))</f>
        <v/>
      </c>
      <c r="T4661" s="6" t="str">
        <f>IF($K4661="","",IF($S4661="",0,IF(ISNUMBER(SEARCH("apport-exterieur",IFERROR(INDEX('Paramètres'!$N:$N,MATCH($D4661,'Paramètres'!$M:$M,0))&amp;"",""))),0,IF(OR(IFERROR(INDEX('Paramètres'!$I:$I,MATCH($C4661,'Paramètres'!$D:$D,0))&amp;"","")="Les deux",IFERROR(INDEX('Paramètres'!$I:$I,MATCH($C4661,'Paramètres'!$D:$D,0))&amp;"","")=IF($P4661=1,"Débit",$L4661)),-IF($P4661=1,-$K4661,$K4661),0))))</f>
        <v/>
      </c>
      <c r="U4661" s="6" t="str">
        <f>IF($K4661="","",IF(ISNUMBER(SEARCH("sortie-epargne",IFERROR(INDEX('Paramètres'!$N:$N,MATCH($D4661,'Paramètres'!$M:$M,0))&amp;"",""))),$K4661,0))</f>
        <v/>
      </c>
      <c r="V4661" s="6" t="str">
        <f>IF(AND($A4661&lt;&gt;"",$O4661=1,$L4661="Débit",N($Q4661)&gt;0,$A4661&gt;=Visualisation!$B$1,$A4661&lt;Visualisation!$D$1),MAX($V$1:V4660)+1,"")</f>
        <v/>
      </c>
    </row>
    <row r="4662" spans="1:22" x14ac:dyDescent="0.25">
      <c r="A4662" s="9"/>
      <c r="E4662" s="10"/>
      <c r="K4662" s="11" t="str">
        <f>IF($E4662="","",ROUND($E4662*IF(ISNA(MATCH($C4662,'Paramètres'!$D:$D,0)),1,IF(INDEX('Paramètres'!$J:$J,MATCH($C4662,'Paramètres'!$D:$D,0))="",1,INDEX('Paramètres'!$J:$J,MATCH($C4662,'Paramètres'!$D:$D,0)))),2))</f>
        <v/>
      </c>
      <c r="L4662" s="6" t="str">
        <f>IF($D4662="","",IF($F4662&lt;&gt;"",$F4662,IF(ISNA(MATCH($D4662,'Paramètres'!$M:$M,0)),"⚠ Type inconnu",IFERROR(INDEX('Paramètres'!$P:$P,MATCH($D4662,'Paramètres'!$M:$M,0))&amp;"",""))))</f>
        <v/>
      </c>
      <c r="M4662" s="6" t="str">
        <f>IF($D4662="","",IF(ISNA(MATCH($D4662,'Paramètres'!$M:$M,0)),"⚠ Type inconnu",IF($L4662="Crédit","",IFERROR(INDEX('Paramètres'!$O:$O,MATCH($D4662,'Paramètres'!$M:$M,0))&amp;"",""))))</f>
        <v/>
      </c>
      <c r="N4662" s="6" t="str">
        <f>IF($D4662="","",IFERROR(INDEX('Paramètres'!$Q:$Q,MATCH($D4662,'Paramètres'!$M:$M,0))&amp;"",""))</f>
        <v/>
      </c>
      <c r="O4662" s="6" t="str">
        <f>IF($A4662="","",IF(OR($J4662&lt;&gt;"x",$A4662&lt;=FinReleve),1,0))</f>
        <v/>
      </c>
      <c r="P4662" s="6" t="str">
        <f>IF($D4662="","",IF(AND($L4662="Crédit",OR(IFERROR(INDEX('Paramètres'!$O:$O,MATCH($D4662,'Paramètres'!$M:$M,0))&amp;"","")&lt;&gt;"",ISNUMBER(SEARCH("remboursement",IFERROR(INDEX('Paramètres'!$N:$N,MATCH($D4662,'Paramètres'!$M:$M,0))&amp;"",""))))),1,0))</f>
        <v/>
      </c>
      <c r="Q4662" s="6" t="str">
        <f>IF($K4662="","",IF(ISNUMBER(SEARCH("transfert-interne",IFERROR(INDEX('Paramètres'!$N:$N,MATCH($D4662,'Paramètres'!$M:$M,0))&amp;"",""))),0,IF($L4662="Débit",$K4662,IF($P4662=1,-$K4662,0))))</f>
        <v/>
      </c>
      <c r="R4662" s="6" t="str">
        <f>IF($K4662="","",IF($L4662="Crédit",$K4662,-$K4662))</f>
        <v/>
      </c>
      <c r="S4662" s="6" t="str">
        <f>IF($C4662="","",IFERROR(INDEX('Paramètres'!$H:$H,MATCH($C4662,'Paramètres'!$D:$D,0))&amp;"",""))</f>
        <v/>
      </c>
      <c r="T4662" s="6" t="str">
        <f>IF($K4662="","",IF($S4662="",0,IF(ISNUMBER(SEARCH("apport-exterieur",IFERROR(INDEX('Paramètres'!$N:$N,MATCH($D4662,'Paramètres'!$M:$M,0))&amp;"",""))),0,IF(OR(IFERROR(INDEX('Paramètres'!$I:$I,MATCH($C4662,'Paramètres'!$D:$D,0))&amp;"","")="Les deux",IFERROR(INDEX('Paramètres'!$I:$I,MATCH($C4662,'Paramètres'!$D:$D,0))&amp;"","")=IF($P4662=1,"Débit",$L4662)),-IF($P4662=1,-$K4662,$K4662),0))))</f>
        <v/>
      </c>
      <c r="U4662" s="6" t="str">
        <f>IF($K4662="","",IF(ISNUMBER(SEARCH("sortie-epargne",IFERROR(INDEX('Paramètres'!$N:$N,MATCH($D4662,'Paramètres'!$M:$M,0))&amp;"",""))),$K4662,0))</f>
        <v/>
      </c>
      <c r="V4662" s="6" t="str">
        <f>IF(AND($A4662&lt;&gt;"",$O4662=1,$L4662="Débit",N($Q4662)&gt;0,$A4662&gt;=Visualisation!$B$1,$A4662&lt;Visualisation!$D$1),MAX($V$1:V4661)+1,"")</f>
        <v/>
      </c>
    </row>
    <row r="4663" spans="1:22" x14ac:dyDescent="0.25">
      <c r="A4663" s="9"/>
      <c r="E4663" s="10"/>
      <c r="K4663" s="11" t="str">
        <f>IF($E4663="","",ROUND($E4663*IF(ISNA(MATCH($C4663,'Paramètres'!$D:$D,0)),1,IF(INDEX('Paramètres'!$J:$J,MATCH($C4663,'Paramètres'!$D:$D,0))="",1,INDEX('Paramètres'!$J:$J,MATCH($C4663,'Paramètres'!$D:$D,0)))),2))</f>
        <v/>
      </c>
      <c r="L4663" s="6" t="str">
        <f>IF($D4663="","",IF($F4663&lt;&gt;"",$F4663,IF(ISNA(MATCH($D4663,'Paramètres'!$M:$M,0)),"⚠ Type inconnu",IFERROR(INDEX('Paramètres'!$P:$P,MATCH($D4663,'Paramètres'!$M:$M,0))&amp;"",""))))</f>
        <v/>
      </c>
      <c r="M4663" s="6" t="str">
        <f>IF($D4663="","",IF(ISNA(MATCH($D4663,'Paramètres'!$M:$M,0)),"⚠ Type inconnu",IF($L4663="Crédit","",IFERROR(INDEX('Paramètres'!$O:$O,MATCH($D4663,'Paramètres'!$M:$M,0))&amp;"",""))))</f>
        <v/>
      </c>
      <c r="N4663" s="6" t="str">
        <f>IF($D4663="","",IFERROR(INDEX('Paramètres'!$Q:$Q,MATCH($D4663,'Paramètres'!$M:$M,0))&amp;"",""))</f>
        <v/>
      </c>
      <c r="O4663" s="6" t="str">
        <f>IF($A4663="","",IF(OR($J4663&lt;&gt;"x",$A4663&lt;=FinReleve),1,0))</f>
        <v/>
      </c>
      <c r="P4663" s="6" t="str">
        <f>IF($D4663="","",IF(AND($L4663="Crédit",OR(IFERROR(INDEX('Paramètres'!$O:$O,MATCH($D4663,'Paramètres'!$M:$M,0))&amp;"","")&lt;&gt;"",ISNUMBER(SEARCH("remboursement",IFERROR(INDEX('Paramètres'!$N:$N,MATCH($D4663,'Paramètres'!$M:$M,0))&amp;"",""))))),1,0))</f>
        <v/>
      </c>
      <c r="Q4663" s="6" t="str">
        <f>IF($K4663="","",IF(ISNUMBER(SEARCH("transfert-interne",IFERROR(INDEX('Paramètres'!$N:$N,MATCH($D4663,'Paramètres'!$M:$M,0))&amp;"",""))),0,IF($L4663="Débit",$K4663,IF($P4663=1,-$K4663,0))))</f>
        <v/>
      </c>
      <c r="R4663" s="6" t="str">
        <f>IF($K4663="","",IF($L4663="Crédit",$K4663,-$K4663))</f>
        <v/>
      </c>
      <c r="S4663" s="6" t="str">
        <f>IF($C4663="","",IFERROR(INDEX('Paramètres'!$H:$H,MATCH($C4663,'Paramètres'!$D:$D,0))&amp;"",""))</f>
        <v/>
      </c>
      <c r="T4663" s="6" t="str">
        <f>IF($K4663="","",IF($S4663="",0,IF(ISNUMBER(SEARCH("apport-exterieur",IFERROR(INDEX('Paramètres'!$N:$N,MATCH($D4663,'Paramètres'!$M:$M,0))&amp;"",""))),0,IF(OR(IFERROR(INDEX('Paramètres'!$I:$I,MATCH($C4663,'Paramètres'!$D:$D,0))&amp;"","")="Les deux",IFERROR(INDEX('Paramètres'!$I:$I,MATCH($C4663,'Paramètres'!$D:$D,0))&amp;"","")=IF($P4663=1,"Débit",$L4663)),-IF($P4663=1,-$K4663,$K4663),0))))</f>
        <v/>
      </c>
      <c r="U4663" s="6" t="str">
        <f>IF($K4663="","",IF(ISNUMBER(SEARCH("sortie-epargne",IFERROR(INDEX('Paramètres'!$N:$N,MATCH($D4663,'Paramètres'!$M:$M,0))&amp;"",""))),$K4663,0))</f>
        <v/>
      </c>
      <c r="V4663" s="6" t="str">
        <f>IF(AND($A4663&lt;&gt;"",$O4663=1,$L4663="Débit",N($Q4663)&gt;0,$A4663&gt;=Visualisation!$B$1,$A4663&lt;Visualisation!$D$1),MAX($V$1:V4662)+1,"")</f>
        <v/>
      </c>
    </row>
    <row r="4664" spans="1:22" x14ac:dyDescent="0.25">
      <c r="A4664" s="9"/>
      <c r="E4664" s="10"/>
      <c r="K4664" s="11" t="str">
        <f>IF($E4664="","",ROUND($E4664*IF(ISNA(MATCH($C4664,'Paramètres'!$D:$D,0)),1,IF(INDEX('Paramètres'!$J:$J,MATCH($C4664,'Paramètres'!$D:$D,0))="",1,INDEX('Paramètres'!$J:$J,MATCH($C4664,'Paramètres'!$D:$D,0)))),2))</f>
        <v/>
      </c>
      <c r="L4664" s="6" t="str">
        <f>IF($D4664="","",IF($F4664&lt;&gt;"",$F4664,IF(ISNA(MATCH($D4664,'Paramètres'!$M:$M,0)),"⚠ Type inconnu",IFERROR(INDEX('Paramètres'!$P:$P,MATCH($D4664,'Paramètres'!$M:$M,0))&amp;"",""))))</f>
        <v/>
      </c>
      <c r="M4664" s="6" t="str">
        <f>IF($D4664="","",IF(ISNA(MATCH($D4664,'Paramètres'!$M:$M,0)),"⚠ Type inconnu",IF($L4664="Crédit","",IFERROR(INDEX('Paramètres'!$O:$O,MATCH($D4664,'Paramètres'!$M:$M,0))&amp;"",""))))</f>
        <v/>
      </c>
      <c r="N4664" s="6" t="str">
        <f>IF($D4664="","",IFERROR(INDEX('Paramètres'!$Q:$Q,MATCH($D4664,'Paramètres'!$M:$M,0))&amp;"",""))</f>
        <v/>
      </c>
      <c r="O4664" s="6" t="str">
        <f>IF($A4664="","",IF(OR($J4664&lt;&gt;"x",$A4664&lt;=FinReleve),1,0))</f>
        <v/>
      </c>
      <c r="P4664" s="6" t="str">
        <f>IF($D4664="","",IF(AND($L4664="Crédit",OR(IFERROR(INDEX('Paramètres'!$O:$O,MATCH($D4664,'Paramètres'!$M:$M,0))&amp;"","")&lt;&gt;"",ISNUMBER(SEARCH("remboursement",IFERROR(INDEX('Paramètres'!$N:$N,MATCH($D4664,'Paramètres'!$M:$M,0))&amp;"",""))))),1,0))</f>
        <v/>
      </c>
      <c r="Q4664" s="6" t="str">
        <f>IF($K4664="","",IF(ISNUMBER(SEARCH("transfert-interne",IFERROR(INDEX('Paramètres'!$N:$N,MATCH($D4664,'Paramètres'!$M:$M,0))&amp;"",""))),0,IF($L4664="Débit",$K4664,IF($P4664=1,-$K4664,0))))</f>
        <v/>
      </c>
      <c r="R4664" s="6" t="str">
        <f>IF($K4664="","",IF($L4664="Crédit",$K4664,-$K4664))</f>
        <v/>
      </c>
      <c r="S4664" s="6" t="str">
        <f>IF($C4664="","",IFERROR(INDEX('Paramètres'!$H:$H,MATCH($C4664,'Paramètres'!$D:$D,0))&amp;"",""))</f>
        <v/>
      </c>
      <c r="T4664" s="6" t="str">
        <f>IF($K4664="","",IF($S4664="",0,IF(ISNUMBER(SEARCH("apport-exterieur",IFERROR(INDEX('Paramètres'!$N:$N,MATCH($D4664,'Paramètres'!$M:$M,0))&amp;"",""))),0,IF(OR(IFERROR(INDEX('Paramètres'!$I:$I,MATCH($C4664,'Paramètres'!$D:$D,0))&amp;"","")="Les deux",IFERROR(INDEX('Paramètres'!$I:$I,MATCH($C4664,'Paramètres'!$D:$D,0))&amp;"","")=IF($P4664=1,"Débit",$L4664)),-IF($P4664=1,-$K4664,$K4664),0))))</f>
        <v/>
      </c>
      <c r="U4664" s="6" t="str">
        <f>IF($K4664="","",IF(ISNUMBER(SEARCH("sortie-epargne",IFERROR(INDEX('Paramètres'!$N:$N,MATCH($D4664,'Paramètres'!$M:$M,0))&amp;"",""))),$K4664,0))</f>
        <v/>
      </c>
      <c r="V4664" s="6" t="str">
        <f>IF(AND($A4664&lt;&gt;"",$O4664=1,$L4664="Débit",N($Q4664)&gt;0,$A4664&gt;=Visualisation!$B$1,$A4664&lt;Visualisation!$D$1),MAX($V$1:V4663)+1,"")</f>
        <v/>
      </c>
    </row>
    <row r="4665" spans="1:22" x14ac:dyDescent="0.25">
      <c r="A4665" s="9"/>
      <c r="E4665" s="10"/>
      <c r="K4665" s="11" t="str">
        <f>IF($E4665="","",ROUND($E4665*IF(ISNA(MATCH($C4665,'Paramètres'!$D:$D,0)),1,IF(INDEX('Paramètres'!$J:$J,MATCH($C4665,'Paramètres'!$D:$D,0))="",1,INDEX('Paramètres'!$J:$J,MATCH($C4665,'Paramètres'!$D:$D,0)))),2))</f>
        <v/>
      </c>
      <c r="L4665" s="6" t="str">
        <f>IF($D4665="","",IF($F4665&lt;&gt;"",$F4665,IF(ISNA(MATCH($D4665,'Paramètres'!$M:$M,0)),"⚠ Type inconnu",IFERROR(INDEX('Paramètres'!$P:$P,MATCH($D4665,'Paramètres'!$M:$M,0))&amp;"",""))))</f>
        <v/>
      </c>
      <c r="M4665" s="6" t="str">
        <f>IF($D4665="","",IF(ISNA(MATCH($D4665,'Paramètres'!$M:$M,0)),"⚠ Type inconnu",IF($L4665="Crédit","",IFERROR(INDEX('Paramètres'!$O:$O,MATCH($D4665,'Paramètres'!$M:$M,0))&amp;"",""))))</f>
        <v/>
      </c>
      <c r="N4665" s="6" t="str">
        <f>IF($D4665="","",IFERROR(INDEX('Paramètres'!$Q:$Q,MATCH($D4665,'Paramètres'!$M:$M,0))&amp;"",""))</f>
        <v/>
      </c>
      <c r="O4665" s="6" t="str">
        <f>IF($A4665="","",IF(OR($J4665&lt;&gt;"x",$A4665&lt;=FinReleve),1,0))</f>
        <v/>
      </c>
      <c r="P4665" s="6" t="str">
        <f>IF($D4665="","",IF(AND($L4665="Crédit",OR(IFERROR(INDEX('Paramètres'!$O:$O,MATCH($D4665,'Paramètres'!$M:$M,0))&amp;"","")&lt;&gt;"",ISNUMBER(SEARCH("remboursement",IFERROR(INDEX('Paramètres'!$N:$N,MATCH($D4665,'Paramètres'!$M:$M,0))&amp;"",""))))),1,0))</f>
        <v/>
      </c>
      <c r="Q4665" s="6" t="str">
        <f>IF($K4665="","",IF(ISNUMBER(SEARCH("transfert-interne",IFERROR(INDEX('Paramètres'!$N:$N,MATCH($D4665,'Paramètres'!$M:$M,0))&amp;"",""))),0,IF($L4665="Débit",$K4665,IF($P4665=1,-$K4665,0))))</f>
        <v/>
      </c>
      <c r="R4665" s="6" t="str">
        <f>IF($K4665="","",IF($L4665="Crédit",$K4665,-$K4665))</f>
        <v/>
      </c>
      <c r="S4665" s="6" t="str">
        <f>IF($C4665="","",IFERROR(INDEX('Paramètres'!$H:$H,MATCH($C4665,'Paramètres'!$D:$D,0))&amp;"",""))</f>
        <v/>
      </c>
      <c r="T4665" s="6" t="str">
        <f>IF($K4665="","",IF($S4665="",0,IF(ISNUMBER(SEARCH("apport-exterieur",IFERROR(INDEX('Paramètres'!$N:$N,MATCH($D4665,'Paramètres'!$M:$M,0))&amp;"",""))),0,IF(OR(IFERROR(INDEX('Paramètres'!$I:$I,MATCH($C4665,'Paramètres'!$D:$D,0))&amp;"","")="Les deux",IFERROR(INDEX('Paramètres'!$I:$I,MATCH($C4665,'Paramètres'!$D:$D,0))&amp;"","")=IF($P4665=1,"Débit",$L4665)),-IF($P4665=1,-$K4665,$K4665),0))))</f>
        <v/>
      </c>
      <c r="U4665" s="6" t="str">
        <f>IF($K4665="","",IF(ISNUMBER(SEARCH("sortie-epargne",IFERROR(INDEX('Paramètres'!$N:$N,MATCH($D4665,'Paramètres'!$M:$M,0))&amp;"",""))),$K4665,0))</f>
        <v/>
      </c>
      <c r="V4665" s="6" t="str">
        <f>IF(AND($A4665&lt;&gt;"",$O4665=1,$L4665="Débit",N($Q4665)&gt;0,$A4665&gt;=Visualisation!$B$1,$A4665&lt;Visualisation!$D$1),MAX($V$1:V4664)+1,"")</f>
        <v/>
      </c>
    </row>
    <row r="4666" spans="1:22" x14ac:dyDescent="0.25">
      <c r="A4666" s="9"/>
      <c r="E4666" s="10"/>
      <c r="K4666" s="11" t="str">
        <f>IF($E4666="","",ROUND($E4666*IF(ISNA(MATCH($C4666,'Paramètres'!$D:$D,0)),1,IF(INDEX('Paramètres'!$J:$J,MATCH($C4666,'Paramètres'!$D:$D,0))="",1,INDEX('Paramètres'!$J:$J,MATCH($C4666,'Paramètres'!$D:$D,0)))),2))</f>
        <v/>
      </c>
      <c r="L4666" s="6" t="str">
        <f>IF($D4666="","",IF($F4666&lt;&gt;"",$F4666,IF(ISNA(MATCH($D4666,'Paramètres'!$M:$M,0)),"⚠ Type inconnu",IFERROR(INDEX('Paramètres'!$P:$P,MATCH($D4666,'Paramètres'!$M:$M,0))&amp;"",""))))</f>
        <v/>
      </c>
      <c r="M4666" s="6" t="str">
        <f>IF($D4666="","",IF(ISNA(MATCH($D4666,'Paramètres'!$M:$M,0)),"⚠ Type inconnu",IF($L4666="Crédit","",IFERROR(INDEX('Paramètres'!$O:$O,MATCH($D4666,'Paramètres'!$M:$M,0))&amp;"",""))))</f>
        <v/>
      </c>
      <c r="N4666" s="6" t="str">
        <f>IF($D4666="","",IFERROR(INDEX('Paramètres'!$Q:$Q,MATCH($D4666,'Paramètres'!$M:$M,0))&amp;"",""))</f>
        <v/>
      </c>
      <c r="O4666" s="6" t="str">
        <f>IF($A4666="","",IF(OR($J4666&lt;&gt;"x",$A4666&lt;=FinReleve),1,0))</f>
        <v/>
      </c>
      <c r="P4666" s="6" t="str">
        <f>IF($D4666="","",IF(AND($L4666="Crédit",OR(IFERROR(INDEX('Paramètres'!$O:$O,MATCH($D4666,'Paramètres'!$M:$M,0))&amp;"","")&lt;&gt;"",ISNUMBER(SEARCH("remboursement",IFERROR(INDEX('Paramètres'!$N:$N,MATCH($D4666,'Paramètres'!$M:$M,0))&amp;"",""))))),1,0))</f>
        <v/>
      </c>
      <c r="Q4666" s="6" t="str">
        <f>IF($K4666="","",IF(ISNUMBER(SEARCH("transfert-interne",IFERROR(INDEX('Paramètres'!$N:$N,MATCH($D4666,'Paramètres'!$M:$M,0))&amp;"",""))),0,IF($L4666="Débit",$K4666,IF($P4666=1,-$K4666,0))))</f>
        <v/>
      </c>
      <c r="R4666" s="6" t="str">
        <f>IF($K4666="","",IF($L4666="Crédit",$K4666,-$K4666))</f>
        <v/>
      </c>
      <c r="S4666" s="6" t="str">
        <f>IF($C4666="","",IFERROR(INDEX('Paramètres'!$H:$H,MATCH($C4666,'Paramètres'!$D:$D,0))&amp;"",""))</f>
        <v/>
      </c>
      <c r="T4666" s="6" t="str">
        <f>IF($K4666="","",IF($S4666="",0,IF(ISNUMBER(SEARCH("apport-exterieur",IFERROR(INDEX('Paramètres'!$N:$N,MATCH($D4666,'Paramètres'!$M:$M,0))&amp;"",""))),0,IF(OR(IFERROR(INDEX('Paramètres'!$I:$I,MATCH($C4666,'Paramètres'!$D:$D,0))&amp;"","")="Les deux",IFERROR(INDEX('Paramètres'!$I:$I,MATCH($C4666,'Paramètres'!$D:$D,0))&amp;"","")=IF($P4666=1,"Débit",$L4666)),-IF($P4666=1,-$K4666,$K4666),0))))</f>
        <v/>
      </c>
      <c r="U4666" s="6" t="str">
        <f>IF($K4666="","",IF(ISNUMBER(SEARCH("sortie-epargne",IFERROR(INDEX('Paramètres'!$N:$N,MATCH($D4666,'Paramètres'!$M:$M,0))&amp;"",""))),$K4666,0))</f>
        <v/>
      </c>
      <c r="V4666" s="6" t="str">
        <f>IF(AND($A4666&lt;&gt;"",$O4666=1,$L4666="Débit",N($Q4666)&gt;0,$A4666&gt;=Visualisation!$B$1,$A4666&lt;Visualisation!$D$1),MAX($V$1:V4665)+1,"")</f>
        <v/>
      </c>
    </row>
    <row r="4667" spans="1:22" x14ac:dyDescent="0.25">
      <c r="A4667" s="9"/>
      <c r="E4667" s="10"/>
      <c r="K4667" s="11" t="str">
        <f>IF($E4667="","",ROUND($E4667*IF(ISNA(MATCH($C4667,'Paramètres'!$D:$D,0)),1,IF(INDEX('Paramètres'!$J:$J,MATCH($C4667,'Paramètres'!$D:$D,0))="",1,INDEX('Paramètres'!$J:$J,MATCH($C4667,'Paramètres'!$D:$D,0)))),2))</f>
        <v/>
      </c>
      <c r="L4667" s="6" t="str">
        <f>IF($D4667="","",IF($F4667&lt;&gt;"",$F4667,IF(ISNA(MATCH($D4667,'Paramètres'!$M:$M,0)),"⚠ Type inconnu",IFERROR(INDEX('Paramètres'!$P:$P,MATCH($D4667,'Paramètres'!$M:$M,0))&amp;"",""))))</f>
        <v/>
      </c>
      <c r="M4667" s="6" t="str">
        <f>IF($D4667="","",IF(ISNA(MATCH($D4667,'Paramètres'!$M:$M,0)),"⚠ Type inconnu",IF($L4667="Crédit","",IFERROR(INDEX('Paramètres'!$O:$O,MATCH($D4667,'Paramètres'!$M:$M,0))&amp;"",""))))</f>
        <v/>
      </c>
      <c r="N4667" s="6" t="str">
        <f>IF($D4667="","",IFERROR(INDEX('Paramètres'!$Q:$Q,MATCH($D4667,'Paramètres'!$M:$M,0))&amp;"",""))</f>
        <v/>
      </c>
      <c r="O4667" s="6" t="str">
        <f>IF($A4667="","",IF(OR($J4667&lt;&gt;"x",$A4667&lt;=FinReleve),1,0))</f>
        <v/>
      </c>
      <c r="P4667" s="6" t="str">
        <f>IF($D4667="","",IF(AND($L4667="Crédit",OR(IFERROR(INDEX('Paramètres'!$O:$O,MATCH($D4667,'Paramètres'!$M:$M,0))&amp;"","")&lt;&gt;"",ISNUMBER(SEARCH("remboursement",IFERROR(INDEX('Paramètres'!$N:$N,MATCH($D4667,'Paramètres'!$M:$M,0))&amp;"",""))))),1,0))</f>
        <v/>
      </c>
      <c r="Q4667" s="6" t="str">
        <f>IF($K4667="","",IF(ISNUMBER(SEARCH("transfert-interne",IFERROR(INDEX('Paramètres'!$N:$N,MATCH($D4667,'Paramètres'!$M:$M,0))&amp;"",""))),0,IF($L4667="Débit",$K4667,IF($P4667=1,-$K4667,0))))</f>
        <v/>
      </c>
      <c r="R4667" s="6" t="str">
        <f>IF($K4667="","",IF($L4667="Crédit",$K4667,-$K4667))</f>
        <v/>
      </c>
      <c r="S4667" s="6" t="str">
        <f>IF($C4667="","",IFERROR(INDEX('Paramètres'!$H:$H,MATCH($C4667,'Paramètres'!$D:$D,0))&amp;"",""))</f>
        <v/>
      </c>
      <c r="T4667" s="6" t="str">
        <f>IF($K4667="","",IF($S4667="",0,IF(ISNUMBER(SEARCH("apport-exterieur",IFERROR(INDEX('Paramètres'!$N:$N,MATCH($D4667,'Paramètres'!$M:$M,0))&amp;"",""))),0,IF(OR(IFERROR(INDEX('Paramètres'!$I:$I,MATCH($C4667,'Paramètres'!$D:$D,0))&amp;"","")="Les deux",IFERROR(INDEX('Paramètres'!$I:$I,MATCH($C4667,'Paramètres'!$D:$D,0))&amp;"","")=IF($P4667=1,"Débit",$L4667)),-IF($P4667=1,-$K4667,$K4667),0))))</f>
        <v/>
      </c>
      <c r="U4667" s="6" t="str">
        <f>IF($K4667="","",IF(ISNUMBER(SEARCH("sortie-epargne",IFERROR(INDEX('Paramètres'!$N:$N,MATCH($D4667,'Paramètres'!$M:$M,0))&amp;"",""))),$K4667,0))</f>
        <v/>
      </c>
      <c r="V4667" s="6" t="str">
        <f>IF(AND($A4667&lt;&gt;"",$O4667=1,$L4667="Débit",N($Q4667)&gt;0,$A4667&gt;=Visualisation!$B$1,$A4667&lt;Visualisation!$D$1),MAX($V$1:V4666)+1,"")</f>
        <v/>
      </c>
    </row>
    <row r="4668" spans="1:22" x14ac:dyDescent="0.25">
      <c r="A4668" s="9"/>
      <c r="E4668" s="10"/>
      <c r="K4668" s="11" t="str">
        <f>IF($E4668="","",ROUND($E4668*IF(ISNA(MATCH($C4668,'Paramètres'!$D:$D,0)),1,IF(INDEX('Paramètres'!$J:$J,MATCH($C4668,'Paramètres'!$D:$D,0))="",1,INDEX('Paramètres'!$J:$J,MATCH($C4668,'Paramètres'!$D:$D,0)))),2))</f>
        <v/>
      </c>
      <c r="L4668" s="6" t="str">
        <f>IF($D4668="","",IF($F4668&lt;&gt;"",$F4668,IF(ISNA(MATCH($D4668,'Paramètres'!$M:$M,0)),"⚠ Type inconnu",IFERROR(INDEX('Paramètres'!$P:$P,MATCH($D4668,'Paramètres'!$M:$M,0))&amp;"",""))))</f>
        <v/>
      </c>
      <c r="M4668" s="6" t="str">
        <f>IF($D4668="","",IF(ISNA(MATCH($D4668,'Paramètres'!$M:$M,0)),"⚠ Type inconnu",IF($L4668="Crédit","",IFERROR(INDEX('Paramètres'!$O:$O,MATCH($D4668,'Paramètres'!$M:$M,0))&amp;"",""))))</f>
        <v/>
      </c>
      <c r="N4668" s="6" t="str">
        <f>IF($D4668="","",IFERROR(INDEX('Paramètres'!$Q:$Q,MATCH($D4668,'Paramètres'!$M:$M,0))&amp;"",""))</f>
        <v/>
      </c>
      <c r="O4668" s="6" t="str">
        <f>IF($A4668="","",IF(OR($J4668&lt;&gt;"x",$A4668&lt;=FinReleve),1,0))</f>
        <v/>
      </c>
      <c r="P4668" s="6" t="str">
        <f>IF($D4668="","",IF(AND($L4668="Crédit",OR(IFERROR(INDEX('Paramètres'!$O:$O,MATCH($D4668,'Paramètres'!$M:$M,0))&amp;"","")&lt;&gt;"",ISNUMBER(SEARCH("remboursement",IFERROR(INDEX('Paramètres'!$N:$N,MATCH($D4668,'Paramètres'!$M:$M,0))&amp;"",""))))),1,0))</f>
        <v/>
      </c>
      <c r="Q4668" s="6" t="str">
        <f>IF($K4668="","",IF(ISNUMBER(SEARCH("transfert-interne",IFERROR(INDEX('Paramètres'!$N:$N,MATCH($D4668,'Paramètres'!$M:$M,0))&amp;"",""))),0,IF($L4668="Débit",$K4668,IF($P4668=1,-$K4668,0))))</f>
        <v/>
      </c>
      <c r="R4668" s="6" t="str">
        <f>IF($K4668="","",IF($L4668="Crédit",$K4668,-$K4668))</f>
        <v/>
      </c>
      <c r="S4668" s="6" t="str">
        <f>IF($C4668="","",IFERROR(INDEX('Paramètres'!$H:$H,MATCH($C4668,'Paramètres'!$D:$D,0))&amp;"",""))</f>
        <v/>
      </c>
      <c r="T4668" s="6" t="str">
        <f>IF($K4668="","",IF($S4668="",0,IF(ISNUMBER(SEARCH("apport-exterieur",IFERROR(INDEX('Paramètres'!$N:$N,MATCH($D4668,'Paramètres'!$M:$M,0))&amp;"",""))),0,IF(OR(IFERROR(INDEX('Paramètres'!$I:$I,MATCH($C4668,'Paramètres'!$D:$D,0))&amp;"","")="Les deux",IFERROR(INDEX('Paramètres'!$I:$I,MATCH($C4668,'Paramètres'!$D:$D,0))&amp;"","")=IF($P4668=1,"Débit",$L4668)),-IF($P4668=1,-$K4668,$K4668),0))))</f>
        <v/>
      </c>
      <c r="U4668" s="6" t="str">
        <f>IF($K4668="","",IF(ISNUMBER(SEARCH("sortie-epargne",IFERROR(INDEX('Paramètres'!$N:$N,MATCH($D4668,'Paramètres'!$M:$M,0))&amp;"",""))),$K4668,0))</f>
        <v/>
      </c>
      <c r="V4668" s="6" t="str">
        <f>IF(AND($A4668&lt;&gt;"",$O4668=1,$L4668="Débit",N($Q4668)&gt;0,$A4668&gt;=Visualisation!$B$1,$A4668&lt;Visualisation!$D$1),MAX($V$1:V4667)+1,"")</f>
        <v/>
      </c>
    </row>
    <row r="4669" spans="1:22" x14ac:dyDescent="0.25">
      <c r="A4669" s="9"/>
      <c r="E4669" s="10"/>
      <c r="K4669" s="11" t="str">
        <f>IF($E4669="","",ROUND($E4669*IF(ISNA(MATCH($C4669,'Paramètres'!$D:$D,0)),1,IF(INDEX('Paramètres'!$J:$J,MATCH($C4669,'Paramètres'!$D:$D,0))="",1,INDEX('Paramètres'!$J:$J,MATCH($C4669,'Paramètres'!$D:$D,0)))),2))</f>
        <v/>
      </c>
      <c r="L4669" s="6" t="str">
        <f>IF($D4669="","",IF($F4669&lt;&gt;"",$F4669,IF(ISNA(MATCH($D4669,'Paramètres'!$M:$M,0)),"⚠ Type inconnu",IFERROR(INDEX('Paramètres'!$P:$P,MATCH($D4669,'Paramètres'!$M:$M,0))&amp;"",""))))</f>
        <v/>
      </c>
      <c r="M4669" s="6" t="str">
        <f>IF($D4669="","",IF(ISNA(MATCH($D4669,'Paramètres'!$M:$M,0)),"⚠ Type inconnu",IF($L4669="Crédit","",IFERROR(INDEX('Paramètres'!$O:$O,MATCH($D4669,'Paramètres'!$M:$M,0))&amp;"",""))))</f>
        <v/>
      </c>
      <c r="N4669" s="6" t="str">
        <f>IF($D4669="","",IFERROR(INDEX('Paramètres'!$Q:$Q,MATCH($D4669,'Paramètres'!$M:$M,0))&amp;"",""))</f>
        <v/>
      </c>
      <c r="O4669" s="6" t="str">
        <f>IF($A4669="","",IF(OR($J4669&lt;&gt;"x",$A4669&lt;=FinReleve),1,0))</f>
        <v/>
      </c>
      <c r="P4669" s="6" t="str">
        <f>IF($D4669="","",IF(AND($L4669="Crédit",OR(IFERROR(INDEX('Paramètres'!$O:$O,MATCH($D4669,'Paramètres'!$M:$M,0))&amp;"","")&lt;&gt;"",ISNUMBER(SEARCH("remboursement",IFERROR(INDEX('Paramètres'!$N:$N,MATCH($D4669,'Paramètres'!$M:$M,0))&amp;"",""))))),1,0))</f>
        <v/>
      </c>
      <c r="Q4669" s="6" t="str">
        <f>IF($K4669="","",IF(ISNUMBER(SEARCH("transfert-interne",IFERROR(INDEX('Paramètres'!$N:$N,MATCH($D4669,'Paramètres'!$M:$M,0))&amp;"",""))),0,IF($L4669="Débit",$K4669,IF($P4669=1,-$K4669,0))))</f>
        <v/>
      </c>
      <c r="R4669" s="6" t="str">
        <f>IF($K4669="","",IF($L4669="Crédit",$K4669,-$K4669))</f>
        <v/>
      </c>
      <c r="S4669" s="6" t="str">
        <f>IF($C4669="","",IFERROR(INDEX('Paramètres'!$H:$H,MATCH($C4669,'Paramètres'!$D:$D,0))&amp;"",""))</f>
        <v/>
      </c>
      <c r="T4669" s="6" t="str">
        <f>IF($K4669="","",IF($S4669="",0,IF(ISNUMBER(SEARCH("apport-exterieur",IFERROR(INDEX('Paramètres'!$N:$N,MATCH($D4669,'Paramètres'!$M:$M,0))&amp;"",""))),0,IF(OR(IFERROR(INDEX('Paramètres'!$I:$I,MATCH($C4669,'Paramètres'!$D:$D,0))&amp;"","")="Les deux",IFERROR(INDEX('Paramètres'!$I:$I,MATCH($C4669,'Paramètres'!$D:$D,0))&amp;"","")=IF($P4669=1,"Débit",$L4669)),-IF($P4669=1,-$K4669,$K4669),0))))</f>
        <v/>
      </c>
      <c r="U4669" s="6" t="str">
        <f>IF($K4669="","",IF(ISNUMBER(SEARCH("sortie-epargne",IFERROR(INDEX('Paramètres'!$N:$N,MATCH($D4669,'Paramètres'!$M:$M,0))&amp;"",""))),$K4669,0))</f>
        <v/>
      </c>
      <c r="V4669" s="6" t="str">
        <f>IF(AND($A4669&lt;&gt;"",$O4669=1,$L4669="Débit",N($Q4669)&gt;0,$A4669&gt;=Visualisation!$B$1,$A4669&lt;Visualisation!$D$1),MAX($V$1:V4668)+1,"")</f>
        <v/>
      </c>
    </row>
    <row r="4670" spans="1:22" x14ac:dyDescent="0.25">
      <c r="A4670" s="9"/>
      <c r="E4670" s="10"/>
      <c r="K4670" s="11" t="str">
        <f>IF($E4670="","",ROUND($E4670*IF(ISNA(MATCH($C4670,'Paramètres'!$D:$D,0)),1,IF(INDEX('Paramètres'!$J:$J,MATCH($C4670,'Paramètres'!$D:$D,0))="",1,INDEX('Paramètres'!$J:$J,MATCH($C4670,'Paramètres'!$D:$D,0)))),2))</f>
        <v/>
      </c>
      <c r="L4670" s="6" t="str">
        <f>IF($D4670="","",IF($F4670&lt;&gt;"",$F4670,IF(ISNA(MATCH($D4670,'Paramètres'!$M:$M,0)),"⚠ Type inconnu",IFERROR(INDEX('Paramètres'!$P:$P,MATCH($D4670,'Paramètres'!$M:$M,0))&amp;"",""))))</f>
        <v/>
      </c>
      <c r="M4670" s="6" t="str">
        <f>IF($D4670="","",IF(ISNA(MATCH($D4670,'Paramètres'!$M:$M,0)),"⚠ Type inconnu",IF($L4670="Crédit","",IFERROR(INDEX('Paramètres'!$O:$O,MATCH($D4670,'Paramètres'!$M:$M,0))&amp;"",""))))</f>
        <v/>
      </c>
      <c r="N4670" s="6" t="str">
        <f>IF($D4670="","",IFERROR(INDEX('Paramètres'!$Q:$Q,MATCH($D4670,'Paramètres'!$M:$M,0))&amp;"",""))</f>
        <v/>
      </c>
      <c r="O4670" s="6" t="str">
        <f>IF($A4670="","",IF(OR($J4670&lt;&gt;"x",$A4670&lt;=FinReleve),1,0))</f>
        <v/>
      </c>
      <c r="P4670" s="6" t="str">
        <f>IF($D4670="","",IF(AND($L4670="Crédit",OR(IFERROR(INDEX('Paramètres'!$O:$O,MATCH($D4670,'Paramètres'!$M:$M,0))&amp;"","")&lt;&gt;"",ISNUMBER(SEARCH("remboursement",IFERROR(INDEX('Paramètres'!$N:$N,MATCH($D4670,'Paramètres'!$M:$M,0))&amp;"",""))))),1,0))</f>
        <v/>
      </c>
      <c r="Q4670" s="6" t="str">
        <f>IF($K4670="","",IF(ISNUMBER(SEARCH("transfert-interne",IFERROR(INDEX('Paramètres'!$N:$N,MATCH($D4670,'Paramètres'!$M:$M,0))&amp;"",""))),0,IF($L4670="Débit",$K4670,IF($P4670=1,-$K4670,0))))</f>
        <v/>
      </c>
      <c r="R4670" s="6" t="str">
        <f>IF($K4670="","",IF($L4670="Crédit",$K4670,-$K4670))</f>
        <v/>
      </c>
      <c r="S4670" s="6" t="str">
        <f>IF($C4670="","",IFERROR(INDEX('Paramètres'!$H:$H,MATCH($C4670,'Paramètres'!$D:$D,0))&amp;"",""))</f>
        <v/>
      </c>
      <c r="T4670" s="6" t="str">
        <f>IF($K4670="","",IF($S4670="",0,IF(ISNUMBER(SEARCH("apport-exterieur",IFERROR(INDEX('Paramètres'!$N:$N,MATCH($D4670,'Paramètres'!$M:$M,0))&amp;"",""))),0,IF(OR(IFERROR(INDEX('Paramètres'!$I:$I,MATCH($C4670,'Paramètres'!$D:$D,0))&amp;"","")="Les deux",IFERROR(INDEX('Paramètres'!$I:$I,MATCH($C4670,'Paramètres'!$D:$D,0))&amp;"","")=IF($P4670=1,"Débit",$L4670)),-IF($P4670=1,-$K4670,$K4670),0))))</f>
        <v/>
      </c>
      <c r="U4670" s="6" t="str">
        <f>IF($K4670="","",IF(ISNUMBER(SEARCH("sortie-epargne",IFERROR(INDEX('Paramètres'!$N:$N,MATCH($D4670,'Paramètres'!$M:$M,0))&amp;"",""))),$K4670,0))</f>
        <v/>
      </c>
      <c r="V4670" s="6" t="str">
        <f>IF(AND($A4670&lt;&gt;"",$O4670=1,$L4670="Débit",N($Q4670)&gt;0,$A4670&gt;=Visualisation!$B$1,$A4670&lt;Visualisation!$D$1),MAX($V$1:V4669)+1,"")</f>
        <v/>
      </c>
    </row>
    <row r="4671" spans="1:22" x14ac:dyDescent="0.25">
      <c r="A4671" s="9"/>
      <c r="E4671" s="10"/>
      <c r="K4671" s="11" t="str">
        <f>IF($E4671="","",ROUND($E4671*IF(ISNA(MATCH($C4671,'Paramètres'!$D:$D,0)),1,IF(INDEX('Paramètres'!$J:$J,MATCH($C4671,'Paramètres'!$D:$D,0))="",1,INDEX('Paramètres'!$J:$J,MATCH($C4671,'Paramètres'!$D:$D,0)))),2))</f>
        <v/>
      </c>
      <c r="L4671" s="6" t="str">
        <f>IF($D4671="","",IF($F4671&lt;&gt;"",$F4671,IF(ISNA(MATCH($D4671,'Paramètres'!$M:$M,0)),"⚠ Type inconnu",IFERROR(INDEX('Paramètres'!$P:$P,MATCH($D4671,'Paramètres'!$M:$M,0))&amp;"",""))))</f>
        <v/>
      </c>
      <c r="M4671" s="6" t="str">
        <f>IF($D4671="","",IF(ISNA(MATCH($D4671,'Paramètres'!$M:$M,0)),"⚠ Type inconnu",IF($L4671="Crédit","",IFERROR(INDEX('Paramètres'!$O:$O,MATCH($D4671,'Paramètres'!$M:$M,0))&amp;"",""))))</f>
        <v/>
      </c>
      <c r="N4671" s="6" t="str">
        <f>IF($D4671="","",IFERROR(INDEX('Paramètres'!$Q:$Q,MATCH($D4671,'Paramètres'!$M:$M,0))&amp;"",""))</f>
        <v/>
      </c>
      <c r="O4671" s="6" t="str">
        <f>IF($A4671="","",IF(OR($J4671&lt;&gt;"x",$A4671&lt;=FinReleve),1,0))</f>
        <v/>
      </c>
      <c r="P4671" s="6" t="str">
        <f>IF($D4671="","",IF(AND($L4671="Crédit",OR(IFERROR(INDEX('Paramètres'!$O:$O,MATCH($D4671,'Paramètres'!$M:$M,0))&amp;"","")&lt;&gt;"",ISNUMBER(SEARCH("remboursement",IFERROR(INDEX('Paramètres'!$N:$N,MATCH($D4671,'Paramètres'!$M:$M,0))&amp;"",""))))),1,0))</f>
        <v/>
      </c>
      <c r="Q4671" s="6" t="str">
        <f>IF($K4671="","",IF(ISNUMBER(SEARCH("transfert-interne",IFERROR(INDEX('Paramètres'!$N:$N,MATCH($D4671,'Paramètres'!$M:$M,0))&amp;"",""))),0,IF($L4671="Débit",$K4671,IF($P4671=1,-$K4671,0))))</f>
        <v/>
      </c>
      <c r="R4671" s="6" t="str">
        <f>IF($K4671="","",IF($L4671="Crédit",$K4671,-$K4671))</f>
        <v/>
      </c>
      <c r="S4671" s="6" t="str">
        <f>IF($C4671="","",IFERROR(INDEX('Paramètres'!$H:$H,MATCH($C4671,'Paramètres'!$D:$D,0))&amp;"",""))</f>
        <v/>
      </c>
      <c r="T4671" s="6" t="str">
        <f>IF($K4671="","",IF($S4671="",0,IF(ISNUMBER(SEARCH("apport-exterieur",IFERROR(INDEX('Paramètres'!$N:$N,MATCH($D4671,'Paramètres'!$M:$M,0))&amp;"",""))),0,IF(OR(IFERROR(INDEX('Paramètres'!$I:$I,MATCH($C4671,'Paramètres'!$D:$D,0))&amp;"","")="Les deux",IFERROR(INDEX('Paramètres'!$I:$I,MATCH($C4671,'Paramètres'!$D:$D,0))&amp;"","")=IF($P4671=1,"Débit",$L4671)),-IF($P4671=1,-$K4671,$K4671),0))))</f>
        <v/>
      </c>
      <c r="U4671" s="6" t="str">
        <f>IF($K4671="","",IF(ISNUMBER(SEARCH("sortie-epargne",IFERROR(INDEX('Paramètres'!$N:$N,MATCH($D4671,'Paramètres'!$M:$M,0))&amp;"",""))),$K4671,0))</f>
        <v/>
      </c>
      <c r="V4671" s="6" t="str">
        <f>IF(AND($A4671&lt;&gt;"",$O4671=1,$L4671="Débit",N($Q4671)&gt;0,$A4671&gt;=Visualisation!$B$1,$A4671&lt;Visualisation!$D$1),MAX($V$1:V4670)+1,"")</f>
        <v/>
      </c>
    </row>
    <row r="4672" spans="1:22" x14ac:dyDescent="0.25">
      <c r="A4672" s="9"/>
      <c r="E4672" s="10"/>
      <c r="K4672" s="11" t="str">
        <f>IF($E4672="","",ROUND($E4672*IF(ISNA(MATCH($C4672,'Paramètres'!$D:$D,0)),1,IF(INDEX('Paramètres'!$J:$J,MATCH($C4672,'Paramètres'!$D:$D,0))="",1,INDEX('Paramètres'!$J:$J,MATCH($C4672,'Paramètres'!$D:$D,0)))),2))</f>
        <v/>
      </c>
      <c r="L4672" s="6" t="str">
        <f>IF($D4672="","",IF($F4672&lt;&gt;"",$F4672,IF(ISNA(MATCH($D4672,'Paramètres'!$M:$M,0)),"⚠ Type inconnu",IFERROR(INDEX('Paramètres'!$P:$P,MATCH($D4672,'Paramètres'!$M:$M,0))&amp;"",""))))</f>
        <v/>
      </c>
      <c r="M4672" s="6" t="str">
        <f>IF($D4672="","",IF(ISNA(MATCH($D4672,'Paramètres'!$M:$M,0)),"⚠ Type inconnu",IF($L4672="Crédit","",IFERROR(INDEX('Paramètres'!$O:$O,MATCH($D4672,'Paramètres'!$M:$M,0))&amp;"",""))))</f>
        <v/>
      </c>
      <c r="N4672" s="6" t="str">
        <f>IF($D4672="","",IFERROR(INDEX('Paramètres'!$Q:$Q,MATCH($D4672,'Paramètres'!$M:$M,0))&amp;"",""))</f>
        <v/>
      </c>
      <c r="O4672" s="6" t="str">
        <f>IF($A4672="","",IF(OR($J4672&lt;&gt;"x",$A4672&lt;=FinReleve),1,0))</f>
        <v/>
      </c>
      <c r="P4672" s="6" t="str">
        <f>IF($D4672="","",IF(AND($L4672="Crédit",OR(IFERROR(INDEX('Paramètres'!$O:$O,MATCH($D4672,'Paramètres'!$M:$M,0))&amp;"","")&lt;&gt;"",ISNUMBER(SEARCH("remboursement",IFERROR(INDEX('Paramètres'!$N:$N,MATCH($D4672,'Paramètres'!$M:$M,0))&amp;"",""))))),1,0))</f>
        <v/>
      </c>
      <c r="Q4672" s="6" t="str">
        <f>IF($K4672="","",IF(ISNUMBER(SEARCH("transfert-interne",IFERROR(INDEX('Paramètres'!$N:$N,MATCH($D4672,'Paramètres'!$M:$M,0))&amp;"",""))),0,IF($L4672="Débit",$K4672,IF($P4672=1,-$K4672,0))))</f>
        <v/>
      </c>
      <c r="R4672" s="6" t="str">
        <f>IF($K4672="","",IF($L4672="Crédit",$K4672,-$K4672))</f>
        <v/>
      </c>
      <c r="S4672" s="6" t="str">
        <f>IF($C4672="","",IFERROR(INDEX('Paramètres'!$H:$H,MATCH($C4672,'Paramètres'!$D:$D,0))&amp;"",""))</f>
        <v/>
      </c>
      <c r="T4672" s="6" t="str">
        <f>IF($K4672="","",IF($S4672="",0,IF(ISNUMBER(SEARCH("apport-exterieur",IFERROR(INDEX('Paramètres'!$N:$N,MATCH($D4672,'Paramètres'!$M:$M,0))&amp;"",""))),0,IF(OR(IFERROR(INDEX('Paramètres'!$I:$I,MATCH($C4672,'Paramètres'!$D:$D,0))&amp;"","")="Les deux",IFERROR(INDEX('Paramètres'!$I:$I,MATCH($C4672,'Paramètres'!$D:$D,0))&amp;"","")=IF($P4672=1,"Débit",$L4672)),-IF($P4672=1,-$K4672,$K4672),0))))</f>
        <v/>
      </c>
      <c r="U4672" s="6" t="str">
        <f>IF($K4672="","",IF(ISNUMBER(SEARCH("sortie-epargne",IFERROR(INDEX('Paramètres'!$N:$N,MATCH($D4672,'Paramètres'!$M:$M,0))&amp;"",""))),$K4672,0))</f>
        <v/>
      </c>
      <c r="V4672" s="6" t="str">
        <f>IF(AND($A4672&lt;&gt;"",$O4672=1,$L4672="Débit",N($Q4672)&gt;0,$A4672&gt;=Visualisation!$B$1,$A4672&lt;Visualisation!$D$1),MAX($V$1:V4671)+1,"")</f>
        <v/>
      </c>
    </row>
    <row r="4673" spans="1:22" x14ac:dyDescent="0.25">
      <c r="A4673" s="9"/>
      <c r="E4673" s="10"/>
      <c r="K4673" s="11" t="str">
        <f>IF($E4673="","",ROUND($E4673*IF(ISNA(MATCH($C4673,'Paramètres'!$D:$D,0)),1,IF(INDEX('Paramètres'!$J:$J,MATCH($C4673,'Paramètres'!$D:$D,0))="",1,INDEX('Paramètres'!$J:$J,MATCH($C4673,'Paramètres'!$D:$D,0)))),2))</f>
        <v/>
      </c>
      <c r="L4673" s="6" t="str">
        <f>IF($D4673="","",IF($F4673&lt;&gt;"",$F4673,IF(ISNA(MATCH($D4673,'Paramètres'!$M:$M,0)),"⚠ Type inconnu",IFERROR(INDEX('Paramètres'!$P:$P,MATCH($D4673,'Paramètres'!$M:$M,0))&amp;"",""))))</f>
        <v/>
      </c>
      <c r="M4673" s="6" t="str">
        <f>IF($D4673="","",IF(ISNA(MATCH($D4673,'Paramètres'!$M:$M,0)),"⚠ Type inconnu",IF($L4673="Crédit","",IFERROR(INDEX('Paramètres'!$O:$O,MATCH($D4673,'Paramètres'!$M:$M,0))&amp;"",""))))</f>
        <v/>
      </c>
      <c r="N4673" s="6" t="str">
        <f>IF($D4673="","",IFERROR(INDEX('Paramètres'!$Q:$Q,MATCH($D4673,'Paramètres'!$M:$M,0))&amp;"",""))</f>
        <v/>
      </c>
      <c r="O4673" s="6" t="str">
        <f>IF($A4673="","",IF(OR($J4673&lt;&gt;"x",$A4673&lt;=FinReleve),1,0))</f>
        <v/>
      </c>
      <c r="P4673" s="6" t="str">
        <f>IF($D4673="","",IF(AND($L4673="Crédit",OR(IFERROR(INDEX('Paramètres'!$O:$O,MATCH($D4673,'Paramètres'!$M:$M,0))&amp;"","")&lt;&gt;"",ISNUMBER(SEARCH("remboursement",IFERROR(INDEX('Paramètres'!$N:$N,MATCH($D4673,'Paramètres'!$M:$M,0))&amp;"",""))))),1,0))</f>
        <v/>
      </c>
      <c r="Q4673" s="6" t="str">
        <f>IF($K4673="","",IF(ISNUMBER(SEARCH("transfert-interne",IFERROR(INDEX('Paramètres'!$N:$N,MATCH($D4673,'Paramètres'!$M:$M,0))&amp;"",""))),0,IF($L4673="Débit",$K4673,IF($P4673=1,-$K4673,0))))</f>
        <v/>
      </c>
      <c r="R4673" s="6" t="str">
        <f>IF($K4673="","",IF($L4673="Crédit",$K4673,-$K4673))</f>
        <v/>
      </c>
      <c r="S4673" s="6" t="str">
        <f>IF($C4673="","",IFERROR(INDEX('Paramètres'!$H:$H,MATCH($C4673,'Paramètres'!$D:$D,0))&amp;"",""))</f>
        <v/>
      </c>
      <c r="T4673" s="6" t="str">
        <f>IF($K4673="","",IF($S4673="",0,IF(ISNUMBER(SEARCH("apport-exterieur",IFERROR(INDEX('Paramètres'!$N:$N,MATCH($D4673,'Paramètres'!$M:$M,0))&amp;"",""))),0,IF(OR(IFERROR(INDEX('Paramètres'!$I:$I,MATCH($C4673,'Paramètres'!$D:$D,0))&amp;"","")="Les deux",IFERROR(INDEX('Paramètres'!$I:$I,MATCH($C4673,'Paramètres'!$D:$D,0))&amp;"","")=IF($P4673=1,"Débit",$L4673)),-IF($P4673=1,-$K4673,$K4673),0))))</f>
        <v/>
      </c>
      <c r="U4673" s="6" t="str">
        <f>IF($K4673="","",IF(ISNUMBER(SEARCH("sortie-epargne",IFERROR(INDEX('Paramètres'!$N:$N,MATCH($D4673,'Paramètres'!$M:$M,0))&amp;"",""))),$K4673,0))</f>
        <v/>
      </c>
      <c r="V4673" s="6" t="str">
        <f>IF(AND($A4673&lt;&gt;"",$O4673=1,$L4673="Débit",N($Q4673)&gt;0,$A4673&gt;=Visualisation!$B$1,$A4673&lt;Visualisation!$D$1),MAX($V$1:V4672)+1,"")</f>
        <v/>
      </c>
    </row>
    <row r="4674" spans="1:22" x14ac:dyDescent="0.25">
      <c r="A4674" s="9"/>
      <c r="E4674" s="10"/>
      <c r="K4674" s="11" t="str">
        <f>IF($E4674="","",ROUND($E4674*IF(ISNA(MATCH($C4674,'Paramètres'!$D:$D,0)),1,IF(INDEX('Paramètres'!$J:$J,MATCH($C4674,'Paramètres'!$D:$D,0))="",1,INDEX('Paramètres'!$J:$J,MATCH($C4674,'Paramètres'!$D:$D,0)))),2))</f>
        <v/>
      </c>
      <c r="L4674" s="6" t="str">
        <f>IF($D4674="","",IF($F4674&lt;&gt;"",$F4674,IF(ISNA(MATCH($D4674,'Paramètres'!$M:$M,0)),"⚠ Type inconnu",IFERROR(INDEX('Paramètres'!$P:$P,MATCH($D4674,'Paramètres'!$M:$M,0))&amp;"",""))))</f>
        <v/>
      </c>
      <c r="M4674" s="6" t="str">
        <f>IF($D4674="","",IF(ISNA(MATCH($D4674,'Paramètres'!$M:$M,0)),"⚠ Type inconnu",IF($L4674="Crédit","",IFERROR(INDEX('Paramètres'!$O:$O,MATCH($D4674,'Paramètres'!$M:$M,0))&amp;"",""))))</f>
        <v/>
      </c>
      <c r="N4674" s="6" t="str">
        <f>IF($D4674="","",IFERROR(INDEX('Paramètres'!$Q:$Q,MATCH($D4674,'Paramètres'!$M:$M,0))&amp;"",""))</f>
        <v/>
      </c>
      <c r="O4674" s="6" t="str">
        <f>IF($A4674="","",IF(OR($J4674&lt;&gt;"x",$A4674&lt;=FinReleve),1,0))</f>
        <v/>
      </c>
      <c r="P4674" s="6" t="str">
        <f>IF($D4674="","",IF(AND($L4674="Crédit",OR(IFERROR(INDEX('Paramètres'!$O:$O,MATCH($D4674,'Paramètres'!$M:$M,0))&amp;"","")&lt;&gt;"",ISNUMBER(SEARCH("remboursement",IFERROR(INDEX('Paramètres'!$N:$N,MATCH($D4674,'Paramètres'!$M:$M,0))&amp;"",""))))),1,0))</f>
        <v/>
      </c>
      <c r="Q4674" s="6" t="str">
        <f>IF($K4674="","",IF(ISNUMBER(SEARCH("transfert-interne",IFERROR(INDEX('Paramètres'!$N:$N,MATCH($D4674,'Paramètres'!$M:$M,0))&amp;"",""))),0,IF($L4674="Débit",$K4674,IF($P4674=1,-$K4674,0))))</f>
        <v/>
      </c>
      <c r="R4674" s="6" t="str">
        <f>IF($K4674="","",IF($L4674="Crédit",$K4674,-$K4674))</f>
        <v/>
      </c>
      <c r="S4674" s="6" t="str">
        <f>IF($C4674="","",IFERROR(INDEX('Paramètres'!$H:$H,MATCH($C4674,'Paramètres'!$D:$D,0))&amp;"",""))</f>
        <v/>
      </c>
      <c r="T4674" s="6" t="str">
        <f>IF($K4674="","",IF($S4674="",0,IF(ISNUMBER(SEARCH("apport-exterieur",IFERROR(INDEX('Paramètres'!$N:$N,MATCH($D4674,'Paramètres'!$M:$M,0))&amp;"",""))),0,IF(OR(IFERROR(INDEX('Paramètres'!$I:$I,MATCH($C4674,'Paramètres'!$D:$D,0))&amp;"","")="Les deux",IFERROR(INDEX('Paramètres'!$I:$I,MATCH($C4674,'Paramètres'!$D:$D,0))&amp;"","")=IF($P4674=1,"Débit",$L4674)),-IF($P4674=1,-$K4674,$K4674),0))))</f>
        <v/>
      </c>
      <c r="U4674" s="6" t="str">
        <f>IF($K4674="","",IF(ISNUMBER(SEARCH("sortie-epargne",IFERROR(INDEX('Paramètres'!$N:$N,MATCH($D4674,'Paramètres'!$M:$M,0))&amp;"",""))),$K4674,0))</f>
        <v/>
      </c>
      <c r="V4674" s="6" t="str">
        <f>IF(AND($A4674&lt;&gt;"",$O4674=1,$L4674="Débit",N($Q4674)&gt;0,$A4674&gt;=Visualisation!$B$1,$A4674&lt;Visualisation!$D$1),MAX($V$1:V4673)+1,"")</f>
        <v/>
      </c>
    </row>
    <row r="4675" spans="1:22" x14ac:dyDescent="0.25">
      <c r="A4675" s="9"/>
      <c r="E4675" s="10"/>
      <c r="K4675" s="11" t="str">
        <f>IF($E4675="","",ROUND($E4675*IF(ISNA(MATCH($C4675,'Paramètres'!$D:$D,0)),1,IF(INDEX('Paramètres'!$J:$J,MATCH($C4675,'Paramètres'!$D:$D,0))="",1,INDEX('Paramètres'!$J:$J,MATCH($C4675,'Paramètres'!$D:$D,0)))),2))</f>
        <v/>
      </c>
      <c r="L4675" s="6" t="str">
        <f>IF($D4675="","",IF($F4675&lt;&gt;"",$F4675,IF(ISNA(MATCH($D4675,'Paramètres'!$M:$M,0)),"⚠ Type inconnu",IFERROR(INDEX('Paramètres'!$P:$P,MATCH($D4675,'Paramètres'!$M:$M,0))&amp;"",""))))</f>
        <v/>
      </c>
      <c r="M4675" s="6" t="str">
        <f>IF($D4675="","",IF(ISNA(MATCH($D4675,'Paramètres'!$M:$M,0)),"⚠ Type inconnu",IF($L4675="Crédit","",IFERROR(INDEX('Paramètres'!$O:$O,MATCH($D4675,'Paramètres'!$M:$M,0))&amp;"",""))))</f>
        <v/>
      </c>
      <c r="N4675" s="6" t="str">
        <f>IF($D4675="","",IFERROR(INDEX('Paramètres'!$Q:$Q,MATCH($D4675,'Paramètres'!$M:$M,0))&amp;"",""))</f>
        <v/>
      </c>
      <c r="O4675" s="6" t="str">
        <f>IF($A4675="","",IF(OR($J4675&lt;&gt;"x",$A4675&lt;=FinReleve),1,0))</f>
        <v/>
      </c>
      <c r="P4675" s="6" t="str">
        <f>IF($D4675="","",IF(AND($L4675="Crédit",OR(IFERROR(INDEX('Paramètres'!$O:$O,MATCH($D4675,'Paramètres'!$M:$M,0))&amp;"","")&lt;&gt;"",ISNUMBER(SEARCH("remboursement",IFERROR(INDEX('Paramètres'!$N:$N,MATCH($D4675,'Paramètres'!$M:$M,0))&amp;"",""))))),1,0))</f>
        <v/>
      </c>
      <c r="Q4675" s="6" t="str">
        <f>IF($K4675="","",IF(ISNUMBER(SEARCH("transfert-interne",IFERROR(INDEX('Paramètres'!$N:$N,MATCH($D4675,'Paramètres'!$M:$M,0))&amp;"",""))),0,IF($L4675="Débit",$K4675,IF($P4675=1,-$K4675,0))))</f>
        <v/>
      </c>
      <c r="R4675" s="6" t="str">
        <f>IF($K4675="","",IF($L4675="Crédit",$K4675,-$K4675))</f>
        <v/>
      </c>
      <c r="S4675" s="6" t="str">
        <f>IF($C4675="","",IFERROR(INDEX('Paramètres'!$H:$H,MATCH($C4675,'Paramètres'!$D:$D,0))&amp;"",""))</f>
        <v/>
      </c>
      <c r="T4675" s="6" t="str">
        <f>IF($K4675="","",IF($S4675="",0,IF(ISNUMBER(SEARCH("apport-exterieur",IFERROR(INDEX('Paramètres'!$N:$N,MATCH($D4675,'Paramètres'!$M:$M,0))&amp;"",""))),0,IF(OR(IFERROR(INDEX('Paramètres'!$I:$I,MATCH($C4675,'Paramètres'!$D:$D,0))&amp;"","")="Les deux",IFERROR(INDEX('Paramètres'!$I:$I,MATCH($C4675,'Paramètres'!$D:$D,0))&amp;"","")=IF($P4675=1,"Débit",$L4675)),-IF($P4675=1,-$K4675,$K4675),0))))</f>
        <v/>
      </c>
      <c r="U4675" s="6" t="str">
        <f>IF($K4675="","",IF(ISNUMBER(SEARCH("sortie-epargne",IFERROR(INDEX('Paramètres'!$N:$N,MATCH($D4675,'Paramètres'!$M:$M,0))&amp;"",""))),$K4675,0))</f>
        <v/>
      </c>
      <c r="V4675" s="6" t="str">
        <f>IF(AND($A4675&lt;&gt;"",$O4675=1,$L4675="Débit",N($Q4675)&gt;0,$A4675&gt;=Visualisation!$B$1,$A4675&lt;Visualisation!$D$1),MAX($V$1:V4674)+1,"")</f>
        <v/>
      </c>
    </row>
    <row r="4676" spans="1:22" x14ac:dyDescent="0.25">
      <c r="A4676" s="9"/>
      <c r="E4676" s="10"/>
      <c r="K4676" s="11" t="str">
        <f>IF($E4676="","",ROUND($E4676*IF(ISNA(MATCH($C4676,'Paramètres'!$D:$D,0)),1,IF(INDEX('Paramètres'!$J:$J,MATCH($C4676,'Paramètres'!$D:$D,0))="",1,INDEX('Paramètres'!$J:$J,MATCH($C4676,'Paramètres'!$D:$D,0)))),2))</f>
        <v/>
      </c>
      <c r="L4676" s="6" t="str">
        <f>IF($D4676="","",IF($F4676&lt;&gt;"",$F4676,IF(ISNA(MATCH($D4676,'Paramètres'!$M:$M,0)),"⚠ Type inconnu",IFERROR(INDEX('Paramètres'!$P:$P,MATCH($D4676,'Paramètres'!$M:$M,0))&amp;"",""))))</f>
        <v/>
      </c>
      <c r="M4676" s="6" t="str">
        <f>IF($D4676="","",IF(ISNA(MATCH($D4676,'Paramètres'!$M:$M,0)),"⚠ Type inconnu",IF($L4676="Crédit","",IFERROR(INDEX('Paramètres'!$O:$O,MATCH($D4676,'Paramètres'!$M:$M,0))&amp;"",""))))</f>
        <v/>
      </c>
      <c r="N4676" s="6" t="str">
        <f>IF($D4676="","",IFERROR(INDEX('Paramètres'!$Q:$Q,MATCH($D4676,'Paramètres'!$M:$M,0))&amp;"",""))</f>
        <v/>
      </c>
      <c r="O4676" s="6" t="str">
        <f>IF($A4676="","",IF(OR($J4676&lt;&gt;"x",$A4676&lt;=FinReleve),1,0))</f>
        <v/>
      </c>
      <c r="P4676" s="6" t="str">
        <f>IF($D4676="","",IF(AND($L4676="Crédit",OR(IFERROR(INDEX('Paramètres'!$O:$O,MATCH($D4676,'Paramètres'!$M:$M,0))&amp;"","")&lt;&gt;"",ISNUMBER(SEARCH("remboursement",IFERROR(INDEX('Paramètres'!$N:$N,MATCH($D4676,'Paramètres'!$M:$M,0))&amp;"",""))))),1,0))</f>
        <v/>
      </c>
      <c r="Q4676" s="6" t="str">
        <f>IF($K4676="","",IF(ISNUMBER(SEARCH("transfert-interne",IFERROR(INDEX('Paramètres'!$N:$N,MATCH($D4676,'Paramètres'!$M:$M,0))&amp;"",""))),0,IF($L4676="Débit",$K4676,IF($P4676=1,-$K4676,0))))</f>
        <v/>
      </c>
      <c r="R4676" s="6" t="str">
        <f>IF($K4676="","",IF($L4676="Crédit",$K4676,-$K4676))</f>
        <v/>
      </c>
      <c r="S4676" s="6" t="str">
        <f>IF($C4676="","",IFERROR(INDEX('Paramètres'!$H:$H,MATCH($C4676,'Paramètres'!$D:$D,0))&amp;"",""))</f>
        <v/>
      </c>
      <c r="T4676" s="6" t="str">
        <f>IF($K4676="","",IF($S4676="",0,IF(ISNUMBER(SEARCH("apport-exterieur",IFERROR(INDEX('Paramètres'!$N:$N,MATCH($D4676,'Paramètres'!$M:$M,0))&amp;"",""))),0,IF(OR(IFERROR(INDEX('Paramètres'!$I:$I,MATCH($C4676,'Paramètres'!$D:$D,0))&amp;"","")="Les deux",IFERROR(INDEX('Paramètres'!$I:$I,MATCH($C4676,'Paramètres'!$D:$D,0))&amp;"","")=IF($P4676=1,"Débit",$L4676)),-IF($P4676=1,-$K4676,$K4676),0))))</f>
        <v/>
      </c>
      <c r="U4676" s="6" t="str">
        <f>IF($K4676="","",IF(ISNUMBER(SEARCH("sortie-epargne",IFERROR(INDEX('Paramètres'!$N:$N,MATCH($D4676,'Paramètres'!$M:$M,0))&amp;"",""))),$K4676,0))</f>
        <v/>
      </c>
      <c r="V4676" s="6" t="str">
        <f>IF(AND($A4676&lt;&gt;"",$O4676=1,$L4676="Débit",N($Q4676)&gt;0,$A4676&gt;=Visualisation!$B$1,$A4676&lt;Visualisation!$D$1),MAX($V$1:V4675)+1,"")</f>
        <v/>
      </c>
    </row>
    <row r="4677" spans="1:22" x14ac:dyDescent="0.25">
      <c r="A4677" s="9"/>
      <c r="E4677" s="10"/>
      <c r="K4677" s="11" t="str">
        <f>IF($E4677="","",ROUND($E4677*IF(ISNA(MATCH($C4677,'Paramètres'!$D:$D,0)),1,IF(INDEX('Paramètres'!$J:$J,MATCH($C4677,'Paramètres'!$D:$D,0))="",1,INDEX('Paramètres'!$J:$J,MATCH($C4677,'Paramètres'!$D:$D,0)))),2))</f>
        <v/>
      </c>
      <c r="L4677" s="6" t="str">
        <f>IF($D4677="","",IF($F4677&lt;&gt;"",$F4677,IF(ISNA(MATCH($D4677,'Paramètres'!$M:$M,0)),"⚠ Type inconnu",IFERROR(INDEX('Paramètres'!$P:$P,MATCH($D4677,'Paramètres'!$M:$M,0))&amp;"",""))))</f>
        <v/>
      </c>
      <c r="M4677" s="6" t="str">
        <f>IF($D4677="","",IF(ISNA(MATCH($D4677,'Paramètres'!$M:$M,0)),"⚠ Type inconnu",IF($L4677="Crédit","",IFERROR(INDEX('Paramètres'!$O:$O,MATCH($D4677,'Paramètres'!$M:$M,0))&amp;"",""))))</f>
        <v/>
      </c>
      <c r="N4677" s="6" t="str">
        <f>IF($D4677="","",IFERROR(INDEX('Paramètres'!$Q:$Q,MATCH($D4677,'Paramètres'!$M:$M,0))&amp;"",""))</f>
        <v/>
      </c>
      <c r="O4677" s="6" t="str">
        <f>IF($A4677="","",IF(OR($J4677&lt;&gt;"x",$A4677&lt;=FinReleve),1,0))</f>
        <v/>
      </c>
      <c r="P4677" s="6" t="str">
        <f>IF($D4677="","",IF(AND($L4677="Crédit",OR(IFERROR(INDEX('Paramètres'!$O:$O,MATCH($D4677,'Paramètres'!$M:$M,0))&amp;"","")&lt;&gt;"",ISNUMBER(SEARCH("remboursement",IFERROR(INDEX('Paramètres'!$N:$N,MATCH($D4677,'Paramètres'!$M:$M,0))&amp;"",""))))),1,0))</f>
        <v/>
      </c>
      <c r="Q4677" s="6" t="str">
        <f>IF($K4677="","",IF(ISNUMBER(SEARCH("transfert-interne",IFERROR(INDEX('Paramètres'!$N:$N,MATCH($D4677,'Paramètres'!$M:$M,0))&amp;"",""))),0,IF($L4677="Débit",$K4677,IF($P4677=1,-$K4677,0))))</f>
        <v/>
      </c>
      <c r="R4677" s="6" t="str">
        <f>IF($K4677="","",IF($L4677="Crédit",$K4677,-$K4677))</f>
        <v/>
      </c>
      <c r="S4677" s="6" t="str">
        <f>IF($C4677="","",IFERROR(INDEX('Paramètres'!$H:$H,MATCH($C4677,'Paramètres'!$D:$D,0))&amp;"",""))</f>
        <v/>
      </c>
      <c r="T4677" s="6" t="str">
        <f>IF($K4677="","",IF($S4677="",0,IF(ISNUMBER(SEARCH("apport-exterieur",IFERROR(INDEX('Paramètres'!$N:$N,MATCH($D4677,'Paramètres'!$M:$M,0))&amp;"",""))),0,IF(OR(IFERROR(INDEX('Paramètres'!$I:$I,MATCH($C4677,'Paramètres'!$D:$D,0))&amp;"","")="Les deux",IFERROR(INDEX('Paramètres'!$I:$I,MATCH($C4677,'Paramètres'!$D:$D,0))&amp;"","")=IF($P4677=1,"Débit",$L4677)),-IF($P4677=1,-$K4677,$K4677),0))))</f>
        <v/>
      </c>
      <c r="U4677" s="6" t="str">
        <f>IF($K4677="","",IF(ISNUMBER(SEARCH("sortie-epargne",IFERROR(INDEX('Paramètres'!$N:$N,MATCH($D4677,'Paramètres'!$M:$M,0))&amp;"",""))),$K4677,0))</f>
        <v/>
      </c>
      <c r="V4677" s="6" t="str">
        <f>IF(AND($A4677&lt;&gt;"",$O4677=1,$L4677="Débit",N($Q4677)&gt;0,$A4677&gt;=Visualisation!$B$1,$A4677&lt;Visualisation!$D$1),MAX($V$1:V4676)+1,"")</f>
        <v/>
      </c>
    </row>
    <row r="4678" spans="1:22" x14ac:dyDescent="0.25">
      <c r="A4678" s="9"/>
      <c r="E4678" s="10"/>
      <c r="K4678" s="11" t="str">
        <f>IF($E4678="","",ROUND($E4678*IF(ISNA(MATCH($C4678,'Paramètres'!$D:$D,0)),1,IF(INDEX('Paramètres'!$J:$J,MATCH($C4678,'Paramètres'!$D:$D,0))="",1,INDEX('Paramètres'!$J:$J,MATCH($C4678,'Paramètres'!$D:$D,0)))),2))</f>
        <v/>
      </c>
      <c r="L4678" s="6" t="str">
        <f>IF($D4678="","",IF($F4678&lt;&gt;"",$F4678,IF(ISNA(MATCH($D4678,'Paramètres'!$M:$M,0)),"⚠ Type inconnu",IFERROR(INDEX('Paramètres'!$P:$P,MATCH($D4678,'Paramètres'!$M:$M,0))&amp;"",""))))</f>
        <v/>
      </c>
      <c r="M4678" s="6" t="str">
        <f>IF($D4678="","",IF(ISNA(MATCH($D4678,'Paramètres'!$M:$M,0)),"⚠ Type inconnu",IF($L4678="Crédit","",IFERROR(INDEX('Paramètres'!$O:$O,MATCH($D4678,'Paramètres'!$M:$M,0))&amp;"",""))))</f>
        <v/>
      </c>
      <c r="N4678" s="6" t="str">
        <f>IF($D4678="","",IFERROR(INDEX('Paramètres'!$Q:$Q,MATCH($D4678,'Paramètres'!$M:$M,0))&amp;"",""))</f>
        <v/>
      </c>
      <c r="O4678" s="6" t="str">
        <f>IF($A4678="","",IF(OR($J4678&lt;&gt;"x",$A4678&lt;=FinReleve),1,0))</f>
        <v/>
      </c>
      <c r="P4678" s="6" t="str">
        <f>IF($D4678="","",IF(AND($L4678="Crédit",OR(IFERROR(INDEX('Paramètres'!$O:$O,MATCH($D4678,'Paramètres'!$M:$M,0))&amp;"","")&lt;&gt;"",ISNUMBER(SEARCH("remboursement",IFERROR(INDEX('Paramètres'!$N:$N,MATCH($D4678,'Paramètres'!$M:$M,0))&amp;"",""))))),1,0))</f>
        <v/>
      </c>
      <c r="Q4678" s="6" t="str">
        <f>IF($K4678="","",IF(ISNUMBER(SEARCH("transfert-interne",IFERROR(INDEX('Paramètres'!$N:$N,MATCH($D4678,'Paramètres'!$M:$M,0))&amp;"",""))),0,IF($L4678="Débit",$K4678,IF($P4678=1,-$K4678,0))))</f>
        <v/>
      </c>
      <c r="R4678" s="6" t="str">
        <f>IF($K4678="","",IF($L4678="Crédit",$K4678,-$K4678))</f>
        <v/>
      </c>
      <c r="S4678" s="6" t="str">
        <f>IF($C4678="","",IFERROR(INDEX('Paramètres'!$H:$H,MATCH($C4678,'Paramètres'!$D:$D,0))&amp;"",""))</f>
        <v/>
      </c>
      <c r="T4678" s="6" t="str">
        <f>IF($K4678="","",IF($S4678="",0,IF(ISNUMBER(SEARCH("apport-exterieur",IFERROR(INDEX('Paramètres'!$N:$N,MATCH($D4678,'Paramètres'!$M:$M,0))&amp;"",""))),0,IF(OR(IFERROR(INDEX('Paramètres'!$I:$I,MATCH($C4678,'Paramètres'!$D:$D,0))&amp;"","")="Les deux",IFERROR(INDEX('Paramètres'!$I:$I,MATCH($C4678,'Paramètres'!$D:$D,0))&amp;"","")=IF($P4678=1,"Débit",$L4678)),-IF($P4678=1,-$K4678,$K4678),0))))</f>
        <v/>
      </c>
      <c r="U4678" s="6" t="str">
        <f>IF($K4678="","",IF(ISNUMBER(SEARCH("sortie-epargne",IFERROR(INDEX('Paramètres'!$N:$N,MATCH($D4678,'Paramètres'!$M:$M,0))&amp;"",""))),$K4678,0))</f>
        <v/>
      </c>
      <c r="V4678" s="6" t="str">
        <f>IF(AND($A4678&lt;&gt;"",$O4678=1,$L4678="Débit",N($Q4678)&gt;0,$A4678&gt;=Visualisation!$B$1,$A4678&lt;Visualisation!$D$1),MAX($V$1:V4677)+1,"")</f>
        <v/>
      </c>
    </row>
    <row r="4679" spans="1:22" x14ac:dyDescent="0.25">
      <c r="A4679" s="9"/>
      <c r="E4679" s="10"/>
      <c r="K4679" s="11" t="str">
        <f>IF($E4679="","",ROUND($E4679*IF(ISNA(MATCH($C4679,'Paramètres'!$D:$D,0)),1,IF(INDEX('Paramètres'!$J:$J,MATCH($C4679,'Paramètres'!$D:$D,0))="",1,INDEX('Paramètres'!$J:$J,MATCH($C4679,'Paramètres'!$D:$D,0)))),2))</f>
        <v/>
      </c>
      <c r="L4679" s="6" t="str">
        <f>IF($D4679="","",IF($F4679&lt;&gt;"",$F4679,IF(ISNA(MATCH($D4679,'Paramètres'!$M:$M,0)),"⚠ Type inconnu",IFERROR(INDEX('Paramètres'!$P:$P,MATCH($D4679,'Paramètres'!$M:$M,0))&amp;"",""))))</f>
        <v/>
      </c>
      <c r="M4679" s="6" t="str">
        <f>IF($D4679="","",IF(ISNA(MATCH($D4679,'Paramètres'!$M:$M,0)),"⚠ Type inconnu",IF($L4679="Crédit","",IFERROR(INDEX('Paramètres'!$O:$O,MATCH($D4679,'Paramètres'!$M:$M,0))&amp;"",""))))</f>
        <v/>
      </c>
      <c r="N4679" s="6" t="str">
        <f>IF($D4679="","",IFERROR(INDEX('Paramètres'!$Q:$Q,MATCH($D4679,'Paramètres'!$M:$M,0))&amp;"",""))</f>
        <v/>
      </c>
      <c r="O4679" s="6" t="str">
        <f>IF($A4679="","",IF(OR($J4679&lt;&gt;"x",$A4679&lt;=FinReleve),1,0))</f>
        <v/>
      </c>
      <c r="P4679" s="6" t="str">
        <f>IF($D4679="","",IF(AND($L4679="Crédit",OR(IFERROR(INDEX('Paramètres'!$O:$O,MATCH($D4679,'Paramètres'!$M:$M,0))&amp;"","")&lt;&gt;"",ISNUMBER(SEARCH("remboursement",IFERROR(INDEX('Paramètres'!$N:$N,MATCH($D4679,'Paramètres'!$M:$M,0))&amp;"",""))))),1,0))</f>
        <v/>
      </c>
      <c r="Q4679" s="6" t="str">
        <f>IF($K4679="","",IF(ISNUMBER(SEARCH("transfert-interne",IFERROR(INDEX('Paramètres'!$N:$N,MATCH($D4679,'Paramètres'!$M:$M,0))&amp;"",""))),0,IF($L4679="Débit",$K4679,IF($P4679=1,-$K4679,0))))</f>
        <v/>
      </c>
      <c r="R4679" s="6" t="str">
        <f>IF($K4679="","",IF($L4679="Crédit",$K4679,-$K4679))</f>
        <v/>
      </c>
      <c r="S4679" s="6" t="str">
        <f>IF($C4679="","",IFERROR(INDEX('Paramètres'!$H:$H,MATCH($C4679,'Paramètres'!$D:$D,0))&amp;"",""))</f>
        <v/>
      </c>
      <c r="T4679" s="6" t="str">
        <f>IF($K4679="","",IF($S4679="",0,IF(ISNUMBER(SEARCH("apport-exterieur",IFERROR(INDEX('Paramètres'!$N:$N,MATCH($D4679,'Paramètres'!$M:$M,0))&amp;"",""))),0,IF(OR(IFERROR(INDEX('Paramètres'!$I:$I,MATCH($C4679,'Paramètres'!$D:$D,0))&amp;"","")="Les deux",IFERROR(INDEX('Paramètres'!$I:$I,MATCH($C4679,'Paramètres'!$D:$D,0))&amp;"","")=IF($P4679=1,"Débit",$L4679)),-IF($P4679=1,-$K4679,$K4679),0))))</f>
        <v/>
      </c>
      <c r="U4679" s="6" t="str">
        <f>IF($K4679="","",IF(ISNUMBER(SEARCH("sortie-epargne",IFERROR(INDEX('Paramètres'!$N:$N,MATCH($D4679,'Paramètres'!$M:$M,0))&amp;"",""))),$K4679,0))</f>
        <v/>
      </c>
      <c r="V4679" s="6" t="str">
        <f>IF(AND($A4679&lt;&gt;"",$O4679=1,$L4679="Débit",N($Q4679)&gt;0,$A4679&gt;=Visualisation!$B$1,$A4679&lt;Visualisation!$D$1),MAX($V$1:V4678)+1,"")</f>
        <v/>
      </c>
    </row>
    <row r="4680" spans="1:22" x14ac:dyDescent="0.25">
      <c r="A4680" s="9"/>
      <c r="E4680" s="10"/>
      <c r="K4680" s="11" t="str">
        <f>IF($E4680="","",ROUND($E4680*IF(ISNA(MATCH($C4680,'Paramètres'!$D:$D,0)),1,IF(INDEX('Paramètres'!$J:$J,MATCH($C4680,'Paramètres'!$D:$D,0))="",1,INDEX('Paramètres'!$J:$J,MATCH($C4680,'Paramètres'!$D:$D,0)))),2))</f>
        <v/>
      </c>
      <c r="L4680" s="6" t="str">
        <f>IF($D4680="","",IF($F4680&lt;&gt;"",$F4680,IF(ISNA(MATCH($D4680,'Paramètres'!$M:$M,0)),"⚠ Type inconnu",IFERROR(INDEX('Paramètres'!$P:$P,MATCH($D4680,'Paramètres'!$M:$M,0))&amp;"",""))))</f>
        <v/>
      </c>
      <c r="M4680" s="6" t="str">
        <f>IF($D4680="","",IF(ISNA(MATCH($D4680,'Paramètres'!$M:$M,0)),"⚠ Type inconnu",IF($L4680="Crédit","",IFERROR(INDEX('Paramètres'!$O:$O,MATCH($D4680,'Paramètres'!$M:$M,0))&amp;"",""))))</f>
        <v/>
      </c>
      <c r="N4680" s="6" t="str">
        <f>IF($D4680="","",IFERROR(INDEX('Paramètres'!$Q:$Q,MATCH($D4680,'Paramètres'!$M:$M,0))&amp;"",""))</f>
        <v/>
      </c>
      <c r="O4680" s="6" t="str">
        <f>IF($A4680="","",IF(OR($J4680&lt;&gt;"x",$A4680&lt;=FinReleve),1,0))</f>
        <v/>
      </c>
      <c r="P4680" s="6" t="str">
        <f>IF($D4680="","",IF(AND($L4680="Crédit",OR(IFERROR(INDEX('Paramètres'!$O:$O,MATCH($D4680,'Paramètres'!$M:$M,0))&amp;"","")&lt;&gt;"",ISNUMBER(SEARCH("remboursement",IFERROR(INDEX('Paramètres'!$N:$N,MATCH($D4680,'Paramètres'!$M:$M,0))&amp;"",""))))),1,0))</f>
        <v/>
      </c>
      <c r="Q4680" s="6" t="str">
        <f>IF($K4680="","",IF(ISNUMBER(SEARCH("transfert-interne",IFERROR(INDEX('Paramètres'!$N:$N,MATCH($D4680,'Paramètres'!$M:$M,0))&amp;"",""))),0,IF($L4680="Débit",$K4680,IF($P4680=1,-$K4680,0))))</f>
        <v/>
      </c>
      <c r="R4680" s="6" t="str">
        <f>IF($K4680="","",IF($L4680="Crédit",$K4680,-$K4680))</f>
        <v/>
      </c>
      <c r="S4680" s="6" t="str">
        <f>IF($C4680="","",IFERROR(INDEX('Paramètres'!$H:$H,MATCH($C4680,'Paramètres'!$D:$D,0))&amp;"",""))</f>
        <v/>
      </c>
      <c r="T4680" s="6" t="str">
        <f>IF($K4680="","",IF($S4680="",0,IF(ISNUMBER(SEARCH("apport-exterieur",IFERROR(INDEX('Paramètres'!$N:$N,MATCH($D4680,'Paramètres'!$M:$M,0))&amp;"",""))),0,IF(OR(IFERROR(INDEX('Paramètres'!$I:$I,MATCH($C4680,'Paramètres'!$D:$D,0))&amp;"","")="Les deux",IFERROR(INDEX('Paramètres'!$I:$I,MATCH($C4680,'Paramètres'!$D:$D,0))&amp;"","")=IF($P4680=1,"Débit",$L4680)),-IF($P4680=1,-$K4680,$K4680),0))))</f>
        <v/>
      </c>
      <c r="U4680" s="6" t="str">
        <f>IF($K4680="","",IF(ISNUMBER(SEARCH("sortie-epargne",IFERROR(INDEX('Paramètres'!$N:$N,MATCH($D4680,'Paramètres'!$M:$M,0))&amp;"",""))),$K4680,0))</f>
        <v/>
      </c>
      <c r="V4680" s="6" t="str">
        <f>IF(AND($A4680&lt;&gt;"",$O4680=1,$L4680="Débit",N($Q4680)&gt;0,$A4680&gt;=Visualisation!$B$1,$A4680&lt;Visualisation!$D$1),MAX($V$1:V4679)+1,"")</f>
        <v/>
      </c>
    </row>
    <row r="4681" spans="1:22" x14ac:dyDescent="0.25">
      <c r="A4681" s="9"/>
      <c r="E4681" s="10"/>
      <c r="K4681" s="11" t="str">
        <f>IF($E4681="","",ROUND($E4681*IF(ISNA(MATCH($C4681,'Paramètres'!$D:$D,0)),1,IF(INDEX('Paramètres'!$J:$J,MATCH($C4681,'Paramètres'!$D:$D,0))="",1,INDEX('Paramètres'!$J:$J,MATCH($C4681,'Paramètres'!$D:$D,0)))),2))</f>
        <v/>
      </c>
      <c r="L4681" s="6" t="str">
        <f>IF($D4681="","",IF($F4681&lt;&gt;"",$F4681,IF(ISNA(MATCH($D4681,'Paramètres'!$M:$M,0)),"⚠ Type inconnu",IFERROR(INDEX('Paramètres'!$P:$P,MATCH($D4681,'Paramètres'!$M:$M,0))&amp;"",""))))</f>
        <v/>
      </c>
      <c r="M4681" s="6" t="str">
        <f>IF($D4681="","",IF(ISNA(MATCH($D4681,'Paramètres'!$M:$M,0)),"⚠ Type inconnu",IF($L4681="Crédit","",IFERROR(INDEX('Paramètres'!$O:$O,MATCH($D4681,'Paramètres'!$M:$M,0))&amp;"",""))))</f>
        <v/>
      </c>
      <c r="N4681" s="6" t="str">
        <f>IF($D4681="","",IFERROR(INDEX('Paramètres'!$Q:$Q,MATCH($D4681,'Paramètres'!$M:$M,0))&amp;"",""))</f>
        <v/>
      </c>
      <c r="O4681" s="6" t="str">
        <f>IF($A4681="","",IF(OR($J4681&lt;&gt;"x",$A4681&lt;=FinReleve),1,0))</f>
        <v/>
      </c>
      <c r="P4681" s="6" t="str">
        <f>IF($D4681="","",IF(AND($L4681="Crédit",OR(IFERROR(INDEX('Paramètres'!$O:$O,MATCH($D4681,'Paramètres'!$M:$M,0))&amp;"","")&lt;&gt;"",ISNUMBER(SEARCH("remboursement",IFERROR(INDEX('Paramètres'!$N:$N,MATCH($D4681,'Paramètres'!$M:$M,0))&amp;"",""))))),1,0))</f>
        <v/>
      </c>
      <c r="Q4681" s="6" t="str">
        <f>IF($K4681="","",IF(ISNUMBER(SEARCH("transfert-interne",IFERROR(INDEX('Paramètres'!$N:$N,MATCH($D4681,'Paramètres'!$M:$M,0))&amp;"",""))),0,IF($L4681="Débit",$K4681,IF($P4681=1,-$K4681,0))))</f>
        <v/>
      </c>
      <c r="R4681" s="6" t="str">
        <f>IF($K4681="","",IF($L4681="Crédit",$K4681,-$K4681))</f>
        <v/>
      </c>
      <c r="S4681" s="6" t="str">
        <f>IF($C4681="","",IFERROR(INDEX('Paramètres'!$H:$H,MATCH($C4681,'Paramètres'!$D:$D,0))&amp;"",""))</f>
        <v/>
      </c>
      <c r="T4681" s="6" t="str">
        <f>IF($K4681="","",IF($S4681="",0,IF(ISNUMBER(SEARCH("apport-exterieur",IFERROR(INDEX('Paramètres'!$N:$N,MATCH($D4681,'Paramètres'!$M:$M,0))&amp;"",""))),0,IF(OR(IFERROR(INDEX('Paramètres'!$I:$I,MATCH($C4681,'Paramètres'!$D:$D,0))&amp;"","")="Les deux",IFERROR(INDEX('Paramètres'!$I:$I,MATCH($C4681,'Paramètres'!$D:$D,0))&amp;"","")=IF($P4681=1,"Débit",$L4681)),-IF($P4681=1,-$K4681,$K4681),0))))</f>
        <v/>
      </c>
      <c r="U4681" s="6" t="str">
        <f>IF($K4681="","",IF(ISNUMBER(SEARCH("sortie-epargne",IFERROR(INDEX('Paramètres'!$N:$N,MATCH($D4681,'Paramètres'!$M:$M,0))&amp;"",""))),$K4681,0))</f>
        <v/>
      </c>
      <c r="V4681" s="6" t="str">
        <f>IF(AND($A4681&lt;&gt;"",$O4681=1,$L4681="Débit",N($Q4681)&gt;0,$A4681&gt;=Visualisation!$B$1,$A4681&lt;Visualisation!$D$1),MAX($V$1:V4680)+1,"")</f>
        <v/>
      </c>
    </row>
    <row r="4682" spans="1:22" x14ac:dyDescent="0.25">
      <c r="A4682" s="9"/>
      <c r="E4682" s="10"/>
      <c r="K4682" s="11" t="str">
        <f>IF($E4682="","",ROUND($E4682*IF(ISNA(MATCH($C4682,'Paramètres'!$D:$D,0)),1,IF(INDEX('Paramètres'!$J:$J,MATCH($C4682,'Paramètres'!$D:$D,0))="",1,INDEX('Paramètres'!$J:$J,MATCH($C4682,'Paramètres'!$D:$D,0)))),2))</f>
        <v/>
      </c>
      <c r="L4682" s="6" t="str">
        <f>IF($D4682="","",IF($F4682&lt;&gt;"",$F4682,IF(ISNA(MATCH($D4682,'Paramètres'!$M:$M,0)),"⚠ Type inconnu",IFERROR(INDEX('Paramètres'!$P:$P,MATCH($D4682,'Paramètres'!$M:$M,0))&amp;"",""))))</f>
        <v/>
      </c>
      <c r="M4682" s="6" t="str">
        <f>IF($D4682="","",IF(ISNA(MATCH($D4682,'Paramètres'!$M:$M,0)),"⚠ Type inconnu",IF($L4682="Crédit","",IFERROR(INDEX('Paramètres'!$O:$O,MATCH($D4682,'Paramètres'!$M:$M,0))&amp;"",""))))</f>
        <v/>
      </c>
      <c r="N4682" s="6" t="str">
        <f>IF($D4682="","",IFERROR(INDEX('Paramètres'!$Q:$Q,MATCH($D4682,'Paramètres'!$M:$M,0))&amp;"",""))</f>
        <v/>
      </c>
      <c r="O4682" s="6" t="str">
        <f>IF($A4682="","",IF(OR($J4682&lt;&gt;"x",$A4682&lt;=FinReleve),1,0))</f>
        <v/>
      </c>
      <c r="P4682" s="6" t="str">
        <f>IF($D4682="","",IF(AND($L4682="Crédit",OR(IFERROR(INDEX('Paramètres'!$O:$O,MATCH($D4682,'Paramètres'!$M:$M,0))&amp;"","")&lt;&gt;"",ISNUMBER(SEARCH("remboursement",IFERROR(INDEX('Paramètres'!$N:$N,MATCH($D4682,'Paramètres'!$M:$M,0))&amp;"",""))))),1,0))</f>
        <v/>
      </c>
      <c r="Q4682" s="6" t="str">
        <f>IF($K4682="","",IF(ISNUMBER(SEARCH("transfert-interne",IFERROR(INDEX('Paramètres'!$N:$N,MATCH($D4682,'Paramètres'!$M:$M,0))&amp;"",""))),0,IF($L4682="Débit",$K4682,IF($P4682=1,-$K4682,0))))</f>
        <v/>
      </c>
      <c r="R4682" s="6" t="str">
        <f>IF($K4682="","",IF($L4682="Crédit",$K4682,-$K4682))</f>
        <v/>
      </c>
      <c r="S4682" s="6" t="str">
        <f>IF($C4682="","",IFERROR(INDEX('Paramètres'!$H:$H,MATCH($C4682,'Paramètres'!$D:$D,0))&amp;"",""))</f>
        <v/>
      </c>
      <c r="T4682" s="6" t="str">
        <f>IF($K4682="","",IF($S4682="",0,IF(ISNUMBER(SEARCH("apport-exterieur",IFERROR(INDEX('Paramètres'!$N:$N,MATCH($D4682,'Paramètres'!$M:$M,0))&amp;"",""))),0,IF(OR(IFERROR(INDEX('Paramètres'!$I:$I,MATCH($C4682,'Paramètres'!$D:$D,0))&amp;"","")="Les deux",IFERROR(INDEX('Paramètres'!$I:$I,MATCH($C4682,'Paramètres'!$D:$D,0))&amp;"","")=IF($P4682=1,"Débit",$L4682)),-IF($P4682=1,-$K4682,$K4682),0))))</f>
        <v/>
      </c>
      <c r="U4682" s="6" t="str">
        <f>IF($K4682="","",IF(ISNUMBER(SEARCH("sortie-epargne",IFERROR(INDEX('Paramètres'!$N:$N,MATCH($D4682,'Paramètres'!$M:$M,0))&amp;"",""))),$K4682,0))</f>
        <v/>
      </c>
      <c r="V4682" s="6" t="str">
        <f>IF(AND($A4682&lt;&gt;"",$O4682=1,$L4682="Débit",N($Q4682)&gt;0,$A4682&gt;=Visualisation!$B$1,$A4682&lt;Visualisation!$D$1),MAX($V$1:V4681)+1,"")</f>
        <v/>
      </c>
    </row>
    <row r="4683" spans="1:22" x14ac:dyDescent="0.25">
      <c r="A4683" s="9"/>
      <c r="E4683" s="10"/>
      <c r="K4683" s="11" t="str">
        <f>IF($E4683="","",ROUND($E4683*IF(ISNA(MATCH($C4683,'Paramètres'!$D:$D,0)),1,IF(INDEX('Paramètres'!$J:$J,MATCH($C4683,'Paramètres'!$D:$D,0))="",1,INDEX('Paramètres'!$J:$J,MATCH($C4683,'Paramètres'!$D:$D,0)))),2))</f>
        <v/>
      </c>
      <c r="L4683" s="6" t="str">
        <f>IF($D4683="","",IF($F4683&lt;&gt;"",$F4683,IF(ISNA(MATCH($D4683,'Paramètres'!$M:$M,0)),"⚠ Type inconnu",IFERROR(INDEX('Paramètres'!$P:$P,MATCH($D4683,'Paramètres'!$M:$M,0))&amp;"",""))))</f>
        <v/>
      </c>
      <c r="M4683" s="6" t="str">
        <f>IF($D4683="","",IF(ISNA(MATCH($D4683,'Paramètres'!$M:$M,0)),"⚠ Type inconnu",IF($L4683="Crédit","",IFERROR(INDEX('Paramètres'!$O:$O,MATCH($D4683,'Paramètres'!$M:$M,0))&amp;"",""))))</f>
        <v/>
      </c>
      <c r="N4683" s="6" t="str">
        <f>IF($D4683="","",IFERROR(INDEX('Paramètres'!$Q:$Q,MATCH($D4683,'Paramètres'!$M:$M,0))&amp;"",""))</f>
        <v/>
      </c>
      <c r="O4683" s="6" t="str">
        <f>IF($A4683="","",IF(OR($J4683&lt;&gt;"x",$A4683&lt;=FinReleve),1,0))</f>
        <v/>
      </c>
      <c r="P4683" s="6" t="str">
        <f>IF($D4683="","",IF(AND($L4683="Crédit",OR(IFERROR(INDEX('Paramètres'!$O:$O,MATCH($D4683,'Paramètres'!$M:$M,0))&amp;"","")&lt;&gt;"",ISNUMBER(SEARCH("remboursement",IFERROR(INDEX('Paramètres'!$N:$N,MATCH($D4683,'Paramètres'!$M:$M,0))&amp;"",""))))),1,0))</f>
        <v/>
      </c>
      <c r="Q4683" s="6" t="str">
        <f>IF($K4683="","",IF(ISNUMBER(SEARCH("transfert-interne",IFERROR(INDEX('Paramètres'!$N:$N,MATCH($D4683,'Paramètres'!$M:$M,0))&amp;"",""))),0,IF($L4683="Débit",$K4683,IF($P4683=1,-$K4683,0))))</f>
        <v/>
      </c>
      <c r="R4683" s="6" t="str">
        <f>IF($K4683="","",IF($L4683="Crédit",$K4683,-$K4683))</f>
        <v/>
      </c>
      <c r="S4683" s="6" t="str">
        <f>IF($C4683="","",IFERROR(INDEX('Paramètres'!$H:$H,MATCH($C4683,'Paramètres'!$D:$D,0))&amp;"",""))</f>
        <v/>
      </c>
      <c r="T4683" s="6" t="str">
        <f>IF($K4683="","",IF($S4683="",0,IF(ISNUMBER(SEARCH("apport-exterieur",IFERROR(INDEX('Paramètres'!$N:$N,MATCH($D4683,'Paramètres'!$M:$M,0))&amp;"",""))),0,IF(OR(IFERROR(INDEX('Paramètres'!$I:$I,MATCH($C4683,'Paramètres'!$D:$D,0))&amp;"","")="Les deux",IFERROR(INDEX('Paramètres'!$I:$I,MATCH($C4683,'Paramètres'!$D:$D,0))&amp;"","")=IF($P4683=1,"Débit",$L4683)),-IF($P4683=1,-$K4683,$K4683),0))))</f>
        <v/>
      </c>
      <c r="U4683" s="6" t="str">
        <f>IF($K4683="","",IF(ISNUMBER(SEARCH("sortie-epargne",IFERROR(INDEX('Paramètres'!$N:$N,MATCH($D4683,'Paramètres'!$M:$M,0))&amp;"",""))),$K4683,0))</f>
        <v/>
      </c>
      <c r="V4683" s="6" t="str">
        <f>IF(AND($A4683&lt;&gt;"",$O4683=1,$L4683="Débit",N($Q4683)&gt;0,$A4683&gt;=Visualisation!$B$1,$A4683&lt;Visualisation!$D$1),MAX($V$1:V4682)+1,"")</f>
        <v/>
      </c>
    </row>
    <row r="4684" spans="1:22" x14ac:dyDescent="0.25">
      <c r="A4684" s="9"/>
      <c r="E4684" s="10"/>
      <c r="K4684" s="11" t="str">
        <f>IF($E4684="","",ROUND($E4684*IF(ISNA(MATCH($C4684,'Paramètres'!$D:$D,0)),1,IF(INDEX('Paramètres'!$J:$J,MATCH($C4684,'Paramètres'!$D:$D,0))="",1,INDEX('Paramètres'!$J:$J,MATCH($C4684,'Paramètres'!$D:$D,0)))),2))</f>
        <v/>
      </c>
      <c r="L4684" s="6" t="str">
        <f>IF($D4684="","",IF($F4684&lt;&gt;"",$F4684,IF(ISNA(MATCH($D4684,'Paramètres'!$M:$M,0)),"⚠ Type inconnu",IFERROR(INDEX('Paramètres'!$P:$P,MATCH($D4684,'Paramètres'!$M:$M,0))&amp;"",""))))</f>
        <v/>
      </c>
      <c r="M4684" s="6" t="str">
        <f>IF($D4684="","",IF(ISNA(MATCH($D4684,'Paramètres'!$M:$M,0)),"⚠ Type inconnu",IF($L4684="Crédit","",IFERROR(INDEX('Paramètres'!$O:$O,MATCH($D4684,'Paramètres'!$M:$M,0))&amp;"",""))))</f>
        <v/>
      </c>
      <c r="N4684" s="6" t="str">
        <f>IF($D4684="","",IFERROR(INDEX('Paramètres'!$Q:$Q,MATCH($D4684,'Paramètres'!$M:$M,0))&amp;"",""))</f>
        <v/>
      </c>
      <c r="O4684" s="6" t="str">
        <f>IF($A4684="","",IF(OR($J4684&lt;&gt;"x",$A4684&lt;=FinReleve),1,0))</f>
        <v/>
      </c>
      <c r="P4684" s="6" t="str">
        <f>IF($D4684="","",IF(AND($L4684="Crédit",OR(IFERROR(INDEX('Paramètres'!$O:$O,MATCH($D4684,'Paramètres'!$M:$M,0))&amp;"","")&lt;&gt;"",ISNUMBER(SEARCH("remboursement",IFERROR(INDEX('Paramètres'!$N:$N,MATCH($D4684,'Paramètres'!$M:$M,0))&amp;"",""))))),1,0))</f>
        <v/>
      </c>
      <c r="Q4684" s="6" t="str">
        <f>IF($K4684="","",IF(ISNUMBER(SEARCH("transfert-interne",IFERROR(INDEX('Paramètres'!$N:$N,MATCH($D4684,'Paramètres'!$M:$M,0))&amp;"",""))),0,IF($L4684="Débit",$K4684,IF($P4684=1,-$K4684,0))))</f>
        <v/>
      </c>
      <c r="R4684" s="6" t="str">
        <f>IF($K4684="","",IF($L4684="Crédit",$K4684,-$K4684))</f>
        <v/>
      </c>
      <c r="S4684" s="6" t="str">
        <f>IF($C4684="","",IFERROR(INDEX('Paramètres'!$H:$H,MATCH($C4684,'Paramètres'!$D:$D,0))&amp;"",""))</f>
        <v/>
      </c>
      <c r="T4684" s="6" t="str">
        <f>IF($K4684="","",IF($S4684="",0,IF(ISNUMBER(SEARCH("apport-exterieur",IFERROR(INDEX('Paramètres'!$N:$N,MATCH($D4684,'Paramètres'!$M:$M,0))&amp;"",""))),0,IF(OR(IFERROR(INDEX('Paramètres'!$I:$I,MATCH($C4684,'Paramètres'!$D:$D,0))&amp;"","")="Les deux",IFERROR(INDEX('Paramètres'!$I:$I,MATCH($C4684,'Paramètres'!$D:$D,0))&amp;"","")=IF($P4684=1,"Débit",$L4684)),-IF($P4684=1,-$K4684,$K4684),0))))</f>
        <v/>
      </c>
      <c r="U4684" s="6" t="str">
        <f>IF($K4684="","",IF(ISNUMBER(SEARCH("sortie-epargne",IFERROR(INDEX('Paramètres'!$N:$N,MATCH($D4684,'Paramètres'!$M:$M,0))&amp;"",""))),$K4684,0))</f>
        <v/>
      </c>
      <c r="V4684" s="6" t="str">
        <f>IF(AND($A4684&lt;&gt;"",$O4684=1,$L4684="Débit",N($Q4684)&gt;0,$A4684&gt;=Visualisation!$B$1,$A4684&lt;Visualisation!$D$1),MAX($V$1:V4683)+1,"")</f>
        <v/>
      </c>
    </row>
    <row r="4685" spans="1:22" x14ac:dyDescent="0.25">
      <c r="A4685" s="9"/>
      <c r="E4685" s="10"/>
      <c r="K4685" s="11" t="str">
        <f>IF($E4685="","",ROUND($E4685*IF(ISNA(MATCH($C4685,'Paramètres'!$D:$D,0)),1,IF(INDEX('Paramètres'!$J:$J,MATCH($C4685,'Paramètres'!$D:$D,0))="",1,INDEX('Paramètres'!$J:$J,MATCH($C4685,'Paramètres'!$D:$D,0)))),2))</f>
        <v/>
      </c>
      <c r="L4685" s="6" t="str">
        <f>IF($D4685="","",IF($F4685&lt;&gt;"",$F4685,IF(ISNA(MATCH($D4685,'Paramètres'!$M:$M,0)),"⚠ Type inconnu",IFERROR(INDEX('Paramètres'!$P:$P,MATCH($D4685,'Paramètres'!$M:$M,0))&amp;"",""))))</f>
        <v/>
      </c>
      <c r="M4685" s="6" t="str">
        <f>IF($D4685="","",IF(ISNA(MATCH($D4685,'Paramètres'!$M:$M,0)),"⚠ Type inconnu",IF($L4685="Crédit","",IFERROR(INDEX('Paramètres'!$O:$O,MATCH($D4685,'Paramètres'!$M:$M,0))&amp;"",""))))</f>
        <v/>
      </c>
      <c r="N4685" s="6" t="str">
        <f>IF($D4685="","",IFERROR(INDEX('Paramètres'!$Q:$Q,MATCH($D4685,'Paramètres'!$M:$M,0))&amp;"",""))</f>
        <v/>
      </c>
      <c r="O4685" s="6" t="str">
        <f>IF($A4685="","",IF(OR($J4685&lt;&gt;"x",$A4685&lt;=FinReleve),1,0))</f>
        <v/>
      </c>
      <c r="P4685" s="6" t="str">
        <f>IF($D4685="","",IF(AND($L4685="Crédit",OR(IFERROR(INDEX('Paramètres'!$O:$O,MATCH($D4685,'Paramètres'!$M:$M,0))&amp;"","")&lt;&gt;"",ISNUMBER(SEARCH("remboursement",IFERROR(INDEX('Paramètres'!$N:$N,MATCH($D4685,'Paramètres'!$M:$M,0))&amp;"",""))))),1,0))</f>
        <v/>
      </c>
      <c r="Q4685" s="6" t="str">
        <f>IF($K4685="","",IF(ISNUMBER(SEARCH("transfert-interne",IFERROR(INDEX('Paramètres'!$N:$N,MATCH($D4685,'Paramètres'!$M:$M,0))&amp;"",""))),0,IF($L4685="Débit",$K4685,IF($P4685=1,-$K4685,0))))</f>
        <v/>
      </c>
      <c r="R4685" s="6" t="str">
        <f>IF($K4685="","",IF($L4685="Crédit",$K4685,-$K4685))</f>
        <v/>
      </c>
      <c r="S4685" s="6" t="str">
        <f>IF($C4685="","",IFERROR(INDEX('Paramètres'!$H:$H,MATCH($C4685,'Paramètres'!$D:$D,0))&amp;"",""))</f>
        <v/>
      </c>
      <c r="T4685" s="6" t="str">
        <f>IF($K4685="","",IF($S4685="",0,IF(ISNUMBER(SEARCH("apport-exterieur",IFERROR(INDEX('Paramètres'!$N:$N,MATCH($D4685,'Paramètres'!$M:$M,0))&amp;"",""))),0,IF(OR(IFERROR(INDEX('Paramètres'!$I:$I,MATCH($C4685,'Paramètres'!$D:$D,0))&amp;"","")="Les deux",IFERROR(INDEX('Paramètres'!$I:$I,MATCH($C4685,'Paramètres'!$D:$D,0))&amp;"","")=IF($P4685=1,"Débit",$L4685)),-IF($P4685=1,-$K4685,$K4685),0))))</f>
        <v/>
      </c>
      <c r="U4685" s="6" t="str">
        <f>IF($K4685="","",IF(ISNUMBER(SEARCH("sortie-epargne",IFERROR(INDEX('Paramètres'!$N:$N,MATCH($D4685,'Paramètres'!$M:$M,0))&amp;"",""))),$K4685,0))</f>
        <v/>
      </c>
      <c r="V4685" s="6" t="str">
        <f>IF(AND($A4685&lt;&gt;"",$O4685=1,$L4685="Débit",N($Q4685)&gt;0,$A4685&gt;=Visualisation!$B$1,$A4685&lt;Visualisation!$D$1),MAX($V$1:V4684)+1,"")</f>
        <v/>
      </c>
    </row>
    <row r="4686" spans="1:22" x14ac:dyDescent="0.25">
      <c r="A4686" s="9"/>
      <c r="E4686" s="10"/>
      <c r="K4686" s="11" t="str">
        <f>IF($E4686="","",ROUND($E4686*IF(ISNA(MATCH($C4686,'Paramètres'!$D:$D,0)),1,IF(INDEX('Paramètres'!$J:$J,MATCH($C4686,'Paramètres'!$D:$D,0))="",1,INDEX('Paramètres'!$J:$J,MATCH($C4686,'Paramètres'!$D:$D,0)))),2))</f>
        <v/>
      </c>
      <c r="L4686" s="6" t="str">
        <f>IF($D4686="","",IF($F4686&lt;&gt;"",$F4686,IF(ISNA(MATCH($D4686,'Paramètres'!$M:$M,0)),"⚠ Type inconnu",IFERROR(INDEX('Paramètres'!$P:$P,MATCH($D4686,'Paramètres'!$M:$M,0))&amp;"",""))))</f>
        <v/>
      </c>
      <c r="M4686" s="6" t="str">
        <f>IF($D4686="","",IF(ISNA(MATCH($D4686,'Paramètres'!$M:$M,0)),"⚠ Type inconnu",IF($L4686="Crédit","",IFERROR(INDEX('Paramètres'!$O:$O,MATCH($D4686,'Paramètres'!$M:$M,0))&amp;"",""))))</f>
        <v/>
      </c>
      <c r="N4686" s="6" t="str">
        <f>IF($D4686="","",IFERROR(INDEX('Paramètres'!$Q:$Q,MATCH($D4686,'Paramètres'!$M:$M,0))&amp;"",""))</f>
        <v/>
      </c>
      <c r="O4686" s="6" t="str">
        <f>IF($A4686="","",IF(OR($J4686&lt;&gt;"x",$A4686&lt;=FinReleve),1,0))</f>
        <v/>
      </c>
      <c r="P4686" s="6" t="str">
        <f>IF($D4686="","",IF(AND($L4686="Crédit",OR(IFERROR(INDEX('Paramètres'!$O:$O,MATCH($D4686,'Paramètres'!$M:$M,0))&amp;"","")&lt;&gt;"",ISNUMBER(SEARCH("remboursement",IFERROR(INDEX('Paramètres'!$N:$N,MATCH($D4686,'Paramètres'!$M:$M,0))&amp;"",""))))),1,0))</f>
        <v/>
      </c>
      <c r="Q4686" s="6" t="str">
        <f>IF($K4686="","",IF(ISNUMBER(SEARCH("transfert-interne",IFERROR(INDEX('Paramètres'!$N:$N,MATCH($D4686,'Paramètres'!$M:$M,0))&amp;"",""))),0,IF($L4686="Débit",$K4686,IF($P4686=1,-$K4686,0))))</f>
        <v/>
      </c>
      <c r="R4686" s="6" t="str">
        <f>IF($K4686="","",IF($L4686="Crédit",$K4686,-$K4686))</f>
        <v/>
      </c>
      <c r="S4686" s="6" t="str">
        <f>IF($C4686="","",IFERROR(INDEX('Paramètres'!$H:$H,MATCH($C4686,'Paramètres'!$D:$D,0))&amp;"",""))</f>
        <v/>
      </c>
      <c r="T4686" s="6" t="str">
        <f>IF($K4686="","",IF($S4686="",0,IF(ISNUMBER(SEARCH("apport-exterieur",IFERROR(INDEX('Paramètres'!$N:$N,MATCH($D4686,'Paramètres'!$M:$M,0))&amp;"",""))),0,IF(OR(IFERROR(INDEX('Paramètres'!$I:$I,MATCH($C4686,'Paramètres'!$D:$D,0))&amp;"","")="Les deux",IFERROR(INDEX('Paramètres'!$I:$I,MATCH($C4686,'Paramètres'!$D:$D,0))&amp;"","")=IF($P4686=1,"Débit",$L4686)),-IF($P4686=1,-$K4686,$K4686),0))))</f>
        <v/>
      </c>
      <c r="U4686" s="6" t="str">
        <f>IF($K4686="","",IF(ISNUMBER(SEARCH("sortie-epargne",IFERROR(INDEX('Paramètres'!$N:$N,MATCH($D4686,'Paramètres'!$M:$M,0))&amp;"",""))),$K4686,0))</f>
        <v/>
      </c>
      <c r="V4686" s="6" t="str">
        <f>IF(AND($A4686&lt;&gt;"",$O4686=1,$L4686="Débit",N($Q4686)&gt;0,$A4686&gt;=Visualisation!$B$1,$A4686&lt;Visualisation!$D$1),MAX($V$1:V4685)+1,"")</f>
        <v/>
      </c>
    </row>
    <row r="4687" spans="1:22" x14ac:dyDescent="0.25">
      <c r="A4687" s="9"/>
      <c r="E4687" s="10"/>
      <c r="K4687" s="11" t="str">
        <f>IF($E4687="","",ROUND($E4687*IF(ISNA(MATCH($C4687,'Paramètres'!$D:$D,0)),1,IF(INDEX('Paramètres'!$J:$J,MATCH($C4687,'Paramètres'!$D:$D,0))="",1,INDEX('Paramètres'!$J:$J,MATCH($C4687,'Paramètres'!$D:$D,0)))),2))</f>
        <v/>
      </c>
      <c r="L4687" s="6" t="str">
        <f>IF($D4687="","",IF($F4687&lt;&gt;"",$F4687,IF(ISNA(MATCH($D4687,'Paramètres'!$M:$M,0)),"⚠ Type inconnu",IFERROR(INDEX('Paramètres'!$P:$P,MATCH($D4687,'Paramètres'!$M:$M,0))&amp;"",""))))</f>
        <v/>
      </c>
      <c r="M4687" s="6" t="str">
        <f>IF($D4687="","",IF(ISNA(MATCH($D4687,'Paramètres'!$M:$M,0)),"⚠ Type inconnu",IF($L4687="Crédit","",IFERROR(INDEX('Paramètres'!$O:$O,MATCH($D4687,'Paramètres'!$M:$M,0))&amp;"",""))))</f>
        <v/>
      </c>
      <c r="N4687" s="6" t="str">
        <f>IF($D4687="","",IFERROR(INDEX('Paramètres'!$Q:$Q,MATCH($D4687,'Paramètres'!$M:$M,0))&amp;"",""))</f>
        <v/>
      </c>
      <c r="O4687" s="6" t="str">
        <f>IF($A4687="","",IF(OR($J4687&lt;&gt;"x",$A4687&lt;=FinReleve),1,0))</f>
        <v/>
      </c>
      <c r="P4687" s="6" t="str">
        <f>IF($D4687="","",IF(AND($L4687="Crédit",OR(IFERROR(INDEX('Paramètres'!$O:$O,MATCH($D4687,'Paramètres'!$M:$M,0))&amp;"","")&lt;&gt;"",ISNUMBER(SEARCH("remboursement",IFERROR(INDEX('Paramètres'!$N:$N,MATCH($D4687,'Paramètres'!$M:$M,0))&amp;"",""))))),1,0))</f>
        <v/>
      </c>
      <c r="Q4687" s="6" t="str">
        <f>IF($K4687="","",IF(ISNUMBER(SEARCH("transfert-interne",IFERROR(INDEX('Paramètres'!$N:$N,MATCH($D4687,'Paramètres'!$M:$M,0))&amp;"",""))),0,IF($L4687="Débit",$K4687,IF($P4687=1,-$K4687,0))))</f>
        <v/>
      </c>
      <c r="R4687" s="6" t="str">
        <f>IF($K4687="","",IF($L4687="Crédit",$K4687,-$K4687))</f>
        <v/>
      </c>
      <c r="S4687" s="6" t="str">
        <f>IF($C4687="","",IFERROR(INDEX('Paramètres'!$H:$H,MATCH($C4687,'Paramètres'!$D:$D,0))&amp;"",""))</f>
        <v/>
      </c>
      <c r="T4687" s="6" t="str">
        <f>IF($K4687="","",IF($S4687="",0,IF(ISNUMBER(SEARCH("apport-exterieur",IFERROR(INDEX('Paramètres'!$N:$N,MATCH($D4687,'Paramètres'!$M:$M,0))&amp;"",""))),0,IF(OR(IFERROR(INDEX('Paramètres'!$I:$I,MATCH($C4687,'Paramètres'!$D:$D,0))&amp;"","")="Les deux",IFERROR(INDEX('Paramètres'!$I:$I,MATCH($C4687,'Paramètres'!$D:$D,0))&amp;"","")=IF($P4687=1,"Débit",$L4687)),-IF($P4687=1,-$K4687,$K4687),0))))</f>
        <v/>
      </c>
      <c r="U4687" s="6" t="str">
        <f>IF($K4687="","",IF(ISNUMBER(SEARCH("sortie-epargne",IFERROR(INDEX('Paramètres'!$N:$N,MATCH($D4687,'Paramètres'!$M:$M,0))&amp;"",""))),$K4687,0))</f>
        <v/>
      </c>
      <c r="V4687" s="6" t="str">
        <f>IF(AND($A4687&lt;&gt;"",$O4687=1,$L4687="Débit",N($Q4687)&gt;0,$A4687&gt;=Visualisation!$B$1,$A4687&lt;Visualisation!$D$1),MAX($V$1:V4686)+1,"")</f>
        <v/>
      </c>
    </row>
    <row r="4688" spans="1:22" x14ac:dyDescent="0.25">
      <c r="A4688" s="9"/>
      <c r="E4688" s="10"/>
      <c r="K4688" s="11" t="str">
        <f>IF($E4688="","",ROUND($E4688*IF(ISNA(MATCH($C4688,'Paramètres'!$D:$D,0)),1,IF(INDEX('Paramètres'!$J:$J,MATCH($C4688,'Paramètres'!$D:$D,0))="",1,INDEX('Paramètres'!$J:$J,MATCH($C4688,'Paramètres'!$D:$D,0)))),2))</f>
        <v/>
      </c>
      <c r="L4688" s="6" t="str">
        <f>IF($D4688="","",IF($F4688&lt;&gt;"",$F4688,IF(ISNA(MATCH($D4688,'Paramètres'!$M:$M,0)),"⚠ Type inconnu",IFERROR(INDEX('Paramètres'!$P:$P,MATCH($D4688,'Paramètres'!$M:$M,0))&amp;"",""))))</f>
        <v/>
      </c>
      <c r="M4688" s="6" t="str">
        <f>IF($D4688="","",IF(ISNA(MATCH($D4688,'Paramètres'!$M:$M,0)),"⚠ Type inconnu",IF($L4688="Crédit","",IFERROR(INDEX('Paramètres'!$O:$O,MATCH($D4688,'Paramètres'!$M:$M,0))&amp;"",""))))</f>
        <v/>
      </c>
      <c r="N4688" s="6" t="str">
        <f>IF($D4688="","",IFERROR(INDEX('Paramètres'!$Q:$Q,MATCH($D4688,'Paramètres'!$M:$M,0))&amp;"",""))</f>
        <v/>
      </c>
      <c r="O4688" s="6" t="str">
        <f>IF($A4688="","",IF(OR($J4688&lt;&gt;"x",$A4688&lt;=FinReleve),1,0))</f>
        <v/>
      </c>
      <c r="P4688" s="6" t="str">
        <f>IF($D4688="","",IF(AND($L4688="Crédit",OR(IFERROR(INDEX('Paramètres'!$O:$O,MATCH($D4688,'Paramètres'!$M:$M,0))&amp;"","")&lt;&gt;"",ISNUMBER(SEARCH("remboursement",IFERROR(INDEX('Paramètres'!$N:$N,MATCH($D4688,'Paramètres'!$M:$M,0))&amp;"",""))))),1,0))</f>
        <v/>
      </c>
      <c r="Q4688" s="6" t="str">
        <f>IF($K4688="","",IF(ISNUMBER(SEARCH("transfert-interne",IFERROR(INDEX('Paramètres'!$N:$N,MATCH($D4688,'Paramètres'!$M:$M,0))&amp;"",""))),0,IF($L4688="Débit",$K4688,IF($P4688=1,-$K4688,0))))</f>
        <v/>
      </c>
      <c r="R4688" s="6" t="str">
        <f>IF($K4688="","",IF($L4688="Crédit",$K4688,-$K4688))</f>
        <v/>
      </c>
      <c r="S4688" s="6" t="str">
        <f>IF($C4688="","",IFERROR(INDEX('Paramètres'!$H:$H,MATCH($C4688,'Paramètres'!$D:$D,0))&amp;"",""))</f>
        <v/>
      </c>
      <c r="T4688" s="6" t="str">
        <f>IF($K4688="","",IF($S4688="",0,IF(ISNUMBER(SEARCH("apport-exterieur",IFERROR(INDEX('Paramètres'!$N:$N,MATCH($D4688,'Paramètres'!$M:$M,0))&amp;"",""))),0,IF(OR(IFERROR(INDEX('Paramètres'!$I:$I,MATCH($C4688,'Paramètres'!$D:$D,0))&amp;"","")="Les deux",IFERROR(INDEX('Paramètres'!$I:$I,MATCH($C4688,'Paramètres'!$D:$D,0))&amp;"","")=IF($P4688=1,"Débit",$L4688)),-IF($P4688=1,-$K4688,$K4688),0))))</f>
        <v/>
      </c>
      <c r="U4688" s="6" t="str">
        <f>IF($K4688="","",IF(ISNUMBER(SEARCH("sortie-epargne",IFERROR(INDEX('Paramètres'!$N:$N,MATCH($D4688,'Paramètres'!$M:$M,0))&amp;"",""))),$K4688,0))</f>
        <v/>
      </c>
      <c r="V4688" s="6" t="str">
        <f>IF(AND($A4688&lt;&gt;"",$O4688=1,$L4688="Débit",N($Q4688)&gt;0,$A4688&gt;=Visualisation!$B$1,$A4688&lt;Visualisation!$D$1),MAX($V$1:V4687)+1,"")</f>
        <v/>
      </c>
    </row>
    <row r="4689" spans="1:22" x14ac:dyDescent="0.25">
      <c r="A4689" s="9"/>
      <c r="E4689" s="10"/>
      <c r="K4689" s="11" t="str">
        <f>IF($E4689="","",ROUND($E4689*IF(ISNA(MATCH($C4689,'Paramètres'!$D:$D,0)),1,IF(INDEX('Paramètres'!$J:$J,MATCH($C4689,'Paramètres'!$D:$D,0))="",1,INDEX('Paramètres'!$J:$J,MATCH($C4689,'Paramètres'!$D:$D,0)))),2))</f>
        <v/>
      </c>
      <c r="L4689" s="6" t="str">
        <f>IF($D4689="","",IF($F4689&lt;&gt;"",$F4689,IF(ISNA(MATCH($D4689,'Paramètres'!$M:$M,0)),"⚠ Type inconnu",IFERROR(INDEX('Paramètres'!$P:$P,MATCH($D4689,'Paramètres'!$M:$M,0))&amp;"",""))))</f>
        <v/>
      </c>
      <c r="M4689" s="6" t="str">
        <f>IF($D4689="","",IF(ISNA(MATCH($D4689,'Paramètres'!$M:$M,0)),"⚠ Type inconnu",IF($L4689="Crédit","",IFERROR(INDEX('Paramètres'!$O:$O,MATCH($D4689,'Paramètres'!$M:$M,0))&amp;"",""))))</f>
        <v/>
      </c>
      <c r="N4689" s="6" t="str">
        <f>IF($D4689="","",IFERROR(INDEX('Paramètres'!$Q:$Q,MATCH($D4689,'Paramètres'!$M:$M,0))&amp;"",""))</f>
        <v/>
      </c>
      <c r="O4689" s="6" t="str">
        <f>IF($A4689="","",IF(OR($J4689&lt;&gt;"x",$A4689&lt;=FinReleve),1,0))</f>
        <v/>
      </c>
      <c r="P4689" s="6" t="str">
        <f>IF($D4689="","",IF(AND($L4689="Crédit",OR(IFERROR(INDEX('Paramètres'!$O:$O,MATCH($D4689,'Paramètres'!$M:$M,0))&amp;"","")&lt;&gt;"",ISNUMBER(SEARCH("remboursement",IFERROR(INDEX('Paramètres'!$N:$N,MATCH($D4689,'Paramètres'!$M:$M,0))&amp;"",""))))),1,0))</f>
        <v/>
      </c>
      <c r="Q4689" s="6" t="str">
        <f>IF($K4689="","",IF(ISNUMBER(SEARCH("transfert-interne",IFERROR(INDEX('Paramètres'!$N:$N,MATCH($D4689,'Paramètres'!$M:$M,0))&amp;"",""))),0,IF($L4689="Débit",$K4689,IF($P4689=1,-$K4689,0))))</f>
        <v/>
      </c>
      <c r="R4689" s="6" t="str">
        <f>IF($K4689="","",IF($L4689="Crédit",$K4689,-$K4689))</f>
        <v/>
      </c>
      <c r="S4689" s="6" t="str">
        <f>IF($C4689="","",IFERROR(INDEX('Paramètres'!$H:$H,MATCH($C4689,'Paramètres'!$D:$D,0))&amp;"",""))</f>
        <v/>
      </c>
      <c r="T4689" s="6" t="str">
        <f>IF($K4689="","",IF($S4689="",0,IF(ISNUMBER(SEARCH("apport-exterieur",IFERROR(INDEX('Paramètres'!$N:$N,MATCH($D4689,'Paramètres'!$M:$M,0))&amp;"",""))),0,IF(OR(IFERROR(INDEX('Paramètres'!$I:$I,MATCH($C4689,'Paramètres'!$D:$D,0))&amp;"","")="Les deux",IFERROR(INDEX('Paramètres'!$I:$I,MATCH($C4689,'Paramètres'!$D:$D,0))&amp;"","")=IF($P4689=1,"Débit",$L4689)),-IF($P4689=1,-$K4689,$K4689),0))))</f>
        <v/>
      </c>
      <c r="U4689" s="6" t="str">
        <f>IF($K4689="","",IF(ISNUMBER(SEARCH("sortie-epargne",IFERROR(INDEX('Paramètres'!$N:$N,MATCH($D4689,'Paramètres'!$M:$M,0))&amp;"",""))),$K4689,0))</f>
        <v/>
      </c>
      <c r="V4689" s="6" t="str">
        <f>IF(AND($A4689&lt;&gt;"",$O4689=1,$L4689="Débit",N($Q4689)&gt;0,$A4689&gt;=Visualisation!$B$1,$A4689&lt;Visualisation!$D$1),MAX($V$1:V4688)+1,"")</f>
        <v/>
      </c>
    </row>
    <row r="4690" spans="1:22" x14ac:dyDescent="0.25">
      <c r="A4690" s="9"/>
      <c r="E4690" s="10"/>
      <c r="K4690" s="11" t="str">
        <f>IF($E4690="","",ROUND($E4690*IF(ISNA(MATCH($C4690,'Paramètres'!$D:$D,0)),1,IF(INDEX('Paramètres'!$J:$J,MATCH($C4690,'Paramètres'!$D:$D,0))="",1,INDEX('Paramètres'!$J:$J,MATCH($C4690,'Paramètres'!$D:$D,0)))),2))</f>
        <v/>
      </c>
      <c r="L4690" s="6" t="str">
        <f>IF($D4690="","",IF($F4690&lt;&gt;"",$F4690,IF(ISNA(MATCH($D4690,'Paramètres'!$M:$M,0)),"⚠ Type inconnu",IFERROR(INDEX('Paramètres'!$P:$P,MATCH($D4690,'Paramètres'!$M:$M,0))&amp;"",""))))</f>
        <v/>
      </c>
      <c r="M4690" s="6" t="str">
        <f>IF($D4690="","",IF(ISNA(MATCH($D4690,'Paramètres'!$M:$M,0)),"⚠ Type inconnu",IF($L4690="Crédit","",IFERROR(INDEX('Paramètres'!$O:$O,MATCH($D4690,'Paramètres'!$M:$M,0))&amp;"",""))))</f>
        <v/>
      </c>
      <c r="N4690" s="6" t="str">
        <f>IF($D4690="","",IFERROR(INDEX('Paramètres'!$Q:$Q,MATCH($D4690,'Paramètres'!$M:$M,0))&amp;"",""))</f>
        <v/>
      </c>
      <c r="O4690" s="6" t="str">
        <f>IF($A4690="","",IF(OR($J4690&lt;&gt;"x",$A4690&lt;=FinReleve),1,0))</f>
        <v/>
      </c>
      <c r="P4690" s="6" t="str">
        <f>IF($D4690="","",IF(AND($L4690="Crédit",OR(IFERROR(INDEX('Paramètres'!$O:$O,MATCH($D4690,'Paramètres'!$M:$M,0))&amp;"","")&lt;&gt;"",ISNUMBER(SEARCH("remboursement",IFERROR(INDEX('Paramètres'!$N:$N,MATCH($D4690,'Paramètres'!$M:$M,0))&amp;"",""))))),1,0))</f>
        <v/>
      </c>
      <c r="Q4690" s="6" t="str">
        <f>IF($K4690="","",IF(ISNUMBER(SEARCH("transfert-interne",IFERROR(INDEX('Paramètres'!$N:$N,MATCH($D4690,'Paramètres'!$M:$M,0))&amp;"",""))),0,IF($L4690="Débit",$K4690,IF($P4690=1,-$K4690,0))))</f>
        <v/>
      </c>
      <c r="R4690" s="6" t="str">
        <f>IF($K4690="","",IF($L4690="Crédit",$K4690,-$K4690))</f>
        <v/>
      </c>
      <c r="S4690" s="6" t="str">
        <f>IF($C4690="","",IFERROR(INDEX('Paramètres'!$H:$H,MATCH($C4690,'Paramètres'!$D:$D,0))&amp;"",""))</f>
        <v/>
      </c>
      <c r="T4690" s="6" t="str">
        <f>IF($K4690="","",IF($S4690="",0,IF(ISNUMBER(SEARCH("apport-exterieur",IFERROR(INDEX('Paramètres'!$N:$N,MATCH($D4690,'Paramètres'!$M:$M,0))&amp;"",""))),0,IF(OR(IFERROR(INDEX('Paramètres'!$I:$I,MATCH($C4690,'Paramètres'!$D:$D,0))&amp;"","")="Les deux",IFERROR(INDEX('Paramètres'!$I:$I,MATCH($C4690,'Paramètres'!$D:$D,0))&amp;"","")=IF($P4690=1,"Débit",$L4690)),-IF($P4690=1,-$K4690,$K4690),0))))</f>
        <v/>
      </c>
      <c r="U4690" s="6" t="str">
        <f>IF($K4690="","",IF(ISNUMBER(SEARCH("sortie-epargne",IFERROR(INDEX('Paramètres'!$N:$N,MATCH($D4690,'Paramètres'!$M:$M,0))&amp;"",""))),$K4690,0))</f>
        <v/>
      </c>
      <c r="V4690" s="6" t="str">
        <f>IF(AND($A4690&lt;&gt;"",$O4690=1,$L4690="Débit",N($Q4690)&gt;0,$A4690&gt;=Visualisation!$B$1,$A4690&lt;Visualisation!$D$1),MAX($V$1:V4689)+1,"")</f>
        <v/>
      </c>
    </row>
    <row r="4691" spans="1:22" x14ac:dyDescent="0.25">
      <c r="A4691" s="9"/>
      <c r="E4691" s="10"/>
      <c r="K4691" s="11" t="str">
        <f>IF($E4691="","",ROUND($E4691*IF(ISNA(MATCH($C4691,'Paramètres'!$D:$D,0)),1,IF(INDEX('Paramètres'!$J:$J,MATCH($C4691,'Paramètres'!$D:$D,0))="",1,INDEX('Paramètres'!$J:$J,MATCH($C4691,'Paramètres'!$D:$D,0)))),2))</f>
        <v/>
      </c>
      <c r="L4691" s="6" t="str">
        <f>IF($D4691="","",IF($F4691&lt;&gt;"",$F4691,IF(ISNA(MATCH($D4691,'Paramètres'!$M:$M,0)),"⚠ Type inconnu",IFERROR(INDEX('Paramètres'!$P:$P,MATCH($D4691,'Paramètres'!$M:$M,0))&amp;"",""))))</f>
        <v/>
      </c>
      <c r="M4691" s="6" t="str">
        <f>IF($D4691="","",IF(ISNA(MATCH($D4691,'Paramètres'!$M:$M,0)),"⚠ Type inconnu",IF($L4691="Crédit","",IFERROR(INDEX('Paramètres'!$O:$O,MATCH($D4691,'Paramètres'!$M:$M,0))&amp;"",""))))</f>
        <v/>
      </c>
      <c r="N4691" s="6" t="str">
        <f>IF($D4691="","",IFERROR(INDEX('Paramètres'!$Q:$Q,MATCH($D4691,'Paramètres'!$M:$M,0))&amp;"",""))</f>
        <v/>
      </c>
      <c r="O4691" s="6" t="str">
        <f>IF($A4691="","",IF(OR($J4691&lt;&gt;"x",$A4691&lt;=FinReleve),1,0))</f>
        <v/>
      </c>
      <c r="P4691" s="6" t="str">
        <f>IF($D4691="","",IF(AND($L4691="Crédit",OR(IFERROR(INDEX('Paramètres'!$O:$O,MATCH($D4691,'Paramètres'!$M:$M,0))&amp;"","")&lt;&gt;"",ISNUMBER(SEARCH("remboursement",IFERROR(INDEX('Paramètres'!$N:$N,MATCH($D4691,'Paramètres'!$M:$M,0))&amp;"",""))))),1,0))</f>
        <v/>
      </c>
      <c r="Q4691" s="6" t="str">
        <f>IF($K4691="","",IF(ISNUMBER(SEARCH("transfert-interne",IFERROR(INDEX('Paramètres'!$N:$N,MATCH($D4691,'Paramètres'!$M:$M,0))&amp;"",""))),0,IF($L4691="Débit",$K4691,IF($P4691=1,-$K4691,0))))</f>
        <v/>
      </c>
      <c r="R4691" s="6" t="str">
        <f>IF($K4691="","",IF($L4691="Crédit",$K4691,-$K4691))</f>
        <v/>
      </c>
      <c r="S4691" s="6" t="str">
        <f>IF($C4691="","",IFERROR(INDEX('Paramètres'!$H:$H,MATCH($C4691,'Paramètres'!$D:$D,0))&amp;"",""))</f>
        <v/>
      </c>
      <c r="T4691" s="6" t="str">
        <f>IF($K4691="","",IF($S4691="",0,IF(ISNUMBER(SEARCH("apport-exterieur",IFERROR(INDEX('Paramètres'!$N:$N,MATCH($D4691,'Paramètres'!$M:$M,0))&amp;"",""))),0,IF(OR(IFERROR(INDEX('Paramètres'!$I:$I,MATCH($C4691,'Paramètres'!$D:$D,0))&amp;"","")="Les deux",IFERROR(INDEX('Paramètres'!$I:$I,MATCH($C4691,'Paramètres'!$D:$D,0))&amp;"","")=IF($P4691=1,"Débit",$L4691)),-IF($P4691=1,-$K4691,$K4691),0))))</f>
        <v/>
      </c>
      <c r="U4691" s="6" t="str">
        <f>IF($K4691="","",IF(ISNUMBER(SEARCH("sortie-epargne",IFERROR(INDEX('Paramètres'!$N:$N,MATCH($D4691,'Paramètres'!$M:$M,0))&amp;"",""))),$K4691,0))</f>
        <v/>
      </c>
      <c r="V4691" s="6" t="str">
        <f>IF(AND($A4691&lt;&gt;"",$O4691=1,$L4691="Débit",N($Q4691)&gt;0,$A4691&gt;=Visualisation!$B$1,$A4691&lt;Visualisation!$D$1),MAX($V$1:V4690)+1,"")</f>
        <v/>
      </c>
    </row>
    <row r="4692" spans="1:22" x14ac:dyDescent="0.25">
      <c r="A4692" s="9"/>
      <c r="E4692" s="10"/>
      <c r="K4692" s="11" t="str">
        <f>IF($E4692="","",ROUND($E4692*IF(ISNA(MATCH($C4692,'Paramètres'!$D:$D,0)),1,IF(INDEX('Paramètres'!$J:$J,MATCH($C4692,'Paramètres'!$D:$D,0))="",1,INDEX('Paramètres'!$J:$J,MATCH($C4692,'Paramètres'!$D:$D,0)))),2))</f>
        <v/>
      </c>
      <c r="L4692" s="6" t="str">
        <f>IF($D4692="","",IF($F4692&lt;&gt;"",$F4692,IF(ISNA(MATCH($D4692,'Paramètres'!$M:$M,0)),"⚠ Type inconnu",IFERROR(INDEX('Paramètres'!$P:$P,MATCH($D4692,'Paramètres'!$M:$M,0))&amp;"",""))))</f>
        <v/>
      </c>
      <c r="M4692" s="6" t="str">
        <f>IF($D4692="","",IF(ISNA(MATCH($D4692,'Paramètres'!$M:$M,0)),"⚠ Type inconnu",IF($L4692="Crédit","",IFERROR(INDEX('Paramètres'!$O:$O,MATCH($D4692,'Paramètres'!$M:$M,0))&amp;"",""))))</f>
        <v/>
      </c>
      <c r="N4692" s="6" t="str">
        <f>IF($D4692="","",IFERROR(INDEX('Paramètres'!$Q:$Q,MATCH($D4692,'Paramètres'!$M:$M,0))&amp;"",""))</f>
        <v/>
      </c>
      <c r="O4692" s="6" t="str">
        <f>IF($A4692="","",IF(OR($J4692&lt;&gt;"x",$A4692&lt;=FinReleve),1,0))</f>
        <v/>
      </c>
      <c r="P4692" s="6" t="str">
        <f>IF($D4692="","",IF(AND($L4692="Crédit",OR(IFERROR(INDEX('Paramètres'!$O:$O,MATCH($D4692,'Paramètres'!$M:$M,0))&amp;"","")&lt;&gt;"",ISNUMBER(SEARCH("remboursement",IFERROR(INDEX('Paramètres'!$N:$N,MATCH($D4692,'Paramètres'!$M:$M,0))&amp;"",""))))),1,0))</f>
        <v/>
      </c>
      <c r="Q4692" s="6" t="str">
        <f>IF($K4692="","",IF(ISNUMBER(SEARCH("transfert-interne",IFERROR(INDEX('Paramètres'!$N:$N,MATCH($D4692,'Paramètres'!$M:$M,0))&amp;"",""))),0,IF($L4692="Débit",$K4692,IF($P4692=1,-$K4692,0))))</f>
        <v/>
      </c>
      <c r="R4692" s="6" t="str">
        <f>IF($K4692="","",IF($L4692="Crédit",$K4692,-$K4692))</f>
        <v/>
      </c>
      <c r="S4692" s="6" t="str">
        <f>IF($C4692="","",IFERROR(INDEX('Paramètres'!$H:$H,MATCH($C4692,'Paramètres'!$D:$D,0))&amp;"",""))</f>
        <v/>
      </c>
      <c r="T4692" s="6" t="str">
        <f>IF($K4692="","",IF($S4692="",0,IF(ISNUMBER(SEARCH("apport-exterieur",IFERROR(INDEX('Paramètres'!$N:$N,MATCH($D4692,'Paramètres'!$M:$M,0))&amp;"",""))),0,IF(OR(IFERROR(INDEX('Paramètres'!$I:$I,MATCH($C4692,'Paramètres'!$D:$D,0))&amp;"","")="Les deux",IFERROR(INDEX('Paramètres'!$I:$I,MATCH($C4692,'Paramètres'!$D:$D,0))&amp;"","")=IF($P4692=1,"Débit",$L4692)),-IF($P4692=1,-$K4692,$K4692),0))))</f>
        <v/>
      </c>
      <c r="U4692" s="6" t="str">
        <f>IF($K4692="","",IF(ISNUMBER(SEARCH("sortie-epargne",IFERROR(INDEX('Paramètres'!$N:$N,MATCH($D4692,'Paramètres'!$M:$M,0))&amp;"",""))),$K4692,0))</f>
        <v/>
      </c>
      <c r="V4692" s="6" t="str">
        <f>IF(AND($A4692&lt;&gt;"",$O4692=1,$L4692="Débit",N($Q4692)&gt;0,$A4692&gt;=Visualisation!$B$1,$A4692&lt;Visualisation!$D$1),MAX($V$1:V4691)+1,"")</f>
        <v/>
      </c>
    </row>
    <row r="4693" spans="1:22" x14ac:dyDescent="0.25">
      <c r="A4693" s="9"/>
      <c r="E4693" s="10"/>
      <c r="K4693" s="11" t="str">
        <f>IF($E4693="","",ROUND($E4693*IF(ISNA(MATCH($C4693,'Paramètres'!$D:$D,0)),1,IF(INDEX('Paramètres'!$J:$J,MATCH($C4693,'Paramètres'!$D:$D,0))="",1,INDEX('Paramètres'!$J:$J,MATCH($C4693,'Paramètres'!$D:$D,0)))),2))</f>
        <v/>
      </c>
      <c r="L4693" s="6" t="str">
        <f>IF($D4693="","",IF($F4693&lt;&gt;"",$F4693,IF(ISNA(MATCH($D4693,'Paramètres'!$M:$M,0)),"⚠ Type inconnu",IFERROR(INDEX('Paramètres'!$P:$P,MATCH($D4693,'Paramètres'!$M:$M,0))&amp;"",""))))</f>
        <v/>
      </c>
      <c r="M4693" s="6" t="str">
        <f>IF($D4693="","",IF(ISNA(MATCH($D4693,'Paramètres'!$M:$M,0)),"⚠ Type inconnu",IF($L4693="Crédit","",IFERROR(INDEX('Paramètres'!$O:$O,MATCH($D4693,'Paramètres'!$M:$M,0))&amp;"",""))))</f>
        <v/>
      </c>
      <c r="N4693" s="6" t="str">
        <f>IF($D4693="","",IFERROR(INDEX('Paramètres'!$Q:$Q,MATCH($D4693,'Paramètres'!$M:$M,0))&amp;"",""))</f>
        <v/>
      </c>
      <c r="O4693" s="6" t="str">
        <f>IF($A4693="","",IF(OR($J4693&lt;&gt;"x",$A4693&lt;=FinReleve),1,0))</f>
        <v/>
      </c>
      <c r="P4693" s="6" t="str">
        <f>IF($D4693="","",IF(AND($L4693="Crédit",OR(IFERROR(INDEX('Paramètres'!$O:$O,MATCH($D4693,'Paramètres'!$M:$M,0))&amp;"","")&lt;&gt;"",ISNUMBER(SEARCH("remboursement",IFERROR(INDEX('Paramètres'!$N:$N,MATCH($D4693,'Paramètres'!$M:$M,0))&amp;"",""))))),1,0))</f>
        <v/>
      </c>
      <c r="Q4693" s="6" t="str">
        <f>IF($K4693="","",IF(ISNUMBER(SEARCH("transfert-interne",IFERROR(INDEX('Paramètres'!$N:$N,MATCH($D4693,'Paramètres'!$M:$M,0))&amp;"",""))),0,IF($L4693="Débit",$K4693,IF($P4693=1,-$K4693,0))))</f>
        <v/>
      </c>
      <c r="R4693" s="6" t="str">
        <f>IF($K4693="","",IF($L4693="Crédit",$K4693,-$K4693))</f>
        <v/>
      </c>
      <c r="S4693" s="6" t="str">
        <f>IF($C4693="","",IFERROR(INDEX('Paramètres'!$H:$H,MATCH($C4693,'Paramètres'!$D:$D,0))&amp;"",""))</f>
        <v/>
      </c>
      <c r="T4693" s="6" t="str">
        <f>IF($K4693="","",IF($S4693="",0,IF(ISNUMBER(SEARCH("apport-exterieur",IFERROR(INDEX('Paramètres'!$N:$N,MATCH($D4693,'Paramètres'!$M:$M,0))&amp;"",""))),0,IF(OR(IFERROR(INDEX('Paramètres'!$I:$I,MATCH($C4693,'Paramètres'!$D:$D,0))&amp;"","")="Les deux",IFERROR(INDEX('Paramètres'!$I:$I,MATCH($C4693,'Paramètres'!$D:$D,0))&amp;"","")=IF($P4693=1,"Débit",$L4693)),-IF($P4693=1,-$K4693,$K4693),0))))</f>
        <v/>
      </c>
      <c r="U4693" s="6" t="str">
        <f>IF($K4693="","",IF(ISNUMBER(SEARCH("sortie-epargne",IFERROR(INDEX('Paramètres'!$N:$N,MATCH($D4693,'Paramètres'!$M:$M,0))&amp;"",""))),$K4693,0))</f>
        <v/>
      </c>
      <c r="V4693" s="6" t="str">
        <f>IF(AND($A4693&lt;&gt;"",$O4693=1,$L4693="Débit",N($Q4693)&gt;0,$A4693&gt;=Visualisation!$B$1,$A4693&lt;Visualisation!$D$1),MAX($V$1:V4692)+1,"")</f>
        <v/>
      </c>
    </row>
    <row r="4694" spans="1:22" x14ac:dyDescent="0.25">
      <c r="A4694" s="9"/>
      <c r="E4694" s="10"/>
      <c r="K4694" s="11" t="str">
        <f>IF($E4694="","",ROUND($E4694*IF(ISNA(MATCH($C4694,'Paramètres'!$D:$D,0)),1,IF(INDEX('Paramètres'!$J:$J,MATCH($C4694,'Paramètres'!$D:$D,0))="",1,INDEX('Paramètres'!$J:$J,MATCH($C4694,'Paramètres'!$D:$D,0)))),2))</f>
        <v/>
      </c>
      <c r="L4694" s="6" t="str">
        <f>IF($D4694="","",IF($F4694&lt;&gt;"",$F4694,IF(ISNA(MATCH($D4694,'Paramètres'!$M:$M,0)),"⚠ Type inconnu",IFERROR(INDEX('Paramètres'!$P:$P,MATCH($D4694,'Paramètres'!$M:$M,0))&amp;"",""))))</f>
        <v/>
      </c>
      <c r="M4694" s="6" t="str">
        <f>IF($D4694="","",IF(ISNA(MATCH($D4694,'Paramètres'!$M:$M,0)),"⚠ Type inconnu",IF($L4694="Crédit","",IFERROR(INDEX('Paramètres'!$O:$O,MATCH($D4694,'Paramètres'!$M:$M,0))&amp;"",""))))</f>
        <v/>
      </c>
      <c r="N4694" s="6" t="str">
        <f>IF($D4694="","",IFERROR(INDEX('Paramètres'!$Q:$Q,MATCH($D4694,'Paramètres'!$M:$M,0))&amp;"",""))</f>
        <v/>
      </c>
      <c r="O4694" s="6" t="str">
        <f>IF($A4694="","",IF(OR($J4694&lt;&gt;"x",$A4694&lt;=FinReleve),1,0))</f>
        <v/>
      </c>
      <c r="P4694" s="6" t="str">
        <f>IF($D4694="","",IF(AND($L4694="Crédit",OR(IFERROR(INDEX('Paramètres'!$O:$O,MATCH($D4694,'Paramètres'!$M:$M,0))&amp;"","")&lt;&gt;"",ISNUMBER(SEARCH("remboursement",IFERROR(INDEX('Paramètres'!$N:$N,MATCH($D4694,'Paramètres'!$M:$M,0))&amp;"",""))))),1,0))</f>
        <v/>
      </c>
      <c r="Q4694" s="6" t="str">
        <f>IF($K4694="","",IF(ISNUMBER(SEARCH("transfert-interne",IFERROR(INDEX('Paramètres'!$N:$N,MATCH($D4694,'Paramètres'!$M:$M,0))&amp;"",""))),0,IF($L4694="Débit",$K4694,IF($P4694=1,-$K4694,0))))</f>
        <v/>
      </c>
      <c r="R4694" s="6" t="str">
        <f>IF($K4694="","",IF($L4694="Crédit",$K4694,-$K4694))</f>
        <v/>
      </c>
      <c r="S4694" s="6" t="str">
        <f>IF($C4694="","",IFERROR(INDEX('Paramètres'!$H:$H,MATCH($C4694,'Paramètres'!$D:$D,0))&amp;"",""))</f>
        <v/>
      </c>
      <c r="T4694" s="6" t="str">
        <f>IF($K4694="","",IF($S4694="",0,IF(ISNUMBER(SEARCH("apport-exterieur",IFERROR(INDEX('Paramètres'!$N:$N,MATCH($D4694,'Paramètres'!$M:$M,0))&amp;"",""))),0,IF(OR(IFERROR(INDEX('Paramètres'!$I:$I,MATCH($C4694,'Paramètres'!$D:$D,0))&amp;"","")="Les deux",IFERROR(INDEX('Paramètres'!$I:$I,MATCH($C4694,'Paramètres'!$D:$D,0))&amp;"","")=IF($P4694=1,"Débit",$L4694)),-IF($P4694=1,-$K4694,$K4694),0))))</f>
        <v/>
      </c>
      <c r="U4694" s="6" t="str">
        <f>IF($K4694="","",IF(ISNUMBER(SEARCH("sortie-epargne",IFERROR(INDEX('Paramètres'!$N:$N,MATCH($D4694,'Paramètres'!$M:$M,0))&amp;"",""))),$K4694,0))</f>
        <v/>
      </c>
      <c r="V4694" s="6" t="str">
        <f>IF(AND($A4694&lt;&gt;"",$O4694=1,$L4694="Débit",N($Q4694)&gt;0,$A4694&gt;=Visualisation!$B$1,$A4694&lt;Visualisation!$D$1),MAX($V$1:V4693)+1,"")</f>
        <v/>
      </c>
    </row>
    <row r="4695" spans="1:22" x14ac:dyDescent="0.25">
      <c r="A4695" s="9"/>
      <c r="E4695" s="10"/>
      <c r="K4695" s="11" t="str">
        <f>IF($E4695="","",ROUND($E4695*IF(ISNA(MATCH($C4695,'Paramètres'!$D:$D,0)),1,IF(INDEX('Paramètres'!$J:$J,MATCH($C4695,'Paramètres'!$D:$D,0))="",1,INDEX('Paramètres'!$J:$J,MATCH($C4695,'Paramètres'!$D:$D,0)))),2))</f>
        <v/>
      </c>
      <c r="L4695" s="6" t="str">
        <f>IF($D4695="","",IF($F4695&lt;&gt;"",$F4695,IF(ISNA(MATCH($D4695,'Paramètres'!$M:$M,0)),"⚠ Type inconnu",IFERROR(INDEX('Paramètres'!$P:$P,MATCH($D4695,'Paramètres'!$M:$M,0))&amp;"",""))))</f>
        <v/>
      </c>
      <c r="M4695" s="6" t="str">
        <f>IF($D4695="","",IF(ISNA(MATCH($D4695,'Paramètres'!$M:$M,0)),"⚠ Type inconnu",IF($L4695="Crédit","",IFERROR(INDEX('Paramètres'!$O:$O,MATCH($D4695,'Paramètres'!$M:$M,0))&amp;"",""))))</f>
        <v/>
      </c>
      <c r="N4695" s="6" t="str">
        <f>IF($D4695="","",IFERROR(INDEX('Paramètres'!$Q:$Q,MATCH($D4695,'Paramètres'!$M:$M,0))&amp;"",""))</f>
        <v/>
      </c>
      <c r="O4695" s="6" t="str">
        <f>IF($A4695="","",IF(OR($J4695&lt;&gt;"x",$A4695&lt;=FinReleve),1,0))</f>
        <v/>
      </c>
      <c r="P4695" s="6" t="str">
        <f>IF($D4695="","",IF(AND($L4695="Crédit",OR(IFERROR(INDEX('Paramètres'!$O:$O,MATCH($D4695,'Paramètres'!$M:$M,0))&amp;"","")&lt;&gt;"",ISNUMBER(SEARCH("remboursement",IFERROR(INDEX('Paramètres'!$N:$N,MATCH($D4695,'Paramètres'!$M:$M,0))&amp;"",""))))),1,0))</f>
        <v/>
      </c>
      <c r="Q4695" s="6" t="str">
        <f>IF($K4695="","",IF(ISNUMBER(SEARCH("transfert-interne",IFERROR(INDEX('Paramètres'!$N:$N,MATCH($D4695,'Paramètres'!$M:$M,0))&amp;"",""))),0,IF($L4695="Débit",$K4695,IF($P4695=1,-$K4695,0))))</f>
        <v/>
      </c>
      <c r="R4695" s="6" t="str">
        <f>IF($K4695="","",IF($L4695="Crédit",$K4695,-$K4695))</f>
        <v/>
      </c>
      <c r="S4695" s="6" t="str">
        <f>IF($C4695="","",IFERROR(INDEX('Paramètres'!$H:$H,MATCH($C4695,'Paramètres'!$D:$D,0))&amp;"",""))</f>
        <v/>
      </c>
      <c r="T4695" s="6" t="str">
        <f>IF($K4695="","",IF($S4695="",0,IF(ISNUMBER(SEARCH("apport-exterieur",IFERROR(INDEX('Paramètres'!$N:$N,MATCH($D4695,'Paramètres'!$M:$M,0))&amp;"",""))),0,IF(OR(IFERROR(INDEX('Paramètres'!$I:$I,MATCH($C4695,'Paramètres'!$D:$D,0))&amp;"","")="Les deux",IFERROR(INDEX('Paramètres'!$I:$I,MATCH($C4695,'Paramètres'!$D:$D,0))&amp;"","")=IF($P4695=1,"Débit",$L4695)),-IF($P4695=1,-$K4695,$K4695),0))))</f>
        <v/>
      </c>
      <c r="U4695" s="6" t="str">
        <f>IF($K4695="","",IF(ISNUMBER(SEARCH("sortie-epargne",IFERROR(INDEX('Paramètres'!$N:$N,MATCH($D4695,'Paramètres'!$M:$M,0))&amp;"",""))),$K4695,0))</f>
        <v/>
      </c>
      <c r="V4695" s="6" t="str">
        <f>IF(AND($A4695&lt;&gt;"",$O4695=1,$L4695="Débit",N($Q4695)&gt;0,$A4695&gt;=Visualisation!$B$1,$A4695&lt;Visualisation!$D$1),MAX($V$1:V4694)+1,"")</f>
        <v/>
      </c>
    </row>
    <row r="4696" spans="1:22" x14ac:dyDescent="0.25">
      <c r="A4696" s="9"/>
      <c r="E4696" s="10"/>
      <c r="K4696" s="11" t="str">
        <f>IF($E4696="","",ROUND($E4696*IF(ISNA(MATCH($C4696,'Paramètres'!$D:$D,0)),1,IF(INDEX('Paramètres'!$J:$J,MATCH($C4696,'Paramètres'!$D:$D,0))="",1,INDEX('Paramètres'!$J:$J,MATCH($C4696,'Paramètres'!$D:$D,0)))),2))</f>
        <v/>
      </c>
      <c r="L4696" s="6" t="str">
        <f>IF($D4696="","",IF($F4696&lt;&gt;"",$F4696,IF(ISNA(MATCH($D4696,'Paramètres'!$M:$M,0)),"⚠ Type inconnu",IFERROR(INDEX('Paramètres'!$P:$P,MATCH($D4696,'Paramètres'!$M:$M,0))&amp;"",""))))</f>
        <v/>
      </c>
      <c r="M4696" s="6" t="str">
        <f>IF($D4696="","",IF(ISNA(MATCH($D4696,'Paramètres'!$M:$M,0)),"⚠ Type inconnu",IF($L4696="Crédit","",IFERROR(INDEX('Paramètres'!$O:$O,MATCH($D4696,'Paramètres'!$M:$M,0))&amp;"",""))))</f>
        <v/>
      </c>
      <c r="N4696" s="6" t="str">
        <f>IF($D4696="","",IFERROR(INDEX('Paramètres'!$Q:$Q,MATCH($D4696,'Paramètres'!$M:$M,0))&amp;"",""))</f>
        <v/>
      </c>
      <c r="O4696" s="6" t="str">
        <f>IF($A4696="","",IF(OR($J4696&lt;&gt;"x",$A4696&lt;=FinReleve),1,0))</f>
        <v/>
      </c>
      <c r="P4696" s="6" t="str">
        <f>IF($D4696="","",IF(AND($L4696="Crédit",OR(IFERROR(INDEX('Paramètres'!$O:$O,MATCH($D4696,'Paramètres'!$M:$M,0))&amp;"","")&lt;&gt;"",ISNUMBER(SEARCH("remboursement",IFERROR(INDEX('Paramètres'!$N:$N,MATCH($D4696,'Paramètres'!$M:$M,0))&amp;"",""))))),1,0))</f>
        <v/>
      </c>
      <c r="Q4696" s="6" t="str">
        <f>IF($K4696="","",IF(ISNUMBER(SEARCH("transfert-interne",IFERROR(INDEX('Paramètres'!$N:$N,MATCH($D4696,'Paramètres'!$M:$M,0))&amp;"",""))),0,IF($L4696="Débit",$K4696,IF($P4696=1,-$K4696,0))))</f>
        <v/>
      </c>
      <c r="R4696" s="6" t="str">
        <f>IF($K4696="","",IF($L4696="Crédit",$K4696,-$K4696))</f>
        <v/>
      </c>
      <c r="S4696" s="6" t="str">
        <f>IF($C4696="","",IFERROR(INDEX('Paramètres'!$H:$H,MATCH($C4696,'Paramètres'!$D:$D,0))&amp;"",""))</f>
        <v/>
      </c>
      <c r="T4696" s="6" t="str">
        <f>IF($K4696="","",IF($S4696="",0,IF(ISNUMBER(SEARCH("apport-exterieur",IFERROR(INDEX('Paramètres'!$N:$N,MATCH($D4696,'Paramètres'!$M:$M,0))&amp;"",""))),0,IF(OR(IFERROR(INDEX('Paramètres'!$I:$I,MATCH($C4696,'Paramètres'!$D:$D,0))&amp;"","")="Les deux",IFERROR(INDEX('Paramètres'!$I:$I,MATCH($C4696,'Paramètres'!$D:$D,0))&amp;"","")=IF($P4696=1,"Débit",$L4696)),-IF($P4696=1,-$K4696,$K4696),0))))</f>
        <v/>
      </c>
      <c r="U4696" s="6" t="str">
        <f>IF($K4696="","",IF(ISNUMBER(SEARCH("sortie-epargne",IFERROR(INDEX('Paramètres'!$N:$N,MATCH($D4696,'Paramètres'!$M:$M,0))&amp;"",""))),$K4696,0))</f>
        <v/>
      </c>
      <c r="V4696" s="6" t="str">
        <f>IF(AND($A4696&lt;&gt;"",$O4696=1,$L4696="Débit",N($Q4696)&gt;0,$A4696&gt;=Visualisation!$B$1,$A4696&lt;Visualisation!$D$1),MAX($V$1:V4695)+1,"")</f>
        <v/>
      </c>
    </row>
    <row r="4697" spans="1:22" x14ac:dyDescent="0.25">
      <c r="A4697" s="9"/>
      <c r="E4697" s="10"/>
      <c r="K4697" s="11" t="str">
        <f>IF($E4697="","",ROUND($E4697*IF(ISNA(MATCH($C4697,'Paramètres'!$D:$D,0)),1,IF(INDEX('Paramètres'!$J:$J,MATCH($C4697,'Paramètres'!$D:$D,0))="",1,INDEX('Paramètres'!$J:$J,MATCH($C4697,'Paramètres'!$D:$D,0)))),2))</f>
        <v/>
      </c>
      <c r="L4697" s="6" t="str">
        <f>IF($D4697="","",IF($F4697&lt;&gt;"",$F4697,IF(ISNA(MATCH($D4697,'Paramètres'!$M:$M,0)),"⚠ Type inconnu",IFERROR(INDEX('Paramètres'!$P:$P,MATCH($D4697,'Paramètres'!$M:$M,0))&amp;"",""))))</f>
        <v/>
      </c>
      <c r="M4697" s="6" t="str">
        <f>IF($D4697="","",IF(ISNA(MATCH($D4697,'Paramètres'!$M:$M,0)),"⚠ Type inconnu",IF($L4697="Crédit","",IFERROR(INDEX('Paramètres'!$O:$O,MATCH($D4697,'Paramètres'!$M:$M,0))&amp;"",""))))</f>
        <v/>
      </c>
      <c r="N4697" s="6" t="str">
        <f>IF($D4697="","",IFERROR(INDEX('Paramètres'!$Q:$Q,MATCH($D4697,'Paramètres'!$M:$M,0))&amp;"",""))</f>
        <v/>
      </c>
      <c r="O4697" s="6" t="str">
        <f>IF($A4697="","",IF(OR($J4697&lt;&gt;"x",$A4697&lt;=FinReleve),1,0))</f>
        <v/>
      </c>
      <c r="P4697" s="6" t="str">
        <f>IF($D4697="","",IF(AND($L4697="Crédit",OR(IFERROR(INDEX('Paramètres'!$O:$O,MATCH($D4697,'Paramètres'!$M:$M,0))&amp;"","")&lt;&gt;"",ISNUMBER(SEARCH("remboursement",IFERROR(INDEX('Paramètres'!$N:$N,MATCH($D4697,'Paramètres'!$M:$M,0))&amp;"",""))))),1,0))</f>
        <v/>
      </c>
      <c r="Q4697" s="6" t="str">
        <f>IF($K4697="","",IF(ISNUMBER(SEARCH("transfert-interne",IFERROR(INDEX('Paramètres'!$N:$N,MATCH($D4697,'Paramètres'!$M:$M,0))&amp;"",""))),0,IF($L4697="Débit",$K4697,IF($P4697=1,-$K4697,0))))</f>
        <v/>
      </c>
      <c r="R4697" s="6" t="str">
        <f>IF($K4697="","",IF($L4697="Crédit",$K4697,-$K4697))</f>
        <v/>
      </c>
      <c r="S4697" s="6" t="str">
        <f>IF($C4697="","",IFERROR(INDEX('Paramètres'!$H:$H,MATCH($C4697,'Paramètres'!$D:$D,0))&amp;"",""))</f>
        <v/>
      </c>
      <c r="T4697" s="6" t="str">
        <f>IF($K4697="","",IF($S4697="",0,IF(ISNUMBER(SEARCH("apport-exterieur",IFERROR(INDEX('Paramètres'!$N:$N,MATCH($D4697,'Paramètres'!$M:$M,0))&amp;"",""))),0,IF(OR(IFERROR(INDEX('Paramètres'!$I:$I,MATCH($C4697,'Paramètres'!$D:$D,0))&amp;"","")="Les deux",IFERROR(INDEX('Paramètres'!$I:$I,MATCH($C4697,'Paramètres'!$D:$D,0))&amp;"","")=IF($P4697=1,"Débit",$L4697)),-IF($P4697=1,-$K4697,$K4697),0))))</f>
        <v/>
      </c>
      <c r="U4697" s="6" t="str">
        <f>IF($K4697="","",IF(ISNUMBER(SEARCH("sortie-epargne",IFERROR(INDEX('Paramètres'!$N:$N,MATCH($D4697,'Paramètres'!$M:$M,0))&amp;"",""))),$K4697,0))</f>
        <v/>
      </c>
      <c r="V4697" s="6" t="str">
        <f>IF(AND($A4697&lt;&gt;"",$O4697=1,$L4697="Débit",N($Q4697)&gt;0,$A4697&gt;=Visualisation!$B$1,$A4697&lt;Visualisation!$D$1),MAX($V$1:V4696)+1,"")</f>
        <v/>
      </c>
    </row>
    <row r="4698" spans="1:22" x14ac:dyDescent="0.25">
      <c r="A4698" s="9"/>
      <c r="E4698" s="10"/>
      <c r="K4698" s="11" t="str">
        <f>IF($E4698="","",ROUND($E4698*IF(ISNA(MATCH($C4698,'Paramètres'!$D:$D,0)),1,IF(INDEX('Paramètres'!$J:$J,MATCH($C4698,'Paramètres'!$D:$D,0))="",1,INDEX('Paramètres'!$J:$J,MATCH($C4698,'Paramètres'!$D:$D,0)))),2))</f>
        <v/>
      </c>
      <c r="L4698" s="6" t="str">
        <f>IF($D4698="","",IF($F4698&lt;&gt;"",$F4698,IF(ISNA(MATCH($D4698,'Paramètres'!$M:$M,0)),"⚠ Type inconnu",IFERROR(INDEX('Paramètres'!$P:$P,MATCH($D4698,'Paramètres'!$M:$M,0))&amp;"",""))))</f>
        <v/>
      </c>
      <c r="M4698" s="6" t="str">
        <f>IF($D4698="","",IF(ISNA(MATCH($D4698,'Paramètres'!$M:$M,0)),"⚠ Type inconnu",IF($L4698="Crédit","",IFERROR(INDEX('Paramètres'!$O:$O,MATCH($D4698,'Paramètres'!$M:$M,0))&amp;"",""))))</f>
        <v/>
      </c>
      <c r="N4698" s="6" t="str">
        <f>IF($D4698="","",IFERROR(INDEX('Paramètres'!$Q:$Q,MATCH($D4698,'Paramètres'!$M:$M,0))&amp;"",""))</f>
        <v/>
      </c>
      <c r="O4698" s="6" t="str">
        <f>IF($A4698="","",IF(OR($J4698&lt;&gt;"x",$A4698&lt;=FinReleve),1,0))</f>
        <v/>
      </c>
      <c r="P4698" s="6" t="str">
        <f>IF($D4698="","",IF(AND($L4698="Crédit",OR(IFERROR(INDEX('Paramètres'!$O:$O,MATCH($D4698,'Paramètres'!$M:$M,0))&amp;"","")&lt;&gt;"",ISNUMBER(SEARCH("remboursement",IFERROR(INDEX('Paramètres'!$N:$N,MATCH($D4698,'Paramètres'!$M:$M,0))&amp;"",""))))),1,0))</f>
        <v/>
      </c>
      <c r="Q4698" s="6" t="str">
        <f>IF($K4698="","",IF(ISNUMBER(SEARCH("transfert-interne",IFERROR(INDEX('Paramètres'!$N:$N,MATCH($D4698,'Paramètres'!$M:$M,0))&amp;"",""))),0,IF($L4698="Débit",$K4698,IF($P4698=1,-$K4698,0))))</f>
        <v/>
      </c>
      <c r="R4698" s="6" t="str">
        <f>IF($K4698="","",IF($L4698="Crédit",$K4698,-$K4698))</f>
        <v/>
      </c>
      <c r="S4698" s="6" t="str">
        <f>IF($C4698="","",IFERROR(INDEX('Paramètres'!$H:$H,MATCH($C4698,'Paramètres'!$D:$D,0))&amp;"",""))</f>
        <v/>
      </c>
      <c r="T4698" s="6" t="str">
        <f>IF($K4698="","",IF($S4698="",0,IF(ISNUMBER(SEARCH("apport-exterieur",IFERROR(INDEX('Paramètres'!$N:$N,MATCH($D4698,'Paramètres'!$M:$M,0))&amp;"",""))),0,IF(OR(IFERROR(INDEX('Paramètres'!$I:$I,MATCH($C4698,'Paramètres'!$D:$D,0))&amp;"","")="Les deux",IFERROR(INDEX('Paramètres'!$I:$I,MATCH($C4698,'Paramètres'!$D:$D,0))&amp;"","")=IF($P4698=1,"Débit",$L4698)),-IF($P4698=1,-$K4698,$K4698),0))))</f>
        <v/>
      </c>
      <c r="U4698" s="6" t="str">
        <f>IF($K4698="","",IF(ISNUMBER(SEARCH("sortie-epargne",IFERROR(INDEX('Paramètres'!$N:$N,MATCH($D4698,'Paramètres'!$M:$M,0))&amp;"",""))),$K4698,0))</f>
        <v/>
      </c>
      <c r="V4698" s="6" t="str">
        <f>IF(AND($A4698&lt;&gt;"",$O4698=1,$L4698="Débit",N($Q4698)&gt;0,$A4698&gt;=Visualisation!$B$1,$A4698&lt;Visualisation!$D$1),MAX($V$1:V4697)+1,"")</f>
        <v/>
      </c>
    </row>
    <row r="4699" spans="1:22" x14ac:dyDescent="0.25">
      <c r="A4699" s="9"/>
      <c r="E4699" s="10"/>
      <c r="K4699" s="11" t="str">
        <f>IF($E4699="","",ROUND($E4699*IF(ISNA(MATCH($C4699,'Paramètres'!$D:$D,0)),1,IF(INDEX('Paramètres'!$J:$J,MATCH($C4699,'Paramètres'!$D:$D,0))="",1,INDEX('Paramètres'!$J:$J,MATCH($C4699,'Paramètres'!$D:$D,0)))),2))</f>
        <v/>
      </c>
      <c r="L4699" s="6" t="str">
        <f>IF($D4699="","",IF($F4699&lt;&gt;"",$F4699,IF(ISNA(MATCH($D4699,'Paramètres'!$M:$M,0)),"⚠ Type inconnu",IFERROR(INDEX('Paramètres'!$P:$P,MATCH($D4699,'Paramètres'!$M:$M,0))&amp;"",""))))</f>
        <v/>
      </c>
      <c r="M4699" s="6" t="str">
        <f>IF($D4699="","",IF(ISNA(MATCH($D4699,'Paramètres'!$M:$M,0)),"⚠ Type inconnu",IF($L4699="Crédit","",IFERROR(INDEX('Paramètres'!$O:$O,MATCH($D4699,'Paramètres'!$M:$M,0))&amp;"",""))))</f>
        <v/>
      </c>
      <c r="N4699" s="6" t="str">
        <f>IF($D4699="","",IFERROR(INDEX('Paramètres'!$Q:$Q,MATCH($D4699,'Paramètres'!$M:$M,0))&amp;"",""))</f>
        <v/>
      </c>
      <c r="O4699" s="6" t="str">
        <f>IF($A4699="","",IF(OR($J4699&lt;&gt;"x",$A4699&lt;=FinReleve),1,0))</f>
        <v/>
      </c>
      <c r="P4699" s="6" t="str">
        <f>IF($D4699="","",IF(AND($L4699="Crédit",OR(IFERROR(INDEX('Paramètres'!$O:$O,MATCH($D4699,'Paramètres'!$M:$M,0))&amp;"","")&lt;&gt;"",ISNUMBER(SEARCH("remboursement",IFERROR(INDEX('Paramètres'!$N:$N,MATCH($D4699,'Paramètres'!$M:$M,0))&amp;"",""))))),1,0))</f>
        <v/>
      </c>
      <c r="Q4699" s="6" t="str">
        <f>IF($K4699="","",IF(ISNUMBER(SEARCH("transfert-interne",IFERROR(INDEX('Paramètres'!$N:$N,MATCH($D4699,'Paramètres'!$M:$M,0))&amp;"",""))),0,IF($L4699="Débit",$K4699,IF($P4699=1,-$K4699,0))))</f>
        <v/>
      </c>
      <c r="R4699" s="6" t="str">
        <f>IF($K4699="","",IF($L4699="Crédit",$K4699,-$K4699))</f>
        <v/>
      </c>
      <c r="S4699" s="6" t="str">
        <f>IF($C4699="","",IFERROR(INDEX('Paramètres'!$H:$H,MATCH($C4699,'Paramètres'!$D:$D,0))&amp;"",""))</f>
        <v/>
      </c>
      <c r="T4699" s="6" t="str">
        <f>IF($K4699="","",IF($S4699="",0,IF(ISNUMBER(SEARCH("apport-exterieur",IFERROR(INDEX('Paramètres'!$N:$N,MATCH($D4699,'Paramètres'!$M:$M,0))&amp;"",""))),0,IF(OR(IFERROR(INDEX('Paramètres'!$I:$I,MATCH($C4699,'Paramètres'!$D:$D,0))&amp;"","")="Les deux",IFERROR(INDEX('Paramètres'!$I:$I,MATCH($C4699,'Paramètres'!$D:$D,0))&amp;"","")=IF($P4699=1,"Débit",$L4699)),-IF($P4699=1,-$K4699,$K4699),0))))</f>
        <v/>
      </c>
      <c r="U4699" s="6" t="str">
        <f>IF($K4699="","",IF(ISNUMBER(SEARCH("sortie-epargne",IFERROR(INDEX('Paramètres'!$N:$N,MATCH($D4699,'Paramètres'!$M:$M,0))&amp;"",""))),$K4699,0))</f>
        <v/>
      </c>
      <c r="V4699" s="6" t="str">
        <f>IF(AND($A4699&lt;&gt;"",$O4699=1,$L4699="Débit",N($Q4699)&gt;0,$A4699&gt;=Visualisation!$B$1,$A4699&lt;Visualisation!$D$1),MAX($V$1:V4698)+1,"")</f>
        <v/>
      </c>
    </row>
    <row r="4700" spans="1:22" x14ac:dyDescent="0.25">
      <c r="A4700" s="9"/>
      <c r="E4700" s="10"/>
      <c r="K4700" s="11" t="str">
        <f>IF($E4700="","",ROUND($E4700*IF(ISNA(MATCH($C4700,'Paramètres'!$D:$D,0)),1,IF(INDEX('Paramètres'!$J:$J,MATCH($C4700,'Paramètres'!$D:$D,0))="",1,INDEX('Paramètres'!$J:$J,MATCH($C4700,'Paramètres'!$D:$D,0)))),2))</f>
        <v/>
      </c>
      <c r="L4700" s="6" t="str">
        <f>IF($D4700="","",IF($F4700&lt;&gt;"",$F4700,IF(ISNA(MATCH($D4700,'Paramètres'!$M:$M,0)),"⚠ Type inconnu",IFERROR(INDEX('Paramètres'!$P:$P,MATCH($D4700,'Paramètres'!$M:$M,0))&amp;"",""))))</f>
        <v/>
      </c>
      <c r="M4700" s="6" t="str">
        <f>IF($D4700="","",IF(ISNA(MATCH($D4700,'Paramètres'!$M:$M,0)),"⚠ Type inconnu",IF($L4700="Crédit","",IFERROR(INDEX('Paramètres'!$O:$O,MATCH($D4700,'Paramètres'!$M:$M,0))&amp;"",""))))</f>
        <v/>
      </c>
      <c r="N4700" s="6" t="str">
        <f>IF($D4700="","",IFERROR(INDEX('Paramètres'!$Q:$Q,MATCH($D4700,'Paramètres'!$M:$M,0))&amp;"",""))</f>
        <v/>
      </c>
      <c r="O4700" s="6" t="str">
        <f>IF($A4700="","",IF(OR($J4700&lt;&gt;"x",$A4700&lt;=FinReleve),1,0))</f>
        <v/>
      </c>
      <c r="P4700" s="6" t="str">
        <f>IF($D4700="","",IF(AND($L4700="Crédit",OR(IFERROR(INDEX('Paramètres'!$O:$O,MATCH($D4700,'Paramètres'!$M:$M,0))&amp;"","")&lt;&gt;"",ISNUMBER(SEARCH("remboursement",IFERROR(INDEX('Paramètres'!$N:$N,MATCH($D4700,'Paramètres'!$M:$M,0))&amp;"",""))))),1,0))</f>
        <v/>
      </c>
      <c r="Q4700" s="6" t="str">
        <f>IF($K4700="","",IF(ISNUMBER(SEARCH("transfert-interne",IFERROR(INDEX('Paramètres'!$N:$N,MATCH($D4700,'Paramètres'!$M:$M,0))&amp;"",""))),0,IF($L4700="Débit",$K4700,IF($P4700=1,-$K4700,0))))</f>
        <v/>
      </c>
      <c r="R4700" s="6" t="str">
        <f>IF($K4700="","",IF($L4700="Crédit",$K4700,-$K4700))</f>
        <v/>
      </c>
      <c r="S4700" s="6" t="str">
        <f>IF($C4700="","",IFERROR(INDEX('Paramètres'!$H:$H,MATCH($C4700,'Paramètres'!$D:$D,0))&amp;"",""))</f>
        <v/>
      </c>
      <c r="T4700" s="6" t="str">
        <f>IF($K4700="","",IF($S4700="",0,IF(ISNUMBER(SEARCH("apport-exterieur",IFERROR(INDEX('Paramètres'!$N:$N,MATCH($D4700,'Paramètres'!$M:$M,0))&amp;"",""))),0,IF(OR(IFERROR(INDEX('Paramètres'!$I:$I,MATCH($C4700,'Paramètres'!$D:$D,0))&amp;"","")="Les deux",IFERROR(INDEX('Paramètres'!$I:$I,MATCH($C4700,'Paramètres'!$D:$D,0))&amp;"","")=IF($P4700=1,"Débit",$L4700)),-IF($P4700=1,-$K4700,$K4700),0))))</f>
        <v/>
      </c>
      <c r="U4700" s="6" t="str">
        <f>IF($K4700="","",IF(ISNUMBER(SEARCH("sortie-epargne",IFERROR(INDEX('Paramètres'!$N:$N,MATCH($D4700,'Paramètres'!$M:$M,0))&amp;"",""))),$K4700,0))</f>
        <v/>
      </c>
      <c r="V4700" s="6" t="str">
        <f>IF(AND($A4700&lt;&gt;"",$O4700=1,$L4700="Débit",N($Q4700)&gt;0,$A4700&gt;=Visualisation!$B$1,$A4700&lt;Visualisation!$D$1),MAX($V$1:V4699)+1,"")</f>
        <v/>
      </c>
    </row>
    <row r="4701" spans="1:22" x14ac:dyDescent="0.25">
      <c r="A4701" s="9"/>
      <c r="E4701" s="10"/>
      <c r="K4701" s="11" t="str">
        <f>IF($E4701="","",ROUND($E4701*IF(ISNA(MATCH($C4701,'Paramètres'!$D:$D,0)),1,IF(INDEX('Paramètres'!$J:$J,MATCH($C4701,'Paramètres'!$D:$D,0))="",1,INDEX('Paramètres'!$J:$J,MATCH($C4701,'Paramètres'!$D:$D,0)))),2))</f>
        <v/>
      </c>
      <c r="L4701" s="6" t="str">
        <f>IF($D4701="","",IF($F4701&lt;&gt;"",$F4701,IF(ISNA(MATCH($D4701,'Paramètres'!$M:$M,0)),"⚠ Type inconnu",IFERROR(INDEX('Paramètres'!$P:$P,MATCH($D4701,'Paramètres'!$M:$M,0))&amp;"",""))))</f>
        <v/>
      </c>
      <c r="M4701" s="6" t="str">
        <f>IF($D4701="","",IF(ISNA(MATCH($D4701,'Paramètres'!$M:$M,0)),"⚠ Type inconnu",IF($L4701="Crédit","",IFERROR(INDEX('Paramètres'!$O:$O,MATCH($D4701,'Paramètres'!$M:$M,0))&amp;"",""))))</f>
        <v/>
      </c>
      <c r="N4701" s="6" t="str">
        <f>IF($D4701="","",IFERROR(INDEX('Paramètres'!$Q:$Q,MATCH($D4701,'Paramètres'!$M:$M,0))&amp;"",""))</f>
        <v/>
      </c>
      <c r="O4701" s="6" t="str">
        <f>IF($A4701="","",IF(OR($J4701&lt;&gt;"x",$A4701&lt;=FinReleve),1,0))</f>
        <v/>
      </c>
      <c r="P4701" s="6" t="str">
        <f>IF($D4701="","",IF(AND($L4701="Crédit",OR(IFERROR(INDEX('Paramètres'!$O:$O,MATCH($D4701,'Paramètres'!$M:$M,0))&amp;"","")&lt;&gt;"",ISNUMBER(SEARCH("remboursement",IFERROR(INDEX('Paramètres'!$N:$N,MATCH($D4701,'Paramètres'!$M:$M,0))&amp;"",""))))),1,0))</f>
        <v/>
      </c>
      <c r="Q4701" s="6" t="str">
        <f>IF($K4701="","",IF(ISNUMBER(SEARCH("transfert-interne",IFERROR(INDEX('Paramètres'!$N:$N,MATCH($D4701,'Paramètres'!$M:$M,0))&amp;"",""))),0,IF($L4701="Débit",$K4701,IF($P4701=1,-$K4701,0))))</f>
        <v/>
      </c>
      <c r="R4701" s="6" t="str">
        <f>IF($K4701="","",IF($L4701="Crédit",$K4701,-$K4701))</f>
        <v/>
      </c>
      <c r="S4701" s="6" t="str">
        <f>IF($C4701="","",IFERROR(INDEX('Paramètres'!$H:$H,MATCH($C4701,'Paramètres'!$D:$D,0))&amp;"",""))</f>
        <v/>
      </c>
      <c r="T4701" s="6" t="str">
        <f>IF($K4701="","",IF($S4701="",0,IF(ISNUMBER(SEARCH("apport-exterieur",IFERROR(INDEX('Paramètres'!$N:$N,MATCH($D4701,'Paramètres'!$M:$M,0))&amp;"",""))),0,IF(OR(IFERROR(INDEX('Paramètres'!$I:$I,MATCH($C4701,'Paramètres'!$D:$D,0))&amp;"","")="Les deux",IFERROR(INDEX('Paramètres'!$I:$I,MATCH($C4701,'Paramètres'!$D:$D,0))&amp;"","")=IF($P4701=1,"Débit",$L4701)),-IF($P4701=1,-$K4701,$K4701),0))))</f>
        <v/>
      </c>
      <c r="U4701" s="6" t="str">
        <f>IF($K4701="","",IF(ISNUMBER(SEARCH("sortie-epargne",IFERROR(INDEX('Paramètres'!$N:$N,MATCH($D4701,'Paramètres'!$M:$M,0))&amp;"",""))),$K4701,0))</f>
        <v/>
      </c>
      <c r="V4701" s="6" t="str">
        <f>IF(AND($A4701&lt;&gt;"",$O4701=1,$L4701="Débit",N($Q4701)&gt;0,$A4701&gt;=Visualisation!$B$1,$A4701&lt;Visualisation!$D$1),MAX($V$1:V4700)+1,"")</f>
        <v/>
      </c>
    </row>
    <row r="4702" spans="1:22" x14ac:dyDescent="0.25">
      <c r="A4702" s="9"/>
      <c r="E4702" s="10"/>
      <c r="K4702" s="11" t="str">
        <f>IF($E4702="","",ROUND($E4702*IF(ISNA(MATCH($C4702,'Paramètres'!$D:$D,0)),1,IF(INDEX('Paramètres'!$J:$J,MATCH($C4702,'Paramètres'!$D:$D,0))="",1,INDEX('Paramètres'!$J:$J,MATCH($C4702,'Paramètres'!$D:$D,0)))),2))</f>
        <v/>
      </c>
      <c r="L4702" s="6" t="str">
        <f>IF($D4702="","",IF($F4702&lt;&gt;"",$F4702,IF(ISNA(MATCH($D4702,'Paramètres'!$M:$M,0)),"⚠ Type inconnu",IFERROR(INDEX('Paramètres'!$P:$P,MATCH($D4702,'Paramètres'!$M:$M,0))&amp;"",""))))</f>
        <v/>
      </c>
      <c r="M4702" s="6" t="str">
        <f>IF($D4702="","",IF(ISNA(MATCH($D4702,'Paramètres'!$M:$M,0)),"⚠ Type inconnu",IF($L4702="Crédit","",IFERROR(INDEX('Paramètres'!$O:$O,MATCH($D4702,'Paramètres'!$M:$M,0))&amp;"",""))))</f>
        <v/>
      </c>
      <c r="N4702" s="6" t="str">
        <f>IF($D4702="","",IFERROR(INDEX('Paramètres'!$Q:$Q,MATCH($D4702,'Paramètres'!$M:$M,0))&amp;"",""))</f>
        <v/>
      </c>
      <c r="O4702" s="6" t="str">
        <f>IF($A4702="","",IF(OR($J4702&lt;&gt;"x",$A4702&lt;=FinReleve),1,0))</f>
        <v/>
      </c>
      <c r="P4702" s="6" t="str">
        <f>IF($D4702="","",IF(AND($L4702="Crédit",OR(IFERROR(INDEX('Paramètres'!$O:$O,MATCH($D4702,'Paramètres'!$M:$M,0))&amp;"","")&lt;&gt;"",ISNUMBER(SEARCH("remboursement",IFERROR(INDEX('Paramètres'!$N:$N,MATCH($D4702,'Paramètres'!$M:$M,0))&amp;"",""))))),1,0))</f>
        <v/>
      </c>
      <c r="Q4702" s="6" t="str">
        <f>IF($K4702="","",IF(ISNUMBER(SEARCH("transfert-interne",IFERROR(INDEX('Paramètres'!$N:$N,MATCH($D4702,'Paramètres'!$M:$M,0))&amp;"",""))),0,IF($L4702="Débit",$K4702,IF($P4702=1,-$K4702,0))))</f>
        <v/>
      </c>
      <c r="R4702" s="6" t="str">
        <f>IF($K4702="","",IF($L4702="Crédit",$K4702,-$K4702))</f>
        <v/>
      </c>
      <c r="S4702" s="6" t="str">
        <f>IF($C4702="","",IFERROR(INDEX('Paramètres'!$H:$H,MATCH($C4702,'Paramètres'!$D:$D,0))&amp;"",""))</f>
        <v/>
      </c>
      <c r="T4702" s="6" t="str">
        <f>IF($K4702="","",IF($S4702="",0,IF(ISNUMBER(SEARCH("apport-exterieur",IFERROR(INDEX('Paramètres'!$N:$N,MATCH($D4702,'Paramètres'!$M:$M,0))&amp;"",""))),0,IF(OR(IFERROR(INDEX('Paramètres'!$I:$I,MATCH($C4702,'Paramètres'!$D:$D,0))&amp;"","")="Les deux",IFERROR(INDEX('Paramètres'!$I:$I,MATCH($C4702,'Paramètres'!$D:$D,0))&amp;"","")=IF($P4702=1,"Débit",$L4702)),-IF($P4702=1,-$K4702,$K4702),0))))</f>
        <v/>
      </c>
      <c r="U4702" s="6" t="str">
        <f>IF($K4702="","",IF(ISNUMBER(SEARCH("sortie-epargne",IFERROR(INDEX('Paramètres'!$N:$N,MATCH($D4702,'Paramètres'!$M:$M,0))&amp;"",""))),$K4702,0))</f>
        <v/>
      </c>
      <c r="V4702" s="6" t="str">
        <f>IF(AND($A4702&lt;&gt;"",$O4702=1,$L4702="Débit",N($Q4702)&gt;0,$A4702&gt;=Visualisation!$B$1,$A4702&lt;Visualisation!$D$1),MAX($V$1:V4701)+1,"")</f>
        <v/>
      </c>
    </row>
    <row r="4703" spans="1:22" x14ac:dyDescent="0.25">
      <c r="A4703" s="9"/>
      <c r="E4703" s="10"/>
      <c r="K4703" s="11" t="str">
        <f>IF($E4703="","",ROUND($E4703*IF(ISNA(MATCH($C4703,'Paramètres'!$D:$D,0)),1,IF(INDEX('Paramètres'!$J:$J,MATCH($C4703,'Paramètres'!$D:$D,0))="",1,INDEX('Paramètres'!$J:$J,MATCH($C4703,'Paramètres'!$D:$D,0)))),2))</f>
        <v/>
      </c>
      <c r="L4703" s="6" t="str">
        <f>IF($D4703="","",IF($F4703&lt;&gt;"",$F4703,IF(ISNA(MATCH($D4703,'Paramètres'!$M:$M,0)),"⚠ Type inconnu",IFERROR(INDEX('Paramètres'!$P:$P,MATCH($D4703,'Paramètres'!$M:$M,0))&amp;"",""))))</f>
        <v/>
      </c>
      <c r="M4703" s="6" t="str">
        <f>IF($D4703="","",IF(ISNA(MATCH($D4703,'Paramètres'!$M:$M,0)),"⚠ Type inconnu",IF($L4703="Crédit","",IFERROR(INDEX('Paramètres'!$O:$O,MATCH($D4703,'Paramètres'!$M:$M,0))&amp;"",""))))</f>
        <v/>
      </c>
      <c r="N4703" s="6" t="str">
        <f>IF($D4703="","",IFERROR(INDEX('Paramètres'!$Q:$Q,MATCH($D4703,'Paramètres'!$M:$M,0))&amp;"",""))</f>
        <v/>
      </c>
      <c r="O4703" s="6" t="str">
        <f>IF($A4703="","",IF(OR($J4703&lt;&gt;"x",$A4703&lt;=FinReleve),1,0))</f>
        <v/>
      </c>
      <c r="P4703" s="6" t="str">
        <f>IF($D4703="","",IF(AND($L4703="Crédit",OR(IFERROR(INDEX('Paramètres'!$O:$O,MATCH($D4703,'Paramètres'!$M:$M,0))&amp;"","")&lt;&gt;"",ISNUMBER(SEARCH("remboursement",IFERROR(INDEX('Paramètres'!$N:$N,MATCH($D4703,'Paramètres'!$M:$M,0))&amp;"",""))))),1,0))</f>
        <v/>
      </c>
      <c r="Q4703" s="6" t="str">
        <f>IF($K4703="","",IF(ISNUMBER(SEARCH("transfert-interne",IFERROR(INDEX('Paramètres'!$N:$N,MATCH($D4703,'Paramètres'!$M:$M,0))&amp;"",""))),0,IF($L4703="Débit",$K4703,IF($P4703=1,-$K4703,0))))</f>
        <v/>
      </c>
      <c r="R4703" s="6" t="str">
        <f>IF($K4703="","",IF($L4703="Crédit",$K4703,-$K4703))</f>
        <v/>
      </c>
      <c r="S4703" s="6" t="str">
        <f>IF($C4703="","",IFERROR(INDEX('Paramètres'!$H:$H,MATCH($C4703,'Paramètres'!$D:$D,0))&amp;"",""))</f>
        <v/>
      </c>
      <c r="T4703" s="6" t="str">
        <f>IF($K4703="","",IF($S4703="",0,IF(ISNUMBER(SEARCH("apport-exterieur",IFERROR(INDEX('Paramètres'!$N:$N,MATCH($D4703,'Paramètres'!$M:$M,0))&amp;"",""))),0,IF(OR(IFERROR(INDEX('Paramètres'!$I:$I,MATCH($C4703,'Paramètres'!$D:$D,0))&amp;"","")="Les deux",IFERROR(INDEX('Paramètres'!$I:$I,MATCH($C4703,'Paramètres'!$D:$D,0))&amp;"","")=IF($P4703=1,"Débit",$L4703)),-IF($P4703=1,-$K4703,$K4703),0))))</f>
        <v/>
      </c>
      <c r="U4703" s="6" t="str">
        <f>IF($K4703="","",IF(ISNUMBER(SEARCH("sortie-epargne",IFERROR(INDEX('Paramètres'!$N:$N,MATCH($D4703,'Paramètres'!$M:$M,0))&amp;"",""))),$K4703,0))</f>
        <v/>
      </c>
      <c r="V4703" s="6" t="str">
        <f>IF(AND($A4703&lt;&gt;"",$O4703=1,$L4703="Débit",N($Q4703)&gt;0,$A4703&gt;=Visualisation!$B$1,$A4703&lt;Visualisation!$D$1),MAX($V$1:V4702)+1,"")</f>
        <v/>
      </c>
    </row>
    <row r="4704" spans="1:22" x14ac:dyDescent="0.25">
      <c r="A4704" s="9"/>
      <c r="E4704" s="10"/>
      <c r="K4704" s="11" t="str">
        <f>IF($E4704="","",ROUND($E4704*IF(ISNA(MATCH($C4704,'Paramètres'!$D:$D,0)),1,IF(INDEX('Paramètres'!$J:$J,MATCH($C4704,'Paramètres'!$D:$D,0))="",1,INDEX('Paramètres'!$J:$J,MATCH($C4704,'Paramètres'!$D:$D,0)))),2))</f>
        <v/>
      </c>
      <c r="L4704" s="6" t="str">
        <f>IF($D4704="","",IF($F4704&lt;&gt;"",$F4704,IF(ISNA(MATCH($D4704,'Paramètres'!$M:$M,0)),"⚠ Type inconnu",IFERROR(INDEX('Paramètres'!$P:$P,MATCH($D4704,'Paramètres'!$M:$M,0))&amp;"",""))))</f>
        <v/>
      </c>
      <c r="M4704" s="6" t="str">
        <f>IF($D4704="","",IF(ISNA(MATCH($D4704,'Paramètres'!$M:$M,0)),"⚠ Type inconnu",IF($L4704="Crédit","",IFERROR(INDEX('Paramètres'!$O:$O,MATCH($D4704,'Paramètres'!$M:$M,0))&amp;"",""))))</f>
        <v/>
      </c>
      <c r="N4704" s="6" t="str">
        <f>IF($D4704="","",IFERROR(INDEX('Paramètres'!$Q:$Q,MATCH($D4704,'Paramètres'!$M:$M,0))&amp;"",""))</f>
        <v/>
      </c>
      <c r="O4704" s="6" t="str">
        <f>IF($A4704="","",IF(OR($J4704&lt;&gt;"x",$A4704&lt;=FinReleve),1,0))</f>
        <v/>
      </c>
      <c r="P4704" s="6" t="str">
        <f>IF($D4704="","",IF(AND($L4704="Crédit",OR(IFERROR(INDEX('Paramètres'!$O:$O,MATCH($D4704,'Paramètres'!$M:$M,0))&amp;"","")&lt;&gt;"",ISNUMBER(SEARCH("remboursement",IFERROR(INDEX('Paramètres'!$N:$N,MATCH($D4704,'Paramètres'!$M:$M,0))&amp;"",""))))),1,0))</f>
        <v/>
      </c>
      <c r="Q4704" s="6" t="str">
        <f>IF($K4704="","",IF(ISNUMBER(SEARCH("transfert-interne",IFERROR(INDEX('Paramètres'!$N:$N,MATCH($D4704,'Paramètres'!$M:$M,0))&amp;"",""))),0,IF($L4704="Débit",$K4704,IF($P4704=1,-$K4704,0))))</f>
        <v/>
      </c>
      <c r="R4704" s="6" t="str">
        <f>IF($K4704="","",IF($L4704="Crédit",$K4704,-$K4704))</f>
        <v/>
      </c>
      <c r="S4704" s="6" t="str">
        <f>IF($C4704="","",IFERROR(INDEX('Paramètres'!$H:$H,MATCH($C4704,'Paramètres'!$D:$D,0))&amp;"",""))</f>
        <v/>
      </c>
      <c r="T4704" s="6" t="str">
        <f>IF($K4704="","",IF($S4704="",0,IF(ISNUMBER(SEARCH("apport-exterieur",IFERROR(INDEX('Paramètres'!$N:$N,MATCH($D4704,'Paramètres'!$M:$M,0))&amp;"",""))),0,IF(OR(IFERROR(INDEX('Paramètres'!$I:$I,MATCH($C4704,'Paramètres'!$D:$D,0))&amp;"","")="Les deux",IFERROR(INDEX('Paramètres'!$I:$I,MATCH($C4704,'Paramètres'!$D:$D,0))&amp;"","")=IF($P4704=1,"Débit",$L4704)),-IF($P4704=1,-$K4704,$K4704),0))))</f>
        <v/>
      </c>
      <c r="U4704" s="6" t="str">
        <f>IF($K4704="","",IF(ISNUMBER(SEARCH("sortie-epargne",IFERROR(INDEX('Paramètres'!$N:$N,MATCH($D4704,'Paramètres'!$M:$M,0))&amp;"",""))),$K4704,0))</f>
        <v/>
      </c>
      <c r="V4704" s="6" t="str">
        <f>IF(AND($A4704&lt;&gt;"",$O4704=1,$L4704="Débit",N($Q4704)&gt;0,$A4704&gt;=Visualisation!$B$1,$A4704&lt;Visualisation!$D$1),MAX($V$1:V4703)+1,"")</f>
        <v/>
      </c>
    </row>
    <row r="4705" spans="1:22" x14ac:dyDescent="0.25">
      <c r="A4705" s="9"/>
      <c r="E4705" s="10"/>
      <c r="K4705" s="11" t="str">
        <f>IF($E4705="","",ROUND($E4705*IF(ISNA(MATCH($C4705,'Paramètres'!$D:$D,0)),1,IF(INDEX('Paramètres'!$J:$J,MATCH($C4705,'Paramètres'!$D:$D,0))="",1,INDEX('Paramètres'!$J:$J,MATCH($C4705,'Paramètres'!$D:$D,0)))),2))</f>
        <v/>
      </c>
      <c r="L4705" s="6" t="str">
        <f>IF($D4705="","",IF($F4705&lt;&gt;"",$F4705,IF(ISNA(MATCH($D4705,'Paramètres'!$M:$M,0)),"⚠ Type inconnu",IFERROR(INDEX('Paramètres'!$P:$P,MATCH($D4705,'Paramètres'!$M:$M,0))&amp;"",""))))</f>
        <v/>
      </c>
      <c r="M4705" s="6" t="str">
        <f>IF($D4705="","",IF(ISNA(MATCH($D4705,'Paramètres'!$M:$M,0)),"⚠ Type inconnu",IF($L4705="Crédit","",IFERROR(INDEX('Paramètres'!$O:$O,MATCH($D4705,'Paramètres'!$M:$M,0))&amp;"",""))))</f>
        <v/>
      </c>
      <c r="N4705" s="6" t="str">
        <f>IF($D4705="","",IFERROR(INDEX('Paramètres'!$Q:$Q,MATCH($D4705,'Paramètres'!$M:$M,0))&amp;"",""))</f>
        <v/>
      </c>
      <c r="O4705" s="6" t="str">
        <f>IF($A4705="","",IF(OR($J4705&lt;&gt;"x",$A4705&lt;=FinReleve),1,0))</f>
        <v/>
      </c>
      <c r="P4705" s="6" t="str">
        <f>IF($D4705="","",IF(AND($L4705="Crédit",OR(IFERROR(INDEX('Paramètres'!$O:$O,MATCH($D4705,'Paramètres'!$M:$M,0))&amp;"","")&lt;&gt;"",ISNUMBER(SEARCH("remboursement",IFERROR(INDEX('Paramètres'!$N:$N,MATCH($D4705,'Paramètres'!$M:$M,0))&amp;"",""))))),1,0))</f>
        <v/>
      </c>
      <c r="Q4705" s="6" t="str">
        <f>IF($K4705="","",IF(ISNUMBER(SEARCH("transfert-interne",IFERROR(INDEX('Paramètres'!$N:$N,MATCH($D4705,'Paramètres'!$M:$M,0))&amp;"",""))),0,IF($L4705="Débit",$K4705,IF($P4705=1,-$K4705,0))))</f>
        <v/>
      </c>
      <c r="R4705" s="6" t="str">
        <f>IF($K4705="","",IF($L4705="Crédit",$K4705,-$K4705))</f>
        <v/>
      </c>
      <c r="S4705" s="6" t="str">
        <f>IF($C4705="","",IFERROR(INDEX('Paramètres'!$H:$H,MATCH($C4705,'Paramètres'!$D:$D,0))&amp;"",""))</f>
        <v/>
      </c>
      <c r="T4705" s="6" t="str">
        <f>IF($K4705="","",IF($S4705="",0,IF(ISNUMBER(SEARCH("apport-exterieur",IFERROR(INDEX('Paramètres'!$N:$N,MATCH($D4705,'Paramètres'!$M:$M,0))&amp;"",""))),0,IF(OR(IFERROR(INDEX('Paramètres'!$I:$I,MATCH($C4705,'Paramètres'!$D:$D,0))&amp;"","")="Les deux",IFERROR(INDEX('Paramètres'!$I:$I,MATCH($C4705,'Paramètres'!$D:$D,0))&amp;"","")=IF($P4705=1,"Débit",$L4705)),-IF($P4705=1,-$K4705,$K4705),0))))</f>
        <v/>
      </c>
      <c r="U4705" s="6" t="str">
        <f>IF($K4705="","",IF(ISNUMBER(SEARCH("sortie-epargne",IFERROR(INDEX('Paramètres'!$N:$N,MATCH($D4705,'Paramètres'!$M:$M,0))&amp;"",""))),$K4705,0))</f>
        <v/>
      </c>
      <c r="V4705" s="6" t="str">
        <f>IF(AND($A4705&lt;&gt;"",$O4705=1,$L4705="Débit",N($Q4705)&gt;0,$A4705&gt;=Visualisation!$B$1,$A4705&lt;Visualisation!$D$1),MAX($V$1:V4704)+1,"")</f>
        <v/>
      </c>
    </row>
    <row r="4706" spans="1:22" x14ac:dyDescent="0.25">
      <c r="A4706" s="9"/>
      <c r="E4706" s="10"/>
      <c r="K4706" s="11" t="str">
        <f>IF($E4706="","",ROUND($E4706*IF(ISNA(MATCH($C4706,'Paramètres'!$D:$D,0)),1,IF(INDEX('Paramètres'!$J:$J,MATCH($C4706,'Paramètres'!$D:$D,0))="",1,INDEX('Paramètres'!$J:$J,MATCH($C4706,'Paramètres'!$D:$D,0)))),2))</f>
        <v/>
      </c>
      <c r="L4706" s="6" t="str">
        <f>IF($D4706="","",IF($F4706&lt;&gt;"",$F4706,IF(ISNA(MATCH($D4706,'Paramètres'!$M:$M,0)),"⚠ Type inconnu",IFERROR(INDEX('Paramètres'!$P:$P,MATCH($D4706,'Paramètres'!$M:$M,0))&amp;"",""))))</f>
        <v/>
      </c>
      <c r="M4706" s="6" t="str">
        <f>IF($D4706="","",IF(ISNA(MATCH($D4706,'Paramètres'!$M:$M,0)),"⚠ Type inconnu",IF($L4706="Crédit","",IFERROR(INDEX('Paramètres'!$O:$O,MATCH($D4706,'Paramètres'!$M:$M,0))&amp;"",""))))</f>
        <v/>
      </c>
      <c r="N4706" s="6" t="str">
        <f>IF($D4706="","",IFERROR(INDEX('Paramètres'!$Q:$Q,MATCH($D4706,'Paramètres'!$M:$M,0))&amp;"",""))</f>
        <v/>
      </c>
      <c r="O4706" s="6" t="str">
        <f>IF($A4706="","",IF(OR($J4706&lt;&gt;"x",$A4706&lt;=FinReleve),1,0))</f>
        <v/>
      </c>
      <c r="P4706" s="6" t="str">
        <f>IF($D4706="","",IF(AND($L4706="Crédit",OR(IFERROR(INDEX('Paramètres'!$O:$O,MATCH($D4706,'Paramètres'!$M:$M,0))&amp;"","")&lt;&gt;"",ISNUMBER(SEARCH("remboursement",IFERROR(INDEX('Paramètres'!$N:$N,MATCH($D4706,'Paramètres'!$M:$M,0))&amp;"",""))))),1,0))</f>
        <v/>
      </c>
      <c r="Q4706" s="6" t="str">
        <f>IF($K4706="","",IF(ISNUMBER(SEARCH("transfert-interne",IFERROR(INDEX('Paramètres'!$N:$N,MATCH($D4706,'Paramètres'!$M:$M,0))&amp;"",""))),0,IF($L4706="Débit",$K4706,IF($P4706=1,-$K4706,0))))</f>
        <v/>
      </c>
      <c r="R4706" s="6" t="str">
        <f>IF($K4706="","",IF($L4706="Crédit",$K4706,-$K4706))</f>
        <v/>
      </c>
      <c r="S4706" s="6" t="str">
        <f>IF($C4706="","",IFERROR(INDEX('Paramètres'!$H:$H,MATCH($C4706,'Paramètres'!$D:$D,0))&amp;"",""))</f>
        <v/>
      </c>
      <c r="T4706" s="6" t="str">
        <f>IF($K4706="","",IF($S4706="",0,IF(ISNUMBER(SEARCH("apport-exterieur",IFERROR(INDEX('Paramètres'!$N:$N,MATCH($D4706,'Paramètres'!$M:$M,0))&amp;"",""))),0,IF(OR(IFERROR(INDEX('Paramètres'!$I:$I,MATCH($C4706,'Paramètres'!$D:$D,0))&amp;"","")="Les deux",IFERROR(INDEX('Paramètres'!$I:$I,MATCH($C4706,'Paramètres'!$D:$D,0))&amp;"","")=IF($P4706=1,"Débit",$L4706)),-IF($P4706=1,-$K4706,$K4706),0))))</f>
        <v/>
      </c>
      <c r="U4706" s="6" t="str">
        <f>IF($K4706="","",IF(ISNUMBER(SEARCH("sortie-epargne",IFERROR(INDEX('Paramètres'!$N:$N,MATCH($D4706,'Paramètres'!$M:$M,0))&amp;"",""))),$K4706,0))</f>
        <v/>
      </c>
      <c r="V4706" s="6" t="str">
        <f>IF(AND($A4706&lt;&gt;"",$O4706=1,$L4706="Débit",N($Q4706)&gt;0,$A4706&gt;=Visualisation!$B$1,$A4706&lt;Visualisation!$D$1),MAX($V$1:V4705)+1,"")</f>
        <v/>
      </c>
    </row>
    <row r="4707" spans="1:22" x14ac:dyDescent="0.25">
      <c r="A4707" s="9"/>
      <c r="E4707" s="10"/>
      <c r="K4707" s="11" t="str">
        <f>IF($E4707="","",ROUND($E4707*IF(ISNA(MATCH($C4707,'Paramètres'!$D:$D,0)),1,IF(INDEX('Paramètres'!$J:$J,MATCH($C4707,'Paramètres'!$D:$D,0))="",1,INDEX('Paramètres'!$J:$J,MATCH($C4707,'Paramètres'!$D:$D,0)))),2))</f>
        <v/>
      </c>
      <c r="L4707" s="6" t="str">
        <f>IF($D4707="","",IF($F4707&lt;&gt;"",$F4707,IF(ISNA(MATCH($D4707,'Paramètres'!$M:$M,0)),"⚠ Type inconnu",IFERROR(INDEX('Paramètres'!$P:$P,MATCH($D4707,'Paramètres'!$M:$M,0))&amp;"",""))))</f>
        <v/>
      </c>
      <c r="M4707" s="6" t="str">
        <f>IF($D4707="","",IF(ISNA(MATCH($D4707,'Paramètres'!$M:$M,0)),"⚠ Type inconnu",IF($L4707="Crédit","",IFERROR(INDEX('Paramètres'!$O:$O,MATCH($D4707,'Paramètres'!$M:$M,0))&amp;"",""))))</f>
        <v/>
      </c>
      <c r="N4707" s="6" t="str">
        <f>IF($D4707="","",IFERROR(INDEX('Paramètres'!$Q:$Q,MATCH($D4707,'Paramètres'!$M:$M,0))&amp;"",""))</f>
        <v/>
      </c>
      <c r="O4707" s="6" t="str">
        <f>IF($A4707="","",IF(OR($J4707&lt;&gt;"x",$A4707&lt;=FinReleve),1,0))</f>
        <v/>
      </c>
      <c r="P4707" s="6" t="str">
        <f>IF($D4707="","",IF(AND($L4707="Crédit",OR(IFERROR(INDEX('Paramètres'!$O:$O,MATCH($D4707,'Paramètres'!$M:$M,0))&amp;"","")&lt;&gt;"",ISNUMBER(SEARCH("remboursement",IFERROR(INDEX('Paramètres'!$N:$N,MATCH($D4707,'Paramètres'!$M:$M,0))&amp;"",""))))),1,0))</f>
        <v/>
      </c>
      <c r="Q4707" s="6" t="str">
        <f>IF($K4707="","",IF(ISNUMBER(SEARCH("transfert-interne",IFERROR(INDEX('Paramètres'!$N:$N,MATCH($D4707,'Paramètres'!$M:$M,0))&amp;"",""))),0,IF($L4707="Débit",$K4707,IF($P4707=1,-$K4707,0))))</f>
        <v/>
      </c>
      <c r="R4707" s="6" t="str">
        <f>IF($K4707="","",IF($L4707="Crédit",$K4707,-$K4707))</f>
        <v/>
      </c>
      <c r="S4707" s="6" t="str">
        <f>IF($C4707="","",IFERROR(INDEX('Paramètres'!$H:$H,MATCH($C4707,'Paramètres'!$D:$D,0))&amp;"",""))</f>
        <v/>
      </c>
      <c r="T4707" s="6" t="str">
        <f>IF($K4707="","",IF($S4707="",0,IF(ISNUMBER(SEARCH("apport-exterieur",IFERROR(INDEX('Paramètres'!$N:$N,MATCH($D4707,'Paramètres'!$M:$M,0))&amp;"",""))),0,IF(OR(IFERROR(INDEX('Paramètres'!$I:$I,MATCH($C4707,'Paramètres'!$D:$D,0))&amp;"","")="Les deux",IFERROR(INDEX('Paramètres'!$I:$I,MATCH($C4707,'Paramètres'!$D:$D,0))&amp;"","")=IF($P4707=1,"Débit",$L4707)),-IF($P4707=1,-$K4707,$K4707),0))))</f>
        <v/>
      </c>
      <c r="U4707" s="6" t="str">
        <f>IF($K4707="","",IF(ISNUMBER(SEARCH("sortie-epargne",IFERROR(INDEX('Paramètres'!$N:$N,MATCH($D4707,'Paramètres'!$M:$M,0))&amp;"",""))),$K4707,0))</f>
        <v/>
      </c>
      <c r="V4707" s="6" t="str">
        <f>IF(AND($A4707&lt;&gt;"",$O4707=1,$L4707="Débit",N($Q4707)&gt;0,$A4707&gt;=Visualisation!$B$1,$A4707&lt;Visualisation!$D$1),MAX($V$1:V4706)+1,"")</f>
        <v/>
      </c>
    </row>
    <row r="4708" spans="1:22" x14ac:dyDescent="0.25">
      <c r="A4708" s="9"/>
      <c r="E4708" s="10"/>
      <c r="K4708" s="11" t="str">
        <f>IF($E4708="","",ROUND($E4708*IF(ISNA(MATCH($C4708,'Paramètres'!$D:$D,0)),1,IF(INDEX('Paramètres'!$J:$J,MATCH($C4708,'Paramètres'!$D:$D,0))="",1,INDEX('Paramètres'!$J:$J,MATCH($C4708,'Paramètres'!$D:$D,0)))),2))</f>
        <v/>
      </c>
      <c r="L4708" s="6" t="str">
        <f>IF($D4708="","",IF($F4708&lt;&gt;"",$F4708,IF(ISNA(MATCH($D4708,'Paramètres'!$M:$M,0)),"⚠ Type inconnu",IFERROR(INDEX('Paramètres'!$P:$P,MATCH($D4708,'Paramètres'!$M:$M,0))&amp;"",""))))</f>
        <v/>
      </c>
      <c r="M4708" s="6" t="str">
        <f>IF($D4708="","",IF(ISNA(MATCH($D4708,'Paramètres'!$M:$M,0)),"⚠ Type inconnu",IF($L4708="Crédit","",IFERROR(INDEX('Paramètres'!$O:$O,MATCH($D4708,'Paramètres'!$M:$M,0))&amp;"",""))))</f>
        <v/>
      </c>
      <c r="N4708" s="6" t="str">
        <f>IF($D4708="","",IFERROR(INDEX('Paramètres'!$Q:$Q,MATCH($D4708,'Paramètres'!$M:$M,0))&amp;"",""))</f>
        <v/>
      </c>
      <c r="O4708" s="6" t="str">
        <f>IF($A4708="","",IF(OR($J4708&lt;&gt;"x",$A4708&lt;=FinReleve),1,0))</f>
        <v/>
      </c>
      <c r="P4708" s="6" t="str">
        <f>IF($D4708="","",IF(AND($L4708="Crédit",OR(IFERROR(INDEX('Paramètres'!$O:$O,MATCH($D4708,'Paramètres'!$M:$M,0))&amp;"","")&lt;&gt;"",ISNUMBER(SEARCH("remboursement",IFERROR(INDEX('Paramètres'!$N:$N,MATCH($D4708,'Paramètres'!$M:$M,0))&amp;"",""))))),1,0))</f>
        <v/>
      </c>
      <c r="Q4708" s="6" t="str">
        <f>IF($K4708="","",IF(ISNUMBER(SEARCH("transfert-interne",IFERROR(INDEX('Paramètres'!$N:$N,MATCH($D4708,'Paramètres'!$M:$M,0))&amp;"",""))),0,IF($L4708="Débit",$K4708,IF($P4708=1,-$K4708,0))))</f>
        <v/>
      </c>
      <c r="R4708" s="6" t="str">
        <f>IF($K4708="","",IF($L4708="Crédit",$K4708,-$K4708))</f>
        <v/>
      </c>
      <c r="S4708" s="6" t="str">
        <f>IF($C4708="","",IFERROR(INDEX('Paramètres'!$H:$H,MATCH($C4708,'Paramètres'!$D:$D,0))&amp;"",""))</f>
        <v/>
      </c>
      <c r="T4708" s="6" t="str">
        <f>IF($K4708="","",IF($S4708="",0,IF(ISNUMBER(SEARCH("apport-exterieur",IFERROR(INDEX('Paramètres'!$N:$N,MATCH($D4708,'Paramètres'!$M:$M,0))&amp;"",""))),0,IF(OR(IFERROR(INDEX('Paramètres'!$I:$I,MATCH($C4708,'Paramètres'!$D:$D,0))&amp;"","")="Les deux",IFERROR(INDEX('Paramètres'!$I:$I,MATCH($C4708,'Paramètres'!$D:$D,0))&amp;"","")=IF($P4708=1,"Débit",$L4708)),-IF($P4708=1,-$K4708,$K4708),0))))</f>
        <v/>
      </c>
      <c r="U4708" s="6" t="str">
        <f>IF($K4708="","",IF(ISNUMBER(SEARCH("sortie-epargne",IFERROR(INDEX('Paramètres'!$N:$N,MATCH($D4708,'Paramètres'!$M:$M,0))&amp;"",""))),$K4708,0))</f>
        <v/>
      </c>
      <c r="V4708" s="6" t="str">
        <f>IF(AND($A4708&lt;&gt;"",$O4708=1,$L4708="Débit",N($Q4708)&gt;0,$A4708&gt;=Visualisation!$B$1,$A4708&lt;Visualisation!$D$1),MAX($V$1:V4707)+1,"")</f>
        <v/>
      </c>
    </row>
    <row r="4709" spans="1:22" x14ac:dyDescent="0.25">
      <c r="A4709" s="9"/>
      <c r="E4709" s="10"/>
      <c r="K4709" s="11" t="str">
        <f>IF($E4709="","",ROUND($E4709*IF(ISNA(MATCH($C4709,'Paramètres'!$D:$D,0)),1,IF(INDEX('Paramètres'!$J:$J,MATCH($C4709,'Paramètres'!$D:$D,0))="",1,INDEX('Paramètres'!$J:$J,MATCH($C4709,'Paramètres'!$D:$D,0)))),2))</f>
        <v/>
      </c>
      <c r="L4709" s="6" t="str">
        <f>IF($D4709="","",IF($F4709&lt;&gt;"",$F4709,IF(ISNA(MATCH($D4709,'Paramètres'!$M:$M,0)),"⚠ Type inconnu",IFERROR(INDEX('Paramètres'!$P:$P,MATCH($D4709,'Paramètres'!$M:$M,0))&amp;"",""))))</f>
        <v/>
      </c>
      <c r="M4709" s="6" t="str">
        <f>IF($D4709="","",IF(ISNA(MATCH($D4709,'Paramètres'!$M:$M,0)),"⚠ Type inconnu",IF($L4709="Crédit","",IFERROR(INDEX('Paramètres'!$O:$O,MATCH($D4709,'Paramètres'!$M:$M,0))&amp;"",""))))</f>
        <v/>
      </c>
      <c r="N4709" s="6" t="str">
        <f>IF($D4709="","",IFERROR(INDEX('Paramètres'!$Q:$Q,MATCH($D4709,'Paramètres'!$M:$M,0))&amp;"",""))</f>
        <v/>
      </c>
      <c r="O4709" s="6" t="str">
        <f>IF($A4709="","",IF(OR($J4709&lt;&gt;"x",$A4709&lt;=FinReleve),1,0))</f>
        <v/>
      </c>
      <c r="P4709" s="6" t="str">
        <f>IF($D4709="","",IF(AND($L4709="Crédit",OR(IFERROR(INDEX('Paramètres'!$O:$O,MATCH($D4709,'Paramètres'!$M:$M,0))&amp;"","")&lt;&gt;"",ISNUMBER(SEARCH("remboursement",IFERROR(INDEX('Paramètres'!$N:$N,MATCH($D4709,'Paramètres'!$M:$M,0))&amp;"",""))))),1,0))</f>
        <v/>
      </c>
      <c r="Q4709" s="6" t="str">
        <f>IF($K4709="","",IF(ISNUMBER(SEARCH("transfert-interne",IFERROR(INDEX('Paramètres'!$N:$N,MATCH($D4709,'Paramètres'!$M:$M,0))&amp;"",""))),0,IF($L4709="Débit",$K4709,IF($P4709=1,-$K4709,0))))</f>
        <v/>
      </c>
      <c r="R4709" s="6" t="str">
        <f>IF($K4709="","",IF($L4709="Crédit",$K4709,-$K4709))</f>
        <v/>
      </c>
      <c r="S4709" s="6" t="str">
        <f>IF($C4709="","",IFERROR(INDEX('Paramètres'!$H:$H,MATCH($C4709,'Paramètres'!$D:$D,0))&amp;"",""))</f>
        <v/>
      </c>
      <c r="T4709" s="6" t="str">
        <f>IF($K4709="","",IF($S4709="",0,IF(ISNUMBER(SEARCH("apport-exterieur",IFERROR(INDEX('Paramètres'!$N:$N,MATCH($D4709,'Paramètres'!$M:$M,0))&amp;"",""))),0,IF(OR(IFERROR(INDEX('Paramètres'!$I:$I,MATCH($C4709,'Paramètres'!$D:$D,0))&amp;"","")="Les deux",IFERROR(INDEX('Paramètres'!$I:$I,MATCH($C4709,'Paramètres'!$D:$D,0))&amp;"","")=IF($P4709=1,"Débit",$L4709)),-IF($P4709=1,-$K4709,$K4709),0))))</f>
        <v/>
      </c>
      <c r="U4709" s="6" t="str">
        <f>IF($K4709="","",IF(ISNUMBER(SEARCH("sortie-epargne",IFERROR(INDEX('Paramètres'!$N:$N,MATCH($D4709,'Paramètres'!$M:$M,0))&amp;"",""))),$K4709,0))</f>
        <v/>
      </c>
      <c r="V4709" s="6" t="str">
        <f>IF(AND($A4709&lt;&gt;"",$O4709=1,$L4709="Débit",N($Q4709)&gt;0,$A4709&gt;=Visualisation!$B$1,$A4709&lt;Visualisation!$D$1),MAX($V$1:V4708)+1,"")</f>
        <v/>
      </c>
    </row>
    <row r="4710" spans="1:22" x14ac:dyDescent="0.25">
      <c r="A4710" s="9"/>
      <c r="E4710" s="10"/>
      <c r="K4710" s="11" t="str">
        <f>IF($E4710="","",ROUND($E4710*IF(ISNA(MATCH($C4710,'Paramètres'!$D:$D,0)),1,IF(INDEX('Paramètres'!$J:$J,MATCH($C4710,'Paramètres'!$D:$D,0))="",1,INDEX('Paramètres'!$J:$J,MATCH($C4710,'Paramètres'!$D:$D,0)))),2))</f>
        <v/>
      </c>
      <c r="L4710" s="6" t="str">
        <f>IF($D4710="","",IF($F4710&lt;&gt;"",$F4710,IF(ISNA(MATCH($D4710,'Paramètres'!$M:$M,0)),"⚠ Type inconnu",IFERROR(INDEX('Paramètres'!$P:$P,MATCH($D4710,'Paramètres'!$M:$M,0))&amp;"",""))))</f>
        <v/>
      </c>
      <c r="M4710" s="6" t="str">
        <f>IF($D4710="","",IF(ISNA(MATCH($D4710,'Paramètres'!$M:$M,0)),"⚠ Type inconnu",IF($L4710="Crédit","",IFERROR(INDEX('Paramètres'!$O:$O,MATCH($D4710,'Paramètres'!$M:$M,0))&amp;"",""))))</f>
        <v/>
      </c>
      <c r="N4710" s="6" t="str">
        <f>IF($D4710="","",IFERROR(INDEX('Paramètres'!$Q:$Q,MATCH($D4710,'Paramètres'!$M:$M,0))&amp;"",""))</f>
        <v/>
      </c>
      <c r="O4710" s="6" t="str">
        <f>IF($A4710="","",IF(OR($J4710&lt;&gt;"x",$A4710&lt;=FinReleve),1,0))</f>
        <v/>
      </c>
      <c r="P4710" s="6" t="str">
        <f>IF($D4710="","",IF(AND($L4710="Crédit",OR(IFERROR(INDEX('Paramètres'!$O:$O,MATCH($D4710,'Paramètres'!$M:$M,0))&amp;"","")&lt;&gt;"",ISNUMBER(SEARCH("remboursement",IFERROR(INDEX('Paramètres'!$N:$N,MATCH($D4710,'Paramètres'!$M:$M,0))&amp;"",""))))),1,0))</f>
        <v/>
      </c>
      <c r="Q4710" s="6" t="str">
        <f>IF($K4710="","",IF(ISNUMBER(SEARCH("transfert-interne",IFERROR(INDEX('Paramètres'!$N:$N,MATCH($D4710,'Paramètres'!$M:$M,0))&amp;"",""))),0,IF($L4710="Débit",$K4710,IF($P4710=1,-$K4710,0))))</f>
        <v/>
      </c>
      <c r="R4710" s="6" t="str">
        <f>IF($K4710="","",IF($L4710="Crédit",$K4710,-$K4710))</f>
        <v/>
      </c>
      <c r="S4710" s="6" t="str">
        <f>IF($C4710="","",IFERROR(INDEX('Paramètres'!$H:$H,MATCH($C4710,'Paramètres'!$D:$D,0))&amp;"",""))</f>
        <v/>
      </c>
      <c r="T4710" s="6" t="str">
        <f>IF($K4710="","",IF($S4710="",0,IF(ISNUMBER(SEARCH("apport-exterieur",IFERROR(INDEX('Paramètres'!$N:$N,MATCH($D4710,'Paramètres'!$M:$M,0))&amp;"",""))),0,IF(OR(IFERROR(INDEX('Paramètres'!$I:$I,MATCH($C4710,'Paramètres'!$D:$D,0))&amp;"","")="Les deux",IFERROR(INDEX('Paramètres'!$I:$I,MATCH($C4710,'Paramètres'!$D:$D,0))&amp;"","")=IF($P4710=1,"Débit",$L4710)),-IF($P4710=1,-$K4710,$K4710),0))))</f>
        <v/>
      </c>
      <c r="U4710" s="6" t="str">
        <f>IF($K4710="","",IF(ISNUMBER(SEARCH("sortie-epargne",IFERROR(INDEX('Paramètres'!$N:$N,MATCH($D4710,'Paramètres'!$M:$M,0))&amp;"",""))),$K4710,0))</f>
        <v/>
      </c>
      <c r="V4710" s="6" t="str">
        <f>IF(AND($A4710&lt;&gt;"",$O4710=1,$L4710="Débit",N($Q4710)&gt;0,$A4710&gt;=Visualisation!$B$1,$A4710&lt;Visualisation!$D$1),MAX($V$1:V4709)+1,"")</f>
        <v/>
      </c>
    </row>
    <row r="4711" spans="1:22" x14ac:dyDescent="0.25">
      <c r="A4711" s="9"/>
      <c r="E4711" s="10"/>
      <c r="K4711" s="11" t="str">
        <f>IF($E4711="","",ROUND($E4711*IF(ISNA(MATCH($C4711,'Paramètres'!$D:$D,0)),1,IF(INDEX('Paramètres'!$J:$J,MATCH($C4711,'Paramètres'!$D:$D,0))="",1,INDEX('Paramètres'!$J:$J,MATCH($C4711,'Paramètres'!$D:$D,0)))),2))</f>
        <v/>
      </c>
      <c r="L4711" s="6" t="str">
        <f>IF($D4711="","",IF($F4711&lt;&gt;"",$F4711,IF(ISNA(MATCH($D4711,'Paramètres'!$M:$M,0)),"⚠ Type inconnu",IFERROR(INDEX('Paramètres'!$P:$P,MATCH($D4711,'Paramètres'!$M:$M,0))&amp;"",""))))</f>
        <v/>
      </c>
      <c r="M4711" s="6" t="str">
        <f>IF($D4711="","",IF(ISNA(MATCH($D4711,'Paramètres'!$M:$M,0)),"⚠ Type inconnu",IF($L4711="Crédit","",IFERROR(INDEX('Paramètres'!$O:$O,MATCH($D4711,'Paramètres'!$M:$M,0))&amp;"",""))))</f>
        <v/>
      </c>
      <c r="N4711" s="6" t="str">
        <f>IF($D4711="","",IFERROR(INDEX('Paramètres'!$Q:$Q,MATCH($D4711,'Paramètres'!$M:$M,0))&amp;"",""))</f>
        <v/>
      </c>
      <c r="O4711" s="6" t="str">
        <f>IF($A4711="","",IF(OR($J4711&lt;&gt;"x",$A4711&lt;=FinReleve),1,0))</f>
        <v/>
      </c>
      <c r="P4711" s="6" t="str">
        <f>IF($D4711="","",IF(AND($L4711="Crédit",OR(IFERROR(INDEX('Paramètres'!$O:$O,MATCH($D4711,'Paramètres'!$M:$M,0))&amp;"","")&lt;&gt;"",ISNUMBER(SEARCH("remboursement",IFERROR(INDEX('Paramètres'!$N:$N,MATCH($D4711,'Paramètres'!$M:$M,0))&amp;"",""))))),1,0))</f>
        <v/>
      </c>
      <c r="Q4711" s="6" t="str">
        <f>IF($K4711="","",IF(ISNUMBER(SEARCH("transfert-interne",IFERROR(INDEX('Paramètres'!$N:$N,MATCH($D4711,'Paramètres'!$M:$M,0))&amp;"",""))),0,IF($L4711="Débit",$K4711,IF($P4711=1,-$K4711,0))))</f>
        <v/>
      </c>
      <c r="R4711" s="6" t="str">
        <f>IF($K4711="","",IF($L4711="Crédit",$K4711,-$K4711))</f>
        <v/>
      </c>
      <c r="S4711" s="6" t="str">
        <f>IF($C4711="","",IFERROR(INDEX('Paramètres'!$H:$H,MATCH($C4711,'Paramètres'!$D:$D,0))&amp;"",""))</f>
        <v/>
      </c>
      <c r="T4711" s="6" t="str">
        <f>IF($K4711="","",IF($S4711="",0,IF(ISNUMBER(SEARCH("apport-exterieur",IFERROR(INDEX('Paramètres'!$N:$N,MATCH($D4711,'Paramètres'!$M:$M,0))&amp;"",""))),0,IF(OR(IFERROR(INDEX('Paramètres'!$I:$I,MATCH($C4711,'Paramètres'!$D:$D,0))&amp;"","")="Les deux",IFERROR(INDEX('Paramètres'!$I:$I,MATCH($C4711,'Paramètres'!$D:$D,0))&amp;"","")=IF($P4711=1,"Débit",$L4711)),-IF($P4711=1,-$K4711,$K4711),0))))</f>
        <v/>
      </c>
      <c r="U4711" s="6" t="str">
        <f>IF($K4711="","",IF(ISNUMBER(SEARCH("sortie-epargne",IFERROR(INDEX('Paramètres'!$N:$N,MATCH($D4711,'Paramètres'!$M:$M,0))&amp;"",""))),$K4711,0))</f>
        <v/>
      </c>
      <c r="V4711" s="6" t="str">
        <f>IF(AND($A4711&lt;&gt;"",$O4711=1,$L4711="Débit",N($Q4711)&gt;0,$A4711&gt;=Visualisation!$B$1,$A4711&lt;Visualisation!$D$1),MAX($V$1:V4710)+1,"")</f>
        <v/>
      </c>
    </row>
    <row r="4712" spans="1:22" x14ac:dyDescent="0.25">
      <c r="A4712" s="9"/>
      <c r="E4712" s="10"/>
      <c r="K4712" s="11" t="str">
        <f>IF($E4712="","",ROUND($E4712*IF(ISNA(MATCH($C4712,'Paramètres'!$D:$D,0)),1,IF(INDEX('Paramètres'!$J:$J,MATCH($C4712,'Paramètres'!$D:$D,0))="",1,INDEX('Paramètres'!$J:$J,MATCH($C4712,'Paramètres'!$D:$D,0)))),2))</f>
        <v/>
      </c>
      <c r="L4712" s="6" t="str">
        <f>IF($D4712="","",IF($F4712&lt;&gt;"",$F4712,IF(ISNA(MATCH($D4712,'Paramètres'!$M:$M,0)),"⚠ Type inconnu",IFERROR(INDEX('Paramètres'!$P:$P,MATCH($D4712,'Paramètres'!$M:$M,0))&amp;"",""))))</f>
        <v/>
      </c>
      <c r="M4712" s="6" t="str">
        <f>IF($D4712="","",IF(ISNA(MATCH($D4712,'Paramètres'!$M:$M,0)),"⚠ Type inconnu",IF($L4712="Crédit","",IFERROR(INDEX('Paramètres'!$O:$O,MATCH($D4712,'Paramètres'!$M:$M,0))&amp;"",""))))</f>
        <v/>
      </c>
      <c r="N4712" s="6" t="str">
        <f>IF($D4712="","",IFERROR(INDEX('Paramètres'!$Q:$Q,MATCH($D4712,'Paramètres'!$M:$M,0))&amp;"",""))</f>
        <v/>
      </c>
      <c r="O4712" s="6" t="str">
        <f>IF($A4712="","",IF(OR($J4712&lt;&gt;"x",$A4712&lt;=FinReleve),1,0))</f>
        <v/>
      </c>
      <c r="P4712" s="6" t="str">
        <f>IF($D4712="","",IF(AND($L4712="Crédit",OR(IFERROR(INDEX('Paramètres'!$O:$O,MATCH($D4712,'Paramètres'!$M:$M,0))&amp;"","")&lt;&gt;"",ISNUMBER(SEARCH("remboursement",IFERROR(INDEX('Paramètres'!$N:$N,MATCH($D4712,'Paramètres'!$M:$M,0))&amp;"",""))))),1,0))</f>
        <v/>
      </c>
      <c r="Q4712" s="6" t="str">
        <f>IF($K4712="","",IF(ISNUMBER(SEARCH("transfert-interne",IFERROR(INDEX('Paramètres'!$N:$N,MATCH($D4712,'Paramètres'!$M:$M,0))&amp;"",""))),0,IF($L4712="Débit",$K4712,IF($P4712=1,-$K4712,0))))</f>
        <v/>
      </c>
      <c r="R4712" s="6" t="str">
        <f>IF($K4712="","",IF($L4712="Crédit",$K4712,-$K4712))</f>
        <v/>
      </c>
      <c r="S4712" s="6" t="str">
        <f>IF($C4712="","",IFERROR(INDEX('Paramètres'!$H:$H,MATCH($C4712,'Paramètres'!$D:$D,0))&amp;"",""))</f>
        <v/>
      </c>
      <c r="T4712" s="6" t="str">
        <f>IF($K4712="","",IF($S4712="",0,IF(ISNUMBER(SEARCH("apport-exterieur",IFERROR(INDEX('Paramètres'!$N:$N,MATCH($D4712,'Paramètres'!$M:$M,0))&amp;"",""))),0,IF(OR(IFERROR(INDEX('Paramètres'!$I:$I,MATCH($C4712,'Paramètres'!$D:$D,0))&amp;"","")="Les deux",IFERROR(INDEX('Paramètres'!$I:$I,MATCH($C4712,'Paramètres'!$D:$D,0))&amp;"","")=IF($P4712=1,"Débit",$L4712)),-IF($P4712=1,-$K4712,$K4712),0))))</f>
        <v/>
      </c>
      <c r="U4712" s="6" t="str">
        <f>IF($K4712="","",IF(ISNUMBER(SEARCH("sortie-epargne",IFERROR(INDEX('Paramètres'!$N:$N,MATCH($D4712,'Paramètres'!$M:$M,0))&amp;"",""))),$K4712,0))</f>
        <v/>
      </c>
      <c r="V4712" s="6" t="str">
        <f>IF(AND($A4712&lt;&gt;"",$O4712=1,$L4712="Débit",N($Q4712)&gt;0,$A4712&gt;=Visualisation!$B$1,$A4712&lt;Visualisation!$D$1),MAX($V$1:V4711)+1,"")</f>
        <v/>
      </c>
    </row>
    <row r="4713" spans="1:22" x14ac:dyDescent="0.25">
      <c r="A4713" s="9"/>
      <c r="E4713" s="10"/>
      <c r="K4713" s="11" t="str">
        <f>IF($E4713="","",ROUND($E4713*IF(ISNA(MATCH($C4713,'Paramètres'!$D:$D,0)),1,IF(INDEX('Paramètres'!$J:$J,MATCH($C4713,'Paramètres'!$D:$D,0))="",1,INDEX('Paramètres'!$J:$J,MATCH($C4713,'Paramètres'!$D:$D,0)))),2))</f>
        <v/>
      </c>
      <c r="L4713" s="6" t="str">
        <f>IF($D4713="","",IF($F4713&lt;&gt;"",$F4713,IF(ISNA(MATCH($D4713,'Paramètres'!$M:$M,0)),"⚠ Type inconnu",IFERROR(INDEX('Paramètres'!$P:$P,MATCH($D4713,'Paramètres'!$M:$M,0))&amp;"",""))))</f>
        <v/>
      </c>
      <c r="M4713" s="6" t="str">
        <f>IF($D4713="","",IF(ISNA(MATCH($D4713,'Paramètres'!$M:$M,0)),"⚠ Type inconnu",IF($L4713="Crédit","",IFERROR(INDEX('Paramètres'!$O:$O,MATCH($D4713,'Paramètres'!$M:$M,0))&amp;"",""))))</f>
        <v/>
      </c>
      <c r="N4713" s="6" t="str">
        <f>IF($D4713="","",IFERROR(INDEX('Paramètres'!$Q:$Q,MATCH($D4713,'Paramètres'!$M:$M,0))&amp;"",""))</f>
        <v/>
      </c>
      <c r="O4713" s="6" t="str">
        <f>IF($A4713="","",IF(OR($J4713&lt;&gt;"x",$A4713&lt;=FinReleve),1,0))</f>
        <v/>
      </c>
      <c r="P4713" s="6" t="str">
        <f>IF($D4713="","",IF(AND($L4713="Crédit",OR(IFERROR(INDEX('Paramètres'!$O:$O,MATCH($D4713,'Paramètres'!$M:$M,0))&amp;"","")&lt;&gt;"",ISNUMBER(SEARCH("remboursement",IFERROR(INDEX('Paramètres'!$N:$N,MATCH($D4713,'Paramètres'!$M:$M,0))&amp;"",""))))),1,0))</f>
        <v/>
      </c>
      <c r="Q4713" s="6" t="str">
        <f>IF($K4713="","",IF(ISNUMBER(SEARCH("transfert-interne",IFERROR(INDEX('Paramètres'!$N:$N,MATCH($D4713,'Paramètres'!$M:$M,0))&amp;"",""))),0,IF($L4713="Débit",$K4713,IF($P4713=1,-$K4713,0))))</f>
        <v/>
      </c>
      <c r="R4713" s="6" t="str">
        <f>IF($K4713="","",IF($L4713="Crédit",$K4713,-$K4713))</f>
        <v/>
      </c>
      <c r="S4713" s="6" t="str">
        <f>IF($C4713="","",IFERROR(INDEX('Paramètres'!$H:$H,MATCH($C4713,'Paramètres'!$D:$D,0))&amp;"",""))</f>
        <v/>
      </c>
      <c r="T4713" s="6" t="str">
        <f>IF($K4713="","",IF($S4713="",0,IF(ISNUMBER(SEARCH("apport-exterieur",IFERROR(INDEX('Paramètres'!$N:$N,MATCH($D4713,'Paramètres'!$M:$M,0))&amp;"",""))),0,IF(OR(IFERROR(INDEX('Paramètres'!$I:$I,MATCH($C4713,'Paramètres'!$D:$D,0))&amp;"","")="Les deux",IFERROR(INDEX('Paramètres'!$I:$I,MATCH($C4713,'Paramètres'!$D:$D,0))&amp;"","")=IF($P4713=1,"Débit",$L4713)),-IF($P4713=1,-$K4713,$K4713),0))))</f>
        <v/>
      </c>
      <c r="U4713" s="6" t="str">
        <f>IF($K4713="","",IF(ISNUMBER(SEARCH("sortie-epargne",IFERROR(INDEX('Paramètres'!$N:$N,MATCH($D4713,'Paramètres'!$M:$M,0))&amp;"",""))),$K4713,0))</f>
        <v/>
      </c>
      <c r="V4713" s="6" t="str">
        <f>IF(AND($A4713&lt;&gt;"",$O4713=1,$L4713="Débit",N($Q4713)&gt;0,$A4713&gt;=Visualisation!$B$1,$A4713&lt;Visualisation!$D$1),MAX($V$1:V4712)+1,"")</f>
        <v/>
      </c>
    </row>
    <row r="4714" spans="1:22" x14ac:dyDescent="0.25">
      <c r="A4714" s="9"/>
      <c r="E4714" s="10"/>
      <c r="K4714" s="11" t="str">
        <f>IF($E4714="","",ROUND($E4714*IF(ISNA(MATCH($C4714,'Paramètres'!$D:$D,0)),1,IF(INDEX('Paramètres'!$J:$J,MATCH($C4714,'Paramètres'!$D:$D,0))="",1,INDEX('Paramètres'!$J:$J,MATCH($C4714,'Paramètres'!$D:$D,0)))),2))</f>
        <v/>
      </c>
      <c r="L4714" s="6" t="str">
        <f>IF($D4714="","",IF($F4714&lt;&gt;"",$F4714,IF(ISNA(MATCH($D4714,'Paramètres'!$M:$M,0)),"⚠ Type inconnu",IFERROR(INDEX('Paramètres'!$P:$P,MATCH($D4714,'Paramètres'!$M:$M,0))&amp;"",""))))</f>
        <v/>
      </c>
      <c r="M4714" s="6" t="str">
        <f>IF($D4714="","",IF(ISNA(MATCH($D4714,'Paramètres'!$M:$M,0)),"⚠ Type inconnu",IF($L4714="Crédit","",IFERROR(INDEX('Paramètres'!$O:$O,MATCH($D4714,'Paramètres'!$M:$M,0))&amp;"",""))))</f>
        <v/>
      </c>
      <c r="N4714" s="6" t="str">
        <f>IF($D4714="","",IFERROR(INDEX('Paramètres'!$Q:$Q,MATCH($D4714,'Paramètres'!$M:$M,0))&amp;"",""))</f>
        <v/>
      </c>
      <c r="O4714" s="6" t="str">
        <f>IF($A4714="","",IF(OR($J4714&lt;&gt;"x",$A4714&lt;=FinReleve),1,0))</f>
        <v/>
      </c>
      <c r="P4714" s="6" t="str">
        <f>IF($D4714="","",IF(AND($L4714="Crédit",OR(IFERROR(INDEX('Paramètres'!$O:$O,MATCH($D4714,'Paramètres'!$M:$M,0))&amp;"","")&lt;&gt;"",ISNUMBER(SEARCH("remboursement",IFERROR(INDEX('Paramètres'!$N:$N,MATCH($D4714,'Paramètres'!$M:$M,0))&amp;"",""))))),1,0))</f>
        <v/>
      </c>
      <c r="Q4714" s="6" t="str">
        <f>IF($K4714="","",IF(ISNUMBER(SEARCH("transfert-interne",IFERROR(INDEX('Paramètres'!$N:$N,MATCH($D4714,'Paramètres'!$M:$M,0))&amp;"",""))),0,IF($L4714="Débit",$K4714,IF($P4714=1,-$K4714,0))))</f>
        <v/>
      </c>
      <c r="R4714" s="6" t="str">
        <f>IF($K4714="","",IF($L4714="Crédit",$K4714,-$K4714))</f>
        <v/>
      </c>
      <c r="S4714" s="6" t="str">
        <f>IF($C4714="","",IFERROR(INDEX('Paramètres'!$H:$H,MATCH($C4714,'Paramètres'!$D:$D,0))&amp;"",""))</f>
        <v/>
      </c>
      <c r="T4714" s="6" t="str">
        <f>IF($K4714="","",IF($S4714="",0,IF(ISNUMBER(SEARCH("apport-exterieur",IFERROR(INDEX('Paramètres'!$N:$N,MATCH($D4714,'Paramètres'!$M:$M,0))&amp;"",""))),0,IF(OR(IFERROR(INDEX('Paramètres'!$I:$I,MATCH($C4714,'Paramètres'!$D:$D,0))&amp;"","")="Les deux",IFERROR(INDEX('Paramètres'!$I:$I,MATCH($C4714,'Paramètres'!$D:$D,0))&amp;"","")=IF($P4714=1,"Débit",$L4714)),-IF($P4714=1,-$K4714,$K4714),0))))</f>
        <v/>
      </c>
      <c r="U4714" s="6" t="str">
        <f>IF($K4714="","",IF(ISNUMBER(SEARCH("sortie-epargne",IFERROR(INDEX('Paramètres'!$N:$N,MATCH($D4714,'Paramètres'!$M:$M,0))&amp;"",""))),$K4714,0))</f>
        <v/>
      </c>
      <c r="V4714" s="6" t="str">
        <f>IF(AND($A4714&lt;&gt;"",$O4714=1,$L4714="Débit",N($Q4714)&gt;0,$A4714&gt;=Visualisation!$B$1,$A4714&lt;Visualisation!$D$1),MAX($V$1:V4713)+1,"")</f>
        <v/>
      </c>
    </row>
    <row r="4715" spans="1:22" x14ac:dyDescent="0.25">
      <c r="A4715" s="9"/>
      <c r="E4715" s="10"/>
      <c r="K4715" s="11" t="str">
        <f>IF($E4715="","",ROUND($E4715*IF(ISNA(MATCH($C4715,'Paramètres'!$D:$D,0)),1,IF(INDEX('Paramètres'!$J:$J,MATCH($C4715,'Paramètres'!$D:$D,0))="",1,INDEX('Paramètres'!$J:$J,MATCH($C4715,'Paramètres'!$D:$D,0)))),2))</f>
        <v/>
      </c>
      <c r="L4715" s="6" t="str">
        <f>IF($D4715="","",IF($F4715&lt;&gt;"",$F4715,IF(ISNA(MATCH($D4715,'Paramètres'!$M:$M,0)),"⚠ Type inconnu",IFERROR(INDEX('Paramètres'!$P:$P,MATCH($D4715,'Paramètres'!$M:$M,0))&amp;"",""))))</f>
        <v/>
      </c>
      <c r="M4715" s="6" t="str">
        <f>IF($D4715="","",IF(ISNA(MATCH($D4715,'Paramètres'!$M:$M,0)),"⚠ Type inconnu",IF($L4715="Crédit","",IFERROR(INDEX('Paramètres'!$O:$O,MATCH($D4715,'Paramètres'!$M:$M,0))&amp;"",""))))</f>
        <v/>
      </c>
      <c r="N4715" s="6" t="str">
        <f>IF($D4715="","",IFERROR(INDEX('Paramètres'!$Q:$Q,MATCH($D4715,'Paramètres'!$M:$M,0))&amp;"",""))</f>
        <v/>
      </c>
      <c r="O4715" s="6" t="str">
        <f>IF($A4715="","",IF(OR($J4715&lt;&gt;"x",$A4715&lt;=FinReleve),1,0))</f>
        <v/>
      </c>
      <c r="P4715" s="6" t="str">
        <f>IF($D4715="","",IF(AND($L4715="Crédit",OR(IFERROR(INDEX('Paramètres'!$O:$O,MATCH($D4715,'Paramètres'!$M:$M,0))&amp;"","")&lt;&gt;"",ISNUMBER(SEARCH("remboursement",IFERROR(INDEX('Paramètres'!$N:$N,MATCH($D4715,'Paramètres'!$M:$M,0))&amp;"",""))))),1,0))</f>
        <v/>
      </c>
      <c r="Q4715" s="6" t="str">
        <f>IF($K4715="","",IF(ISNUMBER(SEARCH("transfert-interne",IFERROR(INDEX('Paramètres'!$N:$N,MATCH($D4715,'Paramètres'!$M:$M,0))&amp;"",""))),0,IF($L4715="Débit",$K4715,IF($P4715=1,-$K4715,0))))</f>
        <v/>
      </c>
      <c r="R4715" s="6" t="str">
        <f>IF($K4715="","",IF($L4715="Crédit",$K4715,-$K4715))</f>
        <v/>
      </c>
      <c r="S4715" s="6" t="str">
        <f>IF($C4715="","",IFERROR(INDEX('Paramètres'!$H:$H,MATCH($C4715,'Paramètres'!$D:$D,0))&amp;"",""))</f>
        <v/>
      </c>
      <c r="T4715" s="6" t="str">
        <f>IF($K4715="","",IF($S4715="",0,IF(ISNUMBER(SEARCH("apport-exterieur",IFERROR(INDEX('Paramètres'!$N:$N,MATCH($D4715,'Paramètres'!$M:$M,0))&amp;"",""))),0,IF(OR(IFERROR(INDEX('Paramètres'!$I:$I,MATCH($C4715,'Paramètres'!$D:$D,0))&amp;"","")="Les deux",IFERROR(INDEX('Paramètres'!$I:$I,MATCH($C4715,'Paramètres'!$D:$D,0))&amp;"","")=IF($P4715=1,"Débit",$L4715)),-IF($P4715=1,-$K4715,$K4715),0))))</f>
        <v/>
      </c>
      <c r="U4715" s="6" t="str">
        <f>IF($K4715="","",IF(ISNUMBER(SEARCH("sortie-epargne",IFERROR(INDEX('Paramètres'!$N:$N,MATCH($D4715,'Paramètres'!$M:$M,0))&amp;"",""))),$K4715,0))</f>
        <v/>
      </c>
      <c r="V4715" s="6" t="str">
        <f>IF(AND($A4715&lt;&gt;"",$O4715=1,$L4715="Débit",N($Q4715)&gt;0,$A4715&gt;=Visualisation!$B$1,$A4715&lt;Visualisation!$D$1),MAX($V$1:V4714)+1,"")</f>
        <v/>
      </c>
    </row>
    <row r="4716" spans="1:22" x14ac:dyDescent="0.25">
      <c r="A4716" s="9"/>
      <c r="E4716" s="10"/>
      <c r="K4716" s="11" t="str">
        <f>IF($E4716="","",ROUND($E4716*IF(ISNA(MATCH($C4716,'Paramètres'!$D:$D,0)),1,IF(INDEX('Paramètres'!$J:$J,MATCH($C4716,'Paramètres'!$D:$D,0))="",1,INDEX('Paramètres'!$J:$J,MATCH($C4716,'Paramètres'!$D:$D,0)))),2))</f>
        <v/>
      </c>
      <c r="L4716" s="6" t="str">
        <f>IF($D4716="","",IF($F4716&lt;&gt;"",$F4716,IF(ISNA(MATCH($D4716,'Paramètres'!$M:$M,0)),"⚠ Type inconnu",IFERROR(INDEX('Paramètres'!$P:$P,MATCH($D4716,'Paramètres'!$M:$M,0))&amp;"",""))))</f>
        <v/>
      </c>
      <c r="M4716" s="6" t="str">
        <f>IF($D4716="","",IF(ISNA(MATCH($D4716,'Paramètres'!$M:$M,0)),"⚠ Type inconnu",IF($L4716="Crédit","",IFERROR(INDEX('Paramètres'!$O:$O,MATCH($D4716,'Paramètres'!$M:$M,0))&amp;"",""))))</f>
        <v/>
      </c>
      <c r="N4716" s="6" t="str">
        <f>IF($D4716="","",IFERROR(INDEX('Paramètres'!$Q:$Q,MATCH($D4716,'Paramètres'!$M:$M,0))&amp;"",""))</f>
        <v/>
      </c>
      <c r="O4716" s="6" t="str">
        <f>IF($A4716="","",IF(OR($J4716&lt;&gt;"x",$A4716&lt;=FinReleve),1,0))</f>
        <v/>
      </c>
      <c r="P4716" s="6" t="str">
        <f>IF($D4716="","",IF(AND($L4716="Crédit",OR(IFERROR(INDEX('Paramètres'!$O:$O,MATCH($D4716,'Paramètres'!$M:$M,0))&amp;"","")&lt;&gt;"",ISNUMBER(SEARCH("remboursement",IFERROR(INDEX('Paramètres'!$N:$N,MATCH($D4716,'Paramètres'!$M:$M,0))&amp;"",""))))),1,0))</f>
        <v/>
      </c>
      <c r="Q4716" s="6" t="str">
        <f>IF($K4716="","",IF(ISNUMBER(SEARCH("transfert-interne",IFERROR(INDEX('Paramètres'!$N:$N,MATCH($D4716,'Paramètres'!$M:$M,0))&amp;"",""))),0,IF($L4716="Débit",$K4716,IF($P4716=1,-$K4716,0))))</f>
        <v/>
      </c>
      <c r="R4716" s="6" t="str">
        <f>IF($K4716="","",IF($L4716="Crédit",$K4716,-$K4716))</f>
        <v/>
      </c>
      <c r="S4716" s="6" t="str">
        <f>IF($C4716="","",IFERROR(INDEX('Paramètres'!$H:$H,MATCH($C4716,'Paramètres'!$D:$D,0))&amp;"",""))</f>
        <v/>
      </c>
      <c r="T4716" s="6" t="str">
        <f>IF($K4716="","",IF($S4716="",0,IF(ISNUMBER(SEARCH("apport-exterieur",IFERROR(INDEX('Paramètres'!$N:$N,MATCH($D4716,'Paramètres'!$M:$M,0))&amp;"",""))),0,IF(OR(IFERROR(INDEX('Paramètres'!$I:$I,MATCH($C4716,'Paramètres'!$D:$D,0))&amp;"","")="Les deux",IFERROR(INDEX('Paramètres'!$I:$I,MATCH($C4716,'Paramètres'!$D:$D,0))&amp;"","")=IF($P4716=1,"Débit",$L4716)),-IF($P4716=1,-$K4716,$K4716),0))))</f>
        <v/>
      </c>
      <c r="U4716" s="6" t="str">
        <f>IF($K4716="","",IF(ISNUMBER(SEARCH("sortie-epargne",IFERROR(INDEX('Paramètres'!$N:$N,MATCH($D4716,'Paramètres'!$M:$M,0))&amp;"",""))),$K4716,0))</f>
        <v/>
      </c>
      <c r="V4716" s="6" t="str">
        <f>IF(AND($A4716&lt;&gt;"",$O4716=1,$L4716="Débit",N($Q4716)&gt;0,$A4716&gt;=Visualisation!$B$1,$A4716&lt;Visualisation!$D$1),MAX($V$1:V4715)+1,"")</f>
        <v/>
      </c>
    </row>
    <row r="4717" spans="1:22" x14ac:dyDescent="0.25">
      <c r="A4717" s="9"/>
      <c r="E4717" s="10"/>
      <c r="K4717" s="11" t="str">
        <f>IF($E4717="","",ROUND($E4717*IF(ISNA(MATCH($C4717,'Paramètres'!$D:$D,0)),1,IF(INDEX('Paramètres'!$J:$J,MATCH($C4717,'Paramètres'!$D:$D,0))="",1,INDEX('Paramètres'!$J:$J,MATCH($C4717,'Paramètres'!$D:$D,0)))),2))</f>
        <v/>
      </c>
      <c r="L4717" s="6" t="str">
        <f>IF($D4717="","",IF($F4717&lt;&gt;"",$F4717,IF(ISNA(MATCH($D4717,'Paramètres'!$M:$M,0)),"⚠ Type inconnu",IFERROR(INDEX('Paramètres'!$P:$P,MATCH($D4717,'Paramètres'!$M:$M,0))&amp;"",""))))</f>
        <v/>
      </c>
      <c r="M4717" s="6" t="str">
        <f>IF($D4717="","",IF(ISNA(MATCH($D4717,'Paramètres'!$M:$M,0)),"⚠ Type inconnu",IF($L4717="Crédit","",IFERROR(INDEX('Paramètres'!$O:$O,MATCH($D4717,'Paramètres'!$M:$M,0))&amp;"",""))))</f>
        <v/>
      </c>
      <c r="N4717" s="6" t="str">
        <f>IF($D4717="","",IFERROR(INDEX('Paramètres'!$Q:$Q,MATCH($D4717,'Paramètres'!$M:$M,0))&amp;"",""))</f>
        <v/>
      </c>
      <c r="O4717" s="6" t="str">
        <f>IF($A4717="","",IF(OR($J4717&lt;&gt;"x",$A4717&lt;=FinReleve),1,0))</f>
        <v/>
      </c>
      <c r="P4717" s="6" t="str">
        <f>IF($D4717="","",IF(AND($L4717="Crédit",OR(IFERROR(INDEX('Paramètres'!$O:$O,MATCH($D4717,'Paramètres'!$M:$M,0))&amp;"","")&lt;&gt;"",ISNUMBER(SEARCH("remboursement",IFERROR(INDEX('Paramètres'!$N:$N,MATCH($D4717,'Paramètres'!$M:$M,0))&amp;"",""))))),1,0))</f>
        <v/>
      </c>
      <c r="Q4717" s="6" t="str">
        <f>IF($K4717="","",IF(ISNUMBER(SEARCH("transfert-interne",IFERROR(INDEX('Paramètres'!$N:$N,MATCH($D4717,'Paramètres'!$M:$M,0))&amp;"",""))),0,IF($L4717="Débit",$K4717,IF($P4717=1,-$K4717,0))))</f>
        <v/>
      </c>
      <c r="R4717" s="6" t="str">
        <f>IF($K4717="","",IF($L4717="Crédit",$K4717,-$K4717))</f>
        <v/>
      </c>
      <c r="S4717" s="6" t="str">
        <f>IF($C4717="","",IFERROR(INDEX('Paramètres'!$H:$H,MATCH($C4717,'Paramètres'!$D:$D,0))&amp;"",""))</f>
        <v/>
      </c>
      <c r="T4717" s="6" t="str">
        <f>IF($K4717="","",IF($S4717="",0,IF(ISNUMBER(SEARCH("apport-exterieur",IFERROR(INDEX('Paramètres'!$N:$N,MATCH($D4717,'Paramètres'!$M:$M,0))&amp;"",""))),0,IF(OR(IFERROR(INDEX('Paramètres'!$I:$I,MATCH($C4717,'Paramètres'!$D:$D,0))&amp;"","")="Les deux",IFERROR(INDEX('Paramètres'!$I:$I,MATCH($C4717,'Paramètres'!$D:$D,0))&amp;"","")=IF($P4717=1,"Débit",$L4717)),-IF($P4717=1,-$K4717,$K4717),0))))</f>
        <v/>
      </c>
      <c r="U4717" s="6" t="str">
        <f>IF($K4717="","",IF(ISNUMBER(SEARCH("sortie-epargne",IFERROR(INDEX('Paramètres'!$N:$N,MATCH($D4717,'Paramètres'!$M:$M,0))&amp;"",""))),$K4717,0))</f>
        <v/>
      </c>
      <c r="V4717" s="6" t="str">
        <f>IF(AND($A4717&lt;&gt;"",$O4717=1,$L4717="Débit",N($Q4717)&gt;0,$A4717&gt;=Visualisation!$B$1,$A4717&lt;Visualisation!$D$1),MAX($V$1:V4716)+1,"")</f>
        <v/>
      </c>
    </row>
    <row r="4718" spans="1:22" x14ac:dyDescent="0.25">
      <c r="A4718" s="9"/>
      <c r="E4718" s="10"/>
      <c r="K4718" s="11" t="str">
        <f>IF($E4718="","",ROUND($E4718*IF(ISNA(MATCH($C4718,'Paramètres'!$D:$D,0)),1,IF(INDEX('Paramètres'!$J:$J,MATCH($C4718,'Paramètres'!$D:$D,0))="",1,INDEX('Paramètres'!$J:$J,MATCH($C4718,'Paramètres'!$D:$D,0)))),2))</f>
        <v/>
      </c>
      <c r="L4718" s="6" t="str">
        <f>IF($D4718="","",IF($F4718&lt;&gt;"",$F4718,IF(ISNA(MATCH($D4718,'Paramètres'!$M:$M,0)),"⚠ Type inconnu",IFERROR(INDEX('Paramètres'!$P:$P,MATCH($D4718,'Paramètres'!$M:$M,0))&amp;"",""))))</f>
        <v/>
      </c>
      <c r="M4718" s="6" t="str">
        <f>IF($D4718="","",IF(ISNA(MATCH($D4718,'Paramètres'!$M:$M,0)),"⚠ Type inconnu",IF($L4718="Crédit","",IFERROR(INDEX('Paramètres'!$O:$O,MATCH($D4718,'Paramètres'!$M:$M,0))&amp;"",""))))</f>
        <v/>
      </c>
      <c r="N4718" s="6" t="str">
        <f>IF($D4718="","",IFERROR(INDEX('Paramètres'!$Q:$Q,MATCH($D4718,'Paramètres'!$M:$M,0))&amp;"",""))</f>
        <v/>
      </c>
      <c r="O4718" s="6" t="str">
        <f>IF($A4718="","",IF(OR($J4718&lt;&gt;"x",$A4718&lt;=FinReleve),1,0))</f>
        <v/>
      </c>
      <c r="P4718" s="6" t="str">
        <f>IF($D4718="","",IF(AND($L4718="Crédit",OR(IFERROR(INDEX('Paramètres'!$O:$O,MATCH($D4718,'Paramètres'!$M:$M,0))&amp;"","")&lt;&gt;"",ISNUMBER(SEARCH("remboursement",IFERROR(INDEX('Paramètres'!$N:$N,MATCH($D4718,'Paramètres'!$M:$M,0))&amp;"",""))))),1,0))</f>
        <v/>
      </c>
      <c r="Q4718" s="6" t="str">
        <f>IF($K4718="","",IF(ISNUMBER(SEARCH("transfert-interne",IFERROR(INDEX('Paramètres'!$N:$N,MATCH($D4718,'Paramètres'!$M:$M,0))&amp;"",""))),0,IF($L4718="Débit",$K4718,IF($P4718=1,-$K4718,0))))</f>
        <v/>
      </c>
      <c r="R4718" s="6" t="str">
        <f>IF($K4718="","",IF($L4718="Crédit",$K4718,-$K4718))</f>
        <v/>
      </c>
      <c r="S4718" s="6" t="str">
        <f>IF($C4718="","",IFERROR(INDEX('Paramètres'!$H:$H,MATCH($C4718,'Paramètres'!$D:$D,0))&amp;"",""))</f>
        <v/>
      </c>
      <c r="T4718" s="6" t="str">
        <f>IF($K4718="","",IF($S4718="",0,IF(ISNUMBER(SEARCH("apport-exterieur",IFERROR(INDEX('Paramètres'!$N:$N,MATCH($D4718,'Paramètres'!$M:$M,0))&amp;"",""))),0,IF(OR(IFERROR(INDEX('Paramètres'!$I:$I,MATCH($C4718,'Paramètres'!$D:$D,0))&amp;"","")="Les deux",IFERROR(INDEX('Paramètres'!$I:$I,MATCH($C4718,'Paramètres'!$D:$D,0))&amp;"","")=IF($P4718=1,"Débit",$L4718)),-IF($P4718=1,-$K4718,$K4718),0))))</f>
        <v/>
      </c>
      <c r="U4718" s="6" t="str">
        <f>IF($K4718="","",IF(ISNUMBER(SEARCH("sortie-epargne",IFERROR(INDEX('Paramètres'!$N:$N,MATCH($D4718,'Paramètres'!$M:$M,0))&amp;"",""))),$K4718,0))</f>
        <v/>
      </c>
      <c r="V4718" s="6" t="str">
        <f>IF(AND($A4718&lt;&gt;"",$O4718=1,$L4718="Débit",N($Q4718)&gt;0,$A4718&gt;=Visualisation!$B$1,$A4718&lt;Visualisation!$D$1),MAX($V$1:V4717)+1,"")</f>
        <v/>
      </c>
    </row>
    <row r="4719" spans="1:22" x14ac:dyDescent="0.25">
      <c r="A4719" s="9"/>
      <c r="E4719" s="10"/>
      <c r="K4719" s="11" t="str">
        <f>IF($E4719="","",ROUND($E4719*IF(ISNA(MATCH($C4719,'Paramètres'!$D:$D,0)),1,IF(INDEX('Paramètres'!$J:$J,MATCH($C4719,'Paramètres'!$D:$D,0))="",1,INDEX('Paramètres'!$J:$J,MATCH($C4719,'Paramètres'!$D:$D,0)))),2))</f>
        <v/>
      </c>
      <c r="L4719" s="6" t="str">
        <f>IF($D4719="","",IF($F4719&lt;&gt;"",$F4719,IF(ISNA(MATCH($D4719,'Paramètres'!$M:$M,0)),"⚠ Type inconnu",IFERROR(INDEX('Paramètres'!$P:$P,MATCH($D4719,'Paramètres'!$M:$M,0))&amp;"",""))))</f>
        <v/>
      </c>
      <c r="M4719" s="6" t="str">
        <f>IF($D4719="","",IF(ISNA(MATCH($D4719,'Paramètres'!$M:$M,0)),"⚠ Type inconnu",IF($L4719="Crédit","",IFERROR(INDEX('Paramètres'!$O:$O,MATCH($D4719,'Paramètres'!$M:$M,0))&amp;"",""))))</f>
        <v/>
      </c>
      <c r="N4719" s="6" t="str">
        <f>IF($D4719="","",IFERROR(INDEX('Paramètres'!$Q:$Q,MATCH($D4719,'Paramètres'!$M:$M,0))&amp;"",""))</f>
        <v/>
      </c>
      <c r="O4719" s="6" t="str">
        <f>IF($A4719="","",IF(OR($J4719&lt;&gt;"x",$A4719&lt;=FinReleve),1,0))</f>
        <v/>
      </c>
      <c r="P4719" s="6" t="str">
        <f>IF($D4719="","",IF(AND($L4719="Crédit",OR(IFERROR(INDEX('Paramètres'!$O:$O,MATCH($D4719,'Paramètres'!$M:$M,0))&amp;"","")&lt;&gt;"",ISNUMBER(SEARCH("remboursement",IFERROR(INDEX('Paramètres'!$N:$N,MATCH($D4719,'Paramètres'!$M:$M,0))&amp;"",""))))),1,0))</f>
        <v/>
      </c>
      <c r="Q4719" s="6" t="str">
        <f>IF($K4719="","",IF(ISNUMBER(SEARCH("transfert-interne",IFERROR(INDEX('Paramètres'!$N:$N,MATCH($D4719,'Paramètres'!$M:$M,0))&amp;"",""))),0,IF($L4719="Débit",$K4719,IF($P4719=1,-$K4719,0))))</f>
        <v/>
      </c>
      <c r="R4719" s="6" t="str">
        <f>IF($K4719="","",IF($L4719="Crédit",$K4719,-$K4719))</f>
        <v/>
      </c>
      <c r="S4719" s="6" t="str">
        <f>IF($C4719="","",IFERROR(INDEX('Paramètres'!$H:$H,MATCH($C4719,'Paramètres'!$D:$D,0))&amp;"",""))</f>
        <v/>
      </c>
      <c r="T4719" s="6" t="str">
        <f>IF($K4719="","",IF($S4719="",0,IF(ISNUMBER(SEARCH("apport-exterieur",IFERROR(INDEX('Paramètres'!$N:$N,MATCH($D4719,'Paramètres'!$M:$M,0))&amp;"",""))),0,IF(OR(IFERROR(INDEX('Paramètres'!$I:$I,MATCH($C4719,'Paramètres'!$D:$D,0))&amp;"","")="Les deux",IFERROR(INDEX('Paramètres'!$I:$I,MATCH($C4719,'Paramètres'!$D:$D,0))&amp;"","")=IF($P4719=1,"Débit",$L4719)),-IF($P4719=1,-$K4719,$K4719),0))))</f>
        <v/>
      </c>
      <c r="U4719" s="6" t="str">
        <f>IF($K4719="","",IF(ISNUMBER(SEARCH("sortie-epargne",IFERROR(INDEX('Paramètres'!$N:$N,MATCH($D4719,'Paramètres'!$M:$M,0))&amp;"",""))),$K4719,0))</f>
        <v/>
      </c>
      <c r="V4719" s="6" t="str">
        <f>IF(AND($A4719&lt;&gt;"",$O4719=1,$L4719="Débit",N($Q4719)&gt;0,$A4719&gt;=Visualisation!$B$1,$A4719&lt;Visualisation!$D$1),MAX($V$1:V4718)+1,"")</f>
        <v/>
      </c>
    </row>
    <row r="4720" spans="1:22" x14ac:dyDescent="0.25">
      <c r="A4720" s="9"/>
      <c r="E4720" s="10"/>
      <c r="K4720" s="11" t="str">
        <f>IF($E4720="","",ROUND($E4720*IF(ISNA(MATCH($C4720,'Paramètres'!$D:$D,0)),1,IF(INDEX('Paramètres'!$J:$J,MATCH($C4720,'Paramètres'!$D:$D,0))="",1,INDEX('Paramètres'!$J:$J,MATCH($C4720,'Paramètres'!$D:$D,0)))),2))</f>
        <v/>
      </c>
      <c r="L4720" s="6" t="str">
        <f>IF($D4720="","",IF($F4720&lt;&gt;"",$F4720,IF(ISNA(MATCH($D4720,'Paramètres'!$M:$M,0)),"⚠ Type inconnu",IFERROR(INDEX('Paramètres'!$P:$P,MATCH($D4720,'Paramètres'!$M:$M,0))&amp;"",""))))</f>
        <v/>
      </c>
      <c r="M4720" s="6" t="str">
        <f>IF($D4720="","",IF(ISNA(MATCH($D4720,'Paramètres'!$M:$M,0)),"⚠ Type inconnu",IF($L4720="Crédit","",IFERROR(INDEX('Paramètres'!$O:$O,MATCH($D4720,'Paramètres'!$M:$M,0))&amp;"",""))))</f>
        <v/>
      </c>
      <c r="N4720" s="6" t="str">
        <f>IF($D4720="","",IFERROR(INDEX('Paramètres'!$Q:$Q,MATCH($D4720,'Paramètres'!$M:$M,0))&amp;"",""))</f>
        <v/>
      </c>
      <c r="O4720" s="6" t="str">
        <f>IF($A4720="","",IF(OR($J4720&lt;&gt;"x",$A4720&lt;=FinReleve),1,0))</f>
        <v/>
      </c>
      <c r="P4720" s="6" t="str">
        <f>IF($D4720="","",IF(AND($L4720="Crédit",OR(IFERROR(INDEX('Paramètres'!$O:$O,MATCH($D4720,'Paramètres'!$M:$M,0))&amp;"","")&lt;&gt;"",ISNUMBER(SEARCH("remboursement",IFERROR(INDEX('Paramètres'!$N:$N,MATCH($D4720,'Paramètres'!$M:$M,0))&amp;"",""))))),1,0))</f>
        <v/>
      </c>
      <c r="Q4720" s="6" t="str">
        <f>IF($K4720="","",IF(ISNUMBER(SEARCH("transfert-interne",IFERROR(INDEX('Paramètres'!$N:$N,MATCH($D4720,'Paramètres'!$M:$M,0))&amp;"",""))),0,IF($L4720="Débit",$K4720,IF($P4720=1,-$K4720,0))))</f>
        <v/>
      </c>
      <c r="R4720" s="6" t="str">
        <f>IF($K4720="","",IF($L4720="Crédit",$K4720,-$K4720))</f>
        <v/>
      </c>
      <c r="S4720" s="6" t="str">
        <f>IF($C4720="","",IFERROR(INDEX('Paramètres'!$H:$H,MATCH($C4720,'Paramètres'!$D:$D,0))&amp;"",""))</f>
        <v/>
      </c>
      <c r="T4720" s="6" t="str">
        <f>IF($K4720="","",IF($S4720="",0,IF(ISNUMBER(SEARCH("apport-exterieur",IFERROR(INDEX('Paramètres'!$N:$N,MATCH($D4720,'Paramètres'!$M:$M,0))&amp;"",""))),0,IF(OR(IFERROR(INDEX('Paramètres'!$I:$I,MATCH($C4720,'Paramètres'!$D:$D,0))&amp;"","")="Les deux",IFERROR(INDEX('Paramètres'!$I:$I,MATCH($C4720,'Paramètres'!$D:$D,0))&amp;"","")=IF($P4720=1,"Débit",$L4720)),-IF($P4720=1,-$K4720,$K4720),0))))</f>
        <v/>
      </c>
      <c r="U4720" s="6" t="str">
        <f>IF($K4720="","",IF(ISNUMBER(SEARCH("sortie-epargne",IFERROR(INDEX('Paramètres'!$N:$N,MATCH($D4720,'Paramètres'!$M:$M,0))&amp;"",""))),$K4720,0))</f>
        <v/>
      </c>
      <c r="V4720" s="6" t="str">
        <f>IF(AND($A4720&lt;&gt;"",$O4720=1,$L4720="Débit",N($Q4720)&gt;0,$A4720&gt;=Visualisation!$B$1,$A4720&lt;Visualisation!$D$1),MAX($V$1:V4719)+1,"")</f>
        <v/>
      </c>
    </row>
    <row r="4721" spans="1:22" x14ac:dyDescent="0.25">
      <c r="A4721" s="9"/>
      <c r="E4721" s="10"/>
      <c r="K4721" s="11" t="str">
        <f>IF($E4721="","",ROUND($E4721*IF(ISNA(MATCH($C4721,'Paramètres'!$D:$D,0)),1,IF(INDEX('Paramètres'!$J:$J,MATCH($C4721,'Paramètres'!$D:$D,0))="",1,INDEX('Paramètres'!$J:$J,MATCH($C4721,'Paramètres'!$D:$D,0)))),2))</f>
        <v/>
      </c>
      <c r="L4721" s="6" t="str">
        <f>IF($D4721="","",IF($F4721&lt;&gt;"",$F4721,IF(ISNA(MATCH($D4721,'Paramètres'!$M:$M,0)),"⚠ Type inconnu",IFERROR(INDEX('Paramètres'!$P:$P,MATCH($D4721,'Paramètres'!$M:$M,0))&amp;"",""))))</f>
        <v/>
      </c>
      <c r="M4721" s="6" t="str">
        <f>IF($D4721="","",IF(ISNA(MATCH($D4721,'Paramètres'!$M:$M,0)),"⚠ Type inconnu",IF($L4721="Crédit","",IFERROR(INDEX('Paramètres'!$O:$O,MATCH($D4721,'Paramètres'!$M:$M,0))&amp;"",""))))</f>
        <v/>
      </c>
      <c r="N4721" s="6" t="str">
        <f>IF($D4721="","",IFERROR(INDEX('Paramètres'!$Q:$Q,MATCH($D4721,'Paramètres'!$M:$M,0))&amp;"",""))</f>
        <v/>
      </c>
      <c r="O4721" s="6" t="str">
        <f>IF($A4721="","",IF(OR($J4721&lt;&gt;"x",$A4721&lt;=FinReleve),1,0))</f>
        <v/>
      </c>
      <c r="P4721" s="6" t="str">
        <f>IF($D4721="","",IF(AND($L4721="Crédit",OR(IFERROR(INDEX('Paramètres'!$O:$O,MATCH($D4721,'Paramètres'!$M:$M,0))&amp;"","")&lt;&gt;"",ISNUMBER(SEARCH("remboursement",IFERROR(INDEX('Paramètres'!$N:$N,MATCH($D4721,'Paramètres'!$M:$M,0))&amp;"",""))))),1,0))</f>
        <v/>
      </c>
      <c r="Q4721" s="6" t="str">
        <f>IF($K4721="","",IF(ISNUMBER(SEARCH("transfert-interne",IFERROR(INDEX('Paramètres'!$N:$N,MATCH($D4721,'Paramètres'!$M:$M,0))&amp;"",""))),0,IF($L4721="Débit",$K4721,IF($P4721=1,-$K4721,0))))</f>
        <v/>
      </c>
      <c r="R4721" s="6" t="str">
        <f>IF($K4721="","",IF($L4721="Crédit",$K4721,-$K4721))</f>
        <v/>
      </c>
      <c r="S4721" s="6" t="str">
        <f>IF($C4721="","",IFERROR(INDEX('Paramètres'!$H:$H,MATCH($C4721,'Paramètres'!$D:$D,0))&amp;"",""))</f>
        <v/>
      </c>
      <c r="T4721" s="6" t="str">
        <f>IF($K4721="","",IF($S4721="",0,IF(ISNUMBER(SEARCH("apport-exterieur",IFERROR(INDEX('Paramètres'!$N:$N,MATCH($D4721,'Paramètres'!$M:$M,0))&amp;"",""))),0,IF(OR(IFERROR(INDEX('Paramètres'!$I:$I,MATCH($C4721,'Paramètres'!$D:$D,0))&amp;"","")="Les deux",IFERROR(INDEX('Paramètres'!$I:$I,MATCH($C4721,'Paramètres'!$D:$D,0))&amp;"","")=IF($P4721=1,"Débit",$L4721)),-IF($P4721=1,-$K4721,$K4721),0))))</f>
        <v/>
      </c>
      <c r="U4721" s="6" t="str">
        <f>IF($K4721="","",IF(ISNUMBER(SEARCH("sortie-epargne",IFERROR(INDEX('Paramètres'!$N:$N,MATCH($D4721,'Paramètres'!$M:$M,0))&amp;"",""))),$K4721,0))</f>
        <v/>
      </c>
      <c r="V4721" s="6" t="str">
        <f>IF(AND($A4721&lt;&gt;"",$O4721=1,$L4721="Débit",N($Q4721)&gt;0,$A4721&gt;=Visualisation!$B$1,$A4721&lt;Visualisation!$D$1),MAX($V$1:V4720)+1,"")</f>
        <v/>
      </c>
    </row>
    <row r="4722" spans="1:22" x14ac:dyDescent="0.25">
      <c r="A4722" s="9"/>
      <c r="E4722" s="10"/>
      <c r="K4722" s="11" t="str">
        <f>IF($E4722="","",ROUND($E4722*IF(ISNA(MATCH($C4722,'Paramètres'!$D:$D,0)),1,IF(INDEX('Paramètres'!$J:$J,MATCH($C4722,'Paramètres'!$D:$D,0))="",1,INDEX('Paramètres'!$J:$J,MATCH($C4722,'Paramètres'!$D:$D,0)))),2))</f>
        <v/>
      </c>
      <c r="L4722" s="6" t="str">
        <f>IF($D4722="","",IF($F4722&lt;&gt;"",$F4722,IF(ISNA(MATCH($D4722,'Paramètres'!$M:$M,0)),"⚠ Type inconnu",IFERROR(INDEX('Paramètres'!$P:$P,MATCH($D4722,'Paramètres'!$M:$M,0))&amp;"",""))))</f>
        <v/>
      </c>
      <c r="M4722" s="6" t="str">
        <f>IF($D4722="","",IF(ISNA(MATCH($D4722,'Paramètres'!$M:$M,0)),"⚠ Type inconnu",IF($L4722="Crédit","",IFERROR(INDEX('Paramètres'!$O:$O,MATCH($D4722,'Paramètres'!$M:$M,0))&amp;"",""))))</f>
        <v/>
      </c>
      <c r="N4722" s="6" t="str">
        <f>IF($D4722="","",IFERROR(INDEX('Paramètres'!$Q:$Q,MATCH($D4722,'Paramètres'!$M:$M,0))&amp;"",""))</f>
        <v/>
      </c>
      <c r="O4722" s="6" t="str">
        <f>IF($A4722="","",IF(OR($J4722&lt;&gt;"x",$A4722&lt;=FinReleve),1,0))</f>
        <v/>
      </c>
      <c r="P4722" s="6" t="str">
        <f>IF($D4722="","",IF(AND($L4722="Crédit",OR(IFERROR(INDEX('Paramètres'!$O:$O,MATCH($D4722,'Paramètres'!$M:$M,0))&amp;"","")&lt;&gt;"",ISNUMBER(SEARCH("remboursement",IFERROR(INDEX('Paramètres'!$N:$N,MATCH($D4722,'Paramètres'!$M:$M,0))&amp;"",""))))),1,0))</f>
        <v/>
      </c>
      <c r="Q4722" s="6" t="str">
        <f>IF($K4722="","",IF(ISNUMBER(SEARCH("transfert-interne",IFERROR(INDEX('Paramètres'!$N:$N,MATCH($D4722,'Paramètres'!$M:$M,0))&amp;"",""))),0,IF($L4722="Débit",$K4722,IF($P4722=1,-$K4722,0))))</f>
        <v/>
      </c>
      <c r="R4722" s="6" t="str">
        <f>IF($K4722="","",IF($L4722="Crédit",$K4722,-$K4722))</f>
        <v/>
      </c>
      <c r="S4722" s="6" t="str">
        <f>IF($C4722="","",IFERROR(INDEX('Paramètres'!$H:$H,MATCH($C4722,'Paramètres'!$D:$D,0))&amp;"",""))</f>
        <v/>
      </c>
      <c r="T4722" s="6" t="str">
        <f>IF($K4722="","",IF($S4722="",0,IF(ISNUMBER(SEARCH("apport-exterieur",IFERROR(INDEX('Paramètres'!$N:$N,MATCH($D4722,'Paramètres'!$M:$M,0))&amp;"",""))),0,IF(OR(IFERROR(INDEX('Paramètres'!$I:$I,MATCH($C4722,'Paramètres'!$D:$D,0))&amp;"","")="Les deux",IFERROR(INDEX('Paramètres'!$I:$I,MATCH($C4722,'Paramètres'!$D:$D,0))&amp;"","")=IF($P4722=1,"Débit",$L4722)),-IF($P4722=1,-$K4722,$K4722),0))))</f>
        <v/>
      </c>
      <c r="U4722" s="6" t="str">
        <f>IF($K4722="","",IF(ISNUMBER(SEARCH("sortie-epargne",IFERROR(INDEX('Paramètres'!$N:$N,MATCH($D4722,'Paramètres'!$M:$M,0))&amp;"",""))),$K4722,0))</f>
        <v/>
      </c>
      <c r="V4722" s="6" t="str">
        <f>IF(AND($A4722&lt;&gt;"",$O4722=1,$L4722="Débit",N($Q4722)&gt;0,$A4722&gt;=Visualisation!$B$1,$A4722&lt;Visualisation!$D$1),MAX($V$1:V4721)+1,"")</f>
        <v/>
      </c>
    </row>
    <row r="4723" spans="1:22" x14ac:dyDescent="0.25">
      <c r="A4723" s="9"/>
      <c r="E4723" s="10"/>
      <c r="K4723" s="11" t="str">
        <f>IF($E4723="","",ROUND($E4723*IF(ISNA(MATCH($C4723,'Paramètres'!$D:$D,0)),1,IF(INDEX('Paramètres'!$J:$J,MATCH($C4723,'Paramètres'!$D:$D,0))="",1,INDEX('Paramètres'!$J:$J,MATCH($C4723,'Paramètres'!$D:$D,0)))),2))</f>
        <v/>
      </c>
      <c r="L4723" s="6" t="str">
        <f>IF($D4723="","",IF($F4723&lt;&gt;"",$F4723,IF(ISNA(MATCH($D4723,'Paramètres'!$M:$M,0)),"⚠ Type inconnu",IFERROR(INDEX('Paramètres'!$P:$P,MATCH($D4723,'Paramètres'!$M:$M,0))&amp;"",""))))</f>
        <v/>
      </c>
      <c r="M4723" s="6" t="str">
        <f>IF($D4723="","",IF(ISNA(MATCH($D4723,'Paramètres'!$M:$M,0)),"⚠ Type inconnu",IF($L4723="Crédit","",IFERROR(INDEX('Paramètres'!$O:$O,MATCH($D4723,'Paramètres'!$M:$M,0))&amp;"",""))))</f>
        <v/>
      </c>
      <c r="N4723" s="6" t="str">
        <f>IF($D4723="","",IFERROR(INDEX('Paramètres'!$Q:$Q,MATCH($D4723,'Paramètres'!$M:$M,0))&amp;"",""))</f>
        <v/>
      </c>
      <c r="O4723" s="6" t="str">
        <f>IF($A4723="","",IF(OR($J4723&lt;&gt;"x",$A4723&lt;=FinReleve),1,0))</f>
        <v/>
      </c>
      <c r="P4723" s="6" t="str">
        <f>IF($D4723="","",IF(AND($L4723="Crédit",OR(IFERROR(INDEX('Paramètres'!$O:$O,MATCH($D4723,'Paramètres'!$M:$M,0))&amp;"","")&lt;&gt;"",ISNUMBER(SEARCH("remboursement",IFERROR(INDEX('Paramètres'!$N:$N,MATCH($D4723,'Paramètres'!$M:$M,0))&amp;"",""))))),1,0))</f>
        <v/>
      </c>
      <c r="Q4723" s="6" t="str">
        <f>IF($K4723="","",IF(ISNUMBER(SEARCH("transfert-interne",IFERROR(INDEX('Paramètres'!$N:$N,MATCH($D4723,'Paramètres'!$M:$M,0))&amp;"",""))),0,IF($L4723="Débit",$K4723,IF($P4723=1,-$K4723,0))))</f>
        <v/>
      </c>
      <c r="R4723" s="6" t="str">
        <f>IF($K4723="","",IF($L4723="Crédit",$K4723,-$K4723))</f>
        <v/>
      </c>
      <c r="S4723" s="6" t="str">
        <f>IF($C4723="","",IFERROR(INDEX('Paramètres'!$H:$H,MATCH($C4723,'Paramètres'!$D:$D,0))&amp;"",""))</f>
        <v/>
      </c>
      <c r="T4723" s="6" t="str">
        <f>IF($K4723="","",IF($S4723="",0,IF(ISNUMBER(SEARCH("apport-exterieur",IFERROR(INDEX('Paramètres'!$N:$N,MATCH($D4723,'Paramètres'!$M:$M,0))&amp;"",""))),0,IF(OR(IFERROR(INDEX('Paramètres'!$I:$I,MATCH($C4723,'Paramètres'!$D:$D,0))&amp;"","")="Les deux",IFERROR(INDEX('Paramètres'!$I:$I,MATCH($C4723,'Paramètres'!$D:$D,0))&amp;"","")=IF($P4723=1,"Débit",$L4723)),-IF($P4723=1,-$K4723,$K4723),0))))</f>
        <v/>
      </c>
      <c r="U4723" s="6" t="str">
        <f>IF($K4723="","",IF(ISNUMBER(SEARCH("sortie-epargne",IFERROR(INDEX('Paramètres'!$N:$N,MATCH($D4723,'Paramètres'!$M:$M,0))&amp;"",""))),$K4723,0))</f>
        <v/>
      </c>
      <c r="V4723" s="6" t="str">
        <f>IF(AND($A4723&lt;&gt;"",$O4723=1,$L4723="Débit",N($Q4723)&gt;0,$A4723&gt;=Visualisation!$B$1,$A4723&lt;Visualisation!$D$1),MAX($V$1:V4722)+1,"")</f>
        <v/>
      </c>
    </row>
    <row r="4724" spans="1:22" x14ac:dyDescent="0.25">
      <c r="A4724" s="9"/>
      <c r="E4724" s="10"/>
      <c r="K4724" s="11" t="str">
        <f>IF($E4724="","",ROUND($E4724*IF(ISNA(MATCH($C4724,'Paramètres'!$D:$D,0)),1,IF(INDEX('Paramètres'!$J:$J,MATCH($C4724,'Paramètres'!$D:$D,0))="",1,INDEX('Paramètres'!$J:$J,MATCH($C4724,'Paramètres'!$D:$D,0)))),2))</f>
        <v/>
      </c>
      <c r="L4724" s="6" t="str">
        <f>IF($D4724="","",IF($F4724&lt;&gt;"",$F4724,IF(ISNA(MATCH($D4724,'Paramètres'!$M:$M,0)),"⚠ Type inconnu",IFERROR(INDEX('Paramètres'!$P:$P,MATCH($D4724,'Paramètres'!$M:$M,0))&amp;"",""))))</f>
        <v/>
      </c>
      <c r="M4724" s="6" t="str">
        <f>IF($D4724="","",IF(ISNA(MATCH($D4724,'Paramètres'!$M:$M,0)),"⚠ Type inconnu",IF($L4724="Crédit","",IFERROR(INDEX('Paramètres'!$O:$O,MATCH($D4724,'Paramètres'!$M:$M,0))&amp;"",""))))</f>
        <v/>
      </c>
      <c r="N4724" s="6" t="str">
        <f>IF($D4724="","",IFERROR(INDEX('Paramètres'!$Q:$Q,MATCH($D4724,'Paramètres'!$M:$M,0))&amp;"",""))</f>
        <v/>
      </c>
      <c r="O4724" s="6" t="str">
        <f>IF($A4724="","",IF(OR($J4724&lt;&gt;"x",$A4724&lt;=FinReleve),1,0))</f>
        <v/>
      </c>
      <c r="P4724" s="6" t="str">
        <f>IF($D4724="","",IF(AND($L4724="Crédit",OR(IFERROR(INDEX('Paramètres'!$O:$O,MATCH($D4724,'Paramètres'!$M:$M,0))&amp;"","")&lt;&gt;"",ISNUMBER(SEARCH("remboursement",IFERROR(INDEX('Paramètres'!$N:$N,MATCH($D4724,'Paramètres'!$M:$M,0))&amp;"",""))))),1,0))</f>
        <v/>
      </c>
      <c r="Q4724" s="6" t="str">
        <f>IF($K4724="","",IF(ISNUMBER(SEARCH("transfert-interne",IFERROR(INDEX('Paramètres'!$N:$N,MATCH($D4724,'Paramètres'!$M:$M,0))&amp;"",""))),0,IF($L4724="Débit",$K4724,IF($P4724=1,-$K4724,0))))</f>
        <v/>
      </c>
      <c r="R4724" s="6" t="str">
        <f>IF($K4724="","",IF($L4724="Crédit",$K4724,-$K4724))</f>
        <v/>
      </c>
      <c r="S4724" s="6" t="str">
        <f>IF($C4724="","",IFERROR(INDEX('Paramètres'!$H:$H,MATCH($C4724,'Paramètres'!$D:$D,0))&amp;"",""))</f>
        <v/>
      </c>
      <c r="T4724" s="6" t="str">
        <f>IF($K4724="","",IF($S4724="",0,IF(ISNUMBER(SEARCH("apport-exterieur",IFERROR(INDEX('Paramètres'!$N:$N,MATCH($D4724,'Paramètres'!$M:$M,0))&amp;"",""))),0,IF(OR(IFERROR(INDEX('Paramètres'!$I:$I,MATCH($C4724,'Paramètres'!$D:$D,0))&amp;"","")="Les deux",IFERROR(INDEX('Paramètres'!$I:$I,MATCH($C4724,'Paramètres'!$D:$D,0))&amp;"","")=IF($P4724=1,"Débit",$L4724)),-IF($P4724=1,-$K4724,$K4724),0))))</f>
        <v/>
      </c>
      <c r="U4724" s="6" t="str">
        <f>IF($K4724="","",IF(ISNUMBER(SEARCH("sortie-epargne",IFERROR(INDEX('Paramètres'!$N:$N,MATCH($D4724,'Paramètres'!$M:$M,0))&amp;"",""))),$K4724,0))</f>
        <v/>
      </c>
      <c r="V4724" s="6" t="str">
        <f>IF(AND($A4724&lt;&gt;"",$O4724=1,$L4724="Débit",N($Q4724)&gt;0,$A4724&gt;=Visualisation!$B$1,$A4724&lt;Visualisation!$D$1),MAX($V$1:V4723)+1,"")</f>
        <v/>
      </c>
    </row>
    <row r="4725" spans="1:22" x14ac:dyDescent="0.25">
      <c r="A4725" s="9"/>
      <c r="E4725" s="10"/>
      <c r="K4725" s="11" t="str">
        <f>IF($E4725="","",ROUND($E4725*IF(ISNA(MATCH($C4725,'Paramètres'!$D:$D,0)),1,IF(INDEX('Paramètres'!$J:$J,MATCH($C4725,'Paramètres'!$D:$D,0))="",1,INDEX('Paramètres'!$J:$J,MATCH($C4725,'Paramètres'!$D:$D,0)))),2))</f>
        <v/>
      </c>
      <c r="L4725" s="6" t="str">
        <f>IF($D4725="","",IF($F4725&lt;&gt;"",$F4725,IF(ISNA(MATCH($D4725,'Paramètres'!$M:$M,0)),"⚠ Type inconnu",IFERROR(INDEX('Paramètres'!$P:$P,MATCH($D4725,'Paramètres'!$M:$M,0))&amp;"",""))))</f>
        <v/>
      </c>
      <c r="M4725" s="6" t="str">
        <f>IF($D4725="","",IF(ISNA(MATCH($D4725,'Paramètres'!$M:$M,0)),"⚠ Type inconnu",IF($L4725="Crédit","",IFERROR(INDEX('Paramètres'!$O:$O,MATCH($D4725,'Paramètres'!$M:$M,0))&amp;"",""))))</f>
        <v/>
      </c>
      <c r="N4725" s="6" t="str">
        <f>IF($D4725="","",IFERROR(INDEX('Paramètres'!$Q:$Q,MATCH($D4725,'Paramètres'!$M:$M,0))&amp;"",""))</f>
        <v/>
      </c>
      <c r="O4725" s="6" t="str">
        <f>IF($A4725="","",IF(OR($J4725&lt;&gt;"x",$A4725&lt;=FinReleve),1,0))</f>
        <v/>
      </c>
      <c r="P4725" s="6" t="str">
        <f>IF($D4725="","",IF(AND($L4725="Crédit",OR(IFERROR(INDEX('Paramètres'!$O:$O,MATCH($D4725,'Paramètres'!$M:$M,0))&amp;"","")&lt;&gt;"",ISNUMBER(SEARCH("remboursement",IFERROR(INDEX('Paramètres'!$N:$N,MATCH($D4725,'Paramètres'!$M:$M,0))&amp;"",""))))),1,0))</f>
        <v/>
      </c>
      <c r="Q4725" s="6" t="str">
        <f>IF($K4725="","",IF(ISNUMBER(SEARCH("transfert-interne",IFERROR(INDEX('Paramètres'!$N:$N,MATCH($D4725,'Paramètres'!$M:$M,0))&amp;"",""))),0,IF($L4725="Débit",$K4725,IF($P4725=1,-$K4725,0))))</f>
        <v/>
      </c>
      <c r="R4725" s="6" t="str">
        <f>IF($K4725="","",IF($L4725="Crédit",$K4725,-$K4725))</f>
        <v/>
      </c>
      <c r="S4725" s="6" t="str">
        <f>IF($C4725="","",IFERROR(INDEX('Paramètres'!$H:$H,MATCH($C4725,'Paramètres'!$D:$D,0))&amp;"",""))</f>
        <v/>
      </c>
      <c r="T4725" s="6" t="str">
        <f>IF($K4725="","",IF($S4725="",0,IF(ISNUMBER(SEARCH("apport-exterieur",IFERROR(INDEX('Paramètres'!$N:$N,MATCH($D4725,'Paramètres'!$M:$M,0))&amp;"",""))),0,IF(OR(IFERROR(INDEX('Paramètres'!$I:$I,MATCH($C4725,'Paramètres'!$D:$D,0))&amp;"","")="Les deux",IFERROR(INDEX('Paramètres'!$I:$I,MATCH($C4725,'Paramètres'!$D:$D,0))&amp;"","")=IF($P4725=1,"Débit",$L4725)),-IF($P4725=1,-$K4725,$K4725),0))))</f>
        <v/>
      </c>
      <c r="U4725" s="6" t="str">
        <f>IF($K4725="","",IF(ISNUMBER(SEARCH("sortie-epargne",IFERROR(INDEX('Paramètres'!$N:$N,MATCH($D4725,'Paramètres'!$M:$M,0))&amp;"",""))),$K4725,0))</f>
        <v/>
      </c>
      <c r="V4725" s="6" t="str">
        <f>IF(AND($A4725&lt;&gt;"",$O4725=1,$L4725="Débit",N($Q4725)&gt;0,$A4725&gt;=Visualisation!$B$1,$A4725&lt;Visualisation!$D$1),MAX($V$1:V4724)+1,"")</f>
        <v/>
      </c>
    </row>
    <row r="4726" spans="1:22" x14ac:dyDescent="0.25">
      <c r="A4726" s="9"/>
      <c r="E4726" s="10"/>
      <c r="K4726" s="11" t="str">
        <f>IF($E4726="","",ROUND($E4726*IF(ISNA(MATCH($C4726,'Paramètres'!$D:$D,0)),1,IF(INDEX('Paramètres'!$J:$J,MATCH($C4726,'Paramètres'!$D:$D,0))="",1,INDEX('Paramètres'!$J:$J,MATCH($C4726,'Paramètres'!$D:$D,0)))),2))</f>
        <v/>
      </c>
      <c r="L4726" s="6" t="str">
        <f>IF($D4726="","",IF($F4726&lt;&gt;"",$F4726,IF(ISNA(MATCH($D4726,'Paramètres'!$M:$M,0)),"⚠ Type inconnu",IFERROR(INDEX('Paramètres'!$P:$P,MATCH($D4726,'Paramètres'!$M:$M,0))&amp;"",""))))</f>
        <v/>
      </c>
      <c r="M4726" s="6" t="str">
        <f>IF($D4726="","",IF(ISNA(MATCH($D4726,'Paramètres'!$M:$M,0)),"⚠ Type inconnu",IF($L4726="Crédit","",IFERROR(INDEX('Paramètres'!$O:$O,MATCH($D4726,'Paramètres'!$M:$M,0))&amp;"",""))))</f>
        <v/>
      </c>
      <c r="N4726" s="6" t="str">
        <f>IF($D4726="","",IFERROR(INDEX('Paramètres'!$Q:$Q,MATCH($D4726,'Paramètres'!$M:$M,0))&amp;"",""))</f>
        <v/>
      </c>
      <c r="O4726" s="6" t="str">
        <f>IF($A4726="","",IF(OR($J4726&lt;&gt;"x",$A4726&lt;=FinReleve),1,0))</f>
        <v/>
      </c>
      <c r="P4726" s="6" t="str">
        <f>IF($D4726="","",IF(AND($L4726="Crédit",OR(IFERROR(INDEX('Paramètres'!$O:$O,MATCH($D4726,'Paramètres'!$M:$M,0))&amp;"","")&lt;&gt;"",ISNUMBER(SEARCH("remboursement",IFERROR(INDEX('Paramètres'!$N:$N,MATCH($D4726,'Paramètres'!$M:$M,0))&amp;"",""))))),1,0))</f>
        <v/>
      </c>
      <c r="Q4726" s="6" t="str">
        <f>IF($K4726="","",IF(ISNUMBER(SEARCH("transfert-interne",IFERROR(INDEX('Paramètres'!$N:$N,MATCH($D4726,'Paramètres'!$M:$M,0))&amp;"",""))),0,IF($L4726="Débit",$K4726,IF($P4726=1,-$K4726,0))))</f>
        <v/>
      </c>
      <c r="R4726" s="6" t="str">
        <f>IF($K4726="","",IF($L4726="Crédit",$K4726,-$K4726))</f>
        <v/>
      </c>
      <c r="S4726" s="6" t="str">
        <f>IF($C4726="","",IFERROR(INDEX('Paramètres'!$H:$H,MATCH($C4726,'Paramètres'!$D:$D,0))&amp;"",""))</f>
        <v/>
      </c>
      <c r="T4726" s="6" t="str">
        <f>IF($K4726="","",IF($S4726="",0,IF(ISNUMBER(SEARCH("apport-exterieur",IFERROR(INDEX('Paramètres'!$N:$N,MATCH($D4726,'Paramètres'!$M:$M,0))&amp;"",""))),0,IF(OR(IFERROR(INDEX('Paramètres'!$I:$I,MATCH($C4726,'Paramètres'!$D:$D,0))&amp;"","")="Les deux",IFERROR(INDEX('Paramètres'!$I:$I,MATCH($C4726,'Paramètres'!$D:$D,0))&amp;"","")=IF($P4726=1,"Débit",$L4726)),-IF($P4726=1,-$K4726,$K4726),0))))</f>
        <v/>
      </c>
      <c r="U4726" s="6" t="str">
        <f>IF($K4726="","",IF(ISNUMBER(SEARCH("sortie-epargne",IFERROR(INDEX('Paramètres'!$N:$N,MATCH($D4726,'Paramètres'!$M:$M,0))&amp;"",""))),$K4726,0))</f>
        <v/>
      </c>
      <c r="V4726" s="6" t="str">
        <f>IF(AND($A4726&lt;&gt;"",$O4726=1,$L4726="Débit",N($Q4726)&gt;0,$A4726&gt;=Visualisation!$B$1,$A4726&lt;Visualisation!$D$1),MAX($V$1:V4725)+1,"")</f>
        <v/>
      </c>
    </row>
    <row r="4727" spans="1:22" x14ac:dyDescent="0.25">
      <c r="A4727" s="9"/>
      <c r="E4727" s="10"/>
      <c r="K4727" s="11" t="str">
        <f>IF($E4727="","",ROUND($E4727*IF(ISNA(MATCH($C4727,'Paramètres'!$D:$D,0)),1,IF(INDEX('Paramètres'!$J:$J,MATCH($C4727,'Paramètres'!$D:$D,0))="",1,INDEX('Paramètres'!$J:$J,MATCH($C4727,'Paramètres'!$D:$D,0)))),2))</f>
        <v/>
      </c>
      <c r="L4727" s="6" t="str">
        <f>IF($D4727="","",IF($F4727&lt;&gt;"",$F4727,IF(ISNA(MATCH($D4727,'Paramètres'!$M:$M,0)),"⚠ Type inconnu",IFERROR(INDEX('Paramètres'!$P:$P,MATCH($D4727,'Paramètres'!$M:$M,0))&amp;"",""))))</f>
        <v/>
      </c>
      <c r="M4727" s="6" t="str">
        <f>IF($D4727="","",IF(ISNA(MATCH($D4727,'Paramètres'!$M:$M,0)),"⚠ Type inconnu",IF($L4727="Crédit","",IFERROR(INDEX('Paramètres'!$O:$O,MATCH($D4727,'Paramètres'!$M:$M,0))&amp;"",""))))</f>
        <v/>
      </c>
      <c r="N4727" s="6" t="str">
        <f>IF($D4727="","",IFERROR(INDEX('Paramètres'!$Q:$Q,MATCH($D4727,'Paramètres'!$M:$M,0))&amp;"",""))</f>
        <v/>
      </c>
      <c r="O4727" s="6" t="str">
        <f>IF($A4727="","",IF(OR($J4727&lt;&gt;"x",$A4727&lt;=FinReleve),1,0))</f>
        <v/>
      </c>
      <c r="P4727" s="6" t="str">
        <f>IF($D4727="","",IF(AND($L4727="Crédit",OR(IFERROR(INDEX('Paramètres'!$O:$O,MATCH($D4727,'Paramètres'!$M:$M,0))&amp;"","")&lt;&gt;"",ISNUMBER(SEARCH("remboursement",IFERROR(INDEX('Paramètres'!$N:$N,MATCH($D4727,'Paramètres'!$M:$M,0))&amp;"",""))))),1,0))</f>
        <v/>
      </c>
      <c r="Q4727" s="6" t="str">
        <f>IF($K4727="","",IF(ISNUMBER(SEARCH("transfert-interne",IFERROR(INDEX('Paramètres'!$N:$N,MATCH($D4727,'Paramètres'!$M:$M,0))&amp;"",""))),0,IF($L4727="Débit",$K4727,IF($P4727=1,-$K4727,0))))</f>
        <v/>
      </c>
      <c r="R4727" s="6" t="str">
        <f>IF($K4727="","",IF($L4727="Crédit",$K4727,-$K4727))</f>
        <v/>
      </c>
      <c r="S4727" s="6" t="str">
        <f>IF($C4727="","",IFERROR(INDEX('Paramètres'!$H:$H,MATCH($C4727,'Paramètres'!$D:$D,0))&amp;"",""))</f>
        <v/>
      </c>
      <c r="T4727" s="6" t="str">
        <f>IF($K4727="","",IF($S4727="",0,IF(ISNUMBER(SEARCH("apport-exterieur",IFERROR(INDEX('Paramètres'!$N:$N,MATCH($D4727,'Paramètres'!$M:$M,0))&amp;"",""))),0,IF(OR(IFERROR(INDEX('Paramètres'!$I:$I,MATCH($C4727,'Paramètres'!$D:$D,0))&amp;"","")="Les deux",IFERROR(INDEX('Paramètres'!$I:$I,MATCH($C4727,'Paramètres'!$D:$D,0))&amp;"","")=IF($P4727=1,"Débit",$L4727)),-IF($P4727=1,-$K4727,$K4727),0))))</f>
        <v/>
      </c>
      <c r="U4727" s="6" t="str">
        <f>IF($K4727="","",IF(ISNUMBER(SEARCH("sortie-epargne",IFERROR(INDEX('Paramètres'!$N:$N,MATCH($D4727,'Paramètres'!$M:$M,0))&amp;"",""))),$K4727,0))</f>
        <v/>
      </c>
      <c r="V4727" s="6" t="str">
        <f>IF(AND($A4727&lt;&gt;"",$O4727=1,$L4727="Débit",N($Q4727)&gt;0,$A4727&gt;=Visualisation!$B$1,$A4727&lt;Visualisation!$D$1),MAX($V$1:V4726)+1,"")</f>
        <v/>
      </c>
    </row>
    <row r="4728" spans="1:22" x14ac:dyDescent="0.25">
      <c r="A4728" s="9"/>
      <c r="E4728" s="10"/>
      <c r="K4728" s="11" t="str">
        <f>IF($E4728="","",ROUND($E4728*IF(ISNA(MATCH($C4728,'Paramètres'!$D:$D,0)),1,IF(INDEX('Paramètres'!$J:$J,MATCH($C4728,'Paramètres'!$D:$D,0))="",1,INDEX('Paramètres'!$J:$J,MATCH($C4728,'Paramètres'!$D:$D,0)))),2))</f>
        <v/>
      </c>
      <c r="L4728" s="6" t="str">
        <f>IF($D4728="","",IF($F4728&lt;&gt;"",$F4728,IF(ISNA(MATCH($D4728,'Paramètres'!$M:$M,0)),"⚠ Type inconnu",IFERROR(INDEX('Paramètres'!$P:$P,MATCH($D4728,'Paramètres'!$M:$M,0))&amp;"",""))))</f>
        <v/>
      </c>
      <c r="M4728" s="6" t="str">
        <f>IF($D4728="","",IF(ISNA(MATCH($D4728,'Paramètres'!$M:$M,0)),"⚠ Type inconnu",IF($L4728="Crédit","",IFERROR(INDEX('Paramètres'!$O:$O,MATCH($D4728,'Paramètres'!$M:$M,0))&amp;"",""))))</f>
        <v/>
      </c>
      <c r="N4728" s="6" t="str">
        <f>IF($D4728="","",IFERROR(INDEX('Paramètres'!$Q:$Q,MATCH($D4728,'Paramètres'!$M:$M,0))&amp;"",""))</f>
        <v/>
      </c>
      <c r="O4728" s="6" t="str">
        <f>IF($A4728="","",IF(OR($J4728&lt;&gt;"x",$A4728&lt;=FinReleve),1,0))</f>
        <v/>
      </c>
      <c r="P4728" s="6" t="str">
        <f>IF($D4728="","",IF(AND($L4728="Crédit",OR(IFERROR(INDEX('Paramètres'!$O:$O,MATCH($D4728,'Paramètres'!$M:$M,0))&amp;"","")&lt;&gt;"",ISNUMBER(SEARCH("remboursement",IFERROR(INDEX('Paramètres'!$N:$N,MATCH($D4728,'Paramètres'!$M:$M,0))&amp;"",""))))),1,0))</f>
        <v/>
      </c>
      <c r="Q4728" s="6" t="str">
        <f>IF($K4728="","",IF(ISNUMBER(SEARCH("transfert-interne",IFERROR(INDEX('Paramètres'!$N:$N,MATCH($D4728,'Paramètres'!$M:$M,0))&amp;"",""))),0,IF($L4728="Débit",$K4728,IF($P4728=1,-$K4728,0))))</f>
        <v/>
      </c>
      <c r="R4728" s="6" t="str">
        <f>IF($K4728="","",IF($L4728="Crédit",$K4728,-$K4728))</f>
        <v/>
      </c>
      <c r="S4728" s="6" t="str">
        <f>IF($C4728="","",IFERROR(INDEX('Paramètres'!$H:$H,MATCH($C4728,'Paramètres'!$D:$D,0))&amp;"",""))</f>
        <v/>
      </c>
      <c r="T4728" s="6" t="str">
        <f>IF($K4728="","",IF($S4728="",0,IF(ISNUMBER(SEARCH("apport-exterieur",IFERROR(INDEX('Paramètres'!$N:$N,MATCH($D4728,'Paramètres'!$M:$M,0))&amp;"",""))),0,IF(OR(IFERROR(INDEX('Paramètres'!$I:$I,MATCH($C4728,'Paramètres'!$D:$D,0))&amp;"","")="Les deux",IFERROR(INDEX('Paramètres'!$I:$I,MATCH($C4728,'Paramètres'!$D:$D,0))&amp;"","")=IF($P4728=1,"Débit",$L4728)),-IF($P4728=1,-$K4728,$K4728),0))))</f>
        <v/>
      </c>
      <c r="U4728" s="6" t="str">
        <f>IF($K4728="","",IF(ISNUMBER(SEARCH("sortie-epargne",IFERROR(INDEX('Paramètres'!$N:$N,MATCH($D4728,'Paramètres'!$M:$M,0))&amp;"",""))),$K4728,0))</f>
        <v/>
      </c>
      <c r="V4728" s="6" t="str">
        <f>IF(AND($A4728&lt;&gt;"",$O4728=1,$L4728="Débit",N($Q4728)&gt;0,$A4728&gt;=Visualisation!$B$1,$A4728&lt;Visualisation!$D$1),MAX($V$1:V4727)+1,"")</f>
        <v/>
      </c>
    </row>
    <row r="4729" spans="1:22" x14ac:dyDescent="0.25">
      <c r="A4729" s="9"/>
      <c r="E4729" s="10"/>
      <c r="K4729" s="11" t="str">
        <f>IF($E4729="","",ROUND($E4729*IF(ISNA(MATCH($C4729,'Paramètres'!$D:$D,0)),1,IF(INDEX('Paramètres'!$J:$J,MATCH($C4729,'Paramètres'!$D:$D,0))="",1,INDEX('Paramètres'!$J:$J,MATCH($C4729,'Paramètres'!$D:$D,0)))),2))</f>
        <v/>
      </c>
      <c r="L4729" s="6" t="str">
        <f>IF($D4729="","",IF($F4729&lt;&gt;"",$F4729,IF(ISNA(MATCH($D4729,'Paramètres'!$M:$M,0)),"⚠ Type inconnu",IFERROR(INDEX('Paramètres'!$P:$P,MATCH($D4729,'Paramètres'!$M:$M,0))&amp;"",""))))</f>
        <v/>
      </c>
      <c r="M4729" s="6" t="str">
        <f>IF($D4729="","",IF(ISNA(MATCH($D4729,'Paramètres'!$M:$M,0)),"⚠ Type inconnu",IF($L4729="Crédit","",IFERROR(INDEX('Paramètres'!$O:$O,MATCH($D4729,'Paramètres'!$M:$M,0))&amp;"",""))))</f>
        <v/>
      </c>
      <c r="N4729" s="6" t="str">
        <f>IF($D4729="","",IFERROR(INDEX('Paramètres'!$Q:$Q,MATCH($D4729,'Paramètres'!$M:$M,0))&amp;"",""))</f>
        <v/>
      </c>
      <c r="O4729" s="6" t="str">
        <f>IF($A4729="","",IF(OR($J4729&lt;&gt;"x",$A4729&lt;=FinReleve),1,0))</f>
        <v/>
      </c>
      <c r="P4729" s="6" t="str">
        <f>IF($D4729="","",IF(AND($L4729="Crédit",OR(IFERROR(INDEX('Paramètres'!$O:$O,MATCH($D4729,'Paramètres'!$M:$M,0))&amp;"","")&lt;&gt;"",ISNUMBER(SEARCH("remboursement",IFERROR(INDEX('Paramètres'!$N:$N,MATCH($D4729,'Paramètres'!$M:$M,0))&amp;"",""))))),1,0))</f>
        <v/>
      </c>
      <c r="Q4729" s="6" t="str">
        <f>IF($K4729="","",IF(ISNUMBER(SEARCH("transfert-interne",IFERROR(INDEX('Paramètres'!$N:$N,MATCH($D4729,'Paramètres'!$M:$M,0))&amp;"",""))),0,IF($L4729="Débit",$K4729,IF($P4729=1,-$K4729,0))))</f>
        <v/>
      </c>
      <c r="R4729" s="6" t="str">
        <f>IF($K4729="","",IF($L4729="Crédit",$K4729,-$K4729))</f>
        <v/>
      </c>
      <c r="S4729" s="6" t="str">
        <f>IF($C4729="","",IFERROR(INDEX('Paramètres'!$H:$H,MATCH($C4729,'Paramètres'!$D:$D,0))&amp;"",""))</f>
        <v/>
      </c>
      <c r="T4729" s="6" t="str">
        <f>IF($K4729="","",IF($S4729="",0,IF(ISNUMBER(SEARCH("apport-exterieur",IFERROR(INDEX('Paramètres'!$N:$N,MATCH($D4729,'Paramètres'!$M:$M,0))&amp;"",""))),0,IF(OR(IFERROR(INDEX('Paramètres'!$I:$I,MATCH($C4729,'Paramètres'!$D:$D,0))&amp;"","")="Les deux",IFERROR(INDEX('Paramètres'!$I:$I,MATCH($C4729,'Paramètres'!$D:$D,0))&amp;"","")=IF($P4729=1,"Débit",$L4729)),-IF($P4729=1,-$K4729,$K4729),0))))</f>
        <v/>
      </c>
      <c r="U4729" s="6" t="str">
        <f>IF($K4729="","",IF(ISNUMBER(SEARCH("sortie-epargne",IFERROR(INDEX('Paramètres'!$N:$N,MATCH($D4729,'Paramètres'!$M:$M,0))&amp;"",""))),$K4729,0))</f>
        <v/>
      </c>
      <c r="V4729" s="6" t="str">
        <f>IF(AND($A4729&lt;&gt;"",$O4729=1,$L4729="Débit",N($Q4729)&gt;0,$A4729&gt;=Visualisation!$B$1,$A4729&lt;Visualisation!$D$1),MAX($V$1:V4728)+1,"")</f>
        <v/>
      </c>
    </row>
    <row r="4730" spans="1:22" x14ac:dyDescent="0.25">
      <c r="A4730" s="9"/>
      <c r="E4730" s="10"/>
      <c r="K4730" s="11" t="str">
        <f>IF($E4730="","",ROUND($E4730*IF(ISNA(MATCH($C4730,'Paramètres'!$D:$D,0)),1,IF(INDEX('Paramètres'!$J:$J,MATCH($C4730,'Paramètres'!$D:$D,0))="",1,INDEX('Paramètres'!$J:$J,MATCH($C4730,'Paramètres'!$D:$D,0)))),2))</f>
        <v/>
      </c>
      <c r="L4730" s="6" t="str">
        <f>IF($D4730="","",IF($F4730&lt;&gt;"",$F4730,IF(ISNA(MATCH($D4730,'Paramètres'!$M:$M,0)),"⚠ Type inconnu",IFERROR(INDEX('Paramètres'!$P:$P,MATCH($D4730,'Paramètres'!$M:$M,0))&amp;"",""))))</f>
        <v/>
      </c>
      <c r="M4730" s="6" t="str">
        <f>IF($D4730="","",IF(ISNA(MATCH($D4730,'Paramètres'!$M:$M,0)),"⚠ Type inconnu",IF($L4730="Crédit","",IFERROR(INDEX('Paramètres'!$O:$O,MATCH($D4730,'Paramètres'!$M:$M,0))&amp;"",""))))</f>
        <v/>
      </c>
      <c r="N4730" s="6" t="str">
        <f>IF($D4730="","",IFERROR(INDEX('Paramètres'!$Q:$Q,MATCH($D4730,'Paramètres'!$M:$M,0))&amp;"",""))</f>
        <v/>
      </c>
      <c r="O4730" s="6" t="str">
        <f>IF($A4730="","",IF(OR($J4730&lt;&gt;"x",$A4730&lt;=FinReleve),1,0))</f>
        <v/>
      </c>
      <c r="P4730" s="6" t="str">
        <f>IF($D4730="","",IF(AND($L4730="Crédit",OR(IFERROR(INDEX('Paramètres'!$O:$O,MATCH($D4730,'Paramètres'!$M:$M,0))&amp;"","")&lt;&gt;"",ISNUMBER(SEARCH("remboursement",IFERROR(INDEX('Paramètres'!$N:$N,MATCH($D4730,'Paramètres'!$M:$M,0))&amp;"",""))))),1,0))</f>
        <v/>
      </c>
      <c r="Q4730" s="6" t="str">
        <f>IF($K4730="","",IF(ISNUMBER(SEARCH("transfert-interne",IFERROR(INDEX('Paramètres'!$N:$N,MATCH($D4730,'Paramètres'!$M:$M,0))&amp;"",""))),0,IF($L4730="Débit",$K4730,IF($P4730=1,-$K4730,0))))</f>
        <v/>
      </c>
      <c r="R4730" s="6" t="str">
        <f>IF($K4730="","",IF($L4730="Crédit",$K4730,-$K4730))</f>
        <v/>
      </c>
      <c r="S4730" s="6" t="str">
        <f>IF($C4730="","",IFERROR(INDEX('Paramètres'!$H:$H,MATCH($C4730,'Paramètres'!$D:$D,0))&amp;"",""))</f>
        <v/>
      </c>
      <c r="T4730" s="6" t="str">
        <f>IF($K4730="","",IF($S4730="",0,IF(ISNUMBER(SEARCH("apport-exterieur",IFERROR(INDEX('Paramètres'!$N:$N,MATCH($D4730,'Paramètres'!$M:$M,0))&amp;"",""))),0,IF(OR(IFERROR(INDEX('Paramètres'!$I:$I,MATCH($C4730,'Paramètres'!$D:$D,0))&amp;"","")="Les deux",IFERROR(INDEX('Paramètres'!$I:$I,MATCH($C4730,'Paramètres'!$D:$D,0))&amp;"","")=IF($P4730=1,"Débit",$L4730)),-IF($P4730=1,-$K4730,$K4730),0))))</f>
        <v/>
      </c>
      <c r="U4730" s="6" t="str">
        <f>IF($K4730="","",IF(ISNUMBER(SEARCH("sortie-epargne",IFERROR(INDEX('Paramètres'!$N:$N,MATCH($D4730,'Paramètres'!$M:$M,0))&amp;"",""))),$K4730,0))</f>
        <v/>
      </c>
      <c r="V4730" s="6" t="str">
        <f>IF(AND($A4730&lt;&gt;"",$O4730=1,$L4730="Débit",N($Q4730)&gt;0,$A4730&gt;=Visualisation!$B$1,$A4730&lt;Visualisation!$D$1),MAX($V$1:V4729)+1,"")</f>
        <v/>
      </c>
    </row>
    <row r="4731" spans="1:22" x14ac:dyDescent="0.25">
      <c r="A4731" s="9"/>
      <c r="E4731" s="10"/>
      <c r="K4731" s="11" t="str">
        <f>IF($E4731="","",ROUND($E4731*IF(ISNA(MATCH($C4731,'Paramètres'!$D:$D,0)),1,IF(INDEX('Paramètres'!$J:$J,MATCH($C4731,'Paramètres'!$D:$D,0))="",1,INDEX('Paramètres'!$J:$J,MATCH($C4731,'Paramètres'!$D:$D,0)))),2))</f>
        <v/>
      </c>
      <c r="L4731" s="6" t="str">
        <f>IF($D4731="","",IF($F4731&lt;&gt;"",$F4731,IF(ISNA(MATCH($D4731,'Paramètres'!$M:$M,0)),"⚠ Type inconnu",IFERROR(INDEX('Paramètres'!$P:$P,MATCH($D4731,'Paramètres'!$M:$M,0))&amp;"",""))))</f>
        <v/>
      </c>
      <c r="M4731" s="6" t="str">
        <f>IF($D4731="","",IF(ISNA(MATCH($D4731,'Paramètres'!$M:$M,0)),"⚠ Type inconnu",IF($L4731="Crédit","",IFERROR(INDEX('Paramètres'!$O:$O,MATCH($D4731,'Paramètres'!$M:$M,0))&amp;"",""))))</f>
        <v/>
      </c>
      <c r="N4731" s="6" t="str">
        <f>IF($D4731="","",IFERROR(INDEX('Paramètres'!$Q:$Q,MATCH($D4731,'Paramètres'!$M:$M,0))&amp;"",""))</f>
        <v/>
      </c>
      <c r="O4731" s="6" t="str">
        <f>IF($A4731="","",IF(OR($J4731&lt;&gt;"x",$A4731&lt;=FinReleve),1,0))</f>
        <v/>
      </c>
      <c r="P4731" s="6" t="str">
        <f>IF($D4731="","",IF(AND($L4731="Crédit",OR(IFERROR(INDEX('Paramètres'!$O:$O,MATCH($D4731,'Paramètres'!$M:$M,0))&amp;"","")&lt;&gt;"",ISNUMBER(SEARCH("remboursement",IFERROR(INDEX('Paramètres'!$N:$N,MATCH($D4731,'Paramètres'!$M:$M,0))&amp;"",""))))),1,0))</f>
        <v/>
      </c>
      <c r="Q4731" s="6" t="str">
        <f>IF($K4731="","",IF(ISNUMBER(SEARCH("transfert-interne",IFERROR(INDEX('Paramètres'!$N:$N,MATCH($D4731,'Paramètres'!$M:$M,0))&amp;"",""))),0,IF($L4731="Débit",$K4731,IF($P4731=1,-$K4731,0))))</f>
        <v/>
      </c>
      <c r="R4731" s="6" t="str">
        <f>IF($K4731="","",IF($L4731="Crédit",$K4731,-$K4731))</f>
        <v/>
      </c>
      <c r="S4731" s="6" t="str">
        <f>IF($C4731="","",IFERROR(INDEX('Paramètres'!$H:$H,MATCH($C4731,'Paramètres'!$D:$D,0))&amp;"",""))</f>
        <v/>
      </c>
      <c r="T4731" s="6" t="str">
        <f>IF($K4731="","",IF($S4731="",0,IF(ISNUMBER(SEARCH("apport-exterieur",IFERROR(INDEX('Paramètres'!$N:$N,MATCH($D4731,'Paramètres'!$M:$M,0))&amp;"",""))),0,IF(OR(IFERROR(INDEX('Paramètres'!$I:$I,MATCH($C4731,'Paramètres'!$D:$D,0))&amp;"","")="Les deux",IFERROR(INDEX('Paramètres'!$I:$I,MATCH($C4731,'Paramètres'!$D:$D,0))&amp;"","")=IF($P4731=1,"Débit",$L4731)),-IF($P4731=1,-$K4731,$K4731),0))))</f>
        <v/>
      </c>
      <c r="U4731" s="6" t="str">
        <f>IF($K4731="","",IF(ISNUMBER(SEARCH("sortie-epargne",IFERROR(INDEX('Paramètres'!$N:$N,MATCH($D4731,'Paramètres'!$M:$M,0))&amp;"",""))),$K4731,0))</f>
        <v/>
      </c>
      <c r="V4731" s="6" t="str">
        <f>IF(AND($A4731&lt;&gt;"",$O4731=1,$L4731="Débit",N($Q4731)&gt;0,$A4731&gt;=Visualisation!$B$1,$A4731&lt;Visualisation!$D$1),MAX($V$1:V4730)+1,"")</f>
        <v/>
      </c>
    </row>
    <row r="4732" spans="1:22" x14ac:dyDescent="0.25">
      <c r="A4732" s="9"/>
      <c r="E4732" s="10"/>
      <c r="K4732" s="11" t="str">
        <f>IF($E4732="","",ROUND($E4732*IF(ISNA(MATCH($C4732,'Paramètres'!$D:$D,0)),1,IF(INDEX('Paramètres'!$J:$J,MATCH($C4732,'Paramètres'!$D:$D,0))="",1,INDEX('Paramètres'!$J:$J,MATCH($C4732,'Paramètres'!$D:$D,0)))),2))</f>
        <v/>
      </c>
      <c r="L4732" s="6" t="str">
        <f>IF($D4732="","",IF($F4732&lt;&gt;"",$F4732,IF(ISNA(MATCH($D4732,'Paramètres'!$M:$M,0)),"⚠ Type inconnu",IFERROR(INDEX('Paramètres'!$P:$P,MATCH($D4732,'Paramètres'!$M:$M,0))&amp;"",""))))</f>
        <v/>
      </c>
      <c r="M4732" s="6" t="str">
        <f>IF($D4732="","",IF(ISNA(MATCH($D4732,'Paramètres'!$M:$M,0)),"⚠ Type inconnu",IF($L4732="Crédit","",IFERROR(INDEX('Paramètres'!$O:$O,MATCH($D4732,'Paramètres'!$M:$M,0))&amp;"",""))))</f>
        <v/>
      </c>
      <c r="N4732" s="6" t="str">
        <f>IF($D4732="","",IFERROR(INDEX('Paramètres'!$Q:$Q,MATCH($D4732,'Paramètres'!$M:$M,0))&amp;"",""))</f>
        <v/>
      </c>
      <c r="O4732" s="6" t="str">
        <f>IF($A4732="","",IF(OR($J4732&lt;&gt;"x",$A4732&lt;=FinReleve),1,0))</f>
        <v/>
      </c>
      <c r="P4732" s="6" t="str">
        <f>IF($D4732="","",IF(AND($L4732="Crédit",OR(IFERROR(INDEX('Paramètres'!$O:$O,MATCH($D4732,'Paramètres'!$M:$M,0))&amp;"","")&lt;&gt;"",ISNUMBER(SEARCH("remboursement",IFERROR(INDEX('Paramètres'!$N:$N,MATCH($D4732,'Paramètres'!$M:$M,0))&amp;"",""))))),1,0))</f>
        <v/>
      </c>
      <c r="Q4732" s="6" t="str">
        <f>IF($K4732="","",IF(ISNUMBER(SEARCH("transfert-interne",IFERROR(INDEX('Paramètres'!$N:$N,MATCH($D4732,'Paramètres'!$M:$M,0))&amp;"",""))),0,IF($L4732="Débit",$K4732,IF($P4732=1,-$K4732,0))))</f>
        <v/>
      </c>
      <c r="R4732" s="6" t="str">
        <f>IF($K4732="","",IF($L4732="Crédit",$K4732,-$K4732))</f>
        <v/>
      </c>
      <c r="S4732" s="6" t="str">
        <f>IF($C4732="","",IFERROR(INDEX('Paramètres'!$H:$H,MATCH($C4732,'Paramètres'!$D:$D,0))&amp;"",""))</f>
        <v/>
      </c>
      <c r="T4732" s="6" t="str">
        <f>IF($K4732="","",IF($S4732="",0,IF(ISNUMBER(SEARCH("apport-exterieur",IFERROR(INDEX('Paramètres'!$N:$N,MATCH($D4732,'Paramètres'!$M:$M,0))&amp;"",""))),0,IF(OR(IFERROR(INDEX('Paramètres'!$I:$I,MATCH($C4732,'Paramètres'!$D:$D,0))&amp;"","")="Les deux",IFERROR(INDEX('Paramètres'!$I:$I,MATCH($C4732,'Paramètres'!$D:$D,0))&amp;"","")=IF($P4732=1,"Débit",$L4732)),-IF($P4732=1,-$K4732,$K4732),0))))</f>
        <v/>
      </c>
      <c r="U4732" s="6" t="str">
        <f>IF($K4732="","",IF(ISNUMBER(SEARCH("sortie-epargne",IFERROR(INDEX('Paramètres'!$N:$N,MATCH($D4732,'Paramètres'!$M:$M,0))&amp;"",""))),$K4732,0))</f>
        <v/>
      </c>
      <c r="V4732" s="6" t="str">
        <f>IF(AND($A4732&lt;&gt;"",$O4732=1,$L4732="Débit",N($Q4732)&gt;0,$A4732&gt;=Visualisation!$B$1,$A4732&lt;Visualisation!$D$1),MAX($V$1:V4731)+1,"")</f>
        <v/>
      </c>
    </row>
    <row r="4733" spans="1:22" x14ac:dyDescent="0.25">
      <c r="A4733" s="9"/>
      <c r="E4733" s="10"/>
      <c r="K4733" s="11" t="str">
        <f>IF($E4733="","",ROUND($E4733*IF(ISNA(MATCH($C4733,'Paramètres'!$D:$D,0)),1,IF(INDEX('Paramètres'!$J:$J,MATCH($C4733,'Paramètres'!$D:$D,0))="",1,INDEX('Paramètres'!$J:$J,MATCH($C4733,'Paramètres'!$D:$D,0)))),2))</f>
        <v/>
      </c>
      <c r="L4733" s="6" t="str">
        <f>IF($D4733="","",IF($F4733&lt;&gt;"",$F4733,IF(ISNA(MATCH($D4733,'Paramètres'!$M:$M,0)),"⚠ Type inconnu",IFERROR(INDEX('Paramètres'!$P:$P,MATCH($D4733,'Paramètres'!$M:$M,0))&amp;"",""))))</f>
        <v/>
      </c>
      <c r="M4733" s="6" t="str">
        <f>IF($D4733="","",IF(ISNA(MATCH($D4733,'Paramètres'!$M:$M,0)),"⚠ Type inconnu",IF($L4733="Crédit","",IFERROR(INDEX('Paramètres'!$O:$O,MATCH($D4733,'Paramètres'!$M:$M,0))&amp;"",""))))</f>
        <v/>
      </c>
      <c r="N4733" s="6" t="str">
        <f>IF($D4733="","",IFERROR(INDEX('Paramètres'!$Q:$Q,MATCH($D4733,'Paramètres'!$M:$M,0))&amp;"",""))</f>
        <v/>
      </c>
      <c r="O4733" s="6" t="str">
        <f>IF($A4733="","",IF(OR($J4733&lt;&gt;"x",$A4733&lt;=FinReleve),1,0))</f>
        <v/>
      </c>
      <c r="P4733" s="6" t="str">
        <f>IF($D4733="","",IF(AND($L4733="Crédit",OR(IFERROR(INDEX('Paramètres'!$O:$O,MATCH($D4733,'Paramètres'!$M:$M,0))&amp;"","")&lt;&gt;"",ISNUMBER(SEARCH("remboursement",IFERROR(INDEX('Paramètres'!$N:$N,MATCH($D4733,'Paramètres'!$M:$M,0))&amp;"",""))))),1,0))</f>
        <v/>
      </c>
      <c r="Q4733" s="6" t="str">
        <f>IF($K4733="","",IF(ISNUMBER(SEARCH("transfert-interne",IFERROR(INDEX('Paramètres'!$N:$N,MATCH($D4733,'Paramètres'!$M:$M,0))&amp;"",""))),0,IF($L4733="Débit",$K4733,IF($P4733=1,-$K4733,0))))</f>
        <v/>
      </c>
      <c r="R4733" s="6" t="str">
        <f>IF($K4733="","",IF($L4733="Crédit",$K4733,-$K4733))</f>
        <v/>
      </c>
      <c r="S4733" s="6" t="str">
        <f>IF($C4733="","",IFERROR(INDEX('Paramètres'!$H:$H,MATCH($C4733,'Paramètres'!$D:$D,0))&amp;"",""))</f>
        <v/>
      </c>
      <c r="T4733" s="6" t="str">
        <f>IF($K4733="","",IF($S4733="",0,IF(ISNUMBER(SEARCH("apport-exterieur",IFERROR(INDEX('Paramètres'!$N:$N,MATCH($D4733,'Paramètres'!$M:$M,0))&amp;"",""))),0,IF(OR(IFERROR(INDEX('Paramètres'!$I:$I,MATCH($C4733,'Paramètres'!$D:$D,0))&amp;"","")="Les deux",IFERROR(INDEX('Paramètres'!$I:$I,MATCH($C4733,'Paramètres'!$D:$D,0))&amp;"","")=IF($P4733=1,"Débit",$L4733)),-IF($P4733=1,-$K4733,$K4733),0))))</f>
        <v/>
      </c>
      <c r="U4733" s="6" t="str">
        <f>IF($K4733="","",IF(ISNUMBER(SEARCH("sortie-epargne",IFERROR(INDEX('Paramètres'!$N:$N,MATCH($D4733,'Paramètres'!$M:$M,0))&amp;"",""))),$K4733,0))</f>
        <v/>
      </c>
      <c r="V4733" s="6" t="str">
        <f>IF(AND($A4733&lt;&gt;"",$O4733=1,$L4733="Débit",N($Q4733)&gt;0,$A4733&gt;=Visualisation!$B$1,$A4733&lt;Visualisation!$D$1),MAX($V$1:V4732)+1,"")</f>
        <v/>
      </c>
    </row>
    <row r="4734" spans="1:22" x14ac:dyDescent="0.25">
      <c r="A4734" s="9"/>
      <c r="E4734" s="10"/>
      <c r="K4734" s="11" t="str">
        <f>IF($E4734="","",ROUND($E4734*IF(ISNA(MATCH($C4734,'Paramètres'!$D:$D,0)),1,IF(INDEX('Paramètres'!$J:$J,MATCH($C4734,'Paramètres'!$D:$D,0))="",1,INDEX('Paramètres'!$J:$J,MATCH($C4734,'Paramètres'!$D:$D,0)))),2))</f>
        <v/>
      </c>
      <c r="L4734" s="6" t="str">
        <f>IF($D4734="","",IF($F4734&lt;&gt;"",$F4734,IF(ISNA(MATCH($D4734,'Paramètres'!$M:$M,0)),"⚠ Type inconnu",IFERROR(INDEX('Paramètres'!$P:$P,MATCH($D4734,'Paramètres'!$M:$M,0))&amp;"",""))))</f>
        <v/>
      </c>
      <c r="M4734" s="6" t="str">
        <f>IF($D4734="","",IF(ISNA(MATCH($D4734,'Paramètres'!$M:$M,0)),"⚠ Type inconnu",IF($L4734="Crédit","",IFERROR(INDEX('Paramètres'!$O:$O,MATCH($D4734,'Paramètres'!$M:$M,0))&amp;"",""))))</f>
        <v/>
      </c>
      <c r="N4734" s="6" t="str">
        <f>IF($D4734="","",IFERROR(INDEX('Paramètres'!$Q:$Q,MATCH($D4734,'Paramètres'!$M:$M,0))&amp;"",""))</f>
        <v/>
      </c>
      <c r="O4734" s="6" t="str">
        <f>IF($A4734="","",IF(OR($J4734&lt;&gt;"x",$A4734&lt;=FinReleve),1,0))</f>
        <v/>
      </c>
      <c r="P4734" s="6" t="str">
        <f>IF($D4734="","",IF(AND($L4734="Crédit",OR(IFERROR(INDEX('Paramètres'!$O:$O,MATCH($D4734,'Paramètres'!$M:$M,0))&amp;"","")&lt;&gt;"",ISNUMBER(SEARCH("remboursement",IFERROR(INDEX('Paramètres'!$N:$N,MATCH($D4734,'Paramètres'!$M:$M,0))&amp;"",""))))),1,0))</f>
        <v/>
      </c>
      <c r="Q4734" s="6" t="str">
        <f>IF($K4734="","",IF(ISNUMBER(SEARCH("transfert-interne",IFERROR(INDEX('Paramètres'!$N:$N,MATCH($D4734,'Paramètres'!$M:$M,0))&amp;"",""))),0,IF($L4734="Débit",$K4734,IF($P4734=1,-$K4734,0))))</f>
        <v/>
      </c>
      <c r="R4734" s="6" t="str">
        <f>IF($K4734="","",IF($L4734="Crédit",$K4734,-$K4734))</f>
        <v/>
      </c>
      <c r="S4734" s="6" t="str">
        <f>IF($C4734="","",IFERROR(INDEX('Paramètres'!$H:$H,MATCH($C4734,'Paramètres'!$D:$D,0))&amp;"",""))</f>
        <v/>
      </c>
      <c r="T4734" s="6" t="str">
        <f>IF($K4734="","",IF($S4734="",0,IF(ISNUMBER(SEARCH("apport-exterieur",IFERROR(INDEX('Paramètres'!$N:$N,MATCH($D4734,'Paramètres'!$M:$M,0))&amp;"",""))),0,IF(OR(IFERROR(INDEX('Paramètres'!$I:$I,MATCH($C4734,'Paramètres'!$D:$D,0))&amp;"","")="Les deux",IFERROR(INDEX('Paramètres'!$I:$I,MATCH($C4734,'Paramètres'!$D:$D,0))&amp;"","")=IF($P4734=1,"Débit",$L4734)),-IF($P4734=1,-$K4734,$K4734),0))))</f>
        <v/>
      </c>
      <c r="U4734" s="6" t="str">
        <f>IF($K4734="","",IF(ISNUMBER(SEARCH("sortie-epargne",IFERROR(INDEX('Paramètres'!$N:$N,MATCH($D4734,'Paramètres'!$M:$M,0))&amp;"",""))),$K4734,0))</f>
        <v/>
      </c>
      <c r="V4734" s="6" t="str">
        <f>IF(AND($A4734&lt;&gt;"",$O4734=1,$L4734="Débit",N($Q4734)&gt;0,$A4734&gt;=Visualisation!$B$1,$A4734&lt;Visualisation!$D$1),MAX($V$1:V4733)+1,"")</f>
        <v/>
      </c>
    </row>
    <row r="4735" spans="1:22" x14ac:dyDescent="0.25">
      <c r="A4735" s="9"/>
      <c r="E4735" s="10"/>
      <c r="K4735" s="11" t="str">
        <f>IF($E4735="","",ROUND($E4735*IF(ISNA(MATCH($C4735,'Paramètres'!$D:$D,0)),1,IF(INDEX('Paramètres'!$J:$J,MATCH($C4735,'Paramètres'!$D:$D,0))="",1,INDEX('Paramètres'!$J:$J,MATCH($C4735,'Paramètres'!$D:$D,0)))),2))</f>
        <v/>
      </c>
      <c r="L4735" s="6" t="str">
        <f>IF($D4735="","",IF($F4735&lt;&gt;"",$F4735,IF(ISNA(MATCH($D4735,'Paramètres'!$M:$M,0)),"⚠ Type inconnu",IFERROR(INDEX('Paramètres'!$P:$P,MATCH($D4735,'Paramètres'!$M:$M,0))&amp;"",""))))</f>
        <v/>
      </c>
      <c r="M4735" s="6" t="str">
        <f>IF($D4735="","",IF(ISNA(MATCH($D4735,'Paramètres'!$M:$M,0)),"⚠ Type inconnu",IF($L4735="Crédit","",IFERROR(INDEX('Paramètres'!$O:$O,MATCH($D4735,'Paramètres'!$M:$M,0))&amp;"",""))))</f>
        <v/>
      </c>
      <c r="N4735" s="6" t="str">
        <f>IF($D4735="","",IFERROR(INDEX('Paramètres'!$Q:$Q,MATCH($D4735,'Paramètres'!$M:$M,0))&amp;"",""))</f>
        <v/>
      </c>
      <c r="O4735" s="6" t="str">
        <f>IF($A4735="","",IF(OR($J4735&lt;&gt;"x",$A4735&lt;=FinReleve),1,0))</f>
        <v/>
      </c>
      <c r="P4735" s="6" t="str">
        <f>IF($D4735="","",IF(AND($L4735="Crédit",OR(IFERROR(INDEX('Paramètres'!$O:$O,MATCH($D4735,'Paramètres'!$M:$M,0))&amp;"","")&lt;&gt;"",ISNUMBER(SEARCH("remboursement",IFERROR(INDEX('Paramètres'!$N:$N,MATCH($D4735,'Paramètres'!$M:$M,0))&amp;"",""))))),1,0))</f>
        <v/>
      </c>
      <c r="Q4735" s="6" t="str">
        <f>IF($K4735="","",IF(ISNUMBER(SEARCH("transfert-interne",IFERROR(INDEX('Paramètres'!$N:$N,MATCH($D4735,'Paramètres'!$M:$M,0))&amp;"",""))),0,IF($L4735="Débit",$K4735,IF($P4735=1,-$K4735,0))))</f>
        <v/>
      </c>
      <c r="R4735" s="6" t="str">
        <f>IF($K4735="","",IF($L4735="Crédit",$K4735,-$K4735))</f>
        <v/>
      </c>
      <c r="S4735" s="6" t="str">
        <f>IF($C4735="","",IFERROR(INDEX('Paramètres'!$H:$H,MATCH($C4735,'Paramètres'!$D:$D,0))&amp;"",""))</f>
        <v/>
      </c>
      <c r="T4735" s="6" t="str">
        <f>IF($K4735="","",IF($S4735="",0,IF(ISNUMBER(SEARCH("apport-exterieur",IFERROR(INDEX('Paramètres'!$N:$N,MATCH($D4735,'Paramètres'!$M:$M,0))&amp;"",""))),0,IF(OR(IFERROR(INDEX('Paramètres'!$I:$I,MATCH($C4735,'Paramètres'!$D:$D,0))&amp;"","")="Les deux",IFERROR(INDEX('Paramètres'!$I:$I,MATCH($C4735,'Paramètres'!$D:$D,0))&amp;"","")=IF($P4735=1,"Débit",$L4735)),-IF($P4735=1,-$K4735,$K4735),0))))</f>
        <v/>
      </c>
      <c r="U4735" s="6" t="str">
        <f>IF($K4735="","",IF(ISNUMBER(SEARCH("sortie-epargne",IFERROR(INDEX('Paramètres'!$N:$N,MATCH($D4735,'Paramètres'!$M:$M,0))&amp;"",""))),$K4735,0))</f>
        <v/>
      </c>
      <c r="V4735" s="6" t="str">
        <f>IF(AND($A4735&lt;&gt;"",$O4735=1,$L4735="Débit",N($Q4735)&gt;0,$A4735&gt;=Visualisation!$B$1,$A4735&lt;Visualisation!$D$1),MAX($V$1:V4734)+1,"")</f>
        <v/>
      </c>
    </row>
    <row r="4736" spans="1:22" x14ac:dyDescent="0.25">
      <c r="A4736" s="9"/>
      <c r="E4736" s="10"/>
      <c r="K4736" s="11" t="str">
        <f>IF($E4736="","",ROUND($E4736*IF(ISNA(MATCH($C4736,'Paramètres'!$D:$D,0)),1,IF(INDEX('Paramètres'!$J:$J,MATCH($C4736,'Paramètres'!$D:$D,0))="",1,INDEX('Paramètres'!$J:$J,MATCH($C4736,'Paramètres'!$D:$D,0)))),2))</f>
        <v/>
      </c>
      <c r="L4736" s="6" t="str">
        <f>IF($D4736="","",IF($F4736&lt;&gt;"",$F4736,IF(ISNA(MATCH($D4736,'Paramètres'!$M:$M,0)),"⚠ Type inconnu",IFERROR(INDEX('Paramètres'!$P:$P,MATCH($D4736,'Paramètres'!$M:$M,0))&amp;"",""))))</f>
        <v/>
      </c>
      <c r="M4736" s="6" t="str">
        <f>IF($D4736="","",IF(ISNA(MATCH($D4736,'Paramètres'!$M:$M,0)),"⚠ Type inconnu",IF($L4736="Crédit","",IFERROR(INDEX('Paramètres'!$O:$O,MATCH($D4736,'Paramètres'!$M:$M,0))&amp;"",""))))</f>
        <v/>
      </c>
      <c r="N4736" s="6" t="str">
        <f>IF($D4736="","",IFERROR(INDEX('Paramètres'!$Q:$Q,MATCH($D4736,'Paramètres'!$M:$M,0))&amp;"",""))</f>
        <v/>
      </c>
      <c r="O4736" s="6" t="str">
        <f>IF($A4736="","",IF(OR($J4736&lt;&gt;"x",$A4736&lt;=FinReleve),1,0))</f>
        <v/>
      </c>
      <c r="P4736" s="6" t="str">
        <f>IF($D4736="","",IF(AND($L4736="Crédit",OR(IFERROR(INDEX('Paramètres'!$O:$O,MATCH($D4736,'Paramètres'!$M:$M,0))&amp;"","")&lt;&gt;"",ISNUMBER(SEARCH("remboursement",IFERROR(INDEX('Paramètres'!$N:$N,MATCH($D4736,'Paramètres'!$M:$M,0))&amp;"",""))))),1,0))</f>
        <v/>
      </c>
      <c r="Q4736" s="6" t="str">
        <f>IF($K4736="","",IF(ISNUMBER(SEARCH("transfert-interne",IFERROR(INDEX('Paramètres'!$N:$N,MATCH($D4736,'Paramètres'!$M:$M,0))&amp;"",""))),0,IF($L4736="Débit",$K4736,IF($P4736=1,-$K4736,0))))</f>
        <v/>
      </c>
      <c r="R4736" s="6" t="str">
        <f>IF($K4736="","",IF($L4736="Crédit",$K4736,-$K4736))</f>
        <v/>
      </c>
      <c r="S4736" s="6" t="str">
        <f>IF($C4736="","",IFERROR(INDEX('Paramètres'!$H:$H,MATCH($C4736,'Paramètres'!$D:$D,0))&amp;"",""))</f>
        <v/>
      </c>
      <c r="T4736" s="6" t="str">
        <f>IF($K4736="","",IF($S4736="",0,IF(ISNUMBER(SEARCH("apport-exterieur",IFERROR(INDEX('Paramètres'!$N:$N,MATCH($D4736,'Paramètres'!$M:$M,0))&amp;"",""))),0,IF(OR(IFERROR(INDEX('Paramètres'!$I:$I,MATCH($C4736,'Paramètres'!$D:$D,0))&amp;"","")="Les deux",IFERROR(INDEX('Paramètres'!$I:$I,MATCH($C4736,'Paramètres'!$D:$D,0))&amp;"","")=IF($P4736=1,"Débit",$L4736)),-IF($P4736=1,-$K4736,$K4736),0))))</f>
        <v/>
      </c>
      <c r="U4736" s="6" t="str">
        <f>IF($K4736="","",IF(ISNUMBER(SEARCH("sortie-epargne",IFERROR(INDEX('Paramètres'!$N:$N,MATCH($D4736,'Paramètres'!$M:$M,0))&amp;"",""))),$K4736,0))</f>
        <v/>
      </c>
      <c r="V4736" s="6" t="str">
        <f>IF(AND($A4736&lt;&gt;"",$O4736=1,$L4736="Débit",N($Q4736)&gt;0,$A4736&gt;=Visualisation!$B$1,$A4736&lt;Visualisation!$D$1),MAX($V$1:V4735)+1,"")</f>
        <v/>
      </c>
    </row>
    <row r="4737" spans="1:22" x14ac:dyDescent="0.25">
      <c r="A4737" s="9"/>
      <c r="E4737" s="10"/>
      <c r="K4737" s="11" t="str">
        <f>IF($E4737="","",ROUND($E4737*IF(ISNA(MATCH($C4737,'Paramètres'!$D:$D,0)),1,IF(INDEX('Paramètres'!$J:$J,MATCH($C4737,'Paramètres'!$D:$D,0))="",1,INDEX('Paramètres'!$J:$J,MATCH($C4737,'Paramètres'!$D:$D,0)))),2))</f>
        <v/>
      </c>
      <c r="L4737" s="6" t="str">
        <f>IF($D4737="","",IF($F4737&lt;&gt;"",$F4737,IF(ISNA(MATCH($D4737,'Paramètres'!$M:$M,0)),"⚠ Type inconnu",IFERROR(INDEX('Paramètres'!$P:$P,MATCH($D4737,'Paramètres'!$M:$M,0))&amp;"",""))))</f>
        <v/>
      </c>
      <c r="M4737" s="6" t="str">
        <f>IF($D4737="","",IF(ISNA(MATCH($D4737,'Paramètres'!$M:$M,0)),"⚠ Type inconnu",IF($L4737="Crédit","",IFERROR(INDEX('Paramètres'!$O:$O,MATCH($D4737,'Paramètres'!$M:$M,0))&amp;"",""))))</f>
        <v/>
      </c>
      <c r="N4737" s="6" t="str">
        <f>IF($D4737="","",IFERROR(INDEX('Paramètres'!$Q:$Q,MATCH($D4737,'Paramètres'!$M:$M,0))&amp;"",""))</f>
        <v/>
      </c>
      <c r="O4737" s="6" t="str">
        <f>IF($A4737="","",IF(OR($J4737&lt;&gt;"x",$A4737&lt;=FinReleve),1,0))</f>
        <v/>
      </c>
      <c r="P4737" s="6" t="str">
        <f>IF($D4737="","",IF(AND($L4737="Crédit",OR(IFERROR(INDEX('Paramètres'!$O:$O,MATCH($D4737,'Paramètres'!$M:$M,0))&amp;"","")&lt;&gt;"",ISNUMBER(SEARCH("remboursement",IFERROR(INDEX('Paramètres'!$N:$N,MATCH($D4737,'Paramètres'!$M:$M,0))&amp;"",""))))),1,0))</f>
        <v/>
      </c>
      <c r="Q4737" s="6" t="str">
        <f>IF($K4737="","",IF(ISNUMBER(SEARCH("transfert-interne",IFERROR(INDEX('Paramètres'!$N:$N,MATCH($D4737,'Paramètres'!$M:$M,0))&amp;"",""))),0,IF($L4737="Débit",$K4737,IF($P4737=1,-$K4737,0))))</f>
        <v/>
      </c>
      <c r="R4737" s="6" t="str">
        <f>IF($K4737="","",IF($L4737="Crédit",$K4737,-$K4737))</f>
        <v/>
      </c>
      <c r="S4737" s="6" t="str">
        <f>IF($C4737="","",IFERROR(INDEX('Paramètres'!$H:$H,MATCH($C4737,'Paramètres'!$D:$D,0))&amp;"",""))</f>
        <v/>
      </c>
      <c r="T4737" s="6" t="str">
        <f>IF($K4737="","",IF($S4737="",0,IF(ISNUMBER(SEARCH("apport-exterieur",IFERROR(INDEX('Paramètres'!$N:$N,MATCH($D4737,'Paramètres'!$M:$M,0))&amp;"",""))),0,IF(OR(IFERROR(INDEX('Paramètres'!$I:$I,MATCH($C4737,'Paramètres'!$D:$D,0))&amp;"","")="Les deux",IFERROR(INDEX('Paramètres'!$I:$I,MATCH($C4737,'Paramètres'!$D:$D,0))&amp;"","")=IF($P4737=1,"Débit",$L4737)),-IF($P4737=1,-$K4737,$K4737),0))))</f>
        <v/>
      </c>
      <c r="U4737" s="6" t="str">
        <f>IF($K4737="","",IF(ISNUMBER(SEARCH("sortie-epargne",IFERROR(INDEX('Paramètres'!$N:$N,MATCH($D4737,'Paramètres'!$M:$M,0))&amp;"",""))),$K4737,0))</f>
        <v/>
      </c>
      <c r="V4737" s="6" t="str">
        <f>IF(AND($A4737&lt;&gt;"",$O4737=1,$L4737="Débit",N($Q4737)&gt;0,$A4737&gt;=Visualisation!$B$1,$A4737&lt;Visualisation!$D$1),MAX($V$1:V4736)+1,"")</f>
        <v/>
      </c>
    </row>
    <row r="4738" spans="1:22" x14ac:dyDescent="0.25">
      <c r="A4738" s="9"/>
      <c r="E4738" s="10"/>
      <c r="K4738" s="11" t="str">
        <f>IF($E4738="","",ROUND($E4738*IF(ISNA(MATCH($C4738,'Paramètres'!$D:$D,0)),1,IF(INDEX('Paramètres'!$J:$J,MATCH($C4738,'Paramètres'!$D:$D,0))="",1,INDEX('Paramètres'!$J:$J,MATCH($C4738,'Paramètres'!$D:$D,0)))),2))</f>
        <v/>
      </c>
      <c r="L4738" s="6" t="str">
        <f>IF($D4738="","",IF($F4738&lt;&gt;"",$F4738,IF(ISNA(MATCH($D4738,'Paramètres'!$M:$M,0)),"⚠ Type inconnu",IFERROR(INDEX('Paramètres'!$P:$P,MATCH($D4738,'Paramètres'!$M:$M,0))&amp;"",""))))</f>
        <v/>
      </c>
      <c r="M4738" s="6" t="str">
        <f>IF($D4738="","",IF(ISNA(MATCH($D4738,'Paramètres'!$M:$M,0)),"⚠ Type inconnu",IF($L4738="Crédit","",IFERROR(INDEX('Paramètres'!$O:$O,MATCH($D4738,'Paramètres'!$M:$M,0))&amp;"",""))))</f>
        <v/>
      </c>
      <c r="N4738" s="6" t="str">
        <f>IF($D4738="","",IFERROR(INDEX('Paramètres'!$Q:$Q,MATCH($D4738,'Paramètres'!$M:$M,0))&amp;"",""))</f>
        <v/>
      </c>
      <c r="O4738" s="6" t="str">
        <f>IF($A4738="","",IF(OR($J4738&lt;&gt;"x",$A4738&lt;=FinReleve),1,0))</f>
        <v/>
      </c>
      <c r="P4738" s="6" t="str">
        <f>IF($D4738="","",IF(AND($L4738="Crédit",OR(IFERROR(INDEX('Paramètres'!$O:$O,MATCH($D4738,'Paramètres'!$M:$M,0))&amp;"","")&lt;&gt;"",ISNUMBER(SEARCH("remboursement",IFERROR(INDEX('Paramètres'!$N:$N,MATCH($D4738,'Paramètres'!$M:$M,0))&amp;"",""))))),1,0))</f>
        <v/>
      </c>
      <c r="Q4738" s="6" t="str">
        <f>IF($K4738="","",IF(ISNUMBER(SEARCH("transfert-interne",IFERROR(INDEX('Paramètres'!$N:$N,MATCH($D4738,'Paramètres'!$M:$M,0))&amp;"",""))),0,IF($L4738="Débit",$K4738,IF($P4738=1,-$K4738,0))))</f>
        <v/>
      </c>
      <c r="R4738" s="6" t="str">
        <f>IF($K4738="","",IF($L4738="Crédit",$K4738,-$K4738))</f>
        <v/>
      </c>
      <c r="S4738" s="6" t="str">
        <f>IF($C4738="","",IFERROR(INDEX('Paramètres'!$H:$H,MATCH($C4738,'Paramètres'!$D:$D,0))&amp;"",""))</f>
        <v/>
      </c>
      <c r="T4738" s="6" t="str">
        <f>IF($K4738="","",IF($S4738="",0,IF(ISNUMBER(SEARCH("apport-exterieur",IFERROR(INDEX('Paramètres'!$N:$N,MATCH($D4738,'Paramètres'!$M:$M,0))&amp;"",""))),0,IF(OR(IFERROR(INDEX('Paramètres'!$I:$I,MATCH($C4738,'Paramètres'!$D:$D,0))&amp;"","")="Les deux",IFERROR(INDEX('Paramètres'!$I:$I,MATCH($C4738,'Paramètres'!$D:$D,0))&amp;"","")=IF($P4738=1,"Débit",$L4738)),-IF($P4738=1,-$K4738,$K4738),0))))</f>
        <v/>
      </c>
      <c r="U4738" s="6" t="str">
        <f>IF($K4738="","",IF(ISNUMBER(SEARCH("sortie-epargne",IFERROR(INDEX('Paramètres'!$N:$N,MATCH($D4738,'Paramètres'!$M:$M,0))&amp;"",""))),$K4738,0))</f>
        <v/>
      </c>
      <c r="V4738" s="6" t="str">
        <f>IF(AND($A4738&lt;&gt;"",$O4738=1,$L4738="Débit",N($Q4738)&gt;0,$A4738&gt;=Visualisation!$B$1,$A4738&lt;Visualisation!$D$1),MAX($V$1:V4737)+1,"")</f>
        <v/>
      </c>
    </row>
    <row r="4739" spans="1:22" x14ac:dyDescent="0.25">
      <c r="A4739" s="9"/>
      <c r="E4739" s="10"/>
      <c r="K4739" s="11" t="str">
        <f>IF($E4739="","",ROUND($E4739*IF(ISNA(MATCH($C4739,'Paramètres'!$D:$D,0)),1,IF(INDEX('Paramètres'!$J:$J,MATCH($C4739,'Paramètres'!$D:$D,0))="",1,INDEX('Paramètres'!$J:$J,MATCH($C4739,'Paramètres'!$D:$D,0)))),2))</f>
        <v/>
      </c>
      <c r="L4739" s="6" t="str">
        <f>IF($D4739="","",IF($F4739&lt;&gt;"",$F4739,IF(ISNA(MATCH($D4739,'Paramètres'!$M:$M,0)),"⚠ Type inconnu",IFERROR(INDEX('Paramètres'!$P:$P,MATCH($D4739,'Paramètres'!$M:$M,0))&amp;"",""))))</f>
        <v/>
      </c>
      <c r="M4739" s="6" t="str">
        <f>IF($D4739="","",IF(ISNA(MATCH($D4739,'Paramètres'!$M:$M,0)),"⚠ Type inconnu",IF($L4739="Crédit","",IFERROR(INDEX('Paramètres'!$O:$O,MATCH($D4739,'Paramètres'!$M:$M,0))&amp;"",""))))</f>
        <v/>
      </c>
      <c r="N4739" s="6" t="str">
        <f>IF($D4739="","",IFERROR(INDEX('Paramètres'!$Q:$Q,MATCH($D4739,'Paramètres'!$M:$M,0))&amp;"",""))</f>
        <v/>
      </c>
      <c r="O4739" s="6" t="str">
        <f>IF($A4739="","",IF(OR($J4739&lt;&gt;"x",$A4739&lt;=FinReleve),1,0))</f>
        <v/>
      </c>
      <c r="P4739" s="6" t="str">
        <f>IF($D4739="","",IF(AND($L4739="Crédit",OR(IFERROR(INDEX('Paramètres'!$O:$O,MATCH($D4739,'Paramètres'!$M:$M,0))&amp;"","")&lt;&gt;"",ISNUMBER(SEARCH("remboursement",IFERROR(INDEX('Paramètres'!$N:$N,MATCH($D4739,'Paramètres'!$M:$M,0))&amp;"",""))))),1,0))</f>
        <v/>
      </c>
      <c r="Q4739" s="6" t="str">
        <f>IF($K4739="","",IF(ISNUMBER(SEARCH("transfert-interne",IFERROR(INDEX('Paramètres'!$N:$N,MATCH($D4739,'Paramètres'!$M:$M,0))&amp;"",""))),0,IF($L4739="Débit",$K4739,IF($P4739=1,-$K4739,0))))</f>
        <v/>
      </c>
      <c r="R4739" s="6" t="str">
        <f>IF($K4739="","",IF($L4739="Crédit",$K4739,-$K4739))</f>
        <v/>
      </c>
      <c r="S4739" s="6" t="str">
        <f>IF($C4739="","",IFERROR(INDEX('Paramètres'!$H:$H,MATCH($C4739,'Paramètres'!$D:$D,0))&amp;"",""))</f>
        <v/>
      </c>
      <c r="T4739" s="6" t="str">
        <f>IF($K4739="","",IF($S4739="",0,IF(ISNUMBER(SEARCH("apport-exterieur",IFERROR(INDEX('Paramètres'!$N:$N,MATCH($D4739,'Paramètres'!$M:$M,0))&amp;"",""))),0,IF(OR(IFERROR(INDEX('Paramètres'!$I:$I,MATCH($C4739,'Paramètres'!$D:$D,0))&amp;"","")="Les deux",IFERROR(INDEX('Paramètres'!$I:$I,MATCH($C4739,'Paramètres'!$D:$D,0))&amp;"","")=IF($P4739=1,"Débit",$L4739)),-IF($P4739=1,-$K4739,$K4739),0))))</f>
        <v/>
      </c>
      <c r="U4739" s="6" t="str">
        <f>IF($K4739="","",IF(ISNUMBER(SEARCH("sortie-epargne",IFERROR(INDEX('Paramètres'!$N:$N,MATCH($D4739,'Paramètres'!$M:$M,0))&amp;"",""))),$K4739,0))</f>
        <v/>
      </c>
      <c r="V4739" s="6" t="str">
        <f>IF(AND($A4739&lt;&gt;"",$O4739=1,$L4739="Débit",N($Q4739)&gt;0,$A4739&gt;=Visualisation!$B$1,$A4739&lt;Visualisation!$D$1),MAX($V$1:V4738)+1,"")</f>
        <v/>
      </c>
    </row>
    <row r="4740" spans="1:22" x14ac:dyDescent="0.25">
      <c r="A4740" s="9"/>
      <c r="E4740" s="10"/>
      <c r="K4740" s="11" t="str">
        <f>IF($E4740="","",ROUND($E4740*IF(ISNA(MATCH($C4740,'Paramètres'!$D:$D,0)),1,IF(INDEX('Paramètres'!$J:$J,MATCH($C4740,'Paramètres'!$D:$D,0))="",1,INDEX('Paramètres'!$J:$J,MATCH($C4740,'Paramètres'!$D:$D,0)))),2))</f>
        <v/>
      </c>
      <c r="L4740" s="6" t="str">
        <f>IF($D4740="","",IF($F4740&lt;&gt;"",$F4740,IF(ISNA(MATCH($D4740,'Paramètres'!$M:$M,0)),"⚠ Type inconnu",IFERROR(INDEX('Paramètres'!$P:$P,MATCH($D4740,'Paramètres'!$M:$M,0))&amp;"",""))))</f>
        <v/>
      </c>
      <c r="M4740" s="6" t="str">
        <f>IF($D4740="","",IF(ISNA(MATCH($D4740,'Paramètres'!$M:$M,0)),"⚠ Type inconnu",IF($L4740="Crédit","",IFERROR(INDEX('Paramètres'!$O:$O,MATCH($D4740,'Paramètres'!$M:$M,0))&amp;"",""))))</f>
        <v/>
      </c>
      <c r="N4740" s="6" t="str">
        <f>IF($D4740="","",IFERROR(INDEX('Paramètres'!$Q:$Q,MATCH($D4740,'Paramètres'!$M:$M,0))&amp;"",""))</f>
        <v/>
      </c>
      <c r="O4740" s="6" t="str">
        <f>IF($A4740="","",IF(OR($J4740&lt;&gt;"x",$A4740&lt;=FinReleve),1,0))</f>
        <v/>
      </c>
      <c r="P4740" s="6" t="str">
        <f>IF($D4740="","",IF(AND($L4740="Crédit",OR(IFERROR(INDEX('Paramètres'!$O:$O,MATCH($D4740,'Paramètres'!$M:$M,0))&amp;"","")&lt;&gt;"",ISNUMBER(SEARCH("remboursement",IFERROR(INDEX('Paramètres'!$N:$N,MATCH($D4740,'Paramètres'!$M:$M,0))&amp;"",""))))),1,0))</f>
        <v/>
      </c>
      <c r="Q4740" s="6" t="str">
        <f>IF($K4740="","",IF(ISNUMBER(SEARCH("transfert-interne",IFERROR(INDEX('Paramètres'!$N:$N,MATCH($D4740,'Paramètres'!$M:$M,0))&amp;"",""))),0,IF($L4740="Débit",$K4740,IF($P4740=1,-$K4740,0))))</f>
        <v/>
      </c>
      <c r="R4740" s="6" t="str">
        <f>IF($K4740="","",IF($L4740="Crédit",$K4740,-$K4740))</f>
        <v/>
      </c>
      <c r="S4740" s="6" t="str">
        <f>IF($C4740="","",IFERROR(INDEX('Paramètres'!$H:$H,MATCH($C4740,'Paramètres'!$D:$D,0))&amp;"",""))</f>
        <v/>
      </c>
      <c r="T4740" s="6" t="str">
        <f>IF($K4740="","",IF($S4740="",0,IF(ISNUMBER(SEARCH("apport-exterieur",IFERROR(INDEX('Paramètres'!$N:$N,MATCH($D4740,'Paramètres'!$M:$M,0))&amp;"",""))),0,IF(OR(IFERROR(INDEX('Paramètres'!$I:$I,MATCH($C4740,'Paramètres'!$D:$D,0))&amp;"","")="Les deux",IFERROR(INDEX('Paramètres'!$I:$I,MATCH($C4740,'Paramètres'!$D:$D,0))&amp;"","")=IF($P4740=1,"Débit",$L4740)),-IF($P4740=1,-$K4740,$K4740),0))))</f>
        <v/>
      </c>
      <c r="U4740" s="6" t="str">
        <f>IF($K4740="","",IF(ISNUMBER(SEARCH("sortie-epargne",IFERROR(INDEX('Paramètres'!$N:$N,MATCH($D4740,'Paramètres'!$M:$M,0))&amp;"",""))),$K4740,0))</f>
        <v/>
      </c>
      <c r="V4740" s="6" t="str">
        <f>IF(AND($A4740&lt;&gt;"",$O4740=1,$L4740="Débit",N($Q4740)&gt;0,$A4740&gt;=Visualisation!$B$1,$A4740&lt;Visualisation!$D$1),MAX($V$1:V4739)+1,"")</f>
        <v/>
      </c>
    </row>
    <row r="4741" spans="1:22" x14ac:dyDescent="0.25">
      <c r="A4741" s="9"/>
      <c r="E4741" s="10"/>
      <c r="K4741" s="11" t="str">
        <f>IF($E4741="","",ROUND($E4741*IF(ISNA(MATCH($C4741,'Paramètres'!$D:$D,0)),1,IF(INDEX('Paramètres'!$J:$J,MATCH($C4741,'Paramètres'!$D:$D,0))="",1,INDEX('Paramètres'!$J:$J,MATCH($C4741,'Paramètres'!$D:$D,0)))),2))</f>
        <v/>
      </c>
      <c r="L4741" s="6" t="str">
        <f>IF($D4741="","",IF($F4741&lt;&gt;"",$F4741,IF(ISNA(MATCH($D4741,'Paramètres'!$M:$M,0)),"⚠ Type inconnu",IFERROR(INDEX('Paramètres'!$P:$P,MATCH($D4741,'Paramètres'!$M:$M,0))&amp;"",""))))</f>
        <v/>
      </c>
      <c r="M4741" s="6" t="str">
        <f>IF($D4741="","",IF(ISNA(MATCH($D4741,'Paramètres'!$M:$M,0)),"⚠ Type inconnu",IF($L4741="Crédit","",IFERROR(INDEX('Paramètres'!$O:$O,MATCH($D4741,'Paramètres'!$M:$M,0))&amp;"",""))))</f>
        <v/>
      </c>
      <c r="N4741" s="6" t="str">
        <f>IF($D4741="","",IFERROR(INDEX('Paramètres'!$Q:$Q,MATCH($D4741,'Paramètres'!$M:$M,0))&amp;"",""))</f>
        <v/>
      </c>
      <c r="O4741" s="6" t="str">
        <f>IF($A4741="","",IF(OR($J4741&lt;&gt;"x",$A4741&lt;=FinReleve),1,0))</f>
        <v/>
      </c>
      <c r="P4741" s="6" t="str">
        <f>IF($D4741="","",IF(AND($L4741="Crédit",OR(IFERROR(INDEX('Paramètres'!$O:$O,MATCH($D4741,'Paramètres'!$M:$M,0))&amp;"","")&lt;&gt;"",ISNUMBER(SEARCH("remboursement",IFERROR(INDEX('Paramètres'!$N:$N,MATCH($D4741,'Paramètres'!$M:$M,0))&amp;"",""))))),1,0))</f>
        <v/>
      </c>
      <c r="Q4741" s="6" t="str">
        <f>IF($K4741="","",IF(ISNUMBER(SEARCH("transfert-interne",IFERROR(INDEX('Paramètres'!$N:$N,MATCH($D4741,'Paramètres'!$M:$M,0))&amp;"",""))),0,IF($L4741="Débit",$K4741,IF($P4741=1,-$K4741,0))))</f>
        <v/>
      </c>
      <c r="R4741" s="6" t="str">
        <f>IF($K4741="","",IF($L4741="Crédit",$K4741,-$K4741))</f>
        <v/>
      </c>
      <c r="S4741" s="6" t="str">
        <f>IF($C4741="","",IFERROR(INDEX('Paramètres'!$H:$H,MATCH($C4741,'Paramètres'!$D:$D,0))&amp;"",""))</f>
        <v/>
      </c>
      <c r="T4741" s="6" t="str">
        <f>IF($K4741="","",IF($S4741="",0,IF(ISNUMBER(SEARCH("apport-exterieur",IFERROR(INDEX('Paramètres'!$N:$N,MATCH($D4741,'Paramètres'!$M:$M,0))&amp;"",""))),0,IF(OR(IFERROR(INDEX('Paramètres'!$I:$I,MATCH($C4741,'Paramètres'!$D:$D,0))&amp;"","")="Les deux",IFERROR(INDEX('Paramètres'!$I:$I,MATCH($C4741,'Paramètres'!$D:$D,0))&amp;"","")=IF($P4741=1,"Débit",$L4741)),-IF($P4741=1,-$K4741,$K4741),0))))</f>
        <v/>
      </c>
      <c r="U4741" s="6" t="str">
        <f>IF($K4741="","",IF(ISNUMBER(SEARCH("sortie-epargne",IFERROR(INDEX('Paramètres'!$N:$N,MATCH($D4741,'Paramètres'!$M:$M,0))&amp;"",""))),$K4741,0))</f>
        <v/>
      </c>
      <c r="V4741" s="6" t="str">
        <f>IF(AND($A4741&lt;&gt;"",$O4741=1,$L4741="Débit",N($Q4741)&gt;0,$A4741&gt;=Visualisation!$B$1,$A4741&lt;Visualisation!$D$1),MAX($V$1:V4740)+1,"")</f>
        <v/>
      </c>
    </row>
    <row r="4742" spans="1:22" x14ac:dyDescent="0.25">
      <c r="A4742" s="9"/>
      <c r="E4742" s="10"/>
      <c r="K4742" s="11" t="str">
        <f>IF($E4742="","",ROUND($E4742*IF(ISNA(MATCH($C4742,'Paramètres'!$D:$D,0)),1,IF(INDEX('Paramètres'!$J:$J,MATCH($C4742,'Paramètres'!$D:$D,0))="",1,INDEX('Paramètres'!$J:$J,MATCH($C4742,'Paramètres'!$D:$D,0)))),2))</f>
        <v/>
      </c>
      <c r="L4742" s="6" t="str">
        <f>IF($D4742="","",IF($F4742&lt;&gt;"",$F4742,IF(ISNA(MATCH($D4742,'Paramètres'!$M:$M,0)),"⚠ Type inconnu",IFERROR(INDEX('Paramètres'!$P:$P,MATCH($D4742,'Paramètres'!$M:$M,0))&amp;"",""))))</f>
        <v/>
      </c>
      <c r="M4742" s="6" t="str">
        <f>IF($D4742="","",IF(ISNA(MATCH($D4742,'Paramètres'!$M:$M,0)),"⚠ Type inconnu",IF($L4742="Crédit","",IFERROR(INDEX('Paramètres'!$O:$O,MATCH($D4742,'Paramètres'!$M:$M,0))&amp;"",""))))</f>
        <v/>
      </c>
      <c r="N4742" s="6" t="str">
        <f>IF($D4742="","",IFERROR(INDEX('Paramètres'!$Q:$Q,MATCH($D4742,'Paramètres'!$M:$M,0))&amp;"",""))</f>
        <v/>
      </c>
      <c r="O4742" s="6" t="str">
        <f>IF($A4742="","",IF(OR($J4742&lt;&gt;"x",$A4742&lt;=FinReleve),1,0))</f>
        <v/>
      </c>
      <c r="P4742" s="6" t="str">
        <f>IF($D4742="","",IF(AND($L4742="Crédit",OR(IFERROR(INDEX('Paramètres'!$O:$O,MATCH($D4742,'Paramètres'!$M:$M,0))&amp;"","")&lt;&gt;"",ISNUMBER(SEARCH("remboursement",IFERROR(INDEX('Paramètres'!$N:$N,MATCH($D4742,'Paramètres'!$M:$M,0))&amp;"",""))))),1,0))</f>
        <v/>
      </c>
      <c r="Q4742" s="6" t="str">
        <f>IF($K4742="","",IF(ISNUMBER(SEARCH("transfert-interne",IFERROR(INDEX('Paramètres'!$N:$N,MATCH($D4742,'Paramètres'!$M:$M,0))&amp;"",""))),0,IF($L4742="Débit",$K4742,IF($P4742=1,-$K4742,0))))</f>
        <v/>
      </c>
      <c r="R4742" s="6" t="str">
        <f>IF($K4742="","",IF($L4742="Crédit",$K4742,-$K4742))</f>
        <v/>
      </c>
      <c r="S4742" s="6" t="str">
        <f>IF($C4742="","",IFERROR(INDEX('Paramètres'!$H:$H,MATCH($C4742,'Paramètres'!$D:$D,0))&amp;"",""))</f>
        <v/>
      </c>
      <c r="T4742" s="6" t="str">
        <f>IF($K4742="","",IF($S4742="",0,IF(ISNUMBER(SEARCH("apport-exterieur",IFERROR(INDEX('Paramètres'!$N:$N,MATCH($D4742,'Paramètres'!$M:$M,0))&amp;"",""))),0,IF(OR(IFERROR(INDEX('Paramètres'!$I:$I,MATCH($C4742,'Paramètres'!$D:$D,0))&amp;"","")="Les deux",IFERROR(INDEX('Paramètres'!$I:$I,MATCH($C4742,'Paramètres'!$D:$D,0))&amp;"","")=IF($P4742=1,"Débit",$L4742)),-IF($P4742=1,-$K4742,$K4742),0))))</f>
        <v/>
      </c>
      <c r="U4742" s="6" t="str">
        <f>IF($K4742="","",IF(ISNUMBER(SEARCH("sortie-epargne",IFERROR(INDEX('Paramètres'!$N:$N,MATCH($D4742,'Paramètres'!$M:$M,0))&amp;"",""))),$K4742,0))</f>
        <v/>
      </c>
      <c r="V4742" s="6" t="str">
        <f>IF(AND($A4742&lt;&gt;"",$O4742=1,$L4742="Débit",N($Q4742)&gt;0,$A4742&gt;=Visualisation!$B$1,$A4742&lt;Visualisation!$D$1),MAX($V$1:V4741)+1,"")</f>
        <v/>
      </c>
    </row>
    <row r="4743" spans="1:22" x14ac:dyDescent="0.25">
      <c r="A4743" s="9"/>
      <c r="E4743" s="10"/>
      <c r="K4743" s="11" t="str">
        <f>IF($E4743="","",ROUND($E4743*IF(ISNA(MATCH($C4743,'Paramètres'!$D:$D,0)),1,IF(INDEX('Paramètres'!$J:$J,MATCH($C4743,'Paramètres'!$D:$D,0))="",1,INDEX('Paramètres'!$J:$J,MATCH($C4743,'Paramètres'!$D:$D,0)))),2))</f>
        <v/>
      </c>
      <c r="L4743" s="6" t="str">
        <f>IF($D4743="","",IF($F4743&lt;&gt;"",$F4743,IF(ISNA(MATCH($D4743,'Paramètres'!$M:$M,0)),"⚠ Type inconnu",IFERROR(INDEX('Paramètres'!$P:$P,MATCH($D4743,'Paramètres'!$M:$M,0))&amp;"",""))))</f>
        <v/>
      </c>
      <c r="M4743" s="6" t="str">
        <f>IF($D4743="","",IF(ISNA(MATCH($D4743,'Paramètres'!$M:$M,0)),"⚠ Type inconnu",IF($L4743="Crédit","",IFERROR(INDEX('Paramètres'!$O:$O,MATCH($D4743,'Paramètres'!$M:$M,0))&amp;"",""))))</f>
        <v/>
      </c>
      <c r="N4743" s="6" t="str">
        <f>IF($D4743="","",IFERROR(INDEX('Paramètres'!$Q:$Q,MATCH($D4743,'Paramètres'!$M:$M,0))&amp;"",""))</f>
        <v/>
      </c>
      <c r="O4743" s="6" t="str">
        <f>IF($A4743="","",IF(OR($J4743&lt;&gt;"x",$A4743&lt;=FinReleve),1,0))</f>
        <v/>
      </c>
      <c r="P4743" s="6" t="str">
        <f>IF($D4743="","",IF(AND($L4743="Crédit",OR(IFERROR(INDEX('Paramètres'!$O:$O,MATCH($D4743,'Paramètres'!$M:$M,0))&amp;"","")&lt;&gt;"",ISNUMBER(SEARCH("remboursement",IFERROR(INDEX('Paramètres'!$N:$N,MATCH($D4743,'Paramètres'!$M:$M,0))&amp;"",""))))),1,0))</f>
        <v/>
      </c>
      <c r="Q4743" s="6" t="str">
        <f>IF($K4743="","",IF(ISNUMBER(SEARCH("transfert-interne",IFERROR(INDEX('Paramètres'!$N:$N,MATCH($D4743,'Paramètres'!$M:$M,0))&amp;"",""))),0,IF($L4743="Débit",$K4743,IF($P4743=1,-$K4743,0))))</f>
        <v/>
      </c>
      <c r="R4743" s="6" t="str">
        <f>IF($K4743="","",IF($L4743="Crédit",$K4743,-$K4743))</f>
        <v/>
      </c>
      <c r="S4743" s="6" t="str">
        <f>IF($C4743="","",IFERROR(INDEX('Paramètres'!$H:$H,MATCH($C4743,'Paramètres'!$D:$D,0))&amp;"",""))</f>
        <v/>
      </c>
      <c r="T4743" s="6" t="str">
        <f>IF($K4743="","",IF($S4743="",0,IF(ISNUMBER(SEARCH("apport-exterieur",IFERROR(INDEX('Paramètres'!$N:$N,MATCH($D4743,'Paramètres'!$M:$M,0))&amp;"",""))),0,IF(OR(IFERROR(INDEX('Paramètres'!$I:$I,MATCH($C4743,'Paramètres'!$D:$D,0))&amp;"","")="Les deux",IFERROR(INDEX('Paramètres'!$I:$I,MATCH($C4743,'Paramètres'!$D:$D,0))&amp;"","")=IF($P4743=1,"Débit",$L4743)),-IF($P4743=1,-$K4743,$K4743),0))))</f>
        <v/>
      </c>
      <c r="U4743" s="6" t="str">
        <f>IF($K4743="","",IF(ISNUMBER(SEARCH("sortie-epargne",IFERROR(INDEX('Paramètres'!$N:$N,MATCH($D4743,'Paramètres'!$M:$M,0))&amp;"",""))),$K4743,0))</f>
        <v/>
      </c>
      <c r="V4743" s="6" t="str">
        <f>IF(AND($A4743&lt;&gt;"",$O4743=1,$L4743="Débit",N($Q4743)&gt;0,$A4743&gt;=Visualisation!$B$1,$A4743&lt;Visualisation!$D$1),MAX($V$1:V4742)+1,"")</f>
        <v/>
      </c>
    </row>
    <row r="4744" spans="1:22" x14ac:dyDescent="0.25">
      <c r="A4744" s="9"/>
      <c r="E4744" s="10"/>
      <c r="K4744" s="11" t="str">
        <f>IF($E4744="","",ROUND($E4744*IF(ISNA(MATCH($C4744,'Paramètres'!$D:$D,0)),1,IF(INDEX('Paramètres'!$J:$J,MATCH($C4744,'Paramètres'!$D:$D,0))="",1,INDEX('Paramètres'!$J:$J,MATCH($C4744,'Paramètres'!$D:$D,0)))),2))</f>
        <v/>
      </c>
      <c r="L4744" s="6" t="str">
        <f>IF($D4744="","",IF($F4744&lt;&gt;"",$F4744,IF(ISNA(MATCH($D4744,'Paramètres'!$M:$M,0)),"⚠ Type inconnu",IFERROR(INDEX('Paramètres'!$P:$P,MATCH($D4744,'Paramètres'!$M:$M,0))&amp;"",""))))</f>
        <v/>
      </c>
      <c r="M4744" s="6" t="str">
        <f>IF($D4744="","",IF(ISNA(MATCH($D4744,'Paramètres'!$M:$M,0)),"⚠ Type inconnu",IF($L4744="Crédit","",IFERROR(INDEX('Paramètres'!$O:$O,MATCH($D4744,'Paramètres'!$M:$M,0))&amp;"",""))))</f>
        <v/>
      </c>
      <c r="N4744" s="6" t="str">
        <f>IF($D4744="","",IFERROR(INDEX('Paramètres'!$Q:$Q,MATCH($D4744,'Paramètres'!$M:$M,0))&amp;"",""))</f>
        <v/>
      </c>
      <c r="O4744" s="6" t="str">
        <f>IF($A4744="","",IF(OR($J4744&lt;&gt;"x",$A4744&lt;=FinReleve),1,0))</f>
        <v/>
      </c>
      <c r="P4744" s="6" t="str">
        <f>IF($D4744="","",IF(AND($L4744="Crédit",OR(IFERROR(INDEX('Paramètres'!$O:$O,MATCH($D4744,'Paramètres'!$M:$M,0))&amp;"","")&lt;&gt;"",ISNUMBER(SEARCH("remboursement",IFERROR(INDEX('Paramètres'!$N:$N,MATCH($D4744,'Paramètres'!$M:$M,0))&amp;"",""))))),1,0))</f>
        <v/>
      </c>
      <c r="Q4744" s="6" t="str">
        <f>IF($K4744="","",IF(ISNUMBER(SEARCH("transfert-interne",IFERROR(INDEX('Paramètres'!$N:$N,MATCH($D4744,'Paramètres'!$M:$M,0))&amp;"",""))),0,IF($L4744="Débit",$K4744,IF($P4744=1,-$K4744,0))))</f>
        <v/>
      </c>
      <c r="R4744" s="6" t="str">
        <f>IF($K4744="","",IF($L4744="Crédit",$K4744,-$K4744))</f>
        <v/>
      </c>
      <c r="S4744" s="6" t="str">
        <f>IF($C4744="","",IFERROR(INDEX('Paramètres'!$H:$H,MATCH($C4744,'Paramètres'!$D:$D,0))&amp;"",""))</f>
        <v/>
      </c>
      <c r="T4744" s="6" t="str">
        <f>IF($K4744="","",IF($S4744="",0,IF(ISNUMBER(SEARCH("apport-exterieur",IFERROR(INDEX('Paramètres'!$N:$N,MATCH($D4744,'Paramètres'!$M:$M,0))&amp;"",""))),0,IF(OR(IFERROR(INDEX('Paramètres'!$I:$I,MATCH($C4744,'Paramètres'!$D:$D,0))&amp;"","")="Les deux",IFERROR(INDEX('Paramètres'!$I:$I,MATCH($C4744,'Paramètres'!$D:$D,0))&amp;"","")=IF($P4744=1,"Débit",$L4744)),-IF($P4744=1,-$K4744,$K4744),0))))</f>
        <v/>
      </c>
      <c r="U4744" s="6" t="str">
        <f>IF($K4744="","",IF(ISNUMBER(SEARCH("sortie-epargne",IFERROR(INDEX('Paramètres'!$N:$N,MATCH($D4744,'Paramètres'!$M:$M,0))&amp;"",""))),$K4744,0))</f>
        <v/>
      </c>
      <c r="V4744" s="6" t="str">
        <f>IF(AND($A4744&lt;&gt;"",$O4744=1,$L4744="Débit",N($Q4744)&gt;0,$A4744&gt;=Visualisation!$B$1,$A4744&lt;Visualisation!$D$1),MAX($V$1:V4743)+1,"")</f>
        <v/>
      </c>
    </row>
    <row r="4745" spans="1:22" x14ac:dyDescent="0.25">
      <c r="A4745" s="9"/>
      <c r="E4745" s="10"/>
      <c r="K4745" s="11" t="str">
        <f>IF($E4745="","",ROUND($E4745*IF(ISNA(MATCH($C4745,'Paramètres'!$D:$D,0)),1,IF(INDEX('Paramètres'!$J:$J,MATCH($C4745,'Paramètres'!$D:$D,0))="",1,INDEX('Paramètres'!$J:$J,MATCH($C4745,'Paramètres'!$D:$D,0)))),2))</f>
        <v/>
      </c>
      <c r="L4745" s="6" t="str">
        <f>IF($D4745="","",IF($F4745&lt;&gt;"",$F4745,IF(ISNA(MATCH($D4745,'Paramètres'!$M:$M,0)),"⚠ Type inconnu",IFERROR(INDEX('Paramètres'!$P:$P,MATCH($D4745,'Paramètres'!$M:$M,0))&amp;"",""))))</f>
        <v/>
      </c>
      <c r="M4745" s="6" t="str">
        <f>IF($D4745="","",IF(ISNA(MATCH($D4745,'Paramètres'!$M:$M,0)),"⚠ Type inconnu",IF($L4745="Crédit","",IFERROR(INDEX('Paramètres'!$O:$O,MATCH($D4745,'Paramètres'!$M:$M,0))&amp;"",""))))</f>
        <v/>
      </c>
      <c r="N4745" s="6" t="str">
        <f>IF($D4745="","",IFERROR(INDEX('Paramètres'!$Q:$Q,MATCH($D4745,'Paramètres'!$M:$M,0))&amp;"",""))</f>
        <v/>
      </c>
      <c r="O4745" s="6" t="str">
        <f>IF($A4745="","",IF(OR($J4745&lt;&gt;"x",$A4745&lt;=FinReleve),1,0))</f>
        <v/>
      </c>
      <c r="P4745" s="6" t="str">
        <f>IF($D4745="","",IF(AND($L4745="Crédit",OR(IFERROR(INDEX('Paramètres'!$O:$O,MATCH($D4745,'Paramètres'!$M:$M,0))&amp;"","")&lt;&gt;"",ISNUMBER(SEARCH("remboursement",IFERROR(INDEX('Paramètres'!$N:$N,MATCH($D4745,'Paramètres'!$M:$M,0))&amp;"",""))))),1,0))</f>
        <v/>
      </c>
      <c r="Q4745" s="6" t="str">
        <f>IF($K4745="","",IF(ISNUMBER(SEARCH("transfert-interne",IFERROR(INDEX('Paramètres'!$N:$N,MATCH($D4745,'Paramètres'!$M:$M,0))&amp;"",""))),0,IF($L4745="Débit",$K4745,IF($P4745=1,-$K4745,0))))</f>
        <v/>
      </c>
      <c r="R4745" s="6" t="str">
        <f>IF($K4745="","",IF($L4745="Crédit",$K4745,-$K4745))</f>
        <v/>
      </c>
      <c r="S4745" s="6" t="str">
        <f>IF($C4745="","",IFERROR(INDEX('Paramètres'!$H:$H,MATCH($C4745,'Paramètres'!$D:$D,0))&amp;"",""))</f>
        <v/>
      </c>
      <c r="T4745" s="6" t="str">
        <f>IF($K4745="","",IF($S4745="",0,IF(ISNUMBER(SEARCH("apport-exterieur",IFERROR(INDEX('Paramètres'!$N:$N,MATCH($D4745,'Paramètres'!$M:$M,0))&amp;"",""))),0,IF(OR(IFERROR(INDEX('Paramètres'!$I:$I,MATCH($C4745,'Paramètres'!$D:$D,0))&amp;"","")="Les deux",IFERROR(INDEX('Paramètres'!$I:$I,MATCH($C4745,'Paramètres'!$D:$D,0))&amp;"","")=IF($P4745=1,"Débit",$L4745)),-IF($P4745=1,-$K4745,$K4745),0))))</f>
        <v/>
      </c>
      <c r="U4745" s="6" t="str">
        <f>IF($K4745="","",IF(ISNUMBER(SEARCH("sortie-epargne",IFERROR(INDEX('Paramètres'!$N:$N,MATCH($D4745,'Paramètres'!$M:$M,0))&amp;"",""))),$K4745,0))</f>
        <v/>
      </c>
      <c r="V4745" s="6" t="str">
        <f>IF(AND($A4745&lt;&gt;"",$O4745=1,$L4745="Débit",N($Q4745)&gt;0,$A4745&gt;=Visualisation!$B$1,$A4745&lt;Visualisation!$D$1),MAX($V$1:V4744)+1,"")</f>
        <v/>
      </c>
    </row>
    <row r="4746" spans="1:22" x14ac:dyDescent="0.25">
      <c r="A4746" s="9"/>
      <c r="E4746" s="10"/>
      <c r="K4746" s="11" t="str">
        <f>IF($E4746="","",ROUND($E4746*IF(ISNA(MATCH($C4746,'Paramètres'!$D:$D,0)),1,IF(INDEX('Paramètres'!$J:$J,MATCH($C4746,'Paramètres'!$D:$D,0))="",1,INDEX('Paramètres'!$J:$J,MATCH($C4746,'Paramètres'!$D:$D,0)))),2))</f>
        <v/>
      </c>
      <c r="L4746" s="6" t="str">
        <f>IF($D4746="","",IF($F4746&lt;&gt;"",$F4746,IF(ISNA(MATCH($D4746,'Paramètres'!$M:$M,0)),"⚠ Type inconnu",IFERROR(INDEX('Paramètres'!$P:$P,MATCH($D4746,'Paramètres'!$M:$M,0))&amp;"",""))))</f>
        <v/>
      </c>
      <c r="M4746" s="6" t="str">
        <f>IF($D4746="","",IF(ISNA(MATCH($D4746,'Paramètres'!$M:$M,0)),"⚠ Type inconnu",IF($L4746="Crédit","",IFERROR(INDEX('Paramètres'!$O:$O,MATCH($D4746,'Paramètres'!$M:$M,0))&amp;"",""))))</f>
        <v/>
      </c>
      <c r="N4746" s="6" t="str">
        <f>IF($D4746="","",IFERROR(INDEX('Paramètres'!$Q:$Q,MATCH($D4746,'Paramètres'!$M:$M,0))&amp;"",""))</f>
        <v/>
      </c>
      <c r="O4746" s="6" t="str">
        <f>IF($A4746="","",IF(OR($J4746&lt;&gt;"x",$A4746&lt;=FinReleve),1,0))</f>
        <v/>
      </c>
      <c r="P4746" s="6" t="str">
        <f>IF($D4746="","",IF(AND($L4746="Crédit",OR(IFERROR(INDEX('Paramètres'!$O:$O,MATCH($D4746,'Paramètres'!$M:$M,0))&amp;"","")&lt;&gt;"",ISNUMBER(SEARCH("remboursement",IFERROR(INDEX('Paramètres'!$N:$N,MATCH($D4746,'Paramètres'!$M:$M,0))&amp;"",""))))),1,0))</f>
        <v/>
      </c>
      <c r="Q4746" s="6" t="str">
        <f>IF($K4746="","",IF(ISNUMBER(SEARCH("transfert-interne",IFERROR(INDEX('Paramètres'!$N:$N,MATCH($D4746,'Paramètres'!$M:$M,0))&amp;"",""))),0,IF($L4746="Débit",$K4746,IF($P4746=1,-$K4746,0))))</f>
        <v/>
      </c>
      <c r="R4746" s="6" t="str">
        <f>IF($K4746="","",IF($L4746="Crédit",$K4746,-$K4746))</f>
        <v/>
      </c>
      <c r="S4746" s="6" t="str">
        <f>IF($C4746="","",IFERROR(INDEX('Paramètres'!$H:$H,MATCH($C4746,'Paramètres'!$D:$D,0))&amp;"",""))</f>
        <v/>
      </c>
      <c r="T4746" s="6" t="str">
        <f>IF($K4746="","",IF($S4746="",0,IF(ISNUMBER(SEARCH("apport-exterieur",IFERROR(INDEX('Paramètres'!$N:$N,MATCH($D4746,'Paramètres'!$M:$M,0))&amp;"",""))),0,IF(OR(IFERROR(INDEX('Paramètres'!$I:$I,MATCH($C4746,'Paramètres'!$D:$D,0))&amp;"","")="Les deux",IFERROR(INDEX('Paramètres'!$I:$I,MATCH($C4746,'Paramètres'!$D:$D,0))&amp;"","")=IF($P4746=1,"Débit",$L4746)),-IF($P4746=1,-$K4746,$K4746),0))))</f>
        <v/>
      </c>
      <c r="U4746" s="6" t="str">
        <f>IF($K4746="","",IF(ISNUMBER(SEARCH("sortie-epargne",IFERROR(INDEX('Paramètres'!$N:$N,MATCH($D4746,'Paramètres'!$M:$M,0))&amp;"",""))),$K4746,0))</f>
        <v/>
      </c>
      <c r="V4746" s="6" t="str">
        <f>IF(AND($A4746&lt;&gt;"",$O4746=1,$L4746="Débit",N($Q4746)&gt;0,$A4746&gt;=Visualisation!$B$1,$A4746&lt;Visualisation!$D$1),MAX($V$1:V4745)+1,"")</f>
        <v/>
      </c>
    </row>
    <row r="4747" spans="1:22" x14ac:dyDescent="0.25">
      <c r="A4747" s="9"/>
      <c r="E4747" s="10"/>
      <c r="K4747" s="11" t="str">
        <f>IF($E4747="","",ROUND($E4747*IF(ISNA(MATCH($C4747,'Paramètres'!$D:$D,0)),1,IF(INDEX('Paramètres'!$J:$J,MATCH($C4747,'Paramètres'!$D:$D,0))="",1,INDEX('Paramètres'!$J:$J,MATCH($C4747,'Paramètres'!$D:$D,0)))),2))</f>
        <v/>
      </c>
      <c r="L4747" s="6" t="str">
        <f>IF($D4747="","",IF($F4747&lt;&gt;"",$F4747,IF(ISNA(MATCH($D4747,'Paramètres'!$M:$M,0)),"⚠ Type inconnu",IFERROR(INDEX('Paramètres'!$P:$P,MATCH($D4747,'Paramètres'!$M:$M,0))&amp;"",""))))</f>
        <v/>
      </c>
      <c r="M4747" s="6" t="str">
        <f>IF($D4747="","",IF(ISNA(MATCH($D4747,'Paramètres'!$M:$M,0)),"⚠ Type inconnu",IF($L4747="Crédit","",IFERROR(INDEX('Paramètres'!$O:$O,MATCH($D4747,'Paramètres'!$M:$M,0))&amp;"",""))))</f>
        <v/>
      </c>
      <c r="N4747" s="6" t="str">
        <f>IF($D4747="","",IFERROR(INDEX('Paramètres'!$Q:$Q,MATCH($D4747,'Paramètres'!$M:$M,0))&amp;"",""))</f>
        <v/>
      </c>
      <c r="O4747" s="6" t="str">
        <f>IF($A4747="","",IF(OR($J4747&lt;&gt;"x",$A4747&lt;=FinReleve),1,0))</f>
        <v/>
      </c>
      <c r="P4747" s="6" t="str">
        <f>IF($D4747="","",IF(AND($L4747="Crédit",OR(IFERROR(INDEX('Paramètres'!$O:$O,MATCH($D4747,'Paramètres'!$M:$M,0))&amp;"","")&lt;&gt;"",ISNUMBER(SEARCH("remboursement",IFERROR(INDEX('Paramètres'!$N:$N,MATCH($D4747,'Paramètres'!$M:$M,0))&amp;"",""))))),1,0))</f>
        <v/>
      </c>
      <c r="Q4747" s="6" t="str">
        <f>IF($K4747="","",IF(ISNUMBER(SEARCH("transfert-interne",IFERROR(INDEX('Paramètres'!$N:$N,MATCH($D4747,'Paramètres'!$M:$M,0))&amp;"",""))),0,IF($L4747="Débit",$K4747,IF($P4747=1,-$K4747,0))))</f>
        <v/>
      </c>
      <c r="R4747" s="6" t="str">
        <f>IF($K4747="","",IF($L4747="Crédit",$K4747,-$K4747))</f>
        <v/>
      </c>
      <c r="S4747" s="6" t="str">
        <f>IF($C4747="","",IFERROR(INDEX('Paramètres'!$H:$H,MATCH($C4747,'Paramètres'!$D:$D,0))&amp;"",""))</f>
        <v/>
      </c>
      <c r="T4747" s="6" t="str">
        <f>IF($K4747="","",IF($S4747="",0,IF(ISNUMBER(SEARCH("apport-exterieur",IFERROR(INDEX('Paramètres'!$N:$N,MATCH($D4747,'Paramètres'!$M:$M,0))&amp;"",""))),0,IF(OR(IFERROR(INDEX('Paramètres'!$I:$I,MATCH($C4747,'Paramètres'!$D:$D,0))&amp;"","")="Les deux",IFERROR(INDEX('Paramètres'!$I:$I,MATCH($C4747,'Paramètres'!$D:$D,0))&amp;"","")=IF($P4747=1,"Débit",$L4747)),-IF($P4747=1,-$K4747,$K4747),0))))</f>
        <v/>
      </c>
      <c r="U4747" s="6" t="str">
        <f>IF($K4747="","",IF(ISNUMBER(SEARCH("sortie-epargne",IFERROR(INDEX('Paramètres'!$N:$N,MATCH($D4747,'Paramètres'!$M:$M,0))&amp;"",""))),$K4747,0))</f>
        <v/>
      </c>
      <c r="V4747" s="6" t="str">
        <f>IF(AND($A4747&lt;&gt;"",$O4747=1,$L4747="Débit",N($Q4747)&gt;0,$A4747&gt;=Visualisation!$B$1,$A4747&lt;Visualisation!$D$1),MAX($V$1:V4746)+1,"")</f>
        <v/>
      </c>
    </row>
    <row r="4748" spans="1:22" x14ac:dyDescent="0.25">
      <c r="A4748" s="9"/>
      <c r="E4748" s="10"/>
      <c r="K4748" s="11" t="str">
        <f>IF($E4748="","",ROUND($E4748*IF(ISNA(MATCH($C4748,'Paramètres'!$D:$D,0)),1,IF(INDEX('Paramètres'!$J:$J,MATCH($C4748,'Paramètres'!$D:$D,0))="",1,INDEX('Paramètres'!$J:$J,MATCH($C4748,'Paramètres'!$D:$D,0)))),2))</f>
        <v/>
      </c>
      <c r="L4748" s="6" t="str">
        <f>IF($D4748="","",IF($F4748&lt;&gt;"",$F4748,IF(ISNA(MATCH($D4748,'Paramètres'!$M:$M,0)),"⚠ Type inconnu",IFERROR(INDEX('Paramètres'!$P:$P,MATCH($D4748,'Paramètres'!$M:$M,0))&amp;"",""))))</f>
        <v/>
      </c>
      <c r="M4748" s="6" t="str">
        <f>IF($D4748="","",IF(ISNA(MATCH($D4748,'Paramètres'!$M:$M,0)),"⚠ Type inconnu",IF($L4748="Crédit","",IFERROR(INDEX('Paramètres'!$O:$O,MATCH($D4748,'Paramètres'!$M:$M,0))&amp;"",""))))</f>
        <v/>
      </c>
      <c r="N4748" s="6" t="str">
        <f>IF($D4748="","",IFERROR(INDEX('Paramètres'!$Q:$Q,MATCH($D4748,'Paramètres'!$M:$M,0))&amp;"",""))</f>
        <v/>
      </c>
      <c r="O4748" s="6" t="str">
        <f>IF($A4748="","",IF(OR($J4748&lt;&gt;"x",$A4748&lt;=FinReleve),1,0))</f>
        <v/>
      </c>
      <c r="P4748" s="6" t="str">
        <f>IF($D4748="","",IF(AND($L4748="Crédit",OR(IFERROR(INDEX('Paramètres'!$O:$O,MATCH($D4748,'Paramètres'!$M:$M,0))&amp;"","")&lt;&gt;"",ISNUMBER(SEARCH("remboursement",IFERROR(INDEX('Paramètres'!$N:$N,MATCH($D4748,'Paramètres'!$M:$M,0))&amp;"",""))))),1,0))</f>
        <v/>
      </c>
      <c r="Q4748" s="6" t="str">
        <f>IF($K4748="","",IF(ISNUMBER(SEARCH("transfert-interne",IFERROR(INDEX('Paramètres'!$N:$N,MATCH($D4748,'Paramètres'!$M:$M,0))&amp;"",""))),0,IF($L4748="Débit",$K4748,IF($P4748=1,-$K4748,0))))</f>
        <v/>
      </c>
      <c r="R4748" s="6" t="str">
        <f>IF($K4748="","",IF($L4748="Crédit",$K4748,-$K4748))</f>
        <v/>
      </c>
      <c r="S4748" s="6" t="str">
        <f>IF($C4748="","",IFERROR(INDEX('Paramètres'!$H:$H,MATCH($C4748,'Paramètres'!$D:$D,0))&amp;"",""))</f>
        <v/>
      </c>
      <c r="T4748" s="6" t="str">
        <f>IF($K4748="","",IF($S4748="",0,IF(ISNUMBER(SEARCH("apport-exterieur",IFERROR(INDEX('Paramètres'!$N:$N,MATCH($D4748,'Paramètres'!$M:$M,0))&amp;"",""))),0,IF(OR(IFERROR(INDEX('Paramètres'!$I:$I,MATCH($C4748,'Paramètres'!$D:$D,0))&amp;"","")="Les deux",IFERROR(INDEX('Paramètres'!$I:$I,MATCH($C4748,'Paramètres'!$D:$D,0))&amp;"","")=IF($P4748=1,"Débit",$L4748)),-IF($P4748=1,-$K4748,$K4748),0))))</f>
        <v/>
      </c>
      <c r="U4748" s="6" t="str">
        <f>IF($K4748="","",IF(ISNUMBER(SEARCH("sortie-epargne",IFERROR(INDEX('Paramètres'!$N:$N,MATCH($D4748,'Paramètres'!$M:$M,0))&amp;"",""))),$K4748,0))</f>
        <v/>
      </c>
      <c r="V4748" s="6" t="str">
        <f>IF(AND($A4748&lt;&gt;"",$O4748=1,$L4748="Débit",N($Q4748)&gt;0,$A4748&gt;=Visualisation!$B$1,$A4748&lt;Visualisation!$D$1),MAX($V$1:V4747)+1,"")</f>
        <v/>
      </c>
    </row>
    <row r="4749" spans="1:22" x14ac:dyDescent="0.25">
      <c r="A4749" s="9"/>
      <c r="E4749" s="10"/>
      <c r="K4749" s="11" t="str">
        <f>IF($E4749="","",ROUND($E4749*IF(ISNA(MATCH($C4749,'Paramètres'!$D:$D,0)),1,IF(INDEX('Paramètres'!$J:$J,MATCH($C4749,'Paramètres'!$D:$D,0))="",1,INDEX('Paramètres'!$J:$J,MATCH($C4749,'Paramètres'!$D:$D,0)))),2))</f>
        <v/>
      </c>
      <c r="L4749" s="6" t="str">
        <f>IF($D4749="","",IF($F4749&lt;&gt;"",$F4749,IF(ISNA(MATCH($D4749,'Paramètres'!$M:$M,0)),"⚠ Type inconnu",IFERROR(INDEX('Paramètres'!$P:$P,MATCH($D4749,'Paramètres'!$M:$M,0))&amp;"",""))))</f>
        <v/>
      </c>
      <c r="M4749" s="6" t="str">
        <f>IF($D4749="","",IF(ISNA(MATCH($D4749,'Paramètres'!$M:$M,0)),"⚠ Type inconnu",IF($L4749="Crédit","",IFERROR(INDEX('Paramètres'!$O:$O,MATCH($D4749,'Paramètres'!$M:$M,0))&amp;"",""))))</f>
        <v/>
      </c>
      <c r="N4749" s="6" t="str">
        <f>IF($D4749="","",IFERROR(INDEX('Paramètres'!$Q:$Q,MATCH($D4749,'Paramètres'!$M:$M,0))&amp;"",""))</f>
        <v/>
      </c>
      <c r="O4749" s="6" t="str">
        <f>IF($A4749="","",IF(OR($J4749&lt;&gt;"x",$A4749&lt;=FinReleve),1,0))</f>
        <v/>
      </c>
      <c r="P4749" s="6" t="str">
        <f>IF($D4749="","",IF(AND($L4749="Crédit",OR(IFERROR(INDEX('Paramètres'!$O:$O,MATCH($D4749,'Paramètres'!$M:$M,0))&amp;"","")&lt;&gt;"",ISNUMBER(SEARCH("remboursement",IFERROR(INDEX('Paramètres'!$N:$N,MATCH($D4749,'Paramètres'!$M:$M,0))&amp;"",""))))),1,0))</f>
        <v/>
      </c>
      <c r="Q4749" s="6" t="str">
        <f>IF($K4749="","",IF(ISNUMBER(SEARCH("transfert-interne",IFERROR(INDEX('Paramètres'!$N:$N,MATCH($D4749,'Paramètres'!$M:$M,0))&amp;"",""))),0,IF($L4749="Débit",$K4749,IF($P4749=1,-$K4749,0))))</f>
        <v/>
      </c>
      <c r="R4749" s="6" t="str">
        <f>IF($K4749="","",IF($L4749="Crédit",$K4749,-$K4749))</f>
        <v/>
      </c>
      <c r="S4749" s="6" t="str">
        <f>IF($C4749="","",IFERROR(INDEX('Paramètres'!$H:$H,MATCH($C4749,'Paramètres'!$D:$D,0))&amp;"",""))</f>
        <v/>
      </c>
      <c r="T4749" s="6" t="str">
        <f>IF($K4749="","",IF($S4749="",0,IF(ISNUMBER(SEARCH("apport-exterieur",IFERROR(INDEX('Paramètres'!$N:$N,MATCH($D4749,'Paramètres'!$M:$M,0))&amp;"",""))),0,IF(OR(IFERROR(INDEX('Paramètres'!$I:$I,MATCH($C4749,'Paramètres'!$D:$D,0))&amp;"","")="Les deux",IFERROR(INDEX('Paramètres'!$I:$I,MATCH($C4749,'Paramètres'!$D:$D,0))&amp;"","")=IF($P4749=1,"Débit",$L4749)),-IF($P4749=1,-$K4749,$K4749),0))))</f>
        <v/>
      </c>
      <c r="U4749" s="6" t="str">
        <f>IF($K4749="","",IF(ISNUMBER(SEARCH("sortie-epargne",IFERROR(INDEX('Paramètres'!$N:$N,MATCH($D4749,'Paramètres'!$M:$M,0))&amp;"",""))),$K4749,0))</f>
        <v/>
      </c>
      <c r="V4749" s="6" t="str">
        <f>IF(AND($A4749&lt;&gt;"",$O4749=1,$L4749="Débit",N($Q4749)&gt;0,$A4749&gt;=Visualisation!$B$1,$A4749&lt;Visualisation!$D$1),MAX($V$1:V4748)+1,"")</f>
        <v/>
      </c>
    </row>
    <row r="4750" spans="1:22" x14ac:dyDescent="0.25">
      <c r="A4750" s="9"/>
      <c r="E4750" s="10"/>
      <c r="K4750" s="11" t="str">
        <f>IF($E4750="","",ROUND($E4750*IF(ISNA(MATCH($C4750,'Paramètres'!$D:$D,0)),1,IF(INDEX('Paramètres'!$J:$J,MATCH($C4750,'Paramètres'!$D:$D,0))="",1,INDEX('Paramètres'!$J:$J,MATCH($C4750,'Paramètres'!$D:$D,0)))),2))</f>
        <v/>
      </c>
      <c r="L4750" s="6" t="str">
        <f>IF($D4750="","",IF($F4750&lt;&gt;"",$F4750,IF(ISNA(MATCH($D4750,'Paramètres'!$M:$M,0)),"⚠ Type inconnu",IFERROR(INDEX('Paramètres'!$P:$P,MATCH($D4750,'Paramètres'!$M:$M,0))&amp;"",""))))</f>
        <v/>
      </c>
      <c r="M4750" s="6" t="str">
        <f>IF($D4750="","",IF(ISNA(MATCH($D4750,'Paramètres'!$M:$M,0)),"⚠ Type inconnu",IF($L4750="Crédit","",IFERROR(INDEX('Paramètres'!$O:$O,MATCH($D4750,'Paramètres'!$M:$M,0))&amp;"",""))))</f>
        <v/>
      </c>
      <c r="N4750" s="6" t="str">
        <f>IF($D4750="","",IFERROR(INDEX('Paramètres'!$Q:$Q,MATCH($D4750,'Paramètres'!$M:$M,0))&amp;"",""))</f>
        <v/>
      </c>
      <c r="O4750" s="6" t="str">
        <f>IF($A4750="","",IF(OR($J4750&lt;&gt;"x",$A4750&lt;=FinReleve),1,0))</f>
        <v/>
      </c>
      <c r="P4750" s="6" t="str">
        <f>IF($D4750="","",IF(AND($L4750="Crédit",OR(IFERROR(INDEX('Paramètres'!$O:$O,MATCH($D4750,'Paramètres'!$M:$M,0))&amp;"","")&lt;&gt;"",ISNUMBER(SEARCH("remboursement",IFERROR(INDEX('Paramètres'!$N:$N,MATCH($D4750,'Paramètres'!$M:$M,0))&amp;"",""))))),1,0))</f>
        <v/>
      </c>
      <c r="Q4750" s="6" t="str">
        <f>IF($K4750="","",IF(ISNUMBER(SEARCH("transfert-interne",IFERROR(INDEX('Paramètres'!$N:$N,MATCH($D4750,'Paramètres'!$M:$M,0))&amp;"",""))),0,IF($L4750="Débit",$K4750,IF($P4750=1,-$K4750,0))))</f>
        <v/>
      </c>
      <c r="R4750" s="6" t="str">
        <f>IF($K4750="","",IF($L4750="Crédit",$K4750,-$K4750))</f>
        <v/>
      </c>
      <c r="S4750" s="6" t="str">
        <f>IF($C4750="","",IFERROR(INDEX('Paramètres'!$H:$H,MATCH($C4750,'Paramètres'!$D:$D,0))&amp;"",""))</f>
        <v/>
      </c>
      <c r="T4750" s="6" t="str">
        <f>IF($K4750="","",IF($S4750="",0,IF(ISNUMBER(SEARCH("apport-exterieur",IFERROR(INDEX('Paramètres'!$N:$N,MATCH($D4750,'Paramètres'!$M:$M,0))&amp;"",""))),0,IF(OR(IFERROR(INDEX('Paramètres'!$I:$I,MATCH($C4750,'Paramètres'!$D:$D,0))&amp;"","")="Les deux",IFERROR(INDEX('Paramètres'!$I:$I,MATCH($C4750,'Paramètres'!$D:$D,0))&amp;"","")=IF($P4750=1,"Débit",$L4750)),-IF($P4750=1,-$K4750,$K4750),0))))</f>
        <v/>
      </c>
      <c r="U4750" s="6" t="str">
        <f>IF($K4750="","",IF(ISNUMBER(SEARCH("sortie-epargne",IFERROR(INDEX('Paramètres'!$N:$N,MATCH($D4750,'Paramètres'!$M:$M,0))&amp;"",""))),$K4750,0))</f>
        <v/>
      </c>
      <c r="V4750" s="6" t="str">
        <f>IF(AND($A4750&lt;&gt;"",$O4750=1,$L4750="Débit",N($Q4750)&gt;0,$A4750&gt;=Visualisation!$B$1,$A4750&lt;Visualisation!$D$1),MAX($V$1:V4749)+1,"")</f>
        <v/>
      </c>
    </row>
    <row r="4751" spans="1:22" x14ac:dyDescent="0.25">
      <c r="A4751" s="9"/>
      <c r="E4751" s="10"/>
      <c r="K4751" s="11" t="str">
        <f>IF($E4751="","",ROUND($E4751*IF(ISNA(MATCH($C4751,'Paramètres'!$D:$D,0)),1,IF(INDEX('Paramètres'!$J:$J,MATCH($C4751,'Paramètres'!$D:$D,0))="",1,INDEX('Paramètres'!$J:$J,MATCH($C4751,'Paramètres'!$D:$D,0)))),2))</f>
        <v/>
      </c>
      <c r="L4751" s="6" t="str">
        <f>IF($D4751="","",IF($F4751&lt;&gt;"",$F4751,IF(ISNA(MATCH($D4751,'Paramètres'!$M:$M,0)),"⚠ Type inconnu",IFERROR(INDEX('Paramètres'!$P:$P,MATCH($D4751,'Paramètres'!$M:$M,0))&amp;"",""))))</f>
        <v/>
      </c>
      <c r="M4751" s="6" t="str">
        <f>IF($D4751="","",IF(ISNA(MATCH($D4751,'Paramètres'!$M:$M,0)),"⚠ Type inconnu",IF($L4751="Crédit","",IFERROR(INDEX('Paramètres'!$O:$O,MATCH($D4751,'Paramètres'!$M:$M,0))&amp;"",""))))</f>
        <v/>
      </c>
      <c r="N4751" s="6" t="str">
        <f>IF($D4751="","",IFERROR(INDEX('Paramètres'!$Q:$Q,MATCH($D4751,'Paramètres'!$M:$M,0))&amp;"",""))</f>
        <v/>
      </c>
      <c r="O4751" s="6" t="str">
        <f>IF($A4751="","",IF(OR($J4751&lt;&gt;"x",$A4751&lt;=FinReleve),1,0))</f>
        <v/>
      </c>
      <c r="P4751" s="6" t="str">
        <f>IF($D4751="","",IF(AND($L4751="Crédit",OR(IFERROR(INDEX('Paramètres'!$O:$O,MATCH($D4751,'Paramètres'!$M:$M,0))&amp;"","")&lt;&gt;"",ISNUMBER(SEARCH("remboursement",IFERROR(INDEX('Paramètres'!$N:$N,MATCH($D4751,'Paramètres'!$M:$M,0))&amp;"",""))))),1,0))</f>
        <v/>
      </c>
      <c r="Q4751" s="6" t="str">
        <f>IF($K4751="","",IF(ISNUMBER(SEARCH("transfert-interne",IFERROR(INDEX('Paramètres'!$N:$N,MATCH($D4751,'Paramètres'!$M:$M,0))&amp;"",""))),0,IF($L4751="Débit",$K4751,IF($P4751=1,-$K4751,0))))</f>
        <v/>
      </c>
      <c r="R4751" s="6" t="str">
        <f>IF($K4751="","",IF($L4751="Crédit",$K4751,-$K4751))</f>
        <v/>
      </c>
      <c r="S4751" s="6" t="str">
        <f>IF($C4751="","",IFERROR(INDEX('Paramètres'!$H:$H,MATCH($C4751,'Paramètres'!$D:$D,0))&amp;"",""))</f>
        <v/>
      </c>
      <c r="T4751" s="6" t="str">
        <f>IF($K4751="","",IF($S4751="",0,IF(ISNUMBER(SEARCH("apport-exterieur",IFERROR(INDEX('Paramètres'!$N:$N,MATCH($D4751,'Paramètres'!$M:$M,0))&amp;"",""))),0,IF(OR(IFERROR(INDEX('Paramètres'!$I:$I,MATCH($C4751,'Paramètres'!$D:$D,0))&amp;"","")="Les deux",IFERROR(INDEX('Paramètres'!$I:$I,MATCH($C4751,'Paramètres'!$D:$D,0))&amp;"","")=IF($P4751=1,"Débit",$L4751)),-IF($P4751=1,-$K4751,$K4751),0))))</f>
        <v/>
      </c>
      <c r="U4751" s="6" t="str">
        <f>IF($K4751="","",IF(ISNUMBER(SEARCH("sortie-epargne",IFERROR(INDEX('Paramètres'!$N:$N,MATCH($D4751,'Paramètres'!$M:$M,0))&amp;"",""))),$K4751,0))</f>
        <v/>
      </c>
      <c r="V4751" s="6" t="str">
        <f>IF(AND($A4751&lt;&gt;"",$O4751=1,$L4751="Débit",N($Q4751)&gt;0,$A4751&gt;=Visualisation!$B$1,$A4751&lt;Visualisation!$D$1),MAX($V$1:V4750)+1,"")</f>
        <v/>
      </c>
    </row>
    <row r="4752" spans="1:22" x14ac:dyDescent="0.25">
      <c r="A4752" s="9"/>
      <c r="E4752" s="10"/>
      <c r="K4752" s="11" t="str">
        <f>IF($E4752="","",ROUND($E4752*IF(ISNA(MATCH($C4752,'Paramètres'!$D:$D,0)),1,IF(INDEX('Paramètres'!$J:$J,MATCH($C4752,'Paramètres'!$D:$D,0))="",1,INDEX('Paramètres'!$J:$J,MATCH($C4752,'Paramètres'!$D:$D,0)))),2))</f>
        <v/>
      </c>
      <c r="L4752" s="6" t="str">
        <f>IF($D4752="","",IF($F4752&lt;&gt;"",$F4752,IF(ISNA(MATCH($D4752,'Paramètres'!$M:$M,0)),"⚠ Type inconnu",IFERROR(INDEX('Paramètres'!$P:$P,MATCH($D4752,'Paramètres'!$M:$M,0))&amp;"",""))))</f>
        <v/>
      </c>
      <c r="M4752" s="6" t="str">
        <f>IF($D4752="","",IF(ISNA(MATCH($D4752,'Paramètres'!$M:$M,0)),"⚠ Type inconnu",IF($L4752="Crédit","",IFERROR(INDEX('Paramètres'!$O:$O,MATCH($D4752,'Paramètres'!$M:$M,0))&amp;"",""))))</f>
        <v/>
      </c>
      <c r="N4752" s="6" t="str">
        <f>IF($D4752="","",IFERROR(INDEX('Paramètres'!$Q:$Q,MATCH($D4752,'Paramètres'!$M:$M,0))&amp;"",""))</f>
        <v/>
      </c>
      <c r="O4752" s="6" t="str">
        <f>IF($A4752="","",IF(OR($J4752&lt;&gt;"x",$A4752&lt;=FinReleve),1,0))</f>
        <v/>
      </c>
      <c r="P4752" s="6" t="str">
        <f>IF($D4752="","",IF(AND($L4752="Crédit",OR(IFERROR(INDEX('Paramètres'!$O:$O,MATCH($D4752,'Paramètres'!$M:$M,0))&amp;"","")&lt;&gt;"",ISNUMBER(SEARCH("remboursement",IFERROR(INDEX('Paramètres'!$N:$N,MATCH($D4752,'Paramètres'!$M:$M,0))&amp;"",""))))),1,0))</f>
        <v/>
      </c>
      <c r="Q4752" s="6" t="str">
        <f>IF($K4752="","",IF(ISNUMBER(SEARCH("transfert-interne",IFERROR(INDEX('Paramètres'!$N:$N,MATCH($D4752,'Paramètres'!$M:$M,0))&amp;"",""))),0,IF($L4752="Débit",$K4752,IF($P4752=1,-$K4752,0))))</f>
        <v/>
      </c>
      <c r="R4752" s="6" t="str">
        <f>IF($K4752="","",IF($L4752="Crédit",$K4752,-$K4752))</f>
        <v/>
      </c>
      <c r="S4752" s="6" t="str">
        <f>IF($C4752="","",IFERROR(INDEX('Paramètres'!$H:$H,MATCH($C4752,'Paramètres'!$D:$D,0))&amp;"",""))</f>
        <v/>
      </c>
      <c r="T4752" s="6" t="str">
        <f>IF($K4752="","",IF($S4752="",0,IF(ISNUMBER(SEARCH("apport-exterieur",IFERROR(INDEX('Paramètres'!$N:$N,MATCH($D4752,'Paramètres'!$M:$M,0))&amp;"",""))),0,IF(OR(IFERROR(INDEX('Paramètres'!$I:$I,MATCH($C4752,'Paramètres'!$D:$D,0))&amp;"","")="Les deux",IFERROR(INDEX('Paramètres'!$I:$I,MATCH($C4752,'Paramètres'!$D:$D,0))&amp;"","")=IF($P4752=1,"Débit",$L4752)),-IF($P4752=1,-$K4752,$K4752),0))))</f>
        <v/>
      </c>
      <c r="U4752" s="6" t="str">
        <f>IF($K4752="","",IF(ISNUMBER(SEARCH("sortie-epargne",IFERROR(INDEX('Paramètres'!$N:$N,MATCH($D4752,'Paramètres'!$M:$M,0))&amp;"",""))),$K4752,0))</f>
        <v/>
      </c>
      <c r="V4752" s="6" t="str">
        <f>IF(AND($A4752&lt;&gt;"",$O4752=1,$L4752="Débit",N($Q4752)&gt;0,$A4752&gt;=Visualisation!$B$1,$A4752&lt;Visualisation!$D$1),MAX($V$1:V4751)+1,"")</f>
        <v/>
      </c>
    </row>
    <row r="4753" spans="1:22" x14ac:dyDescent="0.25">
      <c r="A4753" s="9"/>
      <c r="E4753" s="10"/>
      <c r="K4753" s="11" t="str">
        <f>IF($E4753="","",ROUND($E4753*IF(ISNA(MATCH($C4753,'Paramètres'!$D:$D,0)),1,IF(INDEX('Paramètres'!$J:$J,MATCH($C4753,'Paramètres'!$D:$D,0))="",1,INDEX('Paramètres'!$J:$J,MATCH($C4753,'Paramètres'!$D:$D,0)))),2))</f>
        <v/>
      </c>
      <c r="L4753" s="6" t="str">
        <f>IF($D4753="","",IF($F4753&lt;&gt;"",$F4753,IF(ISNA(MATCH($D4753,'Paramètres'!$M:$M,0)),"⚠ Type inconnu",IFERROR(INDEX('Paramètres'!$P:$P,MATCH($D4753,'Paramètres'!$M:$M,0))&amp;"",""))))</f>
        <v/>
      </c>
      <c r="M4753" s="6" t="str">
        <f>IF($D4753="","",IF(ISNA(MATCH($D4753,'Paramètres'!$M:$M,0)),"⚠ Type inconnu",IF($L4753="Crédit","",IFERROR(INDEX('Paramètres'!$O:$O,MATCH($D4753,'Paramètres'!$M:$M,0))&amp;"",""))))</f>
        <v/>
      </c>
      <c r="N4753" s="6" t="str">
        <f>IF($D4753="","",IFERROR(INDEX('Paramètres'!$Q:$Q,MATCH($D4753,'Paramètres'!$M:$M,0))&amp;"",""))</f>
        <v/>
      </c>
      <c r="O4753" s="6" t="str">
        <f>IF($A4753="","",IF(OR($J4753&lt;&gt;"x",$A4753&lt;=FinReleve),1,0))</f>
        <v/>
      </c>
      <c r="P4753" s="6" t="str">
        <f>IF($D4753="","",IF(AND($L4753="Crédit",OR(IFERROR(INDEX('Paramètres'!$O:$O,MATCH($D4753,'Paramètres'!$M:$M,0))&amp;"","")&lt;&gt;"",ISNUMBER(SEARCH("remboursement",IFERROR(INDEX('Paramètres'!$N:$N,MATCH($D4753,'Paramètres'!$M:$M,0))&amp;"",""))))),1,0))</f>
        <v/>
      </c>
      <c r="Q4753" s="6" t="str">
        <f>IF($K4753="","",IF(ISNUMBER(SEARCH("transfert-interne",IFERROR(INDEX('Paramètres'!$N:$N,MATCH($D4753,'Paramètres'!$M:$M,0))&amp;"",""))),0,IF($L4753="Débit",$K4753,IF($P4753=1,-$K4753,0))))</f>
        <v/>
      </c>
      <c r="R4753" s="6" t="str">
        <f>IF($K4753="","",IF($L4753="Crédit",$K4753,-$K4753))</f>
        <v/>
      </c>
      <c r="S4753" s="6" t="str">
        <f>IF($C4753="","",IFERROR(INDEX('Paramètres'!$H:$H,MATCH($C4753,'Paramètres'!$D:$D,0))&amp;"",""))</f>
        <v/>
      </c>
      <c r="T4753" s="6" t="str">
        <f>IF($K4753="","",IF($S4753="",0,IF(ISNUMBER(SEARCH("apport-exterieur",IFERROR(INDEX('Paramètres'!$N:$N,MATCH($D4753,'Paramètres'!$M:$M,0))&amp;"",""))),0,IF(OR(IFERROR(INDEX('Paramètres'!$I:$I,MATCH($C4753,'Paramètres'!$D:$D,0))&amp;"","")="Les deux",IFERROR(INDEX('Paramètres'!$I:$I,MATCH($C4753,'Paramètres'!$D:$D,0))&amp;"","")=IF($P4753=1,"Débit",$L4753)),-IF($P4753=1,-$K4753,$K4753),0))))</f>
        <v/>
      </c>
      <c r="U4753" s="6" t="str">
        <f>IF($K4753="","",IF(ISNUMBER(SEARCH("sortie-epargne",IFERROR(INDEX('Paramètres'!$N:$N,MATCH($D4753,'Paramètres'!$M:$M,0))&amp;"",""))),$K4753,0))</f>
        <v/>
      </c>
      <c r="V4753" s="6" t="str">
        <f>IF(AND($A4753&lt;&gt;"",$O4753=1,$L4753="Débit",N($Q4753)&gt;0,$A4753&gt;=Visualisation!$B$1,$A4753&lt;Visualisation!$D$1),MAX($V$1:V4752)+1,"")</f>
        <v/>
      </c>
    </row>
    <row r="4754" spans="1:22" x14ac:dyDescent="0.25">
      <c r="A4754" s="9"/>
      <c r="E4754" s="10"/>
      <c r="K4754" s="11" t="str">
        <f>IF($E4754="","",ROUND($E4754*IF(ISNA(MATCH($C4754,'Paramètres'!$D:$D,0)),1,IF(INDEX('Paramètres'!$J:$J,MATCH($C4754,'Paramètres'!$D:$D,0))="",1,INDEX('Paramètres'!$J:$J,MATCH($C4754,'Paramètres'!$D:$D,0)))),2))</f>
        <v/>
      </c>
      <c r="L4754" s="6" t="str">
        <f>IF($D4754="","",IF($F4754&lt;&gt;"",$F4754,IF(ISNA(MATCH($D4754,'Paramètres'!$M:$M,0)),"⚠ Type inconnu",IFERROR(INDEX('Paramètres'!$P:$P,MATCH($D4754,'Paramètres'!$M:$M,0))&amp;"",""))))</f>
        <v/>
      </c>
      <c r="M4754" s="6" t="str">
        <f>IF($D4754="","",IF(ISNA(MATCH($D4754,'Paramètres'!$M:$M,0)),"⚠ Type inconnu",IF($L4754="Crédit","",IFERROR(INDEX('Paramètres'!$O:$O,MATCH($D4754,'Paramètres'!$M:$M,0))&amp;"",""))))</f>
        <v/>
      </c>
      <c r="N4754" s="6" t="str">
        <f>IF($D4754="","",IFERROR(INDEX('Paramètres'!$Q:$Q,MATCH($D4754,'Paramètres'!$M:$M,0))&amp;"",""))</f>
        <v/>
      </c>
      <c r="O4754" s="6" t="str">
        <f>IF($A4754="","",IF(OR($J4754&lt;&gt;"x",$A4754&lt;=FinReleve),1,0))</f>
        <v/>
      </c>
      <c r="P4754" s="6" t="str">
        <f>IF($D4754="","",IF(AND($L4754="Crédit",OR(IFERROR(INDEX('Paramètres'!$O:$O,MATCH($D4754,'Paramètres'!$M:$M,0))&amp;"","")&lt;&gt;"",ISNUMBER(SEARCH("remboursement",IFERROR(INDEX('Paramètres'!$N:$N,MATCH($D4754,'Paramètres'!$M:$M,0))&amp;"",""))))),1,0))</f>
        <v/>
      </c>
      <c r="Q4754" s="6" t="str">
        <f>IF($K4754="","",IF(ISNUMBER(SEARCH("transfert-interne",IFERROR(INDEX('Paramètres'!$N:$N,MATCH($D4754,'Paramètres'!$M:$M,0))&amp;"",""))),0,IF($L4754="Débit",$K4754,IF($P4754=1,-$K4754,0))))</f>
        <v/>
      </c>
      <c r="R4754" s="6" t="str">
        <f>IF($K4754="","",IF($L4754="Crédit",$K4754,-$K4754))</f>
        <v/>
      </c>
      <c r="S4754" s="6" t="str">
        <f>IF($C4754="","",IFERROR(INDEX('Paramètres'!$H:$H,MATCH($C4754,'Paramètres'!$D:$D,0))&amp;"",""))</f>
        <v/>
      </c>
      <c r="T4754" s="6" t="str">
        <f>IF($K4754="","",IF($S4754="",0,IF(ISNUMBER(SEARCH("apport-exterieur",IFERROR(INDEX('Paramètres'!$N:$N,MATCH($D4754,'Paramètres'!$M:$M,0))&amp;"",""))),0,IF(OR(IFERROR(INDEX('Paramètres'!$I:$I,MATCH($C4754,'Paramètres'!$D:$D,0))&amp;"","")="Les deux",IFERROR(INDEX('Paramètres'!$I:$I,MATCH($C4754,'Paramètres'!$D:$D,0))&amp;"","")=IF($P4754=1,"Débit",$L4754)),-IF($P4754=1,-$K4754,$K4754),0))))</f>
        <v/>
      </c>
      <c r="U4754" s="6" t="str">
        <f>IF($K4754="","",IF(ISNUMBER(SEARCH("sortie-epargne",IFERROR(INDEX('Paramètres'!$N:$N,MATCH($D4754,'Paramètres'!$M:$M,0))&amp;"",""))),$K4754,0))</f>
        <v/>
      </c>
      <c r="V4754" s="6" t="str">
        <f>IF(AND($A4754&lt;&gt;"",$O4754=1,$L4754="Débit",N($Q4754)&gt;0,$A4754&gt;=Visualisation!$B$1,$A4754&lt;Visualisation!$D$1),MAX($V$1:V4753)+1,"")</f>
        <v/>
      </c>
    </row>
    <row r="4755" spans="1:22" x14ac:dyDescent="0.25">
      <c r="A4755" s="9"/>
      <c r="E4755" s="10"/>
      <c r="K4755" s="11" t="str">
        <f>IF($E4755="","",ROUND($E4755*IF(ISNA(MATCH($C4755,'Paramètres'!$D:$D,0)),1,IF(INDEX('Paramètres'!$J:$J,MATCH($C4755,'Paramètres'!$D:$D,0))="",1,INDEX('Paramètres'!$J:$J,MATCH($C4755,'Paramètres'!$D:$D,0)))),2))</f>
        <v/>
      </c>
      <c r="L4755" s="6" t="str">
        <f>IF($D4755="","",IF($F4755&lt;&gt;"",$F4755,IF(ISNA(MATCH($D4755,'Paramètres'!$M:$M,0)),"⚠ Type inconnu",IFERROR(INDEX('Paramètres'!$P:$P,MATCH($D4755,'Paramètres'!$M:$M,0))&amp;"",""))))</f>
        <v/>
      </c>
      <c r="M4755" s="6" t="str">
        <f>IF($D4755="","",IF(ISNA(MATCH($D4755,'Paramètres'!$M:$M,0)),"⚠ Type inconnu",IF($L4755="Crédit","",IFERROR(INDEX('Paramètres'!$O:$O,MATCH($D4755,'Paramètres'!$M:$M,0))&amp;"",""))))</f>
        <v/>
      </c>
      <c r="N4755" s="6" t="str">
        <f>IF($D4755="","",IFERROR(INDEX('Paramètres'!$Q:$Q,MATCH($D4755,'Paramètres'!$M:$M,0))&amp;"",""))</f>
        <v/>
      </c>
      <c r="O4755" s="6" t="str">
        <f>IF($A4755="","",IF(OR($J4755&lt;&gt;"x",$A4755&lt;=FinReleve),1,0))</f>
        <v/>
      </c>
      <c r="P4755" s="6" t="str">
        <f>IF($D4755="","",IF(AND($L4755="Crédit",OR(IFERROR(INDEX('Paramètres'!$O:$O,MATCH($D4755,'Paramètres'!$M:$M,0))&amp;"","")&lt;&gt;"",ISNUMBER(SEARCH("remboursement",IFERROR(INDEX('Paramètres'!$N:$N,MATCH($D4755,'Paramètres'!$M:$M,0))&amp;"",""))))),1,0))</f>
        <v/>
      </c>
      <c r="Q4755" s="6" t="str">
        <f>IF($K4755="","",IF(ISNUMBER(SEARCH("transfert-interne",IFERROR(INDEX('Paramètres'!$N:$N,MATCH($D4755,'Paramètres'!$M:$M,0))&amp;"",""))),0,IF($L4755="Débit",$K4755,IF($P4755=1,-$K4755,0))))</f>
        <v/>
      </c>
      <c r="R4755" s="6" t="str">
        <f>IF($K4755="","",IF($L4755="Crédit",$K4755,-$K4755))</f>
        <v/>
      </c>
      <c r="S4755" s="6" t="str">
        <f>IF($C4755="","",IFERROR(INDEX('Paramètres'!$H:$H,MATCH($C4755,'Paramètres'!$D:$D,0))&amp;"",""))</f>
        <v/>
      </c>
      <c r="T4755" s="6" t="str">
        <f>IF($K4755="","",IF($S4755="",0,IF(ISNUMBER(SEARCH("apport-exterieur",IFERROR(INDEX('Paramètres'!$N:$N,MATCH($D4755,'Paramètres'!$M:$M,0))&amp;"",""))),0,IF(OR(IFERROR(INDEX('Paramètres'!$I:$I,MATCH($C4755,'Paramètres'!$D:$D,0))&amp;"","")="Les deux",IFERROR(INDEX('Paramètres'!$I:$I,MATCH($C4755,'Paramètres'!$D:$D,0))&amp;"","")=IF($P4755=1,"Débit",$L4755)),-IF($P4755=1,-$K4755,$K4755),0))))</f>
        <v/>
      </c>
      <c r="U4755" s="6" t="str">
        <f>IF($K4755="","",IF(ISNUMBER(SEARCH("sortie-epargne",IFERROR(INDEX('Paramètres'!$N:$N,MATCH($D4755,'Paramètres'!$M:$M,0))&amp;"",""))),$K4755,0))</f>
        <v/>
      </c>
      <c r="V4755" s="6" t="str">
        <f>IF(AND($A4755&lt;&gt;"",$O4755=1,$L4755="Débit",N($Q4755)&gt;0,$A4755&gt;=Visualisation!$B$1,$A4755&lt;Visualisation!$D$1),MAX($V$1:V4754)+1,"")</f>
        <v/>
      </c>
    </row>
    <row r="4756" spans="1:22" x14ac:dyDescent="0.25">
      <c r="A4756" s="9"/>
      <c r="E4756" s="10"/>
      <c r="K4756" s="11" t="str">
        <f>IF($E4756="","",ROUND($E4756*IF(ISNA(MATCH($C4756,'Paramètres'!$D:$D,0)),1,IF(INDEX('Paramètres'!$J:$J,MATCH($C4756,'Paramètres'!$D:$D,0))="",1,INDEX('Paramètres'!$J:$J,MATCH($C4756,'Paramètres'!$D:$D,0)))),2))</f>
        <v/>
      </c>
      <c r="L4756" s="6" t="str">
        <f>IF($D4756="","",IF($F4756&lt;&gt;"",$F4756,IF(ISNA(MATCH($D4756,'Paramètres'!$M:$M,0)),"⚠ Type inconnu",IFERROR(INDEX('Paramètres'!$P:$P,MATCH($D4756,'Paramètres'!$M:$M,0))&amp;"",""))))</f>
        <v/>
      </c>
      <c r="M4756" s="6" t="str">
        <f>IF($D4756="","",IF(ISNA(MATCH($D4756,'Paramètres'!$M:$M,0)),"⚠ Type inconnu",IF($L4756="Crédit","",IFERROR(INDEX('Paramètres'!$O:$O,MATCH($D4756,'Paramètres'!$M:$M,0))&amp;"",""))))</f>
        <v/>
      </c>
      <c r="N4756" s="6" t="str">
        <f>IF($D4756="","",IFERROR(INDEX('Paramètres'!$Q:$Q,MATCH($D4756,'Paramètres'!$M:$M,0))&amp;"",""))</f>
        <v/>
      </c>
      <c r="O4756" s="6" t="str">
        <f>IF($A4756="","",IF(OR($J4756&lt;&gt;"x",$A4756&lt;=FinReleve),1,0))</f>
        <v/>
      </c>
      <c r="P4756" s="6" t="str">
        <f>IF($D4756="","",IF(AND($L4756="Crédit",OR(IFERROR(INDEX('Paramètres'!$O:$O,MATCH($D4756,'Paramètres'!$M:$M,0))&amp;"","")&lt;&gt;"",ISNUMBER(SEARCH("remboursement",IFERROR(INDEX('Paramètres'!$N:$N,MATCH($D4756,'Paramètres'!$M:$M,0))&amp;"",""))))),1,0))</f>
        <v/>
      </c>
      <c r="Q4756" s="6" t="str">
        <f>IF($K4756="","",IF(ISNUMBER(SEARCH("transfert-interne",IFERROR(INDEX('Paramètres'!$N:$N,MATCH($D4756,'Paramètres'!$M:$M,0))&amp;"",""))),0,IF($L4756="Débit",$K4756,IF($P4756=1,-$K4756,0))))</f>
        <v/>
      </c>
      <c r="R4756" s="6" t="str">
        <f>IF($K4756="","",IF($L4756="Crédit",$K4756,-$K4756))</f>
        <v/>
      </c>
      <c r="S4756" s="6" t="str">
        <f>IF($C4756="","",IFERROR(INDEX('Paramètres'!$H:$H,MATCH($C4756,'Paramètres'!$D:$D,0))&amp;"",""))</f>
        <v/>
      </c>
      <c r="T4756" s="6" t="str">
        <f>IF($K4756="","",IF($S4756="",0,IF(ISNUMBER(SEARCH("apport-exterieur",IFERROR(INDEX('Paramètres'!$N:$N,MATCH($D4756,'Paramètres'!$M:$M,0))&amp;"",""))),0,IF(OR(IFERROR(INDEX('Paramètres'!$I:$I,MATCH($C4756,'Paramètres'!$D:$D,0))&amp;"","")="Les deux",IFERROR(INDEX('Paramètres'!$I:$I,MATCH($C4756,'Paramètres'!$D:$D,0))&amp;"","")=IF($P4756=1,"Débit",$L4756)),-IF($P4756=1,-$K4756,$K4756),0))))</f>
        <v/>
      </c>
      <c r="U4756" s="6" t="str">
        <f>IF($K4756="","",IF(ISNUMBER(SEARCH("sortie-epargne",IFERROR(INDEX('Paramètres'!$N:$N,MATCH($D4756,'Paramètres'!$M:$M,0))&amp;"",""))),$K4756,0))</f>
        <v/>
      </c>
      <c r="V4756" s="6" t="str">
        <f>IF(AND($A4756&lt;&gt;"",$O4756=1,$L4756="Débit",N($Q4756)&gt;0,$A4756&gt;=Visualisation!$B$1,$A4756&lt;Visualisation!$D$1),MAX($V$1:V4755)+1,"")</f>
        <v/>
      </c>
    </row>
    <row r="4757" spans="1:22" x14ac:dyDescent="0.25">
      <c r="A4757" s="9"/>
      <c r="E4757" s="10"/>
      <c r="K4757" s="11" t="str">
        <f>IF($E4757="","",ROUND($E4757*IF(ISNA(MATCH($C4757,'Paramètres'!$D:$D,0)),1,IF(INDEX('Paramètres'!$J:$J,MATCH($C4757,'Paramètres'!$D:$D,0))="",1,INDEX('Paramètres'!$J:$J,MATCH($C4757,'Paramètres'!$D:$D,0)))),2))</f>
        <v/>
      </c>
      <c r="L4757" s="6" t="str">
        <f>IF($D4757="","",IF($F4757&lt;&gt;"",$F4757,IF(ISNA(MATCH($D4757,'Paramètres'!$M:$M,0)),"⚠ Type inconnu",IFERROR(INDEX('Paramètres'!$P:$P,MATCH($D4757,'Paramètres'!$M:$M,0))&amp;"",""))))</f>
        <v/>
      </c>
      <c r="M4757" s="6" t="str">
        <f>IF($D4757="","",IF(ISNA(MATCH($D4757,'Paramètres'!$M:$M,0)),"⚠ Type inconnu",IF($L4757="Crédit","",IFERROR(INDEX('Paramètres'!$O:$O,MATCH($D4757,'Paramètres'!$M:$M,0))&amp;"",""))))</f>
        <v/>
      </c>
      <c r="N4757" s="6" t="str">
        <f>IF($D4757="","",IFERROR(INDEX('Paramètres'!$Q:$Q,MATCH($D4757,'Paramètres'!$M:$M,0))&amp;"",""))</f>
        <v/>
      </c>
      <c r="O4757" s="6" t="str">
        <f>IF($A4757="","",IF(OR($J4757&lt;&gt;"x",$A4757&lt;=FinReleve),1,0))</f>
        <v/>
      </c>
      <c r="P4757" s="6" t="str">
        <f>IF($D4757="","",IF(AND($L4757="Crédit",OR(IFERROR(INDEX('Paramètres'!$O:$O,MATCH($D4757,'Paramètres'!$M:$M,0))&amp;"","")&lt;&gt;"",ISNUMBER(SEARCH("remboursement",IFERROR(INDEX('Paramètres'!$N:$N,MATCH($D4757,'Paramètres'!$M:$M,0))&amp;"",""))))),1,0))</f>
        <v/>
      </c>
      <c r="Q4757" s="6" t="str">
        <f>IF($K4757="","",IF(ISNUMBER(SEARCH("transfert-interne",IFERROR(INDEX('Paramètres'!$N:$N,MATCH($D4757,'Paramètres'!$M:$M,0))&amp;"",""))),0,IF($L4757="Débit",$K4757,IF($P4757=1,-$K4757,0))))</f>
        <v/>
      </c>
      <c r="R4757" s="6" t="str">
        <f>IF($K4757="","",IF($L4757="Crédit",$K4757,-$K4757))</f>
        <v/>
      </c>
      <c r="S4757" s="6" t="str">
        <f>IF($C4757="","",IFERROR(INDEX('Paramètres'!$H:$H,MATCH($C4757,'Paramètres'!$D:$D,0))&amp;"",""))</f>
        <v/>
      </c>
      <c r="T4757" s="6" t="str">
        <f>IF($K4757="","",IF($S4757="",0,IF(ISNUMBER(SEARCH("apport-exterieur",IFERROR(INDEX('Paramètres'!$N:$N,MATCH($D4757,'Paramètres'!$M:$M,0))&amp;"",""))),0,IF(OR(IFERROR(INDEX('Paramètres'!$I:$I,MATCH($C4757,'Paramètres'!$D:$D,0))&amp;"","")="Les deux",IFERROR(INDEX('Paramètres'!$I:$I,MATCH($C4757,'Paramètres'!$D:$D,0))&amp;"","")=IF($P4757=1,"Débit",$L4757)),-IF($P4757=1,-$K4757,$K4757),0))))</f>
        <v/>
      </c>
      <c r="U4757" s="6" t="str">
        <f>IF($K4757="","",IF(ISNUMBER(SEARCH("sortie-epargne",IFERROR(INDEX('Paramètres'!$N:$N,MATCH($D4757,'Paramètres'!$M:$M,0))&amp;"",""))),$K4757,0))</f>
        <v/>
      </c>
      <c r="V4757" s="6" t="str">
        <f>IF(AND($A4757&lt;&gt;"",$O4757=1,$L4757="Débit",N($Q4757)&gt;0,$A4757&gt;=Visualisation!$B$1,$A4757&lt;Visualisation!$D$1),MAX($V$1:V4756)+1,"")</f>
        <v/>
      </c>
    </row>
    <row r="4758" spans="1:22" x14ac:dyDescent="0.25">
      <c r="A4758" s="9"/>
      <c r="E4758" s="10"/>
      <c r="K4758" s="11" t="str">
        <f>IF($E4758="","",ROUND($E4758*IF(ISNA(MATCH($C4758,'Paramètres'!$D:$D,0)),1,IF(INDEX('Paramètres'!$J:$J,MATCH($C4758,'Paramètres'!$D:$D,0))="",1,INDEX('Paramètres'!$J:$J,MATCH($C4758,'Paramètres'!$D:$D,0)))),2))</f>
        <v/>
      </c>
      <c r="L4758" s="6" t="str">
        <f>IF($D4758="","",IF($F4758&lt;&gt;"",$F4758,IF(ISNA(MATCH($D4758,'Paramètres'!$M:$M,0)),"⚠ Type inconnu",IFERROR(INDEX('Paramètres'!$P:$P,MATCH($D4758,'Paramètres'!$M:$M,0))&amp;"",""))))</f>
        <v/>
      </c>
      <c r="M4758" s="6" t="str">
        <f>IF($D4758="","",IF(ISNA(MATCH($D4758,'Paramètres'!$M:$M,0)),"⚠ Type inconnu",IF($L4758="Crédit","",IFERROR(INDEX('Paramètres'!$O:$O,MATCH($D4758,'Paramètres'!$M:$M,0))&amp;"",""))))</f>
        <v/>
      </c>
      <c r="N4758" s="6" t="str">
        <f>IF($D4758="","",IFERROR(INDEX('Paramètres'!$Q:$Q,MATCH($D4758,'Paramètres'!$M:$M,0))&amp;"",""))</f>
        <v/>
      </c>
      <c r="O4758" s="6" t="str">
        <f>IF($A4758="","",IF(OR($J4758&lt;&gt;"x",$A4758&lt;=FinReleve),1,0))</f>
        <v/>
      </c>
      <c r="P4758" s="6" t="str">
        <f>IF($D4758="","",IF(AND($L4758="Crédit",OR(IFERROR(INDEX('Paramètres'!$O:$O,MATCH($D4758,'Paramètres'!$M:$M,0))&amp;"","")&lt;&gt;"",ISNUMBER(SEARCH("remboursement",IFERROR(INDEX('Paramètres'!$N:$N,MATCH($D4758,'Paramètres'!$M:$M,0))&amp;"",""))))),1,0))</f>
        <v/>
      </c>
      <c r="Q4758" s="6" t="str">
        <f>IF($K4758="","",IF(ISNUMBER(SEARCH("transfert-interne",IFERROR(INDEX('Paramètres'!$N:$N,MATCH($D4758,'Paramètres'!$M:$M,0))&amp;"",""))),0,IF($L4758="Débit",$K4758,IF($P4758=1,-$K4758,0))))</f>
        <v/>
      </c>
      <c r="R4758" s="6" t="str">
        <f>IF($K4758="","",IF($L4758="Crédit",$K4758,-$K4758))</f>
        <v/>
      </c>
      <c r="S4758" s="6" t="str">
        <f>IF($C4758="","",IFERROR(INDEX('Paramètres'!$H:$H,MATCH($C4758,'Paramètres'!$D:$D,0))&amp;"",""))</f>
        <v/>
      </c>
      <c r="T4758" s="6" t="str">
        <f>IF($K4758="","",IF($S4758="",0,IF(ISNUMBER(SEARCH("apport-exterieur",IFERROR(INDEX('Paramètres'!$N:$N,MATCH($D4758,'Paramètres'!$M:$M,0))&amp;"",""))),0,IF(OR(IFERROR(INDEX('Paramètres'!$I:$I,MATCH($C4758,'Paramètres'!$D:$D,0))&amp;"","")="Les deux",IFERROR(INDEX('Paramètres'!$I:$I,MATCH($C4758,'Paramètres'!$D:$D,0))&amp;"","")=IF($P4758=1,"Débit",$L4758)),-IF($P4758=1,-$K4758,$K4758),0))))</f>
        <v/>
      </c>
      <c r="U4758" s="6" t="str">
        <f>IF($K4758="","",IF(ISNUMBER(SEARCH("sortie-epargne",IFERROR(INDEX('Paramètres'!$N:$N,MATCH($D4758,'Paramètres'!$M:$M,0))&amp;"",""))),$K4758,0))</f>
        <v/>
      </c>
      <c r="V4758" s="6" t="str">
        <f>IF(AND($A4758&lt;&gt;"",$O4758=1,$L4758="Débit",N($Q4758)&gt;0,$A4758&gt;=Visualisation!$B$1,$A4758&lt;Visualisation!$D$1),MAX($V$1:V4757)+1,"")</f>
        <v/>
      </c>
    </row>
    <row r="4759" spans="1:22" x14ac:dyDescent="0.25">
      <c r="A4759" s="9"/>
      <c r="E4759" s="10"/>
      <c r="K4759" s="11" t="str">
        <f>IF($E4759="","",ROUND($E4759*IF(ISNA(MATCH($C4759,'Paramètres'!$D:$D,0)),1,IF(INDEX('Paramètres'!$J:$J,MATCH($C4759,'Paramètres'!$D:$D,0))="",1,INDEX('Paramètres'!$J:$J,MATCH($C4759,'Paramètres'!$D:$D,0)))),2))</f>
        <v/>
      </c>
      <c r="L4759" s="6" t="str">
        <f>IF($D4759="","",IF($F4759&lt;&gt;"",$F4759,IF(ISNA(MATCH($D4759,'Paramètres'!$M:$M,0)),"⚠ Type inconnu",IFERROR(INDEX('Paramètres'!$P:$P,MATCH($D4759,'Paramètres'!$M:$M,0))&amp;"",""))))</f>
        <v/>
      </c>
      <c r="M4759" s="6" t="str">
        <f>IF($D4759="","",IF(ISNA(MATCH($D4759,'Paramètres'!$M:$M,0)),"⚠ Type inconnu",IF($L4759="Crédit","",IFERROR(INDEX('Paramètres'!$O:$O,MATCH($D4759,'Paramètres'!$M:$M,0))&amp;"",""))))</f>
        <v/>
      </c>
      <c r="N4759" s="6" t="str">
        <f>IF($D4759="","",IFERROR(INDEX('Paramètres'!$Q:$Q,MATCH($D4759,'Paramètres'!$M:$M,0))&amp;"",""))</f>
        <v/>
      </c>
      <c r="O4759" s="6" t="str">
        <f>IF($A4759="","",IF(OR($J4759&lt;&gt;"x",$A4759&lt;=FinReleve),1,0))</f>
        <v/>
      </c>
      <c r="P4759" s="6" t="str">
        <f>IF($D4759="","",IF(AND($L4759="Crédit",OR(IFERROR(INDEX('Paramètres'!$O:$O,MATCH($D4759,'Paramètres'!$M:$M,0))&amp;"","")&lt;&gt;"",ISNUMBER(SEARCH("remboursement",IFERROR(INDEX('Paramètres'!$N:$N,MATCH($D4759,'Paramètres'!$M:$M,0))&amp;"",""))))),1,0))</f>
        <v/>
      </c>
      <c r="Q4759" s="6" t="str">
        <f>IF($K4759="","",IF(ISNUMBER(SEARCH("transfert-interne",IFERROR(INDEX('Paramètres'!$N:$N,MATCH($D4759,'Paramètres'!$M:$M,0))&amp;"",""))),0,IF($L4759="Débit",$K4759,IF($P4759=1,-$K4759,0))))</f>
        <v/>
      </c>
      <c r="R4759" s="6" t="str">
        <f>IF($K4759="","",IF($L4759="Crédit",$K4759,-$K4759))</f>
        <v/>
      </c>
      <c r="S4759" s="6" t="str">
        <f>IF($C4759="","",IFERROR(INDEX('Paramètres'!$H:$H,MATCH($C4759,'Paramètres'!$D:$D,0))&amp;"",""))</f>
        <v/>
      </c>
      <c r="T4759" s="6" t="str">
        <f>IF($K4759="","",IF($S4759="",0,IF(ISNUMBER(SEARCH("apport-exterieur",IFERROR(INDEX('Paramètres'!$N:$N,MATCH($D4759,'Paramètres'!$M:$M,0))&amp;"",""))),0,IF(OR(IFERROR(INDEX('Paramètres'!$I:$I,MATCH($C4759,'Paramètres'!$D:$D,0))&amp;"","")="Les deux",IFERROR(INDEX('Paramètres'!$I:$I,MATCH($C4759,'Paramètres'!$D:$D,0))&amp;"","")=IF($P4759=1,"Débit",$L4759)),-IF($P4759=1,-$K4759,$K4759),0))))</f>
        <v/>
      </c>
      <c r="U4759" s="6" t="str">
        <f>IF($K4759="","",IF(ISNUMBER(SEARCH("sortie-epargne",IFERROR(INDEX('Paramètres'!$N:$N,MATCH($D4759,'Paramètres'!$M:$M,0))&amp;"",""))),$K4759,0))</f>
        <v/>
      </c>
      <c r="V4759" s="6" t="str">
        <f>IF(AND($A4759&lt;&gt;"",$O4759=1,$L4759="Débit",N($Q4759)&gt;0,$A4759&gt;=Visualisation!$B$1,$A4759&lt;Visualisation!$D$1),MAX($V$1:V4758)+1,"")</f>
        <v/>
      </c>
    </row>
    <row r="4760" spans="1:22" x14ac:dyDescent="0.25">
      <c r="A4760" s="9"/>
      <c r="E4760" s="10"/>
      <c r="K4760" s="11" t="str">
        <f>IF($E4760="","",ROUND($E4760*IF(ISNA(MATCH($C4760,'Paramètres'!$D:$D,0)),1,IF(INDEX('Paramètres'!$J:$J,MATCH($C4760,'Paramètres'!$D:$D,0))="",1,INDEX('Paramètres'!$J:$J,MATCH($C4760,'Paramètres'!$D:$D,0)))),2))</f>
        <v/>
      </c>
      <c r="L4760" s="6" t="str">
        <f>IF($D4760="","",IF($F4760&lt;&gt;"",$F4760,IF(ISNA(MATCH($D4760,'Paramètres'!$M:$M,0)),"⚠ Type inconnu",IFERROR(INDEX('Paramètres'!$P:$P,MATCH($D4760,'Paramètres'!$M:$M,0))&amp;"",""))))</f>
        <v/>
      </c>
      <c r="M4760" s="6" t="str">
        <f>IF($D4760="","",IF(ISNA(MATCH($D4760,'Paramètres'!$M:$M,0)),"⚠ Type inconnu",IF($L4760="Crédit","",IFERROR(INDEX('Paramètres'!$O:$O,MATCH($D4760,'Paramètres'!$M:$M,0))&amp;"",""))))</f>
        <v/>
      </c>
      <c r="N4760" s="6" t="str">
        <f>IF($D4760="","",IFERROR(INDEX('Paramètres'!$Q:$Q,MATCH($D4760,'Paramètres'!$M:$M,0))&amp;"",""))</f>
        <v/>
      </c>
      <c r="O4760" s="6" t="str">
        <f>IF($A4760="","",IF(OR($J4760&lt;&gt;"x",$A4760&lt;=FinReleve),1,0))</f>
        <v/>
      </c>
      <c r="P4760" s="6" t="str">
        <f>IF($D4760="","",IF(AND($L4760="Crédit",OR(IFERROR(INDEX('Paramètres'!$O:$O,MATCH($D4760,'Paramètres'!$M:$M,0))&amp;"","")&lt;&gt;"",ISNUMBER(SEARCH("remboursement",IFERROR(INDEX('Paramètres'!$N:$N,MATCH($D4760,'Paramètres'!$M:$M,0))&amp;"",""))))),1,0))</f>
        <v/>
      </c>
      <c r="Q4760" s="6" t="str">
        <f>IF($K4760="","",IF(ISNUMBER(SEARCH("transfert-interne",IFERROR(INDEX('Paramètres'!$N:$N,MATCH($D4760,'Paramètres'!$M:$M,0))&amp;"",""))),0,IF($L4760="Débit",$K4760,IF($P4760=1,-$K4760,0))))</f>
        <v/>
      </c>
      <c r="R4760" s="6" t="str">
        <f>IF($K4760="","",IF($L4760="Crédit",$K4760,-$K4760))</f>
        <v/>
      </c>
      <c r="S4760" s="6" t="str">
        <f>IF($C4760="","",IFERROR(INDEX('Paramètres'!$H:$H,MATCH($C4760,'Paramètres'!$D:$D,0))&amp;"",""))</f>
        <v/>
      </c>
      <c r="T4760" s="6" t="str">
        <f>IF($K4760="","",IF($S4760="",0,IF(ISNUMBER(SEARCH("apport-exterieur",IFERROR(INDEX('Paramètres'!$N:$N,MATCH($D4760,'Paramètres'!$M:$M,0))&amp;"",""))),0,IF(OR(IFERROR(INDEX('Paramètres'!$I:$I,MATCH($C4760,'Paramètres'!$D:$D,0))&amp;"","")="Les deux",IFERROR(INDEX('Paramètres'!$I:$I,MATCH($C4760,'Paramètres'!$D:$D,0))&amp;"","")=IF($P4760=1,"Débit",$L4760)),-IF($P4760=1,-$K4760,$K4760),0))))</f>
        <v/>
      </c>
      <c r="U4760" s="6" t="str">
        <f>IF($K4760="","",IF(ISNUMBER(SEARCH("sortie-epargne",IFERROR(INDEX('Paramètres'!$N:$N,MATCH($D4760,'Paramètres'!$M:$M,0))&amp;"",""))),$K4760,0))</f>
        <v/>
      </c>
      <c r="V4760" s="6" t="str">
        <f>IF(AND($A4760&lt;&gt;"",$O4760=1,$L4760="Débit",N($Q4760)&gt;0,$A4760&gt;=Visualisation!$B$1,$A4760&lt;Visualisation!$D$1),MAX($V$1:V4759)+1,"")</f>
        <v/>
      </c>
    </row>
    <row r="4761" spans="1:22" x14ac:dyDescent="0.25">
      <c r="A4761" s="9"/>
      <c r="E4761" s="10"/>
      <c r="K4761" s="11" t="str">
        <f>IF($E4761="","",ROUND($E4761*IF(ISNA(MATCH($C4761,'Paramètres'!$D:$D,0)),1,IF(INDEX('Paramètres'!$J:$J,MATCH($C4761,'Paramètres'!$D:$D,0))="",1,INDEX('Paramètres'!$J:$J,MATCH($C4761,'Paramètres'!$D:$D,0)))),2))</f>
        <v/>
      </c>
      <c r="L4761" s="6" t="str">
        <f>IF($D4761="","",IF($F4761&lt;&gt;"",$F4761,IF(ISNA(MATCH($D4761,'Paramètres'!$M:$M,0)),"⚠ Type inconnu",IFERROR(INDEX('Paramètres'!$P:$P,MATCH($D4761,'Paramètres'!$M:$M,0))&amp;"",""))))</f>
        <v/>
      </c>
      <c r="M4761" s="6" t="str">
        <f>IF($D4761="","",IF(ISNA(MATCH($D4761,'Paramètres'!$M:$M,0)),"⚠ Type inconnu",IF($L4761="Crédit","",IFERROR(INDEX('Paramètres'!$O:$O,MATCH($D4761,'Paramètres'!$M:$M,0))&amp;"",""))))</f>
        <v/>
      </c>
      <c r="N4761" s="6" t="str">
        <f>IF($D4761="","",IFERROR(INDEX('Paramètres'!$Q:$Q,MATCH($D4761,'Paramètres'!$M:$M,0))&amp;"",""))</f>
        <v/>
      </c>
      <c r="O4761" s="6" t="str">
        <f>IF($A4761="","",IF(OR($J4761&lt;&gt;"x",$A4761&lt;=FinReleve),1,0))</f>
        <v/>
      </c>
      <c r="P4761" s="6" t="str">
        <f>IF($D4761="","",IF(AND($L4761="Crédit",OR(IFERROR(INDEX('Paramètres'!$O:$O,MATCH($D4761,'Paramètres'!$M:$M,0))&amp;"","")&lt;&gt;"",ISNUMBER(SEARCH("remboursement",IFERROR(INDEX('Paramètres'!$N:$N,MATCH($D4761,'Paramètres'!$M:$M,0))&amp;"",""))))),1,0))</f>
        <v/>
      </c>
      <c r="Q4761" s="6" t="str">
        <f>IF($K4761="","",IF(ISNUMBER(SEARCH("transfert-interne",IFERROR(INDEX('Paramètres'!$N:$N,MATCH($D4761,'Paramètres'!$M:$M,0))&amp;"",""))),0,IF($L4761="Débit",$K4761,IF($P4761=1,-$K4761,0))))</f>
        <v/>
      </c>
      <c r="R4761" s="6" t="str">
        <f>IF($K4761="","",IF($L4761="Crédit",$K4761,-$K4761))</f>
        <v/>
      </c>
      <c r="S4761" s="6" t="str">
        <f>IF($C4761="","",IFERROR(INDEX('Paramètres'!$H:$H,MATCH($C4761,'Paramètres'!$D:$D,0))&amp;"",""))</f>
        <v/>
      </c>
      <c r="T4761" s="6" t="str">
        <f>IF($K4761="","",IF($S4761="",0,IF(ISNUMBER(SEARCH("apport-exterieur",IFERROR(INDEX('Paramètres'!$N:$N,MATCH($D4761,'Paramètres'!$M:$M,0))&amp;"",""))),0,IF(OR(IFERROR(INDEX('Paramètres'!$I:$I,MATCH($C4761,'Paramètres'!$D:$D,0))&amp;"","")="Les deux",IFERROR(INDEX('Paramètres'!$I:$I,MATCH($C4761,'Paramètres'!$D:$D,0))&amp;"","")=IF($P4761=1,"Débit",$L4761)),-IF($P4761=1,-$K4761,$K4761),0))))</f>
        <v/>
      </c>
      <c r="U4761" s="6" t="str">
        <f>IF($K4761="","",IF(ISNUMBER(SEARCH("sortie-epargne",IFERROR(INDEX('Paramètres'!$N:$N,MATCH($D4761,'Paramètres'!$M:$M,0))&amp;"",""))),$K4761,0))</f>
        <v/>
      </c>
      <c r="V4761" s="6" t="str">
        <f>IF(AND($A4761&lt;&gt;"",$O4761=1,$L4761="Débit",N($Q4761)&gt;0,$A4761&gt;=Visualisation!$B$1,$A4761&lt;Visualisation!$D$1),MAX($V$1:V4760)+1,"")</f>
        <v/>
      </c>
    </row>
    <row r="4762" spans="1:22" x14ac:dyDescent="0.25">
      <c r="A4762" s="9"/>
      <c r="E4762" s="10"/>
      <c r="K4762" s="11" t="str">
        <f>IF($E4762="","",ROUND($E4762*IF(ISNA(MATCH($C4762,'Paramètres'!$D:$D,0)),1,IF(INDEX('Paramètres'!$J:$J,MATCH($C4762,'Paramètres'!$D:$D,0))="",1,INDEX('Paramètres'!$J:$J,MATCH($C4762,'Paramètres'!$D:$D,0)))),2))</f>
        <v/>
      </c>
      <c r="L4762" s="6" t="str">
        <f>IF($D4762="","",IF($F4762&lt;&gt;"",$F4762,IF(ISNA(MATCH($D4762,'Paramètres'!$M:$M,0)),"⚠ Type inconnu",IFERROR(INDEX('Paramètres'!$P:$P,MATCH($D4762,'Paramètres'!$M:$M,0))&amp;"",""))))</f>
        <v/>
      </c>
      <c r="M4762" s="6" t="str">
        <f>IF($D4762="","",IF(ISNA(MATCH($D4762,'Paramètres'!$M:$M,0)),"⚠ Type inconnu",IF($L4762="Crédit","",IFERROR(INDEX('Paramètres'!$O:$O,MATCH($D4762,'Paramètres'!$M:$M,0))&amp;"",""))))</f>
        <v/>
      </c>
      <c r="N4762" s="6" t="str">
        <f>IF($D4762="","",IFERROR(INDEX('Paramètres'!$Q:$Q,MATCH($D4762,'Paramètres'!$M:$M,0))&amp;"",""))</f>
        <v/>
      </c>
      <c r="O4762" s="6" t="str">
        <f>IF($A4762="","",IF(OR($J4762&lt;&gt;"x",$A4762&lt;=FinReleve),1,0))</f>
        <v/>
      </c>
      <c r="P4762" s="6" t="str">
        <f>IF($D4762="","",IF(AND($L4762="Crédit",OR(IFERROR(INDEX('Paramètres'!$O:$O,MATCH($D4762,'Paramètres'!$M:$M,0))&amp;"","")&lt;&gt;"",ISNUMBER(SEARCH("remboursement",IFERROR(INDEX('Paramètres'!$N:$N,MATCH($D4762,'Paramètres'!$M:$M,0))&amp;"",""))))),1,0))</f>
        <v/>
      </c>
      <c r="Q4762" s="6" t="str">
        <f>IF($K4762="","",IF(ISNUMBER(SEARCH("transfert-interne",IFERROR(INDEX('Paramètres'!$N:$N,MATCH($D4762,'Paramètres'!$M:$M,0))&amp;"",""))),0,IF($L4762="Débit",$K4762,IF($P4762=1,-$K4762,0))))</f>
        <v/>
      </c>
      <c r="R4762" s="6" t="str">
        <f>IF($K4762="","",IF($L4762="Crédit",$K4762,-$K4762))</f>
        <v/>
      </c>
      <c r="S4762" s="6" t="str">
        <f>IF($C4762="","",IFERROR(INDEX('Paramètres'!$H:$H,MATCH($C4762,'Paramètres'!$D:$D,0))&amp;"",""))</f>
        <v/>
      </c>
      <c r="T4762" s="6" t="str">
        <f>IF($K4762="","",IF($S4762="",0,IF(ISNUMBER(SEARCH("apport-exterieur",IFERROR(INDEX('Paramètres'!$N:$N,MATCH($D4762,'Paramètres'!$M:$M,0))&amp;"",""))),0,IF(OR(IFERROR(INDEX('Paramètres'!$I:$I,MATCH($C4762,'Paramètres'!$D:$D,0))&amp;"","")="Les deux",IFERROR(INDEX('Paramètres'!$I:$I,MATCH($C4762,'Paramètres'!$D:$D,0))&amp;"","")=IF($P4762=1,"Débit",$L4762)),-IF($P4762=1,-$K4762,$K4762),0))))</f>
        <v/>
      </c>
      <c r="U4762" s="6" t="str">
        <f>IF($K4762="","",IF(ISNUMBER(SEARCH("sortie-epargne",IFERROR(INDEX('Paramètres'!$N:$N,MATCH($D4762,'Paramètres'!$M:$M,0))&amp;"",""))),$K4762,0))</f>
        <v/>
      </c>
      <c r="V4762" s="6" t="str">
        <f>IF(AND($A4762&lt;&gt;"",$O4762=1,$L4762="Débit",N($Q4762)&gt;0,$A4762&gt;=Visualisation!$B$1,$A4762&lt;Visualisation!$D$1),MAX($V$1:V4761)+1,"")</f>
        <v/>
      </c>
    </row>
    <row r="4763" spans="1:22" x14ac:dyDescent="0.25">
      <c r="A4763" s="9"/>
      <c r="E4763" s="10"/>
      <c r="K4763" s="11" t="str">
        <f>IF($E4763="","",ROUND($E4763*IF(ISNA(MATCH($C4763,'Paramètres'!$D:$D,0)),1,IF(INDEX('Paramètres'!$J:$J,MATCH($C4763,'Paramètres'!$D:$D,0))="",1,INDEX('Paramètres'!$J:$J,MATCH($C4763,'Paramètres'!$D:$D,0)))),2))</f>
        <v/>
      </c>
      <c r="L4763" s="6" t="str">
        <f>IF($D4763="","",IF($F4763&lt;&gt;"",$F4763,IF(ISNA(MATCH($D4763,'Paramètres'!$M:$M,0)),"⚠ Type inconnu",IFERROR(INDEX('Paramètres'!$P:$P,MATCH($D4763,'Paramètres'!$M:$M,0))&amp;"",""))))</f>
        <v/>
      </c>
      <c r="M4763" s="6" t="str">
        <f>IF($D4763="","",IF(ISNA(MATCH($D4763,'Paramètres'!$M:$M,0)),"⚠ Type inconnu",IF($L4763="Crédit","",IFERROR(INDEX('Paramètres'!$O:$O,MATCH($D4763,'Paramètres'!$M:$M,0))&amp;"",""))))</f>
        <v/>
      </c>
      <c r="N4763" s="6" t="str">
        <f>IF($D4763="","",IFERROR(INDEX('Paramètres'!$Q:$Q,MATCH($D4763,'Paramètres'!$M:$M,0))&amp;"",""))</f>
        <v/>
      </c>
      <c r="O4763" s="6" t="str">
        <f>IF($A4763="","",IF(OR($J4763&lt;&gt;"x",$A4763&lt;=FinReleve),1,0))</f>
        <v/>
      </c>
      <c r="P4763" s="6" t="str">
        <f>IF($D4763="","",IF(AND($L4763="Crédit",OR(IFERROR(INDEX('Paramètres'!$O:$O,MATCH($D4763,'Paramètres'!$M:$M,0))&amp;"","")&lt;&gt;"",ISNUMBER(SEARCH("remboursement",IFERROR(INDEX('Paramètres'!$N:$N,MATCH($D4763,'Paramètres'!$M:$M,0))&amp;"",""))))),1,0))</f>
        <v/>
      </c>
      <c r="Q4763" s="6" t="str">
        <f>IF($K4763="","",IF(ISNUMBER(SEARCH("transfert-interne",IFERROR(INDEX('Paramètres'!$N:$N,MATCH($D4763,'Paramètres'!$M:$M,0))&amp;"",""))),0,IF($L4763="Débit",$K4763,IF($P4763=1,-$K4763,0))))</f>
        <v/>
      </c>
      <c r="R4763" s="6" t="str">
        <f>IF($K4763="","",IF($L4763="Crédit",$K4763,-$K4763))</f>
        <v/>
      </c>
      <c r="S4763" s="6" t="str">
        <f>IF($C4763="","",IFERROR(INDEX('Paramètres'!$H:$H,MATCH($C4763,'Paramètres'!$D:$D,0))&amp;"",""))</f>
        <v/>
      </c>
      <c r="T4763" s="6" t="str">
        <f>IF($K4763="","",IF($S4763="",0,IF(ISNUMBER(SEARCH("apport-exterieur",IFERROR(INDEX('Paramètres'!$N:$N,MATCH($D4763,'Paramètres'!$M:$M,0))&amp;"",""))),0,IF(OR(IFERROR(INDEX('Paramètres'!$I:$I,MATCH($C4763,'Paramètres'!$D:$D,0))&amp;"","")="Les deux",IFERROR(INDEX('Paramètres'!$I:$I,MATCH($C4763,'Paramètres'!$D:$D,0))&amp;"","")=IF($P4763=1,"Débit",$L4763)),-IF($P4763=1,-$K4763,$K4763),0))))</f>
        <v/>
      </c>
      <c r="U4763" s="6" t="str">
        <f>IF($K4763="","",IF(ISNUMBER(SEARCH("sortie-epargne",IFERROR(INDEX('Paramètres'!$N:$N,MATCH($D4763,'Paramètres'!$M:$M,0))&amp;"",""))),$K4763,0))</f>
        <v/>
      </c>
      <c r="V4763" s="6" t="str">
        <f>IF(AND($A4763&lt;&gt;"",$O4763=1,$L4763="Débit",N($Q4763)&gt;0,$A4763&gt;=Visualisation!$B$1,$A4763&lt;Visualisation!$D$1),MAX($V$1:V4762)+1,"")</f>
        <v/>
      </c>
    </row>
    <row r="4764" spans="1:22" x14ac:dyDescent="0.25">
      <c r="A4764" s="9"/>
      <c r="E4764" s="10"/>
      <c r="K4764" s="11" t="str">
        <f>IF($E4764="","",ROUND($E4764*IF(ISNA(MATCH($C4764,'Paramètres'!$D:$D,0)),1,IF(INDEX('Paramètres'!$J:$J,MATCH($C4764,'Paramètres'!$D:$D,0))="",1,INDEX('Paramètres'!$J:$J,MATCH($C4764,'Paramètres'!$D:$D,0)))),2))</f>
        <v/>
      </c>
      <c r="L4764" s="6" t="str">
        <f>IF($D4764="","",IF($F4764&lt;&gt;"",$F4764,IF(ISNA(MATCH($D4764,'Paramètres'!$M:$M,0)),"⚠ Type inconnu",IFERROR(INDEX('Paramètres'!$P:$P,MATCH($D4764,'Paramètres'!$M:$M,0))&amp;"",""))))</f>
        <v/>
      </c>
      <c r="M4764" s="6" t="str">
        <f>IF($D4764="","",IF(ISNA(MATCH($D4764,'Paramètres'!$M:$M,0)),"⚠ Type inconnu",IF($L4764="Crédit","",IFERROR(INDEX('Paramètres'!$O:$O,MATCH($D4764,'Paramètres'!$M:$M,0))&amp;"",""))))</f>
        <v/>
      </c>
      <c r="N4764" s="6" t="str">
        <f>IF($D4764="","",IFERROR(INDEX('Paramètres'!$Q:$Q,MATCH($D4764,'Paramètres'!$M:$M,0))&amp;"",""))</f>
        <v/>
      </c>
      <c r="O4764" s="6" t="str">
        <f>IF($A4764="","",IF(OR($J4764&lt;&gt;"x",$A4764&lt;=FinReleve),1,0))</f>
        <v/>
      </c>
      <c r="P4764" s="6" t="str">
        <f>IF($D4764="","",IF(AND($L4764="Crédit",OR(IFERROR(INDEX('Paramètres'!$O:$O,MATCH($D4764,'Paramètres'!$M:$M,0))&amp;"","")&lt;&gt;"",ISNUMBER(SEARCH("remboursement",IFERROR(INDEX('Paramètres'!$N:$N,MATCH($D4764,'Paramètres'!$M:$M,0))&amp;"",""))))),1,0))</f>
        <v/>
      </c>
      <c r="Q4764" s="6" t="str">
        <f>IF($K4764="","",IF(ISNUMBER(SEARCH("transfert-interne",IFERROR(INDEX('Paramètres'!$N:$N,MATCH($D4764,'Paramètres'!$M:$M,0))&amp;"",""))),0,IF($L4764="Débit",$K4764,IF($P4764=1,-$K4764,0))))</f>
        <v/>
      </c>
      <c r="R4764" s="6" t="str">
        <f>IF($K4764="","",IF($L4764="Crédit",$K4764,-$K4764))</f>
        <v/>
      </c>
      <c r="S4764" s="6" t="str">
        <f>IF($C4764="","",IFERROR(INDEX('Paramètres'!$H:$H,MATCH($C4764,'Paramètres'!$D:$D,0))&amp;"",""))</f>
        <v/>
      </c>
      <c r="T4764" s="6" t="str">
        <f>IF($K4764="","",IF($S4764="",0,IF(ISNUMBER(SEARCH("apport-exterieur",IFERROR(INDEX('Paramètres'!$N:$N,MATCH($D4764,'Paramètres'!$M:$M,0))&amp;"",""))),0,IF(OR(IFERROR(INDEX('Paramètres'!$I:$I,MATCH($C4764,'Paramètres'!$D:$D,0))&amp;"","")="Les deux",IFERROR(INDEX('Paramètres'!$I:$I,MATCH($C4764,'Paramètres'!$D:$D,0))&amp;"","")=IF($P4764=1,"Débit",$L4764)),-IF($P4764=1,-$K4764,$K4764),0))))</f>
        <v/>
      </c>
      <c r="U4764" s="6" t="str">
        <f>IF($K4764="","",IF(ISNUMBER(SEARCH("sortie-epargne",IFERROR(INDEX('Paramètres'!$N:$N,MATCH($D4764,'Paramètres'!$M:$M,0))&amp;"",""))),$K4764,0))</f>
        <v/>
      </c>
      <c r="V4764" s="6" t="str">
        <f>IF(AND($A4764&lt;&gt;"",$O4764=1,$L4764="Débit",N($Q4764)&gt;0,$A4764&gt;=Visualisation!$B$1,$A4764&lt;Visualisation!$D$1),MAX($V$1:V4763)+1,"")</f>
        <v/>
      </c>
    </row>
    <row r="4765" spans="1:22" x14ac:dyDescent="0.25">
      <c r="A4765" s="9"/>
      <c r="E4765" s="10"/>
      <c r="K4765" s="11" t="str">
        <f>IF($E4765="","",ROUND($E4765*IF(ISNA(MATCH($C4765,'Paramètres'!$D:$D,0)),1,IF(INDEX('Paramètres'!$J:$J,MATCH($C4765,'Paramètres'!$D:$D,0))="",1,INDEX('Paramètres'!$J:$J,MATCH($C4765,'Paramètres'!$D:$D,0)))),2))</f>
        <v/>
      </c>
      <c r="L4765" s="6" t="str">
        <f>IF($D4765="","",IF($F4765&lt;&gt;"",$F4765,IF(ISNA(MATCH($D4765,'Paramètres'!$M:$M,0)),"⚠ Type inconnu",IFERROR(INDEX('Paramètres'!$P:$P,MATCH($D4765,'Paramètres'!$M:$M,0))&amp;"",""))))</f>
        <v/>
      </c>
      <c r="M4765" s="6" t="str">
        <f>IF($D4765="","",IF(ISNA(MATCH($D4765,'Paramètres'!$M:$M,0)),"⚠ Type inconnu",IF($L4765="Crédit","",IFERROR(INDEX('Paramètres'!$O:$O,MATCH($D4765,'Paramètres'!$M:$M,0))&amp;"",""))))</f>
        <v/>
      </c>
      <c r="N4765" s="6" t="str">
        <f>IF($D4765="","",IFERROR(INDEX('Paramètres'!$Q:$Q,MATCH($D4765,'Paramètres'!$M:$M,0))&amp;"",""))</f>
        <v/>
      </c>
      <c r="O4765" s="6" t="str">
        <f>IF($A4765="","",IF(OR($J4765&lt;&gt;"x",$A4765&lt;=FinReleve),1,0))</f>
        <v/>
      </c>
      <c r="P4765" s="6" t="str">
        <f>IF($D4765="","",IF(AND($L4765="Crédit",OR(IFERROR(INDEX('Paramètres'!$O:$O,MATCH($D4765,'Paramètres'!$M:$M,0))&amp;"","")&lt;&gt;"",ISNUMBER(SEARCH("remboursement",IFERROR(INDEX('Paramètres'!$N:$N,MATCH($D4765,'Paramètres'!$M:$M,0))&amp;"",""))))),1,0))</f>
        <v/>
      </c>
      <c r="Q4765" s="6" t="str">
        <f>IF($K4765="","",IF(ISNUMBER(SEARCH("transfert-interne",IFERROR(INDEX('Paramètres'!$N:$N,MATCH($D4765,'Paramètres'!$M:$M,0))&amp;"",""))),0,IF($L4765="Débit",$K4765,IF($P4765=1,-$K4765,0))))</f>
        <v/>
      </c>
      <c r="R4765" s="6" t="str">
        <f>IF($K4765="","",IF($L4765="Crédit",$K4765,-$K4765))</f>
        <v/>
      </c>
      <c r="S4765" s="6" t="str">
        <f>IF($C4765="","",IFERROR(INDEX('Paramètres'!$H:$H,MATCH($C4765,'Paramètres'!$D:$D,0))&amp;"",""))</f>
        <v/>
      </c>
      <c r="T4765" s="6" t="str">
        <f>IF($K4765="","",IF($S4765="",0,IF(ISNUMBER(SEARCH("apport-exterieur",IFERROR(INDEX('Paramètres'!$N:$N,MATCH($D4765,'Paramètres'!$M:$M,0))&amp;"",""))),0,IF(OR(IFERROR(INDEX('Paramètres'!$I:$I,MATCH($C4765,'Paramètres'!$D:$D,0))&amp;"","")="Les deux",IFERROR(INDEX('Paramètres'!$I:$I,MATCH($C4765,'Paramètres'!$D:$D,0))&amp;"","")=IF($P4765=1,"Débit",$L4765)),-IF($P4765=1,-$K4765,$K4765),0))))</f>
        <v/>
      </c>
      <c r="U4765" s="6" t="str">
        <f>IF($K4765="","",IF(ISNUMBER(SEARCH("sortie-epargne",IFERROR(INDEX('Paramètres'!$N:$N,MATCH($D4765,'Paramètres'!$M:$M,0))&amp;"",""))),$K4765,0))</f>
        <v/>
      </c>
      <c r="V4765" s="6" t="str">
        <f>IF(AND($A4765&lt;&gt;"",$O4765=1,$L4765="Débit",N($Q4765)&gt;0,$A4765&gt;=Visualisation!$B$1,$A4765&lt;Visualisation!$D$1),MAX($V$1:V4764)+1,"")</f>
        <v/>
      </c>
    </row>
    <row r="4766" spans="1:22" x14ac:dyDescent="0.25">
      <c r="A4766" s="9"/>
      <c r="E4766" s="10"/>
      <c r="K4766" s="11" t="str">
        <f>IF($E4766="","",ROUND($E4766*IF(ISNA(MATCH($C4766,'Paramètres'!$D:$D,0)),1,IF(INDEX('Paramètres'!$J:$J,MATCH($C4766,'Paramètres'!$D:$D,0))="",1,INDEX('Paramètres'!$J:$J,MATCH($C4766,'Paramètres'!$D:$D,0)))),2))</f>
        <v/>
      </c>
      <c r="L4766" s="6" t="str">
        <f>IF($D4766="","",IF($F4766&lt;&gt;"",$F4766,IF(ISNA(MATCH($D4766,'Paramètres'!$M:$M,0)),"⚠ Type inconnu",IFERROR(INDEX('Paramètres'!$P:$P,MATCH($D4766,'Paramètres'!$M:$M,0))&amp;"",""))))</f>
        <v/>
      </c>
      <c r="M4766" s="6" t="str">
        <f>IF($D4766="","",IF(ISNA(MATCH($D4766,'Paramètres'!$M:$M,0)),"⚠ Type inconnu",IF($L4766="Crédit","",IFERROR(INDEX('Paramètres'!$O:$O,MATCH($D4766,'Paramètres'!$M:$M,0))&amp;"",""))))</f>
        <v/>
      </c>
      <c r="N4766" s="6" t="str">
        <f>IF($D4766="","",IFERROR(INDEX('Paramètres'!$Q:$Q,MATCH($D4766,'Paramètres'!$M:$M,0))&amp;"",""))</f>
        <v/>
      </c>
      <c r="O4766" s="6" t="str">
        <f>IF($A4766="","",IF(OR($J4766&lt;&gt;"x",$A4766&lt;=FinReleve),1,0))</f>
        <v/>
      </c>
      <c r="P4766" s="6" t="str">
        <f>IF($D4766="","",IF(AND($L4766="Crédit",OR(IFERROR(INDEX('Paramètres'!$O:$O,MATCH($D4766,'Paramètres'!$M:$M,0))&amp;"","")&lt;&gt;"",ISNUMBER(SEARCH("remboursement",IFERROR(INDEX('Paramètres'!$N:$N,MATCH($D4766,'Paramètres'!$M:$M,0))&amp;"",""))))),1,0))</f>
        <v/>
      </c>
      <c r="Q4766" s="6" t="str">
        <f>IF($K4766="","",IF(ISNUMBER(SEARCH("transfert-interne",IFERROR(INDEX('Paramètres'!$N:$N,MATCH($D4766,'Paramètres'!$M:$M,0))&amp;"",""))),0,IF($L4766="Débit",$K4766,IF($P4766=1,-$K4766,0))))</f>
        <v/>
      </c>
      <c r="R4766" s="6" t="str">
        <f>IF($K4766="","",IF($L4766="Crédit",$K4766,-$K4766))</f>
        <v/>
      </c>
      <c r="S4766" s="6" t="str">
        <f>IF($C4766="","",IFERROR(INDEX('Paramètres'!$H:$H,MATCH($C4766,'Paramètres'!$D:$D,0))&amp;"",""))</f>
        <v/>
      </c>
      <c r="T4766" s="6" t="str">
        <f>IF($K4766="","",IF($S4766="",0,IF(ISNUMBER(SEARCH("apport-exterieur",IFERROR(INDEX('Paramètres'!$N:$N,MATCH($D4766,'Paramètres'!$M:$M,0))&amp;"",""))),0,IF(OR(IFERROR(INDEX('Paramètres'!$I:$I,MATCH($C4766,'Paramètres'!$D:$D,0))&amp;"","")="Les deux",IFERROR(INDEX('Paramètres'!$I:$I,MATCH($C4766,'Paramètres'!$D:$D,0))&amp;"","")=IF($P4766=1,"Débit",$L4766)),-IF($P4766=1,-$K4766,$K4766),0))))</f>
        <v/>
      </c>
      <c r="U4766" s="6" t="str">
        <f>IF($K4766="","",IF(ISNUMBER(SEARCH("sortie-epargne",IFERROR(INDEX('Paramètres'!$N:$N,MATCH($D4766,'Paramètres'!$M:$M,0))&amp;"",""))),$K4766,0))</f>
        <v/>
      </c>
      <c r="V4766" s="6" t="str">
        <f>IF(AND($A4766&lt;&gt;"",$O4766=1,$L4766="Débit",N($Q4766)&gt;0,$A4766&gt;=Visualisation!$B$1,$A4766&lt;Visualisation!$D$1),MAX($V$1:V4765)+1,"")</f>
        <v/>
      </c>
    </row>
    <row r="4767" spans="1:22" x14ac:dyDescent="0.25">
      <c r="A4767" s="9"/>
      <c r="E4767" s="10"/>
      <c r="K4767" s="11" t="str">
        <f>IF($E4767="","",ROUND($E4767*IF(ISNA(MATCH($C4767,'Paramètres'!$D:$D,0)),1,IF(INDEX('Paramètres'!$J:$J,MATCH($C4767,'Paramètres'!$D:$D,0))="",1,INDEX('Paramètres'!$J:$J,MATCH($C4767,'Paramètres'!$D:$D,0)))),2))</f>
        <v/>
      </c>
      <c r="L4767" s="6" t="str">
        <f>IF($D4767="","",IF($F4767&lt;&gt;"",$F4767,IF(ISNA(MATCH($D4767,'Paramètres'!$M:$M,0)),"⚠ Type inconnu",IFERROR(INDEX('Paramètres'!$P:$P,MATCH($D4767,'Paramètres'!$M:$M,0))&amp;"",""))))</f>
        <v/>
      </c>
      <c r="M4767" s="6" t="str">
        <f>IF($D4767="","",IF(ISNA(MATCH($D4767,'Paramètres'!$M:$M,0)),"⚠ Type inconnu",IF($L4767="Crédit","",IFERROR(INDEX('Paramètres'!$O:$O,MATCH($D4767,'Paramètres'!$M:$M,0))&amp;"",""))))</f>
        <v/>
      </c>
      <c r="N4767" s="6" t="str">
        <f>IF($D4767="","",IFERROR(INDEX('Paramètres'!$Q:$Q,MATCH($D4767,'Paramètres'!$M:$M,0))&amp;"",""))</f>
        <v/>
      </c>
      <c r="O4767" s="6" t="str">
        <f>IF($A4767="","",IF(OR($J4767&lt;&gt;"x",$A4767&lt;=FinReleve),1,0))</f>
        <v/>
      </c>
      <c r="P4767" s="6" t="str">
        <f>IF($D4767="","",IF(AND($L4767="Crédit",OR(IFERROR(INDEX('Paramètres'!$O:$O,MATCH($D4767,'Paramètres'!$M:$M,0))&amp;"","")&lt;&gt;"",ISNUMBER(SEARCH("remboursement",IFERROR(INDEX('Paramètres'!$N:$N,MATCH($D4767,'Paramètres'!$M:$M,0))&amp;"",""))))),1,0))</f>
        <v/>
      </c>
      <c r="Q4767" s="6" t="str">
        <f>IF($K4767="","",IF(ISNUMBER(SEARCH("transfert-interne",IFERROR(INDEX('Paramètres'!$N:$N,MATCH($D4767,'Paramètres'!$M:$M,0))&amp;"",""))),0,IF($L4767="Débit",$K4767,IF($P4767=1,-$K4767,0))))</f>
        <v/>
      </c>
      <c r="R4767" s="6" t="str">
        <f>IF($K4767="","",IF($L4767="Crédit",$K4767,-$K4767))</f>
        <v/>
      </c>
      <c r="S4767" s="6" t="str">
        <f>IF($C4767="","",IFERROR(INDEX('Paramètres'!$H:$H,MATCH($C4767,'Paramètres'!$D:$D,0))&amp;"",""))</f>
        <v/>
      </c>
      <c r="T4767" s="6" t="str">
        <f>IF($K4767="","",IF($S4767="",0,IF(ISNUMBER(SEARCH("apport-exterieur",IFERROR(INDEX('Paramètres'!$N:$N,MATCH($D4767,'Paramètres'!$M:$M,0))&amp;"",""))),0,IF(OR(IFERROR(INDEX('Paramètres'!$I:$I,MATCH($C4767,'Paramètres'!$D:$D,0))&amp;"","")="Les deux",IFERROR(INDEX('Paramètres'!$I:$I,MATCH($C4767,'Paramètres'!$D:$D,0))&amp;"","")=IF($P4767=1,"Débit",$L4767)),-IF($P4767=1,-$K4767,$K4767),0))))</f>
        <v/>
      </c>
      <c r="U4767" s="6" t="str">
        <f>IF($K4767="","",IF(ISNUMBER(SEARCH("sortie-epargne",IFERROR(INDEX('Paramètres'!$N:$N,MATCH($D4767,'Paramètres'!$M:$M,0))&amp;"",""))),$K4767,0))</f>
        <v/>
      </c>
      <c r="V4767" s="6" t="str">
        <f>IF(AND($A4767&lt;&gt;"",$O4767=1,$L4767="Débit",N($Q4767)&gt;0,$A4767&gt;=Visualisation!$B$1,$A4767&lt;Visualisation!$D$1),MAX($V$1:V4766)+1,"")</f>
        <v/>
      </c>
    </row>
    <row r="4768" spans="1:22" x14ac:dyDescent="0.25">
      <c r="A4768" s="9"/>
      <c r="E4768" s="10"/>
      <c r="K4768" s="11" t="str">
        <f>IF($E4768="","",ROUND($E4768*IF(ISNA(MATCH($C4768,'Paramètres'!$D:$D,0)),1,IF(INDEX('Paramètres'!$J:$J,MATCH($C4768,'Paramètres'!$D:$D,0))="",1,INDEX('Paramètres'!$J:$J,MATCH($C4768,'Paramètres'!$D:$D,0)))),2))</f>
        <v/>
      </c>
      <c r="L4768" s="6" t="str">
        <f>IF($D4768="","",IF($F4768&lt;&gt;"",$F4768,IF(ISNA(MATCH($D4768,'Paramètres'!$M:$M,0)),"⚠ Type inconnu",IFERROR(INDEX('Paramètres'!$P:$P,MATCH($D4768,'Paramètres'!$M:$M,0))&amp;"",""))))</f>
        <v/>
      </c>
      <c r="M4768" s="6" t="str">
        <f>IF($D4768="","",IF(ISNA(MATCH($D4768,'Paramètres'!$M:$M,0)),"⚠ Type inconnu",IF($L4768="Crédit","",IFERROR(INDEX('Paramètres'!$O:$O,MATCH($D4768,'Paramètres'!$M:$M,0))&amp;"",""))))</f>
        <v/>
      </c>
      <c r="N4768" s="6" t="str">
        <f>IF($D4768="","",IFERROR(INDEX('Paramètres'!$Q:$Q,MATCH($D4768,'Paramètres'!$M:$M,0))&amp;"",""))</f>
        <v/>
      </c>
      <c r="O4768" s="6" t="str">
        <f>IF($A4768="","",IF(OR($J4768&lt;&gt;"x",$A4768&lt;=FinReleve),1,0))</f>
        <v/>
      </c>
      <c r="P4768" s="6" t="str">
        <f>IF($D4768="","",IF(AND($L4768="Crédit",OR(IFERROR(INDEX('Paramètres'!$O:$O,MATCH($D4768,'Paramètres'!$M:$M,0))&amp;"","")&lt;&gt;"",ISNUMBER(SEARCH("remboursement",IFERROR(INDEX('Paramètres'!$N:$N,MATCH($D4768,'Paramètres'!$M:$M,0))&amp;"",""))))),1,0))</f>
        <v/>
      </c>
      <c r="Q4768" s="6" t="str">
        <f>IF($K4768="","",IF(ISNUMBER(SEARCH("transfert-interne",IFERROR(INDEX('Paramètres'!$N:$N,MATCH($D4768,'Paramètres'!$M:$M,0))&amp;"",""))),0,IF($L4768="Débit",$K4768,IF($P4768=1,-$K4768,0))))</f>
        <v/>
      </c>
      <c r="R4768" s="6" t="str">
        <f>IF($K4768="","",IF($L4768="Crédit",$K4768,-$K4768))</f>
        <v/>
      </c>
      <c r="S4768" s="6" t="str">
        <f>IF($C4768="","",IFERROR(INDEX('Paramètres'!$H:$H,MATCH($C4768,'Paramètres'!$D:$D,0))&amp;"",""))</f>
        <v/>
      </c>
      <c r="T4768" s="6" t="str">
        <f>IF($K4768="","",IF($S4768="",0,IF(ISNUMBER(SEARCH("apport-exterieur",IFERROR(INDEX('Paramètres'!$N:$N,MATCH($D4768,'Paramètres'!$M:$M,0))&amp;"",""))),0,IF(OR(IFERROR(INDEX('Paramètres'!$I:$I,MATCH($C4768,'Paramètres'!$D:$D,0))&amp;"","")="Les deux",IFERROR(INDEX('Paramètres'!$I:$I,MATCH($C4768,'Paramètres'!$D:$D,0))&amp;"","")=IF($P4768=1,"Débit",$L4768)),-IF($P4768=1,-$K4768,$K4768),0))))</f>
        <v/>
      </c>
      <c r="U4768" s="6" t="str">
        <f>IF($K4768="","",IF(ISNUMBER(SEARCH("sortie-epargne",IFERROR(INDEX('Paramètres'!$N:$N,MATCH($D4768,'Paramètres'!$M:$M,0))&amp;"",""))),$K4768,0))</f>
        <v/>
      </c>
      <c r="V4768" s="6" t="str">
        <f>IF(AND($A4768&lt;&gt;"",$O4768=1,$L4768="Débit",N($Q4768)&gt;0,$A4768&gt;=Visualisation!$B$1,$A4768&lt;Visualisation!$D$1),MAX($V$1:V4767)+1,"")</f>
        <v/>
      </c>
    </row>
    <row r="4769" spans="1:22" x14ac:dyDescent="0.25">
      <c r="A4769" s="9"/>
      <c r="E4769" s="10"/>
      <c r="K4769" s="11" t="str">
        <f>IF($E4769="","",ROUND($E4769*IF(ISNA(MATCH($C4769,'Paramètres'!$D:$D,0)),1,IF(INDEX('Paramètres'!$J:$J,MATCH($C4769,'Paramètres'!$D:$D,0))="",1,INDEX('Paramètres'!$J:$J,MATCH($C4769,'Paramètres'!$D:$D,0)))),2))</f>
        <v/>
      </c>
      <c r="L4769" s="6" t="str">
        <f>IF($D4769="","",IF($F4769&lt;&gt;"",$F4769,IF(ISNA(MATCH($D4769,'Paramètres'!$M:$M,0)),"⚠ Type inconnu",IFERROR(INDEX('Paramètres'!$P:$P,MATCH($D4769,'Paramètres'!$M:$M,0))&amp;"",""))))</f>
        <v/>
      </c>
      <c r="M4769" s="6" t="str">
        <f>IF($D4769="","",IF(ISNA(MATCH($D4769,'Paramètres'!$M:$M,0)),"⚠ Type inconnu",IF($L4769="Crédit","",IFERROR(INDEX('Paramètres'!$O:$O,MATCH($D4769,'Paramètres'!$M:$M,0))&amp;"",""))))</f>
        <v/>
      </c>
      <c r="N4769" s="6" t="str">
        <f>IF($D4769="","",IFERROR(INDEX('Paramètres'!$Q:$Q,MATCH($D4769,'Paramètres'!$M:$M,0))&amp;"",""))</f>
        <v/>
      </c>
      <c r="O4769" s="6" t="str">
        <f>IF($A4769="","",IF(OR($J4769&lt;&gt;"x",$A4769&lt;=FinReleve),1,0))</f>
        <v/>
      </c>
      <c r="P4769" s="6" t="str">
        <f>IF($D4769="","",IF(AND($L4769="Crédit",OR(IFERROR(INDEX('Paramètres'!$O:$O,MATCH($D4769,'Paramètres'!$M:$M,0))&amp;"","")&lt;&gt;"",ISNUMBER(SEARCH("remboursement",IFERROR(INDEX('Paramètres'!$N:$N,MATCH($D4769,'Paramètres'!$M:$M,0))&amp;"",""))))),1,0))</f>
        <v/>
      </c>
      <c r="Q4769" s="6" t="str">
        <f>IF($K4769="","",IF(ISNUMBER(SEARCH("transfert-interne",IFERROR(INDEX('Paramètres'!$N:$N,MATCH($D4769,'Paramètres'!$M:$M,0))&amp;"",""))),0,IF($L4769="Débit",$K4769,IF($P4769=1,-$K4769,0))))</f>
        <v/>
      </c>
      <c r="R4769" s="6" t="str">
        <f>IF($K4769="","",IF($L4769="Crédit",$K4769,-$K4769))</f>
        <v/>
      </c>
      <c r="S4769" s="6" t="str">
        <f>IF($C4769="","",IFERROR(INDEX('Paramètres'!$H:$H,MATCH($C4769,'Paramètres'!$D:$D,0))&amp;"",""))</f>
        <v/>
      </c>
      <c r="T4769" s="6" t="str">
        <f>IF($K4769="","",IF($S4769="",0,IF(ISNUMBER(SEARCH("apport-exterieur",IFERROR(INDEX('Paramètres'!$N:$N,MATCH($D4769,'Paramètres'!$M:$M,0))&amp;"",""))),0,IF(OR(IFERROR(INDEX('Paramètres'!$I:$I,MATCH($C4769,'Paramètres'!$D:$D,0))&amp;"","")="Les deux",IFERROR(INDEX('Paramètres'!$I:$I,MATCH($C4769,'Paramètres'!$D:$D,0))&amp;"","")=IF($P4769=1,"Débit",$L4769)),-IF($P4769=1,-$K4769,$K4769),0))))</f>
        <v/>
      </c>
      <c r="U4769" s="6" t="str">
        <f>IF($K4769="","",IF(ISNUMBER(SEARCH("sortie-epargne",IFERROR(INDEX('Paramètres'!$N:$N,MATCH($D4769,'Paramètres'!$M:$M,0))&amp;"",""))),$K4769,0))</f>
        <v/>
      </c>
      <c r="V4769" s="6" t="str">
        <f>IF(AND($A4769&lt;&gt;"",$O4769=1,$L4769="Débit",N($Q4769)&gt;0,$A4769&gt;=Visualisation!$B$1,$A4769&lt;Visualisation!$D$1),MAX($V$1:V4768)+1,"")</f>
        <v/>
      </c>
    </row>
    <row r="4770" spans="1:22" x14ac:dyDescent="0.25">
      <c r="A4770" s="9"/>
      <c r="E4770" s="10"/>
      <c r="K4770" s="11" t="str">
        <f>IF($E4770="","",ROUND($E4770*IF(ISNA(MATCH($C4770,'Paramètres'!$D:$D,0)),1,IF(INDEX('Paramètres'!$J:$J,MATCH($C4770,'Paramètres'!$D:$D,0))="",1,INDEX('Paramètres'!$J:$J,MATCH($C4770,'Paramètres'!$D:$D,0)))),2))</f>
        <v/>
      </c>
      <c r="L4770" s="6" t="str">
        <f>IF($D4770="","",IF($F4770&lt;&gt;"",$F4770,IF(ISNA(MATCH($D4770,'Paramètres'!$M:$M,0)),"⚠ Type inconnu",IFERROR(INDEX('Paramètres'!$P:$P,MATCH($D4770,'Paramètres'!$M:$M,0))&amp;"",""))))</f>
        <v/>
      </c>
      <c r="M4770" s="6" t="str">
        <f>IF($D4770="","",IF(ISNA(MATCH($D4770,'Paramètres'!$M:$M,0)),"⚠ Type inconnu",IF($L4770="Crédit","",IFERROR(INDEX('Paramètres'!$O:$O,MATCH($D4770,'Paramètres'!$M:$M,0))&amp;"",""))))</f>
        <v/>
      </c>
      <c r="N4770" s="6" t="str">
        <f>IF($D4770="","",IFERROR(INDEX('Paramètres'!$Q:$Q,MATCH($D4770,'Paramètres'!$M:$M,0))&amp;"",""))</f>
        <v/>
      </c>
      <c r="O4770" s="6" t="str">
        <f>IF($A4770="","",IF(OR($J4770&lt;&gt;"x",$A4770&lt;=FinReleve),1,0))</f>
        <v/>
      </c>
      <c r="P4770" s="6" t="str">
        <f>IF($D4770="","",IF(AND($L4770="Crédit",OR(IFERROR(INDEX('Paramètres'!$O:$O,MATCH($D4770,'Paramètres'!$M:$M,0))&amp;"","")&lt;&gt;"",ISNUMBER(SEARCH("remboursement",IFERROR(INDEX('Paramètres'!$N:$N,MATCH($D4770,'Paramètres'!$M:$M,0))&amp;"",""))))),1,0))</f>
        <v/>
      </c>
      <c r="Q4770" s="6" t="str">
        <f>IF($K4770="","",IF(ISNUMBER(SEARCH("transfert-interne",IFERROR(INDEX('Paramètres'!$N:$N,MATCH($D4770,'Paramètres'!$M:$M,0))&amp;"",""))),0,IF($L4770="Débit",$K4770,IF($P4770=1,-$K4770,0))))</f>
        <v/>
      </c>
      <c r="R4770" s="6" t="str">
        <f>IF($K4770="","",IF($L4770="Crédit",$K4770,-$K4770))</f>
        <v/>
      </c>
      <c r="S4770" s="6" t="str">
        <f>IF($C4770="","",IFERROR(INDEX('Paramètres'!$H:$H,MATCH($C4770,'Paramètres'!$D:$D,0))&amp;"",""))</f>
        <v/>
      </c>
      <c r="T4770" s="6" t="str">
        <f>IF($K4770="","",IF($S4770="",0,IF(ISNUMBER(SEARCH("apport-exterieur",IFERROR(INDEX('Paramètres'!$N:$N,MATCH($D4770,'Paramètres'!$M:$M,0))&amp;"",""))),0,IF(OR(IFERROR(INDEX('Paramètres'!$I:$I,MATCH($C4770,'Paramètres'!$D:$D,0))&amp;"","")="Les deux",IFERROR(INDEX('Paramètres'!$I:$I,MATCH($C4770,'Paramètres'!$D:$D,0))&amp;"","")=IF($P4770=1,"Débit",$L4770)),-IF($P4770=1,-$K4770,$K4770),0))))</f>
        <v/>
      </c>
      <c r="U4770" s="6" t="str">
        <f>IF($K4770="","",IF(ISNUMBER(SEARCH("sortie-epargne",IFERROR(INDEX('Paramètres'!$N:$N,MATCH($D4770,'Paramètres'!$M:$M,0))&amp;"",""))),$K4770,0))</f>
        <v/>
      </c>
      <c r="V4770" s="6" t="str">
        <f>IF(AND($A4770&lt;&gt;"",$O4770=1,$L4770="Débit",N($Q4770)&gt;0,$A4770&gt;=Visualisation!$B$1,$A4770&lt;Visualisation!$D$1),MAX($V$1:V4769)+1,"")</f>
        <v/>
      </c>
    </row>
    <row r="4771" spans="1:22" x14ac:dyDescent="0.25">
      <c r="A4771" s="9"/>
      <c r="E4771" s="10"/>
      <c r="K4771" s="11" t="str">
        <f>IF($E4771="","",ROUND($E4771*IF(ISNA(MATCH($C4771,'Paramètres'!$D:$D,0)),1,IF(INDEX('Paramètres'!$J:$J,MATCH($C4771,'Paramètres'!$D:$D,0))="",1,INDEX('Paramètres'!$J:$J,MATCH($C4771,'Paramètres'!$D:$D,0)))),2))</f>
        <v/>
      </c>
      <c r="L4771" s="6" t="str">
        <f>IF($D4771="","",IF($F4771&lt;&gt;"",$F4771,IF(ISNA(MATCH($D4771,'Paramètres'!$M:$M,0)),"⚠ Type inconnu",IFERROR(INDEX('Paramètres'!$P:$P,MATCH($D4771,'Paramètres'!$M:$M,0))&amp;"",""))))</f>
        <v/>
      </c>
      <c r="M4771" s="6" t="str">
        <f>IF($D4771="","",IF(ISNA(MATCH($D4771,'Paramètres'!$M:$M,0)),"⚠ Type inconnu",IF($L4771="Crédit","",IFERROR(INDEX('Paramètres'!$O:$O,MATCH($D4771,'Paramètres'!$M:$M,0))&amp;"",""))))</f>
        <v/>
      </c>
      <c r="N4771" s="6" t="str">
        <f>IF($D4771="","",IFERROR(INDEX('Paramètres'!$Q:$Q,MATCH($D4771,'Paramètres'!$M:$M,0))&amp;"",""))</f>
        <v/>
      </c>
      <c r="O4771" s="6" t="str">
        <f>IF($A4771="","",IF(OR($J4771&lt;&gt;"x",$A4771&lt;=FinReleve),1,0))</f>
        <v/>
      </c>
      <c r="P4771" s="6" t="str">
        <f>IF($D4771="","",IF(AND($L4771="Crédit",OR(IFERROR(INDEX('Paramètres'!$O:$O,MATCH($D4771,'Paramètres'!$M:$M,0))&amp;"","")&lt;&gt;"",ISNUMBER(SEARCH("remboursement",IFERROR(INDEX('Paramètres'!$N:$N,MATCH($D4771,'Paramètres'!$M:$M,0))&amp;"",""))))),1,0))</f>
        <v/>
      </c>
      <c r="Q4771" s="6" t="str">
        <f>IF($K4771="","",IF(ISNUMBER(SEARCH("transfert-interne",IFERROR(INDEX('Paramètres'!$N:$N,MATCH($D4771,'Paramètres'!$M:$M,0))&amp;"",""))),0,IF($L4771="Débit",$K4771,IF($P4771=1,-$K4771,0))))</f>
        <v/>
      </c>
      <c r="R4771" s="6" t="str">
        <f>IF($K4771="","",IF($L4771="Crédit",$K4771,-$K4771))</f>
        <v/>
      </c>
      <c r="S4771" s="6" t="str">
        <f>IF($C4771="","",IFERROR(INDEX('Paramètres'!$H:$H,MATCH($C4771,'Paramètres'!$D:$D,0))&amp;"",""))</f>
        <v/>
      </c>
      <c r="T4771" s="6" t="str">
        <f>IF($K4771="","",IF($S4771="",0,IF(ISNUMBER(SEARCH("apport-exterieur",IFERROR(INDEX('Paramètres'!$N:$N,MATCH($D4771,'Paramètres'!$M:$M,0))&amp;"",""))),0,IF(OR(IFERROR(INDEX('Paramètres'!$I:$I,MATCH($C4771,'Paramètres'!$D:$D,0))&amp;"","")="Les deux",IFERROR(INDEX('Paramètres'!$I:$I,MATCH($C4771,'Paramètres'!$D:$D,0))&amp;"","")=IF($P4771=1,"Débit",$L4771)),-IF($P4771=1,-$K4771,$K4771),0))))</f>
        <v/>
      </c>
      <c r="U4771" s="6" t="str">
        <f>IF($K4771="","",IF(ISNUMBER(SEARCH("sortie-epargne",IFERROR(INDEX('Paramètres'!$N:$N,MATCH($D4771,'Paramètres'!$M:$M,0))&amp;"",""))),$K4771,0))</f>
        <v/>
      </c>
      <c r="V4771" s="6" t="str">
        <f>IF(AND($A4771&lt;&gt;"",$O4771=1,$L4771="Débit",N($Q4771)&gt;0,$A4771&gt;=Visualisation!$B$1,$A4771&lt;Visualisation!$D$1),MAX($V$1:V4770)+1,"")</f>
        <v/>
      </c>
    </row>
    <row r="4772" spans="1:22" x14ac:dyDescent="0.25">
      <c r="A4772" s="9"/>
      <c r="E4772" s="10"/>
      <c r="K4772" s="11" t="str">
        <f>IF($E4772="","",ROUND($E4772*IF(ISNA(MATCH($C4772,'Paramètres'!$D:$D,0)),1,IF(INDEX('Paramètres'!$J:$J,MATCH($C4772,'Paramètres'!$D:$D,0))="",1,INDEX('Paramètres'!$J:$J,MATCH($C4772,'Paramètres'!$D:$D,0)))),2))</f>
        <v/>
      </c>
      <c r="L4772" s="6" t="str">
        <f>IF($D4772="","",IF($F4772&lt;&gt;"",$F4772,IF(ISNA(MATCH($D4772,'Paramètres'!$M:$M,0)),"⚠ Type inconnu",IFERROR(INDEX('Paramètres'!$P:$P,MATCH($D4772,'Paramètres'!$M:$M,0))&amp;"",""))))</f>
        <v/>
      </c>
      <c r="M4772" s="6" t="str">
        <f>IF($D4772="","",IF(ISNA(MATCH($D4772,'Paramètres'!$M:$M,0)),"⚠ Type inconnu",IF($L4772="Crédit","",IFERROR(INDEX('Paramètres'!$O:$O,MATCH($D4772,'Paramètres'!$M:$M,0))&amp;"",""))))</f>
        <v/>
      </c>
      <c r="N4772" s="6" t="str">
        <f>IF($D4772="","",IFERROR(INDEX('Paramètres'!$Q:$Q,MATCH($D4772,'Paramètres'!$M:$M,0))&amp;"",""))</f>
        <v/>
      </c>
      <c r="O4772" s="6" t="str">
        <f>IF($A4772="","",IF(OR($J4772&lt;&gt;"x",$A4772&lt;=FinReleve),1,0))</f>
        <v/>
      </c>
      <c r="P4772" s="6" t="str">
        <f>IF($D4772="","",IF(AND($L4772="Crédit",OR(IFERROR(INDEX('Paramètres'!$O:$O,MATCH($D4772,'Paramètres'!$M:$M,0))&amp;"","")&lt;&gt;"",ISNUMBER(SEARCH("remboursement",IFERROR(INDEX('Paramètres'!$N:$N,MATCH($D4772,'Paramètres'!$M:$M,0))&amp;"",""))))),1,0))</f>
        <v/>
      </c>
      <c r="Q4772" s="6" t="str">
        <f>IF($K4772="","",IF(ISNUMBER(SEARCH("transfert-interne",IFERROR(INDEX('Paramètres'!$N:$N,MATCH($D4772,'Paramètres'!$M:$M,0))&amp;"",""))),0,IF($L4772="Débit",$K4772,IF($P4772=1,-$K4772,0))))</f>
        <v/>
      </c>
      <c r="R4772" s="6" t="str">
        <f>IF($K4772="","",IF($L4772="Crédit",$K4772,-$K4772))</f>
        <v/>
      </c>
      <c r="S4772" s="6" t="str">
        <f>IF($C4772="","",IFERROR(INDEX('Paramètres'!$H:$H,MATCH($C4772,'Paramètres'!$D:$D,0))&amp;"",""))</f>
        <v/>
      </c>
      <c r="T4772" s="6" t="str">
        <f>IF($K4772="","",IF($S4772="",0,IF(ISNUMBER(SEARCH("apport-exterieur",IFERROR(INDEX('Paramètres'!$N:$N,MATCH($D4772,'Paramètres'!$M:$M,0))&amp;"",""))),0,IF(OR(IFERROR(INDEX('Paramètres'!$I:$I,MATCH($C4772,'Paramètres'!$D:$D,0))&amp;"","")="Les deux",IFERROR(INDEX('Paramètres'!$I:$I,MATCH($C4772,'Paramètres'!$D:$D,0))&amp;"","")=IF($P4772=1,"Débit",$L4772)),-IF($P4772=1,-$K4772,$K4772),0))))</f>
        <v/>
      </c>
      <c r="U4772" s="6" t="str">
        <f>IF($K4772="","",IF(ISNUMBER(SEARCH("sortie-epargne",IFERROR(INDEX('Paramètres'!$N:$N,MATCH($D4772,'Paramètres'!$M:$M,0))&amp;"",""))),$K4772,0))</f>
        <v/>
      </c>
      <c r="V4772" s="6" t="str">
        <f>IF(AND($A4772&lt;&gt;"",$O4772=1,$L4772="Débit",N($Q4772)&gt;0,$A4772&gt;=Visualisation!$B$1,$A4772&lt;Visualisation!$D$1),MAX($V$1:V4771)+1,"")</f>
        <v/>
      </c>
    </row>
    <row r="4773" spans="1:22" x14ac:dyDescent="0.25">
      <c r="A4773" s="9"/>
      <c r="E4773" s="10"/>
      <c r="K4773" s="11" t="str">
        <f>IF($E4773="","",ROUND($E4773*IF(ISNA(MATCH($C4773,'Paramètres'!$D:$D,0)),1,IF(INDEX('Paramètres'!$J:$J,MATCH($C4773,'Paramètres'!$D:$D,0))="",1,INDEX('Paramètres'!$J:$J,MATCH($C4773,'Paramètres'!$D:$D,0)))),2))</f>
        <v/>
      </c>
      <c r="L4773" s="6" t="str">
        <f>IF($D4773="","",IF($F4773&lt;&gt;"",$F4773,IF(ISNA(MATCH($D4773,'Paramètres'!$M:$M,0)),"⚠ Type inconnu",IFERROR(INDEX('Paramètres'!$P:$P,MATCH($D4773,'Paramètres'!$M:$M,0))&amp;"",""))))</f>
        <v/>
      </c>
      <c r="M4773" s="6" t="str">
        <f>IF($D4773="","",IF(ISNA(MATCH($D4773,'Paramètres'!$M:$M,0)),"⚠ Type inconnu",IF($L4773="Crédit","",IFERROR(INDEX('Paramètres'!$O:$O,MATCH($D4773,'Paramètres'!$M:$M,0))&amp;"",""))))</f>
        <v/>
      </c>
      <c r="N4773" s="6" t="str">
        <f>IF($D4773="","",IFERROR(INDEX('Paramètres'!$Q:$Q,MATCH($D4773,'Paramètres'!$M:$M,0))&amp;"",""))</f>
        <v/>
      </c>
      <c r="O4773" s="6" t="str">
        <f>IF($A4773="","",IF(OR($J4773&lt;&gt;"x",$A4773&lt;=FinReleve),1,0))</f>
        <v/>
      </c>
      <c r="P4773" s="6" t="str">
        <f>IF($D4773="","",IF(AND($L4773="Crédit",OR(IFERROR(INDEX('Paramètres'!$O:$O,MATCH($D4773,'Paramètres'!$M:$M,0))&amp;"","")&lt;&gt;"",ISNUMBER(SEARCH("remboursement",IFERROR(INDEX('Paramètres'!$N:$N,MATCH($D4773,'Paramètres'!$M:$M,0))&amp;"",""))))),1,0))</f>
        <v/>
      </c>
      <c r="Q4773" s="6" t="str">
        <f>IF($K4773="","",IF(ISNUMBER(SEARCH("transfert-interne",IFERROR(INDEX('Paramètres'!$N:$N,MATCH($D4773,'Paramètres'!$M:$M,0))&amp;"",""))),0,IF($L4773="Débit",$K4773,IF($P4773=1,-$K4773,0))))</f>
        <v/>
      </c>
      <c r="R4773" s="6" t="str">
        <f>IF($K4773="","",IF($L4773="Crédit",$K4773,-$K4773))</f>
        <v/>
      </c>
      <c r="S4773" s="6" t="str">
        <f>IF($C4773="","",IFERROR(INDEX('Paramètres'!$H:$H,MATCH($C4773,'Paramètres'!$D:$D,0))&amp;"",""))</f>
        <v/>
      </c>
      <c r="T4773" s="6" t="str">
        <f>IF($K4773="","",IF($S4773="",0,IF(ISNUMBER(SEARCH("apport-exterieur",IFERROR(INDEX('Paramètres'!$N:$N,MATCH($D4773,'Paramètres'!$M:$M,0))&amp;"",""))),0,IF(OR(IFERROR(INDEX('Paramètres'!$I:$I,MATCH($C4773,'Paramètres'!$D:$D,0))&amp;"","")="Les deux",IFERROR(INDEX('Paramètres'!$I:$I,MATCH($C4773,'Paramètres'!$D:$D,0))&amp;"","")=IF($P4773=1,"Débit",$L4773)),-IF($P4773=1,-$K4773,$K4773),0))))</f>
        <v/>
      </c>
      <c r="U4773" s="6" t="str">
        <f>IF($K4773="","",IF(ISNUMBER(SEARCH("sortie-epargne",IFERROR(INDEX('Paramètres'!$N:$N,MATCH($D4773,'Paramètres'!$M:$M,0))&amp;"",""))),$K4773,0))</f>
        <v/>
      </c>
      <c r="V4773" s="6" t="str">
        <f>IF(AND($A4773&lt;&gt;"",$O4773=1,$L4773="Débit",N($Q4773)&gt;0,$A4773&gt;=Visualisation!$B$1,$A4773&lt;Visualisation!$D$1),MAX($V$1:V4772)+1,"")</f>
        <v/>
      </c>
    </row>
    <row r="4774" spans="1:22" x14ac:dyDescent="0.25">
      <c r="A4774" s="9"/>
      <c r="E4774" s="10"/>
      <c r="K4774" s="11" t="str">
        <f>IF($E4774="","",ROUND($E4774*IF(ISNA(MATCH($C4774,'Paramètres'!$D:$D,0)),1,IF(INDEX('Paramètres'!$J:$J,MATCH($C4774,'Paramètres'!$D:$D,0))="",1,INDEX('Paramètres'!$J:$J,MATCH($C4774,'Paramètres'!$D:$D,0)))),2))</f>
        <v/>
      </c>
      <c r="L4774" s="6" t="str">
        <f>IF($D4774="","",IF($F4774&lt;&gt;"",$F4774,IF(ISNA(MATCH($D4774,'Paramètres'!$M:$M,0)),"⚠ Type inconnu",IFERROR(INDEX('Paramètres'!$P:$P,MATCH($D4774,'Paramètres'!$M:$M,0))&amp;"",""))))</f>
        <v/>
      </c>
      <c r="M4774" s="6" t="str">
        <f>IF($D4774="","",IF(ISNA(MATCH($D4774,'Paramètres'!$M:$M,0)),"⚠ Type inconnu",IF($L4774="Crédit","",IFERROR(INDEX('Paramètres'!$O:$O,MATCH($D4774,'Paramètres'!$M:$M,0))&amp;"",""))))</f>
        <v/>
      </c>
      <c r="N4774" s="6" t="str">
        <f>IF($D4774="","",IFERROR(INDEX('Paramètres'!$Q:$Q,MATCH($D4774,'Paramètres'!$M:$M,0))&amp;"",""))</f>
        <v/>
      </c>
      <c r="O4774" s="6" t="str">
        <f>IF($A4774="","",IF(OR($J4774&lt;&gt;"x",$A4774&lt;=FinReleve),1,0))</f>
        <v/>
      </c>
      <c r="P4774" s="6" t="str">
        <f>IF($D4774="","",IF(AND($L4774="Crédit",OR(IFERROR(INDEX('Paramètres'!$O:$O,MATCH($D4774,'Paramètres'!$M:$M,0))&amp;"","")&lt;&gt;"",ISNUMBER(SEARCH("remboursement",IFERROR(INDEX('Paramètres'!$N:$N,MATCH($D4774,'Paramètres'!$M:$M,0))&amp;"",""))))),1,0))</f>
        <v/>
      </c>
      <c r="Q4774" s="6" t="str">
        <f>IF($K4774="","",IF(ISNUMBER(SEARCH("transfert-interne",IFERROR(INDEX('Paramètres'!$N:$N,MATCH($D4774,'Paramètres'!$M:$M,0))&amp;"",""))),0,IF($L4774="Débit",$K4774,IF($P4774=1,-$K4774,0))))</f>
        <v/>
      </c>
      <c r="R4774" s="6" t="str">
        <f>IF($K4774="","",IF($L4774="Crédit",$K4774,-$K4774))</f>
        <v/>
      </c>
      <c r="S4774" s="6" t="str">
        <f>IF($C4774="","",IFERROR(INDEX('Paramètres'!$H:$H,MATCH($C4774,'Paramètres'!$D:$D,0))&amp;"",""))</f>
        <v/>
      </c>
      <c r="T4774" s="6" t="str">
        <f>IF($K4774="","",IF($S4774="",0,IF(ISNUMBER(SEARCH("apport-exterieur",IFERROR(INDEX('Paramètres'!$N:$N,MATCH($D4774,'Paramètres'!$M:$M,0))&amp;"",""))),0,IF(OR(IFERROR(INDEX('Paramètres'!$I:$I,MATCH($C4774,'Paramètres'!$D:$D,0))&amp;"","")="Les deux",IFERROR(INDEX('Paramètres'!$I:$I,MATCH($C4774,'Paramètres'!$D:$D,0))&amp;"","")=IF($P4774=1,"Débit",$L4774)),-IF($P4774=1,-$K4774,$K4774),0))))</f>
        <v/>
      </c>
      <c r="U4774" s="6" t="str">
        <f>IF($K4774="","",IF(ISNUMBER(SEARCH("sortie-epargne",IFERROR(INDEX('Paramètres'!$N:$N,MATCH($D4774,'Paramètres'!$M:$M,0))&amp;"",""))),$K4774,0))</f>
        <v/>
      </c>
      <c r="V4774" s="6" t="str">
        <f>IF(AND($A4774&lt;&gt;"",$O4774=1,$L4774="Débit",N($Q4774)&gt;0,$A4774&gt;=Visualisation!$B$1,$A4774&lt;Visualisation!$D$1),MAX($V$1:V4773)+1,"")</f>
        <v/>
      </c>
    </row>
    <row r="4775" spans="1:22" x14ac:dyDescent="0.25">
      <c r="A4775" s="9"/>
      <c r="E4775" s="10"/>
      <c r="K4775" s="11" t="str">
        <f>IF($E4775="","",ROUND($E4775*IF(ISNA(MATCH($C4775,'Paramètres'!$D:$D,0)),1,IF(INDEX('Paramètres'!$J:$J,MATCH($C4775,'Paramètres'!$D:$D,0))="",1,INDEX('Paramètres'!$J:$J,MATCH($C4775,'Paramètres'!$D:$D,0)))),2))</f>
        <v/>
      </c>
      <c r="L4775" s="6" t="str">
        <f>IF($D4775="","",IF($F4775&lt;&gt;"",$F4775,IF(ISNA(MATCH($D4775,'Paramètres'!$M:$M,0)),"⚠ Type inconnu",IFERROR(INDEX('Paramètres'!$P:$P,MATCH($D4775,'Paramètres'!$M:$M,0))&amp;"",""))))</f>
        <v/>
      </c>
      <c r="M4775" s="6" t="str">
        <f>IF($D4775="","",IF(ISNA(MATCH($D4775,'Paramètres'!$M:$M,0)),"⚠ Type inconnu",IF($L4775="Crédit","",IFERROR(INDEX('Paramètres'!$O:$O,MATCH($D4775,'Paramètres'!$M:$M,0))&amp;"",""))))</f>
        <v/>
      </c>
      <c r="N4775" s="6" t="str">
        <f>IF($D4775="","",IFERROR(INDEX('Paramètres'!$Q:$Q,MATCH($D4775,'Paramètres'!$M:$M,0))&amp;"",""))</f>
        <v/>
      </c>
      <c r="O4775" s="6" t="str">
        <f>IF($A4775="","",IF(OR($J4775&lt;&gt;"x",$A4775&lt;=FinReleve),1,0))</f>
        <v/>
      </c>
      <c r="P4775" s="6" t="str">
        <f>IF($D4775="","",IF(AND($L4775="Crédit",OR(IFERROR(INDEX('Paramètres'!$O:$O,MATCH($D4775,'Paramètres'!$M:$M,0))&amp;"","")&lt;&gt;"",ISNUMBER(SEARCH("remboursement",IFERROR(INDEX('Paramètres'!$N:$N,MATCH($D4775,'Paramètres'!$M:$M,0))&amp;"",""))))),1,0))</f>
        <v/>
      </c>
      <c r="Q4775" s="6" t="str">
        <f>IF($K4775="","",IF(ISNUMBER(SEARCH("transfert-interne",IFERROR(INDEX('Paramètres'!$N:$N,MATCH($D4775,'Paramètres'!$M:$M,0))&amp;"",""))),0,IF($L4775="Débit",$K4775,IF($P4775=1,-$K4775,0))))</f>
        <v/>
      </c>
      <c r="R4775" s="6" t="str">
        <f>IF($K4775="","",IF($L4775="Crédit",$K4775,-$K4775))</f>
        <v/>
      </c>
      <c r="S4775" s="6" t="str">
        <f>IF($C4775="","",IFERROR(INDEX('Paramètres'!$H:$H,MATCH($C4775,'Paramètres'!$D:$D,0))&amp;"",""))</f>
        <v/>
      </c>
      <c r="T4775" s="6" t="str">
        <f>IF($K4775="","",IF($S4775="",0,IF(ISNUMBER(SEARCH("apport-exterieur",IFERROR(INDEX('Paramètres'!$N:$N,MATCH($D4775,'Paramètres'!$M:$M,0))&amp;"",""))),0,IF(OR(IFERROR(INDEX('Paramètres'!$I:$I,MATCH($C4775,'Paramètres'!$D:$D,0))&amp;"","")="Les deux",IFERROR(INDEX('Paramètres'!$I:$I,MATCH($C4775,'Paramètres'!$D:$D,0))&amp;"","")=IF($P4775=1,"Débit",$L4775)),-IF($P4775=1,-$K4775,$K4775),0))))</f>
        <v/>
      </c>
      <c r="U4775" s="6" t="str">
        <f>IF($K4775="","",IF(ISNUMBER(SEARCH("sortie-epargne",IFERROR(INDEX('Paramètres'!$N:$N,MATCH($D4775,'Paramètres'!$M:$M,0))&amp;"",""))),$K4775,0))</f>
        <v/>
      </c>
      <c r="V4775" s="6" t="str">
        <f>IF(AND($A4775&lt;&gt;"",$O4775=1,$L4775="Débit",N($Q4775)&gt;0,$A4775&gt;=Visualisation!$B$1,$A4775&lt;Visualisation!$D$1),MAX($V$1:V4774)+1,"")</f>
        <v/>
      </c>
    </row>
    <row r="4776" spans="1:22" x14ac:dyDescent="0.25">
      <c r="A4776" s="9"/>
      <c r="E4776" s="10"/>
      <c r="K4776" s="11" t="str">
        <f>IF($E4776="","",ROUND($E4776*IF(ISNA(MATCH($C4776,'Paramètres'!$D:$D,0)),1,IF(INDEX('Paramètres'!$J:$J,MATCH($C4776,'Paramètres'!$D:$D,0))="",1,INDEX('Paramètres'!$J:$J,MATCH($C4776,'Paramètres'!$D:$D,0)))),2))</f>
        <v/>
      </c>
      <c r="L4776" s="6" t="str">
        <f>IF($D4776="","",IF($F4776&lt;&gt;"",$F4776,IF(ISNA(MATCH($D4776,'Paramètres'!$M:$M,0)),"⚠ Type inconnu",IFERROR(INDEX('Paramètres'!$P:$P,MATCH($D4776,'Paramètres'!$M:$M,0))&amp;"",""))))</f>
        <v/>
      </c>
      <c r="M4776" s="6" t="str">
        <f>IF($D4776="","",IF(ISNA(MATCH($D4776,'Paramètres'!$M:$M,0)),"⚠ Type inconnu",IF($L4776="Crédit","",IFERROR(INDEX('Paramètres'!$O:$O,MATCH($D4776,'Paramètres'!$M:$M,0))&amp;"",""))))</f>
        <v/>
      </c>
      <c r="N4776" s="6" t="str">
        <f>IF($D4776="","",IFERROR(INDEX('Paramètres'!$Q:$Q,MATCH($D4776,'Paramètres'!$M:$M,0))&amp;"",""))</f>
        <v/>
      </c>
      <c r="O4776" s="6" t="str">
        <f>IF($A4776="","",IF(OR($J4776&lt;&gt;"x",$A4776&lt;=FinReleve),1,0))</f>
        <v/>
      </c>
      <c r="P4776" s="6" t="str">
        <f>IF($D4776="","",IF(AND($L4776="Crédit",OR(IFERROR(INDEX('Paramètres'!$O:$O,MATCH($D4776,'Paramètres'!$M:$M,0))&amp;"","")&lt;&gt;"",ISNUMBER(SEARCH("remboursement",IFERROR(INDEX('Paramètres'!$N:$N,MATCH($D4776,'Paramètres'!$M:$M,0))&amp;"",""))))),1,0))</f>
        <v/>
      </c>
      <c r="Q4776" s="6" t="str">
        <f>IF($K4776="","",IF(ISNUMBER(SEARCH("transfert-interne",IFERROR(INDEX('Paramètres'!$N:$N,MATCH($D4776,'Paramètres'!$M:$M,0))&amp;"",""))),0,IF($L4776="Débit",$K4776,IF($P4776=1,-$K4776,0))))</f>
        <v/>
      </c>
      <c r="R4776" s="6" t="str">
        <f>IF($K4776="","",IF($L4776="Crédit",$K4776,-$K4776))</f>
        <v/>
      </c>
      <c r="S4776" s="6" t="str">
        <f>IF($C4776="","",IFERROR(INDEX('Paramètres'!$H:$H,MATCH($C4776,'Paramètres'!$D:$D,0))&amp;"",""))</f>
        <v/>
      </c>
      <c r="T4776" s="6" t="str">
        <f>IF($K4776="","",IF($S4776="",0,IF(ISNUMBER(SEARCH("apport-exterieur",IFERROR(INDEX('Paramètres'!$N:$N,MATCH($D4776,'Paramètres'!$M:$M,0))&amp;"",""))),0,IF(OR(IFERROR(INDEX('Paramètres'!$I:$I,MATCH($C4776,'Paramètres'!$D:$D,0))&amp;"","")="Les deux",IFERROR(INDEX('Paramètres'!$I:$I,MATCH($C4776,'Paramètres'!$D:$D,0))&amp;"","")=IF($P4776=1,"Débit",$L4776)),-IF($P4776=1,-$K4776,$K4776),0))))</f>
        <v/>
      </c>
      <c r="U4776" s="6" t="str">
        <f>IF($K4776="","",IF(ISNUMBER(SEARCH("sortie-epargne",IFERROR(INDEX('Paramètres'!$N:$N,MATCH($D4776,'Paramètres'!$M:$M,0))&amp;"",""))),$K4776,0))</f>
        <v/>
      </c>
      <c r="V4776" s="6" t="str">
        <f>IF(AND($A4776&lt;&gt;"",$O4776=1,$L4776="Débit",N($Q4776)&gt;0,$A4776&gt;=Visualisation!$B$1,$A4776&lt;Visualisation!$D$1),MAX($V$1:V4775)+1,"")</f>
        <v/>
      </c>
    </row>
    <row r="4777" spans="1:22" x14ac:dyDescent="0.25">
      <c r="A4777" s="9"/>
      <c r="E4777" s="10"/>
      <c r="K4777" s="11" t="str">
        <f>IF($E4777="","",ROUND($E4777*IF(ISNA(MATCH($C4777,'Paramètres'!$D:$D,0)),1,IF(INDEX('Paramètres'!$J:$J,MATCH($C4777,'Paramètres'!$D:$D,0))="",1,INDEX('Paramètres'!$J:$J,MATCH($C4777,'Paramètres'!$D:$D,0)))),2))</f>
        <v/>
      </c>
      <c r="L4777" s="6" t="str">
        <f>IF($D4777="","",IF($F4777&lt;&gt;"",$F4777,IF(ISNA(MATCH($D4777,'Paramètres'!$M:$M,0)),"⚠ Type inconnu",IFERROR(INDEX('Paramètres'!$P:$P,MATCH($D4777,'Paramètres'!$M:$M,0))&amp;"",""))))</f>
        <v/>
      </c>
      <c r="M4777" s="6" t="str">
        <f>IF($D4777="","",IF(ISNA(MATCH($D4777,'Paramètres'!$M:$M,0)),"⚠ Type inconnu",IF($L4777="Crédit","",IFERROR(INDEX('Paramètres'!$O:$O,MATCH($D4777,'Paramètres'!$M:$M,0))&amp;"",""))))</f>
        <v/>
      </c>
      <c r="N4777" s="6" t="str">
        <f>IF($D4777="","",IFERROR(INDEX('Paramètres'!$Q:$Q,MATCH($D4777,'Paramètres'!$M:$M,0))&amp;"",""))</f>
        <v/>
      </c>
      <c r="O4777" s="6" t="str">
        <f>IF($A4777="","",IF(OR($J4777&lt;&gt;"x",$A4777&lt;=FinReleve),1,0))</f>
        <v/>
      </c>
      <c r="P4777" s="6" t="str">
        <f>IF($D4777="","",IF(AND($L4777="Crédit",OR(IFERROR(INDEX('Paramètres'!$O:$O,MATCH($D4777,'Paramètres'!$M:$M,0))&amp;"","")&lt;&gt;"",ISNUMBER(SEARCH("remboursement",IFERROR(INDEX('Paramètres'!$N:$N,MATCH($D4777,'Paramètres'!$M:$M,0))&amp;"",""))))),1,0))</f>
        <v/>
      </c>
      <c r="Q4777" s="6" t="str">
        <f>IF($K4777="","",IF(ISNUMBER(SEARCH("transfert-interne",IFERROR(INDEX('Paramètres'!$N:$N,MATCH($D4777,'Paramètres'!$M:$M,0))&amp;"",""))),0,IF($L4777="Débit",$K4777,IF($P4777=1,-$K4777,0))))</f>
        <v/>
      </c>
      <c r="R4777" s="6" t="str">
        <f>IF($K4777="","",IF($L4777="Crédit",$K4777,-$K4777))</f>
        <v/>
      </c>
      <c r="S4777" s="6" t="str">
        <f>IF($C4777="","",IFERROR(INDEX('Paramètres'!$H:$H,MATCH($C4777,'Paramètres'!$D:$D,0))&amp;"",""))</f>
        <v/>
      </c>
      <c r="T4777" s="6" t="str">
        <f>IF($K4777="","",IF($S4777="",0,IF(ISNUMBER(SEARCH("apport-exterieur",IFERROR(INDEX('Paramètres'!$N:$N,MATCH($D4777,'Paramètres'!$M:$M,0))&amp;"",""))),0,IF(OR(IFERROR(INDEX('Paramètres'!$I:$I,MATCH($C4777,'Paramètres'!$D:$D,0))&amp;"","")="Les deux",IFERROR(INDEX('Paramètres'!$I:$I,MATCH($C4777,'Paramètres'!$D:$D,0))&amp;"","")=IF($P4777=1,"Débit",$L4777)),-IF($P4777=1,-$K4777,$K4777),0))))</f>
        <v/>
      </c>
      <c r="U4777" s="6" t="str">
        <f>IF($K4777="","",IF(ISNUMBER(SEARCH("sortie-epargne",IFERROR(INDEX('Paramètres'!$N:$N,MATCH($D4777,'Paramètres'!$M:$M,0))&amp;"",""))),$K4777,0))</f>
        <v/>
      </c>
      <c r="V4777" s="6" t="str">
        <f>IF(AND($A4777&lt;&gt;"",$O4777=1,$L4777="Débit",N($Q4777)&gt;0,$A4777&gt;=Visualisation!$B$1,$A4777&lt;Visualisation!$D$1),MAX($V$1:V4776)+1,"")</f>
        <v/>
      </c>
    </row>
    <row r="4778" spans="1:22" x14ac:dyDescent="0.25">
      <c r="A4778" s="9"/>
      <c r="E4778" s="10"/>
      <c r="K4778" s="11" t="str">
        <f>IF($E4778="","",ROUND($E4778*IF(ISNA(MATCH($C4778,'Paramètres'!$D:$D,0)),1,IF(INDEX('Paramètres'!$J:$J,MATCH($C4778,'Paramètres'!$D:$D,0))="",1,INDEX('Paramètres'!$J:$J,MATCH($C4778,'Paramètres'!$D:$D,0)))),2))</f>
        <v/>
      </c>
      <c r="L4778" s="6" t="str">
        <f>IF($D4778="","",IF($F4778&lt;&gt;"",$F4778,IF(ISNA(MATCH($D4778,'Paramètres'!$M:$M,0)),"⚠ Type inconnu",IFERROR(INDEX('Paramètres'!$P:$P,MATCH($D4778,'Paramètres'!$M:$M,0))&amp;"",""))))</f>
        <v/>
      </c>
      <c r="M4778" s="6" t="str">
        <f>IF($D4778="","",IF(ISNA(MATCH($D4778,'Paramètres'!$M:$M,0)),"⚠ Type inconnu",IF($L4778="Crédit","",IFERROR(INDEX('Paramètres'!$O:$O,MATCH($D4778,'Paramètres'!$M:$M,0))&amp;"",""))))</f>
        <v/>
      </c>
      <c r="N4778" s="6" t="str">
        <f>IF($D4778="","",IFERROR(INDEX('Paramètres'!$Q:$Q,MATCH($D4778,'Paramètres'!$M:$M,0))&amp;"",""))</f>
        <v/>
      </c>
      <c r="O4778" s="6" t="str">
        <f>IF($A4778="","",IF(OR($J4778&lt;&gt;"x",$A4778&lt;=FinReleve),1,0))</f>
        <v/>
      </c>
      <c r="P4778" s="6" t="str">
        <f>IF($D4778="","",IF(AND($L4778="Crédit",OR(IFERROR(INDEX('Paramètres'!$O:$O,MATCH($D4778,'Paramètres'!$M:$M,0))&amp;"","")&lt;&gt;"",ISNUMBER(SEARCH("remboursement",IFERROR(INDEX('Paramètres'!$N:$N,MATCH($D4778,'Paramètres'!$M:$M,0))&amp;"",""))))),1,0))</f>
        <v/>
      </c>
      <c r="Q4778" s="6" t="str">
        <f>IF($K4778="","",IF(ISNUMBER(SEARCH("transfert-interne",IFERROR(INDEX('Paramètres'!$N:$N,MATCH($D4778,'Paramètres'!$M:$M,0))&amp;"",""))),0,IF($L4778="Débit",$K4778,IF($P4778=1,-$K4778,0))))</f>
        <v/>
      </c>
      <c r="R4778" s="6" t="str">
        <f>IF($K4778="","",IF($L4778="Crédit",$K4778,-$K4778))</f>
        <v/>
      </c>
      <c r="S4778" s="6" t="str">
        <f>IF($C4778="","",IFERROR(INDEX('Paramètres'!$H:$H,MATCH($C4778,'Paramètres'!$D:$D,0))&amp;"",""))</f>
        <v/>
      </c>
      <c r="T4778" s="6" t="str">
        <f>IF($K4778="","",IF($S4778="",0,IF(ISNUMBER(SEARCH("apport-exterieur",IFERROR(INDEX('Paramètres'!$N:$N,MATCH($D4778,'Paramètres'!$M:$M,0))&amp;"",""))),0,IF(OR(IFERROR(INDEX('Paramètres'!$I:$I,MATCH($C4778,'Paramètres'!$D:$D,0))&amp;"","")="Les deux",IFERROR(INDEX('Paramètres'!$I:$I,MATCH($C4778,'Paramètres'!$D:$D,0))&amp;"","")=IF($P4778=1,"Débit",$L4778)),-IF($P4778=1,-$K4778,$K4778),0))))</f>
        <v/>
      </c>
      <c r="U4778" s="6" t="str">
        <f>IF($K4778="","",IF(ISNUMBER(SEARCH("sortie-epargne",IFERROR(INDEX('Paramètres'!$N:$N,MATCH($D4778,'Paramètres'!$M:$M,0))&amp;"",""))),$K4778,0))</f>
        <v/>
      </c>
      <c r="V4778" s="6" t="str">
        <f>IF(AND($A4778&lt;&gt;"",$O4778=1,$L4778="Débit",N($Q4778)&gt;0,$A4778&gt;=Visualisation!$B$1,$A4778&lt;Visualisation!$D$1),MAX($V$1:V4777)+1,"")</f>
        <v/>
      </c>
    </row>
    <row r="4779" spans="1:22" x14ac:dyDescent="0.25">
      <c r="A4779" s="9"/>
      <c r="E4779" s="10"/>
      <c r="K4779" s="11" t="str">
        <f>IF($E4779="","",ROUND($E4779*IF(ISNA(MATCH($C4779,'Paramètres'!$D:$D,0)),1,IF(INDEX('Paramètres'!$J:$J,MATCH($C4779,'Paramètres'!$D:$D,0))="",1,INDEX('Paramètres'!$J:$J,MATCH($C4779,'Paramètres'!$D:$D,0)))),2))</f>
        <v/>
      </c>
      <c r="L4779" s="6" t="str">
        <f>IF($D4779="","",IF($F4779&lt;&gt;"",$F4779,IF(ISNA(MATCH($D4779,'Paramètres'!$M:$M,0)),"⚠ Type inconnu",IFERROR(INDEX('Paramètres'!$P:$P,MATCH($D4779,'Paramètres'!$M:$M,0))&amp;"",""))))</f>
        <v/>
      </c>
      <c r="M4779" s="6" t="str">
        <f>IF($D4779="","",IF(ISNA(MATCH($D4779,'Paramètres'!$M:$M,0)),"⚠ Type inconnu",IF($L4779="Crédit","",IFERROR(INDEX('Paramètres'!$O:$O,MATCH($D4779,'Paramètres'!$M:$M,0))&amp;"",""))))</f>
        <v/>
      </c>
      <c r="N4779" s="6" t="str">
        <f>IF($D4779="","",IFERROR(INDEX('Paramètres'!$Q:$Q,MATCH($D4779,'Paramètres'!$M:$M,0))&amp;"",""))</f>
        <v/>
      </c>
      <c r="O4779" s="6" t="str">
        <f>IF($A4779="","",IF(OR($J4779&lt;&gt;"x",$A4779&lt;=FinReleve),1,0))</f>
        <v/>
      </c>
      <c r="P4779" s="6" t="str">
        <f>IF($D4779="","",IF(AND($L4779="Crédit",OR(IFERROR(INDEX('Paramètres'!$O:$O,MATCH($D4779,'Paramètres'!$M:$M,0))&amp;"","")&lt;&gt;"",ISNUMBER(SEARCH("remboursement",IFERROR(INDEX('Paramètres'!$N:$N,MATCH($D4779,'Paramètres'!$M:$M,0))&amp;"",""))))),1,0))</f>
        <v/>
      </c>
      <c r="Q4779" s="6" t="str">
        <f>IF($K4779="","",IF(ISNUMBER(SEARCH("transfert-interne",IFERROR(INDEX('Paramètres'!$N:$N,MATCH($D4779,'Paramètres'!$M:$M,0))&amp;"",""))),0,IF($L4779="Débit",$K4779,IF($P4779=1,-$K4779,0))))</f>
        <v/>
      </c>
      <c r="R4779" s="6" t="str">
        <f>IF($K4779="","",IF($L4779="Crédit",$K4779,-$K4779))</f>
        <v/>
      </c>
      <c r="S4779" s="6" t="str">
        <f>IF($C4779="","",IFERROR(INDEX('Paramètres'!$H:$H,MATCH($C4779,'Paramètres'!$D:$D,0))&amp;"",""))</f>
        <v/>
      </c>
      <c r="T4779" s="6" t="str">
        <f>IF($K4779="","",IF($S4779="",0,IF(ISNUMBER(SEARCH("apport-exterieur",IFERROR(INDEX('Paramètres'!$N:$N,MATCH($D4779,'Paramètres'!$M:$M,0))&amp;"",""))),0,IF(OR(IFERROR(INDEX('Paramètres'!$I:$I,MATCH($C4779,'Paramètres'!$D:$D,0))&amp;"","")="Les deux",IFERROR(INDEX('Paramètres'!$I:$I,MATCH($C4779,'Paramètres'!$D:$D,0))&amp;"","")=IF($P4779=1,"Débit",$L4779)),-IF($P4779=1,-$K4779,$K4779),0))))</f>
        <v/>
      </c>
      <c r="U4779" s="6" t="str">
        <f>IF($K4779="","",IF(ISNUMBER(SEARCH("sortie-epargne",IFERROR(INDEX('Paramètres'!$N:$N,MATCH($D4779,'Paramètres'!$M:$M,0))&amp;"",""))),$K4779,0))</f>
        <v/>
      </c>
      <c r="V4779" s="6" t="str">
        <f>IF(AND($A4779&lt;&gt;"",$O4779=1,$L4779="Débit",N($Q4779)&gt;0,$A4779&gt;=Visualisation!$B$1,$A4779&lt;Visualisation!$D$1),MAX($V$1:V4778)+1,"")</f>
        <v/>
      </c>
    </row>
    <row r="4780" spans="1:22" x14ac:dyDescent="0.25">
      <c r="A4780" s="9"/>
      <c r="E4780" s="10"/>
      <c r="K4780" s="11" t="str">
        <f>IF($E4780="","",ROUND($E4780*IF(ISNA(MATCH($C4780,'Paramètres'!$D:$D,0)),1,IF(INDEX('Paramètres'!$J:$J,MATCH($C4780,'Paramètres'!$D:$D,0))="",1,INDEX('Paramètres'!$J:$J,MATCH($C4780,'Paramètres'!$D:$D,0)))),2))</f>
        <v/>
      </c>
      <c r="L4780" s="6" t="str">
        <f>IF($D4780="","",IF($F4780&lt;&gt;"",$F4780,IF(ISNA(MATCH($D4780,'Paramètres'!$M:$M,0)),"⚠ Type inconnu",IFERROR(INDEX('Paramètres'!$P:$P,MATCH($D4780,'Paramètres'!$M:$M,0))&amp;"",""))))</f>
        <v/>
      </c>
      <c r="M4780" s="6" t="str">
        <f>IF($D4780="","",IF(ISNA(MATCH($D4780,'Paramètres'!$M:$M,0)),"⚠ Type inconnu",IF($L4780="Crédit","",IFERROR(INDEX('Paramètres'!$O:$O,MATCH($D4780,'Paramètres'!$M:$M,0))&amp;"",""))))</f>
        <v/>
      </c>
      <c r="N4780" s="6" t="str">
        <f>IF($D4780="","",IFERROR(INDEX('Paramètres'!$Q:$Q,MATCH($D4780,'Paramètres'!$M:$M,0))&amp;"",""))</f>
        <v/>
      </c>
      <c r="O4780" s="6" t="str">
        <f>IF($A4780="","",IF(OR($J4780&lt;&gt;"x",$A4780&lt;=FinReleve),1,0))</f>
        <v/>
      </c>
      <c r="P4780" s="6" t="str">
        <f>IF($D4780="","",IF(AND($L4780="Crédit",OR(IFERROR(INDEX('Paramètres'!$O:$O,MATCH($D4780,'Paramètres'!$M:$M,0))&amp;"","")&lt;&gt;"",ISNUMBER(SEARCH("remboursement",IFERROR(INDEX('Paramètres'!$N:$N,MATCH($D4780,'Paramètres'!$M:$M,0))&amp;"",""))))),1,0))</f>
        <v/>
      </c>
      <c r="Q4780" s="6" t="str">
        <f>IF($K4780="","",IF(ISNUMBER(SEARCH("transfert-interne",IFERROR(INDEX('Paramètres'!$N:$N,MATCH($D4780,'Paramètres'!$M:$M,0))&amp;"",""))),0,IF($L4780="Débit",$K4780,IF($P4780=1,-$K4780,0))))</f>
        <v/>
      </c>
      <c r="R4780" s="6" t="str">
        <f>IF($K4780="","",IF($L4780="Crédit",$K4780,-$K4780))</f>
        <v/>
      </c>
      <c r="S4780" s="6" t="str">
        <f>IF($C4780="","",IFERROR(INDEX('Paramètres'!$H:$H,MATCH($C4780,'Paramètres'!$D:$D,0))&amp;"",""))</f>
        <v/>
      </c>
      <c r="T4780" s="6" t="str">
        <f>IF($K4780="","",IF($S4780="",0,IF(ISNUMBER(SEARCH("apport-exterieur",IFERROR(INDEX('Paramètres'!$N:$N,MATCH($D4780,'Paramètres'!$M:$M,0))&amp;"",""))),0,IF(OR(IFERROR(INDEX('Paramètres'!$I:$I,MATCH($C4780,'Paramètres'!$D:$D,0))&amp;"","")="Les deux",IFERROR(INDEX('Paramètres'!$I:$I,MATCH($C4780,'Paramètres'!$D:$D,0))&amp;"","")=IF($P4780=1,"Débit",$L4780)),-IF($P4780=1,-$K4780,$K4780),0))))</f>
        <v/>
      </c>
      <c r="U4780" s="6" t="str">
        <f>IF($K4780="","",IF(ISNUMBER(SEARCH("sortie-epargne",IFERROR(INDEX('Paramètres'!$N:$N,MATCH($D4780,'Paramètres'!$M:$M,0))&amp;"",""))),$K4780,0))</f>
        <v/>
      </c>
      <c r="V4780" s="6" t="str">
        <f>IF(AND($A4780&lt;&gt;"",$O4780=1,$L4780="Débit",N($Q4780)&gt;0,$A4780&gt;=Visualisation!$B$1,$A4780&lt;Visualisation!$D$1),MAX($V$1:V4779)+1,"")</f>
        <v/>
      </c>
    </row>
    <row r="4781" spans="1:22" x14ac:dyDescent="0.25">
      <c r="A4781" s="9"/>
      <c r="E4781" s="10"/>
      <c r="K4781" s="11" t="str">
        <f>IF($E4781="","",ROUND($E4781*IF(ISNA(MATCH($C4781,'Paramètres'!$D:$D,0)),1,IF(INDEX('Paramètres'!$J:$J,MATCH($C4781,'Paramètres'!$D:$D,0))="",1,INDEX('Paramètres'!$J:$J,MATCH($C4781,'Paramètres'!$D:$D,0)))),2))</f>
        <v/>
      </c>
      <c r="L4781" s="6" t="str">
        <f>IF($D4781="","",IF($F4781&lt;&gt;"",$F4781,IF(ISNA(MATCH($D4781,'Paramètres'!$M:$M,0)),"⚠ Type inconnu",IFERROR(INDEX('Paramètres'!$P:$P,MATCH($D4781,'Paramètres'!$M:$M,0))&amp;"",""))))</f>
        <v/>
      </c>
      <c r="M4781" s="6" t="str">
        <f>IF($D4781="","",IF(ISNA(MATCH($D4781,'Paramètres'!$M:$M,0)),"⚠ Type inconnu",IF($L4781="Crédit","",IFERROR(INDEX('Paramètres'!$O:$O,MATCH($D4781,'Paramètres'!$M:$M,0))&amp;"",""))))</f>
        <v/>
      </c>
      <c r="N4781" s="6" t="str">
        <f>IF($D4781="","",IFERROR(INDEX('Paramètres'!$Q:$Q,MATCH($D4781,'Paramètres'!$M:$M,0))&amp;"",""))</f>
        <v/>
      </c>
      <c r="O4781" s="6" t="str">
        <f>IF($A4781="","",IF(OR($J4781&lt;&gt;"x",$A4781&lt;=FinReleve),1,0))</f>
        <v/>
      </c>
      <c r="P4781" s="6" t="str">
        <f>IF($D4781="","",IF(AND($L4781="Crédit",OR(IFERROR(INDEX('Paramètres'!$O:$O,MATCH($D4781,'Paramètres'!$M:$M,0))&amp;"","")&lt;&gt;"",ISNUMBER(SEARCH("remboursement",IFERROR(INDEX('Paramètres'!$N:$N,MATCH($D4781,'Paramètres'!$M:$M,0))&amp;"",""))))),1,0))</f>
        <v/>
      </c>
      <c r="Q4781" s="6" t="str">
        <f>IF($K4781="","",IF(ISNUMBER(SEARCH("transfert-interne",IFERROR(INDEX('Paramètres'!$N:$N,MATCH($D4781,'Paramètres'!$M:$M,0))&amp;"",""))),0,IF($L4781="Débit",$K4781,IF($P4781=1,-$K4781,0))))</f>
        <v/>
      </c>
      <c r="R4781" s="6" t="str">
        <f>IF($K4781="","",IF($L4781="Crédit",$K4781,-$K4781))</f>
        <v/>
      </c>
      <c r="S4781" s="6" t="str">
        <f>IF($C4781="","",IFERROR(INDEX('Paramètres'!$H:$H,MATCH($C4781,'Paramètres'!$D:$D,0))&amp;"",""))</f>
        <v/>
      </c>
      <c r="T4781" s="6" t="str">
        <f>IF($K4781="","",IF($S4781="",0,IF(ISNUMBER(SEARCH("apport-exterieur",IFERROR(INDEX('Paramètres'!$N:$N,MATCH($D4781,'Paramètres'!$M:$M,0))&amp;"",""))),0,IF(OR(IFERROR(INDEX('Paramètres'!$I:$I,MATCH($C4781,'Paramètres'!$D:$D,0))&amp;"","")="Les deux",IFERROR(INDEX('Paramètres'!$I:$I,MATCH($C4781,'Paramètres'!$D:$D,0))&amp;"","")=IF($P4781=1,"Débit",$L4781)),-IF($P4781=1,-$K4781,$K4781),0))))</f>
        <v/>
      </c>
      <c r="U4781" s="6" t="str">
        <f>IF($K4781="","",IF(ISNUMBER(SEARCH("sortie-epargne",IFERROR(INDEX('Paramètres'!$N:$N,MATCH($D4781,'Paramètres'!$M:$M,0))&amp;"",""))),$K4781,0))</f>
        <v/>
      </c>
      <c r="V4781" s="6" t="str">
        <f>IF(AND($A4781&lt;&gt;"",$O4781=1,$L4781="Débit",N($Q4781)&gt;0,$A4781&gt;=Visualisation!$B$1,$A4781&lt;Visualisation!$D$1),MAX($V$1:V4780)+1,"")</f>
        <v/>
      </c>
    </row>
    <row r="4782" spans="1:22" x14ac:dyDescent="0.25">
      <c r="A4782" s="9"/>
      <c r="E4782" s="10"/>
      <c r="K4782" s="11" t="str">
        <f>IF($E4782="","",ROUND($E4782*IF(ISNA(MATCH($C4782,'Paramètres'!$D:$D,0)),1,IF(INDEX('Paramètres'!$J:$J,MATCH($C4782,'Paramètres'!$D:$D,0))="",1,INDEX('Paramètres'!$J:$J,MATCH($C4782,'Paramètres'!$D:$D,0)))),2))</f>
        <v/>
      </c>
      <c r="L4782" s="6" t="str">
        <f>IF($D4782="","",IF($F4782&lt;&gt;"",$F4782,IF(ISNA(MATCH($D4782,'Paramètres'!$M:$M,0)),"⚠ Type inconnu",IFERROR(INDEX('Paramètres'!$P:$P,MATCH($D4782,'Paramètres'!$M:$M,0))&amp;"",""))))</f>
        <v/>
      </c>
      <c r="M4782" s="6" t="str">
        <f>IF($D4782="","",IF(ISNA(MATCH($D4782,'Paramètres'!$M:$M,0)),"⚠ Type inconnu",IF($L4782="Crédit","",IFERROR(INDEX('Paramètres'!$O:$O,MATCH($D4782,'Paramètres'!$M:$M,0))&amp;"",""))))</f>
        <v/>
      </c>
      <c r="N4782" s="6" t="str">
        <f>IF($D4782="","",IFERROR(INDEX('Paramètres'!$Q:$Q,MATCH($D4782,'Paramètres'!$M:$M,0))&amp;"",""))</f>
        <v/>
      </c>
      <c r="O4782" s="6" t="str">
        <f>IF($A4782="","",IF(OR($J4782&lt;&gt;"x",$A4782&lt;=FinReleve),1,0))</f>
        <v/>
      </c>
      <c r="P4782" s="6" t="str">
        <f>IF($D4782="","",IF(AND($L4782="Crédit",OR(IFERROR(INDEX('Paramètres'!$O:$O,MATCH($D4782,'Paramètres'!$M:$M,0))&amp;"","")&lt;&gt;"",ISNUMBER(SEARCH("remboursement",IFERROR(INDEX('Paramètres'!$N:$N,MATCH($D4782,'Paramètres'!$M:$M,0))&amp;"",""))))),1,0))</f>
        <v/>
      </c>
      <c r="Q4782" s="6" t="str">
        <f>IF($K4782="","",IF(ISNUMBER(SEARCH("transfert-interne",IFERROR(INDEX('Paramètres'!$N:$N,MATCH($D4782,'Paramètres'!$M:$M,0))&amp;"",""))),0,IF($L4782="Débit",$K4782,IF($P4782=1,-$K4782,0))))</f>
        <v/>
      </c>
      <c r="R4782" s="6" t="str">
        <f>IF($K4782="","",IF($L4782="Crédit",$K4782,-$K4782))</f>
        <v/>
      </c>
      <c r="S4782" s="6" t="str">
        <f>IF($C4782="","",IFERROR(INDEX('Paramètres'!$H:$H,MATCH($C4782,'Paramètres'!$D:$D,0))&amp;"",""))</f>
        <v/>
      </c>
      <c r="T4782" s="6" t="str">
        <f>IF($K4782="","",IF($S4782="",0,IF(ISNUMBER(SEARCH("apport-exterieur",IFERROR(INDEX('Paramètres'!$N:$N,MATCH($D4782,'Paramètres'!$M:$M,0))&amp;"",""))),0,IF(OR(IFERROR(INDEX('Paramètres'!$I:$I,MATCH($C4782,'Paramètres'!$D:$D,0))&amp;"","")="Les deux",IFERROR(INDEX('Paramètres'!$I:$I,MATCH($C4782,'Paramètres'!$D:$D,0))&amp;"","")=IF($P4782=1,"Débit",$L4782)),-IF($P4782=1,-$K4782,$K4782),0))))</f>
        <v/>
      </c>
      <c r="U4782" s="6" t="str">
        <f>IF($K4782="","",IF(ISNUMBER(SEARCH("sortie-epargne",IFERROR(INDEX('Paramètres'!$N:$N,MATCH($D4782,'Paramètres'!$M:$M,0))&amp;"",""))),$K4782,0))</f>
        <v/>
      </c>
      <c r="V4782" s="6" t="str">
        <f>IF(AND($A4782&lt;&gt;"",$O4782=1,$L4782="Débit",N($Q4782)&gt;0,$A4782&gt;=Visualisation!$B$1,$A4782&lt;Visualisation!$D$1),MAX($V$1:V4781)+1,"")</f>
        <v/>
      </c>
    </row>
    <row r="4783" spans="1:22" x14ac:dyDescent="0.25">
      <c r="A4783" s="9"/>
      <c r="E4783" s="10"/>
      <c r="K4783" s="11" t="str">
        <f>IF($E4783="","",ROUND($E4783*IF(ISNA(MATCH($C4783,'Paramètres'!$D:$D,0)),1,IF(INDEX('Paramètres'!$J:$J,MATCH($C4783,'Paramètres'!$D:$D,0))="",1,INDEX('Paramètres'!$J:$J,MATCH($C4783,'Paramètres'!$D:$D,0)))),2))</f>
        <v/>
      </c>
      <c r="L4783" s="6" t="str">
        <f>IF($D4783="","",IF($F4783&lt;&gt;"",$F4783,IF(ISNA(MATCH($D4783,'Paramètres'!$M:$M,0)),"⚠ Type inconnu",IFERROR(INDEX('Paramètres'!$P:$P,MATCH($D4783,'Paramètres'!$M:$M,0))&amp;"",""))))</f>
        <v/>
      </c>
      <c r="M4783" s="6" t="str">
        <f>IF($D4783="","",IF(ISNA(MATCH($D4783,'Paramètres'!$M:$M,0)),"⚠ Type inconnu",IF($L4783="Crédit","",IFERROR(INDEX('Paramètres'!$O:$O,MATCH($D4783,'Paramètres'!$M:$M,0))&amp;"",""))))</f>
        <v/>
      </c>
      <c r="N4783" s="6" t="str">
        <f>IF($D4783="","",IFERROR(INDEX('Paramètres'!$Q:$Q,MATCH($D4783,'Paramètres'!$M:$M,0))&amp;"",""))</f>
        <v/>
      </c>
      <c r="O4783" s="6" t="str">
        <f>IF($A4783="","",IF(OR($J4783&lt;&gt;"x",$A4783&lt;=FinReleve),1,0))</f>
        <v/>
      </c>
      <c r="P4783" s="6" t="str">
        <f>IF($D4783="","",IF(AND($L4783="Crédit",OR(IFERROR(INDEX('Paramètres'!$O:$O,MATCH($D4783,'Paramètres'!$M:$M,0))&amp;"","")&lt;&gt;"",ISNUMBER(SEARCH("remboursement",IFERROR(INDEX('Paramètres'!$N:$N,MATCH($D4783,'Paramètres'!$M:$M,0))&amp;"",""))))),1,0))</f>
        <v/>
      </c>
      <c r="Q4783" s="6" t="str">
        <f>IF($K4783="","",IF(ISNUMBER(SEARCH("transfert-interne",IFERROR(INDEX('Paramètres'!$N:$N,MATCH($D4783,'Paramètres'!$M:$M,0))&amp;"",""))),0,IF($L4783="Débit",$K4783,IF($P4783=1,-$K4783,0))))</f>
        <v/>
      </c>
      <c r="R4783" s="6" t="str">
        <f>IF($K4783="","",IF($L4783="Crédit",$K4783,-$K4783))</f>
        <v/>
      </c>
      <c r="S4783" s="6" t="str">
        <f>IF($C4783="","",IFERROR(INDEX('Paramètres'!$H:$H,MATCH($C4783,'Paramètres'!$D:$D,0))&amp;"",""))</f>
        <v/>
      </c>
      <c r="T4783" s="6" t="str">
        <f>IF($K4783="","",IF($S4783="",0,IF(ISNUMBER(SEARCH("apport-exterieur",IFERROR(INDEX('Paramètres'!$N:$N,MATCH($D4783,'Paramètres'!$M:$M,0))&amp;"",""))),0,IF(OR(IFERROR(INDEX('Paramètres'!$I:$I,MATCH($C4783,'Paramètres'!$D:$D,0))&amp;"","")="Les deux",IFERROR(INDEX('Paramètres'!$I:$I,MATCH($C4783,'Paramètres'!$D:$D,0))&amp;"","")=IF($P4783=1,"Débit",$L4783)),-IF($P4783=1,-$K4783,$K4783),0))))</f>
        <v/>
      </c>
      <c r="U4783" s="6" t="str">
        <f>IF($K4783="","",IF(ISNUMBER(SEARCH("sortie-epargne",IFERROR(INDEX('Paramètres'!$N:$N,MATCH($D4783,'Paramètres'!$M:$M,0))&amp;"",""))),$K4783,0))</f>
        <v/>
      </c>
      <c r="V4783" s="6" t="str">
        <f>IF(AND($A4783&lt;&gt;"",$O4783=1,$L4783="Débit",N($Q4783)&gt;0,$A4783&gt;=Visualisation!$B$1,$A4783&lt;Visualisation!$D$1),MAX($V$1:V4782)+1,"")</f>
        <v/>
      </c>
    </row>
    <row r="4784" spans="1:22" x14ac:dyDescent="0.25">
      <c r="A4784" s="9"/>
      <c r="E4784" s="10"/>
      <c r="K4784" s="11" t="str">
        <f>IF($E4784="","",ROUND($E4784*IF(ISNA(MATCH($C4784,'Paramètres'!$D:$D,0)),1,IF(INDEX('Paramètres'!$J:$J,MATCH($C4784,'Paramètres'!$D:$D,0))="",1,INDEX('Paramètres'!$J:$J,MATCH($C4784,'Paramètres'!$D:$D,0)))),2))</f>
        <v/>
      </c>
      <c r="L4784" s="6" t="str">
        <f>IF($D4784="","",IF($F4784&lt;&gt;"",$F4784,IF(ISNA(MATCH($D4784,'Paramètres'!$M:$M,0)),"⚠ Type inconnu",IFERROR(INDEX('Paramètres'!$P:$P,MATCH($D4784,'Paramètres'!$M:$M,0))&amp;"",""))))</f>
        <v/>
      </c>
      <c r="M4784" s="6" t="str">
        <f>IF($D4784="","",IF(ISNA(MATCH($D4784,'Paramètres'!$M:$M,0)),"⚠ Type inconnu",IF($L4784="Crédit","",IFERROR(INDEX('Paramètres'!$O:$O,MATCH($D4784,'Paramètres'!$M:$M,0))&amp;"",""))))</f>
        <v/>
      </c>
      <c r="N4784" s="6" t="str">
        <f>IF($D4784="","",IFERROR(INDEX('Paramètres'!$Q:$Q,MATCH($D4784,'Paramètres'!$M:$M,0))&amp;"",""))</f>
        <v/>
      </c>
      <c r="O4784" s="6" t="str">
        <f>IF($A4784="","",IF(OR($J4784&lt;&gt;"x",$A4784&lt;=FinReleve),1,0))</f>
        <v/>
      </c>
      <c r="P4784" s="6" t="str">
        <f>IF($D4784="","",IF(AND($L4784="Crédit",OR(IFERROR(INDEX('Paramètres'!$O:$O,MATCH($D4784,'Paramètres'!$M:$M,0))&amp;"","")&lt;&gt;"",ISNUMBER(SEARCH("remboursement",IFERROR(INDEX('Paramètres'!$N:$N,MATCH($D4784,'Paramètres'!$M:$M,0))&amp;"",""))))),1,0))</f>
        <v/>
      </c>
      <c r="Q4784" s="6" t="str">
        <f>IF($K4784="","",IF(ISNUMBER(SEARCH("transfert-interne",IFERROR(INDEX('Paramètres'!$N:$N,MATCH($D4784,'Paramètres'!$M:$M,0))&amp;"",""))),0,IF($L4784="Débit",$K4784,IF($P4784=1,-$K4784,0))))</f>
        <v/>
      </c>
      <c r="R4784" s="6" t="str">
        <f>IF($K4784="","",IF($L4784="Crédit",$K4784,-$K4784))</f>
        <v/>
      </c>
      <c r="S4784" s="6" t="str">
        <f>IF($C4784="","",IFERROR(INDEX('Paramètres'!$H:$H,MATCH($C4784,'Paramètres'!$D:$D,0))&amp;"",""))</f>
        <v/>
      </c>
      <c r="T4784" s="6" t="str">
        <f>IF($K4784="","",IF($S4784="",0,IF(ISNUMBER(SEARCH("apport-exterieur",IFERROR(INDEX('Paramètres'!$N:$N,MATCH($D4784,'Paramètres'!$M:$M,0))&amp;"",""))),0,IF(OR(IFERROR(INDEX('Paramètres'!$I:$I,MATCH($C4784,'Paramètres'!$D:$D,0))&amp;"","")="Les deux",IFERROR(INDEX('Paramètres'!$I:$I,MATCH($C4784,'Paramètres'!$D:$D,0))&amp;"","")=IF($P4784=1,"Débit",$L4784)),-IF($P4784=1,-$K4784,$K4784),0))))</f>
        <v/>
      </c>
      <c r="U4784" s="6" t="str">
        <f>IF($K4784="","",IF(ISNUMBER(SEARCH("sortie-epargne",IFERROR(INDEX('Paramètres'!$N:$N,MATCH($D4784,'Paramètres'!$M:$M,0))&amp;"",""))),$K4784,0))</f>
        <v/>
      </c>
      <c r="V4784" s="6" t="str">
        <f>IF(AND($A4784&lt;&gt;"",$O4784=1,$L4784="Débit",N($Q4784)&gt;0,$A4784&gt;=Visualisation!$B$1,$A4784&lt;Visualisation!$D$1),MAX($V$1:V4783)+1,"")</f>
        <v/>
      </c>
    </row>
    <row r="4785" spans="1:22" x14ac:dyDescent="0.25">
      <c r="A4785" s="9"/>
      <c r="E4785" s="10"/>
      <c r="K4785" s="11" t="str">
        <f>IF($E4785="","",ROUND($E4785*IF(ISNA(MATCH($C4785,'Paramètres'!$D:$D,0)),1,IF(INDEX('Paramètres'!$J:$J,MATCH($C4785,'Paramètres'!$D:$D,0))="",1,INDEX('Paramètres'!$J:$J,MATCH($C4785,'Paramètres'!$D:$D,0)))),2))</f>
        <v/>
      </c>
      <c r="L4785" s="6" t="str">
        <f>IF($D4785="","",IF($F4785&lt;&gt;"",$F4785,IF(ISNA(MATCH($D4785,'Paramètres'!$M:$M,0)),"⚠ Type inconnu",IFERROR(INDEX('Paramètres'!$P:$P,MATCH($D4785,'Paramètres'!$M:$M,0))&amp;"",""))))</f>
        <v/>
      </c>
      <c r="M4785" s="6" t="str">
        <f>IF($D4785="","",IF(ISNA(MATCH($D4785,'Paramètres'!$M:$M,0)),"⚠ Type inconnu",IF($L4785="Crédit","",IFERROR(INDEX('Paramètres'!$O:$O,MATCH($D4785,'Paramètres'!$M:$M,0))&amp;"",""))))</f>
        <v/>
      </c>
      <c r="N4785" s="6" t="str">
        <f>IF($D4785="","",IFERROR(INDEX('Paramètres'!$Q:$Q,MATCH($D4785,'Paramètres'!$M:$M,0))&amp;"",""))</f>
        <v/>
      </c>
      <c r="O4785" s="6" t="str">
        <f>IF($A4785="","",IF(OR($J4785&lt;&gt;"x",$A4785&lt;=FinReleve),1,0))</f>
        <v/>
      </c>
      <c r="P4785" s="6" t="str">
        <f>IF($D4785="","",IF(AND($L4785="Crédit",OR(IFERROR(INDEX('Paramètres'!$O:$O,MATCH($D4785,'Paramètres'!$M:$M,0))&amp;"","")&lt;&gt;"",ISNUMBER(SEARCH("remboursement",IFERROR(INDEX('Paramètres'!$N:$N,MATCH($D4785,'Paramètres'!$M:$M,0))&amp;"",""))))),1,0))</f>
        <v/>
      </c>
      <c r="Q4785" s="6" t="str">
        <f>IF($K4785="","",IF(ISNUMBER(SEARCH("transfert-interne",IFERROR(INDEX('Paramètres'!$N:$N,MATCH($D4785,'Paramètres'!$M:$M,0))&amp;"",""))),0,IF($L4785="Débit",$K4785,IF($P4785=1,-$K4785,0))))</f>
        <v/>
      </c>
      <c r="R4785" s="6" t="str">
        <f>IF($K4785="","",IF($L4785="Crédit",$K4785,-$K4785))</f>
        <v/>
      </c>
      <c r="S4785" s="6" t="str">
        <f>IF($C4785="","",IFERROR(INDEX('Paramètres'!$H:$H,MATCH($C4785,'Paramètres'!$D:$D,0))&amp;"",""))</f>
        <v/>
      </c>
      <c r="T4785" s="6" t="str">
        <f>IF($K4785="","",IF($S4785="",0,IF(ISNUMBER(SEARCH("apport-exterieur",IFERROR(INDEX('Paramètres'!$N:$N,MATCH($D4785,'Paramètres'!$M:$M,0))&amp;"",""))),0,IF(OR(IFERROR(INDEX('Paramètres'!$I:$I,MATCH($C4785,'Paramètres'!$D:$D,0))&amp;"","")="Les deux",IFERROR(INDEX('Paramètres'!$I:$I,MATCH($C4785,'Paramètres'!$D:$D,0))&amp;"","")=IF($P4785=1,"Débit",$L4785)),-IF($P4785=1,-$K4785,$K4785),0))))</f>
        <v/>
      </c>
      <c r="U4785" s="6" t="str">
        <f>IF($K4785="","",IF(ISNUMBER(SEARCH("sortie-epargne",IFERROR(INDEX('Paramètres'!$N:$N,MATCH($D4785,'Paramètres'!$M:$M,0))&amp;"",""))),$K4785,0))</f>
        <v/>
      </c>
      <c r="V4785" s="6" t="str">
        <f>IF(AND($A4785&lt;&gt;"",$O4785=1,$L4785="Débit",N($Q4785)&gt;0,$A4785&gt;=Visualisation!$B$1,$A4785&lt;Visualisation!$D$1),MAX($V$1:V4784)+1,"")</f>
        <v/>
      </c>
    </row>
    <row r="4786" spans="1:22" x14ac:dyDescent="0.25">
      <c r="A4786" s="9"/>
      <c r="E4786" s="10"/>
      <c r="K4786" s="11" t="str">
        <f>IF($E4786="","",ROUND($E4786*IF(ISNA(MATCH($C4786,'Paramètres'!$D:$D,0)),1,IF(INDEX('Paramètres'!$J:$J,MATCH($C4786,'Paramètres'!$D:$D,0))="",1,INDEX('Paramètres'!$J:$J,MATCH($C4786,'Paramètres'!$D:$D,0)))),2))</f>
        <v/>
      </c>
      <c r="L4786" s="6" t="str">
        <f>IF($D4786="","",IF($F4786&lt;&gt;"",$F4786,IF(ISNA(MATCH($D4786,'Paramètres'!$M:$M,0)),"⚠ Type inconnu",IFERROR(INDEX('Paramètres'!$P:$P,MATCH($D4786,'Paramètres'!$M:$M,0))&amp;"",""))))</f>
        <v/>
      </c>
      <c r="M4786" s="6" t="str">
        <f>IF($D4786="","",IF(ISNA(MATCH($D4786,'Paramètres'!$M:$M,0)),"⚠ Type inconnu",IF($L4786="Crédit","",IFERROR(INDEX('Paramètres'!$O:$O,MATCH($D4786,'Paramètres'!$M:$M,0))&amp;"",""))))</f>
        <v/>
      </c>
      <c r="N4786" s="6" t="str">
        <f>IF($D4786="","",IFERROR(INDEX('Paramètres'!$Q:$Q,MATCH($D4786,'Paramètres'!$M:$M,0))&amp;"",""))</f>
        <v/>
      </c>
      <c r="O4786" s="6" t="str">
        <f>IF($A4786="","",IF(OR($J4786&lt;&gt;"x",$A4786&lt;=FinReleve),1,0))</f>
        <v/>
      </c>
      <c r="P4786" s="6" t="str">
        <f>IF($D4786="","",IF(AND($L4786="Crédit",OR(IFERROR(INDEX('Paramètres'!$O:$O,MATCH($D4786,'Paramètres'!$M:$M,0))&amp;"","")&lt;&gt;"",ISNUMBER(SEARCH("remboursement",IFERROR(INDEX('Paramètres'!$N:$N,MATCH($D4786,'Paramètres'!$M:$M,0))&amp;"",""))))),1,0))</f>
        <v/>
      </c>
      <c r="Q4786" s="6" t="str">
        <f>IF($K4786="","",IF(ISNUMBER(SEARCH("transfert-interne",IFERROR(INDEX('Paramètres'!$N:$N,MATCH($D4786,'Paramètres'!$M:$M,0))&amp;"",""))),0,IF($L4786="Débit",$K4786,IF($P4786=1,-$K4786,0))))</f>
        <v/>
      </c>
      <c r="R4786" s="6" t="str">
        <f>IF($K4786="","",IF($L4786="Crédit",$K4786,-$K4786))</f>
        <v/>
      </c>
      <c r="S4786" s="6" t="str">
        <f>IF($C4786="","",IFERROR(INDEX('Paramètres'!$H:$H,MATCH($C4786,'Paramètres'!$D:$D,0))&amp;"",""))</f>
        <v/>
      </c>
      <c r="T4786" s="6" t="str">
        <f>IF($K4786="","",IF($S4786="",0,IF(ISNUMBER(SEARCH("apport-exterieur",IFERROR(INDEX('Paramètres'!$N:$N,MATCH($D4786,'Paramètres'!$M:$M,0))&amp;"",""))),0,IF(OR(IFERROR(INDEX('Paramètres'!$I:$I,MATCH($C4786,'Paramètres'!$D:$D,0))&amp;"","")="Les deux",IFERROR(INDEX('Paramètres'!$I:$I,MATCH($C4786,'Paramètres'!$D:$D,0))&amp;"","")=IF($P4786=1,"Débit",$L4786)),-IF($P4786=1,-$K4786,$K4786),0))))</f>
        <v/>
      </c>
      <c r="U4786" s="6" t="str">
        <f>IF($K4786="","",IF(ISNUMBER(SEARCH("sortie-epargne",IFERROR(INDEX('Paramètres'!$N:$N,MATCH($D4786,'Paramètres'!$M:$M,0))&amp;"",""))),$K4786,0))</f>
        <v/>
      </c>
      <c r="V4786" s="6" t="str">
        <f>IF(AND($A4786&lt;&gt;"",$O4786=1,$L4786="Débit",N($Q4786)&gt;0,$A4786&gt;=Visualisation!$B$1,$A4786&lt;Visualisation!$D$1),MAX($V$1:V4785)+1,"")</f>
        <v/>
      </c>
    </row>
    <row r="4787" spans="1:22" x14ac:dyDescent="0.25">
      <c r="A4787" s="9"/>
      <c r="E4787" s="10"/>
      <c r="K4787" s="11" t="str">
        <f>IF($E4787="","",ROUND($E4787*IF(ISNA(MATCH($C4787,'Paramètres'!$D:$D,0)),1,IF(INDEX('Paramètres'!$J:$J,MATCH($C4787,'Paramètres'!$D:$D,0))="",1,INDEX('Paramètres'!$J:$J,MATCH($C4787,'Paramètres'!$D:$D,0)))),2))</f>
        <v/>
      </c>
      <c r="L4787" s="6" t="str">
        <f>IF($D4787="","",IF($F4787&lt;&gt;"",$F4787,IF(ISNA(MATCH($D4787,'Paramètres'!$M:$M,0)),"⚠ Type inconnu",IFERROR(INDEX('Paramètres'!$P:$P,MATCH($D4787,'Paramètres'!$M:$M,0))&amp;"",""))))</f>
        <v/>
      </c>
      <c r="M4787" s="6" t="str">
        <f>IF($D4787="","",IF(ISNA(MATCH($D4787,'Paramètres'!$M:$M,0)),"⚠ Type inconnu",IF($L4787="Crédit","",IFERROR(INDEX('Paramètres'!$O:$O,MATCH($D4787,'Paramètres'!$M:$M,0))&amp;"",""))))</f>
        <v/>
      </c>
      <c r="N4787" s="6" t="str">
        <f>IF($D4787="","",IFERROR(INDEX('Paramètres'!$Q:$Q,MATCH($D4787,'Paramètres'!$M:$M,0))&amp;"",""))</f>
        <v/>
      </c>
      <c r="O4787" s="6" t="str">
        <f>IF($A4787="","",IF(OR($J4787&lt;&gt;"x",$A4787&lt;=FinReleve),1,0))</f>
        <v/>
      </c>
      <c r="P4787" s="6" t="str">
        <f>IF($D4787="","",IF(AND($L4787="Crédit",OR(IFERROR(INDEX('Paramètres'!$O:$O,MATCH($D4787,'Paramètres'!$M:$M,0))&amp;"","")&lt;&gt;"",ISNUMBER(SEARCH("remboursement",IFERROR(INDEX('Paramètres'!$N:$N,MATCH($D4787,'Paramètres'!$M:$M,0))&amp;"",""))))),1,0))</f>
        <v/>
      </c>
      <c r="Q4787" s="6" t="str">
        <f>IF($K4787="","",IF(ISNUMBER(SEARCH("transfert-interne",IFERROR(INDEX('Paramètres'!$N:$N,MATCH($D4787,'Paramètres'!$M:$M,0))&amp;"",""))),0,IF($L4787="Débit",$K4787,IF($P4787=1,-$K4787,0))))</f>
        <v/>
      </c>
      <c r="R4787" s="6" t="str">
        <f>IF($K4787="","",IF($L4787="Crédit",$K4787,-$K4787))</f>
        <v/>
      </c>
      <c r="S4787" s="6" t="str">
        <f>IF($C4787="","",IFERROR(INDEX('Paramètres'!$H:$H,MATCH($C4787,'Paramètres'!$D:$D,0))&amp;"",""))</f>
        <v/>
      </c>
      <c r="T4787" s="6" t="str">
        <f>IF($K4787="","",IF($S4787="",0,IF(ISNUMBER(SEARCH("apport-exterieur",IFERROR(INDEX('Paramètres'!$N:$N,MATCH($D4787,'Paramètres'!$M:$M,0))&amp;"",""))),0,IF(OR(IFERROR(INDEX('Paramètres'!$I:$I,MATCH($C4787,'Paramètres'!$D:$D,0))&amp;"","")="Les deux",IFERROR(INDEX('Paramètres'!$I:$I,MATCH($C4787,'Paramètres'!$D:$D,0))&amp;"","")=IF($P4787=1,"Débit",$L4787)),-IF($P4787=1,-$K4787,$K4787),0))))</f>
        <v/>
      </c>
      <c r="U4787" s="6" t="str">
        <f>IF($K4787="","",IF(ISNUMBER(SEARCH("sortie-epargne",IFERROR(INDEX('Paramètres'!$N:$N,MATCH($D4787,'Paramètres'!$M:$M,0))&amp;"",""))),$K4787,0))</f>
        <v/>
      </c>
      <c r="V4787" s="6" t="str">
        <f>IF(AND($A4787&lt;&gt;"",$O4787=1,$L4787="Débit",N($Q4787)&gt;0,$A4787&gt;=Visualisation!$B$1,$A4787&lt;Visualisation!$D$1),MAX($V$1:V4786)+1,"")</f>
        <v/>
      </c>
    </row>
    <row r="4788" spans="1:22" x14ac:dyDescent="0.25">
      <c r="A4788" s="9"/>
      <c r="E4788" s="10"/>
      <c r="K4788" s="11" t="str">
        <f>IF($E4788="","",ROUND($E4788*IF(ISNA(MATCH($C4788,'Paramètres'!$D:$D,0)),1,IF(INDEX('Paramètres'!$J:$J,MATCH($C4788,'Paramètres'!$D:$D,0))="",1,INDEX('Paramètres'!$J:$J,MATCH($C4788,'Paramètres'!$D:$D,0)))),2))</f>
        <v/>
      </c>
      <c r="L4788" s="6" t="str">
        <f>IF($D4788="","",IF($F4788&lt;&gt;"",$F4788,IF(ISNA(MATCH($D4788,'Paramètres'!$M:$M,0)),"⚠ Type inconnu",IFERROR(INDEX('Paramètres'!$P:$P,MATCH($D4788,'Paramètres'!$M:$M,0))&amp;"",""))))</f>
        <v/>
      </c>
      <c r="M4788" s="6" t="str">
        <f>IF($D4788="","",IF(ISNA(MATCH($D4788,'Paramètres'!$M:$M,0)),"⚠ Type inconnu",IF($L4788="Crédit","",IFERROR(INDEX('Paramètres'!$O:$O,MATCH($D4788,'Paramètres'!$M:$M,0))&amp;"",""))))</f>
        <v/>
      </c>
      <c r="N4788" s="6" t="str">
        <f>IF($D4788="","",IFERROR(INDEX('Paramètres'!$Q:$Q,MATCH($D4788,'Paramètres'!$M:$M,0))&amp;"",""))</f>
        <v/>
      </c>
      <c r="O4788" s="6" t="str">
        <f>IF($A4788="","",IF(OR($J4788&lt;&gt;"x",$A4788&lt;=FinReleve),1,0))</f>
        <v/>
      </c>
      <c r="P4788" s="6" t="str">
        <f>IF($D4788="","",IF(AND($L4788="Crédit",OR(IFERROR(INDEX('Paramètres'!$O:$O,MATCH($D4788,'Paramètres'!$M:$M,0))&amp;"","")&lt;&gt;"",ISNUMBER(SEARCH("remboursement",IFERROR(INDEX('Paramètres'!$N:$N,MATCH($D4788,'Paramètres'!$M:$M,0))&amp;"",""))))),1,0))</f>
        <v/>
      </c>
      <c r="Q4788" s="6" t="str">
        <f>IF($K4788="","",IF(ISNUMBER(SEARCH("transfert-interne",IFERROR(INDEX('Paramètres'!$N:$N,MATCH($D4788,'Paramètres'!$M:$M,0))&amp;"",""))),0,IF($L4788="Débit",$K4788,IF($P4788=1,-$K4788,0))))</f>
        <v/>
      </c>
      <c r="R4788" s="6" t="str">
        <f>IF($K4788="","",IF($L4788="Crédit",$K4788,-$K4788))</f>
        <v/>
      </c>
      <c r="S4788" s="6" t="str">
        <f>IF($C4788="","",IFERROR(INDEX('Paramètres'!$H:$H,MATCH($C4788,'Paramètres'!$D:$D,0))&amp;"",""))</f>
        <v/>
      </c>
      <c r="T4788" s="6" t="str">
        <f>IF($K4788="","",IF($S4788="",0,IF(ISNUMBER(SEARCH("apport-exterieur",IFERROR(INDEX('Paramètres'!$N:$N,MATCH($D4788,'Paramètres'!$M:$M,0))&amp;"",""))),0,IF(OR(IFERROR(INDEX('Paramètres'!$I:$I,MATCH($C4788,'Paramètres'!$D:$D,0))&amp;"","")="Les deux",IFERROR(INDEX('Paramètres'!$I:$I,MATCH($C4788,'Paramètres'!$D:$D,0))&amp;"","")=IF($P4788=1,"Débit",$L4788)),-IF($P4788=1,-$K4788,$K4788),0))))</f>
        <v/>
      </c>
      <c r="U4788" s="6" t="str">
        <f>IF($K4788="","",IF(ISNUMBER(SEARCH("sortie-epargne",IFERROR(INDEX('Paramètres'!$N:$N,MATCH($D4788,'Paramètres'!$M:$M,0))&amp;"",""))),$K4788,0))</f>
        <v/>
      </c>
      <c r="V4788" s="6" t="str">
        <f>IF(AND($A4788&lt;&gt;"",$O4788=1,$L4788="Débit",N($Q4788)&gt;0,$A4788&gt;=Visualisation!$B$1,$A4788&lt;Visualisation!$D$1),MAX($V$1:V4787)+1,"")</f>
        <v/>
      </c>
    </row>
    <row r="4789" spans="1:22" x14ac:dyDescent="0.25">
      <c r="A4789" s="9"/>
      <c r="E4789" s="10"/>
      <c r="K4789" s="11" t="str">
        <f>IF($E4789="","",ROUND($E4789*IF(ISNA(MATCH($C4789,'Paramètres'!$D:$D,0)),1,IF(INDEX('Paramètres'!$J:$J,MATCH($C4789,'Paramètres'!$D:$D,0))="",1,INDEX('Paramètres'!$J:$J,MATCH($C4789,'Paramètres'!$D:$D,0)))),2))</f>
        <v/>
      </c>
      <c r="L4789" s="6" t="str">
        <f>IF($D4789="","",IF($F4789&lt;&gt;"",$F4789,IF(ISNA(MATCH($D4789,'Paramètres'!$M:$M,0)),"⚠ Type inconnu",IFERROR(INDEX('Paramètres'!$P:$P,MATCH($D4789,'Paramètres'!$M:$M,0))&amp;"",""))))</f>
        <v/>
      </c>
      <c r="M4789" s="6" t="str">
        <f>IF($D4789="","",IF(ISNA(MATCH($D4789,'Paramètres'!$M:$M,0)),"⚠ Type inconnu",IF($L4789="Crédit","",IFERROR(INDEX('Paramètres'!$O:$O,MATCH($D4789,'Paramètres'!$M:$M,0))&amp;"",""))))</f>
        <v/>
      </c>
      <c r="N4789" s="6" t="str">
        <f>IF($D4789="","",IFERROR(INDEX('Paramètres'!$Q:$Q,MATCH($D4789,'Paramètres'!$M:$M,0))&amp;"",""))</f>
        <v/>
      </c>
      <c r="O4789" s="6" t="str">
        <f>IF($A4789="","",IF(OR($J4789&lt;&gt;"x",$A4789&lt;=FinReleve),1,0))</f>
        <v/>
      </c>
      <c r="P4789" s="6" t="str">
        <f>IF($D4789="","",IF(AND($L4789="Crédit",OR(IFERROR(INDEX('Paramètres'!$O:$O,MATCH($D4789,'Paramètres'!$M:$M,0))&amp;"","")&lt;&gt;"",ISNUMBER(SEARCH("remboursement",IFERROR(INDEX('Paramètres'!$N:$N,MATCH($D4789,'Paramètres'!$M:$M,0))&amp;"",""))))),1,0))</f>
        <v/>
      </c>
      <c r="Q4789" s="6" t="str">
        <f>IF($K4789="","",IF(ISNUMBER(SEARCH("transfert-interne",IFERROR(INDEX('Paramètres'!$N:$N,MATCH($D4789,'Paramètres'!$M:$M,0))&amp;"",""))),0,IF($L4789="Débit",$K4789,IF($P4789=1,-$K4789,0))))</f>
        <v/>
      </c>
      <c r="R4789" s="6" t="str">
        <f>IF($K4789="","",IF($L4789="Crédit",$K4789,-$K4789))</f>
        <v/>
      </c>
      <c r="S4789" s="6" t="str">
        <f>IF($C4789="","",IFERROR(INDEX('Paramètres'!$H:$H,MATCH($C4789,'Paramètres'!$D:$D,0))&amp;"",""))</f>
        <v/>
      </c>
      <c r="T4789" s="6" t="str">
        <f>IF($K4789="","",IF($S4789="",0,IF(ISNUMBER(SEARCH("apport-exterieur",IFERROR(INDEX('Paramètres'!$N:$N,MATCH($D4789,'Paramètres'!$M:$M,0))&amp;"",""))),0,IF(OR(IFERROR(INDEX('Paramètres'!$I:$I,MATCH($C4789,'Paramètres'!$D:$D,0))&amp;"","")="Les deux",IFERROR(INDEX('Paramètres'!$I:$I,MATCH($C4789,'Paramètres'!$D:$D,0))&amp;"","")=IF($P4789=1,"Débit",$L4789)),-IF($P4789=1,-$K4789,$K4789),0))))</f>
        <v/>
      </c>
      <c r="U4789" s="6" t="str">
        <f>IF($K4789="","",IF(ISNUMBER(SEARCH("sortie-epargne",IFERROR(INDEX('Paramètres'!$N:$N,MATCH($D4789,'Paramètres'!$M:$M,0))&amp;"",""))),$K4789,0))</f>
        <v/>
      </c>
      <c r="V4789" s="6" t="str">
        <f>IF(AND($A4789&lt;&gt;"",$O4789=1,$L4789="Débit",N($Q4789)&gt;0,$A4789&gt;=Visualisation!$B$1,$A4789&lt;Visualisation!$D$1),MAX($V$1:V4788)+1,"")</f>
        <v/>
      </c>
    </row>
    <row r="4790" spans="1:22" x14ac:dyDescent="0.25">
      <c r="A4790" s="9"/>
      <c r="E4790" s="10"/>
      <c r="K4790" s="11" t="str">
        <f>IF($E4790="","",ROUND($E4790*IF(ISNA(MATCH($C4790,'Paramètres'!$D:$D,0)),1,IF(INDEX('Paramètres'!$J:$J,MATCH($C4790,'Paramètres'!$D:$D,0))="",1,INDEX('Paramètres'!$J:$J,MATCH($C4790,'Paramètres'!$D:$D,0)))),2))</f>
        <v/>
      </c>
      <c r="L4790" s="6" t="str">
        <f>IF($D4790="","",IF($F4790&lt;&gt;"",$F4790,IF(ISNA(MATCH($D4790,'Paramètres'!$M:$M,0)),"⚠ Type inconnu",IFERROR(INDEX('Paramètres'!$P:$P,MATCH($D4790,'Paramètres'!$M:$M,0))&amp;"",""))))</f>
        <v/>
      </c>
      <c r="M4790" s="6" t="str">
        <f>IF($D4790="","",IF(ISNA(MATCH($D4790,'Paramètres'!$M:$M,0)),"⚠ Type inconnu",IF($L4790="Crédit","",IFERROR(INDEX('Paramètres'!$O:$O,MATCH($D4790,'Paramètres'!$M:$M,0))&amp;"",""))))</f>
        <v/>
      </c>
      <c r="N4790" s="6" t="str">
        <f>IF($D4790="","",IFERROR(INDEX('Paramètres'!$Q:$Q,MATCH($D4790,'Paramètres'!$M:$M,0))&amp;"",""))</f>
        <v/>
      </c>
      <c r="O4790" s="6" t="str">
        <f>IF($A4790="","",IF(OR($J4790&lt;&gt;"x",$A4790&lt;=FinReleve),1,0))</f>
        <v/>
      </c>
      <c r="P4790" s="6" t="str">
        <f>IF($D4790="","",IF(AND($L4790="Crédit",OR(IFERROR(INDEX('Paramètres'!$O:$O,MATCH($D4790,'Paramètres'!$M:$M,0))&amp;"","")&lt;&gt;"",ISNUMBER(SEARCH("remboursement",IFERROR(INDEX('Paramètres'!$N:$N,MATCH($D4790,'Paramètres'!$M:$M,0))&amp;"",""))))),1,0))</f>
        <v/>
      </c>
      <c r="Q4790" s="6" t="str">
        <f>IF($K4790="","",IF(ISNUMBER(SEARCH("transfert-interne",IFERROR(INDEX('Paramètres'!$N:$N,MATCH($D4790,'Paramètres'!$M:$M,0))&amp;"",""))),0,IF($L4790="Débit",$K4790,IF($P4790=1,-$K4790,0))))</f>
        <v/>
      </c>
      <c r="R4790" s="6" t="str">
        <f>IF($K4790="","",IF($L4790="Crédit",$K4790,-$K4790))</f>
        <v/>
      </c>
      <c r="S4790" s="6" t="str">
        <f>IF($C4790="","",IFERROR(INDEX('Paramètres'!$H:$H,MATCH($C4790,'Paramètres'!$D:$D,0))&amp;"",""))</f>
        <v/>
      </c>
      <c r="T4790" s="6" t="str">
        <f>IF($K4790="","",IF($S4790="",0,IF(ISNUMBER(SEARCH("apport-exterieur",IFERROR(INDEX('Paramètres'!$N:$N,MATCH($D4790,'Paramètres'!$M:$M,0))&amp;"",""))),0,IF(OR(IFERROR(INDEX('Paramètres'!$I:$I,MATCH($C4790,'Paramètres'!$D:$D,0))&amp;"","")="Les deux",IFERROR(INDEX('Paramètres'!$I:$I,MATCH($C4790,'Paramètres'!$D:$D,0))&amp;"","")=IF($P4790=1,"Débit",$L4790)),-IF($P4790=1,-$K4790,$K4790),0))))</f>
        <v/>
      </c>
      <c r="U4790" s="6" t="str">
        <f>IF($K4790="","",IF(ISNUMBER(SEARCH("sortie-epargne",IFERROR(INDEX('Paramètres'!$N:$N,MATCH($D4790,'Paramètres'!$M:$M,0))&amp;"",""))),$K4790,0))</f>
        <v/>
      </c>
      <c r="V4790" s="6" t="str">
        <f>IF(AND($A4790&lt;&gt;"",$O4790=1,$L4790="Débit",N($Q4790)&gt;0,$A4790&gt;=Visualisation!$B$1,$A4790&lt;Visualisation!$D$1),MAX($V$1:V4789)+1,"")</f>
        <v/>
      </c>
    </row>
    <row r="4791" spans="1:22" x14ac:dyDescent="0.25">
      <c r="A4791" s="9"/>
      <c r="E4791" s="10"/>
      <c r="K4791" s="11" t="str">
        <f>IF($E4791="","",ROUND($E4791*IF(ISNA(MATCH($C4791,'Paramètres'!$D:$D,0)),1,IF(INDEX('Paramètres'!$J:$J,MATCH($C4791,'Paramètres'!$D:$D,0))="",1,INDEX('Paramètres'!$J:$J,MATCH($C4791,'Paramètres'!$D:$D,0)))),2))</f>
        <v/>
      </c>
      <c r="L4791" s="6" t="str">
        <f>IF($D4791="","",IF($F4791&lt;&gt;"",$F4791,IF(ISNA(MATCH($D4791,'Paramètres'!$M:$M,0)),"⚠ Type inconnu",IFERROR(INDEX('Paramètres'!$P:$P,MATCH($D4791,'Paramètres'!$M:$M,0))&amp;"",""))))</f>
        <v/>
      </c>
      <c r="M4791" s="6" t="str">
        <f>IF($D4791="","",IF(ISNA(MATCH($D4791,'Paramètres'!$M:$M,0)),"⚠ Type inconnu",IF($L4791="Crédit","",IFERROR(INDEX('Paramètres'!$O:$O,MATCH($D4791,'Paramètres'!$M:$M,0))&amp;"",""))))</f>
        <v/>
      </c>
      <c r="N4791" s="6" t="str">
        <f>IF($D4791="","",IFERROR(INDEX('Paramètres'!$Q:$Q,MATCH($D4791,'Paramètres'!$M:$M,0))&amp;"",""))</f>
        <v/>
      </c>
      <c r="O4791" s="6" t="str">
        <f>IF($A4791="","",IF(OR($J4791&lt;&gt;"x",$A4791&lt;=FinReleve),1,0))</f>
        <v/>
      </c>
      <c r="P4791" s="6" t="str">
        <f>IF($D4791="","",IF(AND($L4791="Crédit",OR(IFERROR(INDEX('Paramètres'!$O:$O,MATCH($D4791,'Paramètres'!$M:$M,0))&amp;"","")&lt;&gt;"",ISNUMBER(SEARCH("remboursement",IFERROR(INDEX('Paramètres'!$N:$N,MATCH($D4791,'Paramètres'!$M:$M,0))&amp;"",""))))),1,0))</f>
        <v/>
      </c>
      <c r="Q4791" s="6" t="str">
        <f>IF($K4791="","",IF(ISNUMBER(SEARCH("transfert-interne",IFERROR(INDEX('Paramètres'!$N:$N,MATCH($D4791,'Paramètres'!$M:$M,0))&amp;"",""))),0,IF($L4791="Débit",$K4791,IF($P4791=1,-$K4791,0))))</f>
        <v/>
      </c>
      <c r="R4791" s="6" t="str">
        <f>IF($K4791="","",IF($L4791="Crédit",$K4791,-$K4791))</f>
        <v/>
      </c>
      <c r="S4791" s="6" t="str">
        <f>IF($C4791="","",IFERROR(INDEX('Paramètres'!$H:$H,MATCH($C4791,'Paramètres'!$D:$D,0))&amp;"",""))</f>
        <v/>
      </c>
      <c r="T4791" s="6" t="str">
        <f>IF($K4791="","",IF($S4791="",0,IF(ISNUMBER(SEARCH("apport-exterieur",IFERROR(INDEX('Paramètres'!$N:$N,MATCH($D4791,'Paramètres'!$M:$M,0))&amp;"",""))),0,IF(OR(IFERROR(INDEX('Paramètres'!$I:$I,MATCH($C4791,'Paramètres'!$D:$D,0))&amp;"","")="Les deux",IFERROR(INDEX('Paramètres'!$I:$I,MATCH($C4791,'Paramètres'!$D:$D,0))&amp;"","")=IF($P4791=1,"Débit",$L4791)),-IF($P4791=1,-$K4791,$K4791),0))))</f>
        <v/>
      </c>
      <c r="U4791" s="6" t="str">
        <f>IF($K4791="","",IF(ISNUMBER(SEARCH("sortie-epargne",IFERROR(INDEX('Paramètres'!$N:$N,MATCH($D4791,'Paramètres'!$M:$M,0))&amp;"",""))),$K4791,0))</f>
        <v/>
      </c>
      <c r="V4791" s="6" t="str">
        <f>IF(AND($A4791&lt;&gt;"",$O4791=1,$L4791="Débit",N($Q4791)&gt;0,$A4791&gt;=Visualisation!$B$1,$A4791&lt;Visualisation!$D$1),MAX($V$1:V4790)+1,"")</f>
        <v/>
      </c>
    </row>
    <row r="4792" spans="1:22" x14ac:dyDescent="0.25">
      <c r="A4792" s="9"/>
      <c r="E4792" s="10"/>
      <c r="K4792" s="11" t="str">
        <f>IF($E4792="","",ROUND($E4792*IF(ISNA(MATCH($C4792,'Paramètres'!$D:$D,0)),1,IF(INDEX('Paramètres'!$J:$J,MATCH($C4792,'Paramètres'!$D:$D,0))="",1,INDEX('Paramètres'!$J:$J,MATCH($C4792,'Paramètres'!$D:$D,0)))),2))</f>
        <v/>
      </c>
      <c r="L4792" s="6" t="str">
        <f>IF($D4792="","",IF($F4792&lt;&gt;"",$F4792,IF(ISNA(MATCH($D4792,'Paramètres'!$M:$M,0)),"⚠ Type inconnu",IFERROR(INDEX('Paramètres'!$P:$P,MATCH($D4792,'Paramètres'!$M:$M,0))&amp;"",""))))</f>
        <v/>
      </c>
      <c r="M4792" s="6" t="str">
        <f>IF($D4792="","",IF(ISNA(MATCH($D4792,'Paramètres'!$M:$M,0)),"⚠ Type inconnu",IF($L4792="Crédit","",IFERROR(INDEX('Paramètres'!$O:$O,MATCH($D4792,'Paramètres'!$M:$M,0))&amp;"",""))))</f>
        <v/>
      </c>
      <c r="N4792" s="6" t="str">
        <f>IF($D4792="","",IFERROR(INDEX('Paramètres'!$Q:$Q,MATCH($D4792,'Paramètres'!$M:$M,0))&amp;"",""))</f>
        <v/>
      </c>
      <c r="O4792" s="6" t="str">
        <f>IF($A4792="","",IF(OR($J4792&lt;&gt;"x",$A4792&lt;=FinReleve),1,0))</f>
        <v/>
      </c>
      <c r="P4792" s="6" t="str">
        <f>IF($D4792="","",IF(AND($L4792="Crédit",OR(IFERROR(INDEX('Paramètres'!$O:$O,MATCH($D4792,'Paramètres'!$M:$M,0))&amp;"","")&lt;&gt;"",ISNUMBER(SEARCH("remboursement",IFERROR(INDEX('Paramètres'!$N:$N,MATCH($D4792,'Paramètres'!$M:$M,0))&amp;"",""))))),1,0))</f>
        <v/>
      </c>
      <c r="Q4792" s="6" t="str">
        <f>IF($K4792="","",IF(ISNUMBER(SEARCH("transfert-interne",IFERROR(INDEX('Paramètres'!$N:$N,MATCH($D4792,'Paramètres'!$M:$M,0))&amp;"",""))),0,IF($L4792="Débit",$K4792,IF($P4792=1,-$K4792,0))))</f>
        <v/>
      </c>
      <c r="R4792" s="6" t="str">
        <f>IF($K4792="","",IF($L4792="Crédit",$K4792,-$K4792))</f>
        <v/>
      </c>
      <c r="S4792" s="6" t="str">
        <f>IF($C4792="","",IFERROR(INDEX('Paramètres'!$H:$H,MATCH($C4792,'Paramètres'!$D:$D,0))&amp;"",""))</f>
        <v/>
      </c>
      <c r="T4792" s="6" t="str">
        <f>IF($K4792="","",IF($S4792="",0,IF(ISNUMBER(SEARCH("apport-exterieur",IFERROR(INDEX('Paramètres'!$N:$N,MATCH($D4792,'Paramètres'!$M:$M,0))&amp;"",""))),0,IF(OR(IFERROR(INDEX('Paramètres'!$I:$I,MATCH($C4792,'Paramètres'!$D:$D,0))&amp;"","")="Les deux",IFERROR(INDEX('Paramètres'!$I:$I,MATCH($C4792,'Paramètres'!$D:$D,0))&amp;"","")=IF($P4792=1,"Débit",$L4792)),-IF($P4792=1,-$K4792,$K4792),0))))</f>
        <v/>
      </c>
      <c r="U4792" s="6" t="str">
        <f>IF($K4792="","",IF(ISNUMBER(SEARCH("sortie-epargne",IFERROR(INDEX('Paramètres'!$N:$N,MATCH($D4792,'Paramètres'!$M:$M,0))&amp;"",""))),$K4792,0))</f>
        <v/>
      </c>
      <c r="V4792" s="6" t="str">
        <f>IF(AND($A4792&lt;&gt;"",$O4792=1,$L4792="Débit",N($Q4792)&gt;0,$A4792&gt;=Visualisation!$B$1,$A4792&lt;Visualisation!$D$1),MAX($V$1:V4791)+1,"")</f>
        <v/>
      </c>
    </row>
    <row r="4793" spans="1:22" x14ac:dyDescent="0.25">
      <c r="A4793" s="9"/>
      <c r="E4793" s="10"/>
      <c r="K4793" s="11" t="str">
        <f>IF($E4793="","",ROUND($E4793*IF(ISNA(MATCH($C4793,'Paramètres'!$D:$D,0)),1,IF(INDEX('Paramètres'!$J:$J,MATCH($C4793,'Paramètres'!$D:$D,0))="",1,INDEX('Paramètres'!$J:$J,MATCH($C4793,'Paramètres'!$D:$D,0)))),2))</f>
        <v/>
      </c>
      <c r="L4793" s="6" t="str">
        <f>IF($D4793="","",IF($F4793&lt;&gt;"",$F4793,IF(ISNA(MATCH($D4793,'Paramètres'!$M:$M,0)),"⚠ Type inconnu",IFERROR(INDEX('Paramètres'!$P:$P,MATCH($D4793,'Paramètres'!$M:$M,0))&amp;"",""))))</f>
        <v/>
      </c>
      <c r="M4793" s="6" t="str">
        <f>IF($D4793="","",IF(ISNA(MATCH($D4793,'Paramètres'!$M:$M,0)),"⚠ Type inconnu",IF($L4793="Crédit","",IFERROR(INDEX('Paramètres'!$O:$O,MATCH($D4793,'Paramètres'!$M:$M,0))&amp;"",""))))</f>
        <v/>
      </c>
      <c r="N4793" s="6" t="str">
        <f>IF($D4793="","",IFERROR(INDEX('Paramètres'!$Q:$Q,MATCH($D4793,'Paramètres'!$M:$M,0))&amp;"",""))</f>
        <v/>
      </c>
      <c r="O4793" s="6" t="str">
        <f>IF($A4793="","",IF(OR($J4793&lt;&gt;"x",$A4793&lt;=FinReleve),1,0))</f>
        <v/>
      </c>
      <c r="P4793" s="6" t="str">
        <f>IF($D4793="","",IF(AND($L4793="Crédit",OR(IFERROR(INDEX('Paramètres'!$O:$O,MATCH($D4793,'Paramètres'!$M:$M,0))&amp;"","")&lt;&gt;"",ISNUMBER(SEARCH("remboursement",IFERROR(INDEX('Paramètres'!$N:$N,MATCH($D4793,'Paramètres'!$M:$M,0))&amp;"",""))))),1,0))</f>
        <v/>
      </c>
      <c r="Q4793" s="6" t="str">
        <f>IF($K4793="","",IF(ISNUMBER(SEARCH("transfert-interne",IFERROR(INDEX('Paramètres'!$N:$N,MATCH($D4793,'Paramètres'!$M:$M,0))&amp;"",""))),0,IF($L4793="Débit",$K4793,IF($P4793=1,-$K4793,0))))</f>
        <v/>
      </c>
      <c r="R4793" s="6" t="str">
        <f>IF($K4793="","",IF($L4793="Crédit",$K4793,-$K4793))</f>
        <v/>
      </c>
      <c r="S4793" s="6" t="str">
        <f>IF($C4793="","",IFERROR(INDEX('Paramètres'!$H:$H,MATCH($C4793,'Paramètres'!$D:$D,0))&amp;"",""))</f>
        <v/>
      </c>
      <c r="T4793" s="6" t="str">
        <f>IF($K4793="","",IF($S4793="",0,IF(ISNUMBER(SEARCH("apport-exterieur",IFERROR(INDEX('Paramètres'!$N:$N,MATCH($D4793,'Paramètres'!$M:$M,0))&amp;"",""))),0,IF(OR(IFERROR(INDEX('Paramètres'!$I:$I,MATCH($C4793,'Paramètres'!$D:$D,0))&amp;"","")="Les deux",IFERROR(INDEX('Paramètres'!$I:$I,MATCH($C4793,'Paramètres'!$D:$D,0))&amp;"","")=IF($P4793=1,"Débit",$L4793)),-IF($P4793=1,-$K4793,$K4793),0))))</f>
        <v/>
      </c>
      <c r="U4793" s="6" t="str">
        <f>IF($K4793="","",IF(ISNUMBER(SEARCH("sortie-epargne",IFERROR(INDEX('Paramètres'!$N:$N,MATCH($D4793,'Paramètres'!$M:$M,0))&amp;"",""))),$K4793,0))</f>
        <v/>
      </c>
      <c r="V4793" s="6" t="str">
        <f>IF(AND($A4793&lt;&gt;"",$O4793=1,$L4793="Débit",N($Q4793)&gt;0,$A4793&gt;=Visualisation!$B$1,$A4793&lt;Visualisation!$D$1),MAX($V$1:V4792)+1,"")</f>
        <v/>
      </c>
    </row>
    <row r="4794" spans="1:22" x14ac:dyDescent="0.25">
      <c r="A4794" s="9"/>
      <c r="E4794" s="10"/>
      <c r="K4794" s="11" t="str">
        <f>IF($E4794="","",ROUND($E4794*IF(ISNA(MATCH($C4794,'Paramètres'!$D:$D,0)),1,IF(INDEX('Paramètres'!$J:$J,MATCH($C4794,'Paramètres'!$D:$D,0))="",1,INDEX('Paramètres'!$J:$J,MATCH($C4794,'Paramètres'!$D:$D,0)))),2))</f>
        <v/>
      </c>
      <c r="L4794" s="6" t="str">
        <f>IF($D4794="","",IF($F4794&lt;&gt;"",$F4794,IF(ISNA(MATCH($D4794,'Paramètres'!$M:$M,0)),"⚠ Type inconnu",IFERROR(INDEX('Paramètres'!$P:$P,MATCH($D4794,'Paramètres'!$M:$M,0))&amp;"",""))))</f>
        <v/>
      </c>
      <c r="M4794" s="6" t="str">
        <f>IF($D4794="","",IF(ISNA(MATCH($D4794,'Paramètres'!$M:$M,0)),"⚠ Type inconnu",IF($L4794="Crédit","",IFERROR(INDEX('Paramètres'!$O:$O,MATCH($D4794,'Paramètres'!$M:$M,0))&amp;"",""))))</f>
        <v/>
      </c>
      <c r="N4794" s="6" t="str">
        <f>IF($D4794="","",IFERROR(INDEX('Paramètres'!$Q:$Q,MATCH($D4794,'Paramètres'!$M:$M,0))&amp;"",""))</f>
        <v/>
      </c>
      <c r="O4794" s="6" t="str">
        <f>IF($A4794="","",IF(OR($J4794&lt;&gt;"x",$A4794&lt;=FinReleve),1,0))</f>
        <v/>
      </c>
      <c r="P4794" s="6" t="str">
        <f>IF($D4794="","",IF(AND($L4794="Crédit",OR(IFERROR(INDEX('Paramètres'!$O:$O,MATCH($D4794,'Paramètres'!$M:$M,0))&amp;"","")&lt;&gt;"",ISNUMBER(SEARCH("remboursement",IFERROR(INDEX('Paramètres'!$N:$N,MATCH($D4794,'Paramètres'!$M:$M,0))&amp;"",""))))),1,0))</f>
        <v/>
      </c>
      <c r="Q4794" s="6" t="str">
        <f>IF($K4794="","",IF(ISNUMBER(SEARCH("transfert-interne",IFERROR(INDEX('Paramètres'!$N:$N,MATCH($D4794,'Paramètres'!$M:$M,0))&amp;"",""))),0,IF($L4794="Débit",$K4794,IF($P4794=1,-$K4794,0))))</f>
        <v/>
      </c>
      <c r="R4794" s="6" t="str">
        <f>IF($K4794="","",IF($L4794="Crédit",$K4794,-$K4794))</f>
        <v/>
      </c>
      <c r="S4794" s="6" t="str">
        <f>IF($C4794="","",IFERROR(INDEX('Paramètres'!$H:$H,MATCH($C4794,'Paramètres'!$D:$D,0))&amp;"",""))</f>
        <v/>
      </c>
      <c r="T4794" s="6" t="str">
        <f>IF($K4794="","",IF($S4794="",0,IF(ISNUMBER(SEARCH("apport-exterieur",IFERROR(INDEX('Paramètres'!$N:$N,MATCH($D4794,'Paramètres'!$M:$M,0))&amp;"",""))),0,IF(OR(IFERROR(INDEX('Paramètres'!$I:$I,MATCH($C4794,'Paramètres'!$D:$D,0))&amp;"","")="Les deux",IFERROR(INDEX('Paramètres'!$I:$I,MATCH($C4794,'Paramètres'!$D:$D,0))&amp;"","")=IF($P4794=1,"Débit",$L4794)),-IF($P4794=1,-$K4794,$K4794),0))))</f>
        <v/>
      </c>
      <c r="U4794" s="6" t="str">
        <f>IF($K4794="","",IF(ISNUMBER(SEARCH("sortie-epargne",IFERROR(INDEX('Paramètres'!$N:$N,MATCH($D4794,'Paramètres'!$M:$M,0))&amp;"",""))),$K4794,0))</f>
        <v/>
      </c>
      <c r="V4794" s="6" t="str">
        <f>IF(AND($A4794&lt;&gt;"",$O4794=1,$L4794="Débit",N($Q4794)&gt;0,$A4794&gt;=Visualisation!$B$1,$A4794&lt;Visualisation!$D$1),MAX($V$1:V4793)+1,"")</f>
        <v/>
      </c>
    </row>
    <row r="4795" spans="1:22" x14ac:dyDescent="0.25">
      <c r="A4795" s="9"/>
      <c r="E4795" s="10"/>
      <c r="K4795" s="11" t="str">
        <f>IF($E4795="","",ROUND($E4795*IF(ISNA(MATCH($C4795,'Paramètres'!$D:$D,0)),1,IF(INDEX('Paramètres'!$J:$J,MATCH($C4795,'Paramètres'!$D:$D,0))="",1,INDEX('Paramètres'!$J:$J,MATCH($C4795,'Paramètres'!$D:$D,0)))),2))</f>
        <v/>
      </c>
      <c r="L4795" s="6" t="str">
        <f>IF($D4795="","",IF($F4795&lt;&gt;"",$F4795,IF(ISNA(MATCH($D4795,'Paramètres'!$M:$M,0)),"⚠ Type inconnu",IFERROR(INDEX('Paramètres'!$P:$P,MATCH($D4795,'Paramètres'!$M:$M,0))&amp;"",""))))</f>
        <v/>
      </c>
      <c r="M4795" s="6" t="str">
        <f>IF($D4795="","",IF(ISNA(MATCH($D4795,'Paramètres'!$M:$M,0)),"⚠ Type inconnu",IF($L4795="Crédit","",IFERROR(INDEX('Paramètres'!$O:$O,MATCH($D4795,'Paramètres'!$M:$M,0))&amp;"",""))))</f>
        <v/>
      </c>
      <c r="N4795" s="6" t="str">
        <f>IF($D4795="","",IFERROR(INDEX('Paramètres'!$Q:$Q,MATCH($D4795,'Paramètres'!$M:$M,0))&amp;"",""))</f>
        <v/>
      </c>
      <c r="O4795" s="6" t="str">
        <f>IF($A4795="","",IF(OR($J4795&lt;&gt;"x",$A4795&lt;=FinReleve),1,0))</f>
        <v/>
      </c>
      <c r="P4795" s="6" t="str">
        <f>IF($D4795="","",IF(AND($L4795="Crédit",OR(IFERROR(INDEX('Paramètres'!$O:$O,MATCH($D4795,'Paramètres'!$M:$M,0))&amp;"","")&lt;&gt;"",ISNUMBER(SEARCH("remboursement",IFERROR(INDEX('Paramètres'!$N:$N,MATCH($D4795,'Paramètres'!$M:$M,0))&amp;"",""))))),1,0))</f>
        <v/>
      </c>
      <c r="Q4795" s="6" t="str">
        <f>IF($K4795="","",IF(ISNUMBER(SEARCH("transfert-interne",IFERROR(INDEX('Paramètres'!$N:$N,MATCH($D4795,'Paramètres'!$M:$M,0))&amp;"",""))),0,IF($L4795="Débit",$K4795,IF($P4795=1,-$K4795,0))))</f>
        <v/>
      </c>
      <c r="R4795" s="6" t="str">
        <f>IF($K4795="","",IF($L4795="Crédit",$K4795,-$K4795))</f>
        <v/>
      </c>
      <c r="S4795" s="6" t="str">
        <f>IF($C4795="","",IFERROR(INDEX('Paramètres'!$H:$H,MATCH($C4795,'Paramètres'!$D:$D,0))&amp;"",""))</f>
        <v/>
      </c>
      <c r="T4795" s="6" t="str">
        <f>IF($K4795="","",IF($S4795="",0,IF(ISNUMBER(SEARCH("apport-exterieur",IFERROR(INDEX('Paramètres'!$N:$N,MATCH($D4795,'Paramètres'!$M:$M,0))&amp;"",""))),0,IF(OR(IFERROR(INDEX('Paramètres'!$I:$I,MATCH($C4795,'Paramètres'!$D:$D,0))&amp;"","")="Les deux",IFERROR(INDEX('Paramètres'!$I:$I,MATCH($C4795,'Paramètres'!$D:$D,0))&amp;"","")=IF($P4795=1,"Débit",$L4795)),-IF($P4795=1,-$K4795,$K4795),0))))</f>
        <v/>
      </c>
      <c r="U4795" s="6" t="str">
        <f>IF($K4795="","",IF(ISNUMBER(SEARCH("sortie-epargne",IFERROR(INDEX('Paramètres'!$N:$N,MATCH($D4795,'Paramètres'!$M:$M,0))&amp;"",""))),$K4795,0))</f>
        <v/>
      </c>
      <c r="V4795" s="6" t="str">
        <f>IF(AND($A4795&lt;&gt;"",$O4795=1,$L4795="Débit",N($Q4795)&gt;0,$A4795&gt;=Visualisation!$B$1,$A4795&lt;Visualisation!$D$1),MAX($V$1:V4794)+1,"")</f>
        <v/>
      </c>
    </row>
    <row r="4796" spans="1:22" x14ac:dyDescent="0.25">
      <c r="A4796" s="9"/>
      <c r="E4796" s="10"/>
      <c r="K4796" s="11" t="str">
        <f>IF($E4796="","",ROUND($E4796*IF(ISNA(MATCH($C4796,'Paramètres'!$D:$D,0)),1,IF(INDEX('Paramètres'!$J:$J,MATCH($C4796,'Paramètres'!$D:$D,0))="",1,INDEX('Paramètres'!$J:$J,MATCH($C4796,'Paramètres'!$D:$D,0)))),2))</f>
        <v/>
      </c>
      <c r="L4796" s="6" t="str">
        <f>IF($D4796="","",IF($F4796&lt;&gt;"",$F4796,IF(ISNA(MATCH($D4796,'Paramètres'!$M:$M,0)),"⚠ Type inconnu",IFERROR(INDEX('Paramètres'!$P:$P,MATCH($D4796,'Paramètres'!$M:$M,0))&amp;"",""))))</f>
        <v/>
      </c>
      <c r="M4796" s="6" t="str">
        <f>IF($D4796="","",IF(ISNA(MATCH($D4796,'Paramètres'!$M:$M,0)),"⚠ Type inconnu",IF($L4796="Crédit","",IFERROR(INDEX('Paramètres'!$O:$O,MATCH($D4796,'Paramètres'!$M:$M,0))&amp;"",""))))</f>
        <v/>
      </c>
      <c r="N4796" s="6" t="str">
        <f>IF($D4796="","",IFERROR(INDEX('Paramètres'!$Q:$Q,MATCH($D4796,'Paramètres'!$M:$M,0))&amp;"",""))</f>
        <v/>
      </c>
      <c r="O4796" s="6" t="str">
        <f>IF($A4796="","",IF(OR($J4796&lt;&gt;"x",$A4796&lt;=FinReleve),1,0))</f>
        <v/>
      </c>
      <c r="P4796" s="6" t="str">
        <f>IF($D4796="","",IF(AND($L4796="Crédit",OR(IFERROR(INDEX('Paramètres'!$O:$O,MATCH($D4796,'Paramètres'!$M:$M,0))&amp;"","")&lt;&gt;"",ISNUMBER(SEARCH("remboursement",IFERROR(INDEX('Paramètres'!$N:$N,MATCH($D4796,'Paramètres'!$M:$M,0))&amp;"",""))))),1,0))</f>
        <v/>
      </c>
      <c r="Q4796" s="6" t="str">
        <f>IF($K4796="","",IF(ISNUMBER(SEARCH("transfert-interne",IFERROR(INDEX('Paramètres'!$N:$N,MATCH($D4796,'Paramètres'!$M:$M,0))&amp;"",""))),0,IF($L4796="Débit",$K4796,IF($P4796=1,-$K4796,0))))</f>
        <v/>
      </c>
      <c r="R4796" s="6" t="str">
        <f>IF($K4796="","",IF($L4796="Crédit",$K4796,-$K4796))</f>
        <v/>
      </c>
      <c r="S4796" s="6" t="str">
        <f>IF($C4796="","",IFERROR(INDEX('Paramètres'!$H:$H,MATCH($C4796,'Paramètres'!$D:$D,0))&amp;"",""))</f>
        <v/>
      </c>
      <c r="T4796" s="6" t="str">
        <f>IF($K4796="","",IF($S4796="",0,IF(ISNUMBER(SEARCH("apport-exterieur",IFERROR(INDEX('Paramètres'!$N:$N,MATCH($D4796,'Paramètres'!$M:$M,0))&amp;"",""))),0,IF(OR(IFERROR(INDEX('Paramètres'!$I:$I,MATCH($C4796,'Paramètres'!$D:$D,0))&amp;"","")="Les deux",IFERROR(INDEX('Paramètres'!$I:$I,MATCH($C4796,'Paramètres'!$D:$D,0))&amp;"","")=IF($P4796=1,"Débit",$L4796)),-IF($P4796=1,-$K4796,$K4796),0))))</f>
        <v/>
      </c>
      <c r="U4796" s="6" t="str">
        <f>IF($K4796="","",IF(ISNUMBER(SEARCH("sortie-epargne",IFERROR(INDEX('Paramètres'!$N:$N,MATCH($D4796,'Paramètres'!$M:$M,0))&amp;"",""))),$K4796,0))</f>
        <v/>
      </c>
      <c r="V4796" s="6" t="str">
        <f>IF(AND($A4796&lt;&gt;"",$O4796=1,$L4796="Débit",N($Q4796)&gt;0,$A4796&gt;=Visualisation!$B$1,$A4796&lt;Visualisation!$D$1),MAX($V$1:V4795)+1,"")</f>
        <v/>
      </c>
    </row>
    <row r="4797" spans="1:22" x14ac:dyDescent="0.25">
      <c r="A4797" s="9"/>
      <c r="E4797" s="10"/>
      <c r="K4797" s="11" t="str">
        <f>IF($E4797="","",ROUND($E4797*IF(ISNA(MATCH($C4797,'Paramètres'!$D:$D,0)),1,IF(INDEX('Paramètres'!$J:$J,MATCH($C4797,'Paramètres'!$D:$D,0))="",1,INDEX('Paramètres'!$J:$J,MATCH($C4797,'Paramètres'!$D:$D,0)))),2))</f>
        <v/>
      </c>
      <c r="L4797" s="6" t="str">
        <f>IF($D4797="","",IF($F4797&lt;&gt;"",$F4797,IF(ISNA(MATCH($D4797,'Paramètres'!$M:$M,0)),"⚠ Type inconnu",IFERROR(INDEX('Paramètres'!$P:$P,MATCH($D4797,'Paramètres'!$M:$M,0))&amp;"",""))))</f>
        <v/>
      </c>
      <c r="M4797" s="6" t="str">
        <f>IF($D4797="","",IF(ISNA(MATCH($D4797,'Paramètres'!$M:$M,0)),"⚠ Type inconnu",IF($L4797="Crédit","",IFERROR(INDEX('Paramètres'!$O:$O,MATCH($D4797,'Paramètres'!$M:$M,0))&amp;"",""))))</f>
        <v/>
      </c>
      <c r="N4797" s="6" t="str">
        <f>IF($D4797="","",IFERROR(INDEX('Paramètres'!$Q:$Q,MATCH($D4797,'Paramètres'!$M:$M,0))&amp;"",""))</f>
        <v/>
      </c>
      <c r="O4797" s="6" t="str">
        <f>IF($A4797="","",IF(OR($J4797&lt;&gt;"x",$A4797&lt;=FinReleve),1,0))</f>
        <v/>
      </c>
      <c r="P4797" s="6" t="str">
        <f>IF($D4797="","",IF(AND($L4797="Crédit",OR(IFERROR(INDEX('Paramètres'!$O:$O,MATCH($D4797,'Paramètres'!$M:$M,0))&amp;"","")&lt;&gt;"",ISNUMBER(SEARCH("remboursement",IFERROR(INDEX('Paramètres'!$N:$N,MATCH($D4797,'Paramètres'!$M:$M,0))&amp;"",""))))),1,0))</f>
        <v/>
      </c>
      <c r="Q4797" s="6" t="str">
        <f>IF($K4797="","",IF(ISNUMBER(SEARCH("transfert-interne",IFERROR(INDEX('Paramètres'!$N:$N,MATCH($D4797,'Paramètres'!$M:$M,0))&amp;"",""))),0,IF($L4797="Débit",$K4797,IF($P4797=1,-$K4797,0))))</f>
        <v/>
      </c>
      <c r="R4797" s="6" t="str">
        <f>IF($K4797="","",IF($L4797="Crédit",$K4797,-$K4797))</f>
        <v/>
      </c>
      <c r="S4797" s="6" t="str">
        <f>IF($C4797="","",IFERROR(INDEX('Paramètres'!$H:$H,MATCH($C4797,'Paramètres'!$D:$D,0))&amp;"",""))</f>
        <v/>
      </c>
      <c r="T4797" s="6" t="str">
        <f>IF($K4797="","",IF($S4797="",0,IF(ISNUMBER(SEARCH("apport-exterieur",IFERROR(INDEX('Paramètres'!$N:$N,MATCH($D4797,'Paramètres'!$M:$M,0))&amp;"",""))),0,IF(OR(IFERROR(INDEX('Paramètres'!$I:$I,MATCH($C4797,'Paramètres'!$D:$D,0))&amp;"","")="Les deux",IFERROR(INDEX('Paramètres'!$I:$I,MATCH($C4797,'Paramètres'!$D:$D,0))&amp;"","")=IF($P4797=1,"Débit",$L4797)),-IF($P4797=1,-$K4797,$K4797),0))))</f>
        <v/>
      </c>
      <c r="U4797" s="6" t="str">
        <f>IF($K4797="","",IF(ISNUMBER(SEARCH("sortie-epargne",IFERROR(INDEX('Paramètres'!$N:$N,MATCH($D4797,'Paramètres'!$M:$M,0))&amp;"",""))),$K4797,0))</f>
        <v/>
      </c>
      <c r="V4797" s="6" t="str">
        <f>IF(AND($A4797&lt;&gt;"",$O4797=1,$L4797="Débit",N($Q4797)&gt;0,$A4797&gt;=Visualisation!$B$1,$A4797&lt;Visualisation!$D$1),MAX($V$1:V4796)+1,"")</f>
        <v/>
      </c>
    </row>
    <row r="4798" spans="1:22" x14ac:dyDescent="0.25">
      <c r="A4798" s="9"/>
      <c r="E4798" s="10"/>
      <c r="K4798" s="11" t="str">
        <f>IF($E4798="","",ROUND($E4798*IF(ISNA(MATCH($C4798,'Paramètres'!$D:$D,0)),1,IF(INDEX('Paramètres'!$J:$J,MATCH($C4798,'Paramètres'!$D:$D,0))="",1,INDEX('Paramètres'!$J:$J,MATCH($C4798,'Paramètres'!$D:$D,0)))),2))</f>
        <v/>
      </c>
      <c r="L4798" s="6" t="str">
        <f>IF($D4798="","",IF($F4798&lt;&gt;"",$F4798,IF(ISNA(MATCH($D4798,'Paramètres'!$M:$M,0)),"⚠ Type inconnu",IFERROR(INDEX('Paramètres'!$P:$P,MATCH($D4798,'Paramètres'!$M:$M,0))&amp;"",""))))</f>
        <v/>
      </c>
      <c r="M4798" s="6" t="str">
        <f>IF($D4798="","",IF(ISNA(MATCH($D4798,'Paramètres'!$M:$M,0)),"⚠ Type inconnu",IF($L4798="Crédit","",IFERROR(INDEX('Paramètres'!$O:$O,MATCH($D4798,'Paramètres'!$M:$M,0))&amp;"",""))))</f>
        <v/>
      </c>
      <c r="N4798" s="6" t="str">
        <f>IF($D4798="","",IFERROR(INDEX('Paramètres'!$Q:$Q,MATCH($D4798,'Paramètres'!$M:$M,0))&amp;"",""))</f>
        <v/>
      </c>
      <c r="O4798" s="6" t="str">
        <f>IF($A4798="","",IF(OR($J4798&lt;&gt;"x",$A4798&lt;=FinReleve),1,0))</f>
        <v/>
      </c>
      <c r="P4798" s="6" t="str">
        <f>IF($D4798="","",IF(AND($L4798="Crédit",OR(IFERROR(INDEX('Paramètres'!$O:$O,MATCH($D4798,'Paramètres'!$M:$M,0))&amp;"","")&lt;&gt;"",ISNUMBER(SEARCH("remboursement",IFERROR(INDEX('Paramètres'!$N:$N,MATCH($D4798,'Paramètres'!$M:$M,0))&amp;"",""))))),1,0))</f>
        <v/>
      </c>
      <c r="Q4798" s="6" t="str">
        <f>IF($K4798="","",IF(ISNUMBER(SEARCH("transfert-interne",IFERROR(INDEX('Paramètres'!$N:$N,MATCH($D4798,'Paramètres'!$M:$M,0))&amp;"",""))),0,IF($L4798="Débit",$K4798,IF($P4798=1,-$K4798,0))))</f>
        <v/>
      </c>
      <c r="R4798" s="6" t="str">
        <f>IF($K4798="","",IF($L4798="Crédit",$K4798,-$K4798))</f>
        <v/>
      </c>
      <c r="S4798" s="6" t="str">
        <f>IF($C4798="","",IFERROR(INDEX('Paramètres'!$H:$H,MATCH($C4798,'Paramètres'!$D:$D,0))&amp;"",""))</f>
        <v/>
      </c>
      <c r="T4798" s="6" t="str">
        <f>IF($K4798="","",IF($S4798="",0,IF(ISNUMBER(SEARCH("apport-exterieur",IFERROR(INDEX('Paramètres'!$N:$N,MATCH($D4798,'Paramètres'!$M:$M,0))&amp;"",""))),0,IF(OR(IFERROR(INDEX('Paramètres'!$I:$I,MATCH($C4798,'Paramètres'!$D:$D,0))&amp;"","")="Les deux",IFERROR(INDEX('Paramètres'!$I:$I,MATCH($C4798,'Paramètres'!$D:$D,0))&amp;"","")=IF($P4798=1,"Débit",$L4798)),-IF($P4798=1,-$K4798,$K4798),0))))</f>
        <v/>
      </c>
      <c r="U4798" s="6" t="str">
        <f>IF($K4798="","",IF(ISNUMBER(SEARCH("sortie-epargne",IFERROR(INDEX('Paramètres'!$N:$N,MATCH($D4798,'Paramètres'!$M:$M,0))&amp;"",""))),$K4798,0))</f>
        <v/>
      </c>
      <c r="V4798" s="6" t="str">
        <f>IF(AND($A4798&lt;&gt;"",$O4798=1,$L4798="Débit",N($Q4798)&gt;0,$A4798&gt;=Visualisation!$B$1,$A4798&lt;Visualisation!$D$1),MAX($V$1:V4797)+1,"")</f>
        <v/>
      </c>
    </row>
    <row r="4799" spans="1:22" x14ac:dyDescent="0.25">
      <c r="A4799" s="9"/>
      <c r="E4799" s="10"/>
      <c r="K4799" s="11" t="str">
        <f>IF($E4799="","",ROUND($E4799*IF(ISNA(MATCH($C4799,'Paramètres'!$D:$D,0)),1,IF(INDEX('Paramètres'!$J:$J,MATCH($C4799,'Paramètres'!$D:$D,0))="",1,INDEX('Paramètres'!$J:$J,MATCH($C4799,'Paramètres'!$D:$D,0)))),2))</f>
        <v/>
      </c>
      <c r="L4799" s="6" t="str">
        <f>IF($D4799="","",IF($F4799&lt;&gt;"",$F4799,IF(ISNA(MATCH($D4799,'Paramètres'!$M:$M,0)),"⚠ Type inconnu",IFERROR(INDEX('Paramètres'!$P:$P,MATCH($D4799,'Paramètres'!$M:$M,0))&amp;"",""))))</f>
        <v/>
      </c>
      <c r="M4799" s="6" t="str">
        <f>IF($D4799="","",IF(ISNA(MATCH($D4799,'Paramètres'!$M:$M,0)),"⚠ Type inconnu",IF($L4799="Crédit","",IFERROR(INDEX('Paramètres'!$O:$O,MATCH($D4799,'Paramètres'!$M:$M,0))&amp;"",""))))</f>
        <v/>
      </c>
      <c r="N4799" s="6" t="str">
        <f>IF($D4799="","",IFERROR(INDEX('Paramètres'!$Q:$Q,MATCH($D4799,'Paramètres'!$M:$M,0))&amp;"",""))</f>
        <v/>
      </c>
      <c r="O4799" s="6" t="str">
        <f>IF($A4799="","",IF(OR($J4799&lt;&gt;"x",$A4799&lt;=FinReleve),1,0))</f>
        <v/>
      </c>
      <c r="P4799" s="6" t="str">
        <f>IF($D4799="","",IF(AND($L4799="Crédit",OR(IFERROR(INDEX('Paramètres'!$O:$O,MATCH($D4799,'Paramètres'!$M:$M,0))&amp;"","")&lt;&gt;"",ISNUMBER(SEARCH("remboursement",IFERROR(INDEX('Paramètres'!$N:$N,MATCH($D4799,'Paramètres'!$M:$M,0))&amp;"",""))))),1,0))</f>
        <v/>
      </c>
      <c r="Q4799" s="6" t="str">
        <f>IF($K4799="","",IF(ISNUMBER(SEARCH("transfert-interne",IFERROR(INDEX('Paramètres'!$N:$N,MATCH($D4799,'Paramètres'!$M:$M,0))&amp;"",""))),0,IF($L4799="Débit",$K4799,IF($P4799=1,-$K4799,0))))</f>
        <v/>
      </c>
      <c r="R4799" s="6" t="str">
        <f>IF($K4799="","",IF($L4799="Crédit",$K4799,-$K4799))</f>
        <v/>
      </c>
      <c r="S4799" s="6" t="str">
        <f>IF($C4799="","",IFERROR(INDEX('Paramètres'!$H:$H,MATCH($C4799,'Paramètres'!$D:$D,0))&amp;"",""))</f>
        <v/>
      </c>
      <c r="T4799" s="6" t="str">
        <f>IF($K4799="","",IF($S4799="",0,IF(ISNUMBER(SEARCH("apport-exterieur",IFERROR(INDEX('Paramètres'!$N:$N,MATCH($D4799,'Paramètres'!$M:$M,0))&amp;"",""))),0,IF(OR(IFERROR(INDEX('Paramètres'!$I:$I,MATCH($C4799,'Paramètres'!$D:$D,0))&amp;"","")="Les deux",IFERROR(INDEX('Paramètres'!$I:$I,MATCH($C4799,'Paramètres'!$D:$D,0))&amp;"","")=IF($P4799=1,"Débit",$L4799)),-IF($P4799=1,-$K4799,$K4799),0))))</f>
        <v/>
      </c>
      <c r="U4799" s="6" t="str">
        <f>IF($K4799="","",IF(ISNUMBER(SEARCH("sortie-epargne",IFERROR(INDEX('Paramètres'!$N:$N,MATCH($D4799,'Paramètres'!$M:$M,0))&amp;"",""))),$K4799,0))</f>
        <v/>
      </c>
      <c r="V4799" s="6" t="str">
        <f>IF(AND($A4799&lt;&gt;"",$O4799=1,$L4799="Débit",N($Q4799)&gt;0,$A4799&gt;=Visualisation!$B$1,$A4799&lt;Visualisation!$D$1),MAX($V$1:V4798)+1,"")</f>
        <v/>
      </c>
    </row>
    <row r="4800" spans="1:22" x14ac:dyDescent="0.25">
      <c r="A4800" s="9"/>
      <c r="E4800" s="10"/>
      <c r="K4800" s="11" t="str">
        <f>IF($E4800="","",ROUND($E4800*IF(ISNA(MATCH($C4800,'Paramètres'!$D:$D,0)),1,IF(INDEX('Paramètres'!$J:$J,MATCH($C4800,'Paramètres'!$D:$D,0))="",1,INDEX('Paramètres'!$J:$J,MATCH($C4800,'Paramètres'!$D:$D,0)))),2))</f>
        <v/>
      </c>
      <c r="L4800" s="6" t="str">
        <f>IF($D4800="","",IF($F4800&lt;&gt;"",$F4800,IF(ISNA(MATCH($D4800,'Paramètres'!$M:$M,0)),"⚠ Type inconnu",IFERROR(INDEX('Paramètres'!$P:$P,MATCH($D4800,'Paramètres'!$M:$M,0))&amp;"",""))))</f>
        <v/>
      </c>
      <c r="M4800" s="6" t="str">
        <f>IF($D4800="","",IF(ISNA(MATCH($D4800,'Paramètres'!$M:$M,0)),"⚠ Type inconnu",IF($L4800="Crédit","",IFERROR(INDEX('Paramètres'!$O:$O,MATCH($D4800,'Paramètres'!$M:$M,0))&amp;"",""))))</f>
        <v/>
      </c>
      <c r="N4800" s="6" t="str">
        <f>IF($D4800="","",IFERROR(INDEX('Paramètres'!$Q:$Q,MATCH($D4800,'Paramètres'!$M:$M,0))&amp;"",""))</f>
        <v/>
      </c>
      <c r="O4800" s="6" t="str">
        <f>IF($A4800="","",IF(OR($J4800&lt;&gt;"x",$A4800&lt;=FinReleve),1,0))</f>
        <v/>
      </c>
      <c r="P4800" s="6" t="str">
        <f>IF($D4800="","",IF(AND($L4800="Crédit",OR(IFERROR(INDEX('Paramètres'!$O:$O,MATCH($D4800,'Paramètres'!$M:$M,0))&amp;"","")&lt;&gt;"",ISNUMBER(SEARCH("remboursement",IFERROR(INDEX('Paramètres'!$N:$N,MATCH($D4800,'Paramètres'!$M:$M,0))&amp;"",""))))),1,0))</f>
        <v/>
      </c>
      <c r="Q4800" s="6" t="str">
        <f>IF($K4800="","",IF(ISNUMBER(SEARCH("transfert-interne",IFERROR(INDEX('Paramètres'!$N:$N,MATCH($D4800,'Paramètres'!$M:$M,0))&amp;"",""))),0,IF($L4800="Débit",$K4800,IF($P4800=1,-$K4800,0))))</f>
        <v/>
      </c>
      <c r="R4800" s="6" t="str">
        <f>IF($K4800="","",IF($L4800="Crédit",$K4800,-$K4800))</f>
        <v/>
      </c>
      <c r="S4800" s="6" t="str">
        <f>IF($C4800="","",IFERROR(INDEX('Paramètres'!$H:$H,MATCH($C4800,'Paramètres'!$D:$D,0))&amp;"",""))</f>
        <v/>
      </c>
      <c r="T4800" s="6" t="str">
        <f>IF($K4800="","",IF($S4800="",0,IF(ISNUMBER(SEARCH("apport-exterieur",IFERROR(INDEX('Paramètres'!$N:$N,MATCH($D4800,'Paramètres'!$M:$M,0))&amp;"",""))),0,IF(OR(IFERROR(INDEX('Paramètres'!$I:$I,MATCH($C4800,'Paramètres'!$D:$D,0))&amp;"","")="Les deux",IFERROR(INDEX('Paramètres'!$I:$I,MATCH($C4800,'Paramètres'!$D:$D,0))&amp;"","")=IF($P4800=1,"Débit",$L4800)),-IF($P4800=1,-$K4800,$K4800),0))))</f>
        <v/>
      </c>
      <c r="U4800" s="6" t="str">
        <f>IF($K4800="","",IF(ISNUMBER(SEARCH("sortie-epargne",IFERROR(INDEX('Paramètres'!$N:$N,MATCH($D4800,'Paramètres'!$M:$M,0))&amp;"",""))),$K4800,0))</f>
        <v/>
      </c>
      <c r="V4800" s="6" t="str">
        <f>IF(AND($A4800&lt;&gt;"",$O4800=1,$L4800="Débit",N($Q4800)&gt;0,$A4800&gt;=Visualisation!$B$1,$A4800&lt;Visualisation!$D$1),MAX($V$1:V4799)+1,"")</f>
        <v/>
      </c>
    </row>
    <row r="4801" spans="1:22" x14ac:dyDescent="0.25">
      <c r="A4801" s="9"/>
      <c r="E4801" s="10"/>
      <c r="K4801" s="11" t="str">
        <f>IF($E4801="","",ROUND($E4801*IF(ISNA(MATCH($C4801,'Paramètres'!$D:$D,0)),1,IF(INDEX('Paramètres'!$J:$J,MATCH($C4801,'Paramètres'!$D:$D,0))="",1,INDEX('Paramètres'!$J:$J,MATCH($C4801,'Paramètres'!$D:$D,0)))),2))</f>
        <v/>
      </c>
      <c r="L4801" s="6" t="str">
        <f>IF($D4801="","",IF($F4801&lt;&gt;"",$F4801,IF(ISNA(MATCH($D4801,'Paramètres'!$M:$M,0)),"⚠ Type inconnu",IFERROR(INDEX('Paramètres'!$P:$P,MATCH($D4801,'Paramètres'!$M:$M,0))&amp;"",""))))</f>
        <v/>
      </c>
      <c r="M4801" s="6" t="str">
        <f>IF($D4801="","",IF(ISNA(MATCH($D4801,'Paramètres'!$M:$M,0)),"⚠ Type inconnu",IF($L4801="Crédit","",IFERROR(INDEX('Paramètres'!$O:$O,MATCH($D4801,'Paramètres'!$M:$M,0))&amp;"",""))))</f>
        <v/>
      </c>
      <c r="N4801" s="6" t="str">
        <f>IF($D4801="","",IFERROR(INDEX('Paramètres'!$Q:$Q,MATCH($D4801,'Paramètres'!$M:$M,0))&amp;"",""))</f>
        <v/>
      </c>
      <c r="O4801" s="6" t="str">
        <f>IF($A4801="","",IF(OR($J4801&lt;&gt;"x",$A4801&lt;=FinReleve),1,0))</f>
        <v/>
      </c>
      <c r="P4801" s="6" t="str">
        <f>IF($D4801="","",IF(AND($L4801="Crédit",OR(IFERROR(INDEX('Paramètres'!$O:$O,MATCH($D4801,'Paramètres'!$M:$M,0))&amp;"","")&lt;&gt;"",ISNUMBER(SEARCH("remboursement",IFERROR(INDEX('Paramètres'!$N:$N,MATCH($D4801,'Paramètres'!$M:$M,0))&amp;"",""))))),1,0))</f>
        <v/>
      </c>
      <c r="Q4801" s="6" t="str">
        <f>IF($K4801="","",IF(ISNUMBER(SEARCH("transfert-interne",IFERROR(INDEX('Paramètres'!$N:$N,MATCH($D4801,'Paramètres'!$M:$M,0))&amp;"",""))),0,IF($L4801="Débit",$K4801,IF($P4801=1,-$K4801,0))))</f>
        <v/>
      </c>
      <c r="R4801" s="6" t="str">
        <f>IF($K4801="","",IF($L4801="Crédit",$K4801,-$K4801))</f>
        <v/>
      </c>
      <c r="S4801" s="6" t="str">
        <f>IF($C4801="","",IFERROR(INDEX('Paramètres'!$H:$H,MATCH($C4801,'Paramètres'!$D:$D,0))&amp;"",""))</f>
        <v/>
      </c>
      <c r="T4801" s="6" t="str">
        <f>IF($K4801="","",IF($S4801="",0,IF(ISNUMBER(SEARCH("apport-exterieur",IFERROR(INDEX('Paramètres'!$N:$N,MATCH($D4801,'Paramètres'!$M:$M,0))&amp;"",""))),0,IF(OR(IFERROR(INDEX('Paramètres'!$I:$I,MATCH($C4801,'Paramètres'!$D:$D,0))&amp;"","")="Les deux",IFERROR(INDEX('Paramètres'!$I:$I,MATCH($C4801,'Paramètres'!$D:$D,0))&amp;"","")=IF($P4801=1,"Débit",$L4801)),-IF($P4801=1,-$K4801,$K4801),0))))</f>
        <v/>
      </c>
      <c r="U4801" s="6" t="str">
        <f>IF($K4801="","",IF(ISNUMBER(SEARCH("sortie-epargne",IFERROR(INDEX('Paramètres'!$N:$N,MATCH($D4801,'Paramètres'!$M:$M,0))&amp;"",""))),$K4801,0))</f>
        <v/>
      </c>
      <c r="V4801" s="6" t="str">
        <f>IF(AND($A4801&lt;&gt;"",$O4801=1,$L4801="Débit",N($Q4801)&gt;0,$A4801&gt;=Visualisation!$B$1,$A4801&lt;Visualisation!$D$1),MAX($V$1:V4800)+1,"")</f>
        <v/>
      </c>
    </row>
    <row r="4802" spans="1:22" x14ac:dyDescent="0.25">
      <c r="A4802" s="9"/>
      <c r="E4802" s="10"/>
      <c r="K4802" s="11" t="str">
        <f>IF($E4802="","",ROUND($E4802*IF(ISNA(MATCH($C4802,'Paramètres'!$D:$D,0)),1,IF(INDEX('Paramètres'!$J:$J,MATCH($C4802,'Paramètres'!$D:$D,0))="",1,INDEX('Paramètres'!$J:$J,MATCH($C4802,'Paramètres'!$D:$D,0)))),2))</f>
        <v/>
      </c>
      <c r="L4802" s="6" t="str">
        <f>IF($D4802="","",IF($F4802&lt;&gt;"",$F4802,IF(ISNA(MATCH($D4802,'Paramètres'!$M:$M,0)),"⚠ Type inconnu",IFERROR(INDEX('Paramètres'!$P:$P,MATCH($D4802,'Paramètres'!$M:$M,0))&amp;"",""))))</f>
        <v/>
      </c>
      <c r="M4802" s="6" t="str">
        <f>IF($D4802="","",IF(ISNA(MATCH($D4802,'Paramètres'!$M:$M,0)),"⚠ Type inconnu",IF($L4802="Crédit","",IFERROR(INDEX('Paramètres'!$O:$O,MATCH($D4802,'Paramètres'!$M:$M,0))&amp;"",""))))</f>
        <v/>
      </c>
      <c r="N4802" s="6" t="str">
        <f>IF($D4802="","",IFERROR(INDEX('Paramètres'!$Q:$Q,MATCH($D4802,'Paramètres'!$M:$M,0))&amp;"",""))</f>
        <v/>
      </c>
      <c r="O4802" s="6" t="str">
        <f>IF($A4802="","",IF(OR($J4802&lt;&gt;"x",$A4802&lt;=FinReleve),1,0))</f>
        <v/>
      </c>
      <c r="P4802" s="6" t="str">
        <f>IF($D4802="","",IF(AND($L4802="Crédit",OR(IFERROR(INDEX('Paramètres'!$O:$O,MATCH($D4802,'Paramètres'!$M:$M,0))&amp;"","")&lt;&gt;"",ISNUMBER(SEARCH("remboursement",IFERROR(INDEX('Paramètres'!$N:$N,MATCH($D4802,'Paramètres'!$M:$M,0))&amp;"",""))))),1,0))</f>
        <v/>
      </c>
      <c r="Q4802" s="6" t="str">
        <f>IF($K4802="","",IF(ISNUMBER(SEARCH("transfert-interne",IFERROR(INDEX('Paramètres'!$N:$N,MATCH($D4802,'Paramètres'!$M:$M,0))&amp;"",""))),0,IF($L4802="Débit",$K4802,IF($P4802=1,-$K4802,0))))</f>
        <v/>
      </c>
      <c r="R4802" s="6" t="str">
        <f>IF($K4802="","",IF($L4802="Crédit",$K4802,-$K4802))</f>
        <v/>
      </c>
      <c r="S4802" s="6" t="str">
        <f>IF($C4802="","",IFERROR(INDEX('Paramètres'!$H:$H,MATCH($C4802,'Paramètres'!$D:$D,0))&amp;"",""))</f>
        <v/>
      </c>
      <c r="T4802" s="6" t="str">
        <f>IF($K4802="","",IF($S4802="",0,IF(ISNUMBER(SEARCH("apport-exterieur",IFERROR(INDEX('Paramètres'!$N:$N,MATCH($D4802,'Paramètres'!$M:$M,0))&amp;"",""))),0,IF(OR(IFERROR(INDEX('Paramètres'!$I:$I,MATCH($C4802,'Paramètres'!$D:$D,0))&amp;"","")="Les deux",IFERROR(INDEX('Paramètres'!$I:$I,MATCH($C4802,'Paramètres'!$D:$D,0))&amp;"","")=IF($P4802=1,"Débit",$L4802)),-IF($P4802=1,-$K4802,$K4802),0))))</f>
        <v/>
      </c>
      <c r="U4802" s="6" t="str">
        <f>IF($K4802="","",IF(ISNUMBER(SEARCH("sortie-epargne",IFERROR(INDEX('Paramètres'!$N:$N,MATCH($D4802,'Paramètres'!$M:$M,0))&amp;"",""))),$K4802,0))</f>
        <v/>
      </c>
      <c r="V4802" s="6" t="str">
        <f>IF(AND($A4802&lt;&gt;"",$O4802=1,$L4802="Débit",N($Q4802)&gt;0,$A4802&gt;=Visualisation!$B$1,$A4802&lt;Visualisation!$D$1),MAX($V$1:V4801)+1,"")</f>
        <v/>
      </c>
    </row>
    <row r="4803" spans="1:22" x14ac:dyDescent="0.25">
      <c r="A4803" s="9"/>
      <c r="E4803" s="10"/>
      <c r="K4803" s="11" t="str">
        <f>IF($E4803="","",ROUND($E4803*IF(ISNA(MATCH($C4803,'Paramètres'!$D:$D,0)),1,IF(INDEX('Paramètres'!$J:$J,MATCH($C4803,'Paramètres'!$D:$D,0))="",1,INDEX('Paramètres'!$J:$J,MATCH($C4803,'Paramètres'!$D:$D,0)))),2))</f>
        <v/>
      </c>
      <c r="L4803" s="6" t="str">
        <f>IF($D4803="","",IF($F4803&lt;&gt;"",$F4803,IF(ISNA(MATCH($D4803,'Paramètres'!$M:$M,0)),"⚠ Type inconnu",IFERROR(INDEX('Paramètres'!$P:$P,MATCH($D4803,'Paramètres'!$M:$M,0))&amp;"",""))))</f>
        <v/>
      </c>
      <c r="M4803" s="6" t="str">
        <f>IF($D4803="","",IF(ISNA(MATCH($D4803,'Paramètres'!$M:$M,0)),"⚠ Type inconnu",IF($L4803="Crédit","",IFERROR(INDEX('Paramètres'!$O:$O,MATCH($D4803,'Paramètres'!$M:$M,0))&amp;"",""))))</f>
        <v/>
      </c>
      <c r="N4803" s="6" t="str">
        <f>IF($D4803="","",IFERROR(INDEX('Paramètres'!$Q:$Q,MATCH($D4803,'Paramètres'!$M:$M,0))&amp;"",""))</f>
        <v/>
      </c>
      <c r="O4803" s="6" t="str">
        <f>IF($A4803="","",IF(OR($J4803&lt;&gt;"x",$A4803&lt;=FinReleve),1,0))</f>
        <v/>
      </c>
      <c r="P4803" s="6" t="str">
        <f>IF($D4803="","",IF(AND($L4803="Crédit",OR(IFERROR(INDEX('Paramètres'!$O:$O,MATCH($D4803,'Paramètres'!$M:$M,0))&amp;"","")&lt;&gt;"",ISNUMBER(SEARCH("remboursement",IFERROR(INDEX('Paramètres'!$N:$N,MATCH($D4803,'Paramètres'!$M:$M,0))&amp;"",""))))),1,0))</f>
        <v/>
      </c>
      <c r="Q4803" s="6" t="str">
        <f>IF($K4803="","",IF(ISNUMBER(SEARCH("transfert-interne",IFERROR(INDEX('Paramètres'!$N:$N,MATCH($D4803,'Paramètres'!$M:$M,0))&amp;"",""))),0,IF($L4803="Débit",$K4803,IF($P4803=1,-$K4803,0))))</f>
        <v/>
      </c>
      <c r="R4803" s="6" t="str">
        <f>IF($K4803="","",IF($L4803="Crédit",$K4803,-$K4803))</f>
        <v/>
      </c>
      <c r="S4803" s="6" t="str">
        <f>IF($C4803="","",IFERROR(INDEX('Paramètres'!$H:$H,MATCH($C4803,'Paramètres'!$D:$D,0))&amp;"",""))</f>
        <v/>
      </c>
      <c r="T4803" s="6" t="str">
        <f>IF($K4803="","",IF($S4803="",0,IF(ISNUMBER(SEARCH("apport-exterieur",IFERROR(INDEX('Paramètres'!$N:$N,MATCH($D4803,'Paramètres'!$M:$M,0))&amp;"",""))),0,IF(OR(IFERROR(INDEX('Paramètres'!$I:$I,MATCH($C4803,'Paramètres'!$D:$D,0))&amp;"","")="Les deux",IFERROR(INDEX('Paramètres'!$I:$I,MATCH($C4803,'Paramètres'!$D:$D,0))&amp;"","")=IF($P4803=1,"Débit",$L4803)),-IF($P4803=1,-$K4803,$K4803),0))))</f>
        <v/>
      </c>
      <c r="U4803" s="6" t="str">
        <f>IF($K4803="","",IF(ISNUMBER(SEARCH("sortie-epargne",IFERROR(INDEX('Paramètres'!$N:$N,MATCH($D4803,'Paramètres'!$M:$M,0))&amp;"",""))),$K4803,0))</f>
        <v/>
      </c>
      <c r="V4803" s="6" t="str">
        <f>IF(AND($A4803&lt;&gt;"",$O4803=1,$L4803="Débit",N($Q4803)&gt;0,$A4803&gt;=Visualisation!$B$1,$A4803&lt;Visualisation!$D$1),MAX($V$1:V4802)+1,"")</f>
        <v/>
      </c>
    </row>
    <row r="4804" spans="1:22" x14ac:dyDescent="0.25">
      <c r="A4804" s="9"/>
      <c r="E4804" s="10"/>
      <c r="K4804" s="11" t="str">
        <f>IF($E4804="","",ROUND($E4804*IF(ISNA(MATCH($C4804,'Paramètres'!$D:$D,0)),1,IF(INDEX('Paramètres'!$J:$J,MATCH($C4804,'Paramètres'!$D:$D,0))="",1,INDEX('Paramètres'!$J:$J,MATCH($C4804,'Paramètres'!$D:$D,0)))),2))</f>
        <v/>
      </c>
      <c r="L4804" s="6" t="str">
        <f>IF($D4804="","",IF($F4804&lt;&gt;"",$F4804,IF(ISNA(MATCH($D4804,'Paramètres'!$M:$M,0)),"⚠ Type inconnu",IFERROR(INDEX('Paramètres'!$P:$P,MATCH($D4804,'Paramètres'!$M:$M,0))&amp;"",""))))</f>
        <v/>
      </c>
      <c r="M4804" s="6" t="str">
        <f>IF($D4804="","",IF(ISNA(MATCH($D4804,'Paramètres'!$M:$M,0)),"⚠ Type inconnu",IF($L4804="Crédit","",IFERROR(INDEX('Paramètres'!$O:$O,MATCH($D4804,'Paramètres'!$M:$M,0))&amp;"",""))))</f>
        <v/>
      </c>
      <c r="N4804" s="6" t="str">
        <f>IF($D4804="","",IFERROR(INDEX('Paramètres'!$Q:$Q,MATCH($D4804,'Paramètres'!$M:$M,0))&amp;"",""))</f>
        <v/>
      </c>
      <c r="O4804" s="6" t="str">
        <f>IF($A4804="","",IF(OR($J4804&lt;&gt;"x",$A4804&lt;=FinReleve),1,0))</f>
        <v/>
      </c>
      <c r="P4804" s="6" t="str">
        <f>IF($D4804="","",IF(AND($L4804="Crédit",OR(IFERROR(INDEX('Paramètres'!$O:$O,MATCH($D4804,'Paramètres'!$M:$M,0))&amp;"","")&lt;&gt;"",ISNUMBER(SEARCH("remboursement",IFERROR(INDEX('Paramètres'!$N:$N,MATCH($D4804,'Paramètres'!$M:$M,0))&amp;"",""))))),1,0))</f>
        <v/>
      </c>
      <c r="Q4804" s="6" t="str">
        <f>IF($K4804="","",IF(ISNUMBER(SEARCH("transfert-interne",IFERROR(INDEX('Paramètres'!$N:$N,MATCH($D4804,'Paramètres'!$M:$M,0))&amp;"",""))),0,IF($L4804="Débit",$K4804,IF($P4804=1,-$K4804,0))))</f>
        <v/>
      </c>
      <c r="R4804" s="6" t="str">
        <f>IF($K4804="","",IF($L4804="Crédit",$K4804,-$K4804))</f>
        <v/>
      </c>
      <c r="S4804" s="6" t="str">
        <f>IF($C4804="","",IFERROR(INDEX('Paramètres'!$H:$H,MATCH($C4804,'Paramètres'!$D:$D,0))&amp;"",""))</f>
        <v/>
      </c>
      <c r="T4804" s="6" t="str">
        <f>IF($K4804="","",IF($S4804="",0,IF(ISNUMBER(SEARCH("apport-exterieur",IFERROR(INDEX('Paramètres'!$N:$N,MATCH($D4804,'Paramètres'!$M:$M,0))&amp;"",""))),0,IF(OR(IFERROR(INDEX('Paramètres'!$I:$I,MATCH($C4804,'Paramètres'!$D:$D,0))&amp;"","")="Les deux",IFERROR(INDEX('Paramètres'!$I:$I,MATCH($C4804,'Paramètres'!$D:$D,0))&amp;"","")=IF($P4804=1,"Débit",$L4804)),-IF($P4804=1,-$K4804,$K4804),0))))</f>
        <v/>
      </c>
      <c r="U4804" s="6" t="str">
        <f>IF($K4804="","",IF(ISNUMBER(SEARCH("sortie-epargne",IFERROR(INDEX('Paramètres'!$N:$N,MATCH($D4804,'Paramètres'!$M:$M,0))&amp;"",""))),$K4804,0))</f>
        <v/>
      </c>
      <c r="V4804" s="6" t="str">
        <f>IF(AND($A4804&lt;&gt;"",$O4804=1,$L4804="Débit",N($Q4804)&gt;0,$A4804&gt;=Visualisation!$B$1,$A4804&lt;Visualisation!$D$1),MAX($V$1:V4803)+1,"")</f>
        <v/>
      </c>
    </row>
    <row r="4805" spans="1:22" x14ac:dyDescent="0.25">
      <c r="A4805" s="9"/>
      <c r="E4805" s="10"/>
      <c r="K4805" s="11" t="str">
        <f>IF($E4805="","",ROUND($E4805*IF(ISNA(MATCH($C4805,'Paramètres'!$D:$D,0)),1,IF(INDEX('Paramètres'!$J:$J,MATCH($C4805,'Paramètres'!$D:$D,0))="",1,INDEX('Paramètres'!$J:$J,MATCH($C4805,'Paramètres'!$D:$D,0)))),2))</f>
        <v/>
      </c>
      <c r="L4805" s="6" t="str">
        <f>IF($D4805="","",IF($F4805&lt;&gt;"",$F4805,IF(ISNA(MATCH($D4805,'Paramètres'!$M:$M,0)),"⚠ Type inconnu",IFERROR(INDEX('Paramètres'!$P:$P,MATCH($D4805,'Paramètres'!$M:$M,0))&amp;"",""))))</f>
        <v/>
      </c>
      <c r="M4805" s="6" t="str">
        <f>IF($D4805="","",IF(ISNA(MATCH($D4805,'Paramètres'!$M:$M,0)),"⚠ Type inconnu",IF($L4805="Crédit","",IFERROR(INDEX('Paramètres'!$O:$O,MATCH($D4805,'Paramètres'!$M:$M,0))&amp;"",""))))</f>
        <v/>
      </c>
      <c r="N4805" s="6" t="str">
        <f>IF($D4805="","",IFERROR(INDEX('Paramètres'!$Q:$Q,MATCH($D4805,'Paramètres'!$M:$M,0))&amp;"",""))</f>
        <v/>
      </c>
      <c r="O4805" s="6" t="str">
        <f>IF($A4805="","",IF(OR($J4805&lt;&gt;"x",$A4805&lt;=FinReleve),1,0))</f>
        <v/>
      </c>
      <c r="P4805" s="6" t="str">
        <f>IF($D4805="","",IF(AND($L4805="Crédit",OR(IFERROR(INDEX('Paramètres'!$O:$O,MATCH($D4805,'Paramètres'!$M:$M,0))&amp;"","")&lt;&gt;"",ISNUMBER(SEARCH("remboursement",IFERROR(INDEX('Paramètres'!$N:$N,MATCH($D4805,'Paramètres'!$M:$M,0))&amp;"",""))))),1,0))</f>
        <v/>
      </c>
      <c r="Q4805" s="6" t="str">
        <f>IF($K4805="","",IF(ISNUMBER(SEARCH("transfert-interne",IFERROR(INDEX('Paramètres'!$N:$N,MATCH($D4805,'Paramètres'!$M:$M,0))&amp;"",""))),0,IF($L4805="Débit",$K4805,IF($P4805=1,-$K4805,0))))</f>
        <v/>
      </c>
      <c r="R4805" s="6" t="str">
        <f>IF($K4805="","",IF($L4805="Crédit",$K4805,-$K4805))</f>
        <v/>
      </c>
      <c r="S4805" s="6" t="str">
        <f>IF($C4805="","",IFERROR(INDEX('Paramètres'!$H:$H,MATCH($C4805,'Paramètres'!$D:$D,0))&amp;"",""))</f>
        <v/>
      </c>
      <c r="T4805" s="6" t="str">
        <f>IF($K4805="","",IF($S4805="",0,IF(ISNUMBER(SEARCH("apport-exterieur",IFERROR(INDEX('Paramètres'!$N:$N,MATCH($D4805,'Paramètres'!$M:$M,0))&amp;"",""))),0,IF(OR(IFERROR(INDEX('Paramètres'!$I:$I,MATCH($C4805,'Paramètres'!$D:$D,0))&amp;"","")="Les deux",IFERROR(INDEX('Paramètres'!$I:$I,MATCH($C4805,'Paramètres'!$D:$D,0))&amp;"","")=IF($P4805=1,"Débit",$L4805)),-IF($P4805=1,-$K4805,$K4805),0))))</f>
        <v/>
      </c>
      <c r="U4805" s="6" t="str">
        <f>IF($K4805="","",IF(ISNUMBER(SEARCH("sortie-epargne",IFERROR(INDEX('Paramètres'!$N:$N,MATCH($D4805,'Paramètres'!$M:$M,0))&amp;"",""))),$K4805,0))</f>
        <v/>
      </c>
      <c r="V4805" s="6" t="str">
        <f>IF(AND($A4805&lt;&gt;"",$O4805=1,$L4805="Débit",N($Q4805)&gt;0,$A4805&gt;=Visualisation!$B$1,$A4805&lt;Visualisation!$D$1),MAX($V$1:V4804)+1,"")</f>
        <v/>
      </c>
    </row>
    <row r="4806" spans="1:22" x14ac:dyDescent="0.25">
      <c r="A4806" s="9"/>
      <c r="E4806" s="10"/>
      <c r="K4806" s="11" t="str">
        <f>IF($E4806="","",ROUND($E4806*IF(ISNA(MATCH($C4806,'Paramètres'!$D:$D,0)),1,IF(INDEX('Paramètres'!$J:$J,MATCH($C4806,'Paramètres'!$D:$D,0))="",1,INDEX('Paramètres'!$J:$J,MATCH($C4806,'Paramètres'!$D:$D,0)))),2))</f>
        <v/>
      </c>
      <c r="L4806" s="6" t="str">
        <f>IF($D4806="","",IF($F4806&lt;&gt;"",$F4806,IF(ISNA(MATCH($D4806,'Paramètres'!$M:$M,0)),"⚠ Type inconnu",IFERROR(INDEX('Paramètres'!$P:$P,MATCH($D4806,'Paramètres'!$M:$M,0))&amp;"",""))))</f>
        <v/>
      </c>
      <c r="M4806" s="6" t="str">
        <f>IF($D4806="","",IF(ISNA(MATCH($D4806,'Paramètres'!$M:$M,0)),"⚠ Type inconnu",IF($L4806="Crédit","",IFERROR(INDEX('Paramètres'!$O:$O,MATCH($D4806,'Paramètres'!$M:$M,0))&amp;"",""))))</f>
        <v/>
      </c>
      <c r="N4806" s="6" t="str">
        <f>IF($D4806="","",IFERROR(INDEX('Paramètres'!$Q:$Q,MATCH($D4806,'Paramètres'!$M:$M,0))&amp;"",""))</f>
        <v/>
      </c>
      <c r="O4806" s="6" t="str">
        <f>IF($A4806="","",IF(OR($J4806&lt;&gt;"x",$A4806&lt;=FinReleve),1,0))</f>
        <v/>
      </c>
      <c r="P4806" s="6" t="str">
        <f>IF($D4806="","",IF(AND($L4806="Crédit",OR(IFERROR(INDEX('Paramètres'!$O:$O,MATCH($D4806,'Paramètres'!$M:$M,0))&amp;"","")&lt;&gt;"",ISNUMBER(SEARCH("remboursement",IFERROR(INDEX('Paramètres'!$N:$N,MATCH($D4806,'Paramètres'!$M:$M,0))&amp;"",""))))),1,0))</f>
        <v/>
      </c>
      <c r="Q4806" s="6" t="str">
        <f>IF($K4806="","",IF(ISNUMBER(SEARCH("transfert-interne",IFERROR(INDEX('Paramètres'!$N:$N,MATCH($D4806,'Paramètres'!$M:$M,0))&amp;"",""))),0,IF($L4806="Débit",$K4806,IF($P4806=1,-$K4806,0))))</f>
        <v/>
      </c>
      <c r="R4806" s="6" t="str">
        <f>IF($K4806="","",IF($L4806="Crédit",$K4806,-$K4806))</f>
        <v/>
      </c>
      <c r="S4806" s="6" t="str">
        <f>IF($C4806="","",IFERROR(INDEX('Paramètres'!$H:$H,MATCH($C4806,'Paramètres'!$D:$D,0))&amp;"",""))</f>
        <v/>
      </c>
      <c r="T4806" s="6" t="str">
        <f>IF($K4806="","",IF($S4806="",0,IF(ISNUMBER(SEARCH("apport-exterieur",IFERROR(INDEX('Paramètres'!$N:$N,MATCH($D4806,'Paramètres'!$M:$M,0))&amp;"",""))),0,IF(OR(IFERROR(INDEX('Paramètres'!$I:$I,MATCH($C4806,'Paramètres'!$D:$D,0))&amp;"","")="Les deux",IFERROR(INDEX('Paramètres'!$I:$I,MATCH($C4806,'Paramètres'!$D:$D,0))&amp;"","")=IF($P4806=1,"Débit",$L4806)),-IF($P4806=1,-$K4806,$K4806),0))))</f>
        <v/>
      </c>
      <c r="U4806" s="6" t="str">
        <f>IF($K4806="","",IF(ISNUMBER(SEARCH("sortie-epargne",IFERROR(INDEX('Paramètres'!$N:$N,MATCH($D4806,'Paramètres'!$M:$M,0))&amp;"",""))),$K4806,0))</f>
        <v/>
      </c>
      <c r="V4806" s="6" t="str">
        <f>IF(AND($A4806&lt;&gt;"",$O4806=1,$L4806="Débit",N($Q4806)&gt;0,$A4806&gt;=Visualisation!$B$1,$A4806&lt;Visualisation!$D$1),MAX($V$1:V4805)+1,"")</f>
        <v/>
      </c>
    </row>
    <row r="4807" spans="1:22" x14ac:dyDescent="0.25">
      <c r="A4807" s="9"/>
      <c r="E4807" s="10"/>
      <c r="K4807" s="11" t="str">
        <f>IF($E4807="","",ROUND($E4807*IF(ISNA(MATCH($C4807,'Paramètres'!$D:$D,0)),1,IF(INDEX('Paramètres'!$J:$J,MATCH($C4807,'Paramètres'!$D:$D,0))="",1,INDEX('Paramètres'!$J:$J,MATCH($C4807,'Paramètres'!$D:$D,0)))),2))</f>
        <v/>
      </c>
      <c r="L4807" s="6" t="str">
        <f>IF($D4807="","",IF($F4807&lt;&gt;"",$F4807,IF(ISNA(MATCH($D4807,'Paramètres'!$M:$M,0)),"⚠ Type inconnu",IFERROR(INDEX('Paramètres'!$P:$P,MATCH($D4807,'Paramètres'!$M:$M,0))&amp;"",""))))</f>
        <v/>
      </c>
      <c r="M4807" s="6" t="str">
        <f>IF($D4807="","",IF(ISNA(MATCH($D4807,'Paramètres'!$M:$M,0)),"⚠ Type inconnu",IF($L4807="Crédit","",IFERROR(INDEX('Paramètres'!$O:$O,MATCH($D4807,'Paramètres'!$M:$M,0))&amp;"",""))))</f>
        <v/>
      </c>
      <c r="N4807" s="6" t="str">
        <f>IF($D4807="","",IFERROR(INDEX('Paramètres'!$Q:$Q,MATCH($D4807,'Paramètres'!$M:$M,0))&amp;"",""))</f>
        <v/>
      </c>
      <c r="O4807" s="6" t="str">
        <f>IF($A4807="","",IF(OR($J4807&lt;&gt;"x",$A4807&lt;=FinReleve),1,0))</f>
        <v/>
      </c>
      <c r="P4807" s="6" t="str">
        <f>IF($D4807="","",IF(AND($L4807="Crédit",OR(IFERROR(INDEX('Paramètres'!$O:$O,MATCH($D4807,'Paramètres'!$M:$M,0))&amp;"","")&lt;&gt;"",ISNUMBER(SEARCH("remboursement",IFERROR(INDEX('Paramètres'!$N:$N,MATCH($D4807,'Paramètres'!$M:$M,0))&amp;"",""))))),1,0))</f>
        <v/>
      </c>
      <c r="Q4807" s="6" t="str">
        <f>IF($K4807="","",IF(ISNUMBER(SEARCH("transfert-interne",IFERROR(INDEX('Paramètres'!$N:$N,MATCH($D4807,'Paramètres'!$M:$M,0))&amp;"",""))),0,IF($L4807="Débit",$K4807,IF($P4807=1,-$K4807,0))))</f>
        <v/>
      </c>
      <c r="R4807" s="6" t="str">
        <f>IF($K4807="","",IF($L4807="Crédit",$K4807,-$K4807))</f>
        <v/>
      </c>
      <c r="S4807" s="6" t="str">
        <f>IF($C4807="","",IFERROR(INDEX('Paramètres'!$H:$H,MATCH($C4807,'Paramètres'!$D:$D,0))&amp;"",""))</f>
        <v/>
      </c>
      <c r="T4807" s="6" t="str">
        <f>IF($K4807="","",IF($S4807="",0,IF(ISNUMBER(SEARCH("apport-exterieur",IFERROR(INDEX('Paramètres'!$N:$N,MATCH($D4807,'Paramètres'!$M:$M,0))&amp;"",""))),0,IF(OR(IFERROR(INDEX('Paramètres'!$I:$I,MATCH($C4807,'Paramètres'!$D:$D,0))&amp;"","")="Les deux",IFERROR(INDEX('Paramètres'!$I:$I,MATCH($C4807,'Paramètres'!$D:$D,0))&amp;"","")=IF($P4807=1,"Débit",$L4807)),-IF($P4807=1,-$K4807,$K4807),0))))</f>
        <v/>
      </c>
      <c r="U4807" s="6" t="str">
        <f>IF($K4807="","",IF(ISNUMBER(SEARCH("sortie-epargne",IFERROR(INDEX('Paramètres'!$N:$N,MATCH($D4807,'Paramètres'!$M:$M,0))&amp;"",""))),$K4807,0))</f>
        <v/>
      </c>
      <c r="V4807" s="6" t="str">
        <f>IF(AND($A4807&lt;&gt;"",$O4807=1,$L4807="Débit",N($Q4807)&gt;0,$A4807&gt;=Visualisation!$B$1,$A4807&lt;Visualisation!$D$1),MAX($V$1:V4806)+1,"")</f>
        <v/>
      </c>
    </row>
    <row r="4808" spans="1:22" x14ac:dyDescent="0.25">
      <c r="A4808" s="9"/>
      <c r="E4808" s="10"/>
      <c r="K4808" s="11" t="str">
        <f>IF($E4808="","",ROUND($E4808*IF(ISNA(MATCH($C4808,'Paramètres'!$D:$D,0)),1,IF(INDEX('Paramètres'!$J:$J,MATCH($C4808,'Paramètres'!$D:$D,0))="",1,INDEX('Paramètres'!$J:$J,MATCH($C4808,'Paramètres'!$D:$D,0)))),2))</f>
        <v/>
      </c>
      <c r="L4808" s="6" t="str">
        <f>IF($D4808="","",IF($F4808&lt;&gt;"",$F4808,IF(ISNA(MATCH($D4808,'Paramètres'!$M:$M,0)),"⚠ Type inconnu",IFERROR(INDEX('Paramètres'!$P:$P,MATCH($D4808,'Paramètres'!$M:$M,0))&amp;"",""))))</f>
        <v/>
      </c>
      <c r="M4808" s="6" t="str">
        <f>IF($D4808="","",IF(ISNA(MATCH($D4808,'Paramètres'!$M:$M,0)),"⚠ Type inconnu",IF($L4808="Crédit","",IFERROR(INDEX('Paramètres'!$O:$O,MATCH($D4808,'Paramètres'!$M:$M,0))&amp;"",""))))</f>
        <v/>
      </c>
      <c r="N4808" s="6" t="str">
        <f>IF($D4808="","",IFERROR(INDEX('Paramètres'!$Q:$Q,MATCH($D4808,'Paramètres'!$M:$M,0))&amp;"",""))</f>
        <v/>
      </c>
      <c r="O4808" s="6" t="str">
        <f>IF($A4808="","",IF(OR($J4808&lt;&gt;"x",$A4808&lt;=FinReleve),1,0))</f>
        <v/>
      </c>
      <c r="P4808" s="6" t="str">
        <f>IF($D4808="","",IF(AND($L4808="Crédit",OR(IFERROR(INDEX('Paramètres'!$O:$O,MATCH($D4808,'Paramètres'!$M:$M,0))&amp;"","")&lt;&gt;"",ISNUMBER(SEARCH("remboursement",IFERROR(INDEX('Paramètres'!$N:$N,MATCH($D4808,'Paramètres'!$M:$M,0))&amp;"",""))))),1,0))</f>
        <v/>
      </c>
      <c r="Q4808" s="6" t="str">
        <f>IF($K4808="","",IF(ISNUMBER(SEARCH("transfert-interne",IFERROR(INDEX('Paramètres'!$N:$N,MATCH($D4808,'Paramètres'!$M:$M,0))&amp;"",""))),0,IF($L4808="Débit",$K4808,IF($P4808=1,-$K4808,0))))</f>
        <v/>
      </c>
      <c r="R4808" s="6" t="str">
        <f>IF($K4808="","",IF($L4808="Crédit",$K4808,-$K4808))</f>
        <v/>
      </c>
      <c r="S4808" s="6" t="str">
        <f>IF($C4808="","",IFERROR(INDEX('Paramètres'!$H:$H,MATCH($C4808,'Paramètres'!$D:$D,0))&amp;"",""))</f>
        <v/>
      </c>
      <c r="T4808" s="6" t="str">
        <f>IF($K4808="","",IF($S4808="",0,IF(ISNUMBER(SEARCH("apport-exterieur",IFERROR(INDEX('Paramètres'!$N:$N,MATCH($D4808,'Paramètres'!$M:$M,0))&amp;"",""))),0,IF(OR(IFERROR(INDEX('Paramètres'!$I:$I,MATCH($C4808,'Paramètres'!$D:$D,0))&amp;"","")="Les deux",IFERROR(INDEX('Paramètres'!$I:$I,MATCH($C4808,'Paramètres'!$D:$D,0))&amp;"","")=IF($P4808=1,"Débit",$L4808)),-IF($P4808=1,-$K4808,$K4808),0))))</f>
        <v/>
      </c>
      <c r="U4808" s="6" t="str">
        <f>IF($K4808="","",IF(ISNUMBER(SEARCH("sortie-epargne",IFERROR(INDEX('Paramètres'!$N:$N,MATCH($D4808,'Paramètres'!$M:$M,0))&amp;"",""))),$K4808,0))</f>
        <v/>
      </c>
      <c r="V4808" s="6" t="str">
        <f>IF(AND($A4808&lt;&gt;"",$O4808=1,$L4808="Débit",N($Q4808)&gt;0,$A4808&gt;=Visualisation!$B$1,$A4808&lt;Visualisation!$D$1),MAX($V$1:V4807)+1,"")</f>
        <v/>
      </c>
    </row>
    <row r="4809" spans="1:22" x14ac:dyDescent="0.25">
      <c r="A4809" s="9"/>
      <c r="E4809" s="10"/>
      <c r="K4809" s="11" t="str">
        <f>IF($E4809="","",ROUND($E4809*IF(ISNA(MATCH($C4809,'Paramètres'!$D:$D,0)),1,IF(INDEX('Paramètres'!$J:$J,MATCH($C4809,'Paramètres'!$D:$D,0))="",1,INDEX('Paramètres'!$J:$J,MATCH($C4809,'Paramètres'!$D:$D,0)))),2))</f>
        <v/>
      </c>
      <c r="L4809" s="6" t="str">
        <f>IF($D4809="","",IF($F4809&lt;&gt;"",$F4809,IF(ISNA(MATCH($D4809,'Paramètres'!$M:$M,0)),"⚠ Type inconnu",IFERROR(INDEX('Paramètres'!$P:$P,MATCH($D4809,'Paramètres'!$M:$M,0))&amp;"",""))))</f>
        <v/>
      </c>
      <c r="M4809" s="6" t="str">
        <f>IF($D4809="","",IF(ISNA(MATCH($D4809,'Paramètres'!$M:$M,0)),"⚠ Type inconnu",IF($L4809="Crédit","",IFERROR(INDEX('Paramètres'!$O:$O,MATCH($D4809,'Paramètres'!$M:$M,0))&amp;"",""))))</f>
        <v/>
      </c>
      <c r="N4809" s="6" t="str">
        <f>IF($D4809="","",IFERROR(INDEX('Paramètres'!$Q:$Q,MATCH($D4809,'Paramètres'!$M:$M,0))&amp;"",""))</f>
        <v/>
      </c>
      <c r="O4809" s="6" t="str">
        <f>IF($A4809="","",IF(OR($J4809&lt;&gt;"x",$A4809&lt;=FinReleve),1,0))</f>
        <v/>
      </c>
      <c r="P4809" s="6" t="str">
        <f>IF($D4809="","",IF(AND($L4809="Crédit",OR(IFERROR(INDEX('Paramètres'!$O:$O,MATCH($D4809,'Paramètres'!$M:$M,0))&amp;"","")&lt;&gt;"",ISNUMBER(SEARCH("remboursement",IFERROR(INDEX('Paramètres'!$N:$N,MATCH($D4809,'Paramètres'!$M:$M,0))&amp;"",""))))),1,0))</f>
        <v/>
      </c>
      <c r="Q4809" s="6" t="str">
        <f>IF($K4809="","",IF(ISNUMBER(SEARCH("transfert-interne",IFERROR(INDEX('Paramètres'!$N:$N,MATCH($D4809,'Paramètres'!$M:$M,0))&amp;"",""))),0,IF($L4809="Débit",$K4809,IF($P4809=1,-$K4809,0))))</f>
        <v/>
      </c>
      <c r="R4809" s="6" t="str">
        <f>IF($K4809="","",IF($L4809="Crédit",$K4809,-$K4809))</f>
        <v/>
      </c>
      <c r="S4809" s="6" t="str">
        <f>IF($C4809="","",IFERROR(INDEX('Paramètres'!$H:$H,MATCH($C4809,'Paramètres'!$D:$D,0))&amp;"",""))</f>
        <v/>
      </c>
      <c r="T4809" s="6" t="str">
        <f>IF($K4809="","",IF($S4809="",0,IF(ISNUMBER(SEARCH("apport-exterieur",IFERROR(INDEX('Paramètres'!$N:$N,MATCH($D4809,'Paramètres'!$M:$M,0))&amp;"",""))),0,IF(OR(IFERROR(INDEX('Paramètres'!$I:$I,MATCH($C4809,'Paramètres'!$D:$D,0))&amp;"","")="Les deux",IFERROR(INDEX('Paramètres'!$I:$I,MATCH($C4809,'Paramètres'!$D:$D,0))&amp;"","")=IF($P4809=1,"Débit",$L4809)),-IF($P4809=1,-$K4809,$K4809),0))))</f>
        <v/>
      </c>
      <c r="U4809" s="6" t="str">
        <f>IF($K4809="","",IF(ISNUMBER(SEARCH("sortie-epargne",IFERROR(INDEX('Paramètres'!$N:$N,MATCH($D4809,'Paramètres'!$M:$M,0))&amp;"",""))),$K4809,0))</f>
        <v/>
      </c>
      <c r="V4809" s="6" t="str">
        <f>IF(AND($A4809&lt;&gt;"",$O4809=1,$L4809="Débit",N($Q4809)&gt;0,$A4809&gt;=Visualisation!$B$1,$A4809&lt;Visualisation!$D$1),MAX($V$1:V4808)+1,"")</f>
        <v/>
      </c>
    </row>
    <row r="4810" spans="1:22" x14ac:dyDescent="0.25">
      <c r="A4810" s="9"/>
      <c r="E4810" s="10"/>
      <c r="K4810" s="11" t="str">
        <f>IF($E4810="","",ROUND($E4810*IF(ISNA(MATCH($C4810,'Paramètres'!$D:$D,0)),1,IF(INDEX('Paramètres'!$J:$J,MATCH($C4810,'Paramètres'!$D:$D,0))="",1,INDEX('Paramètres'!$J:$J,MATCH($C4810,'Paramètres'!$D:$D,0)))),2))</f>
        <v/>
      </c>
      <c r="L4810" s="6" t="str">
        <f>IF($D4810="","",IF($F4810&lt;&gt;"",$F4810,IF(ISNA(MATCH($D4810,'Paramètres'!$M:$M,0)),"⚠ Type inconnu",IFERROR(INDEX('Paramètres'!$P:$P,MATCH($D4810,'Paramètres'!$M:$M,0))&amp;"",""))))</f>
        <v/>
      </c>
      <c r="M4810" s="6" t="str">
        <f>IF($D4810="","",IF(ISNA(MATCH($D4810,'Paramètres'!$M:$M,0)),"⚠ Type inconnu",IF($L4810="Crédit","",IFERROR(INDEX('Paramètres'!$O:$O,MATCH($D4810,'Paramètres'!$M:$M,0))&amp;"",""))))</f>
        <v/>
      </c>
      <c r="N4810" s="6" t="str">
        <f>IF($D4810="","",IFERROR(INDEX('Paramètres'!$Q:$Q,MATCH($D4810,'Paramètres'!$M:$M,0))&amp;"",""))</f>
        <v/>
      </c>
      <c r="O4810" s="6" t="str">
        <f>IF($A4810="","",IF(OR($J4810&lt;&gt;"x",$A4810&lt;=FinReleve),1,0))</f>
        <v/>
      </c>
      <c r="P4810" s="6" t="str">
        <f>IF($D4810="","",IF(AND($L4810="Crédit",OR(IFERROR(INDEX('Paramètres'!$O:$O,MATCH($D4810,'Paramètres'!$M:$M,0))&amp;"","")&lt;&gt;"",ISNUMBER(SEARCH("remboursement",IFERROR(INDEX('Paramètres'!$N:$N,MATCH($D4810,'Paramètres'!$M:$M,0))&amp;"",""))))),1,0))</f>
        <v/>
      </c>
      <c r="Q4810" s="6" t="str">
        <f>IF($K4810="","",IF(ISNUMBER(SEARCH("transfert-interne",IFERROR(INDEX('Paramètres'!$N:$N,MATCH($D4810,'Paramètres'!$M:$M,0))&amp;"",""))),0,IF($L4810="Débit",$K4810,IF($P4810=1,-$K4810,0))))</f>
        <v/>
      </c>
      <c r="R4810" s="6" t="str">
        <f>IF($K4810="","",IF($L4810="Crédit",$K4810,-$K4810))</f>
        <v/>
      </c>
      <c r="S4810" s="6" t="str">
        <f>IF($C4810="","",IFERROR(INDEX('Paramètres'!$H:$H,MATCH($C4810,'Paramètres'!$D:$D,0))&amp;"",""))</f>
        <v/>
      </c>
      <c r="T4810" s="6" t="str">
        <f>IF($K4810="","",IF($S4810="",0,IF(ISNUMBER(SEARCH("apport-exterieur",IFERROR(INDEX('Paramètres'!$N:$N,MATCH($D4810,'Paramètres'!$M:$M,0))&amp;"",""))),0,IF(OR(IFERROR(INDEX('Paramètres'!$I:$I,MATCH($C4810,'Paramètres'!$D:$D,0))&amp;"","")="Les deux",IFERROR(INDEX('Paramètres'!$I:$I,MATCH($C4810,'Paramètres'!$D:$D,0))&amp;"","")=IF($P4810=1,"Débit",$L4810)),-IF($P4810=1,-$K4810,$K4810),0))))</f>
        <v/>
      </c>
      <c r="U4810" s="6" t="str">
        <f>IF($K4810="","",IF(ISNUMBER(SEARCH("sortie-epargne",IFERROR(INDEX('Paramètres'!$N:$N,MATCH($D4810,'Paramètres'!$M:$M,0))&amp;"",""))),$K4810,0))</f>
        <v/>
      </c>
      <c r="V4810" s="6" t="str">
        <f>IF(AND($A4810&lt;&gt;"",$O4810=1,$L4810="Débit",N($Q4810)&gt;0,$A4810&gt;=Visualisation!$B$1,$A4810&lt;Visualisation!$D$1),MAX($V$1:V4809)+1,"")</f>
        <v/>
      </c>
    </row>
    <row r="4811" spans="1:22" x14ac:dyDescent="0.25">
      <c r="A4811" s="9"/>
      <c r="E4811" s="10"/>
      <c r="K4811" s="11" t="str">
        <f>IF($E4811="","",ROUND($E4811*IF(ISNA(MATCH($C4811,'Paramètres'!$D:$D,0)),1,IF(INDEX('Paramètres'!$J:$J,MATCH($C4811,'Paramètres'!$D:$D,0))="",1,INDEX('Paramètres'!$J:$J,MATCH($C4811,'Paramètres'!$D:$D,0)))),2))</f>
        <v/>
      </c>
      <c r="L4811" s="6" t="str">
        <f>IF($D4811="","",IF($F4811&lt;&gt;"",$F4811,IF(ISNA(MATCH($D4811,'Paramètres'!$M:$M,0)),"⚠ Type inconnu",IFERROR(INDEX('Paramètres'!$P:$P,MATCH($D4811,'Paramètres'!$M:$M,0))&amp;"",""))))</f>
        <v/>
      </c>
      <c r="M4811" s="6" t="str">
        <f>IF($D4811="","",IF(ISNA(MATCH($D4811,'Paramètres'!$M:$M,0)),"⚠ Type inconnu",IF($L4811="Crédit","",IFERROR(INDEX('Paramètres'!$O:$O,MATCH($D4811,'Paramètres'!$M:$M,0))&amp;"",""))))</f>
        <v/>
      </c>
      <c r="N4811" s="6" t="str">
        <f>IF($D4811="","",IFERROR(INDEX('Paramètres'!$Q:$Q,MATCH($D4811,'Paramètres'!$M:$M,0))&amp;"",""))</f>
        <v/>
      </c>
      <c r="O4811" s="6" t="str">
        <f>IF($A4811="","",IF(OR($J4811&lt;&gt;"x",$A4811&lt;=FinReleve),1,0))</f>
        <v/>
      </c>
      <c r="P4811" s="6" t="str">
        <f>IF($D4811="","",IF(AND($L4811="Crédit",OR(IFERROR(INDEX('Paramètres'!$O:$O,MATCH($D4811,'Paramètres'!$M:$M,0))&amp;"","")&lt;&gt;"",ISNUMBER(SEARCH("remboursement",IFERROR(INDEX('Paramètres'!$N:$N,MATCH($D4811,'Paramètres'!$M:$M,0))&amp;"",""))))),1,0))</f>
        <v/>
      </c>
      <c r="Q4811" s="6" t="str">
        <f>IF($K4811="","",IF(ISNUMBER(SEARCH("transfert-interne",IFERROR(INDEX('Paramètres'!$N:$N,MATCH($D4811,'Paramètres'!$M:$M,0))&amp;"",""))),0,IF($L4811="Débit",$K4811,IF($P4811=1,-$K4811,0))))</f>
        <v/>
      </c>
      <c r="R4811" s="6" t="str">
        <f>IF($K4811="","",IF($L4811="Crédit",$K4811,-$K4811))</f>
        <v/>
      </c>
      <c r="S4811" s="6" t="str">
        <f>IF($C4811="","",IFERROR(INDEX('Paramètres'!$H:$H,MATCH($C4811,'Paramètres'!$D:$D,0))&amp;"",""))</f>
        <v/>
      </c>
      <c r="T4811" s="6" t="str">
        <f>IF($K4811="","",IF($S4811="",0,IF(ISNUMBER(SEARCH("apport-exterieur",IFERROR(INDEX('Paramètres'!$N:$N,MATCH($D4811,'Paramètres'!$M:$M,0))&amp;"",""))),0,IF(OR(IFERROR(INDEX('Paramètres'!$I:$I,MATCH($C4811,'Paramètres'!$D:$D,0))&amp;"","")="Les deux",IFERROR(INDEX('Paramètres'!$I:$I,MATCH($C4811,'Paramètres'!$D:$D,0))&amp;"","")=IF($P4811=1,"Débit",$L4811)),-IF($P4811=1,-$K4811,$K4811),0))))</f>
        <v/>
      </c>
      <c r="U4811" s="6" t="str">
        <f>IF($K4811="","",IF(ISNUMBER(SEARCH("sortie-epargne",IFERROR(INDEX('Paramètres'!$N:$N,MATCH($D4811,'Paramètres'!$M:$M,0))&amp;"",""))),$K4811,0))</f>
        <v/>
      </c>
      <c r="V4811" s="6" t="str">
        <f>IF(AND($A4811&lt;&gt;"",$O4811=1,$L4811="Débit",N($Q4811)&gt;0,$A4811&gt;=Visualisation!$B$1,$A4811&lt;Visualisation!$D$1),MAX($V$1:V4810)+1,"")</f>
        <v/>
      </c>
    </row>
    <row r="4812" spans="1:22" x14ac:dyDescent="0.25">
      <c r="A4812" s="9"/>
      <c r="E4812" s="10"/>
      <c r="K4812" s="11" t="str">
        <f>IF($E4812="","",ROUND($E4812*IF(ISNA(MATCH($C4812,'Paramètres'!$D:$D,0)),1,IF(INDEX('Paramètres'!$J:$J,MATCH($C4812,'Paramètres'!$D:$D,0))="",1,INDEX('Paramètres'!$J:$J,MATCH($C4812,'Paramètres'!$D:$D,0)))),2))</f>
        <v/>
      </c>
      <c r="L4812" s="6" t="str">
        <f>IF($D4812="","",IF($F4812&lt;&gt;"",$F4812,IF(ISNA(MATCH($D4812,'Paramètres'!$M:$M,0)),"⚠ Type inconnu",IFERROR(INDEX('Paramètres'!$P:$P,MATCH($D4812,'Paramètres'!$M:$M,0))&amp;"",""))))</f>
        <v/>
      </c>
      <c r="M4812" s="6" t="str">
        <f>IF($D4812="","",IF(ISNA(MATCH($D4812,'Paramètres'!$M:$M,0)),"⚠ Type inconnu",IF($L4812="Crédit","",IFERROR(INDEX('Paramètres'!$O:$O,MATCH($D4812,'Paramètres'!$M:$M,0))&amp;"",""))))</f>
        <v/>
      </c>
      <c r="N4812" s="6" t="str">
        <f>IF($D4812="","",IFERROR(INDEX('Paramètres'!$Q:$Q,MATCH($D4812,'Paramètres'!$M:$M,0))&amp;"",""))</f>
        <v/>
      </c>
      <c r="O4812" s="6" t="str">
        <f>IF($A4812="","",IF(OR($J4812&lt;&gt;"x",$A4812&lt;=FinReleve),1,0))</f>
        <v/>
      </c>
      <c r="P4812" s="6" t="str">
        <f>IF($D4812="","",IF(AND($L4812="Crédit",OR(IFERROR(INDEX('Paramètres'!$O:$O,MATCH($D4812,'Paramètres'!$M:$M,0))&amp;"","")&lt;&gt;"",ISNUMBER(SEARCH("remboursement",IFERROR(INDEX('Paramètres'!$N:$N,MATCH($D4812,'Paramètres'!$M:$M,0))&amp;"",""))))),1,0))</f>
        <v/>
      </c>
      <c r="Q4812" s="6" t="str">
        <f>IF($K4812="","",IF(ISNUMBER(SEARCH("transfert-interne",IFERROR(INDEX('Paramètres'!$N:$N,MATCH($D4812,'Paramètres'!$M:$M,0))&amp;"",""))),0,IF($L4812="Débit",$K4812,IF($P4812=1,-$K4812,0))))</f>
        <v/>
      </c>
      <c r="R4812" s="6" t="str">
        <f>IF($K4812="","",IF($L4812="Crédit",$K4812,-$K4812))</f>
        <v/>
      </c>
      <c r="S4812" s="6" t="str">
        <f>IF($C4812="","",IFERROR(INDEX('Paramètres'!$H:$H,MATCH($C4812,'Paramètres'!$D:$D,0))&amp;"",""))</f>
        <v/>
      </c>
      <c r="T4812" s="6" t="str">
        <f>IF($K4812="","",IF($S4812="",0,IF(ISNUMBER(SEARCH("apport-exterieur",IFERROR(INDEX('Paramètres'!$N:$N,MATCH($D4812,'Paramètres'!$M:$M,0))&amp;"",""))),0,IF(OR(IFERROR(INDEX('Paramètres'!$I:$I,MATCH($C4812,'Paramètres'!$D:$D,0))&amp;"","")="Les deux",IFERROR(INDEX('Paramètres'!$I:$I,MATCH($C4812,'Paramètres'!$D:$D,0))&amp;"","")=IF($P4812=1,"Débit",$L4812)),-IF($P4812=1,-$K4812,$K4812),0))))</f>
        <v/>
      </c>
      <c r="U4812" s="6" t="str">
        <f>IF($K4812="","",IF(ISNUMBER(SEARCH("sortie-epargne",IFERROR(INDEX('Paramètres'!$N:$N,MATCH($D4812,'Paramètres'!$M:$M,0))&amp;"",""))),$K4812,0))</f>
        <v/>
      </c>
      <c r="V4812" s="6" t="str">
        <f>IF(AND($A4812&lt;&gt;"",$O4812=1,$L4812="Débit",N($Q4812)&gt;0,$A4812&gt;=Visualisation!$B$1,$A4812&lt;Visualisation!$D$1),MAX($V$1:V4811)+1,"")</f>
        <v/>
      </c>
    </row>
    <row r="4813" spans="1:22" x14ac:dyDescent="0.25">
      <c r="A4813" s="9"/>
      <c r="E4813" s="10"/>
      <c r="K4813" s="11" t="str">
        <f>IF($E4813="","",ROUND($E4813*IF(ISNA(MATCH($C4813,'Paramètres'!$D:$D,0)),1,IF(INDEX('Paramètres'!$J:$J,MATCH($C4813,'Paramètres'!$D:$D,0))="",1,INDEX('Paramètres'!$J:$J,MATCH($C4813,'Paramètres'!$D:$D,0)))),2))</f>
        <v/>
      </c>
      <c r="L4813" s="6" t="str">
        <f>IF($D4813="","",IF($F4813&lt;&gt;"",$F4813,IF(ISNA(MATCH($D4813,'Paramètres'!$M:$M,0)),"⚠ Type inconnu",IFERROR(INDEX('Paramètres'!$P:$P,MATCH($D4813,'Paramètres'!$M:$M,0))&amp;"",""))))</f>
        <v/>
      </c>
      <c r="M4813" s="6" t="str">
        <f>IF($D4813="","",IF(ISNA(MATCH($D4813,'Paramètres'!$M:$M,0)),"⚠ Type inconnu",IF($L4813="Crédit","",IFERROR(INDEX('Paramètres'!$O:$O,MATCH($D4813,'Paramètres'!$M:$M,0))&amp;"",""))))</f>
        <v/>
      </c>
      <c r="N4813" s="6" t="str">
        <f>IF($D4813="","",IFERROR(INDEX('Paramètres'!$Q:$Q,MATCH($D4813,'Paramètres'!$M:$M,0))&amp;"",""))</f>
        <v/>
      </c>
      <c r="O4813" s="6" t="str">
        <f>IF($A4813="","",IF(OR($J4813&lt;&gt;"x",$A4813&lt;=FinReleve),1,0))</f>
        <v/>
      </c>
      <c r="P4813" s="6" t="str">
        <f>IF($D4813="","",IF(AND($L4813="Crédit",OR(IFERROR(INDEX('Paramètres'!$O:$O,MATCH($D4813,'Paramètres'!$M:$M,0))&amp;"","")&lt;&gt;"",ISNUMBER(SEARCH("remboursement",IFERROR(INDEX('Paramètres'!$N:$N,MATCH($D4813,'Paramètres'!$M:$M,0))&amp;"",""))))),1,0))</f>
        <v/>
      </c>
      <c r="Q4813" s="6" t="str">
        <f>IF($K4813="","",IF(ISNUMBER(SEARCH("transfert-interne",IFERROR(INDEX('Paramètres'!$N:$N,MATCH($D4813,'Paramètres'!$M:$M,0))&amp;"",""))),0,IF($L4813="Débit",$K4813,IF($P4813=1,-$K4813,0))))</f>
        <v/>
      </c>
      <c r="R4813" s="6" t="str">
        <f>IF($K4813="","",IF($L4813="Crédit",$K4813,-$K4813))</f>
        <v/>
      </c>
      <c r="S4813" s="6" t="str">
        <f>IF($C4813="","",IFERROR(INDEX('Paramètres'!$H:$H,MATCH($C4813,'Paramètres'!$D:$D,0))&amp;"",""))</f>
        <v/>
      </c>
      <c r="T4813" s="6" t="str">
        <f>IF($K4813="","",IF($S4813="",0,IF(ISNUMBER(SEARCH("apport-exterieur",IFERROR(INDEX('Paramètres'!$N:$N,MATCH($D4813,'Paramètres'!$M:$M,0))&amp;"",""))),0,IF(OR(IFERROR(INDEX('Paramètres'!$I:$I,MATCH($C4813,'Paramètres'!$D:$D,0))&amp;"","")="Les deux",IFERROR(INDEX('Paramètres'!$I:$I,MATCH($C4813,'Paramètres'!$D:$D,0))&amp;"","")=IF($P4813=1,"Débit",$L4813)),-IF($P4813=1,-$K4813,$K4813),0))))</f>
        <v/>
      </c>
      <c r="U4813" s="6" t="str">
        <f>IF($K4813="","",IF(ISNUMBER(SEARCH("sortie-epargne",IFERROR(INDEX('Paramètres'!$N:$N,MATCH($D4813,'Paramètres'!$M:$M,0))&amp;"",""))),$K4813,0))</f>
        <v/>
      </c>
      <c r="V4813" s="6" t="str">
        <f>IF(AND($A4813&lt;&gt;"",$O4813=1,$L4813="Débit",N($Q4813)&gt;0,$A4813&gt;=Visualisation!$B$1,$A4813&lt;Visualisation!$D$1),MAX($V$1:V4812)+1,"")</f>
        <v/>
      </c>
    </row>
    <row r="4814" spans="1:22" x14ac:dyDescent="0.25">
      <c r="A4814" s="9"/>
      <c r="E4814" s="10"/>
      <c r="K4814" s="11" t="str">
        <f>IF($E4814="","",ROUND($E4814*IF(ISNA(MATCH($C4814,'Paramètres'!$D:$D,0)),1,IF(INDEX('Paramètres'!$J:$J,MATCH($C4814,'Paramètres'!$D:$D,0))="",1,INDEX('Paramètres'!$J:$J,MATCH($C4814,'Paramètres'!$D:$D,0)))),2))</f>
        <v/>
      </c>
      <c r="L4814" s="6" t="str">
        <f>IF($D4814="","",IF($F4814&lt;&gt;"",$F4814,IF(ISNA(MATCH($D4814,'Paramètres'!$M:$M,0)),"⚠ Type inconnu",IFERROR(INDEX('Paramètres'!$P:$P,MATCH($D4814,'Paramètres'!$M:$M,0))&amp;"",""))))</f>
        <v/>
      </c>
      <c r="M4814" s="6" t="str">
        <f>IF($D4814="","",IF(ISNA(MATCH($D4814,'Paramètres'!$M:$M,0)),"⚠ Type inconnu",IF($L4814="Crédit","",IFERROR(INDEX('Paramètres'!$O:$O,MATCH($D4814,'Paramètres'!$M:$M,0))&amp;"",""))))</f>
        <v/>
      </c>
      <c r="N4814" s="6" t="str">
        <f>IF($D4814="","",IFERROR(INDEX('Paramètres'!$Q:$Q,MATCH($D4814,'Paramètres'!$M:$M,0))&amp;"",""))</f>
        <v/>
      </c>
      <c r="O4814" s="6" t="str">
        <f>IF($A4814="","",IF(OR($J4814&lt;&gt;"x",$A4814&lt;=FinReleve),1,0))</f>
        <v/>
      </c>
      <c r="P4814" s="6" t="str">
        <f>IF($D4814="","",IF(AND($L4814="Crédit",OR(IFERROR(INDEX('Paramètres'!$O:$O,MATCH($D4814,'Paramètres'!$M:$M,0))&amp;"","")&lt;&gt;"",ISNUMBER(SEARCH("remboursement",IFERROR(INDEX('Paramètres'!$N:$N,MATCH($D4814,'Paramètres'!$M:$M,0))&amp;"",""))))),1,0))</f>
        <v/>
      </c>
      <c r="Q4814" s="6" t="str">
        <f>IF($K4814="","",IF(ISNUMBER(SEARCH("transfert-interne",IFERROR(INDEX('Paramètres'!$N:$N,MATCH($D4814,'Paramètres'!$M:$M,0))&amp;"",""))),0,IF($L4814="Débit",$K4814,IF($P4814=1,-$K4814,0))))</f>
        <v/>
      </c>
      <c r="R4814" s="6" t="str">
        <f>IF($K4814="","",IF($L4814="Crédit",$K4814,-$K4814))</f>
        <v/>
      </c>
      <c r="S4814" s="6" t="str">
        <f>IF($C4814="","",IFERROR(INDEX('Paramètres'!$H:$H,MATCH($C4814,'Paramètres'!$D:$D,0))&amp;"",""))</f>
        <v/>
      </c>
      <c r="T4814" s="6" t="str">
        <f>IF($K4814="","",IF($S4814="",0,IF(ISNUMBER(SEARCH("apport-exterieur",IFERROR(INDEX('Paramètres'!$N:$N,MATCH($D4814,'Paramètres'!$M:$M,0))&amp;"",""))),0,IF(OR(IFERROR(INDEX('Paramètres'!$I:$I,MATCH($C4814,'Paramètres'!$D:$D,0))&amp;"","")="Les deux",IFERROR(INDEX('Paramètres'!$I:$I,MATCH($C4814,'Paramètres'!$D:$D,0))&amp;"","")=IF($P4814=1,"Débit",$L4814)),-IF($P4814=1,-$K4814,$K4814),0))))</f>
        <v/>
      </c>
      <c r="U4814" s="6" t="str">
        <f>IF($K4814="","",IF(ISNUMBER(SEARCH("sortie-epargne",IFERROR(INDEX('Paramètres'!$N:$N,MATCH($D4814,'Paramètres'!$M:$M,0))&amp;"",""))),$K4814,0))</f>
        <v/>
      </c>
      <c r="V4814" s="6" t="str">
        <f>IF(AND($A4814&lt;&gt;"",$O4814=1,$L4814="Débit",N($Q4814)&gt;0,$A4814&gt;=Visualisation!$B$1,$A4814&lt;Visualisation!$D$1),MAX($V$1:V4813)+1,"")</f>
        <v/>
      </c>
    </row>
    <row r="4815" spans="1:22" x14ac:dyDescent="0.25">
      <c r="A4815" s="9"/>
      <c r="E4815" s="10"/>
      <c r="K4815" s="11" t="str">
        <f>IF($E4815="","",ROUND($E4815*IF(ISNA(MATCH($C4815,'Paramètres'!$D:$D,0)),1,IF(INDEX('Paramètres'!$J:$J,MATCH($C4815,'Paramètres'!$D:$D,0))="",1,INDEX('Paramètres'!$J:$J,MATCH($C4815,'Paramètres'!$D:$D,0)))),2))</f>
        <v/>
      </c>
      <c r="L4815" s="6" t="str">
        <f>IF($D4815="","",IF($F4815&lt;&gt;"",$F4815,IF(ISNA(MATCH($D4815,'Paramètres'!$M:$M,0)),"⚠ Type inconnu",IFERROR(INDEX('Paramètres'!$P:$P,MATCH($D4815,'Paramètres'!$M:$M,0))&amp;"",""))))</f>
        <v/>
      </c>
      <c r="M4815" s="6" t="str">
        <f>IF($D4815="","",IF(ISNA(MATCH($D4815,'Paramètres'!$M:$M,0)),"⚠ Type inconnu",IF($L4815="Crédit","",IFERROR(INDEX('Paramètres'!$O:$O,MATCH($D4815,'Paramètres'!$M:$M,0))&amp;"",""))))</f>
        <v/>
      </c>
      <c r="N4815" s="6" t="str">
        <f>IF($D4815="","",IFERROR(INDEX('Paramètres'!$Q:$Q,MATCH($D4815,'Paramètres'!$M:$M,0))&amp;"",""))</f>
        <v/>
      </c>
      <c r="O4815" s="6" t="str">
        <f>IF($A4815="","",IF(OR($J4815&lt;&gt;"x",$A4815&lt;=FinReleve),1,0))</f>
        <v/>
      </c>
      <c r="P4815" s="6" t="str">
        <f>IF($D4815="","",IF(AND($L4815="Crédit",OR(IFERROR(INDEX('Paramètres'!$O:$O,MATCH($D4815,'Paramètres'!$M:$M,0))&amp;"","")&lt;&gt;"",ISNUMBER(SEARCH("remboursement",IFERROR(INDEX('Paramètres'!$N:$N,MATCH($D4815,'Paramètres'!$M:$M,0))&amp;"",""))))),1,0))</f>
        <v/>
      </c>
      <c r="Q4815" s="6" t="str">
        <f>IF($K4815="","",IF(ISNUMBER(SEARCH("transfert-interne",IFERROR(INDEX('Paramètres'!$N:$N,MATCH($D4815,'Paramètres'!$M:$M,0))&amp;"",""))),0,IF($L4815="Débit",$K4815,IF($P4815=1,-$K4815,0))))</f>
        <v/>
      </c>
      <c r="R4815" s="6" t="str">
        <f>IF($K4815="","",IF($L4815="Crédit",$K4815,-$K4815))</f>
        <v/>
      </c>
      <c r="S4815" s="6" t="str">
        <f>IF($C4815="","",IFERROR(INDEX('Paramètres'!$H:$H,MATCH($C4815,'Paramètres'!$D:$D,0))&amp;"",""))</f>
        <v/>
      </c>
      <c r="T4815" s="6" t="str">
        <f>IF($K4815="","",IF($S4815="",0,IF(ISNUMBER(SEARCH("apport-exterieur",IFERROR(INDEX('Paramètres'!$N:$N,MATCH($D4815,'Paramètres'!$M:$M,0))&amp;"",""))),0,IF(OR(IFERROR(INDEX('Paramètres'!$I:$I,MATCH($C4815,'Paramètres'!$D:$D,0))&amp;"","")="Les deux",IFERROR(INDEX('Paramètres'!$I:$I,MATCH($C4815,'Paramètres'!$D:$D,0))&amp;"","")=IF($P4815=1,"Débit",$L4815)),-IF($P4815=1,-$K4815,$K4815),0))))</f>
        <v/>
      </c>
      <c r="U4815" s="6" t="str">
        <f>IF($K4815="","",IF(ISNUMBER(SEARCH("sortie-epargne",IFERROR(INDEX('Paramètres'!$N:$N,MATCH($D4815,'Paramètres'!$M:$M,0))&amp;"",""))),$K4815,0))</f>
        <v/>
      </c>
      <c r="V4815" s="6" t="str">
        <f>IF(AND($A4815&lt;&gt;"",$O4815=1,$L4815="Débit",N($Q4815)&gt;0,$A4815&gt;=Visualisation!$B$1,$A4815&lt;Visualisation!$D$1),MAX($V$1:V4814)+1,"")</f>
        <v/>
      </c>
    </row>
    <row r="4816" spans="1:22" x14ac:dyDescent="0.25">
      <c r="A4816" s="9"/>
      <c r="E4816" s="10"/>
      <c r="K4816" s="11" t="str">
        <f>IF($E4816="","",ROUND($E4816*IF(ISNA(MATCH($C4816,'Paramètres'!$D:$D,0)),1,IF(INDEX('Paramètres'!$J:$J,MATCH($C4816,'Paramètres'!$D:$D,0))="",1,INDEX('Paramètres'!$J:$J,MATCH($C4816,'Paramètres'!$D:$D,0)))),2))</f>
        <v/>
      </c>
      <c r="L4816" s="6" t="str">
        <f>IF($D4816="","",IF($F4816&lt;&gt;"",$F4816,IF(ISNA(MATCH($D4816,'Paramètres'!$M:$M,0)),"⚠ Type inconnu",IFERROR(INDEX('Paramètres'!$P:$P,MATCH($D4816,'Paramètres'!$M:$M,0))&amp;"",""))))</f>
        <v/>
      </c>
      <c r="M4816" s="6" t="str">
        <f>IF($D4816="","",IF(ISNA(MATCH($D4816,'Paramètres'!$M:$M,0)),"⚠ Type inconnu",IF($L4816="Crédit","",IFERROR(INDEX('Paramètres'!$O:$O,MATCH($D4816,'Paramètres'!$M:$M,0))&amp;"",""))))</f>
        <v/>
      </c>
      <c r="N4816" s="6" t="str">
        <f>IF($D4816="","",IFERROR(INDEX('Paramètres'!$Q:$Q,MATCH($D4816,'Paramètres'!$M:$M,0))&amp;"",""))</f>
        <v/>
      </c>
      <c r="O4816" s="6" t="str">
        <f>IF($A4816="","",IF(OR($J4816&lt;&gt;"x",$A4816&lt;=FinReleve),1,0))</f>
        <v/>
      </c>
      <c r="P4816" s="6" t="str">
        <f>IF($D4816="","",IF(AND($L4816="Crédit",OR(IFERROR(INDEX('Paramètres'!$O:$O,MATCH($D4816,'Paramètres'!$M:$M,0))&amp;"","")&lt;&gt;"",ISNUMBER(SEARCH("remboursement",IFERROR(INDEX('Paramètres'!$N:$N,MATCH($D4816,'Paramètres'!$M:$M,0))&amp;"",""))))),1,0))</f>
        <v/>
      </c>
      <c r="Q4816" s="6" t="str">
        <f>IF($K4816="","",IF(ISNUMBER(SEARCH("transfert-interne",IFERROR(INDEX('Paramètres'!$N:$N,MATCH($D4816,'Paramètres'!$M:$M,0))&amp;"",""))),0,IF($L4816="Débit",$K4816,IF($P4816=1,-$K4816,0))))</f>
        <v/>
      </c>
      <c r="R4816" s="6" t="str">
        <f>IF($K4816="","",IF($L4816="Crédit",$K4816,-$K4816))</f>
        <v/>
      </c>
      <c r="S4816" s="6" t="str">
        <f>IF($C4816="","",IFERROR(INDEX('Paramètres'!$H:$H,MATCH($C4816,'Paramètres'!$D:$D,0))&amp;"",""))</f>
        <v/>
      </c>
      <c r="T4816" s="6" t="str">
        <f>IF($K4816="","",IF($S4816="",0,IF(ISNUMBER(SEARCH("apport-exterieur",IFERROR(INDEX('Paramètres'!$N:$N,MATCH($D4816,'Paramètres'!$M:$M,0))&amp;"",""))),0,IF(OR(IFERROR(INDEX('Paramètres'!$I:$I,MATCH($C4816,'Paramètres'!$D:$D,0))&amp;"","")="Les deux",IFERROR(INDEX('Paramètres'!$I:$I,MATCH($C4816,'Paramètres'!$D:$D,0))&amp;"","")=IF($P4816=1,"Débit",$L4816)),-IF($P4816=1,-$K4816,$K4816),0))))</f>
        <v/>
      </c>
      <c r="U4816" s="6" t="str">
        <f>IF($K4816="","",IF(ISNUMBER(SEARCH("sortie-epargne",IFERROR(INDEX('Paramètres'!$N:$N,MATCH($D4816,'Paramètres'!$M:$M,0))&amp;"",""))),$K4816,0))</f>
        <v/>
      </c>
      <c r="V4816" s="6" t="str">
        <f>IF(AND($A4816&lt;&gt;"",$O4816=1,$L4816="Débit",N($Q4816)&gt;0,$A4816&gt;=Visualisation!$B$1,$A4816&lt;Visualisation!$D$1),MAX($V$1:V4815)+1,"")</f>
        <v/>
      </c>
    </row>
    <row r="4817" spans="1:22" x14ac:dyDescent="0.25">
      <c r="A4817" s="9"/>
      <c r="E4817" s="10"/>
      <c r="K4817" s="11" t="str">
        <f>IF($E4817="","",ROUND($E4817*IF(ISNA(MATCH($C4817,'Paramètres'!$D:$D,0)),1,IF(INDEX('Paramètres'!$J:$J,MATCH($C4817,'Paramètres'!$D:$D,0))="",1,INDEX('Paramètres'!$J:$J,MATCH($C4817,'Paramètres'!$D:$D,0)))),2))</f>
        <v/>
      </c>
      <c r="L4817" s="6" t="str">
        <f>IF($D4817="","",IF($F4817&lt;&gt;"",$F4817,IF(ISNA(MATCH($D4817,'Paramètres'!$M:$M,0)),"⚠ Type inconnu",IFERROR(INDEX('Paramètres'!$P:$P,MATCH($D4817,'Paramètres'!$M:$M,0))&amp;"",""))))</f>
        <v/>
      </c>
      <c r="M4817" s="6" t="str">
        <f>IF($D4817="","",IF(ISNA(MATCH($D4817,'Paramètres'!$M:$M,0)),"⚠ Type inconnu",IF($L4817="Crédit","",IFERROR(INDEX('Paramètres'!$O:$O,MATCH($D4817,'Paramètres'!$M:$M,0))&amp;"",""))))</f>
        <v/>
      </c>
      <c r="N4817" s="6" t="str">
        <f>IF($D4817="","",IFERROR(INDEX('Paramètres'!$Q:$Q,MATCH($D4817,'Paramètres'!$M:$M,0))&amp;"",""))</f>
        <v/>
      </c>
      <c r="O4817" s="6" t="str">
        <f>IF($A4817="","",IF(OR($J4817&lt;&gt;"x",$A4817&lt;=FinReleve),1,0))</f>
        <v/>
      </c>
      <c r="P4817" s="6" t="str">
        <f>IF($D4817="","",IF(AND($L4817="Crédit",OR(IFERROR(INDEX('Paramètres'!$O:$O,MATCH($D4817,'Paramètres'!$M:$M,0))&amp;"","")&lt;&gt;"",ISNUMBER(SEARCH("remboursement",IFERROR(INDEX('Paramètres'!$N:$N,MATCH($D4817,'Paramètres'!$M:$M,0))&amp;"",""))))),1,0))</f>
        <v/>
      </c>
      <c r="Q4817" s="6" t="str">
        <f>IF($K4817="","",IF(ISNUMBER(SEARCH("transfert-interne",IFERROR(INDEX('Paramètres'!$N:$N,MATCH($D4817,'Paramètres'!$M:$M,0))&amp;"",""))),0,IF($L4817="Débit",$K4817,IF($P4817=1,-$K4817,0))))</f>
        <v/>
      </c>
      <c r="R4817" s="6" t="str">
        <f>IF($K4817="","",IF($L4817="Crédit",$K4817,-$K4817))</f>
        <v/>
      </c>
      <c r="S4817" s="6" t="str">
        <f>IF($C4817="","",IFERROR(INDEX('Paramètres'!$H:$H,MATCH($C4817,'Paramètres'!$D:$D,0))&amp;"",""))</f>
        <v/>
      </c>
      <c r="T4817" s="6" t="str">
        <f>IF($K4817="","",IF($S4817="",0,IF(ISNUMBER(SEARCH("apport-exterieur",IFERROR(INDEX('Paramètres'!$N:$N,MATCH($D4817,'Paramètres'!$M:$M,0))&amp;"",""))),0,IF(OR(IFERROR(INDEX('Paramètres'!$I:$I,MATCH($C4817,'Paramètres'!$D:$D,0))&amp;"","")="Les deux",IFERROR(INDEX('Paramètres'!$I:$I,MATCH($C4817,'Paramètres'!$D:$D,0))&amp;"","")=IF($P4817=1,"Débit",$L4817)),-IF($P4817=1,-$K4817,$K4817),0))))</f>
        <v/>
      </c>
      <c r="U4817" s="6" t="str">
        <f>IF($K4817="","",IF(ISNUMBER(SEARCH("sortie-epargne",IFERROR(INDEX('Paramètres'!$N:$N,MATCH($D4817,'Paramètres'!$M:$M,0))&amp;"",""))),$K4817,0))</f>
        <v/>
      </c>
      <c r="V4817" s="6" t="str">
        <f>IF(AND($A4817&lt;&gt;"",$O4817=1,$L4817="Débit",N($Q4817)&gt;0,$A4817&gt;=Visualisation!$B$1,$A4817&lt;Visualisation!$D$1),MAX($V$1:V4816)+1,"")</f>
        <v/>
      </c>
    </row>
    <row r="4818" spans="1:22" x14ac:dyDescent="0.25">
      <c r="A4818" s="9"/>
      <c r="E4818" s="10"/>
      <c r="K4818" s="11" t="str">
        <f>IF($E4818="","",ROUND($E4818*IF(ISNA(MATCH($C4818,'Paramètres'!$D:$D,0)),1,IF(INDEX('Paramètres'!$J:$J,MATCH($C4818,'Paramètres'!$D:$D,0))="",1,INDEX('Paramètres'!$J:$J,MATCH($C4818,'Paramètres'!$D:$D,0)))),2))</f>
        <v/>
      </c>
      <c r="L4818" s="6" t="str">
        <f>IF($D4818="","",IF($F4818&lt;&gt;"",$F4818,IF(ISNA(MATCH($D4818,'Paramètres'!$M:$M,0)),"⚠ Type inconnu",IFERROR(INDEX('Paramètres'!$P:$P,MATCH($D4818,'Paramètres'!$M:$M,0))&amp;"",""))))</f>
        <v/>
      </c>
      <c r="M4818" s="6" t="str">
        <f>IF($D4818="","",IF(ISNA(MATCH($D4818,'Paramètres'!$M:$M,0)),"⚠ Type inconnu",IF($L4818="Crédit","",IFERROR(INDEX('Paramètres'!$O:$O,MATCH($D4818,'Paramètres'!$M:$M,0))&amp;"",""))))</f>
        <v/>
      </c>
      <c r="N4818" s="6" t="str">
        <f>IF($D4818="","",IFERROR(INDEX('Paramètres'!$Q:$Q,MATCH($D4818,'Paramètres'!$M:$M,0))&amp;"",""))</f>
        <v/>
      </c>
      <c r="O4818" s="6" t="str">
        <f>IF($A4818="","",IF(OR($J4818&lt;&gt;"x",$A4818&lt;=FinReleve),1,0))</f>
        <v/>
      </c>
      <c r="P4818" s="6" t="str">
        <f>IF($D4818="","",IF(AND($L4818="Crédit",OR(IFERROR(INDEX('Paramètres'!$O:$O,MATCH($D4818,'Paramètres'!$M:$M,0))&amp;"","")&lt;&gt;"",ISNUMBER(SEARCH("remboursement",IFERROR(INDEX('Paramètres'!$N:$N,MATCH($D4818,'Paramètres'!$M:$M,0))&amp;"",""))))),1,0))</f>
        <v/>
      </c>
      <c r="Q4818" s="6" t="str">
        <f>IF($K4818="","",IF(ISNUMBER(SEARCH("transfert-interne",IFERROR(INDEX('Paramètres'!$N:$N,MATCH($D4818,'Paramètres'!$M:$M,0))&amp;"",""))),0,IF($L4818="Débit",$K4818,IF($P4818=1,-$K4818,0))))</f>
        <v/>
      </c>
      <c r="R4818" s="6" t="str">
        <f>IF($K4818="","",IF($L4818="Crédit",$K4818,-$K4818))</f>
        <v/>
      </c>
      <c r="S4818" s="6" t="str">
        <f>IF($C4818="","",IFERROR(INDEX('Paramètres'!$H:$H,MATCH($C4818,'Paramètres'!$D:$D,0))&amp;"",""))</f>
        <v/>
      </c>
      <c r="T4818" s="6" t="str">
        <f>IF($K4818="","",IF($S4818="",0,IF(ISNUMBER(SEARCH("apport-exterieur",IFERROR(INDEX('Paramètres'!$N:$N,MATCH($D4818,'Paramètres'!$M:$M,0))&amp;"",""))),0,IF(OR(IFERROR(INDEX('Paramètres'!$I:$I,MATCH($C4818,'Paramètres'!$D:$D,0))&amp;"","")="Les deux",IFERROR(INDEX('Paramètres'!$I:$I,MATCH($C4818,'Paramètres'!$D:$D,0))&amp;"","")=IF($P4818=1,"Débit",$L4818)),-IF($P4818=1,-$K4818,$K4818),0))))</f>
        <v/>
      </c>
      <c r="U4818" s="6" t="str">
        <f>IF($K4818="","",IF(ISNUMBER(SEARCH("sortie-epargne",IFERROR(INDEX('Paramètres'!$N:$N,MATCH($D4818,'Paramètres'!$M:$M,0))&amp;"",""))),$K4818,0))</f>
        <v/>
      </c>
      <c r="V4818" s="6" t="str">
        <f>IF(AND($A4818&lt;&gt;"",$O4818=1,$L4818="Débit",N($Q4818)&gt;0,$A4818&gt;=Visualisation!$B$1,$A4818&lt;Visualisation!$D$1),MAX($V$1:V4817)+1,"")</f>
        <v/>
      </c>
    </row>
    <row r="4819" spans="1:22" x14ac:dyDescent="0.25">
      <c r="A4819" s="9"/>
      <c r="E4819" s="10"/>
      <c r="K4819" s="11" t="str">
        <f>IF($E4819="","",ROUND($E4819*IF(ISNA(MATCH($C4819,'Paramètres'!$D:$D,0)),1,IF(INDEX('Paramètres'!$J:$J,MATCH($C4819,'Paramètres'!$D:$D,0))="",1,INDEX('Paramètres'!$J:$J,MATCH($C4819,'Paramètres'!$D:$D,0)))),2))</f>
        <v/>
      </c>
      <c r="L4819" s="6" t="str">
        <f>IF($D4819="","",IF($F4819&lt;&gt;"",$F4819,IF(ISNA(MATCH($D4819,'Paramètres'!$M:$M,0)),"⚠ Type inconnu",IFERROR(INDEX('Paramètres'!$P:$P,MATCH($D4819,'Paramètres'!$M:$M,0))&amp;"",""))))</f>
        <v/>
      </c>
      <c r="M4819" s="6" t="str">
        <f>IF($D4819="","",IF(ISNA(MATCH($D4819,'Paramètres'!$M:$M,0)),"⚠ Type inconnu",IF($L4819="Crédit","",IFERROR(INDEX('Paramètres'!$O:$O,MATCH($D4819,'Paramètres'!$M:$M,0))&amp;"",""))))</f>
        <v/>
      </c>
      <c r="N4819" s="6" t="str">
        <f>IF($D4819="","",IFERROR(INDEX('Paramètres'!$Q:$Q,MATCH($D4819,'Paramètres'!$M:$M,0))&amp;"",""))</f>
        <v/>
      </c>
      <c r="O4819" s="6" t="str">
        <f>IF($A4819="","",IF(OR($J4819&lt;&gt;"x",$A4819&lt;=FinReleve),1,0))</f>
        <v/>
      </c>
      <c r="P4819" s="6" t="str">
        <f>IF($D4819="","",IF(AND($L4819="Crédit",OR(IFERROR(INDEX('Paramètres'!$O:$O,MATCH($D4819,'Paramètres'!$M:$M,0))&amp;"","")&lt;&gt;"",ISNUMBER(SEARCH("remboursement",IFERROR(INDEX('Paramètres'!$N:$N,MATCH($D4819,'Paramètres'!$M:$M,0))&amp;"",""))))),1,0))</f>
        <v/>
      </c>
      <c r="Q4819" s="6" t="str">
        <f>IF($K4819="","",IF(ISNUMBER(SEARCH("transfert-interne",IFERROR(INDEX('Paramètres'!$N:$N,MATCH($D4819,'Paramètres'!$M:$M,0))&amp;"",""))),0,IF($L4819="Débit",$K4819,IF($P4819=1,-$K4819,0))))</f>
        <v/>
      </c>
      <c r="R4819" s="6" t="str">
        <f>IF($K4819="","",IF($L4819="Crédit",$K4819,-$K4819))</f>
        <v/>
      </c>
      <c r="S4819" s="6" t="str">
        <f>IF($C4819="","",IFERROR(INDEX('Paramètres'!$H:$H,MATCH($C4819,'Paramètres'!$D:$D,0))&amp;"",""))</f>
        <v/>
      </c>
      <c r="T4819" s="6" t="str">
        <f>IF($K4819="","",IF($S4819="",0,IF(ISNUMBER(SEARCH("apport-exterieur",IFERROR(INDEX('Paramètres'!$N:$N,MATCH($D4819,'Paramètres'!$M:$M,0))&amp;"",""))),0,IF(OR(IFERROR(INDEX('Paramètres'!$I:$I,MATCH($C4819,'Paramètres'!$D:$D,0))&amp;"","")="Les deux",IFERROR(INDEX('Paramètres'!$I:$I,MATCH($C4819,'Paramètres'!$D:$D,0))&amp;"","")=IF($P4819=1,"Débit",$L4819)),-IF($P4819=1,-$K4819,$K4819),0))))</f>
        <v/>
      </c>
      <c r="U4819" s="6" t="str">
        <f>IF($K4819="","",IF(ISNUMBER(SEARCH("sortie-epargne",IFERROR(INDEX('Paramètres'!$N:$N,MATCH($D4819,'Paramètres'!$M:$M,0))&amp;"",""))),$K4819,0))</f>
        <v/>
      </c>
      <c r="V4819" s="6" t="str">
        <f>IF(AND($A4819&lt;&gt;"",$O4819=1,$L4819="Débit",N($Q4819)&gt;0,$A4819&gt;=Visualisation!$B$1,$A4819&lt;Visualisation!$D$1),MAX($V$1:V4818)+1,"")</f>
        <v/>
      </c>
    </row>
    <row r="4820" spans="1:22" x14ac:dyDescent="0.25">
      <c r="A4820" s="9"/>
      <c r="E4820" s="10"/>
      <c r="K4820" s="11" t="str">
        <f>IF($E4820="","",ROUND($E4820*IF(ISNA(MATCH($C4820,'Paramètres'!$D:$D,0)),1,IF(INDEX('Paramètres'!$J:$J,MATCH($C4820,'Paramètres'!$D:$D,0))="",1,INDEX('Paramètres'!$J:$J,MATCH($C4820,'Paramètres'!$D:$D,0)))),2))</f>
        <v/>
      </c>
      <c r="L4820" s="6" t="str">
        <f>IF($D4820="","",IF($F4820&lt;&gt;"",$F4820,IF(ISNA(MATCH($D4820,'Paramètres'!$M:$M,0)),"⚠ Type inconnu",IFERROR(INDEX('Paramètres'!$P:$P,MATCH($D4820,'Paramètres'!$M:$M,0))&amp;"",""))))</f>
        <v/>
      </c>
      <c r="M4820" s="6" t="str">
        <f>IF($D4820="","",IF(ISNA(MATCH($D4820,'Paramètres'!$M:$M,0)),"⚠ Type inconnu",IF($L4820="Crédit","",IFERROR(INDEX('Paramètres'!$O:$O,MATCH($D4820,'Paramètres'!$M:$M,0))&amp;"",""))))</f>
        <v/>
      </c>
      <c r="N4820" s="6" t="str">
        <f>IF($D4820="","",IFERROR(INDEX('Paramètres'!$Q:$Q,MATCH($D4820,'Paramètres'!$M:$M,0))&amp;"",""))</f>
        <v/>
      </c>
      <c r="O4820" s="6" t="str">
        <f>IF($A4820="","",IF(OR($J4820&lt;&gt;"x",$A4820&lt;=FinReleve),1,0))</f>
        <v/>
      </c>
      <c r="P4820" s="6" t="str">
        <f>IF($D4820="","",IF(AND($L4820="Crédit",OR(IFERROR(INDEX('Paramètres'!$O:$O,MATCH($D4820,'Paramètres'!$M:$M,0))&amp;"","")&lt;&gt;"",ISNUMBER(SEARCH("remboursement",IFERROR(INDEX('Paramètres'!$N:$N,MATCH($D4820,'Paramètres'!$M:$M,0))&amp;"",""))))),1,0))</f>
        <v/>
      </c>
      <c r="Q4820" s="6" t="str">
        <f>IF($K4820="","",IF(ISNUMBER(SEARCH("transfert-interne",IFERROR(INDEX('Paramètres'!$N:$N,MATCH($D4820,'Paramètres'!$M:$M,0))&amp;"",""))),0,IF($L4820="Débit",$K4820,IF($P4820=1,-$K4820,0))))</f>
        <v/>
      </c>
      <c r="R4820" s="6" t="str">
        <f>IF($K4820="","",IF($L4820="Crédit",$K4820,-$K4820))</f>
        <v/>
      </c>
      <c r="S4820" s="6" t="str">
        <f>IF($C4820="","",IFERROR(INDEX('Paramètres'!$H:$H,MATCH($C4820,'Paramètres'!$D:$D,0))&amp;"",""))</f>
        <v/>
      </c>
      <c r="T4820" s="6" t="str">
        <f>IF($K4820="","",IF($S4820="",0,IF(ISNUMBER(SEARCH("apport-exterieur",IFERROR(INDEX('Paramètres'!$N:$N,MATCH($D4820,'Paramètres'!$M:$M,0))&amp;"",""))),0,IF(OR(IFERROR(INDEX('Paramètres'!$I:$I,MATCH($C4820,'Paramètres'!$D:$D,0))&amp;"","")="Les deux",IFERROR(INDEX('Paramètres'!$I:$I,MATCH($C4820,'Paramètres'!$D:$D,0))&amp;"","")=IF($P4820=1,"Débit",$L4820)),-IF($P4820=1,-$K4820,$K4820),0))))</f>
        <v/>
      </c>
      <c r="U4820" s="6" t="str">
        <f>IF($K4820="","",IF(ISNUMBER(SEARCH("sortie-epargne",IFERROR(INDEX('Paramètres'!$N:$N,MATCH($D4820,'Paramètres'!$M:$M,0))&amp;"",""))),$K4820,0))</f>
        <v/>
      </c>
      <c r="V4820" s="6" t="str">
        <f>IF(AND($A4820&lt;&gt;"",$O4820=1,$L4820="Débit",N($Q4820)&gt;0,$A4820&gt;=Visualisation!$B$1,$A4820&lt;Visualisation!$D$1),MAX($V$1:V4819)+1,"")</f>
        <v/>
      </c>
    </row>
    <row r="4821" spans="1:22" x14ac:dyDescent="0.25">
      <c r="A4821" s="9"/>
      <c r="E4821" s="10"/>
      <c r="K4821" s="11" t="str">
        <f>IF($E4821="","",ROUND($E4821*IF(ISNA(MATCH($C4821,'Paramètres'!$D:$D,0)),1,IF(INDEX('Paramètres'!$J:$J,MATCH($C4821,'Paramètres'!$D:$D,0))="",1,INDEX('Paramètres'!$J:$J,MATCH($C4821,'Paramètres'!$D:$D,0)))),2))</f>
        <v/>
      </c>
      <c r="L4821" s="6" t="str">
        <f>IF($D4821="","",IF($F4821&lt;&gt;"",$F4821,IF(ISNA(MATCH($D4821,'Paramètres'!$M:$M,0)),"⚠ Type inconnu",IFERROR(INDEX('Paramètres'!$P:$P,MATCH($D4821,'Paramètres'!$M:$M,0))&amp;"",""))))</f>
        <v/>
      </c>
      <c r="M4821" s="6" t="str">
        <f>IF($D4821="","",IF(ISNA(MATCH($D4821,'Paramètres'!$M:$M,0)),"⚠ Type inconnu",IF($L4821="Crédit","",IFERROR(INDEX('Paramètres'!$O:$O,MATCH($D4821,'Paramètres'!$M:$M,0))&amp;"",""))))</f>
        <v/>
      </c>
      <c r="N4821" s="6" t="str">
        <f>IF($D4821="","",IFERROR(INDEX('Paramètres'!$Q:$Q,MATCH($D4821,'Paramètres'!$M:$M,0))&amp;"",""))</f>
        <v/>
      </c>
      <c r="O4821" s="6" t="str">
        <f>IF($A4821="","",IF(OR($J4821&lt;&gt;"x",$A4821&lt;=FinReleve),1,0))</f>
        <v/>
      </c>
      <c r="P4821" s="6" t="str">
        <f>IF($D4821="","",IF(AND($L4821="Crédit",OR(IFERROR(INDEX('Paramètres'!$O:$O,MATCH($D4821,'Paramètres'!$M:$M,0))&amp;"","")&lt;&gt;"",ISNUMBER(SEARCH("remboursement",IFERROR(INDEX('Paramètres'!$N:$N,MATCH($D4821,'Paramètres'!$M:$M,0))&amp;"",""))))),1,0))</f>
        <v/>
      </c>
      <c r="Q4821" s="6" t="str">
        <f>IF($K4821="","",IF(ISNUMBER(SEARCH("transfert-interne",IFERROR(INDEX('Paramètres'!$N:$N,MATCH($D4821,'Paramètres'!$M:$M,0))&amp;"",""))),0,IF($L4821="Débit",$K4821,IF($P4821=1,-$K4821,0))))</f>
        <v/>
      </c>
      <c r="R4821" s="6" t="str">
        <f>IF($K4821="","",IF($L4821="Crédit",$K4821,-$K4821))</f>
        <v/>
      </c>
      <c r="S4821" s="6" t="str">
        <f>IF($C4821="","",IFERROR(INDEX('Paramètres'!$H:$H,MATCH($C4821,'Paramètres'!$D:$D,0))&amp;"",""))</f>
        <v/>
      </c>
      <c r="T4821" s="6" t="str">
        <f>IF($K4821="","",IF($S4821="",0,IF(ISNUMBER(SEARCH("apport-exterieur",IFERROR(INDEX('Paramètres'!$N:$N,MATCH($D4821,'Paramètres'!$M:$M,0))&amp;"",""))),0,IF(OR(IFERROR(INDEX('Paramètres'!$I:$I,MATCH($C4821,'Paramètres'!$D:$D,0))&amp;"","")="Les deux",IFERROR(INDEX('Paramètres'!$I:$I,MATCH($C4821,'Paramètres'!$D:$D,0))&amp;"","")=IF($P4821=1,"Débit",$L4821)),-IF($P4821=1,-$K4821,$K4821),0))))</f>
        <v/>
      </c>
      <c r="U4821" s="6" t="str">
        <f>IF($K4821="","",IF(ISNUMBER(SEARCH("sortie-epargne",IFERROR(INDEX('Paramètres'!$N:$N,MATCH($D4821,'Paramètres'!$M:$M,0))&amp;"",""))),$K4821,0))</f>
        <v/>
      </c>
      <c r="V4821" s="6" t="str">
        <f>IF(AND($A4821&lt;&gt;"",$O4821=1,$L4821="Débit",N($Q4821)&gt;0,$A4821&gt;=Visualisation!$B$1,$A4821&lt;Visualisation!$D$1),MAX($V$1:V4820)+1,"")</f>
        <v/>
      </c>
    </row>
    <row r="4822" spans="1:22" x14ac:dyDescent="0.25">
      <c r="A4822" s="9"/>
      <c r="E4822" s="10"/>
      <c r="K4822" s="11" t="str">
        <f>IF($E4822="","",ROUND($E4822*IF(ISNA(MATCH($C4822,'Paramètres'!$D:$D,0)),1,IF(INDEX('Paramètres'!$J:$J,MATCH($C4822,'Paramètres'!$D:$D,0))="",1,INDEX('Paramètres'!$J:$J,MATCH($C4822,'Paramètres'!$D:$D,0)))),2))</f>
        <v/>
      </c>
      <c r="L4822" s="6" t="str">
        <f>IF($D4822="","",IF($F4822&lt;&gt;"",$F4822,IF(ISNA(MATCH($D4822,'Paramètres'!$M:$M,0)),"⚠ Type inconnu",IFERROR(INDEX('Paramètres'!$P:$P,MATCH($D4822,'Paramètres'!$M:$M,0))&amp;"",""))))</f>
        <v/>
      </c>
      <c r="M4822" s="6" t="str">
        <f>IF($D4822="","",IF(ISNA(MATCH($D4822,'Paramètres'!$M:$M,0)),"⚠ Type inconnu",IF($L4822="Crédit","",IFERROR(INDEX('Paramètres'!$O:$O,MATCH($D4822,'Paramètres'!$M:$M,0))&amp;"",""))))</f>
        <v/>
      </c>
      <c r="N4822" s="6" t="str">
        <f>IF($D4822="","",IFERROR(INDEX('Paramètres'!$Q:$Q,MATCH($D4822,'Paramètres'!$M:$M,0))&amp;"",""))</f>
        <v/>
      </c>
      <c r="O4822" s="6" t="str">
        <f>IF($A4822="","",IF(OR($J4822&lt;&gt;"x",$A4822&lt;=FinReleve),1,0))</f>
        <v/>
      </c>
      <c r="P4822" s="6" t="str">
        <f>IF($D4822="","",IF(AND($L4822="Crédit",OR(IFERROR(INDEX('Paramètres'!$O:$O,MATCH($D4822,'Paramètres'!$M:$M,0))&amp;"","")&lt;&gt;"",ISNUMBER(SEARCH("remboursement",IFERROR(INDEX('Paramètres'!$N:$N,MATCH($D4822,'Paramètres'!$M:$M,0))&amp;"",""))))),1,0))</f>
        <v/>
      </c>
      <c r="Q4822" s="6" t="str">
        <f>IF($K4822="","",IF(ISNUMBER(SEARCH("transfert-interne",IFERROR(INDEX('Paramètres'!$N:$N,MATCH($D4822,'Paramètres'!$M:$M,0))&amp;"",""))),0,IF($L4822="Débit",$K4822,IF($P4822=1,-$K4822,0))))</f>
        <v/>
      </c>
      <c r="R4822" s="6" t="str">
        <f>IF($K4822="","",IF($L4822="Crédit",$K4822,-$K4822))</f>
        <v/>
      </c>
      <c r="S4822" s="6" t="str">
        <f>IF($C4822="","",IFERROR(INDEX('Paramètres'!$H:$H,MATCH($C4822,'Paramètres'!$D:$D,0))&amp;"",""))</f>
        <v/>
      </c>
      <c r="T4822" s="6" t="str">
        <f>IF($K4822="","",IF($S4822="",0,IF(ISNUMBER(SEARCH("apport-exterieur",IFERROR(INDEX('Paramètres'!$N:$N,MATCH($D4822,'Paramètres'!$M:$M,0))&amp;"",""))),0,IF(OR(IFERROR(INDEX('Paramètres'!$I:$I,MATCH($C4822,'Paramètres'!$D:$D,0))&amp;"","")="Les deux",IFERROR(INDEX('Paramètres'!$I:$I,MATCH($C4822,'Paramètres'!$D:$D,0))&amp;"","")=IF($P4822=1,"Débit",$L4822)),-IF($P4822=1,-$K4822,$K4822),0))))</f>
        <v/>
      </c>
      <c r="U4822" s="6" t="str">
        <f>IF($K4822="","",IF(ISNUMBER(SEARCH("sortie-epargne",IFERROR(INDEX('Paramètres'!$N:$N,MATCH($D4822,'Paramètres'!$M:$M,0))&amp;"",""))),$K4822,0))</f>
        <v/>
      </c>
      <c r="V4822" s="6" t="str">
        <f>IF(AND($A4822&lt;&gt;"",$O4822=1,$L4822="Débit",N($Q4822)&gt;0,$A4822&gt;=Visualisation!$B$1,$A4822&lt;Visualisation!$D$1),MAX($V$1:V4821)+1,"")</f>
        <v/>
      </c>
    </row>
    <row r="4823" spans="1:22" x14ac:dyDescent="0.25">
      <c r="A4823" s="9"/>
      <c r="E4823" s="10"/>
      <c r="K4823" s="11" t="str">
        <f>IF($E4823="","",ROUND($E4823*IF(ISNA(MATCH($C4823,'Paramètres'!$D:$D,0)),1,IF(INDEX('Paramètres'!$J:$J,MATCH($C4823,'Paramètres'!$D:$D,0))="",1,INDEX('Paramètres'!$J:$J,MATCH($C4823,'Paramètres'!$D:$D,0)))),2))</f>
        <v/>
      </c>
      <c r="L4823" s="6" t="str">
        <f>IF($D4823="","",IF($F4823&lt;&gt;"",$F4823,IF(ISNA(MATCH($D4823,'Paramètres'!$M:$M,0)),"⚠ Type inconnu",IFERROR(INDEX('Paramètres'!$P:$P,MATCH($D4823,'Paramètres'!$M:$M,0))&amp;"",""))))</f>
        <v/>
      </c>
      <c r="M4823" s="6" t="str">
        <f>IF($D4823="","",IF(ISNA(MATCH($D4823,'Paramètres'!$M:$M,0)),"⚠ Type inconnu",IF($L4823="Crédit","",IFERROR(INDEX('Paramètres'!$O:$O,MATCH($D4823,'Paramètres'!$M:$M,0))&amp;"",""))))</f>
        <v/>
      </c>
      <c r="N4823" s="6" t="str">
        <f>IF($D4823="","",IFERROR(INDEX('Paramètres'!$Q:$Q,MATCH($D4823,'Paramètres'!$M:$M,0))&amp;"",""))</f>
        <v/>
      </c>
      <c r="O4823" s="6" t="str">
        <f>IF($A4823="","",IF(OR($J4823&lt;&gt;"x",$A4823&lt;=FinReleve),1,0))</f>
        <v/>
      </c>
      <c r="P4823" s="6" t="str">
        <f>IF($D4823="","",IF(AND($L4823="Crédit",OR(IFERROR(INDEX('Paramètres'!$O:$O,MATCH($D4823,'Paramètres'!$M:$M,0))&amp;"","")&lt;&gt;"",ISNUMBER(SEARCH("remboursement",IFERROR(INDEX('Paramètres'!$N:$N,MATCH($D4823,'Paramètres'!$M:$M,0))&amp;"",""))))),1,0))</f>
        <v/>
      </c>
      <c r="Q4823" s="6" t="str">
        <f>IF($K4823="","",IF(ISNUMBER(SEARCH("transfert-interne",IFERROR(INDEX('Paramètres'!$N:$N,MATCH($D4823,'Paramètres'!$M:$M,0))&amp;"",""))),0,IF($L4823="Débit",$K4823,IF($P4823=1,-$K4823,0))))</f>
        <v/>
      </c>
      <c r="R4823" s="6" t="str">
        <f>IF($K4823="","",IF($L4823="Crédit",$K4823,-$K4823))</f>
        <v/>
      </c>
      <c r="S4823" s="6" t="str">
        <f>IF($C4823="","",IFERROR(INDEX('Paramètres'!$H:$H,MATCH($C4823,'Paramètres'!$D:$D,0))&amp;"",""))</f>
        <v/>
      </c>
      <c r="T4823" s="6" t="str">
        <f>IF($K4823="","",IF($S4823="",0,IF(ISNUMBER(SEARCH("apport-exterieur",IFERROR(INDEX('Paramètres'!$N:$N,MATCH($D4823,'Paramètres'!$M:$M,0))&amp;"",""))),0,IF(OR(IFERROR(INDEX('Paramètres'!$I:$I,MATCH($C4823,'Paramètres'!$D:$D,0))&amp;"","")="Les deux",IFERROR(INDEX('Paramètres'!$I:$I,MATCH($C4823,'Paramètres'!$D:$D,0))&amp;"","")=IF($P4823=1,"Débit",$L4823)),-IF($P4823=1,-$K4823,$K4823),0))))</f>
        <v/>
      </c>
      <c r="U4823" s="6" t="str">
        <f>IF($K4823="","",IF(ISNUMBER(SEARCH("sortie-epargne",IFERROR(INDEX('Paramètres'!$N:$N,MATCH($D4823,'Paramètres'!$M:$M,0))&amp;"",""))),$K4823,0))</f>
        <v/>
      </c>
      <c r="V4823" s="6" t="str">
        <f>IF(AND($A4823&lt;&gt;"",$O4823=1,$L4823="Débit",N($Q4823)&gt;0,$A4823&gt;=Visualisation!$B$1,$A4823&lt;Visualisation!$D$1),MAX($V$1:V4822)+1,"")</f>
        <v/>
      </c>
    </row>
    <row r="4824" spans="1:22" x14ac:dyDescent="0.25">
      <c r="A4824" s="9"/>
      <c r="E4824" s="10"/>
      <c r="K4824" s="11" t="str">
        <f>IF($E4824="","",ROUND($E4824*IF(ISNA(MATCH($C4824,'Paramètres'!$D:$D,0)),1,IF(INDEX('Paramètres'!$J:$J,MATCH($C4824,'Paramètres'!$D:$D,0))="",1,INDEX('Paramètres'!$J:$J,MATCH($C4824,'Paramètres'!$D:$D,0)))),2))</f>
        <v/>
      </c>
      <c r="L4824" s="6" t="str">
        <f>IF($D4824="","",IF($F4824&lt;&gt;"",$F4824,IF(ISNA(MATCH($D4824,'Paramètres'!$M:$M,0)),"⚠ Type inconnu",IFERROR(INDEX('Paramètres'!$P:$P,MATCH($D4824,'Paramètres'!$M:$M,0))&amp;"",""))))</f>
        <v/>
      </c>
      <c r="M4824" s="6" t="str">
        <f>IF($D4824="","",IF(ISNA(MATCH($D4824,'Paramètres'!$M:$M,0)),"⚠ Type inconnu",IF($L4824="Crédit","",IFERROR(INDEX('Paramètres'!$O:$O,MATCH($D4824,'Paramètres'!$M:$M,0))&amp;"",""))))</f>
        <v/>
      </c>
      <c r="N4824" s="6" t="str">
        <f>IF($D4824="","",IFERROR(INDEX('Paramètres'!$Q:$Q,MATCH($D4824,'Paramètres'!$M:$M,0))&amp;"",""))</f>
        <v/>
      </c>
      <c r="O4824" s="6" t="str">
        <f>IF($A4824="","",IF(OR($J4824&lt;&gt;"x",$A4824&lt;=FinReleve),1,0))</f>
        <v/>
      </c>
      <c r="P4824" s="6" t="str">
        <f>IF($D4824="","",IF(AND($L4824="Crédit",OR(IFERROR(INDEX('Paramètres'!$O:$O,MATCH($D4824,'Paramètres'!$M:$M,0))&amp;"","")&lt;&gt;"",ISNUMBER(SEARCH("remboursement",IFERROR(INDEX('Paramètres'!$N:$N,MATCH($D4824,'Paramètres'!$M:$M,0))&amp;"",""))))),1,0))</f>
        <v/>
      </c>
      <c r="Q4824" s="6" t="str">
        <f>IF($K4824="","",IF(ISNUMBER(SEARCH("transfert-interne",IFERROR(INDEX('Paramètres'!$N:$N,MATCH($D4824,'Paramètres'!$M:$M,0))&amp;"",""))),0,IF($L4824="Débit",$K4824,IF($P4824=1,-$K4824,0))))</f>
        <v/>
      </c>
      <c r="R4824" s="6" t="str">
        <f>IF($K4824="","",IF($L4824="Crédit",$K4824,-$K4824))</f>
        <v/>
      </c>
      <c r="S4824" s="6" t="str">
        <f>IF($C4824="","",IFERROR(INDEX('Paramètres'!$H:$H,MATCH($C4824,'Paramètres'!$D:$D,0))&amp;"",""))</f>
        <v/>
      </c>
      <c r="T4824" s="6" t="str">
        <f>IF($K4824="","",IF($S4824="",0,IF(ISNUMBER(SEARCH("apport-exterieur",IFERROR(INDEX('Paramètres'!$N:$N,MATCH($D4824,'Paramètres'!$M:$M,0))&amp;"",""))),0,IF(OR(IFERROR(INDEX('Paramètres'!$I:$I,MATCH($C4824,'Paramètres'!$D:$D,0))&amp;"","")="Les deux",IFERROR(INDEX('Paramètres'!$I:$I,MATCH($C4824,'Paramètres'!$D:$D,0))&amp;"","")=IF($P4824=1,"Débit",$L4824)),-IF($P4824=1,-$K4824,$K4824),0))))</f>
        <v/>
      </c>
      <c r="U4824" s="6" t="str">
        <f>IF($K4824="","",IF(ISNUMBER(SEARCH("sortie-epargne",IFERROR(INDEX('Paramètres'!$N:$N,MATCH($D4824,'Paramètres'!$M:$M,0))&amp;"",""))),$K4824,0))</f>
        <v/>
      </c>
      <c r="V4824" s="6" t="str">
        <f>IF(AND($A4824&lt;&gt;"",$O4824=1,$L4824="Débit",N($Q4824)&gt;0,$A4824&gt;=Visualisation!$B$1,$A4824&lt;Visualisation!$D$1),MAX($V$1:V4823)+1,"")</f>
        <v/>
      </c>
    </row>
    <row r="4825" spans="1:22" x14ac:dyDescent="0.25">
      <c r="A4825" s="9"/>
      <c r="E4825" s="10"/>
      <c r="K4825" s="11" t="str">
        <f>IF($E4825="","",ROUND($E4825*IF(ISNA(MATCH($C4825,'Paramètres'!$D:$D,0)),1,IF(INDEX('Paramètres'!$J:$J,MATCH($C4825,'Paramètres'!$D:$D,0))="",1,INDEX('Paramètres'!$J:$J,MATCH($C4825,'Paramètres'!$D:$D,0)))),2))</f>
        <v/>
      </c>
      <c r="L4825" s="6" t="str">
        <f>IF($D4825="","",IF($F4825&lt;&gt;"",$F4825,IF(ISNA(MATCH($D4825,'Paramètres'!$M:$M,0)),"⚠ Type inconnu",IFERROR(INDEX('Paramètres'!$P:$P,MATCH($D4825,'Paramètres'!$M:$M,0))&amp;"",""))))</f>
        <v/>
      </c>
      <c r="M4825" s="6" t="str">
        <f>IF($D4825="","",IF(ISNA(MATCH($D4825,'Paramètres'!$M:$M,0)),"⚠ Type inconnu",IF($L4825="Crédit","",IFERROR(INDEX('Paramètres'!$O:$O,MATCH($D4825,'Paramètres'!$M:$M,0))&amp;"",""))))</f>
        <v/>
      </c>
      <c r="N4825" s="6" t="str">
        <f>IF($D4825="","",IFERROR(INDEX('Paramètres'!$Q:$Q,MATCH($D4825,'Paramètres'!$M:$M,0))&amp;"",""))</f>
        <v/>
      </c>
      <c r="O4825" s="6" t="str">
        <f>IF($A4825="","",IF(OR($J4825&lt;&gt;"x",$A4825&lt;=FinReleve),1,0))</f>
        <v/>
      </c>
      <c r="P4825" s="6" t="str">
        <f>IF($D4825="","",IF(AND($L4825="Crédit",OR(IFERROR(INDEX('Paramètres'!$O:$O,MATCH($D4825,'Paramètres'!$M:$M,0))&amp;"","")&lt;&gt;"",ISNUMBER(SEARCH("remboursement",IFERROR(INDEX('Paramètres'!$N:$N,MATCH($D4825,'Paramètres'!$M:$M,0))&amp;"",""))))),1,0))</f>
        <v/>
      </c>
      <c r="Q4825" s="6" t="str">
        <f>IF($K4825="","",IF(ISNUMBER(SEARCH("transfert-interne",IFERROR(INDEX('Paramètres'!$N:$N,MATCH($D4825,'Paramètres'!$M:$M,0))&amp;"",""))),0,IF($L4825="Débit",$K4825,IF($P4825=1,-$K4825,0))))</f>
        <v/>
      </c>
      <c r="R4825" s="6" t="str">
        <f>IF($K4825="","",IF($L4825="Crédit",$K4825,-$K4825))</f>
        <v/>
      </c>
      <c r="S4825" s="6" t="str">
        <f>IF($C4825="","",IFERROR(INDEX('Paramètres'!$H:$H,MATCH($C4825,'Paramètres'!$D:$D,0))&amp;"",""))</f>
        <v/>
      </c>
      <c r="T4825" s="6" t="str">
        <f>IF($K4825="","",IF($S4825="",0,IF(ISNUMBER(SEARCH("apport-exterieur",IFERROR(INDEX('Paramètres'!$N:$N,MATCH($D4825,'Paramètres'!$M:$M,0))&amp;"",""))),0,IF(OR(IFERROR(INDEX('Paramètres'!$I:$I,MATCH($C4825,'Paramètres'!$D:$D,0))&amp;"","")="Les deux",IFERROR(INDEX('Paramètres'!$I:$I,MATCH($C4825,'Paramètres'!$D:$D,0))&amp;"","")=IF($P4825=1,"Débit",$L4825)),-IF($P4825=1,-$K4825,$K4825),0))))</f>
        <v/>
      </c>
      <c r="U4825" s="6" t="str">
        <f>IF($K4825="","",IF(ISNUMBER(SEARCH("sortie-epargne",IFERROR(INDEX('Paramètres'!$N:$N,MATCH($D4825,'Paramètres'!$M:$M,0))&amp;"",""))),$K4825,0))</f>
        <v/>
      </c>
      <c r="V4825" s="6" t="str">
        <f>IF(AND($A4825&lt;&gt;"",$O4825=1,$L4825="Débit",N($Q4825)&gt;0,$A4825&gt;=Visualisation!$B$1,$A4825&lt;Visualisation!$D$1),MAX($V$1:V4824)+1,"")</f>
        <v/>
      </c>
    </row>
    <row r="4826" spans="1:22" x14ac:dyDescent="0.25">
      <c r="A4826" s="9"/>
      <c r="E4826" s="10"/>
      <c r="K4826" s="11" t="str">
        <f>IF($E4826="","",ROUND($E4826*IF(ISNA(MATCH($C4826,'Paramètres'!$D:$D,0)),1,IF(INDEX('Paramètres'!$J:$J,MATCH($C4826,'Paramètres'!$D:$D,0))="",1,INDEX('Paramètres'!$J:$J,MATCH($C4826,'Paramètres'!$D:$D,0)))),2))</f>
        <v/>
      </c>
      <c r="L4826" s="6" t="str">
        <f>IF($D4826="","",IF($F4826&lt;&gt;"",$F4826,IF(ISNA(MATCH($D4826,'Paramètres'!$M:$M,0)),"⚠ Type inconnu",IFERROR(INDEX('Paramètres'!$P:$P,MATCH($D4826,'Paramètres'!$M:$M,0))&amp;"",""))))</f>
        <v/>
      </c>
      <c r="M4826" s="6" t="str">
        <f>IF($D4826="","",IF(ISNA(MATCH($D4826,'Paramètres'!$M:$M,0)),"⚠ Type inconnu",IF($L4826="Crédit","",IFERROR(INDEX('Paramètres'!$O:$O,MATCH($D4826,'Paramètres'!$M:$M,0))&amp;"",""))))</f>
        <v/>
      </c>
      <c r="N4826" s="6" t="str">
        <f>IF($D4826="","",IFERROR(INDEX('Paramètres'!$Q:$Q,MATCH($D4826,'Paramètres'!$M:$M,0))&amp;"",""))</f>
        <v/>
      </c>
      <c r="O4826" s="6" t="str">
        <f>IF($A4826="","",IF(OR($J4826&lt;&gt;"x",$A4826&lt;=FinReleve),1,0))</f>
        <v/>
      </c>
      <c r="P4826" s="6" t="str">
        <f>IF($D4826="","",IF(AND($L4826="Crédit",OR(IFERROR(INDEX('Paramètres'!$O:$O,MATCH($D4826,'Paramètres'!$M:$M,0))&amp;"","")&lt;&gt;"",ISNUMBER(SEARCH("remboursement",IFERROR(INDEX('Paramètres'!$N:$N,MATCH($D4826,'Paramètres'!$M:$M,0))&amp;"",""))))),1,0))</f>
        <v/>
      </c>
      <c r="Q4826" s="6" t="str">
        <f>IF($K4826="","",IF(ISNUMBER(SEARCH("transfert-interne",IFERROR(INDEX('Paramètres'!$N:$N,MATCH($D4826,'Paramètres'!$M:$M,0))&amp;"",""))),0,IF($L4826="Débit",$K4826,IF($P4826=1,-$K4826,0))))</f>
        <v/>
      </c>
      <c r="R4826" s="6" t="str">
        <f>IF($K4826="","",IF($L4826="Crédit",$K4826,-$K4826))</f>
        <v/>
      </c>
      <c r="S4826" s="6" t="str">
        <f>IF($C4826="","",IFERROR(INDEX('Paramètres'!$H:$H,MATCH($C4826,'Paramètres'!$D:$D,0))&amp;"",""))</f>
        <v/>
      </c>
      <c r="T4826" s="6" t="str">
        <f>IF($K4826="","",IF($S4826="",0,IF(ISNUMBER(SEARCH("apport-exterieur",IFERROR(INDEX('Paramètres'!$N:$N,MATCH($D4826,'Paramètres'!$M:$M,0))&amp;"",""))),0,IF(OR(IFERROR(INDEX('Paramètres'!$I:$I,MATCH($C4826,'Paramètres'!$D:$D,0))&amp;"","")="Les deux",IFERROR(INDEX('Paramètres'!$I:$I,MATCH($C4826,'Paramètres'!$D:$D,0))&amp;"","")=IF($P4826=1,"Débit",$L4826)),-IF($P4826=1,-$K4826,$K4826),0))))</f>
        <v/>
      </c>
      <c r="U4826" s="6" t="str">
        <f>IF($K4826="","",IF(ISNUMBER(SEARCH("sortie-epargne",IFERROR(INDEX('Paramètres'!$N:$N,MATCH($D4826,'Paramètres'!$M:$M,0))&amp;"",""))),$K4826,0))</f>
        <v/>
      </c>
      <c r="V4826" s="6" t="str">
        <f>IF(AND($A4826&lt;&gt;"",$O4826=1,$L4826="Débit",N($Q4826)&gt;0,$A4826&gt;=Visualisation!$B$1,$A4826&lt;Visualisation!$D$1),MAX($V$1:V4825)+1,"")</f>
        <v/>
      </c>
    </row>
    <row r="4827" spans="1:22" x14ac:dyDescent="0.25">
      <c r="A4827" s="9"/>
      <c r="E4827" s="10"/>
      <c r="K4827" s="11" t="str">
        <f>IF($E4827="","",ROUND($E4827*IF(ISNA(MATCH($C4827,'Paramètres'!$D:$D,0)),1,IF(INDEX('Paramètres'!$J:$J,MATCH($C4827,'Paramètres'!$D:$D,0))="",1,INDEX('Paramètres'!$J:$J,MATCH($C4827,'Paramètres'!$D:$D,0)))),2))</f>
        <v/>
      </c>
      <c r="L4827" s="6" t="str">
        <f>IF($D4827="","",IF($F4827&lt;&gt;"",$F4827,IF(ISNA(MATCH($D4827,'Paramètres'!$M:$M,0)),"⚠ Type inconnu",IFERROR(INDEX('Paramètres'!$P:$P,MATCH($D4827,'Paramètres'!$M:$M,0))&amp;"",""))))</f>
        <v/>
      </c>
      <c r="M4827" s="6" t="str">
        <f>IF($D4827="","",IF(ISNA(MATCH($D4827,'Paramètres'!$M:$M,0)),"⚠ Type inconnu",IF($L4827="Crédit","",IFERROR(INDEX('Paramètres'!$O:$O,MATCH($D4827,'Paramètres'!$M:$M,0))&amp;"",""))))</f>
        <v/>
      </c>
      <c r="N4827" s="6" t="str">
        <f>IF($D4827="","",IFERROR(INDEX('Paramètres'!$Q:$Q,MATCH($D4827,'Paramètres'!$M:$M,0))&amp;"",""))</f>
        <v/>
      </c>
      <c r="O4827" s="6" t="str">
        <f>IF($A4827="","",IF(OR($J4827&lt;&gt;"x",$A4827&lt;=FinReleve),1,0))</f>
        <v/>
      </c>
      <c r="P4827" s="6" t="str">
        <f>IF($D4827="","",IF(AND($L4827="Crédit",OR(IFERROR(INDEX('Paramètres'!$O:$O,MATCH($D4827,'Paramètres'!$M:$M,0))&amp;"","")&lt;&gt;"",ISNUMBER(SEARCH("remboursement",IFERROR(INDEX('Paramètres'!$N:$N,MATCH($D4827,'Paramètres'!$M:$M,0))&amp;"",""))))),1,0))</f>
        <v/>
      </c>
      <c r="Q4827" s="6" t="str">
        <f>IF($K4827="","",IF(ISNUMBER(SEARCH("transfert-interne",IFERROR(INDEX('Paramètres'!$N:$N,MATCH($D4827,'Paramètres'!$M:$M,0))&amp;"",""))),0,IF($L4827="Débit",$K4827,IF($P4827=1,-$K4827,0))))</f>
        <v/>
      </c>
      <c r="R4827" s="6" t="str">
        <f>IF($K4827="","",IF($L4827="Crédit",$K4827,-$K4827))</f>
        <v/>
      </c>
      <c r="S4827" s="6" t="str">
        <f>IF($C4827="","",IFERROR(INDEX('Paramètres'!$H:$H,MATCH($C4827,'Paramètres'!$D:$D,0))&amp;"",""))</f>
        <v/>
      </c>
      <c r="T4827" s="6" t="str">
        <f>IF($K4827="","",IF($S4827="",0,IF(ISNUMBER(SEARCH("apport-exterieur",IFERROR(INDEX('Paramètres'!$N:$N,MATCH($D4827,'Paramètres'!$M:$M,0))&amp;"",""))),0,IF(OR(IFERROR(INDEX('Paramètres'!$I:$I,MATCH($C4827,'Paramètres'!$D:$D,0))&amp;"","")="Les deux",IFERROR(INDEX('Paramètres'!$I:$I,MATCH($C4827,'Paramètres'!$D:$D,0))&amp;"","")=IF($P4827=1,"Débit",$L4827)),-IF($P4827=1,-$K4827,$K4827),0))))</f>
        <v/>
      </c>
      <c r="U4827" s="6" t="str">
        <f>IF($K4827="","",IF(ISNUMBER(SEARCH("sortie-epargne",IFERROR(INDEX('Paramètres'!$N:$N,MATCH($D4827,'Paramètres'!$M:$M,0))&amp;"",""))),$K4827,0))</f>
        <v/>
      </c>
      <c r="V4827" s="6" t="str">
        <f>IF(AND($A4827&lt;&gt;"",$O4827=1,$L4827="Débit",N($Q4827)&gt;0,$A4827&gt;=Visualisation!$B$1,$A4827&lt;Visualisation!$D$1),MAX($V$1:V4826)+1,"")</f>
        <v/>
      </c>
    </row>
    <row r="4828" spans="1:22" x14ac:dyDescent="0.25">
      <c r="A4828" s="9"/>
      <c r="E4828" s="10"/>
      <c r="K4828" s="11" t="str">
        <f>IF($E4828="","",ROUND($E4828*IF(ISNA(MATCH($C4828,'Paramètres'!$D:$D,0)),1,IF(INDEX('Paramètres'!$J:$J,MATCH($C4828,'Paramètres'!$D:$D,0))="",1,INDEX('Paramètres'!$J:$J,MATCH($C4828,'Paramètres'!$D:$D,0)))),2))</f>
        <v/>
      </c>
      <c r="L4828" s="6" t="str">
        <f>IF($D4828="","",IF($F4828&lt;&gt;"",$F4828,IF(ISNA(MATCH($D4828,'Paramètres'!$M:$M,0)),"⚠ Type inconnu",IFERROR(INDEX('Paramètres'!$P:$P,MATCH($D4828,'Paramètres'!$M:$M,0))&amp;"",""))))</f>
        <v/>
      </c>
      <c r="M4828" s="6" t="str">
        <f>IF($D4828="","",IF(ISNA(MATCH($D4828,'Paramètres'!$M:$M,0)),"⚠ Type inconnu",IF($L4828="Crédit","",IFERROR(INDEX('Paramètres'!$O:$O,MATCH($D4828,'Paramètres'!$M:$M,0))&amp;"",""))))</f>
        <v/>
      </c>
      <c r="N4828" s="6" t="str">
        <f>IF($D4828="","",IFERROR(INDEX('Paramètres'!$Q:$Q,MATCH($D4828,'Paramètres'!$M:$M,0))&amp;"",""))</f>
        <v/>
      </c>
      <c r="O4828" s="6" t="str">
        <f>IF($A4828="","",IF(OR($J4828&lt;&gt;"x",$A4828&lt;=FinReleve),1,0))</f>
        <v/>
      </c>
      <c r="P4828" s="6" t="str">
        <f>IF($D4828="","",IF(AND($L4828="Crédit",OR(IFERROR(INDEX('Paramètres'!$O:$O,MATCH($D4828,'Paramètres'!$M:$M,0))&amp;"","")&lt;&gt;"",ISNUMBER(SEARCH("remboursement",IFERROR(INDEX('Paramètres'!$N:$N,MATCH($D4828,'Paramètres'!$M:$M,0))&amp;"",""))))),1,0))</f>
        <v/>
      </c>
      <c r="Q4828" s="6" t="str">
        <f>IF($K4828="","",IF(ISNUMBER(SEARCH("transfert-interne",IFERROR(INDEX('Paramètres'!$N:$N,MATCH($D4828,'Paramètres'!$M:$M,0))&amp;"",""))),0,IF($L4828="Débit",$K4828,IF($P4828=1,-$K4828,0))))</f>
        <v/>
      </c>
      <c r="R4828" s="6" t="str">
        <f>IF($K4828="","",IF($L4828="Crédit",$K4828,-$K4828))</f>
        <v/>
      </c>
      <c r="S4828" s="6" t="str">
        <f>IF($C4828="","",IFERROR(INDEX('Paramètres'!$H:$H,MATCH($C4828,'Paramètres'!$D:$D,0))&amp;"",""))</f>
        <v/>
      </c>
      <c r="T4828" s="6" t="str">
        <f>IF($K4828="","",IF($S4828="",0,IF(ISNUMBER(SEARCH("apport-exterieur",IFERROR(INDEX('Paramètres'!$N:$N,MATCH($D4828,'Paramètres'!$M:$M,0))&amp;"",""))),0,IF(OR(IFERROR(INDEX('Paramètres'!$I:$I,MATCH($C4828,'Paramètres'!$D:$D,0))&amp;"","")="Les deux",IFERROR(INDEX('Paramètres'!$I:$I,MATCH($C4828,'Paramètres'!$D:$D,0))&amp;"","")=IF($P4828=1,"Débit",$L4828)),-IF($P4828=1,-$K4828,$K4828),0))))</f>
        <v/>
      </c>
      <c r="U4828" s="6" t="str">
        <f>IF($K4828="","",IF(ISNUMBER(SEARCH("sortie-epargne",IFERROR(INDEX('Paramètres'!$N:$N,MATCH($D4828,'Paramètres'!$M:$M,0))&amp;"",""))),$K4828,0))</f>
        <v/>
      </c>
      <c r="V4828" s="6" t="str">
        <f>IF(AND($A4828&lt;&gt;"",$O4828=1,$L4828="Débit",N($Q4828)&gt;0,$A4828&gt;=Visualisation!$B$1,$A4828&lt;Visualisation!$D$1),MAX($V$1:V4827)+1,"")</f>
        <v/>
      </c>
    </row>
    <row r="4829" spans="1:22" x14ac:dyDescent="0.25">
      <c r="A4829" s="9"/>
      <c r="E4829" s="10"/>
      <c r="K4829" s="11" t="str">
        <f>IF($E4829="","",ROUND($E4829*IF(ISNA(MATCH($C4829,'Paramètres'!$D:$D,0)),1,IF(INDEX('Paramètres'!$J:$J,MATCH($C4829,'Paramètres'!$D:$D,0))="",1,INDEX('Paramètres'!$J:$J,MATCH($C4829,'Paramètres'!$D:$D,0)))),2))</f>
        <v/>
      </c>
      <c r="L4829" s="6" t="str">
        <f>IF($D4829="","",IF($F4829&lt;&gt;"",$F4829,IF(ISNA(MATCH($D4829,'Paramètres'!$M:$M,0)),"⚠ Type inconnu",IFERROR(INDEX('Paramètres'!$P:$P,MATCH($D4829,'Paramètres'!$M:$M,0))&amp;"",""))))</f>
        <v/>
      </c>
      <c r="M4829" s="6" t="str">
        <f>IF($D4829="","",IF(ISNA(MATCH($D4829,'Paramètres'!$M:$M,0)),"⚠ Type inconnu",IF($L4829="Crédit","",IFERROR(INDEX('Paramètres'!$O:$O,MATCH($D4829,'Paramètres'!$M:$M,0))&amp;"",""))))</f>
        <v/>
      </c>
      <c r="N4829" s="6" t="str">
        <f>IF($D4829="","",IFERROR(INDEX('Paramètres'!$Q:$Q,MATCH($D4829,'Paramètres'!$M:$M,0))&amp;"",""))</f>
        <v/>
      </c>
      <c r="O4829" s="6" t="str">
        <f>IF($A4829="","",IF(OR($J4829&lt;&gt;"x",$A4829&lt;=FinReleve),1,0))</f>
        <v/>
      </c>
      <c r="P4829" s="6" t="str">
        <f>IF($D4829="","",IF(AND($L4829="Crédit",OR(IFERROR(INDEX('Paramètres'!$O:$O,MATCH($D4829,'Paramètres'!$M:$M,0))&amp;"","")&lt;&gt;"",ISNUMBER(SEARCH("remboursement",IFERROR(INDEX('Paramètres'!$N:$N,MATCH($D4829,'Paramètres'!$M:$M,0))&amp;"",""))))),1,0))</f>
        <v/>
      </c>
      <c r="Q4829" s="6" t="str">
        <f>IF($K4829="","",IF(ISNUMBER(SEARCH("transfert-interne",IFERROR(INDEX('Paramètres'!$N:$N,MATCH($D4829,'Paramètres'!$M:$M,0))&amp;"",""))),0,IF($L4829="Débit",$K4829,IF($P4829=1,-$K4829,0))))</f>
        <v/>
      </c>
      <c r="R4829" s="6" t="str">
        <f>IF($K4829="","",IF($L4829="Crédit",$K4829,-$K4829))</f>
        <v/>
      </c>
      <c r="S4829" s="6" t="str">
        <f>IF($C4829="","",IFERROR(INDEX('Paramètres'!$H:$H,MATCH($C4829,'Paramètres'!$D:$D,0))&amp;"",""))</f>
        <v/>
      </c>
      <c r="T4829" s="6" t="str">
        <f>IF($K4829="","",IF($S4829="",0,IF(ISNUMBER(SEARCH("apport-exterieur",IFERROR(INDEX('Paramètres'!$N:$N,MATCH($D4829,'Paramètres'!$M:$M,0))&amp;"",""))),0,IF(OR(IFERROR(INDEX('Paramètres'!$I:$I,MATCH($C4829,'Paramètres'!$D:$D,0))&amp;"","")="Les deux",IFERROR(INDEX('Paramètres'!$I:$I,MATCH($C4829,'Paramètres'!$D:$D,0))&amp;"","")=IF($P4829=1,"Débit",$L4829)),-IF($P4829=1,-$K4829,$K4829),0))))</f>
        <v/>
      </c>
      <c r="U4829" s="6" t="str">
        <f>IF($K4829="","",IF(ISNUMBER(SEARCH("sortie-epargne",IFERROR(INDEX('Paramètres'!$N:$N,MATCH($D4829,'Paramètres'!$M:$M,0))&amp;"",""))),$K4829,0))</f>
        <v/>
      </c>
      <c r="V4829" s="6" t="str">
        <f>IF(AND($A4829&lt;&gt;"",$O4829=1,$L4829="Débit",N($Q4829)&gt;0,$A4829&gt;=Visualisation!$B$1,$A4829&lt;Visualisation!$D$1),MAX($V$1:V4828)+1,"")</f>
        <v/>
      </c>
    </row>
    <row r="4830" spans="1:22" x14ac:dyDescent="0.25">
      <c r="A4830" s="9"/>
      <c r="E4830" s="10"/>
      <c r="K4830" s="11" t="str">
        <f>IF($E4830="","",ROUND($E4830*IF(ISNA(MATCH($C4830,'Paramètres'!$D:$D,0)),1,IF(INDEX('Paramètres'!$J:$J,MATCH($C4830,'Paramètres'!$D:$D,0))="",1,INDEX('Paramètres'!$J:$J,MATCH($C4830,'Paramètres'!$D:$D,0)))),2))</f>
        <v/>
      </c>
      <c r="L4830" s="6" t="str">
        <f>IF($D4830="","",IF($F4830&lt;&gt;"",$F4830,IF(ISNA(MATCH($D4830,'Paramètres'!$M:$M,0)),"⚠ Type inconnu",IFERROR(INDEX('Paramètres'!$P:$P,MATCH($D4830,'Paramètres'!$M:$M,0))&amp;"",""))))</f>
        <v/>
      </c>
      <c r="M4830" s="6" t="str">
        <f>IF($D4830="","",IF(ISNA(MATCH($D4830,'Paramètres'!$M:$M,0)),"⚠ Type inconnu",IF($L4830="Crédit","",IFERROR(INDEX('Paramètres'!$O:$O,MATCH($D4830,'Paramètres'!$M:$M,0))&amp;"",""))))</f>
        <v/>
      </c>
      <c r="N4830" s="6" t="str">
        <f>IF($D4830="","",IFERROR(INDEX('Paramètres'!$Q:$Q,MATCH($D4830,'Paramètres'!$M:$M,0))&amp;"",""))</f>
        <v/>
      </c>
      <c r="O4830" s="6" t="str">
        <f>IF($A4830="","",IF(OR($J4830&lt;&gt;"x",$A4830&lt;=FinReleve),1,0))</f>
        <v/>
      </c>
      <c r="P4830" s="6" t="str">
        <f>IF($D4830="","",IF(AND($L4830="Crédit",OR(IFERROR(INDEX('Paramètres'!$O:$O,MATCH($D4830,'Paramètres'!$M:$M,0))&amp;"","")&lt;&gt;"",ISNUMBER(SEARCH("remboursement",IFERROR(INDEX('Paramètres'!$N:$N,MATCH($D4830,'Paramètres'!$M:$M,0))&amp;"",""))))),1,0))</f>
        <v/>
      </c>
      <c r="Q4830" s="6" t="str">
        <f>IF($K4830="","",IF(ISNUMBER(SEARCH("transfert-interne",IFERROR(INDEX('Paramètres'!$N:$N,MATCH($D4830,'Paramètres'!$M:$M,0))&amp;"",""))),0,IF($L4830="Débit",$K4830,IF($P4830=1,-$K4830,0))))</f>
        <v/>
      </c>
      <c r="R4830" s="6" t="str">
        <f>IF($K4830="","",IF($L4830="Crédit",$K4830,-$K4830))</f>
        <v/>
      </c>
      <c r="S4830" s="6" t="str">
        <f>IF($C4830="","",IFERROR(INDEX('Paramètres'!$H:$H,MATCH($C4830,'Paramètres'!$D:$D,0))&amp;"",""))</f>
        <v/>
      </c>
      <c r="T4830" s="6" t="str">
        <f>IF($K4830="","",IF($S4830="",0,IF(ISNUMBER(SEARCH("apport-exterieur",IFERROR(INDEX('Paramètres'!$N:$N,MATCH($D4830,'Paramètres'!$M:$M,0))&amp;"",""))),0,IF(OR(IFERROR(INDEX('Paramètres'!$I:$I,MATCH($C4830,'Paramètres'!$D:$D,0))&amp;"","")="Les deux",IFERROR(INDEX('Paramètres'!$I:$I,MATCH($C4830,'Paramètres'!$D:$D,0))&amp;"","")=IF($P4830=1,"Débit",$L4830)),-IF($P4830=1,-$K4830,$K4830),0))))</f>
        <v/>
      </c>
      <c r="U4830" s="6" t="str">
        <f>IF($K4830="","",IF(ISNUMBER(SEARCH("sortie-epargne",IFERROR(INDEX('Paramètres'!$N:$N,MATCH($D4830,'Paramètres'!$M:$M,0))&amp;"",""))),$K4830,0))</f>
        <v/>
      </c>
      <c r="V4830" s="6" t="str">
        <f>IF(AND($A4830&lt;&gt;"",$O4830=1,$L4830="Débit",N($Q4830)&gt;0,$A4830&gt;=Visualisation!$B$1,$A4830&lt;Visualisation!$D$1),MAX($V$1:V4829)+1,"")</f>
        <v/>
      </c>
    </row>
    <row r="4831" spans="1:22" x14ac:dyDescent="0.25">
      <c r="A4831" s="9"/>
      <c r="E4831" s="10"/>
      <c r="K4831" s="11" t="str">
        <f>IF($E4831="","",ROUND($E4831*IF(ISNA(MATCH($C4831,'Paramètres'!$D:$D,0)),1,IF(INDEX('Paramètres'!$J:$J,MATCH($C4831,'Paramètres'!$D:$D,0))="",1,INDEX('Paramètres'!$J:$J,MATCH($C4831,'Paramètres'!$D:$D,0)))),2))</f>
        <v/>
      </c>
      <c r="L4831" s="6" t="str">
        <f>IF($D4831="","",IF($F4831&lt;&gt;"",$F4831,IF(ISNA(MATCH($D4831,'Paramètres'!$M:$M,0)),"⚠ Type inconnu",IFERROR(INDEX('Paramètres'!$P:$P,MATCH($D4831,'Paramètres'!$M:$M,0))&amp;"",""))))</f>
        <v/>
      </c>
      <c r="M4831" s="6" t="str">
        <f>IF($D4831="","",IF(ISNA(MATCH($D4831,'Paramètres'!$M:$M,0)),"⚠ Type inconnu",IF($L4831="Crédit","",IFERROR(INDEX('Paramètres'!$O:$O,MATCH($D4831,'Paramètres'!$M:$M,0))&amp;"",""))))</f>
        <v/>
      </c>
      <c r="N4831" s="6" t="str">
        <f>IF($D4831="","",IFERROR(INDEX('Paramètres'!$Q:$Q,MATCH($D4831,'Paramètres'!$M:$M,0))&amp;"",""))</f>
        <v/>
      </c>
      <c r="O4831" s="6" t="str">
        <f>IF($A4831="","",IF(OR($J4831&lt;&gt;"x",$A4831&lt;=FinReleve),1,0))</f>
        <v/>
      </c>
      <c r="P4831" s="6" t="str">
        <f>IF($D4831="","",IF(AND($L4831="Crédit",OR(IFERROR(INDEX('Paramètres'!$O:$O,MATCH($D4831,'Paramètres'!$M:$M,0))&amp;"","")&lt;&gt;"",ISNUMBER(SEARCH("remboursement",IFERROR(INDEX('Paramètres'!$N:$N,MATCH($D4831,'Paramètres'!$M:$M,0))&amp;"",""))))),1,0))</f>
        <v/>
      </c>
      <c r="Q4831" s="6" t="str">
        <f>IF($K4831="","",IF(ISNUMBER(SEARCH("transfert-interne",IFERROR(INDEX('Paramètres'!$N:$N,MATCH($D4831,'Paramètres'!$M:$M,0))&amp;"",""))),0,IF($L4831="Débit",$K4831,IF($P4831=1,-$K4831,0))))</f>
        <v/>
      </c>
      <c r="R4831" s="6" t="str">
        <f>IF($K4831="","",IF($L4831="Crédit",$K4831,-$K4831))</f>
        <v/>
      </c>
      <c r="S4831" s="6" t="str">
        <f>IF($C4831="","",IFERROR(INDEX('Paramètres'!$H:$H,MATCH($C4831,'Paramètres'!$D:$D,0))&amp;"",""))</f>
        <v/>
      </c>
      <c r="T4831" s="6" t="str">
        <f>IF($K4831="","",IF($S4831="",0,IF(ISNUMBER(SEARCH("apport-exterieur",IFERROR(INDEX('Paramètres'!$N:$N,MATCH($D4831,'Paramètres'!$M:$M,0))&amp;"",""))),0,IF(OR(IFERROR(INDEX('Paramètres'!$I:$I,MATCH($C4831,'Paramètres'!$D:$D,0))&amp;"","")="Les deux",IFERROR(INDEX('Paramètres'!$I:$I,MATCH($C4831,'Paramètres'!$D:$D,0))&amp;"","")=IF($P4831=1,"Débit",$L4831)),-IF($P4831=1,-$K4831,$K4831),0))))</f>
        <v/>
      </c>
      <c r="U4831" s="6" t="str">
        <f>IF($K4831="","",IF(ISNUMBER(SEARCH("sortie-epargne",IFERROR(INDEX('Paramètres'!$N:$N,MATCH($D4831,'Paramètres'!$M:$M,0))&amp;"",""))),$K4831,0))</f>
        <v/>
      </c>
      <c r="V4831" s="6" t="str">
        <f>IF(AND($A4831&lt;&gt;"",$O4831=1,$L4831="Débit",N($Q4831)&gt;0,$A4831&gt;=Visualisation!$B$1,$A4831&lt;Visualisation!$D$1),MAX($V$1:V4830)+1,"")</f>
        <v/>
      </c>
    </row>
    <row r="4832" spans="1:22" x14ac:dyDescent="0.25">
      <c r="A4832" s="9"/>
      <c r="E4832" s="10"/>
      <c r="K4832" s="11" t="str">
        <f>IF($E4832="","",ROUND($E4832*IF(ISNA(MATCH($C4832,'Paramètres'!$D:$D,0)),1,IF(INDEX('Paramètres'!$J:$J,MATCH($C4832,'Paramètres'!$D:$D,0))="",1,INDEX('Paramètres'!$J:$J,MATCH($C4832,'Paramètres'!$D:$D,0)))),2))</f>
        <v/>
      </c>
      <c r="L4832" s="6" t="str">
        <f>IF($D4832="","",IF($F4832&lt;&gt;"",$F4832,IF(ISNA(MATCH($D4832,'Paramètres'!$M:$M,0)),"⚠ Type inconnu",IFERROR(INDEX('Paramètres'!$P:$P,MATCH($D4832,'Paramètres'!$M:$M,0))&amp;"",""))))</f>
        <v/>
      </c>
      <c r="M4832" s="6" t="str">
        <f>IF($D4832="","",IF(ISNA(MATCH($D4832,'Paramètres'!$M:$M,0)),"⚠ Type inconnu",IF($L4832="Crédit","",IFERROR(INDEX('Paramètres'!$O:$O,MATCH($D4832,'Paramètres'!$M:$M,0))&amp;"",""))))</f>
        <v/>
      </c>
      <c r="N4832" s="6" t="str">
        <f>IF($D4832="","",IFERROR(INDEX('Paramètres'!$Q:$Q,MATCH($D4832,'Paramètres'!$M:$M,0))&amp;"",""))</f>
        <v/>
      </c>
      <c r="O4832" s="6" t="str">
        <f>IF($A4832="","",IF(OR($J4832&lt;&gt;"x",$A4832&lt;=FinReleve),1,0))</f>
        <v/>
      </c>
      <c r="P4832" s="6" t="str">
        <f>IF($D4832="","",IF(AND($L4832="Crédit",OR(IFERROR(INDEX('Paramètres'!$O:$O,MATCH($D4832,'Paramètres'!$M:$M,0))&amp;"","")&lt;&gt;"",ISNUMBER(SEARCH("remboursement",IFERROR(INDEX('Paramètres'!$N:$N,MATCH($D4832,'Paramètres'!$M:$M,0))&amp;"",""))))),1,0))</f>
        <v/>
      </c>
      <c r="Q4832" s="6" t="str">
        <f>IF($K4832="","",IF(ISNUMBER(SEARCH("transfert-interne",IFERROR(INDEX('Paramètres'!$N:$N,MATCH($D4832,'Paramètres'!$M:$M,0))&amp;"",""))),0,IF($L4832="Débit",$K4832,IF($P4832=1,-$K4832,0))))</f>
        <v/>
      </c>
      <c r="R4832" s="6" t="str">
        <f>IF($K4832="","",IF($L4832="Crédit",$K4832,-$K4832))</f>
        <v/>
      </c>
      <c r="S4832" s="6" t="str">
        <f>IF($C4832="","",IFERROR(INDEX('Paramètres'!$H:$H,MATCH($C4832,'Paramètres'!$D:$D,0))&amp;"",""))</f>
        <v/>
      </c>
      <c r="T4832" s="6" t="str">
        <f>IF($K4832="","",IF($S4832="",0,IF(ISNUMBER(SEARCH("apport-exterieur",IFERROR(INDEX('Paramètres'!$N:$N,MATCH($D4832,'Paramètres'!$M:$M,0))&amp;"",""))),0,IF(OR(IFERROR(INDEX('Paramètres'!$I:$I,MATCH($C4832,'Paramètres'!$D:$D,0))&amp;"","")="Les deux",IFERROR(INDEX('Paramètres'!$I:$I,MATCH($C4832,'Paramètres'!$D:$D,0))&amp;"","")=IF($P4832=1,"Débit",$L4832)),-IF($P4832=1,-$K4832,$K4832),0))))</f>
        <v/>
      </c>
      <c r="U4832" s="6" t="str">
        <f>IF($K4832="","",IF(ISNUMBER(SEARCH("sortie-epargne",IFERROR(INDEX('Paramètres'!$N:$N,MATCH($D4832,'Paramètres'!$M:$M,0))&amp;"",""))),$K4832,0))</f>
        <v/>
      </c>
      <c r="V4832" s="6" t="str">
        <f>IF(AND($A4832&lt;&gt;"",$O4832=1,$L4832="Débit",N($Q4832)&gt;0,$A4832&gt;=Visualisation!$B$1,$A4832&lt;Visualisation!$D$1),MAX($V$1:V4831)+1,"")</f>
        <v/>
      </c>
    </row>
    <row r="4833" spans="1:22" x14ac:dyDescent="0.25">
      <c r="A4833" s="9"/>
      <c r="E4833" s="10"/>
      <c r="K4833" s="11" t="str">
        <f>IF($E4833="","",ROUND($E4833*IF(ISNA(MATCH($C4833,'Paramètres'!$D:$D,0)),1,IF(INDEX('Paramètres'!$J:$J,MATCH($C4833,'Paramètres'!$D:$D,0))="",1,INDEX('Paramètres'!$J:$J,MATCH($C4833,'Paramètres'!$D:$D,0)))),2))</f>
        <v/>
      </c>
      <c r="L4833" s="6" t="str">
        <f>IF($D4833="","",IF($F4833&lt;&gt;"",$F4833,IF(ISNA(MATCH($D4833,'Paramètres'!$M:$M,0)),"⚠ Type inconnu",IFERROR(INDEX('Paramètres'!$P:$P,MATCH($D4833,'Paramètres'!$M:$M,0))&amp;"",""))))</f>
        <v/>
      </c>
      <c r="M4833" s="6" t="str">
        <f>IF($D4833="","",IF(ISNA(MATCH($D4833,'Paramètres'!$M:$M,0)),"⚠ Type inconnu",IF($L4833="Crédit","",IFERROR(INDEX('Paramètres'!$O:$O,MATCH($D4833,'Paramètres'!$M:$M,0))&amp;"",""))))</f>
        <v/>
      </c>
      <c r="N4833" s="6" t="str">
        <f>IF($D4833="","",IFERROR(INDEX('Paramètres'!$Q:$Q,MATCH($D4833,'Paramètres'!$M:$M,0))&amp;"",""))</f>
        <v/>
      </c>
      <c r="O4833" s="6" t="str">
        <f>IF($A4833="","",IF(OR($J4833&lt;&gt;"x",$A4833&lt;=FinReleve),1,0))</f>
        <v/>
      </c>
      <c r="P4833" s="6" t="str">
        <f>IF($D4833="","",IF(AND($L4833="Crédit",OR(IFERROR(INDEX('Paramètres'!$O:$O,MATCH($D4833,'Paramètres'!$M:$M,0))&amp;"","")&lt;&gt;"",ISNUMBER(SEARCH("remboursement",IFERROR(INDEX('Paramètres'!$N:$N,MATCH($D4833,'Paramètres'!$M:$M,0))&amp;"",""))))),1,0))</f>
        <v/>
      </c>
      <c r="Q4833" s="6" t="str">
        <f>IF($K4833="","",IF(ISNUMBER(SEARCH("transfert-interne",IFERROR(INDEX('Paramètres'!$N:$N,MATCH($D4833,'Paramètres'!$M:$M,0))&amp;"",""))),0,IF($L4833="Débit",$K4833,IF($P4833=1,-$K4833,0))))</f>
        <v/>
      </c>
      <c r="R4833" s="6" t="str">
        <f>IF($K4833="","",IF($L4833="Crédit",$K4833,-$K4833))</f>
        <v/>
      </c>
      <c r="S4833" s="6" t="str">
        <f>IF($C4833="","",IFERROR(INDEX('Paramètres'!$H:$H,MATCH($C4833,'Paramètres'!$D:$D,0))&amp;"",""))</f>
        <v/>
      </c>
      <c r="T4833" s="6" t="str">
        <f>IF($K4833="","",IF($S4833="",0,IF(ISNUMBER(SEARCH("apport-exterieur",IFERROR(INDEX('Paramètres'!$N:$N,MATCH($D4833,'Paramètres'!$M:$M,0))&amp;"",""))),0,IF(OR(IFERROR(INDEX('Paramètres'!$I:$I,MATCH($C4833,'Paramètres'!$D:$D,0))&amp;"","")="Les deux",IFERROR(INDEX('Paramètres'!$I:$I,MATCH($C4833,'Paramètres'!$D:$D,0))&amp;"","")=IF($P4833=1,"Débit",$L4833)),-IF($P4833=1,-$K4833,$K4833),0))))</f>
        <v/>
      </c>
      <c r="U4833" s="6" t="str">
        <f>IF($K4833="","",IF(ISNUMBER(SEARCH("sortie-epargne",IFERROR(INDEX('Paramètres'!$N:$N,MATCH($D4833,'Paramètres'!$M:$M,0))&amp;"",""))),$K4833,0))</f>
        <v/>
      </c>
      <c r="V4833" s="6" t="str">
        <f>IF(AND($A4833&lt;&gt;"",$O4833=1,$L4833="Débit",N($Q4833)&gt;0,$A4833&gt;=Visualisation!$B$1,$A4833&lt;Visualisation!$D$1),MAX($V$1:V4832)+1,"")</f>
        <v/>
      </c>
    </row>
    <row r="4834" spans="1:22" x14ac:dyDescent="0.25">
      <c r="A4834" s="9"/>
      <c r="E4834" s="10"/>
      <c r="K4834" s="11" t="str">
        <f>IF($E4834="","",ROUND($E4834*IF(ISNA(MATCH($C4834,'Paramètres'!$D:$D,0)),1,IF(INDEX('Paramètres'!$J:$J,MATCH($C4834,'Paramètres'!$D:$D,0))="",1,INDEX('Paramètres'!$J:$J,MATCH($C4834,'Paramètres'!$D:$D,0)))),2))</f>
        <v/>
      </c>
      <c r="L4834" s="6" t="str">
        <f>IF($D4834="","",IF($F4834&lt;&gt;"",$F4834,IF(ISNA(MATCH($D4834,'Paramètres'!$M:$M,0)),"⚠ Type inconnu",IFERROR(INDEX('Paramètres'!$P:$P,MATCH($D4834,'Paramètres'!$M:$M,0))&amp;"",""))))</f>
        <v/>
      </c>
      <c r="M4834" s="6" t="str">
        <f>IF($D4834="","",IF(ISNA(MATCH($D4834,'Paramètres'!$M:$M,0)),"⚠ Type inconnu",IF($L4834="Crédit","",IFERROR(INDEX('Paramètres'!$O:$O,MATCH($D4834,'Paramètres'!$M:$M,0))&amp;"",""))))</f>
        <v/>
      </c>
      <c r="N4834" s="6" t="str">
        <f>IF($D4834="","",IFERROR(INDEX('Paramètres'!$Q:$Q,MATCH($D4834,'Paramètres'!$M:$M,0))&amp;"",""))</f>
        <v/>
      </c>
      <c r="O4834" s="6" t="str">
        <f>IF($A4834="","",IF(OR($J4834&lt;&gt;"x",$A4834&lt;=FinReleve),1,0))</f>
        <v/>
      </c>
      <c r="P4834" s="6" t="str">
        <f>IF($D4834="","",IF(AND($L4834="Crédit",OR(IFERROR(INDEX('Paramètres'!$O:$O,MATCH($D4834,'Paramètres'!$M:$M,0))&amp;"","")&lt;&gt;"",ISNUMBER(SEARCH("remboursement",IFERROR(INDEX('Paramètres'!$N:$N,MATCH($D4834,'Paramètres'!$M:$M,0))&amp;"",""))))),1,0))</f>
        <v/>
      </c>
      <c r="Q4834" s="6" t="str">
        <f>IF($K4834="","",IF(ISNUMBER(SEARCH("transfert-interne",IFERROR(INDEX('Paramètres'!$N:$N,MATCH($D4834,'Paramètres'!$M:$M,0))&amp;"",""))),0,IF($L4834="Débit",$K4834,IF($P4834=1,-$K4834,0))))</f>
        <v/>
      </c>
      <c r="R4834" s="6" t="str">
        <f>IF($K4834="","",IF($L4834="Crédit",$K4834,-$K4834))</f>
        <v/>
      </c>
      <c r="S4834" s="6" t="str">
        <f>IF($C4834="","",IFERROR(INDEX('Paramètres'!$H:$H,MATCH($C4834,'Paramètres'!$D:$D,0))&amp;"",""))</f>
        <v/>
      </c>
      <c r="T4834" s="6" t="str">
        <f>IF($K4834="","",IF($S4834="",0,IF(ISNUMBER(SEARCH("apport-exterieur",IFERROR(INDEX('Paramètres'!$N:$N,MATCH($D4834,'Paramètres'!$M:$M,0))&amp;"",""))),0,IF(OR(IFERROR(INDEX('Paramètres'!$I:$I,MATCH($C4834,'Paramètres'!$D:$D,0))&amp;"","")="Les deux",IFERROR(INDEX('Paramètres'!$I:$I,MATCH($C4834,'Paramètres'!$D:$D,0))&amp;"","")=IF($P4834=1,"Débit",$L4834)),-IF($P4834=1,-$K4834,$K4834),0))))</f>
        <v/>
      </c>
      <c r="U4834" s="6" t="str">
        <f>IF($K4834="","",IF(ISNUMBER(SEARCH("sortie-epargne",IFERROR(INDEX('Paramètres'!$N:$N,MATCH($D4834,'Paramètres'!$M:$M,0))&amp;"",""))),$K4834,0))</f>
        <v/>
      </c>
      <c r="V4834" s="6" t="str">
        <f>IF(AND($A4834&lt;&gt;"",$O4834=1,$L4834="Débit",N($Q4834)&gt;0,$A4834&gt;=Visualisation!$B$1,$A4834&lt;Visualisation!$D$1),MAX($V$1:V4833)+1,"")</f>
        <v/>
      </c>
    </row>
    <row r="4835" spans="1:22" x14ac:dyDescent="0.25">
      <c r="A4835" s="9"/>
      <c r="E4835" s="10"/>
      <c r="K4835" s="11" t="str">
        <f>IF($E4835="","",ROUND($E4835*IF(ISNA(MATCH($C4835,'Paramètres'!$D:$D,0)),1,IF(INDEX('Paramètres'!$J:$J,MATCH($C4835,'Paramètres'!$D:$D,0))="",1,INDEX('Paramètres'!$J:$J,MATCH($C4835,'Paramètres'!$D:$D,0)))),2))</f>
        <v/>
      </c>
      <c r="L4835" s="6" t="str">
        <f>IF($D4835="","",IF($F4835&lt;&gt;"",$F4835,IF(ISNA(MATCH($D4835,'Paramètres'!$M:$M,0)),"⚠ Type inconnu",IFERROR(INDEX('Paramètres'!$P:$P,MATCH($D4835,'Paramètres'!$M:$M,0))&amp;"",""))))</f>
        <v/>
      </c>
      <c r="M4835" s="6" t="str">
        <f>IF($D4835="","",IF(ISNA(MATCH($D4835,'Paramètres'!$M:$M,0)),"⚠ Type inconnu",IF($L4835="Crédit","",IFERROR(INDEX('Paramètres'!$O:$O,MATCH($D4835,'Paramètres'!$M:$M,0))&amp;"",""))))</f>
        <v/>
      </c>
      <c r="N4835" s="6" t="str">
        <f>IF($D4835="","",IFERROR(INDEX('Paramètres'!$Q:$Q,MATCH($D4835,'Paramètres'!$M:$M,0))&amp;"",""))</f>
        <v/>
      </c>
      <c r="O4835" s="6" t="str">
        <f>IF($A4835="","",IF(OR($J4835&lt;&gt;"x",$A4835&lt;=FinReleve),1,0))</f>
        <v/>
      </c>
      <c r="P4835" s="6" t="str">
        <f>IF($D4835="","",IF(AND($L4835="Crédit",OR(IFERROR(INDEX('Paramètres'!$O:$O,MATCH($D4835,'Paramètres'!$M:$M,0))&amp;"","")&lt;&gt;"",ISNUMBER(SEARCH("remboursement",IFERROR(INDEX('Paramètres'!$N:$N,MATCH($D4835,'Paramètres'!$M:$M,0))&amp;"",""))))),1,0))</f>
        <v/>
      </c>
      <c r="Q4835" s="6" t="str">
        <f>IF($K4835="","",IF(ISNUMBER(SEARCH("transfert-interne",IFERROR(INDEX('Paramètres'!$N:$N,MATCH($D4835,'Paramètres'!$M:$M,0))&amp;"",""))),0,IF($L4835="Débit",$K4835,IF($P4835=1,-$K4835,0))))</f>
        <v/>
      </c>
      <c r="R4835" s="6" t="str">
        <f>IF($K4835="","",IF($L4835="Crédit",$K4835,-$K4835))</f>
        <v/>
      </c>
      <c r="S4835" s="6" t="str">
        <f>IF($C4835="","",IFERROR(INDEX('Paramètres'!$H:$H,MATCH($C4835,'Paramètres'!$D:$D,0))&amp;"",""))</f>
        <v/>
      </c>
      <c r="T4835" s="6" t="str">
        <f>IF($K4835="","",IF($S4835="",0,IF(ISNUMBER(SEARCH("apport-exterieur",IFERROR(INDEX('Paramètres'!$N:$N,MATCH($D4835,'Paramètres'!$M:$M,0))&amp;"",""))),0,IF(OR(IFERROR(INDEX('Paramètres'!$I:$I,MATCH($C4835,'Paramètres'!$D:$D,0))&amp;"","")="Les deux",IFERROR(INDEX('Paramètres'!$I:$I,MATCH($C4835,'Paramètres'!$D:$D,0))&amp;"","")=IF($P4835=1,"Débit",$L4835)),-IF($P4835=1,-$K4835,$K4835),0))))</f>
        <v/>
      </c>
      <c r="U4835" s="6" t="str">
        <f>IF($K4835="","",IF(ISNUMBER(SEARCH("sortie-epargne",IFERROR(INDEX('Paramètres'!$N:$N,MATCH($D4835,'Paramètres'!$M:$M,0))&amp;"",""))),$K4835,0))</f>
        <v/>
      </c>
      <c r="V4835" s="6" t="str">
        <f>IF(AND($A4835&lt;&gt;"",$O4835=1,$L4835="Débit",N($Q4835)&gt;0,$A4835&gt;=Visualisation!$B$1,$A4835&lt;Visualisation!$D$1),MAX($V$1:V4834)+1,"")</f>
        <v/>
      </c>
    </row>
    <row r="4836" spans="1:22" x14ac:dyDescent="0.25">
      <c r="A4836" s="9"/>
      <c r="E4836" s="10"/>
      <c r="K4836" s="11" t="str">
        <f>IF($E4836="","",ROUND($E4836*IF(ISNA(MATCH($C4836,'Paramètres'!$D:$D,0)),1,IF(INDEX('Paramètres'!$J:$J,MATCH($C4836,'Paramètres'!$D:$D,0))="",1,INDEX('Paramètres'!$J:$J,MATCH($C4836,'Paramètres'!$D:$D,0)))),2))</f>
        <v/>
      </c>
      <c r="L4836" s="6" t="str">
        <f>IF($D4836="","",IF($F4836&lt;&gt;"",$F4836,IF(ISNA(MATCH($D4836,'Paramètres'!$M:$M,0)),"⚠ Type inconnu",IFERROR(INDEX('Paramètres'!$P:$P,MATCH($D4836,'Paramètres'!$M:$M,0))&amp;"",""))))</f>
        <v/>
      </c>
      <c r="M4836" s="6" t="str">
        <f>IF($D4836="","",IF(ISNA(MATCH($D4836,'Paramètres'!$M:$M,0)),"⚠ Type inconnu",IF($L4836="Crédit","",IFERROR(INDEX('Paramètres'!$O:$O,MATCH($D4836,'Paramètres'!$M:$M,0))&amp;"",""))))</f>
        <v/>
      </c>
      <c r="N4836" s="6" t="str">
        <f>IF($D4836="","",IFERROR(INDEX('Paramètres'!$Q:$Q,MATCH($D4836,'Paramètres'!$M:$M,0))&amp;"",""))</f>
        <v/>
      </c>
      <c r="O4836" s="6" t="str">
        <f>IF($A4836="","",IF(OR($J4836&lt;&gt;"x",$A4836&lt;=FinReleve),1,0))</f>
        <v/>
      </c>
      <c r="P4836" s="6" t="str">
        <f>IF($D4836="","",IF(AND($L4836="Crédit",OR(IFERROR(INDEX('Paramètres'!$O:$O,MATCH($D4836,'Paramètres'!$M:$M,0))&amp;"","")&lt;&gt;"",ISNUMBER(SEARCH("remboursement",IFERROR(INDEX('Paramètres'!$N:$N,MATCH($D4836,'Paramètres'!$M:$M,0))&amp;"",""))))),1,0))</f>
        <v/>
      </c>
      <c r="Q4836" s="6" t="str">
        <f>IF($K4836="","",IF(ISNUMBER(SEARCH("transfert-interne",IFERROR(INDEX('Paramètres'!$N:$N,MATCH($D4836,'Paramètres'!$M:$M,0))&amp;"",""))),0,IF($L4836="Débit",$K4836,IF($P4836=1,-$K4836,0))))</f>
        <v/>
      </c>
      <c r="R4836" s="6" t="str">
        <f>IF($K4836="","",IF($L4836="Crédit",$K4836,-$K4836))</f>
        <v/>
      </c>
      <c r="S4836" s="6" t="str">
        <f>IF($C4836="","",IFERROR(INDEX('Paramètres'!$H:$H,MATCH($C4836,'Paramètres'!$D:$D,0))&amp;"",""))</f>
        <v/>
      </c>
      <c r="T4836" s="6" t="str">
        <f>IF($K4836="","",IF($S4836="",0,IF(ISNUMBER(SEARCH("apport-exterieur",IFERROR(INDEX('Paramètres'!$N:$N,MATCH($D4836,'Paramètres'!$M:$M,0))&amp;"",""))),0,IF(OR(IFERROR(INDEX('Paramètres'!$I:$I,MATCH($C4836,'Paramètres'!$D:$D,0))&amp;"","")="Les deux",IFERROR(INDEX('Paramètres'!$I:$I,MATCH($C4836,'Paramètres'!$D:$D,0))&amp;"","")=IF($P4836=1,"Débit",$L4836)),-IF($P4836=1,-$K4836,$K4836),0))))</f>
        <v/>
      </c>
      <c r="U4836" s="6" t="str">
        <f>IF($K4836="","",IF(ISNUMBER(SEARCH("sortie-epargne",IFERROR(INDEX('Paramètres'!$N:$N,MATCH($D4836,'Paramètres'!$M:$M,0))&amp;"",""))),$K4836,0))</f>
        <v/>
      </c>
      <c r="V4836" s="6" t="str">
        <f>IF(AND($A4836&lt;&gt;"",$O4836=1,$L4836="Débit",N($Q4836)&gt;0,$A4836&gt;=Visualisation!$B$1,$A4836&lt;Visualisation!$D$1),MAX($V$1:V4835)+1,"")</f>
        <v/>
      </c>
    </row>
    <row r="4837" spans="1:22" x14ac:dyDescent="0.25">
      <c r="A4837" s="9"/>
      <c r="E4837" s="10"/>
      <c r="K4837" s="11" t="str">
        <f>IF($E4837="","",ROUND($E4837*IF(ISNA(MATCH($C4837,'Paramètres'!$D:$D,0)),1,IF(INDEX('Paramètres'!$J:$J,MATCH($C4837,'Paramètres'!$D:$D,0))="",1,INDEX('Paramètres'!$J:$J,MATCH($C4837,'Paramètres'!$D:$D,0)))),2))</f>
        <v/>
      </c>
      <c r="L4837" s="6" t="str">
        <f>IF($D4837="","",IF($F4837&lt;&gt;"",$F4837,IF(ISNA(MATCH($D4837,'Paramètres'!$M:$M,0)),"⚠ Type inconnu",IFERROR(INDEX('Paramètres'!$P:$P,MATCH($D4837,'Paramètres'!$M:$M,0))&amp;"",""))))</f>
        <v/>
      </c>
      <c r="M4837" s="6" t="str">
        <f>IF($D4837="","",IF(ISNA(MATCH($D4837,'Paramètres'!$M:$M,0)),"⚠ Type inconnu",IF($L4837="Crédit","",IFERROR(INDEX('Paramètres'!$O:$O,MATCH($D4837,'Paramètres'!$M:$M,0))&amp;"",""))))</f>
        <v/>
      </c>
      <c r="N4837" s="6" t="str">
        <f>IF($D4837="","",IFERROR(INDEX('Paramètres'!$Q:$Q,MATCH($D4837,'Paramètres'!$M:$M,0))&amp;"",""))</f>
        <v/>
      </c>
      <c r="O4837" s="6" t="str">
        <f>IF($A4837="","",IF(OR($J4837&lt;&gt;"x",$A4837&lt;=FinReleve),1,0))</f>
        <v/>
      </c>
      <c r="P4837" s="6" t="str">
        <f>IF($D4837="","",IF(AND($L4837="Crédit",OR(IFERROR(INDEX('Paramètres'!$O:$O,MATCH($D4837,'Paramètres'!$M:$M,0))&amp;"","")&lt;&gt;"",ISNUMBER(SEARCH("remboursement",IFERROR(INDEX('Paramètres'!$N:$N,MATCH($D4837,'Paramètres'!$M:$M,0))&amp;"",""))))),1,0))</f>
        <v/>
      </c>
      <c r="Q4837" s="6" t="str">
        <f>IF($K4837="","",IF(ISNUMBER(SEARCH("transfert-interne",IFERROR(INDEX('Paramètres'!$N:$N,MATCH($D4837,'Paramètres'!$M:$M,0))&amp;"",""))),0,IF($L4837="Débit",$K4837,IF($P4837=1,-$K4837,0))))</f>
        <v/>
      </c>
      <c r="R4837" s="6" t="str">
        <f>IF($K4837="","",IF($L4837="Crédit",$K4837,-$K4837))</f>
        <v/>
      </c>
      <c r="S4837" s="6" t="str">
        <f>IF($C4837="","",IFERROR(INDEX('Paramètres'!$H:$H,MATCH($C4837,'Paramètres'!$D:$D,0))&amp;"",""))</f>
        <v/>
      </c>
      <c r="T4837" s="6" t="str">
        <f>IF($K4837="","",IF($S4837="",0,IF(ISNUMBER(SEARCH("apport-exterieur",IFERROR(INDEX('Paramètres'!$N:$N,MATCH($D4837,'Paramètres'!$M:$M,0))&amp;"",""))),0,IF(OR(IFERROR(INDEX('Paramètres'!$I:$I,MATCH($C4837,'Paramètres'!$D:$D,0))&amp;"","")="Les deux",IFERROR(INDEX('Paramètres'!$I:$I,MATCH($C4837,'Paramètres'!$D:$D,0))&amp;"","")=IF($P4837=1,"Débit",$L4837)),-IF($P4837=1,-$K4837,$K4837),0))))</f>
        <v/>
      </c>
      <c r="U4837" s="6" t="str">
        <f>IF($K4837="","",IF(ISNUMBER(SEARCH("sortie-epargne",IFERROR(INDEX('Paramètres'!$N:$N,MATCH($D4837,'Paramètres'!$M:$M,0))&amp;"",""))),$K4837,0))</f>
        <v/>
      </c>
      <c r="V4837" s="6" t="str">
        <f>IF(AND($A4837&lt;&gt;"",$O4837=1,$L4837="Débit",N($Q4837)&gt;0,$A4837&gt;=Visualisation!$B$1,$A4837&lt;Visualisation!$D$1),MAX($V$1:V4836)+1,"")</f>
        <v/>
      </c>
    </row>
    <row r="4838" spans="1:22" x14ac:dyDescent="0.25">
      <c r="A4838" s="9"/>
      <c r="E4838" s="10"/>
      <c r="K4838" s="11" t="str">
        <f>IF($E4838="","",ROUND($E4838*IF(ISNA(MATCH($C4838,'Paramètres'!$D:$D,0)),1,IF(INDEX('Paramètres'!$J:$J,MATCH($C4838,'Paramètres'!$D:$D,0))="",1,INDEX('Paramètres'!$J:$J,MATCH($C4838,'Paramètres'!$D:$D,0)))),2))</f>
        <v/>
      </c>
      <c r="L4838" s="6" t="str">
        <f>IF($D4838="","",IF($F4838&lt;&gt;"",$F4838,IF(ISNA(MATCH($D4838,'Paramètres'!$M:$M,0)),"⚠ Type inconnu",IFERROR(INDEX('Paramètres'!$P:$P,MATCH($D4838,'Paramètres'!$M:$M,0))&amp;"",""))))</f>
        <v/>
      </c>
      <c r="M4838" s="6" t="str">
        <f>IF($D4838="","",IF(ISNA(MATCH($D4838,'Paramètres'!$M:$M,0)),"⚠ Type inconnu",IF($L4838="Crédit","",IFERROR(INDEX('Paramètres'!$O:$O,MATCH($D4838,'Paramètres'!$M:$M,0))&amp;"",""))))</f>
        <v/>
      </c>
      <c r="N4838" s="6" t="str">
        <f>IF($D4838="","",IFERROR(INDEX('Paramètres'!$Q:$Q,MATCH($D4838,'Paramètres'!$M:$M,0))&amp;"",""))</f>
        <v/>
      </c>
      <c r="O4838" s="6" t="str">
        <f>IF($A4838="","",IF(OR($J4838&lt;&gt;"x",$A4838&lt;=FinReleve),1,0))</f>
        <v/>
      </c>
      <c r="P4838" s="6" t="str">
        <f>IF($D4838="","",IF(AND($L4838="Crédit",OR(IFERROR(INDEX('Paramètres'!$O:$O,MATCH($D4838,'Paramètres'!$M:$M,0))&amp;"","")&lt;&gt;"",ISNUMBER(SEARCH("remboursement",IFERROR(INDEX('Paramètres'!$N:$N,MATCH($D4838,'Paramètres'!$M:$M,0))&amp;"",""))))),1,0))</f>
        <v/>
      </c>
      <c r="Q4838" s="6" t="str">
        <f>IF($K4838="","",IF(ISNUMBER(SEARCH("transfert-interne",IFERROR(INDEX('Paramètres'!$N:$N,MATCH($D4838,'Paramètres'!$M:$M,0))&amp;"",""))),0,IF($L4838="Débit",$K4838,IF($P4838=1,-$K4838,0))))</f>
        <v/>
      </c>
      <c r="R4838" s="6" t="str">
        <f>IF($K4838="","",IF($L4838="Crédit",$K4838,-$K4838))</f>
        <v/>
      </c>
      <c r="S4838" s="6" t="str">
        <f>IF($C4838="","",IFERROR(INDEX('Paramètres'!$H:$H,MATCH($C4838,'Paramètres'!$D:$D,0))&amp;"",""))</f>
        <v/>
      </c>
      <c r="T4838" s="6" t="str">
        <f>IF($K4838="","",IF($S4838="",0,IF(ISNUMBER(SEARCH("apport-exterieur",IFERROR(INDEX('Paramètres'!$N:$N,MATCH($D4838,'Paramètres'!$M:$M,0))&amp;"",""))),0,IF(OR(IFERROR(INDEX('Paramètres'!$I:$I,MATCH($C4838,'Paramètres'!$D:$D,0))&amp;"","")="Les deux",IFERROR(INDEX('Paramètres'!$I:$I,MATCH($C4838,'Paramètres'!$D:$D,0))&amp;"","")=IF($P4838=1,"Débit",$L4838)),-IF($P4838=1,-$K4838,$K4838),0))))</f>
        <v/>
      </c>
      <c r="U4838" s="6" t="str">
        <f>IF($K4838="","",IF(ISNUMBER(SEARCH("sortie-epargne",IFERROR(INDEX('Paramètres'!$N:$N,MATCH($D4838,'Paramètres'!$M:$M,0))&amp;"",""))),$K4838,0))</f>
        <v/>
      </c>
      <c r="V4838" s="6" t="str">
        <f>IF(AND($A4838&lt;&gt;"",$O4838=1,$L4838="Débit",N($Q4838)&gt;0,$A4838&gt;=Visualisation!$B$1,$A4838&lt;Visualisation!$D$1),MAX($V$1:V4837)+1,"")</f>
        <v/>
      </c>
    </row>
    <row r="4839" spans="1:22" x14ac:dyDescent="0.25">
      <c r="A4839" s="9"/>
      <c r="E4839" s="10"/>
      <c r="K4839" s="11" t="str">
        <f>IF($E4839="","",ROUND($E4839*IF(ISNA(MATCH($C4839,'Paramètres'!$D:$D,0)),1,IF(INDEX('Paramètres'!$J:$J,MATCH($C4839,'Paramètres'!$D:$D,0))="",1,INDEX('Paramètres'!$J:$J,MATCH($C4839,'Paramètres'!$D:$D,0)))),2))</f>
        <v/>
      </c>
      <c r="L4839" s="6" t="str">
        <f>IF($D4839="","",IF($F4839&lt;&gt;"",$F4839,IF(ISNA(MATCH($D4839,'Paramètres'!$M:$M,0)),"⚠ Type inconnu",IFERROR(INDEX('Paramètres'!$P:$P,MATCH($D4839,'Paramètres'!$M:$M,0))&amp;"",""))))</f>
        <v/>
      </c>
      <c r="M4839" s="6" t="str">
        <f>IF($D4839="","",IF(ISNA(MATCH($D4839,'Paramètres'!$M:$M,0)),"⚠ Type inconnu",IF($L4839="Crédit","",IFERROR(INDEX('Paramètres'!$O:$O,MATCH($D4839,'Paramètres'!$M:$M,0))&amp;"",""))))</f>
        <v/>
      </c>
      <c r="N4839" s="6" t="str">
        <f>IF($D4839="","",IFERROR(INDEX('Paramètres'!$Q:$Q,MATCH($D4839,'Paramètres'!$M:$M,0))&amp;"",""))</f>
        <v/>
      </c>
      <c r="O4839" s="6" t="str">
        <f>IF($A4839="","",IF(OR($J4839&lt;&gt;"x",$A4839&lt;=FinReleve),1,0))</f>
        <v/>
      </c>
      <c r="P4839" s="6" t="str">
        <f>IF($D4839="","",IF(AND($L4839="Crédit",OR(IFERROR(INDEX('Paramètres'!$O:$O,MATCH($D4839,'Paramètres'!$M:$M,0))&amp;"","")&lt;&gt;"",ISNUMBER(SEARCH("remboursement",IFERROR(INDEX('Paramètres'!$N:$N,MATCH($D4839,'Paramètres'!$M:$M,0))&amp;"",""))))),1,0))</f>
        <v/>
      </c>
      <c r="Q4839" s="6" t="str">
        <f>IF($K4839="","",IF(ISNUMBER(SEARCH("transfert-interne",IFERROR(INDEX('Paramètres'!$N:$N,MATCH($D4839,'Paramètres'!$M:$M,0))&amp;"",""))),0,IF($L4839="Débit",$K4839,IF($P4839=1,-$K4839,0))))</f>
        <v/>
      </c>
      <c r="R4839" s="6" t="str">
        <f>IF($K4839="","",IF($L4839="Crédit",$K4839,-$K4839))</f>
        <v/>
      </c>
      <c r="S4839" s="6" t="str">
        <f>IF($C4839="","",IFERROR(INDEX('Paramètres'!$H:$H,MATCH($C4839,'Paramètres'!$D:$D,0))&amp;"",""))</f>
        <v/>
      </c>
      <c r="T4839" s="6" t="str">
        <f>IF($K4839="","",IF($S4839="",0,IF(ISNUMBER(SEARCH("apport-exterieur",IFERROR(INDEX('Paramètres'!$N:$N,MATCH($D4839,'Paramètres'!$M:$M,0))&amp;"",""))),0,IF(OR(IFERROR(INDEX('Paramètres'!$I:$I,MATCH($C4839,'Paramètres'!$D:$D,0))&amp;"","")="Les deux",IFERROR(INDEX('Paramètres'!$I:$I,MATCH($C4839,'Paramètres'!$D:$D,0))&amp;"","")=IF($P4839=1,"Débit",$L4839)),-IF($P4839=1,-$K4839,$K4839),0))))</f>
        <v/>
      </c>
      <c r="U4839" s="6" t="str">
        <f>IF($K4839="","",IF(ISNUMBER(SEARCH("sortie-epargne",IFERROR(INDEX('Paramètres'!$N:$N,MATCH($D4839,'Paramètres'!$M:$M,0))&amp;"",""))),$K4839,0))</f>
        <v/>
      </c>
      <c r="V4839" s="6" t="str">
        <f>IF(AND($A4839&lt;&gt;"",$O4839=1,$L4839="Débit",N($Q4839)&gt;0,$A4839&gt;=Visualisation!$B$1,$A4839&lt;Visualisation!$D$1),MAX($V$1:V4838)+1,"")</f>
        <v/>
      </c>
    </row>
    <row r="4840" spans="1:22" x14ac:dyDescent="0.25">
      <c r="A4840" s="9"/>
      <c r="E4840" s="10"/>
      <c r="K4840" s="11" t="str">
        <f>IF($E4840="","",ROUND($E4840*IF(ISNA(MATCH($C4840,'Paramètres'!$D:$D,0)),1,IF(INDEX('Paramètres'!$J:$J,MATCH($C4840,'Paramètres'!$D:$D,0))="",1,INDEX('Paramètres'!$J:$J,MATCH($C4840,'Paramètres'!$D:$D,0)))),2))</f>
        <v/>
      </c>
      <c r="L4840" s="6" t="str">
        <f>IF($D4840="","",IF($F4840&lt;&gt;"",$F4840,IF(ISNA(MATCH($D4840,'Paramètres'!$M:$M,0)),"⚠ Type inconnu",IFERROR(INDEX('Paramètres'!$P:$P,MATCH($D4840,'Paramètres'!$M:$M,0))&amp;"",""))))</f>
        <v/>
      </c>
      <c r="M4840" s="6" t="str">
        <f>IF($D4840="","",IF(ISNA(MATCH($D4840,'Paramètres'!$M:$M,0)),"⚠ Type inconnu",IF($L4840="Crédit","",IFERROR(INDEX('Paramètres'!$O:$O,MATCH($D4840,'Paramètres'!$M:$M,0))&amp;"",""))))</f>
        <v/>
      </c>
      <c r="N4840" s="6" t="str">
        <f>IF($D4840="","",IFERROR(INDEX('Paramètres'!$Q:$Q,MATCH($D4840,'Paramètres'!$M:$M,0))&amp;"",""))</f>
        <v/>
      </c>
      <c r="O4840" s="6" t="str">
        <f>IF($A4840="","",IF(OR($J4840&lt;&gt;"x",$A4840&lt;=FinReleve),1,0))</f>
        <v/>
      </c>
      <c r="P4840" s="6" t="str">
        <f>IF($D4840="","",IF(AND($L4840="Crédit",OR(IFERROR(INDEX('Paramètres'!$O:$O,MATCH($D4840,'Paramètres'!$M:$M,0))&amp;"","")&lt;&gt;"",ISNUMBER(SEARCH("remboursement",IFERROR(INDEX('Paramètres'!$N:$N,MATCH($D4840,'Paramètres'!$M:$M,0))&amp;"",""))))),1,0))</f>
        <v/>
      </c>
      <c r="Q4840" s="6" t="str">
        <f>IF($K4840="","",IF(ISNUMBER(SEARCH("transfert-interne",IFERROR(INDEX('Paramètres'!$N:$N,MATCH($D4840,'Paramètres'!$M:$M,0))&amp;"",""))),0,IF($L4840="Débit",$K4840,IF($P4840=1,-$K4840,0))))</f>
        <v/>
      </c>
      <c r="R4840" s="6" t="str">
        <f>IF($K4840="","",IF($L4840="Crédit",$K4840,-$K4840))</f>
        <v/>
      </c>
      <c r="S4840" s="6" t="str">
        <f>IF($C4840="","",IFERROR(INDEX('Paramètres'!$H:$H,MATCH($C4840,'Paramètres'!$D:$D,0))&amp;"",""))</f>
        <v/>
      </c>
      <c r="T4840" s="6" t="str">
        <f>IF($K4840="","",IF($S4840="",0,IF(ISNUMBER(SEARCH("apport-exterieur",IFERROR(INDEX('Paramètres'!$N:$N,MATCH($D4840,'Paramètres'!$M:$M,0))&amp;"",""))),0,IF(OR(IFERROR(INDEX('Paramètres'!$I:$I,MATCH($C4840,'Paramètres'!$D:$D,0))&amp;"","")="Les deux",IFERROR(INDEX('Paramètres'!$I:$I,MATCH($C4840,'Paramètres'!$D:$D,0))&amp;"","")=IF($P4840=1,"Débit",$L4840)),-IF($P4840=1,-$K4840,$K4840),0))))</f>
        <v/>
      </c>
      <c r="U4840" s="6" t="str">
        <f>IF($K4840="","",IF(ISNUMBER(SEARCH("sortie-epargne",IFERROR(INDEX('Paramètres'!$N:$N,MATCH($D4840,'Paramètres'!$M:$M,0))&amp;"",""))),$K4840,0))</f>
        <v/>
      </c>
      <c r="V4840" s="6" t="str">
        <f>IF(AND($A4840&lt;&gt;"",$O4840=1,$L4840="Débit",N($Q4840)&gt;0,$A4840&gt;=Visualisation!$B$1,$A4840&lt;Visualisation!$D$1),MAX($V$1:V4839)+1,"")</f>
        <v/>
      </c>
    </row>
    <row r="4841" spans="1:22" x14ac:dyDescent="0.25">
      <c r="A4841" s="9"/>
      <c r="E4841" s="10"/>
      <c r="K4841" s="11" t="str">
        <f>IF($E4841="","",ROUND($E4841*IF(ISNA(MATCH($C4841,'Paramètres'!$D:$D,0)),1,IF(INDEX('Paramètres'!$J:$J,MATCH($C4841,'Paramètres'!$D:$D,0))="",1,INDEX('Paramètres'!$J:$J,MATCH($C4841,'Paramètres'!$D:$D,0)))),2))</f>
        <v/>
      </c>
      <c r="L4841" s="6" t="str">
        <f>IF($D4841="","",IF($F4841&lt;&gt;"",$F4841,IF(ISNA(MATCH($D4841,'Paramètres'!$M:$M,0)),"⚠ Type inconnu",IFERROR(INDEX('Paramètres'!$P:$P,MATCH($D4841,'Paramètres'!$M:$M,0))&amp;"",""))))</f>
        <v/>
      </c>
      <c r="M4841" s="6" t="str">
        <f>IF($D4841="","",IF(ISNA(MATCH($D4841,'Paramètres'!$M:$M,0)),"⚠ Type inconnu",IF($L4841="Crédit","",IFERROR(INDEX('Paramètres'!$O:$O,MATCH($D4841,'Paramètres'!$M:$M,0))&amp;"",""))))</f>
        <v/>
      </c>
      <c r="N4841" s="6" t="str">
        <f>IF($D4841="","",IFERROR(INDEX('Paramètres'!$Q:$Q,MATCH($D4841,'Paramètres'!$M:$M,0))&amp;"",""))</f>
        <v/>
      </c>
      <c r="O4841" s="6" t="str">
        <f>IF($A4841="","",IF(OR($J4841&lt;&gt;"x",$A4841&lt;=FinReleve),1,0))</f>
        <v/>
      </c>
      <c r="P4841" s="6" t="str">
        <f>IF($D4841="","",IF(AND($L4841="Crédit",OR(IFERROR(INDEX('Paramètres'!$O:$O,MATCH($D4841,'Paramètres'!$M:$M,0))&amp;"","")&lt;&gt;"",ISNUMBER(SEARCH("remboursement",IFERROR(INDEX('Paramètres'!$N:$N,MATCH($D4841,'Paramètres'!$M:$M,0))&amp;"",""))))),1,0))</f>
        <v/>
      </c>
      <c r="Q4841" s="6" t="str">
        <f>IF($K4841="","",IF(ISNUMBER(SEARCH("transfert-interne",IFERROR(INDEX('Paramètres'!$N:$N,MATCH($D4841,'Paramètres'!$M:$M,0))&amp;"",""))),0,IF($L4841="Débit",$K4841,IF($P4841=1,-$K4841,0))))</f>
        <v/>
      </c>
      <c r="R4841" s="6" t="str">
        <f>IF($K4841="","",IF($L4841="Crédit",$K4841,-$K4841))</f>
        <v/>
      </c>
      <c r="S4841" s="6" t="str">
        <f>IF($C4841="","",IFERROR(INDEX('Paramètres'!$H:$H,MATCH($C4841,'Paramètres'!$D:$D,0))&amp;"",""))</f>
        <v/>
      </c>
      <c r="T4841" s="6" t="str">
        <f>IF($K4841="","",IF($S4841="",0,IF(ISNUMBER(SEARCH("apport-exterieur",IFERROR(INDEX('Paramètres'!$N:$N,MATCH($D4841,'Paramètres'!$M:$M,0))&amp;"",""))),0,IF(OR(IFERROR(INDEX('Paramètres'!$I:$I,MATCH($C4841,'Paramètres'!$D:$D,0))&amp;"","")="Les deux",IFERROR(INDEX('Paramètres'!$I:$I,MATCH($C4841,'Paramètres'!$D:$D,0))&amp;"","")=IF($P4841=1,"Débit",$L4841)),-IF($P4841=1,-$K4841,$K4841),0))))</f>
        <v/>
      </c>
      <c r="U4841" s="6" t="str">
        <f>IF($K4841="","",IF(ISNUMBER(SEARCH("sortie-epargne",IFERROR(INDEX('Paramètres'!$N:$N,MATCH($D4841,'Paramètres'!$M:$M,0))&amp;"",""))),$K4841,0))</f>
        <v/>
      </c>
      <c r="V4841" s="6" t="str">
        <f>IF(AND($A4841&lt;&gt;"",$O4841=1,$L4841="Débit",N($Q4841)&gt;0,$A4841&gt;=Visualisation!$B$1,$A4841&lt;Visualisation!$D$1),MAX($V$1:V4840)+1,"")</f>
        <v/>
      </c>
    </row>
    <row r="4842" spans="1:22" x14ac:dyDescent="0.25">
      <c r="A4842" s="9"/>
      <c r="E4842" s="10"/>
      <c r="K4842" s="11" t="str">
        <f>IF($E4842="","",ROUND($E4842*IF(ISNA(MATCH($C4842,'Paramètres'!$D:$D,0)),1,IF(INDEX('Paramètres'!$J:$J,MATCH($C4842,'Paramètres'!$D:$D,0))="",1,INDEX('Paramètres'!$J:$J,MATCH($C4842,'Paramètres'!$D:$D,0)))),2))</f>
        <v/>
      </c>
      <c r="L4842" s="6" t="str">
        <f>IF($D4842="","",IF($F4842&lt;&gt;"",$F4842,IF(ISNA(MATCH($D4842,'Paramètres'!$M:$M,0)),"⚠ Type inconnu",IFERROR(INDEX('Paramètres'!$P:$P,MATCH($D4842,'Paramètres'!$M:$M,0))&amp;"",""))))</f>
        <v/>
      </c>
      <c r="M4842" s="6" t="str">
        <f>IF($D4842="","",IF(ISNA(MATCH($D4842,'Paramètres'!$M:$M,0)),"⚠ Type inconnu",IF($L4842="Crédit","",IFERROR(INDEX('Paramètres'!$O:$O,MATCH($D4842,'Paramètres'!$M:$M,0))&amp;"",""))))</f>
        <v/>
      </c>
      <c r="N4842" s="6" t="str">
        <f>IF($D4842="","",IFERROR(INDEX('Paramètres'!$Q:$Q,MATCH($D4842,'Paramètres'!$M:$M,0))&amp;"",""))</f>
        <v/>
      </c>
      <c r="O4842" s="6" t="str">
        <f>IF($A4842="","",IF(OR($J4842&lt;&gt;"x",$A4842&lt;=FinReleve),1,0))</f>
        <v/>
      </c>
      <c r="P4842" s="6" t="str">
        <f>IF($D4842="","",IF(AND($L4842="Crédit",OR(IFERROR(INDEX('Paramètres'!$O:$O,MATCH($D4842,'Paramètres'!$M:$M,0))&amp;"","")&lt;&gt;"",ISNUMBER(SEARCH("remboursement",IFERROR(INDEX('Paramètres'!$N:$N,MATCH($D4842,'Paramètres'!$M:$M,0))&amp;"",""))))),1,0))</f>
        <v/>
      </c>
      <c r="Q4842" s="6" t="str">
        <f>IF($K4842="","",IF(ISNUMBER(SEARCH("transfert-interne",IFERROR(INDEX('Paramètres'!$N:$N,MATCH($D4842,'Paramètres'!$M:$M,0))&amp;"",""))),0,IF($L4842="Débit",$K4842,IF($P4842=1,-$K4842,0))))</f>
        <v/>
      </c>
      <c r="R4842" s="6" t="str">
        <f>IF($K4842="","",IF($L4842="Crédit",$K4842,-$K4842))</f>
        <v/>
      </c>
      <c r="S4842" s="6" t="str">
        <f>IF($C4842="","",IFERROR(INDEX('Paramètres'!$H:$H,MATCH($C4842,'Paramètres'!$D:$D,0))&amp;"",""))</f>
        <v/>
      </c>
      <c r="T4842" s="6" t="str">
        <f>IF($K4842="","",IF($S4842="",0,IF(ISNUMBER(SEARCH("apport-exterieur",IFERROR(INDEX('Paramètres'!$N:$N,MATCH($D4842,'Paramètres'!$M:$M,0))&amp;"",""))),0,IF(OR(IFERROR(INDEX('Paramètres'!$I:$I,MATCH($C4842,'Paramètres'!$D:$D,0))&amp;"","")="Les deux",IFERROR(INDEX('Paramètres'!$I:$I,MATCH($C4842,'Paramètres'!$D:$D,0))&amp;"","")=IF($P4842=1,"Débit",$L4842)),-IF($P4842=1,-$K4842,$K4842),0))))</f>
        <v/>
      </c>
      <c r="U4842" s="6" t="str">
        <f>IF($K4842="","",IF(ISNUMBER(SEARCH("sortie-epargne",IFERROR(INDEX('Paramètres'!$N:$N,MATCH($D4842,'Paramètres'!$M:$M,0))&amp;"",""))),$K4842,0))</f>
        <v/>
      </c>
      <c r="V4842" s="6" t="str">
        <f>IF(AND($A4842&lt;&gt;"",$O4842=1,$L4842="Débit",N($Q4842)&gt;0,$A4842&gt;=Visualisation!$B$1,$A4842&lt;Visualisation!$D$1),MAX($V$1:V4841)+1,"")</f>
        <v/>
      </c>
    </row>
    <row r="4843" spans="1:22" x14ac:dyDescent="0.25">
      <c r="A4843" s="9"/>
      <c r="E4843" s="10"/>
      <c r="K4843" s="11" t="str">
        <f>IF($E4843="","",ROUND($E4843*IF(ISNA(MATCH($C4843,'Paramètres'!$D:$D,0)),1,IF(INDEX('Paramètres'!$J:$J,MATCH($C4843,'Paramètres'!$D:$D,0))="",1,INDEX('Paramètres'!$J:$J,MATCH($C4843,'Paramètres'!$D:$D,0)))),2))</f>
        <v/>
      </c>
      <c r="L4843" s="6" t="str">
        <f>IF($D4843="","",IF($F4843&lt;&gt;"",$F4843,IF(ISNA(MATCH($D4843,'Paramètres'!$M:$M,0)),"⚠ Type inconnu",IFERROR(INDEX('Paramètres'!$P:$P,MATCH($D4843,'Paramètres'!$M:$M,0))&amp;"",""))))</f>
        <v/>
      </c>
      <c r="M4843" s="6" t="str">
        <f>IF($D4843="","",IF(ISNA(MATCH($D4843,'Paramètres'!$M:$M,0)),"⚠ Type inconnu",IF($L4843="Crédit","",IFERROR(INDEX('Paramètres'!$O:$O,MATCH($D4843,'Paramètres'!$M:$M,0))&amp;"",""))))</f>
        <v/>
      </c>
      <c r="N4843" s="6" t="str">
        <f>IF($D4843="","",IFERROR(INDEX('Paramètres'!$Q:$Q,MATCH($D4843,'Paramètres'!$M:$M,0))&amp;"",""))</f>
        <v/>
      </c>
      <c r="O4843" s="6" t="str">
        <f>IF($A4843="","",IF(OR($J4843&lt;&gt;"x",$A4843&lt;=FinReleve),1,0))</f>
        <v/>
      </c>
      <c r="P4843" s="6" t="str">
        <f>IF($D4843="","",IF(AND($L4843="Crédit",OR(IFERROR(INDEX('Paramètres'!$O:$O,MATCH($D4843,'Paramètres'!$M:$M,0))&amp;"","")&lt;&gt;"",ISNUMBER(SEARCH("remboursement",IFERROR(INDEX('Paramètres'!$N:$N,MATCH($D4843,'Paramètres'!$M:$M,0))&amp;"",""))))),1,0))</f>
        <v/>
      </c>
      <c r="Q4843" s="6" t="str">
        <f>IF($K4843="","",IF(ISNUMBER(SEARCH("transfert-interne",IFERROR(INDEX('Paramètres'!$N:$N,MATCH($D4843,'Paramètres'!$M:$M,0))&amp;"",""))),0,IF($L4843="Débit",$K4843,IF($P4843=1,-$K4843,0))))</f>
        <v/>
      </c>
      <c r="R4843" s="6" t="str">
        <f>IF($K4843="","",IF($L4843="Crédit",$K4843,-$K4843))</f>
        <v/>
      </c>
      <c r="S4843" s="6" t="str">
        <f>IF($C4843="","",IFERROR(INDEX('Paramètres'!$H:$H,MATCH($C4843,'Paramètres'!$D:$D,0))&amp;"",""))</f>
        <v/>
      </c>
      <c r="T4843" s="6" t="str">
        <f>IF($K4843="","",IF($S4843="",0,IF(ISNUMBER(SEARCH("apport-exterieur",IFERROR(INDEX('Paramètres'!$N:$N,MATCH($D4843,'Paramètres'!$M:$M,0))&amp;"",""))),0,IF(OR(IFERROR(INDEX('Paramètres'!$I:$I,MATCH($C4843,'Paramètres'!$D:$D,0))&amp;"","")="Les deux",IFERROR(INDEX('Paramètres'!$I:$I,MATCH($C4843,'Paramètres'!$D:$D,0))&amp;"","")=IF($P4843=1,"Débit",$L4843)),-IF($P4843=1,-$K4843,$K4843),0))))</f>
        <v/>
      </c>
      <c r="U4843" s="6" t="str">
        <f>IF($K4843="","",IF(ISNUMBER(SEARCH("sortie-epargne",IFERROR(INDEX('Paramètres'!$N:$N,MATCH($D4843,'Paramètres'!$M:$M,0))&amp;"",""))),$K4843,0))</f>
        <v/>
      </c>
      <c r="V4843" s="6" t="str">
        <f>IF(AND($A4843&lt;&gt;"",$O4843=1,$L4843="Débit",N($Q4843)&gt;0,$A4843&gt;=Visualisation!$B$1,$A4843&lt;Visualisation!$D$1),MAX($V$1:V4842)+1,"")</f>
        <v/>
      </c>
    </row>
    <row r="4844" spans="1:22" x14ac:dyDescent="0.25">
      <c r="A4844" s="9"/>
      <c r="E4844" s="10"/>
      <c r="K4844" s="11" t="str">
        <f>IF($E4844="","",ROUND($E4844*IF(ISNA(MATCH($C4844,'Paramètres'!$D:$D,0)),1,IF(INDEX('Paramètres'!$J:$J,MATCH($C4844,'Paramètres'!$D:$D,0))="",1,INDEX('Paramètres'!$J:$J,MATCH($C4844,'Paramètres'!$D:$D,0)))),2))</f>
        <v/>
      </c>
      <c r="L4844" s="6" t="str">
        <f>IF($D4844="","",IF($F4844&lt;&gt;"",$F4844,IF(ISNA(MATCH($D4844,'Paramètres'!$M:$M,0)),"⚠ Type inconnu",IFERROR(INDEX('Paramètres'!$P:$P,MATCH($D4844,'Paramètres'!$M:$M,0))&amp;"",""))))</f>
        <v/>
      </c>
      <c r="M4844" s="6" t="str">
        <f>IF($D4844="","",IF(ISNA(MATCH($D4844,'Paramètres'!$M:$M,0)),"⚠ Type inconnu",IF($L4844="Crédit","",IFERROR(INDEX('Paramètres'!$O:$O,MATCH($D4844,'Paramètres'!$M:$M,0))&amp;"",""))))</f>
        <v/>
      </c>
      <c r="N4844" s="6" t="str">
        <f>IF($D4844="","",IFERROR(INDEX('Paramètres'!$Q:$Q,MATCH($D4844,'Paramètres'!$M:$M,0))&amp;"",""))</f>
        <v/>
      </c>
      <c r="O4844" s="6" t="str">
        <f>IF($A4844="","",IF(OR($J4844&lt;&gt;"x",$A4844&lt;=FinReleve),1,0))</f>
        <v/>
      </c>
      <c r="P4844" s="6" t="str">
        <f>IF($D4844="","",IF(AND($L4844="Crédit",OR(IFERROR(INDEX('Paramètres'!$O:$O,MATCH($D4844,'Paramètres'!$M:$M,0))&amp;"","")&lt;&gt;"",ISNUMBER(SEARCH("remboursement",IFERROR(INDEX('Paramètres'!$N:$N,MATCH($D4844,'Paramètres'!$M:$M,0))&amp;"",""))))),1,0))</f>
        <v/>
      </c>
      <c r="Q4844" s="6" t="str">
        <f>IF($K4844="","",IF(ISNUMBER(SEARCH("transfert-interne",IFERROR(INDEX('Paramètres'!$N:$N,MATCH($D4844,'Paramètres'!$M:$M,0))&amp;"",""))),0,IF($L4844="Débit",$K4844,IF($P4844=1,-$K4844,0))))</f>
        <v/>
      </c>
      <c r="R4844" s="6" t="str">
        <f>IF($K4844="","",IF($L4844="Crédit",$K4844,-$K4844))</f>
        <v/>
      </c>
      <c r="S4844" s="6" t="str">
        <f>IF($C4844="","",IFERROR(INDEX('Paramètres'!$H:$H,MATCH($C4844,'Paramètres'!$D:$D,0))&amp;"",""))</f>
        <v/>
      </c>
      <c r="T4844" s="6" t="str">
        <f>IF($K4844="","",IF($S4844="",0,IF(ISNUMBER(SEARCH("apport-exterieur",IFERROR(INDEX('Paramètres'!$N:$N,MATCH($D4844,'Paramètres'!$M:$M,0))&amp;"",""))),0,IF(OR(IFERROR(INDEX('Paramètres'!$I:$I,MATCH($C4844,'Paramètres'!$D:$D,0))&amp;"","")="Les deux",IFERROR(INDEX('Paramètres'!$I:$I,MATCH($C4844,'Paramètres'!$D:$D,0))&amp;"","")=IF($P4844=1,"Débit",$L4844)),-IF($P4844=1,-$K4844,$K4844),0))))</f>
        <v/>
      </c>
      <c r="U4844" s="6" t="str">
        <f>IF($K4844="","",IF(ISNUMBER(SEARCH("sortie-epargne",IFERROR(INDEX('Paramètres'!$N:$N,MATCH($D4844,'Paramètres'!$M:$M,0))&amp;"",""))),$K4844,0))</f>
        <v/>
      </c>
      <c r="V4844" s="6" t="str">
        <f>IF(AND($A4844&lt;&gt;"",$O4844=1,$L4844="Débit",N($Q4844)&gt;0,$A4844&gt;=Visualisation!$B$1,$A4844&lt;Visualisation!$D$1),MAX($V$1:V4843)+1,"")</f>
        <v/>
      </c>
    </row>
    <row r="4845" spans="1:22" x14ac:dyDescent="0.25">
      <c r="A4845" s="9"/>
      <c r="E4845" s="10"/>
      <c r="K4845" s="11" t="str">
        <f>IF($E4845="","",ROUND($E4845*IF(ISNA(MATCH($C4845,'Paramètres'!$D:$D,0)),1,IF(INDEX('Paramètres'!$J:$J,MATCH($C4845,'Paramètres'!$D:$D,0))="",1,INDEX('Paramètres'!$J:$J,MATCH($C4845,'Paramètres'!$D:$D,0)))),2))</f>
        <v/>
      </c>
      <c r="L4845" s="6" t="str">
        <f>IF($D4845="","",IF($F4845&lt;&gt;"",$F4845,IF(ISNA(MATCH($D4845,'Paramètres'!$M:$M,0)),"⚠ Type inconnu",IFERROR(INDEX('Paramètres'!$P:$P,MATCH($D4845,'Paramètres'!$M:$M,0))&amp;"",""))))</f>
        <v/>
      </c>
      <c r="M4845" s="6" t="str">
        <f>IF($D4845="","",IF(ISNA(MATCH($D4845,'Paramètres'!$M:$M,0)),"⚠ Type inconnu",IF($L4845="Crédit","",IFERROR(INDEX('Paramètres'!$O:$O,MATCH($D4845,'Paramètres'!$M:$M,0))&amp;"",""))))</f>
        <v/>
      </c>
      <c r="N4845" s="6" t="str">
        <f>IF($D4845="","",IFERROR(INDEX('Paramètres'!$Q:$Q,MATCH($D4845,'Paramètres'!$M:$M,0))&amp;"",""))</f>
        <v/>
      </c>
      <c r="O4845" s="6" t="str">
        <f>IF($A4845="","",IF(OR($J4845&lt;&gt;"x",$A4845&lt;=FinReleve),1,0))</f>
        <v/>
      </c>
      <c r="P4845" s="6" t="str">
        <f>IF($D4845="","",IF(AND($L4845="Crédit",OR(IFERROR(INDEX('Paramètres'!$O:$O,MATCH($D4845,'Paramètres'!$M:$M,0))&amp;"","")&lt;&gt;"",ISNUMBER(SEARCH("remboursement",IFERROR(INDEX('Paramètres'!$N:$N,MATCH($D4845,'Paramètres'!$M:$M,0))&amp;"",""))))),1,0))</f>
        <v/>
      </c>
      <c r="Q4845" s="6" t="str">
        <f>IF($K4845="","",IF(ISNUMBER(SEARCH("transfert-interne",IFERROR(INDEX('Paramètres'!$N:$N,MATCH($D4845,'Paramètres'!$M:$M,0))&amp;"",""))),0,IF($L4845="Débit",$K4845,IF($P4845=1,-$K4845,0))))</f>
        <v/>
      </c>
      <c r="R4845" s="6" t="str">
        <f>IF($K4845="","",IF($L4845="Crédit",$K4845,-$K4845))</f>
        <v/>
      </c>
      <c r="S4845" s="6" t="str">
        <f>IF($C4845="","",IFERROR(INDEX('Paramètres'!$H:$H,MATCH($C4845,'Paramètres'!$D:$D,0))&amp;"",""))</f>
        <v/>
      </c>
      <c r="T4845" s="6" t="str">
        <f>IF($K4845="","",IF($S4845="",0,IF(ISNUMBER(SEARCH("apport-exterieur",IFERROR(INDEX('Paramètres'!$N:$N,MATCH($D4845,'Paramètres'!$M:$M,0))&amp;"",""))),0,IF(OR(IFERROR(INDEX('Paramètres'!$I:$I,MATCH($C4845,'Paramètres'!$D:$D,0))&amp;"","")="Les deux",IFERROR(INDEX('Paramètres'!$I:$I,MATCH($C4845,'Paramètres'!$D:$D,0))&amp;"","")=IF($P4845=1,"Débit",$L4845)),-IF($P4845=1,-$K4845,$K4845),0))))</f>
        <v/>
      </c>
      <c r="U4845" s="6" t="str">
        <f>IF($K4845="","",IF(ISNUMBER(SEARCH("sortie-epargne",IFERROR(INDEX('Paramètres'!$N:$N,MATCH($D4845,'Paramètres'!$M:$M,0))&amp;"",""))),$K4845,0))</f>
        <v/>
      </c>
      <c r="V4845" s="6" t="str">
        <f>IF(AND($A4845&lt;&gt;"",$O4845=1,$L4845="Débit",N($Q4845)&gt;0,$A4845&gt;=Visualisation!$B$1,$A4845&lt;Visualisation!$D$1),MAX($V$1:V4844)+1,"")</f>
        <v/>
      </c>
    </row>
    <row r="4846" spans="1:22" x14ac:dyDescent="0.25">
      <c r="A4846" s="9"/>
      <c r="E4846" s="10"/>
      <c r="K4846" s="11" t="str">
        <f>IF($E4846="","",ROUND($E4846*IF(ISNA(MATCH($C4846,'Paramètres'!$D:$D,0)),1,IF(INDEX('Paramètres'!$J:$J,MATCH($C4846,'Paramètres'!$D:$D,0))="",1,INDEX('Paramètres'!$J:$J,MATCH($C4846,'Paramètres'!$D:$D,0)))),2))</f>
        <v/>
      </c>
      <c r="L4846" s="6" t="str">
        <f>IF($D4846="","",IF($F4846&lt;&gt;"",$F4846,IF(ISNA(MATCH($D4846,'Paramètres'!$M:$M,0)),"⚠ Type inconnu",IFERROR(INDEX('Paramètres'!$P:$P,MATCH($D4846,'Paramètres'!$M:$M,0))&amp;"",""))))</f>
        <v/>
      </c>
      <c r="M4846" s="6" t="str">
        <f>IF($D4846="","",IF(ISNA(MATCH($D4846,'Paramètres'!$M:$M,0)),"⚠ Type inconnu",IF($L4846="Crédit","",IFERROR(INDEX('Paramètres'!$O:$O,MATCH($D4846,'Paramètres'!$M:$M,0))&amp;"",""))))</f>
        <v/>
      </c>
      <c r="N4846" s="6" t="str">
        <f>IF($D4846="","",IFERROR(INDEX('Paramètres'!$Q:$Q,MATCH($D4846,'Paramètres'!$M:$M,0))&amp;"",""))</f>
        <v/>
      </c>
      <c r="O4846" s="6" t="str">
        <f>IF($A4846="","",IF(OR($J4846&lt;&gt;"x",$A4846&lt;=FinReleve),1,0))</f>
        <v/>
      </c>
      <c r="P4846" s="6" t="str">
        <f>IF($D4846="","",IF(AND($L4846="Crédit",OR(IFERROR(INDEX('Paramètres'!$O:$O,MATCH($D4846,'Paramètres'!$M:$M,0))&amp;"","")&lt;&gt;"",ISNUMBER(SEARCH("remboursement",IFERROR(INDEX('Paramètres'!$N:$N,MATCH($D4846,'Paramètres'!$M:$M,0))&amp;"",""))))),1,0))</f>
        <v/>
      </c>
      <c r="Q4846" s="6" t="str">
        <f>IF($K4846="","",IF(ISNUMBER(SEARCH("transfert-interne",IFERROR(INDEX('Paramètres'!$N:$N,MATCH($D4846,'Paramètres'!$M:$M,0))&amp;"",""))),0,IF($L4846="Débit",$K4846,IF($P4846=1,-$K4846,0))))</f>
        <v/>
      </c>
      <c r="R4846" s="6" t="str">
        <f>IF($K4846="","",IF($L4846="Crédit",$K4846,-$K4846))</f>
        <v/>
      </c>
      <c r="S4846" s="6" t="str">
        <f>IF($C4846="","",IFERROR(INDEX('Paramètres'!$H:$H,MATCH($C4846,'Paramètres'!$D:$D,0))&amp;"",""))</f>
        <v/>
      </c>
      <c r="T4846" s="6" t="str">
        <f>IF($K4846="","",IF($S4846="",0,IF(ISNUMBER(SEARCH("apport-exterieur",IFERROR(INDEX('Paramètres'!$N:$N,MATCH($D4846,'Paramètres'!$M:$M,0))&amp;"",""))),0,IF(OR(IFERROR(INDEX('Paramètres'!$I:$I,MATCH($C4846,'Paramètres'!$D:$D,0))&amp;"","")="Les deux",IFERROR(INDEX('Paramètres'!$I:$I,MATCH($C4846,'Paramètres'!$D:$D,0))&amp;"","")=IF($P4846=1,"Débit",$L4846)),-IF($P4846=1,-$K4846,$K4846),0))))</f>
        <v/>
      </c>
      <c r="U4846" s="6" t="str">
        <f>IF($K4846="","",IF(ISNUMBER(SEARCH("sortie-epargne",IFERROR(INDEX('Paramètres'!$N:$N,MATCH($D4846,'Paramètres'!$M:$M,0))&amp;"",""))),$K4846,0))</f>
        <v/>
      </c>
      <c r="V4846" s="6" t="str">
        <f>IF(AND($A4846&lt;&gt;"",$O4846=1,$L4846="Débit",N($Q4846)&gt;0,$A4846&gt;=Visualisation!$B$1,$A4846&lt;Visualisation!$D$1),MAX($V$1:V4845)+1,"")</f>
        <v/>
      </c>
    </row>
    <row r="4847" spans="1:22" x14ac:dyDescent="0.25">
      <c r="A4847" s="9"/>
      <c r="E4847" s="10"/>
      <c r="K4847" s="11" t="str">
        <f>IF($E4847="","",ROUND($E4847*IF(ISNA(MATCH($C4847,'Paramètres'!$D:$D,0)),1,IF(INDEX('Paramètres'!$J:$J,MATCH($C4847,'Paramètres'!$D:$D,0))="",1,INDEX('Paramètres'!$J:$J,MATCH($C4847,'Paramètres'!$D:$D,0)))),2))</f>
        <v/>
      </c>
      <c r="L4847" s="6" t="str">
        <f>IF($D4847="","",IF($F4847&lt;&gt;"",$F4847,IF(ISNA(MATCH($D4847,'Paramètres'!$M:$M,0)),"⚠ Type inconnu",IFERROR(INDEX('Paramètres'!$P:$P,MATCH($D4847,'Paramètres'!$M:$M,0))&amp;"",""))))</f>
        <v/>
      </c>
      <c r="M4847" s="6" t="str">
        <f>IF($D4847="","",IF(ISNA(MATCH($D4847,'Paramètres'!$M:$M,0)),"⚠ Type inconnu",IF($L4847="Crédit","",IFERROR(INDEX('Paramètres'!$O:$O,MATCH($D4847,'Paramètres'!$M:$M,0))&amp;"",""))))</f>
        <v/>
      </c>
      <c r="N4847" s="6" t="str">
        <f>IF($D4847="","",IFERROR(INDEX('Paramètres'!$Q:$Q,MATCH($D4847,'Paramètres'!$M:$M,0))&amp;"",""))</f>
        <v/>
      </c>
      <c r="O4847" s="6" t="str">
        <f>IF($A4847="","",IF(OR($J4847&lt;&gt;"x",$A4847&lt;=FinReleve),1,0))</f>
        <v/>
      </c>
      <c r="P4847" s="6" t="str">
        <f>IF($D4847="","",IF(AND($L4847="Crédit",OR(IFERROR(INDEX('Paramètres'!$O:$O,MATCH($D4847,'Paramètres'!$M:$M,0))&amp;"","")&lt;&gt;"",ISNUMBER(SEARCH("remboursement",IFERROR(INDEX('Paramètres'!$N:$N,MATCH($D4847,'Paramètres'!$M:$M,0))&amp;"",""))))),1,0))</f>
        <v/>
      </c>
      <c r="Q4847" s="6" t="str">
        <f>IF($K4847="","",IF(ISNUMBER(SEARCH("transfert-interne",IFERROR(INDEX('Paramètres'!$N:$N,MATCH($D4847,'Paramètres'!$M:$M,0))&amp;"",""))),0,IF($L4847="Débit",$K4847,IF($P4847=1,-$K4847,0))))</f>
        <v/>
      </c>
      <c r="R4847" s="6" t="str">
        <f>IF($K4847="","",IF($L4847="Crédit",$K4847,-$K4847))</f>
        <v/>
      </c>
      <c r="S4847" s="6" t="str">
        <f>IF($C4847="","",IFERROR(INDEX('Paramètres'!$H:$H,MATCH($C4847,'Paramètres'!$D:$D,0))&amp;"",""))</f>
        <v/>
      </c>
      <c r="T4847" s="6" t="str">
        <f>IF($K4847="","",IF($S4847="",0,IF(ISNUMBER(SEARCH("apport-exterieur",IFERROR(INDEX('Paramètres'!$N:$N,MATCH($D4847,'Paramètres'!$M:$M,0))&amp;"",""))),0,IF(OR(IFERROR(INDEX('Paramètres'!$I:$I,MATCH($C4847,'Paramètres'!$D:$D,0))&amp;"","")="Les deux",IFERROR(INDEX('Paramètres'!$I:$I,MATCH($C4847,'Paramètres'!$D:$D,0))&amp;"","")=IF($P4847=1,"Débit",$L4847)),-IF($P4847=1,-$K4847,$K4847),0))))</f>
        <v/>
      </c>
      <c r="U4847" s="6" t="str">
        <f>IF($K4847="","",IF(ISNUMBER(SEARCH("sortie-epargne",IFERROR(INDEX('Paramètres'!$N:$N,MATCH($D4847,'Paramètres'!$M:$M,0))&amp;"",""))),$K4847,0))</f>
        <v/>
      </c>
      <c r="V4847" s="6" t="str">
        <f>IF(AND($A4847&lt;&gt;"",$O4847=1,$L4847="Débit",N($Q4847)&gt;0,$A4847&gt;=Visualisation!$B$1,$A4847&lt;Visualisation!$D$1),MAX($V$1:V4846)+1,"")</f>
        <v/>
      </c>
    </row>
    <row r="4848" spans="1:22" x14ac:dyDescent="0.25">
      <c r="A4848" s="9"/>
      <c r="E4848" s="10"/>
      <c r="K4848" s="11" t="str">
        <f>IF($E4848="","",ROUND($E4848*IF(ISNA(MATCH($C4848,'Paramètres'!$D:$D,0)),1,IF(INDEX('Paramètres'!$J:$J,MATCH($C4848,'Paramètres'!$D:$D,0))="",1,INDEX('Paramètres'!$J:$J,MATCH($C4848,'Paramètres'!$D:$D,0)))),2))</f>
        <v/>
      </c>
      <c r="L4848" s="6" t="str">
        <f>IF($D4848="","",IF($F4848&lt;&gt;"",$F4848,IF(ISNA(MATCH($D4848,'Paramètres'!$M:$M,0)),"⚠ Type inconnu",IFERROR(INDEX('Paramètres'!$P:$P,MATCH($D4848,'Paramètres'!$M:$M,0))&amp;"",""))))</f>
        <v/>
      </c>
      <c r="M4848" s="6" t="str">
        <f>IF($D4848="","",IF(ISNA(MATCH($D4848,'Paramètres'!$M:$M,0)),"⚠ Type inconnu",IF($L4848="Crédit","",IFERROR(INDEX('Paramètres'!$O:$O,MATCH($D4848,'Paramètres'!$M:$M,0))&amp;"",""))))</f>
        <v/>
      </c>
      <c r="N4848" s="6" t="str">
        <f>IF($D4848="","",IFERROR(INDEX('Paramètres'!$Q:$Q,MATCH($D4848,'Paramètres'!$M:$M,0))&amp;"",""))</f>
        <v/>
      </c>
      <c r="O4848" s="6" t="str">
        <f>IF($A4848="","",IF(OR($J4848&lt;&gt;"x",$A4848&lt;=FinReleve),1,0))</f>
        <v/>
      </c>
      <c r="P4848" s="6" t="str">
        <f>IF($D4848="","",IF(AND($L4848="Crédit",OR(IFERROR(INDEX('Paramètres'!$O:$O,MATCH($D4848,'Paramètres'!$M:$M,0))&amp;"","")&lt;&gt;"",ISNUMBER(SEARCH("remboursement",IFERROR(INDEX('Paramètres'!$N:$N,MATCH($D4848,'Paramètres'!$M:$M,0))&amp;"",""))))),1,0))</f>
        <v/>
      </c>
      <c r="Q4848" s="6" t="str">
        <f>IF($K4848="","",IF(ISNUMBER(SEARCH("transfert-interne",IFERROR(INDEX('Paramètres'!$N:$N,MATCH($D4848,'Paramètres'!$M:$M,0))&amp;"",""))),0,IF($L4848="Débit",$K4848,IF($P4848=1,-$K4848,0))))</f>
        <v/>
      </c>
      <c r="R4848" s="6" t="str">
        <f>IF($K4848="","",IF($L4848="Crédit",$K4848,-$K4848))</f>
        <v/>
      </c>
      <c r="S4848" s="6" t="str">
        <f>IF($C4848="","",IFERROR(INDEX('Paramètres'!$H:$H,MATCH($C4848,'Paramètres'!$D:$D,0))&amp;"",""))</f>
        <v/>
      </c>
      <c r="T4848" s="6" t="str">
        <f>IF($K4848="","",IF($S4848="",0,IF(ISNUMBER(SEARCH("apport-exterieur",IFERROR(INDEX('Paramètres'!$N:$N,MATCH($D4848,'Paramètres'!$M:$M,0))&amp;"",""))),0,IF(OR(IFERROR(INDEX('Paramètres'!$I:$I,MATCH($C4848,'Paramètres'!$D:$D,0))&amp;"","")="Les deux",IFERROR(INDEX('Paramètres'!$I:$I,MATCH($C4848,'Paramètres'!$D:$D,0))&amp;"","")=IF($P4848=1,"Débit",$L4848)),-IF($P4848=1,-$K4848,$K4848),0))))</f>
        <v/>
      </c>
      <c r="U4848" s="6" t="str">
        <f>IF($K4848="","",IF(ISNUMBER(SEARCH("sortie-epargne",IFERROR(INDEX('Paramètres'!$N:$N,MATCH($D4848,'Paramètres'!$M:$M,0))&amp;"",""))),$K4848,0))</f>
        <v/>
      </c>
      <c r="V4848" s="6" t="str">
        <f>IF(AND($A4848&lt;&gt;"",$O4848=1,$L4848="Débit",N($Q4848)&gt;0,$A4848&gt;=Visualisation!$B$1,$A4848&lt;Visualisation!$D$1),MAX($V$1:V4847)+1,"")</f>
        <v/>
      </c>
    </row>
    <row r="4849" spans="1:22" x14ac:dyDescent="0.25">
      <c r="A4849" s="9"/>
      <c r="E4849" s="10"/>
      <c r="K4849" s="11" t="str">
        <f>IF($E4849="","",ROUND($E4849*IF(ISNA(MATCH($C4849,'Paramètres'!$D:$D,0)),1,IF(INDEX('Paramètres'!$J:$J,MATCH($C4849,'Paramètres'!$D:$D,0))="",1,INDEX('Paramètres'!$J:$J,MATCH($C4849,'Paramètres'!$D:$D,0)))),2))</f>
        <v/>
      </c>
      <c r="L4849" s="6" t="str">
        <f>IF($D4849="","",IF($F4849&lt;&gt;"",$F4849,IF(ISNA(MATCH($D4849,'Paramètres'!$M:$M,0)),"⚠ Type inconnu",IFERROR(INDEX('Paramètres'!$P:$P,MATCH($D4849,'Paramètres'!$M:$M,0))&amp;"",""))))</f>
        <v/>
      </c>
      <c r="M4849" s="6" t="str">
        <f>IF($D4849="","",IF(ISNA(MATCH($D4849,'Paramètres'!$M:$M,0)),"⚠ Type inconnu",IF($L4849="Crédit","",IFERROR(INDEX('Paramètres'!$O:$O,MATCH($D4849,'Paramètres'!$M:$M,0))&amp;"",""))))</f>
        <v/>
      </c>
      <c r="N4849" s="6" t="str">
        <f>IF($D4849="","",IFERROR(INDEX('Paramètres'!$Q:$Q,MATCH($D4849,'Paramètres'!$M:$M,0))&amp;"",""))</f>
        <v/>
      </c>
      <c r="O4849" s="6" t="str">
        <f>IF($A4849="","",IF(OR($J4849&lt;&gt;"x",$A4849&lt;=FinReleve),1,0))</f>
        <v/>
      </c>
      <c r="P4849" s="6" t="str">
        <f>IF($D4849="","",IF(AND($L4849="Crédit",OR(IFERROR(INDEX('Paramètres'!$O:$O,MATCH($D4849,'Paramètres'!$M:$M,0))&amp;"","")&lt;&gt;"",ISNUMBER(SEARCH("remboursement",IFERROR(INDEX('Paramètres'!$N:$N,MATCH($D4849,'Paramètres'!$M:$M,0))&amp;"",""))))),1,0))</f>
        <v/>
      </c>
      <c r="Q4849" s="6" t="str">
        <f>IF($K4849="","",IF(ISNUMBER(SEARCH("transfert-interne",IFERROR(INDEX('Paramètres'!$N:$N,MATCH($D4849,'Paramètres'!$M:$M,0))&amp;"",""))),0,IF($L4849="Débit",$K4849,IF($P4849=1,-$K4849,0))))</f>
        <v/>
      </c>
      <c r="R4849" s="6" t="str">
        <f>IF($K4849="","",IF($L4849="Crédit",$K4849,-$K4849))</f>
        <v/>
      </c>
      <c r="S4849" s="6" t="str">
        <f>IF($C4849="","",IFERROR(INDEX('Paramètres'!$H:$H,MATCH($C4849,'Paramètres'!$D:$D,0))&amp;"",""))</f>
        <v/>
      </c>
      <c r="T4849" s="6" t="str">
        <f>IF($K4849="","",IF($S4849="",0,IF(ISNUMBER(SEARCH("apport-exterieur",IFERROR(INDEX('Paramètres'!$N:$N,MATCH($D4849,'Paramètres'!$M:$M,0))&amp;"",""))),0,IF(OR(IFERROR(INDEX('Paramètres'!$I:$I,MATCH($C4849,'Paramètres'!$D:$D,0))&amp;"","")="Les deux",IFERROR(INDEX('Paramètres'!$I:$I,MATCH($C4849,'Paramètres'!$D:$D,0))&amp;"","")=IF($P4849=1,"Débit",$L4849)),-IF($P4849=1,-$K4849,$K4849),0))))</f>
        <v/>
      </c>
      <c r="U4849" s="6" t="str">
        <f>IF($K4849="","",IF(ISNUMBER(SEARCH("sortie-epargne",IFERROR(INDEX('Paramètres'!$N:$N,MATCH($D4849,'Paramètres'!$M:$M,0))&amp;"",""))),$K4849,0))</f>
        <v/>
      </c>
      <c r="V4849" s="6" t="str">
        <f>IF(AND($A4849&lt;&gt;"",$O4849=1,$L4849="Débit",N($Q4849)&gt;0,$A4849&gt;=Visualisation!$B$1,$A4849&lt;Visualisation!$D$1),MAX($V$1:V4848)+1,"")</f>
        <v/>
      </c>
    </row>
    <row r="4850" spans="1:22" x14ac:dyDescent="0.25">
      <c r="A4850" s="9"/>
      <c r="E4850" s="10"/>
      <c r="K4850" s="11" t="str">
        <f>IF($E4850="","",ROUND($E4850*IF(ISNA(MATCH($C4850,'Paramètres'!$D:$D,0)),1,IF(INDEX('Paramètres'!$J:$J,MATCH($C4850,'Paramètres'!$D:$D,0))="",1,INDEX('Paramètres'!$J:$J,MATCH($C4850,'Paramètres'!$D:$D,0)))),2))</f>
        <v/>
      </c>
      <c r="L4850" s="6" t="str">
        <f>IF($D4850="","",IF($F4850&lt;&gt;"",$F4850,IF(ISNA(MATCH($D4850,'Paramètres'!$M:$M,0)),"⚠ Type inconnu",IFERROR(INDEX('Paramètres'!$P:$P,MATCH($D4850,'Paramètres'!$M:$M,0))&amp;"",""))))</f>
        <v/>
      </c>
      <c r="M4850" s="6" t="str">
        <f>IF($D4850="","",IF(ISNA(MATCH($D4850,'Paramètres'!$M:$M,0)),"⚠ Type inconnu",IF($L4850="Crédit","",IFERROR(INDEX('Paramètres'!$O:$O,MATCH($D4850,'Paramètres'!$M:$M,0))&amp;"",""))))</f>
        <v/>
      </c>
      <c r="N4850" s="6" t="str">
        <f>IF($D4850="","",IFERROR(INDEX('Paramètres'!$Q:$Q,MATCH($D4850,'Paramètres'!$M:$M,0))&amp;"",""))</f>
        <v/>
      </c>
      <c r="O4850" s="6" t="str">
        <f>IF($A4850="","",IF(OR($J4850&lt;&gt;"x",$A4850&lt;=FinReleve),1,0))</f>
        <v/>
      </c>
      <c r="P4850" s="6" t="str">
        <f>IF($D4850="","",IF(AND($L4850="Crédit",OR(IFERROR(INDEX('Paramètres'!$O:$O,MATCH($D4850,'Paramètres'!$M:$M,0))&amp;"","")&lt;&gt;"",ISNUMBER(SEARCH("remboursement",IFERROR(INDEX('Paramètres'!$N:$N,MATCH($D4850,'Paramètres'!$M:$M,0))&amp;"",""))))),1,0))</f>
        <v/>
      </c>
      <c r="Q4850" s="6" t="str">
        <f>IF($K4850="","",IF(ISNUMBER(SEARCH("transfert-interne",IFERROR(INDEX('Paramètres'!$N:$N,MATCH($D4850,'Paramètres'!$M:$M,0))&amp;"",""))),0,IF($L4850="Débit",$K4850,IF($P4850=1,-$K4850,0))))</f>
        <v/>
      </c>
      <c r="R4850" s="6" t="str">
        <f>IF($K4850="","",IF($L4850="Crédit",$K4850,-$K4850))</f>
        <v/>
      </c>
      <c r="S4850" s="6" t="str">
        <f>IF($C4850="","",IFERROR(INDEX('Paramètres'!$H:$H,MATCH($C4850,'Paramètres'!$D:$D,0))&amp;"",""))</f>
        <v/>
      </c>
      <c r="T4850" s="6" t="str">
        <f>IF($K4850="","",IF($S4850="",0,IF(ISNUMBER(SEARCH("apport-exterieur",IFERROR(INDEX('Paramètres'!$N:$N,MATCH($D4850,'Paramètres'!$M:$M,0))&amp;"",""))),0,IF(OR(IFERROR(INDEX('Paramètres'!$I:$I,MATCH($C4850,'Paramètres'!$D:$D,0))&amp;"","")="Les deux",IFERROR(INDEX('Paramètres'!$I:$I,MATCH($C4850,'Paramètres'!$D:$D,0))&amp;"","")=IF($P4850=1,"Débit",$L4850)),-IF($P4850=1,-$K4850,$K4850),0))))</f>
        <v/>
      </c>
      <c r="U4850" s="6" t="str">
        <f>IF($K4850="","",IF(ISNUMBER(SEARCH("sortie-epargne",IFERROR(INDEX('Paramètres'!$N:$N,MATCH($D4850,'Paramètres'!$M:$M,0))&amp;"",""))),$K4850,0))</f>
        <v/>
      </c>
      <c r="V4850" s="6" t="str">
        <f>IF(AND($A4850&lt;&gt;"",$O4850=1,$L4850="Débit",N($Q4850)&gt;0,$A4850&gt;=Visualisation!$B$1,$A4850&lt;Visualisation!$D$1),MAX($V$1:V4849)+1,"")</f>
        <v/>
      </c>
    </row>
    <row r="4851" spans="1:22" x14ac:dyDescent="0.25">
      <c r="A4851" s="9"/>
      <c r="E4851" s="10"/>
      <c r="K4851" s="11" t="str">
        <f>IF($E4851="","",ROUND($E4851*IF(ISNA(MATCH($C4851,'Paramètres'!$D:$D,0)),1,IF(INDEX('Paramètres'!$J:$J,MATCH($C4851,'Paramètres'!$D:$D,0))="",1,INDEX('Paramètres'!$J:$J,MATCH($C4851,'Paramètres'!$D:$D,0)))),2))</f>
        <v/>
      </c>
      <c r="L4851" s="6" t="str">
        <f>IF($D4851="","",IF($F4851&lt;&gt;"",$F4851,IF(ISNA(MATCH($D4851,'Paramètres'!$M:$M,0)),"⚠ Type inconnu",IFERROR(INDEX('Paramètres'!$P:$P,MATCH($D4851,'Paramètres'!$M:$M,0))&amp;"",""))))</f>
        <v/>
      </c>
      <c r="M4851" s="6" t="str">
        <f>IF($D4851="","",IF(ISNA(MATCH($D4851,'Paramètres'!$M:$M,0)),"⚠ Type inconnu",IF($L4851="Crédit","",IFERROR(INDEX('Paramètres'!$O:$O,MATCH($D4851,'Paramètres'!$M:$M,0))&amp;"",""))))</f>
        <v/>
      </c>
      <c r="N4851" s="6" t="str">
        <f>IF($D4851="","",IFERROR(INDEX('Paramètres'!$Q:$Q,MATCH($D4851,'Paramètres'!$M:$M,0))&amp;"",""))</f>
        <v/>
      </c>
      <c r="O4851" s="6" t="str">
        <f>IF($A4851="","",IF(OR($J4851&lt;&gt;"x",$A4851&lt;=FinReleve),1,0))</f>
        <v/>
      </c>
      <c r="P4851" s="6" t="str">
        <f>IF($D4851="","",IF(AND($L4851="Crédit",OR(IFERROR(INDEX('Paramètres'!$O:$O,MATCH($D4851,'Paramètres'!$M:$M,0))&amp;"","")&lt;&gt;"",ISNUMBER(SEARCH("remboursement",IFERROR(INDEX('Paramètres'!$N:$N,MATCH($D4851,'Paramètres'!$M:$M,0))&amp;"",""))))),1,0))</f>
        <v/>
      </c>
      <c r="Q4851" s="6" t="str">
        <f>IF($K4851="","",IF(ISNUMBER(SEARCH("transfert-interne",IFERROR(INDEX('Paramètres'!$N:$N,MATCH($D4851,'Paramètres'!$M:$M,0))&amp;"",""))),0,IF($L4851="Débit",$K4851,IF($P4851=1,-$K4851,0))))</f>
        <v/>
      </c>
      <c r="R4851" s="6" t="str">
        <f>IF($K4851="","",IF($L4851="Crédit",$K4851,-$K4851))</f>
        <v/>
      </c>
      <c r="S4851" s="6" t="str">
        <f>IF($C4851="","",IFERROR(INDEX('Paramètres'!$H:$H,MATCH($C4851,'Paramètres'!$D:$D,0))&amp;"",""))</f>
        <v/>
      </c>
      <c r="T4851" s="6" t="str">
        <f>IF($K4851="","",IF($S4851="",0,IF(ISNUMBER(SEARCH("apport-exterieur",IFERROR(INDEX('Paramètres'!$N:$N,MATCH($D4851,'Paramètres'!$M:$M,0))&amp;"",""))),0,IF(OR(IFERROR(INDEX('Paramètres'!$I:$I,MATCH($C4851,'Paramètres'!$D:$D,0))&amp;"","")="Les deux",IFERROR(INDEX('Paramètres'!$I:$I,MATCH($C4851,'Paramètres'!$D:$D,0))&amp;"","")=IF($P4851=1,"Débit",$L4851)),-IF($P4851=1,-$K4851,$K4851),0))))</f>
        <v/>
      </c>
      <c r="U4851" s="6" t="str">
        <f>IF($K4851="","",IF(ISNUMBER(SEARCH("sortie-epargne",IFERROR(INDEX('Paramètres'!$N:$N,MATCH($D4851,'Paramètres'!$M:$M,0))&amp;"",""))),$K4851,0))</f>
        <v/>
      </c>
      <c r="V4851" s="6" t="str">
        <f>IF(AND($A4851&lt;&gt;"",$O4851=1,$L4851="Débit",N($Q4851)&gt;0,$A4851&gt;=Visualisation!$B$1,$A4851&lt;Visualisation!$D$1),MAX($V$1:V4850)+1,"")</f>
        <v/>
      </c>
    </row>
    <row r="4852" spans="1:22" x14ac:dyDescent="0.25">
      <c r="A4852" s="9"/>
      <c r="E4852" s="10"/>
      <c r="K4852" s="11" t="str">
        <f>IF($E4852="","",ROUND($E4852*IF(ISNA(MATCH($C4852,'Paramètres'!$D:$D,0)),1,IF(INDEX('Paramètres'!$J:$J,MATCH($C4852,'Paramètres'!$D:$D,0))="",1,INDEX('Paramètres'!$J:$J,MATCH($C4852,'Paramètres'!$D:$D,0)))),2))</f>
        <v/>
      </c>
      <c r="L4852" s="6" t="str">
        <f>IF($D4852="","",IF($F4852&lt;&gt;"",$F4852,IF(ISNA(MATCH($D4852,'Paramètres'!$M:$M,0)),"⚠ Type inconnu",IFERROR(INDEX('Paramètres'!$P:$P,MATCH($D4852,'Paramètres'!$M:$M,0))&amp;"",""))))</f>
        <v/>
      </c>
      <c r="M4852" s="6" t="str">
        <f>IF($D4852="","",IF(ISNA(MATCH($D4852,'Paramètres'!$M:$M,0)),"⚠ Type inconnu",IF($L4852="Crédit","",IFERROR(INDEX('Paramètres'!$O:$O,MATCH($D4852,'Paramètres'!$M:$M,0))&amp;"",""))))</f>
        <v/>
      </c>
      <c r="N4852" s="6" t="str">
        <f>IF($D4852="","",IFERROR(INDEX('Paramètres'!$Q:$Q,MATCH($D4852,'Paramètres'!$M:$M,0))&amp;"",""))</f>
        <v/>
      </c>
      <c r="O4852" s="6" t="str">
        <f>IF($A4852="","",IF(OR($J4852&lt;&gt;"x",$A4852&lt;=FinReleve),1,0))</f>
        <v/>
      </c>
      <c r="P4852" s="6" t="str">
        <f>IF($D4852="","",IF(AND($L4852="Crédit",OR(IFERROR(INDEX('Paramètres'!$O:$O,MATCH($D4852,'Paramètres'!$M:$M,0))&amp;"","")&lt;&gt;"",ISNUMBER(SEARCH("remboursement",IFERROR(INDEX('Paramètres'!$N:$N,MATCH($D4852,'Paramètres'!$M:$M,0))&amp;"",""))))),1,0))</f>
        <v/>
      </c>
      <c r="Q4852" s="6" t="str">
        <f>IF($K4852="","",IF(ISNUMBER(SEARCH("transfert-interne",IFERROR(INDEX('Paramètres'!$N:$N,MATCH($D4852,'Paramètres'!$M:$M,0))&amp;"",""))),0,IF($L4852="Débit",$K4852,IF($P4852=1,-$K4852,0))))</f>
        <v/>
      </c>
      <c r="R4852" s="6" t="str">
        <f>IF($K4852="","",IF($L4852="Crédit",$K4852,-$K4852))</f>
        <v/>
      </c>
      <c r="S4852" s="6" t="str">
        <f>IF($C4852="","",IFERROR(INDEX('Paramètres'!$H:$H,MATCH($C4852,'Paramètres'!$D:$D,0))&amp;"",""))</f>
        <v/>
      </c>
      <c r="T4852" s="6" t="str">
        <f>IF($K4852="","",IF($S4852="",0,IF(ISNUMBER(SEARCH("apport-exterieur",IFERROR(INDEX('Paramètres'!$N:$N,MATCH($D4852,'Paramètres'!$M:$M,0))&amp;"",""))),0,IF(OR(IFERROR(INDEX('Paramètres'!$I:$I,MATCH($C4852,'Paramètres'!$D:$D,0))&amp;"","")="Les deux",IFERROR(INDEX('Paramètres'!$I:$I,MATCH($C4852,'Paramètres'!$D:$D,0))&amp;"","")=IF($P4852=1,"Débit",$L4852)),-IF($P4852=1,-$K4852,$K4852),0))))</f>
        <v/>
      </c>
      <c r="U4852" s="6" t="str">
        <f>IF($K4852="","",IF(ISNUMBER(SEARCH("sortie-epargne",IFERROR(INDEX('Paramètres'!$N:$N,MATCH($D4852,'Paramètres'!$M:$M,0))&amp;"",""))),$K4852,0))</f>
        <v/>
      </c>
      <c r="V4852" s="6" t="str">
        <f>IF(AND($A4852&lt;&gt;"",$O4852=1,$L4852="Débit",N($Q4852)&gt;0,$A4852&gt;=Visualisation!$B$1,$A4852&lt;Visualisation!$D$1),MAX($V$1:V4851)+1,"")</f>
        <v/>
      </c>
    </row>
    <row r="4853" spans="1:22" x14ac:dyDescent="0.25">
      <c r="A4853" s="9"/>
      <c r="E4853" s="10"/>
      <c r="K4853" s="11" t="str">
        <f>IF($E4853="","",ROUND($E4853*IF(ISNA(MATCH($C4853,'Paramètres'!$D:$D,0)),1,IF(INDEX('Paramètres'!$J:$J,MATCH($C4853,'Paramètres'!$D:$D,0))="",1,INDEX('Paramètres'!$J:$J,MATCH($C4853,'Paramètres'!$D:$D,0)))),2))</f>
        <v/>
      </c>
      <c r="L4853" s="6" t="str">
        <f>IF($D4853="","",IF($F4853&lt;&gt;"",$F4853,IF(ISNA(MATCH($D4853,'Paramètres'!$M:$M,0)),"⚠ Type inconnu",IFERROR(INDEX('Paramètres'!$P:$P,MATCH($D4853,'Paramètres'!$M:$M,0))&amp;"",""))))</f>
        <v/>
      </c>
      <c r="M4853" s="6" t="str">
        <f>IF($D4853="","",IF(ISNA(MATCH($D4853,'Paramètres'!$M:$M,0)),"⚠ Type inconnu",IF($L4853="Crédit","",IFERROR(INDEX('Paramètres'!$O:$O,MATCH($D4853,'Paramètres'!$M:$M,0))&amp;"",""))))</f>
        <v/>
      </c>
      <c r="N4853" s="6" t="str">
        <f>IF($D4853="","",IFERROR(INDEX('Paramètres'!$Q:$Q,MATCH($D4853,'Paramètres'!$M:$M,0))&amp;"",""))</f>
        <v/>
      </c>
      <c r="O4853" s="6" t="str">
        <f>IF($A4853="","",IF(OR($J4853&lt;&gt;"x",$A4853&lt;=FinReleve),1,0))</f>
        <v/>
      </c>
      <c r="P4853" s="6" t="str">
        <f>IF($D4853="","",IF(AND($L4853="Crédit",OR(IFERROR(INDEX('Paramètres'!$O:$O,MATCH($D4853,'Paramètres'!$M:$M,0))&amp;"","")&lt;&gt;"",ISNUMBER(SEARCH("remboursement",IFERROR(INDEX('Paramètres'!$N:$N,MATCH($D4853,'Paramètres'!$M:$M,0))&amp;"",""))))),1,0))</f>
        <v/>
      </c>
      <c r="Q4853" s="6" t="str">
        <f>IF($K4853="","",IF(ISNUMBER(SEARCH("transfert-interne",IFERROR(INDEX('Paramètres'!$N:$N,MATCH($D4853,'Paramètres'!$M:$M,0))&amp;"",""))),0,IF($L4853="Débit",$K4853,IF($P4853=1,-$K4853,0))))</f>
        <v/>
      </c>
      <c r="R4853" s="6" t="str">
        <f>IF($K4853="","",IF($L4853="Crédit",$K4853,-$K4853))</f>
        <v/>
      </c>
      <c r="S4853" s="6" t="str">
        <f>IF($C4853="","",IFERROR(INDEX('Paramètres'!$H:$H,MATCH($C4853,'Paramètres'!$D:$D,0))&amp;"",""))</f>
        <v/>
      </c>
      <c r="T4853" s="6" t="str">
        <f>IF($K4853="","",IF($S4853="",0,IF(ISNUMBER(SEARCH("apport-exterieur",IFERROR(INDEX('Paramètres'!$N:$N,MATCH($D4853,'Paramètres'!$M:$M,0))&amp;"",""))),0,IF(OR(IFERROR(INDEX('Paramètres'!$I:$I,MATCH($C4853,'Paramètres'!$D:$D,0))&amp;"","")="Les deux",IFERROR(INDEX('Paramètres'!$I:$I,MATCH($C4853,'Paramètres'!$D:$D,0))&amp;"","")=IF($P4853=1,"Débit",$L4853)),-IF($P4853=1,-$K4853,$K4853),0))))</f>
        <v/>
      </c>
      <c r="U4853" s="6" t="str">
        <f>IF($K4853="","",IF(ISNUMBER(SEARCH("sortie-epargne",IFERROR(INDEX('Paramètres'!$N:$N,MATCH($D4853,'Paramètres'!$M:$M,0))&amp;"",""))),$K4853,0))</f>
        <v/>
      </c>
      <c r="V4853" s="6" t="str">
        <f>IF(AND($A4853&lt;&gt;"",$O4853=1,$L4853="Débit",N($Q4853)&gt;0,$A4853&gt;=Visualisation!$B$1,$A4853&lt;Visualisation!$D$1),MAX($V$1:V4852)+1,"")</f>
        <v/>
      </c>
    </row>
    <row r="4854" spans="1:22" x14ac:dyDescent="0.25">
      <c r="A4854" s="9"/>
      <c r="E4854" s="10"/>
      <c r="K4854" s="11" t="str">
        <f>IF($E4854="","",ROUND($E4854*IF(ISNA(MATCH($C4854,'Paramètres'!$D:$D,0)),1,IF(INDEX('Paramètres'!$J:$J,MATCH($C4854,'Paramètres'!$D:$D,0))="",1,INDEX('Paramètres'!$J:$J,MATCH($C4854,'Paramètres'!$D:$D,0)))),2))</f>
        <v/>
      </c>
      <c r="L4854" s="6" t="str">
        <f>IF($D4854="","",IF($F4854&lt;&gt;"",$F4854,IF(ISNA(MATCH($D4854,'Paramètres'!$M:$M,0)),"⚠ Type inconnu",IFERROR(INDEX('Paramètres'!$P:$P,MATCH($D4854,'Paramètres'!$M:$M,0))&amp;"",""))))</f>
        <v/>
      </c>
      <c r="M4854" s="6" t="str">
        <f>IF($D4854="","",IF(ISNA(MATCH($D4854,'Paramètres'!$M:$M,0)),"⚠ Type inconnu",IF($L4854="Crédit","",IFERROR(INDEX('Paramètres'!$O:$O,MATCH($D4854,'Paramètres'!$M:$M,0))&amp;"",""))))</f>
        <v/>
      </c>
      <c r="N4854" s="6" t="str">
        <f>IF($D4854="","",IFERROR(INDEX('Paramètres'!$Q:$Q,MATCH($D4854,'Paramètres'!$M:$M,0))&amp;"",""))</f>
        <v/>
      </c>
      <c r="O4854" s="6" t="str">
        <f>IF($A4854="","",IF(OR($J4854&lt;&gt;"x",$A4854&lt;=FinReleve),1,0))</f>
        <v/>
      </c>
      <c r="P4854" s="6" t="str">
        <f>IF($D4854="","",IF(AND($L4854="Crédit",OR(IFERROR(INDEX('Paramètres'!$O:$O,MATCH($D4854,'Paramètres'!$M:$M,0))&amp;"","")&lt;&gt;"",ISNUMBER(SEARCH("remboursement",IFERROR(INDEX('Paramètres'!$N:$N,MATCH($D4854,'Paramètres'!$M:$M,0))&amp;"",""))))),1,0))</f>
        <v/>
      </c>
      <c r="Q4854" s="6" t="str">
        <f>IF($K4854="","",IF(ISNUMBER(SEARCH("transfert-interne",IFERROR(INDEX('Paramètres'!$N:$N,MATCH($D4854,'Paramètres'!$M:$M,0))&amp;"",""))),0,IF($L4854="Débit",$K4854,IF($P4854=1,-$K4854,0))))</f>
        <v/>
      </c>
      <c r="R4854" s="6" t="str">
        <f>IF($K4854="","",IF($L4854="Crédit",$K4854,-$K4854))</f>
        <v/>
      </c>
      <c r="S4854" s="6" t="str">
        <f>IF($C4854="","",IFERROR(INDEX('Paramètres'!$H:$H,MATCH($C4854,'Paramètres'!$D:$D,0))&amp;"",""))</f>
        <v/>
      </c>
      <c r="T4854" s="6" t="str">
        <f>IF($K4854="","",IF($S4854="",0,IF(ISNUMBER(SEARCH("apport-exterieur",IFERROR(INDEX('Paramètres'!$N:$N,MATCH($D4854,'Paramètres'!$M:$M,0))&amp;"",""))),0,IF(OR(IFERROR(INDEX('Paramètres'!$I:$I,MATCH($C4854,'Paramètres'!$D:$D,0))&amp;"","")="Les deux",IFERROR(INDEX('Paramètres'!$I:$I,MATCH($C4854,'Paramètres'!$D:$D,0))&amp;"","")=IF($P4854=1,"Débit",$L4854)),-IF($P4854=1,-$K4854,$K4854),0))))</f>
        <v/>
      </c>
      <c r="U4854" s="6" t="str">
        <f>IF($K4854="","",IF(ISNUMBER(SEARCH("sortie-epargne",IFERROR(INDEX('Paramètres'!$N:$N,MATCH($D4854,'Paramètres'!$M:$M,0))&amp;"",""))),$K4854,0))</f>
        <v/>
      </c>
      <c r="V4854" s="6" t="str">
        <f>IF(AND($A4854&lt;&gt;"",$O4854=1,$L4854="Débit",N($Q4854)&gt;0,$A4854&gt;=Visualisation!$B$1,$A4854&lt;Visualisation!$D$1),MAX($V$1:V4853)+1,"")</f>
        <v/>
      </c>
    </row>
    <row r="4855" spans="1:22" x14ac:dyDescent="0.25">
      <c r="A4855" s="9"/>
      <c r="E4855" s="10"/>
      <c r="K4855" s="11" t="str">
        <f>IF($E4855="","",ROUND($E4855*IF(ISNA(MATCH($C4855,'Paramètres'!$D:$D,0)),1,IF(INDEX('Paramètres'!$J:$J,MATCH($C4855,'Paramètres'!$D:$D,0))="",1,INDEX('Paramètres'!$J:$J,MATCH($C4855,'Paramètres'!$D:$D,0)))),2))</f>
        <v/>
      </c>
      <c r="L4855" s="6" t="str">
        <f>IF($D4855="","",IF($F4855&lt;&gt;"",$F4855,IF(ISNA(MATCH($D4855,'Paramètres'!$M:$M,0)),"⚠ Type inconnu",IFERROR(INDEX('Paramètres'!$P:$P,MATCH($D4855,'Paramètres'!$M:$M,0))&amp;"",""))))</f>
        <v/>
      </c>
      <c r="M4855" s="6" t="str">
        <f>IF($D4855="","",IF(ISNA(MATCH($D4855,'Paramètres'!$M:$M,0)),"⚠ Type inconnu",IF($L4855="Crédit","",IFERROR(INDEX('Paramètres'!$O:$O,MATCH($D4855,'Paramètres'!$M:$M,0))&amp;"",""))))</f>
        <v/>
      </c>
      <c r="N4855" s="6" t="str">
        <f>IF($D4855="","",IFERROR(INDEX('Paramètres'!$Q:$Q,MATCH($D4855,'Paramètres'!$M:$M,0))&amp;"",""))</f>
        <v/>
      </c>
      <c r="O4855" s="6" t="str">
        <f>IF($A4855="","",IF(OR($J4855&lt;&gt;"x",$A4855&lt;=FinReleve),1,0))</f>
        <v/>
      </c>
      <c r="P4855" s="6" t="str">
        <f>IF($D4855="","",IF(AND($L4855="Crédit",OR(IFERROR(INDEX('Paramètres'!$O:$O,MATCH($D4855,'Paramètres'!$M:$M,0))&amp;"","")&lt;&gt;"",ISNUMBER(SEARCH("remboursement",IFERROR(INDEX('Paramètres'!$N:$N,MATCH($D4855,'Paramètres'!$M:$M,0))&amp;"",""))))),1,0))</f>
        <v/>
      </c>
      <c r="Q4855" s="6" t="str">
        <f>IF($K4855="","",IF(ISNUMBER(SEARCH("transfert-interne",IFERROR(INDEX('Paramètres'!$N:$N,MATCH($D4855,'Paramètres'!$M:$M,0))&amp;"",""))),0,IF($L4855="Débit",$K4855,IF($P4855=1,-$K4855,0))))</f>
        <v/>
      </c>
      <c r="R4855" s="6" t="str">
        <f>IF($K4855="","",IF($L4855="Crédit",$K4855,-$K4855))</f>
        <v/>
      </c>
      <c r="S4855" s="6" t="str">
        <f>IF($C4855="","",IFERROR(INDEX('Paramètres'!$H:$H,MATCH($C4855,'Paramètres'!$D:$D,0))&amp;"",""))</f>
        <v/>
      </c>
      <c r="T4855" s="6" t="str">
        <f>IF($K4855="","",IF($S4855="",0,IF(ISNUMBER(SEARCH("apport-exterieur",IFERROR(INDEX('Paramètres'!$N:$N,MATCH($D4855,'Paramètres'!$M:$M,0))&amp;"",""))),0,IF(OR(IFERROR(INDEX('Paramètres'!$I:$I,MATCH($C4855,'Paramètres'!$D:$D,0))&amp;"","")="Les deux",IFERROR(INDEX('Paramètres'!$I:$I,MATCH($C4855,'Paramètres'!$D:$D,0))&amp;"","")=IF($P4855=1,"Débit",$L4855)),-IF($P4855=1,-$K4855,$K4855),0))))</f>
        <v/>
      </c>
      <c r="U4855" s="6" t="str">
        <f>IF($K4855="","",IF(ISNUMBER(SEARCH("sortie-epargne",IFERROR(INDEX('Paramètres'!$N:$N,MATCH($D4855,'Paramètres'!$M:$M,0))&amp;"",""))),$K4855,0))</f>
        <v/>
      </c>
      <c r="V4855" s="6" t="str">
        <f>IF(AND($A4855&lt;&gt;"",$O4855=1,$L4855="Débit",N($Q4855)&gt;0,$A4855&gt;=Visualisation!$B$1,$A4855&lt;Visualisation!$D$1),MAX($V$1:V4854)+1,"")</f>
        <v/>
      </c>
    </row>
    <row r="4856" spans="1:22" x14ac:dyDescent="0.25">
      <c r="A4856" s="9"/>
      <c r="E4856" s="10"/>
      <c r="K4856" s="11" t="str">
        <f>IF($E4856="","",ROUND($E4856*IF(ISNA(MATCH($C4856,'Paramètres'!$D:$D,0)),1,IF(INDEX('Paramètres'!$J:$J,MATCH($C4856,'Paramètres'!$D:$D,0))="",1,INDEX('Paramètres'!$J:$J,MATCH($C4856,'Paramètres'!$D:$D,0)))),2))</f>
        <v/>
      </c>
      <c r="L4856" s="6" t="str">
        <f>IF($D4856="","",IF($F4856&lt;&gt;"",$F4856,IF(ISNA(MATCH($D4856,'Paramètres'!$M:$M,0)),"⚠ Type inconnu",IFERROR(INDEX('Paramètres'!$P:$P,MATCH($D4856,'Paramètres'!$M:$M,0))&amp;"",""))))</f>
        <v/>
      </c>
      <c r="M4856" s="6" t="str">
        <f>IF($D4856="","",IF(ISNA(MATCH($D4856,'Paramètres'!$M:$M,0)),"⚠ Type inconnu",IF($L4856="Crédit","",IFERROR(INDEX('Paramètres'!$O:$O,MATCH($D4856,'Paramètres'!$M:$M,0))&amp;"",""))))</f>
        <v/>
      </c>
      <c r="N4856" s="6" t="str">
        <f>IF($D4856="","",IFERROR(INDEX('Paramètres'!$Q:$Q,MATCH($D4856,'Paramètres'!$M:$M,0))&amp;"",""))</f>
        <v/>
      </c>
      <c r="O4856" s="6" t="str">
        <f>IF($A4856="","",IF(OR($J4856&lt;&gt;"x",$A4856&lt;=FinReleve),1,0))</f>
        <v/>
      </c>
      <c r="P4856" s="6" t="str">
        <f>IF($D4856="","",IF(AND($L4856="Crédit",OR(IFERROR(INDEX('Paramètres'!$O:$O,MATCH($D4856,'Paramètres'!$M:$M,0))&amp;"","")&lt;&gt;"",ISNUMBER(SEARCH("remboursement",IFERROR(INDEX('Paramètres'!$N:$N,MATCH($D4856,'Paramètres'!$M:$M,0))&amp;"",""))))),1,0))</f>
        <v/>
      </c>
      <c r="Q4856" s="6" t="str">
        <f>IF($K4856="","",IF(ISNUMBER(SEARCH("transfert-interne",IFERROR(INDEX('Paramètres'!$N:$N,MATCH($D4856,'Paramètres'!$M:$M,0))&amp;"",""))),0,IF($L4856="Débit",$K4856,IF($P4856=1,-$K4856,0))))</f>
        <v/>
      </c>
      <c r="R4856" s="6" t="str">
        <f>IF($K4856="","",IF($L4856="Crédit",$K4856,-$K4856))</f>
        <v/>
      </c>
      <c r="S4856" s="6" t="str">
        <f>IF($C4856="","",IFERROR(INDEX('Paramètres'!$H:$H,MATCH($C4856,'Paramètres'!$D:$D,0))&amp;"",""))</f>
        <v/>
      </c>
      <c r="T4856" s="6" t="str">
        <f>IF($K4856="","",IF($S4856="",0,IF(ISNUMBER(SEARCH("apport-exterieur",IFERROR(INDEX('Paramètres'!$N:$N,MATCH($D4856,'Paramètres'!$M:$M,0))&amp;"",""))),0,IF(OR(IFERROR(INDEX('Paramètres'!$I:$I,MATCH($C4856,'Paramètres'!$D:$D,0))&amp;"","")="Les deux",IFERROR(INDEX('Paramètres'!$I:$I,MATCH($C4856,'Paramètres'!$D:$D,0))&amp;"","")=IF($P4856=1,"Débit",$L4856)),-IF($P4856=1,-$K4856,$K4856),0))))</f>
        <v/>
      </c>
      <c r="U4856" s="6" t="str">
        <f>IF($K4856="","",IF(ISNUMBER(SEARCH("sortie-epargne",IFERROR(INDEX('Paramètres'!$N:$N,MATCH($D4856,'Paramètres'!$M:$M,0))&amp;"",""))),$K4856,0))</f>
        <v/>
      </c>
      <c r="V4856" s="6" t="str">
        <f>IF(AND($A4856&lt;&gt;"",$O4856=1,$L4856="Débit",N($Q4856)&gt;0,$A4856&gt;=Visualisation!$B$1,$A4856&lt;Visualisation!$D$1),MAX($V$1:V4855)+1,"")</f>
        <v/>
      </c>
    </row>
    <row r="4857" spans="1:22" x14ac:dyDescent="0.25">
      <c r="A4857" s="9"/>
      <c r="E4857" s="10"/>
      <c r="K4857" s="11" t="str">
        <f>IF($E4857="","",ROUND($E4857*IF(ISNA(MATCH($C4857,'Paramètres'!$D:$D,0)),1,IF(INDEX('Paramètres'!$J:$J,MATCH($C4857,'Paramètres'!$D:$D,0))="",1,INDEX('Paramètres'!$J:$J,MATCH($C4857,'Paramètres'!$D:$D,0)))),2))</f>
        <v/>
      </c>
      <c r="L4857" s="6" t="str">
        <f>IF($D4857="","",IF($F4857&lt;&gt;"",$F4857,IF(ISNA(MATCH($D4857,'Paramètres'!$M:$M,0)),"⚠ Type inconnu",IFERROR(INDEX('Paramètres'!$P:$P,MATCH($D4857,'Paramètres'!$M:$M,0))&amp;"",""))))</f>
        <v/>
      </c>
      <c r="M4857" s="6" t="str">
        <f>IF($D4857="","",IF(ISNA(MATCH($D4857,'Paramètres'!$M:$M,0)),"⚠ Type inconnu",IF($L4857="Crédit","",IFERROR(INDEX('Paramètres'!$O:$O,MATCH($D4857,'Paramètres'!$M:$M,0))&amp;"",""))))</f>
        <v/>
      </c>
      <c r="N4857" s="6" t="str">
        <f>IF($D4857="","",IFERROR(INDEX('Paramètres'!$Q:$Q,MATCH($D4857,'Paramètres'!$M:$M,0))&amp;"",""))</f>
        <v/>
      </c>
      <c r="O4857" s="6" t="str">
        <f>IF($A4857="","",IF(OR($J4857&lt;&gt;"x",$A4857&lt;=FinReleve),1,0))</f>
        <v/>
      </c>
      <c r="P4857" s="6" t="str">
        <f>IF($D4857="","",IF(AND($L4857="Crédit",OR(IFERROR(INDEX('Paramètres'!$O:$O,MATCH($D4857,'Paramètres'!$M:$M,0))&amp;"","")&lt;&gt;"",ISNUMBER(SEARCH("remboursement",IFERROR(INDEX('Paramètres'!$N:$N,MATCH($D4857,'Paramètres'!$M:$M,0))&amp;"",""))))),1,0))</f>
        <v/>
      </c>
      <c r="Q4857" s="6" t="str">
        <f>IF($K4857="","",IF(ISNUMBER(SEARCH("transfert-interne",IFERROR(INDEX('Paramètres'!$N:$N,MATCH($D4857,'Paramètres'!$M:$M,0))&amp;"",""))),0,IF($L4857="Débit",$K4857,IF($P4857=1,-$K4857,0))))</f>
        <v/>
      </c>
      <c r="R4857" s="6" t="str">
        <f>IF($K4857="","",IF($L4857="Crédit",$K4857,-$K4857))</f>
        <v/>
      </c>
      <c r="S4857" s="6" t="str">
        <f>IF($C4857="","",IFERROR(INDEX('Paramètres'!$H:$H,MATCH($C4857,'Paramètres'!$D:$D,0))&amp;"",""))</f>
        <v/>
      </c>
      <c r="T4857" s="6" t="str">
        <f>IF($K4857="","",IF($S4857="",0,IF(ISNUMBER(SEARCH("apport-exterieur",IFERROR(INDEX('Paramètres'!$N:$N,MATCH($D4857,'Paramètres'!$M:$M,0))&amp;"",""))),0,IF(OR(IFERROR(INDEX('Paramètres'!$I:$I,MATCH($C4857,'Paramètres'!$D:$D,0))&amp;"","")="Les deux",IFERROR(INDEX('Paramètres'!$I:$I,MATCH($C4857,'Paramètres'!$D:$D,0))&amp;"","")=IF($P4857=1,"Débit",$L4857)),-IF($P4857=1,-$K4857,$K4857),0))))</f>
        <v/>
      </c>
      <c r="U4857" s="6" t="str">
        <f>IF($K4857="","",IF(ISNUMBER(SEARCH("sortie-epargne",IFERROR(INDEX('Paramètres'!$N:$N,MATCH($D4857,'Paramètres'!$M:$M,0))&amp;"",""))),$K4857,0))</f>
        <v/>
      </c>
      <c r="V4857" s="6" t="str">
        <f>IF(AND($A4857&lt;&gt;"",$O4857=1,$L4857="Débit",N($Q4857)&gt;0,$A4857&gt;=Visualisation!$B$1,$A4857&lt;Visualisation!$D$1),MAX($V$1:V4856)+1,"")</f>
        <v/>
      </c>
    </row>
    <row r="4858" spans="1:22" x14ac:dyDescent="0.25">
      <c r="A4858" s="9"/>
      <c r="E4858" s="10"/>
      <c r="K4858" s="11" t="str">
        <f>IF($E4858="","",ROUND($E4858*IF(ISNA(MATCH($C4858,'Paramètres'!$D:$D,0)),1,IF(INDEX('Paramètres'!$J:$J,MATCH($C4858,'Paramètres'!$D:$D,0))="",1,INDEX('Paramètres'!$J:$J,MATCH($C4858,'Paramètres'!$D:$D,0)))),2))</f>
        <v/>
      </c>
      <c r="L4858" s="6" t="str">
        <f>IF($D4858="","",IF($F4858&lt;&gt;"",$F4858,IF(ISNA(MATCH($D4858,'Paramètres'!$M:$M,0)),"⚠ Type inconnu",IFERROR(INDEX('Paramètres'!$P:$P,MATCH($D4858,'Paramètres'!$M:$M,0))&amp;"",""))))</f>
        <v/>
      </c>
      <c r="M4858" s="6" t="str">
        <f>IF($D4858="","",IF(ISNA(MATCH($D4858,'Paramètres'!$M:$M,0)),"⚠ Type inconnu",IF($L4858="Crédit","",IFERROR(INDEX('Paramètres'!$O:$O,MATCH($D4858,'Paramètres'!$M:$M,0))&amp;"",""))))</f>
        <v/>
      </c>
      <c r="N4858" s="6" t="str">
        <f>IF($D4858="","",IFERROR(INDEX('Paramètres'!$Q:$Q,MATCH($D4858,'Paramètres'!$M:$M,0))&amp;"",""))</f>
        <v/>
      </c>
      <c r="O4858" s="6" t="str">
        <f>IF($A4858="","",IF(OR($J4858&lt;&gt;"x",$A4858&lt;=FinReleve),1,0))</f>
        <v/>
      </c>
      <c r="P4858" s="6" t="str">
        <f>IF($D4858="","",IF(AND($L4858="Crédit",OR(IFERROR(INDEX('Paramètres'!$O:$O,MATCH($D4858,'Paramètres'!$M:$M,0))&amp;"","")&lt;&gt;"",ISNUMBER(SEARCH("remboursement",IFERROR(INDEX('Paramètres'!$N:$N,MATCH($D4858,'Paramètres'!$M:$M,0))&amp;"",""))))),1,0))</f>
        <v/>
      </c>
      <c r="Q4858" s="6" t="str">
        <f>IF($K4858="","",IF(ISNUMBER(SEARCH("transfert-interne",IFERROR(INDEX('Paramètres'!$N:$N,MATCH($D4858,'Paramètres'!$M:$M,0))&amp;"",""))),0,IF($L4858="Débit",$K4858,IF($P4858=1,-$K4858,0))))</f>
        <v/>
      </c>
      <c r="R4858" s="6" t="str">
        <f>IF($K4858="","",IF($L4858="Crédit",$K4858,-$K4858))</f>
        <v/>
      </c>
      <c r="S4858" s="6" t="str">
        <f>IF($C4858="","",IFERROR(INDEX('Paramètres'!$H:$H,MATCH($C4858,'Paramètres'!$D:$D,0))&amp;"",""))</f>
        <v/>
      </c>
      <c r="T4858" s="6" t="str">
        <f>IF($K4858="","",IF($S4858="",0,IF(ISNUMBER(SEARCH("apport-exterieur",IFERROR(INDEX('Paramètres'!$N:$N,MATCH($D4858,'Paramètres'!$M:$M,0))&amp;"",""))),0,IF(OR(IFERROR(INDEX('Paramètres'!$I:$I,MATCH($C4858,'Paramètres'!$D:$D,0))&amp;"","")="Les deux",IFERROR(INDEX('Paramètres'!$I:$I,MATCH($C4858,'Paramètres'!$D:$D,0))&amp;"","")=IF($P4858=1,"Débit",$L4858)),-IF($P4858=1,-$K4858,$K4858),0))))</f>
        <v/>
      </c>
      <c r="U4858" s="6" t="str">
        <f>IF($K4858="","",IF(ISNUMBER(SEARCH("sortie-epargne",IFERROR(INDEX('Paramètres'!$N:$N,MATCH($D4858,'Paramètres'!$M:$M,0))&amp;"",""))),$K4858,0))</f>
        <v/>
      </c>
      <c r="V4858" s="6" t="str">
        <f>IF(AND($A4858&lt;&gt;"",$O4858=1,$L4858="Débit",N($Q4858)&gt;0,$A4858&gt;=Visualisation!$B$1,$A4858&lt;Visualisation!$D$1),MAX($V$1:V4857)+1,"")</f>
        <v/>
      </c>
    </row>
    <row r="4859" spans="1:22" x14ac:dyDescent="0.25">
      <c r="A4859" s="9"/>
      <c r="E4859" s="10"/>
      <c r="K4859" s="11" t="str">
        <f>IF($E4859="","",ROUND($E4859*IF(ISNA(MATCH($C4859,'Paramètres'!$D:$D,0)),1,IF(INDEX('Paramètres'!$J:$J,MATCH($C4859,'Paramètres'!$D:$D,0))="",1,INDEX('Paramètres'!$J:$J,MATCH($C4859,'Paramètres'!$D:$D,0)))),2))</f>
        <v/>
      </c>
      <c r="L4859" s="6" t="str">
        <f>IF($D4859="","",IF($F4859&lt;&gt;"",$F4859,IF(ISNA(MATCH($D4859,'Paramètres'!$M:$M,0)),"⚠ Type inconnu",IFERROR(INDEX('Paramètres'!$P:$P,MATCH($D4859,'Paramètres'!$M:$M,0))&amp;"",""))))</f>
        <v/>
      </c>
      <c r="M4859" s="6" t="str">
        <f>IF($D4859="","",IF(ISNA(MATCH($D4859,'Paramètres'!$M:$M,0)),"⚠ Type inconnu",IF($L4859="Crédit","",IFERROR(INDEX('Paramètres'!$O:$O,MATCH($D4859,'Paramètres'!$M:$M,0))&amp;"",""))))</f>
        <v/>
      </c>
      <c r="N4859" s="6" t="str">
        <f>IF($D4859="","",IFERROR(INDEX('Paramètres'!$Q:$Q,MATCH($D4859,'Paramètres'!$M:$M,0))&amp;"",""))</f>
        <v/>
      </c>
      <c r="O4859" s="6" t="str">
        <f>IF($A4859="","",IF(OR($J4859&lt;&gt;"x",$A4859&lt;=FinReleve),1,0))</f>
        <v/>
      </c>
      <c r="P4859" s="6" t="str">
        <f>IF($D4859="","",IF(AND($L4859="Crédit",OR(IFERROR(INDEX('Paramètres'!$O:$O,MATCH($D4859,'Paramètres'!$M:$M,0))&amp;"","")&lt;&gt;"",ISNUMBER(SEARCH("remboursement",IFERROR(INDEX('Paramètres'!$N:$N,MATCH($D4859,'Paramètres'!$M:$M,0))&amp;"",""))))),1,0))</f>
        <v/>
      </c>
      <c r="Q4859" s="6" t="str">
        <f>IF($K4859="","",IF(ISNUMBER(SEARCH("transfert-interne",IFERROR(INDEX('Paramètres'!$N:$N,MATCH($D4859,'Paramètres'!$M:$M,0))&amp;"",""))),0,IF($L4859="Débit",$K4859,IF($P4859=1,-$K4859,0))))</f>
        <v/>
      </c>
      <c r="R4859" s="6" t="str">
        <f>IF($K4859="","",IF($L4859="Crédit",$K4859,-$K4859))</f>
        <v/>
      </c>
      <c r="S4859" s="6" t="str">
        <f>IF($C4859="","",IFERROR(INDEX('Paramètres'!$H:$H,MATCH($C4859,'Paramètres'!$D:$D,0))&amp;"",""))</f>
        <v/>
      </c>
      <c r="T4859" s="6" t="str">
        <f>IF($K4859="","",IF($S4859="",0,IF(ISNUMBER(SEARCH("apport-exterieur",IFERROR(INDEX('Paramètres'!$N:$N,MATCH($D4859,'Paramètres'!$M:$M,0))&amp;"",""))),0,IF(OR(IFERROR(INDEX('Paramètres'!$I:$I,MATCH($C4859,'Paramètres'!$D:$D,0))&amp;"","")="Les deux",IFERROR(INDEX('Paramètres'!$I:$I,MATCH($C4859,'Paramètres'!$D:$D,0))&amp;"","")=IF($P4859=1,"Débit",$L4859)),-IF($P4859=1,-$K4859,$K4859),0))))</f>
        <v/>
      </c>
      <c r="U4859" s="6" t="str">
        <f>IF($K4859="","",IF(ISNUMBER(SEARCH("sortie-epargne",IFERROR(INDEX('Paramètres'!$N:$N,MATCH($D4859,'Paramètres'!$M:$M,0))&amp;"",""))),$K4859,0))</f>
        <v/>
      </c>
      <c r="V4859" s="6" t="str">
        <f>IF(AND($A4859&lt;&gt;"",$O4859=1,$L4859="Débit",N($Q4859)&gt;0,$A4859&gt;=Visualisation!$B$1,$A4859&lt;Visualisation!$D$1),MAX($V$1:V4858)+1,"")</f>
        <v/>
      </c>
    </row>
    <row r="4860" spans="1:22" x14ac:dyDescent="0.25">
      <c r="A4860" s="9"/>
      <c r="E4860" s="10"/>
      <c r="K4860" s="11" t="str">
        <f>IF($E4860="","",ROUND($E4860*IF(ISNA(MATCH($C4860,'Paramètres'!$D:$D,0)),1,IF(INDEX('Paramètres'!$J:$J,MATCH($C4860,'Paramètres'!$D:$D,0))="",1,INDEX('Paramètres'!$J:$J,MATCH($C4860,'Paramètres'!$D:$D,0)))),2))</f>
        <v/>
      </c>
      <c r="L4860" s="6" t="str">
        <f>IF($D4860="","",IF($F4860&lt;&gt;"",$F4860,IF(ISNA(MATCH($D4860,'Paramètres'!$M:$M,0)),"⚠ Type inconnu",IFERROR(INDEX('Paramètres'!$P:$P,MATCH($D4860,'Paramètres'!$M:$M,0))&amp;"",""))))</f>
        <v/>
      </c>
      <c r="M4860" s="6" t="str">
        <f>IF($D4860="","",IF(ISNA(MATCH($D4860,'Paramètres'!$M:$M,0)),"⚠ Type inconnu",IF($L4860="Crédit","",IFERROR(INDEX('Paramètres'!$O:$O,MATCH($D4860,'Paramètres'!$M:$M,0))&amp;"",""))))</f>
        <v/>
      </c>
      <c r="N4860" s="6" t="str">
        <f>IF($D4860="","",IFERROR(INDEX('Paramètres'!$Q:$Q,MATCH($D4860,'Paramètres'!$M:$M,0))&amp;"",""))</f>
        <v/>
      </c>
      <c r="O4860" s="6" t="str">
        <f>IF($A4860="","",IF(OR($J4860&lt;&gt;"x",$A4860&lt;=FinReleve),1,0))</f>
        <v/>
      </c>
      <c r="P4860" s="6" t="str">
        <f>IF($D4860="","",IF(AND($L4860="Crédit",OR(IFERROR(INDEX('Paramètres'!$O:$O,MATCH($D4860,'Paramètres'!$M:$M,0))&amp;"","")&lt;&gt;"",ISNUMBER(SEARCH("remboursement",IFERROR(INDEX('Paramètres'!$N:$N,MATCH($D4860,'Paramètres'!$M:$M,0))&amp;"",""))))),1,0))</f>
        <v/>
      </c>
      <c r="Q4860" s="6" t="str">
        <f>IF($K4860="","",IF(ISNUMBER(SEARCH("transfert-interne",IFERROR(INDEX('Paramètres'!$N:$N,MATCH($D4860,'Paramètres'!$M:$M,0))&amp;"",""))),0,IF($L4860="Débit",$K4860,IF($P4860=1,-$K4860,0))))</f>
        <v/>
      </c>
      <c r="R4860" s="6" t="str">
        <f>IF($K4860="","",IF($L4860="Crédit",$K4860,-$K4860))</f>
        <v/>
      </c>
      <c r="S4860" s="6" t="str">
        <f>IF($C4860="","",IFERROR(INDEX('Paramètres'!$H:$H,MATCH($C4860,'Paramètres'!$D:$D,0))&amp;"",""))</f>
        <v/>
      </c>
      <c r="T4860" s="6" t="str">
        <f>IF($K4860="","",IF($S4860="",0,IF(ISNUMBER(SEARCH("apport-exterieur",IFERROR(INDEX('Paramètres'!$N:$N,MATCH($D4860,'Paramètres'!$M:$M,0))&amp;"",""))),0,IF(OR(IFERROR(INDEX('Paramètres'!$I:$I,MATCH($C4860,'Paramètres'!$D:$D,0))&amp;"","")="Les deux",IFERROR(INDEX('Paramètres'!$I:$I,MATCH($C4860,'Paramètres'!$D:$D,0))&amp;"","")=IF($P4860=1,"Débit",$L4860)),-IF($P4860=1,-$K4860,$K4860),0))))</f>
        <v/>
      </c>
      <c r="U4860" s="6" t="str">
        <f>IF($K4860="","",IF(ISNUMBER(SEARCH("sortie-epargne",IFERROR(INDEX('Paramètres'!$N:$N,MATCH($D4860,'Paramètres'!$M:$M,0))&amp;"",""))),$K4860,0))</f>
        <v/>
      </c>
      <c r="V4860" s="6" t="str">
        <f>IF(AND($A4860&lt;&gt;"",$O4860=1,$L4860="Débit",N($Q4860)&gt;0,$A4860&gt;=Visualisation!$B$1,$A4860&lt;Visualisation!$D$1),MAX($V$1:V4859)+1,"")</f>
        <v/>
      </c>
    </row>
    <row r="4861" spans="1:22" x14ac:dyDescent="0.25">
      <c r="A4861" s="9"/>
      <c r="E4861" s="10"/>
      <c r="K4861" s="11" t="str">
        <f>IF($E4861="","",ROUND($E4861*IF(ISNA(MATCH($C4861,'Paramètres'!$D:$D,0)),1,IF(INDEX('Paramètres'!$J:$J,MATCH($C4861,'Paramètres'!$D:$D,0))="",1,INDEX('Paramètres'!$J:$J,MATCH($C4861,'Paramètres'!$D:$D,0)))),2))</f>
        <v/>
      </c>
      <c r="L4861" s="6" t="str">
        <f>IF($D4861="","",IF($F4861&lt;&gt;"",$F4861,IF(ISNA(MATCH($D4861,'Paramètres'!$M:$M,0)),"⚠ Type inconnu",IFERROR(INDEX('Paramètres'!$P:$P,MATCH($D4861,'Paramètres'!$M:$M,0))&amp;"",""))))</f>
        <v/>
      </c>
      <c r="M4861" s="6" t="str">
        <f>IF($D4861="","",IF(ISNA(MATCH($D4861,'Paramètres'!$M:$M,0)),"⚠ Type inconnu",IF($L4861="Crédit","",IFERROR(INDEX('Paramètres'!$O:$O,MATCH($D4861,'Paramètres'!$M:$M,0))&amp;"",""))))</f>
        <v/>
      </c>
      <c r="N4861" s="6" t="str">
        <f>IF($D4861="","",IFERROR(INDEX('Paramètres'!$Q:$Q,MATCH($D4861,'Paramètres'!$M:$M,0))&amp;"",""))</f>
        <v/>
      </c>
      <c r="O4861" s="6" t="str">
        <f>IF($A4861="","",IF(OR($J4861&lt;&gt;"x",$A4861&lt;=FinReleve),1,0))</f>
        <v/>
      </c>
      <c r="P4861" s="6" t="str">
        <f>IF($D4861="","",IF(AND($L4861="Crédit",OR(IFERROR(INDEX('Paramètres'!$O:$O,MATCH($D4861,'Paramètres'!$M:$M,0))&amp;"","")&lt;&gt;"",ISNUMBER(SEARCH("remboursement",IFERROR(INDEX('Paramètres'!$N:$N,MATCH($D4861,'Paramètres'!$M:$M,0))&amp;"",""))))),1,0))</f>
        <v/>
      </c>
      <c r="Q4861" s="6" t="str">
        <f>IF($K4861="","",IF(ISNUMBER(SEARCH("transfert-interne",IFERROR(INDEX('Paramètres'!$N:$N,MATCH($D4861,'Paramètres'!$M:$M,0))&amp;"",""))),0,IF($L4861="Débit",$K4861,IF($P4861=1,-$K4861,0))))</f>
        <v/>
      </c>
      <c r="R4861" s="6" t="str">
        <f>IF($K4861="","",IF($L4861="Crédit",$K4861,-$K4861))</f>
        <v/>
      </c>
      <c r="S4861" s="6" t="str">
        <f>IF($C4861="","",IFERROR(INDEX('Paramètres'!$H:$H,MATCH($C4861,'Paramètres'!$D:$D,0))&amp;"",""))</f>
        <v/>
      </c>
      <c r="T4861" s="6" t="str">
        <f>IF($K4861="","",IF($S4861="",0,IF(ISNUMBER(SEARCH("apport-exterieur",IFERROR(INDEX('Paramètres'!$N:$N,MATCH($D4861,'Paramètres'!$M:$M,0))&amp;"",""))),0,IF(OR(IFERROR(INDEX('Paramètres'!$I:$I,MATCH($C4861,'Paramètres'!$D:$D,0))&amp;"","")="Les deux",IFERROR(INDEX('Paramètres'!$I:$I,MATCH($C4861,'Paramètres'!$D:$D,0))&amp;"","")=IF($P4861=1,"Débit",$L4861)),-IF($P4861=1,-$K4861,$K4861),0))))</f>
        <v/>
      </c>
      <c r="U4861" s="6" t="str">
        <f>IF($K4861="","",IF(ISNUMBER(SEARCH("sortie-epargne",IFERROR(INDEX('Paramètres'!$N:$N,MATCH($D4861,'Paramètres'!$M:$M,0))&amp;"",""))),$K4861,0))</f>
        <v/>
      </c>
      <c r="V4861" s="6" t="str">
        <f>IF(AND($A4861&lt;&gt;"",$O4861=1,$L4861="Débit",N($Q4861)&gt;0,$A4861&gt;=Visualisation!$B$1,$A4861&lt;Visualisation!$D$1),MAX($V$1:V4860)+1,"")</f>
        <v/>
      </c>
    </row>
    <row r="4862" spans="1:22" x14ac:dyDescent="0.25">
      <c r="A4862" s="9"/>
      <c r="E4862" s="10"/>
      <c r="K4862" s="11" t="str">
        <f>IF($E4862="","",ROUND($E4862*IF(ISNA(MATCH($C4862,'Paramètres'!$D:$D,0)),1,IF(INDEX('Paramètres'!$J:$J,MATCH($C4862,'Paramètres'!$D:$D,0))="",1,INDEX('Paramètres'!$J:$J,MATCH($C4862,'Paramètres'!$D:$D,0)))),2))</f>
        <v/>
      </c>
      <c r="L4862" s="6" t="str">
        <f>IF($D4862="","",IF($F4862&lt;&gt;"",$F4862,IF(ISNA(MATCH($D4862,'Paramètres'!$M:$M,0)),"⚠ Type inconnu",IFERROR(INDEX('Paramètres'!$P:$P,MATCH($D4862,'Paramètres'!$M:$M,0))&amp;"",""))))</f>
        <v/>
      </c>
      <c r="M4862" s="6" t="str">
        <f>IF($D4862="","",IF(ISNA(MATCH($D4862,'Paramètres'!$M:$M,0)),"⚠ Type inconnu",IF($L4862="Crédit","",IFERROR(INDEX('Paramètres'!$O:$O,MATCH($D4862,'Paramètres'!$M:$M,0))&amp;"",""))))</f>
        <v/>
      </c>
      <c r="N4862" s="6" t="str">
        <f>IF($D4862="","",IFERROR(INDEX('Paramètres'!$Q:$Q,MATCH($D4862,'Paramètres'!$M:$M,0))&amp;"",""))</f>
        <v/>
      </c>
      <c r="O4862" s="6" t="str">
        <f>IF($A4862="","",IF(OR($J4862&lt;&gt;"x",$A4862&lt;=FinReleve),1,0))</f>
        <v/>
      </c>
      <c r="P4862" s="6" t="str">
        <f>IF($D4862="","",IF(AND($L4862="Crédit",OR(IFERROR(INDEX('Paramètres'!$O:$O,MATCH($D4862,'Paramètres'!$M:$M,0))&amp;"","")&lt;&gt;"",ISNUMBER(SEARCH("remboursement",IFERROR(INDEX('Paramètres'!$N:$N,MATCH($D4862,'Paramètres'!$M:$M,0))&amp;"",""))))),1,0))</f>
        <v/>
      </c>
      <c r="Q4862" s="6" t="str">
        <f>IF($K4862="","",IF(ISNUMBER(SEARCH("transfert-interne",IFERROR(INDEX('Paramètres'!$N:$N,MATCH($D4862,'Paramètres'!$M:$M,0))&amp;"",""))),0,IF($L4862="Débit",$K4862,IF($P4862=1,-$K4862,0))))</f>
        <v/>
      </c>
      <c r="R4862" s="6" t="str">
        <f>IF($K4862="","",IF($L4862="Crédit",$K4862,-$K4862))</f>
        <v/>
      </c>
      <c r="S4862" s="6" t="str">
        <f>IF($C4862="","",IFERROR(INDEX('Paramètres'!$H:$H,MATCH($C4862,'Paramètres'!$D:$D,0))&amp;"",""))</f>
        <v/>
      </c>
      <c r="T4862" s="6" t="str">
        <f>IF($K4862="","",IF($S4862="",0,IF(ISNUMBER(SEARCH("apport-exterieur",IFERROR(INDEX('Paramètres'!$N:$N,MATCH($D4862,'Paramètres'!$M:$M,0))&amp;"",""))),0,IF(OR(IFERROR(INDEX('Paramètres'!$I:$I,MATCH($C4862,'Paramètres'!$D:$D,0))&amp;"","")="Les deux",IFERROR(INDEX('Paramètres'!$I:$I,MATCH($C4862,'Paramètres'!$D:$D,0))&amp;"","")=IF($P4862=1,"Débit",$L4862)),-IF($P4862=1,-$K4862,$K4862),0))))</f>
        <v/>
      </c>
      <c r="U4862" s="6" t="str">
        <f>IF($K4862="","",IF(ISNUMBER(SEARCH("sortie-epargne",IFERROR(INDEX('Paramètres'!$N:$N,MATCH($D4862,'Paramètres'!$M:$M,0))&amp;"",""))),$K4862,0))</f>
        <v/>
      </c>
      <c r="V4862" s="6" t="str">
        <f>IF(AND($A4862&lt;&gt;"",$O4862=1,$L4862="Débit",N($Q4862)&gt;0,$A4862&gt;=Visualisation!$B$1,$A4862&lt;Visualisation!$D$1),MAX($V$1:V4861)+1,"")</f>
        <v/>
      </c>
    </row>
    <row r="4863" spans="1:22" x14ac:dyDescent="0.25">
      <c r="A4863" s="9"/>
      <c r="E4863" s="10"/>
      <c r="K4863" s="11" t="str">
        <f>IF($E4863="","",ROUND($E4863*IF(ISNA(MATCH($C4863,'Paramètres'!$D:$D,0)),1,IF(INDEX('Paramètres'!$J:$J,MATCH($C4863,'Paramètres'!$D:$D,0))="",1,INDEX('Paramètres'!$J:$J,MATCH($C4863,'Paramètres'!$D:$D,0)))),2))</f>
        <v/>
      </c>
      <c r="L4863" s="6" t="str">
        <f>IF($D4863="","",IF($F4863&lt;&gt;"",$F4863,IF(ISNA(MATCH($D4863,'Paramètres'!$M:$M,0)),"⚠ Type inconnu",IFERROR(INDEX('Paramètres'!$P:$P,MATCH($D4863,'Paramètres'!$M:$M,0))&amp;"",""))))</f>
        <v/>
      </c>
      <c r="M4863" s="6" t="str">
        <f>IF($D4863="","",IF(ISNA(MATCH($D4863,'Paramètres'!$M:$M,0)),"⚠ Type inconnu",IF($L4863="Crédit","",IFERROR(INDEX('Paramètres'!$O:$O,MATCH($D4863,'Paramètres'!$M:$M,0))&amp;"",""))))</f>
        <v/>
      </c>
      <c r="N4863" s="6" t="str">
        <f>IF($D4863="","",IFERROR(INDEX('Paramètres'!$Q:$Q,MATCH($D4863,'Paramètres'!$M:$M,0))&amp;"",""))</f>
        <v/>
      </c>
      <c r="O4863" s="6" t="str">
        <f>IF($A4863="","",IF(OR($J4863&lt;&gt;"x",$A4863&lt;=FinReleve),1,0))</f>
        <v/>
      </c>
      <c r="P4863" s="6" t="str">
        <f>IF($D4863="","",IF(AND($L4863="Crédit",OR(IFERROR(INDEX('Paramètres'!$O:$O,MATCH($D4863,'Paramètres'!$M:$M,0))&amp;"","")&lt;&gt;"",ISNUMBER(SEARCH("remboursement",IFERROR(INDEX('Paramètres'!$N:$N,MATCH($D4863,'Paramètres'!$M:$M,0))&amp;"",""))))),1,0))</f>
        <v/>
      </c>
      <c r="Q4863" s="6" t="str">
        <f>IF($K4863="","",IF(ISNUMBER(SEARCH("transfert-interne",IFERROR(INDEX('Paramètres'!$N:$N,MATCH($D4863,'Paramètres'!$M:$M,0))&amp;"",""))),0,IF($L4863="Débit",$K4863,IF($P4863=1,-$K4863,0))))</f>
        <v/>
      </c>
      <c r="R4863" s="6" t="str">
        <f>IF($K4863="","",IF($L4863="Crédit",$K4863,-$K4863))</f>
        <v/>
      </c>
      <c r="S4863" s="6" t="str">
        <f>IF($C4863="","",IFERROR(INDEX('Paramètres'!$H:$H,MATCH($C4863,'Paramètres'!$D:$D,0))&amp;"",""))</f>
        <v/>
      </c>
      <c r="T4863" s="6" t="str">
        <f>IF($K4863="","",IF($S4863="",0,IF(ISNUMBER(SEARCH("apport-exterieur",IFERROR(INDEX('Paramètres'!$N:$N,MATCH($D4863,'Paramètres'!$M:$M,0))&amp;"",""))),0,IF(OR(IFERROR(INDEX('Paramètres'!$I:$I,MATCH($C4863,'Paramètres'!$D:$D,0))&amp;"","")="Les deux",IFERROR(INDEX('Paramètres'!$I:$I,MATCH($C4863,'Paramètres'!$D:$D,0))&amp;"","")=IF($P4863=1,"Débit",$L4863)),-IF($P4863=1,-$K4863,$K4863),0))))</f>
        <v/>
      </c>
      <c r="U4863" s="6" t="str">
        <f>IF($K4863="","",IF(ISNUMBER(SEARCH("sortie-epargne",IFERROR(INDEX('Paramètres'!$N:$N,MATCH($D4863,'Paramètres'!$M:$M,0))&amp;"",""))),$K4863,0))</f>
        <v/>
      </c>
      <c r="V4863" s="6" t="str">
        <f>IF(AND($A4863&lt;&gt;"",$O4863=1,$L4863="Débit",N($Q4863)&gt;0,$A4863&gt;=Visualisation!$B$1,$A4863&lt;Visualisation!$D$1),MAX($V$1:V4862)+1,"")</f>
        <v/>
      </c>
    </row>
    <row r="4864" spans="1:22" x14ac:dyDescent="0.25">
      <c r="A4864" s="9"/>
      <c r="E4864" s="10"/>
      <c r="K4864" s="11" t="str">
        <f>IF($E4864="","",ROUND($E4864*IF(ISNA(MATCH($C4864,'Paramètres'!$D:$D,0)),1,IF(INDEX('Paramètres'!$J:$J,MATCH($C4864,'Paramètres'!$D:$D,0))="",1,INDEX('Paramètres'!$J:$J,MATCH($C4864,'Paramètres'!$D:$D,0)))),2))</f>
        <v/>
      </c>
      <c r="L4864" s="6" t="str">
        <f>IF($D4864="","",IF($F4864&lt;&gt;"",$F4864,IF(ISNA(MATCH($D4864,'Paramètres'!$M:$M,0)),"⚠ Type inconnu",IFERROR(INDEX('Paramètres'!$P:$P,MATCH($D4864,'Paramètres'!$M:$M,0))&amp;"",""))))</f>
        <v/>
      </c>
      <c r="M4864" s="6" t="str">
        <f>IF($D4864="","",IF(ISNA(MATCH($D4864,'Paramètres'!$M:$M,0)),"⚠ Type inconnu",IF($L4864="Crédit","",IFERROR(INDEX('Paramètres'!$O:$O,MATCH($D4864,'Paramètres'!$M:$M,0))&amp;"",""))))</f>
        <v/>
      </c>
      <c r="N4864" s="6" t="str">
        <f>IF($D4864="","",IFERROR(INDEX('Paramètres'!$Q:$Q,MATCH($D4864,'Paramètres'!$M:$M,0))&amp;"",""))</f>
        <v/>
      </c>
      <c r="O4864" s="6" t="str">
        <f>IF($A4864="","",IF(OR($J4864&lt;&gt;"x",$A4864&lt;=FinReleve),1,0))</f>
        <v/>
      </c>
      <c r="P4864" s="6" t="str">
        <f>IF($D4864="","",IF(AND($L4864="Crédit",OR(IFERROR(INDEX('Paramètres'!$O:$O,MATCH($D4864,'Paramètres'!$M:$M,0))&amp;"","")&lt;&gt;"",ISNUMBER(SEARCH("remboursement",IFERROR(INDEX('Paramètres'!$N:$N,MATCH($D4864,'Paramètres'!$M:$M,0))&amp;"",""))))),1,0))</f>
        <v/>
      </c>
      <c r="Q4864" s="6" t="str">
        <f>IF($K4864="","",IF(ISNUMBER(SEARCH("transfert-interne",IFERROR(INDEX('Paramètres'!$N:$N,MATCH($D4864,'Paramètres'!$M:$M,0))&amp;"",""))),0,IF($L4864="Débit",$K4864,IF($P4864=1,-$K4864,0))))</f>
        <v/>
      </c>
      <c r="R4864" s="6" t="str">
        <f>IF($K4864="","",IF($L4864="Crédit",$K4864,-$K4864))</f>
        <v/>
      </c>
      <c r="S4864" s="6" t="str">
        <f>IF($C4864="","",IFERROR(INDEX('Paramètres'!$H:$H,MATCH($C4864,'Paramètres'!$D:$D,0))&amp;"",""))</f>
        <v/>
      </c>
      <c r="T4864" s="6" t="str">
        <f>IF($K4864="","",IF($S4864="",0,IF(ISNUMBER(SEARCH("apport-exterieur",IFERROR(INDEX('Paramètres'!$N:$N,MATCH($D4864,'Paramètres'!$M:$M,0))&amp;"",""))),0,IF(OR(IFERROR(INDEX('Paramètres'!$I:$I,MATCH($C4864,'Paramètres'!$D:$D,0))&amp;"","")="Les deux",IFERROR(INDEX('Paramètres'!$I:$I,MATCH($C4864,'Paramètres'!$D:$D,0))&amp;"","")=IF($P4864=1,"Débit",$L4864)),-IF($P4864=1,-$K4864,$K4864),0))))</f>
        <v/>
      </c>
      <c r="U4864" s="6" t="str">
        <f>IF($K4864="","",IF(ISNUMBER(SEARCH("sortie-epargne",IFERROR(INDEX('Paramètres'!$N:$N,MATCH($D4864,'Paramètres'!$M:$M,0))&amp;"",""))),$K4864,0))</f>
        <v/>
      </c>
      <c r="V4864" s="6" t="str">
        <f>IF(AND($A4864&lt;&gt;"",$O4864=1,$L4864="Débit",N($Q4864)&gt;0,$A4864&gt;=Visualisation!$B$1,$A4864&lt;Visualisation!$D$1),MAX($V$1:V4863)+1,"")</f>
        <v/>
      </c>
    </row>
    <row r="4865" spans="1:22" x14ac:dyDescent="0.25">
      <c r="A4865" s="9"/>
      <c r="E4865" s="10"/>
      <c r="K4865" s="11" t="str">
        <f>IF($E4865="","",ROUND($E4865*IF(ISNA(MATCH($C4865,'Paramètres'!$D:$D,0)),1,IF(INDEX('Paramètres'!$J:$J,MATCH($C4865,'Paramètres'!$D:$D,0))="",1,INDEX('Paramètres'!$J:$J,MATCH($C4865,'Paramètres'!$D:$D,0)))),2))</f>
        <v/>
      </c>
      <c r="L4865" s="6" t="str">
        <f>IF($D4865="","",IF($F4865&lt;&gt;"",$F4865,IF(ISNA(MATCH($D4865,'Paramètres'!$M:$M,0)),"⚠ Type inconnu",IFERROR(INDEX('Paramètres'!$P:$P,MATCH($D4865,'Paramètres'!$M:$M,0))&amp;"",""))))</f>
        <v/>
      </c>
      <c r="M4865" s="6" t="str">
        <f>IF($D4865="","",IF(ISNA(MATCH($D4865,'Paramètres'!$M:$M,0)),"⚠ Type inconnu",IF($L4865="Crédit","",IFERROR(INDEX('Paramètres'!$O:$O,MATCH($D4865,'Paramètres'!$M:$M,0))&amp;"",""))))</f>
        <v/>
      </c>
      <c r="N4865" s="6" t="str">
        <f>IF($D4865="","",IFERROR(INDEX('Paramètres'!$Q:$Q,MATCH($D4865,'Paramètres'!$M:$M,0))&amp;"",""))</f>
        <v/>
      </c>
      <c r="O4865" s="6" t="str">
        <f>IF($A4865="","",IF(OR($J4865&lt;&gt;"x",$A4865&lt;=FinReleve),1,0))</f>
        <v/>
      </c>
      <c r="P4865" s="6" t="str">
        <f>IF($D4865="","",IF(AND($L4865="Crédit",OR(IFERROR(INDEX('Paramètres'!$O:$O,MATCH($D4865,'Paramètres'!$M:$M,0))&amp;"","")&lt;&gt;"",ISNUMBER(SEARCH("remboursement",IFERROR(INDEX('Paramètres'!$N:$N,MATCH($D4865,'Paramètres'!$M:$M,0))&amp;"",""))))),1,0))</f>
        <v/>
      </c>
      <c r="Q4865" s="6" t="str">
        <f>IF($K4865="","",IF(ISNUMBER(SEARCH("transfert-interne",IFERROR(INDEX('Paramètres'!$N:$N,MATCH($D4865,'Paramètres'!$M:$M,0))&amp;"",""))),0,IF($L4865="Débit",$K4865,IF($P4865=1,-$K4865,0))))</f>
        <v/>
      </c>
      <c r="R4865" s="6" t="str">
        <f>IF($K4865="","",IF($L4865="Crédit",$K4865,-$K4865))</f>
        <v/>
      </c>
      <c r="S4865" s="6" t="str">
        <f>IF($C4865="","",IFERROR(INDEX('Paramètres'!$H:$H,MATCH($C4865,'Paramètres'!$D:$D,0))&amp;"",""))</f>
        <v/>
      </c>
      <c r="T4865" s="6" t="str">
        <f>IF($K4865="","",IF($S4865="",0,IF(ISNUMBER(SEARCH("apport-exterieur",IFERROR(INDEX('Paramètres'!$N:$N,MATCH($D4865,'Paramètres'!$M:$M,0))&amp;"",""))),0,IF(OR(IFERROR(INDEX('Paramètres'!$I:$I,MATCH($C4865,'Paramètres'!$D:$D,0))&amp;"","")="Les deux",IFERROR(INDEX('Paramètres'!$I:$I,MATCH($C4865,'Paramètres'!$D:$D,0))&amp;"","")=IF($P4865=1,"Débit",$L4865)),-IF($P4865=1,-$K4865,$K4865),0))))</f>
        <v/>
      </c>
      <c r="U4865" s="6" t="str">
        <f>IF($K4865="","",IF(ISNUMBER(SEARCH("sortie-epargne",IFERROR(INDEX('Paramètres'!$N:$N,MATCH($D4865,'Paramètres'!$M:$M,0))&amp;"",""))),$K4865,0))</f>
        <v/>
      </c>
      <c r="V4865" s="6" t="str">
        <f>IF(AND($A4865&lt;&gt;"",$O4865=1,$L4865="Débit",N($Q4865)&gt;0,$A4865&gt;=Visualisation!$B$1,$A4865&lt;Visualisation!$D$1),MAX($V$1:V4864)+1,"")</f>
        <v/>
      </c>
    </row>
    <row r="4866" spans="1:22" x14ac:dyDescent="0.25">
      <c r="A4866" s="9"/>
      <c r="E4866" s="10"/>
      <c r="K4866" s="11" t="str">
        <f>IF($E4866="","",ROUND($E4866*IF(ISNA(MATCH($C4866,'Paramètres'!$D:$D,0)),1,IF(INDEX('Paramètres'!$J:$J,MATCH($C4866,'Paramètres'!$D:$D,0))="",1,INDEX('Paramètres'!$J:$J,MATCH($C4866,'Paramètres'!$D:$D,0)))),2))</f>
        <v/>
      </c>
      <c r="L4866" s="6" t="str">
        <f>IF($D4866="","",IF($F4866&lt;&gt;"",$F4866,IF(ISNA(MATCH($D4866,'Paramètres'!$M:$M,0)),"⚠ Type inconnu",IFERROR(INDEX('Paramètres'!$P:$P,MATCH($D4866,'Paramètres'!$M:$M,0))&amp;"",""))))</f>
        <v/>
      </c>
      <c r="M4866" s="6" t="str">
        <f>IF($D4866="","",IF(ISNA(MATCH($D4866,'Paramètres'!$M:$M,0)),"⚠ Type inconnu",IF($L4866="Crédit","",IFERROR(INDEX('Paramètres'!$O:$O,MATCH($D4866,'Paramètres'!$M:$M,0))&amp;"",""))))</f>
        <v/>
      </c>
      <c r="N4866" s="6" t="str">
        <f>IF($D4866="","",IFERROR(INDEX('Paramètres'!$Q:$Q,MATCH($D4866,'Paramètres'!$M:$M,0))&amp;"",""))</f>
        <v/>
      </c>
      <c r="O4866" s="6" t="str">
        <f>IF($A4866="","",IF(OR($J4866&lt;&gt;"x",$A4866&lt;=FinReleve),1,0))</f>
        <v/>
      </c>
      <c r="P4866" s="6" t="str">
        <f>IF($D4866="","",IF(AND($L4866="Crédit",OR(IFERROR(INDEX('Paramètres'!$O:$O,MATCH($D4866,'Paramètres'!$M:$M,0))&amp;"","")&lt;&gt;"",ISNUMBER(SEARCH("remboursement",IFERROR(INDEX('Paramètres'!$N:$N,MATCH($D4866,'Paramètres'!$M:$M,0))&amp;"",""))))),1,0))</f>
        <v/>
      </c>
      <c r="Q4866" s="6" t="str">
        <f>IF($K4866="","",IF(ISNUMBER(SEARCH("transfert-interne",IFERROR(INDEX('Paramètres'!$N:$N,MATCH($D4866,'Paramètres'!$M:$M,0))&amp;"",""))),0,IF($L4866="Débit",$K4866,IF($P4866=1,-$K4866,0))))</f>
        <v/>
      </c>
      <c r="R4866" s="6" t="str">
        <f>IF($K4866="","",IF($L4866="Crédit",$K4866,-$K4866))</f>
        <v/>
      </c>
      <c r="S4866" s="6" t="str">
        <f>IF($C4866="","",IFERROR(INDEX('Paramètres'!$H:$H,MATCH($C4866,'Paramètres'!$D:$D,0))&amp;"",""))</f>
        <v/>
      </c>
      <c r="T4866" s="6" t="str">
        <f>IF($K4866="","",IF($S4866="",0,IF(ISNUMBER(SEARCH("apport-exterieur",IFERROR(INDEX('Paramètres'!$N:$N,MATCH($D4866,'Paramètres'!$M:$M,0))&amp;"",""))),0,IF(OR(IFERROR(INDEX('Paramètres'!$I:$I,MATCH($C4866,'Paramètres'!$D:$D,0))&amp;"","")="Les deux",IFERROR(INDEX('Paramètres'!$I:$I,MATCH($C4866,'Paramètres'!$D:$D,0))&amp;"","")=IF($P4866=1,"Débit",$L4866)),-IF($P4866=1,-$K4866,$K4866),0))))</f>
        <v/>
      </c>
      <c r="U4866" s="6" t="str">
        <f>IF($K4866="","",IF(ISNUMBER(SEARCH("sortie-epargne",IFERROR(INDEX('Paramètres'!$N:$N,MATCH($D4866,'Paramètres'!$M:$M,0))&amp;"",""))),$K4866,0))</f>
        <v/>
      </c>
      <c r="V4866" s="6" t="str">
        <f>IF(AND($A4866&lt;&gt;"",$O4866=1,$L4866="Débit",N($Q4866)&gt;0,$A4866&gt;=Visualisation!$B$1,$A4866&lt;Visualisation!$D$1),MAX($V$1:V4865)+1,"")</f>
        <v/>
      </c>
    </row>
    <row r="4867" spans="1:22" x14ac:dyDescent="0.25">
      <c r="A4867" s="9"/>
      <c r="E4867" s="10"/>
      <c r="K4867" s="11" t="str">
        <f>IF($E4867="","",ROUND($E4867*IF(ISNA(MATCH($C4867,'Paramètres'!$D:$D,0)),1,IF(INDEX('Paramètres'!$J:$J,MATCH($C4867,'Paramètres'!$D:$D,0))="",1,INDEX('Paramètres'!$J:$J,MATCH($C4867,'Paramètres'!$D:$D,0)))),2))</f>
        <v/>
      </c>
      <c r="L4867" s="6" t="str">
        <f>IF($D4867="","",IF($F4867&lt;&gt;"",$F4867,IF(ISNA(MATCH($D4867,'Paramètres'!$M:$M,0)),"⚠ Type inconnu",IFERROR(INDEX('Paramètres'!$P:$P,MATCH($D4867,'Paramètres'!$M:$M,0))&amp;"",""))))</f>
        <v/>
      </c>
      <c r="M4867" s="6" t="str">
        <f>IF($D4867="","",IF(ISNA(MATCH($D4867,'Paramètres'!$M:$M,0)),"⚠ Type inconnu",IF($L4867="Crédit","",IFERROR(INDEX('Paramètres'!$O:$O,MATCH($D4867,'Paramètres'!$M:$M,0))&amp;"",""))))</f>
        <v/>
      </c>
      <c r="N4867" s="6" t="str">
        <f>IF($D4867="","",IFERROR(INDEX('Paramètres'!$Q:$Q,MATCH($D4867,'Paramètres'!$M:$M,0))&amp;"",""))</f>
        <v/>
      </c>
      <c r="O4867" s="6" t="str">
        <f>IF($A4867="","",IF(OR($J4867&lt;&gt;"x",$A4867&lt;=FinReleve),1,0))</f>
        <v/>
      </c>
      <c r="P4867" s="6" t="str">
        <f>IF($D4867="","",IF(AND($L4867="Crédit",OR(IFERROR(INDEX('Paramètres'!$O:$O,MATCH($D4867,'Paramètres'!$M:$M,0))&amp;"","")&lt;&gt;"",ISNUMBER(SEARCH("remboursement",IFERROR(INDEX('Paramètres'!$N:$N,MATCH($D4867,'Paramètres'!$M:$M,0))&amp;"",""))))),1,0))</f>
        <v/>
      </c>
      <c r="Q4867" s="6" t="str">
        <f>IF($K4867="","",IF(ISNUMBER(SEARCH("transfert-interne",IFERROR(INDEX('Paramètres'!$N:$N,MATCH($D4867,'Paramètres'!$M:$M,0))&amp;"",""))),0,IF($L4867="Débit",$K4867,IF($P4867=1,-$K4867,0))))</f>
        <v/>
      </c>
      <c r="R4867" s="6" t="str">
        <f>IF($K4867="","",IF($L4867="Crédit",$K4867,-$K4867))</f>
        <v/>
      </c>
      <c r="S4867" s="6" t="str">
        <f>IF($C4867="","",IFERROR(INDEX('Paramètres'!$H:$H,MATCH($C4867,'Paramètres'!$D:$D,0))&amp;"",""))</f>
        <v/>
      </c>
      <c r="T4867" s="6" t="str">
        <f>IF($K4867="","",IF($S4867="",0,IF(ISNUMBER(SEARCH("apport-exterieur",IFERROR(INDEX('Paramètres'!$N:$N,MATCH($D4867,'Paramètres'!$M:$M,0))&amp;"",""))),0,IF(OR(IFERROR(INDEX('Paramètres'!$I:$I,MATCH($C4867,'Paramètres'!$D:$D,0))&amp;"","")="Les deux",IFERROR(INDEX('Paramètres'!$I:$I,MATCH($C4867,'Paramètres'!$D:$D,0))&amp;"","")=IF($P4867=1,"Débit",$L4867)),-IF($P4867=1,-$K4867,$K4867),0))))</f>
        <v/>
      </c>
      <c r="U4867" s="6" t="str">
        <f>IF($K4867="","",IF(ISNUMBER(SEARCH("sortie-epargne",IFERROR(INDEX('Paramètres'!$N:$N,MATCH($D4867,'Paramètres'!$M:$M,0))&amp;"",""))),$K4867,0))</f>
        <v/>
      </c>
      <c r="V4867" s="6" t="str">
        <f>IF(AND($A4867&lt;&gt;"",$O4867=1,$L4867="Débit",N($Q4867)&gt;0,$A4867&gt;=Visualisation!$B$1,$A4867&lt;Visualisation!$D$1),MAX($V$1:V4866)+1,"")</f>
        <v/>
      </c>
    </row>
    <row r="4868" spans="1:22" x14ac:dyDescent="0.25">
      <c r="A4868" s="9"/>
      <c r="E4868" s="10"/>
      <c r="K4868" s="11" t="str">
        <f>IF($E4868="","",ROUND($E4868*IF(ISNA(MATCH($C4868,'Paramètres'!$D:$D,0)),1,IF(INDEX('Paramètres'!$J:$J,MATCH($C4868,'Paramètres'!$D:$D,0))="",1,INDEX('Paramètres'!$J:$J,MATCH($C4868,'Paramètres'!$D:$D,0)))),2))</f>
        <v/>
      </c>
      <c r="L4868" s="6" t="str">
        <f>IF($D4868="","",IF($F4868&lt;&gt;"",$F4868,IF(ISNA(MATCH($D4868,'Paramètres'!$M:$M,0)),"⚠ Type inconnu",IFERROR(INDEX('Paramètres'!$P:$P,MATCH($D4868,'Paramètres'!$M:$M,0))&amp;"",""))))</f>
        <v/>
      </c>
      <c r="M4868" s="6" t="str">
        <f>IF($D4868="","",IF(ISNA(MATCH($D4868,'Paramètres'!$M:$M,0)),"⚠ Type inconnu",IF($L4868="Crédit","",IFERROR(INDEX('Paramètres'!$O:$O,MATCH($D4868,'Paramètres'!$M:$M,0))&amp;"",""))))</f>
        <v/>
      </c>
      <c r="N4868" s="6" t="str">
        <f>IF($D4868="","",IFERROR(INDEX('Paramètres'!$Q:$Q,MATCH($D4868,'Paramètres'!$M:$M,0))&amp;"",""))</f>
        <v/>
      </c>
      <c r="O4868" s="6" t="str">
        <f>IF($A4868="","",IF(OR($J4868&lt;&gt;"x",$A4868&lt;=FinReleve),1,0))</f>
        <v/>
      </c>
      <c r="P4868" s="6" t="str">
        <f>IF($D4868="","",IF(AND($L4868="Crédit",OR(IFERROR(INDEX('Paramètres'!$O:$O,MATCH($D4868,'Paramètres'!$M:$M,0))&amp;"","")&lt;&gt;"",ISNUMBER(SEARCH("remboursement",IFERROR(INDEX('Paramètres'!$N:$N,MATCH($D4868,'Paramètres'!$M:$M,0))&amp;"",""))))),1,0))</f>
        <v/>
      </c>
      <c r="Q4868" s="6" t="str">
        <f>IF($K4868="","",IF(ISNUMBER(SEARCH("transfert-interne",IFERROR(INDEX('Paramètres'!$N:$N,MATCH($D4868,'Paramètres'!$M:$M,0))&amp;"",""))),0,IF($L4868="Débit",$K4868,IF($P4868=1,-$K4868,0))))</f>
        <v/>
      </c>
      <c r="R4868" s="6" t="str">
        <f>IF($K4868="","",IF($L4868="Crédit",$K4868,-$K4868))</f>
        <v/>
      </c>
      <c r="S4868" s="6" t="str">
        <f>IF($C4868="","",IFERROR(INDEX('Paramètres'!$H:$H,MATCH($C4868,'Paramètres'!$D:$D,0))&amp;"",""))</f>
        <v/>
      </c>
      <c r="T4868" s="6" t="str">
        <f>IF($K4868="","",IF($S4868="",0,IF(ISNUMBER(SEARCH("apport-exterieur",IFERROR(INDEX('Paramètres'!$N:$N,MATCH($D4868,'Paramètres'!$M:$M,0))&amp;"",""))),0,IF(OR(IFERROR(INDEX('Paramètres'!$I:$I,MATCH($C4868,'Paramètres'!$D:$D,0))&amp;"","")="Les deux",IFERROR(INDEX('Paramètres'!$I:$I,MATCH($C4868,'Paramètres'!$D:$D,0))&amp;"","")=IF($P4868=1,"Débit",$L4868)),-IF($P4868=1,-$K4868,$K4868),0))))</f>
        <v/>
      </c>
      <c r="U4868" s="6" t="str">
        <f>IF($K4868="","",IF(ISNUMBER(SEARCH("sortie-epargne",IFERROR(INDEX('Paramètres'!$N:$N,MATCH($D4868,'Paramètres'!$M:$M,0))&amp;"",""))),$K4868,0))</f>
        <v/>
      </c>
      <c r="V4868" s="6" t="str">
        <f>IF(AND($A4868&lt;&gt;"",$O4868=1,$L4868="Débit",N($Q4868)&gt;0,$A4868&gt;=Visualisation!$B$1,$A4868&lt;Visualisation!$D$1),MAX($V$1:V4867)+1,"")</f>
        <v/>
      </c>
    </row>
    <row r="4869" spans="1:22" x14ac:dyDescent="0.25">
      <c r="A4869" s="9"/>
      <c r="E4869" s="10"/>
      <c r="K4869" s="11" t="str">
        <f>IF($E4869="","",ROUND($E4869*IF(ISNA(MATCH($C4869,'Paramètres'!$D:$D,0)),1,IF(INDEX('Paramètres'!$J:$J,MATCH($C4869,'Paramètres'!$D:$D,0))="",1,INDEX('Paramètres'!$J:$J,MATCH($C4869,'Paramètres'!$D:$D,0)))),2))</f>
        <v/>
      </c>
      <c r="L4869" s="6" t="str">
        <f>IF($D4869="","",IF($F4869&lt;&gt;"",$F4869,IF(ISNA(MATCH($D4869,'Paramètres'!$M:$M,0)),"⚠ Type inconnu",IFERROR(INDEX('Paramètres'!$P:$P,MATCH($D4869,'Paramètres'!$M:$M,0))&amp;"",""))))</f>
        <v/>
      </c>
      <c r="M4869" s="6" t="str">
        <f>IF($D4869="","",IF(ISNA(MATCH($D4869,'Paramètres'!$M:$M,0)),"⚠ Type inconnu",IF($L4869="Crédit","",IFERROR(INDEX('Paramètres'!$O:$O,MATCH($D4869,'Paramètres'!$M:$M,0))&amp;"",""))))</f>
        <v/>
      </c>
      <c r="N4869" s="6" t="str">
        <f>IF($D4869="","",IFERROR(INDEX('Paramètres'!$Q:$Q,MATCH($D4869,'Paramètres'!$M:$M,0))&amp;"",""))</f>
        <v/>
      </c>
      <c r="O4869" s="6" t="str">
        <f>IF($A4869="","",IF(OR($J4869&lt;&gt;"x",$A4869&lt;=FinReleve),1,0))</f>
        <v/>
      </c>
      <c r="P4869" s="6" t="str">
        <f>IF($D4869="","",IF(AND($L4869="Crédit",OR(IFERROR(INDEX('Paramètres'!$O:$O,MATCH($D4869,'Paramètres'!$M:$M,0))&amp;"","")&lt;&gt;"",ISNUMBER(SEARCH("remboursement",IFERROR(INDEX('Paramètres'!$N:$N,MATCH($D4869,'Paramètres'!$M:$M,0))&amp;"",""))))),1,0))</f>
        <v/>
      </c>
      <c r="Q4869" s="6" t="str">
        <f>IF($K4869="","",IF(ISNUMBER(SEARCH("transfert-interne",IFERROR(INDEX('Paramètres'!$N:$N,MATCH($D4869,'Paramètres'!$M:$M,0))&amp;"",""))),0,IF($L4869="Débit",$K4869,IF($P4869=1,-$K4869,0))))</f>
        <v/>
      </c>
      <c r="R4869" s="6" t="str">
        <f>IF($K4869="","",IF($L4869="Crédit",$K4869,-$K4869))</f>
        <v/>
      </c>
      <c r="S4869" s="6" t="str">
        <f>IF($C4869="","",IFERROR(INDEX('Paramètres'!$H:$H,MATCH($C4869,'Paramètres'!$D:$D,0))&amp;"",""))</f>
        <v/>
      </c>
      <c r="T4869" s="6" t="str">
        <f>IF($K4869="","",IF($S4869="",0,IF(ISNUMBER(SEARCH("apport-exterieur",IFERROR(INDEX('Paramètres'!$N:$N,MATCH($D4869,'Paramètres'!$M:$M,0))&amp;"",""))),0,IF(OR(IFERROR(INDEX('Paramètres'!$I:$I,MATCH($C4869,'Paramètres'!$D:$D,0))&amp;"","")="Les deux",IFERROR(INDEX('Paramètres'!$I:$I,MATCH($C4869,'Paramètres'!$D:$D,0))&amp;"","")=IF($P4869=1,"Débit",$L4869)),-IF($P4869=1,-$K4869,$K4869),0))))</f>
        <v/>
      </c>
      <c r="U4869" s="6" t="str">
        <f>IF($K4869="","",IF(ISNUMBER(SEARCH("sortie-epargne",IFERROR(INDEX('Paramètres'!$N:$N,MATCH($D4869,'Paramètres'!$M:$M,0))&amp;"",""))),$K4869,0))</f>
        <v/>
      </c>
      <c r="V4869" s="6" t="str">
        <f>IF(AND($A4869&lt;&gt;"",$O4869=1,$L4869="Débit",N($Q4869)&gt;0,$A4869&gt;=Visualisation!$B$1,$A4869&lt;Visualisation!$D$1),MAX($V$1:V4868)+1,"")</f>
        <v/>
      </c>
    </row>
    <row r="4870" spans="1:22" x14ac:dyDescent="0.25">
      <c r="A4870" s="9"/>
      <c r="E4870" s="10"/>
      <c r="K4870" s="11" t="str">
        <f>IF($E4870="","",ROUND($E4870*IF(ISNA(MATCH($C4870,'Paramètres'!$D:$D,0)),1,IF(INDEX('Paramètres'!$J:$J,MATCH($C4870,'Paramètres'!$D:$D,0))="",1,INDEX('Paramètres'!$J:$J,MATCH($C4870,'Paramètres'!$D:$D,0)))),2))</f>
        <v/>
      </c>
      <c r="L4870" s="6" t="str">
        <f>IF($D4870="","",IF($F4870&lt;&gt;"",$F4870,IF(ISNA(MATCH($D4870,'Paramètres'!$M:$M,0)),"⚠ Type inconnu",IFERROR(INDEX('Paramètres'!$P:$P,MATCH($D4870,'Paramètres'!$M:$M,0))&amp;"",""))))</f>
        <v/>
      </c>
      <c r="M4870" s="6" t="str">
        <f>IF($D4870="","",IF(ISNA(MATCH($D4870,'Paramètres'!$M:$M,0)),"⚠ Type inconnu",IF($L4870="Crédit","",IFERROR(INDEX('Paramètres'!$O:$O,MATCH($D4870,'Paramètres'!$M:$M,0))&amp;"",""))))</f>
        <v/>
      </c>
      <c r="N4870" s="6" t="str">
        <f>IF($D4870="","",IFERROR(INDEX('Paramètres'!$Q:$Q,MATCH($D4870,'Paramètres'!$M:$M,0))&amp;"",""))</f>
        <v/>
      </c>
      <c r="O4870" s="6" t="str">
        <f>IF($A4870="","",IF(OR($J4870&lt;&gt;"x",$A4870&lt;=FinReleve),1,0))</f>
        <v/>
      </c>
      <c r="P4870" s="6" t="str">
        <f>IF($D4870="","",IF(AND($L4870="Crédit",OR(IFERROR(INDEX('Paramètres'!$O:$O,MATCH($D4870,'Paramètres'!$M:$M,0))&amp;"","")&lt;&gt;"",ISNUMBER(SEARCH("remboursement",IFERROR(INDEX('Paramètres'!$N:$N,MATCH($D4870,'Paramètres'!$M:$M,0))&amp;"",""))))),1,0))</f>
        <v/>
      </c>
      <c r="Q4870" s="6" t="str">
        <f>IF($K4870="","",IF(ISNUMBER(SEARCH("transfert-interne",IFERROR(INDEX('Paramètres'!$N:$N,MATCH($D4870,'Paramètres'!$M:$M,0))&amp;"",""))),0,IF($L4870="Débit",$K4870,IF($P4870=1,-$K4870,0))))</f>
        <v/>
      </c>
      <c r="R4870" s="6" t="str">
        <f>IF($K4870="","",IF($L4870="Crédit",$K4870,-$K4870))</f>
        <v/>
      </c>
      <c r="S4870" s="6" t="str">
        <f>IF($C4870="","",IFERROR(INDEX('Paramètres'!$H:$H,MATCH($C4870,'Paramètres'!$D:$D,0))&amp;"",""))</f>
        <v/>
      </c>
      <c r="T4870" s="6" t="str">
        <f>IF($K4870="","",IF($S4870="",0,IF(ISNUMBER(SEARCH("apport-exterieur",IFERROR(INDEX('Paramètres'!$N:$N,MATCH($D4870,'Paramètres'!$M:$M,0))&amp;"",""))),0,IF(OR(IFERROR(INDEX('Paramètres'!$I:$I,MATCH($C4870,'Paramètres'!$D:$D,0))&amp;"","")="Les deux",IFERROR(INDEX('Paramètres'!$I:$I,MATCH($C4870,'Paramètres'!$D:$D,0))&amp;"","")=IF($P4870=1,"Débit",$L4870)),-IF($P4870=1,-$K4870,$K4870),0))))</f>
        <v/>
      </c>
      <c r="U4870" s="6" t="str">
        <f>IF($K4870="","",IF(ISNUMBER(SEARCH("sortie-epargne",IFERROR(INDEX('Paramètres'!$N:$N,MATCH($D4870,'Paramètres'!$M:$M,0))&amp;"",""))),$K4870,0))</f>
        <v/>
      </c>
      <c r="V4870" s="6" t="str">
        <f>IF(AND($A4870&lt;&gt;"",$O4870=1,$L4870="Débit",N($Q4870)&gt;0,$A4870&gt;=Visualisation!$B$1,$A4870&lt;Visualisation!$D$1),MAX($V$1:V4869)+1,"")</f>
        <v/>
      </c>
    </row>
    <row r="4871" spans="1:22" x14ac:dyDescent="0.25">
      <c r="A4871" s="9"/>
      <c r="E4871" s="10"/>
      <c r="K4871" s="11" t="str">
        <f>IF($E4871="","",ROUND($E4871*IF(ISNA(MATCH($C4871,'Paramètres'!$D:$D,0)),1,IF(INDEX('Paramètres'!$J:$J,MATCH($C4871,'Paramètres'!$D:$D,0))="",1,INDEX('Paramètres'!$J:$J,MATCH($C4871,'Paramètres'!$D:$D,0)))),2))</f>
        <v/>
      </c>
      <c r="L4871" s="6" t="str">
        <f>IF($D4871="","",IF($F4871&lt;&gt;"",$F4871,IF(ISNA(MATCH($D4871,'Paramètres'!$M:$M,0)),"⚠ Type inconnu",IFERROR(INDEX('Paramètres'!$P:$P,MATCH($D4871,'Paramètres'!$M:$M,0))&amp;"",""))))</f>
        <v/>
      </c>
      <c r="M4871" s="6" t="str">
        <f>IF($D4871="","",IF(ISNA(MATCH($D4871,'Paramètres'!$M:$M,0)),"⚠ Type inconnu",IF($L4871="Crédit","",IFERROR(INDEX('Paramètres'!$O:$O,MATCH($D4871,'Paramètres'!$M:$M,0))&amp;"",""))))</f>
        <v/>
      </c>
      <c r="N4871" s="6" t="str">
        <f>IF($D4871="","",IFERROR(INDEX('Paramètres'!$Q:$Q,MATCH($D4871,'Paramètres'!$M:$M,0))&amp;"",""))</f>
        <v/>
      </c>
      <c r="O4871" s="6" t="str">
        <f>IF($A4871="","",IF(OR($J4871&lt;&gt;"x",$A4871&lt;=FinReleve),1,0))</f>
        <v/>
      </c>
      <c r="P4871" s="6" t="str">
        <f>IF($D4871="","",IF(AND($L4871="Crédit",OR(IFERROR(INDEX('Paramètres'!$O:$O,MATCH($D4871,'Paramètres'!$M:$M,0))&amp;"","")&lt;&gt;"",ISNUMBER(SEARCH("remboursement",IFERROR(INDEX('Paramètres'!$N:$N,MATCH($D4871,'Paramètres'!$M:$M,0))&amp;"",""))))),1,0))</f>
        <v/>
      </c>
      <c r="Q4871" s="6" t="str">
        <f>IF($K4871="","",IF(ISNUMBER(SEARCH("transfert-interne",IFERROR(INDEX('Paramètres'!$N:$N,MATCH($D4871,'Paramètres'!$M:$M,0))&amp;"",""))),0,IF($L4871="Débit",$K4871,IF($P4871=1,-$K4871,0))))</f>
        <v/>
      </c>
      <c r="R4871" s="6" t="str">
        <f>IF($K4871="","",IF($L4871="Crédit",$K4871,-$K4871))</f>
        <v/>
      </c>
      <c r="S4871" s="6" t="str">
        <f>IF($C4871="","",IFERROR(INDEX('Paramètres'!$H:$H,MATCH($C4871,'Paramètres'!$D:$D,0))&amp;"",""))</f>
        <v/>
      </c>
      <c r="T4871" s="6" t="str">
        <f>IF($K4871="","",IF($S4871="",0,IF(ISNUMBER(SEARCH("apport-exterieur",IFERROR(INDEX('Paramètres'!$N:$N,MATCH($D4871,'Paramètres'!$M:$M,0))&amp;"",""))),0,IF(OR(IFERROR(INDEX('Paramètres'!$I:$I,MATCH($C4871,'Paramètres'!$D:$D,0))&amp;"","")="Les deux",IFERROR(INDEX('Paramètres'!$I:$I,MATCH($C4871,'Paramètres'!$D:$D,0))&amp;"","")=IF($P4871=1,"Débit",$L4871)),-IF($P4871=1,-$K4871,$K4871),0))))</f>
        <v/>
      </c>
      <c r="U4871" s="6" t="str">
        <f>IF($K4871="","",IF(ISNUMBER(SEARCH("sortie-epargne",IFERROR(INDEX('Paramètres'!$N:$N,MATCH($D4871,'Paramètres'!$M:$M,0))&amp;"",""))),$K4871,0))</f>
        <v/>
      </c>
      <c r="V4871" s="6" t="str">
        <f>IF(AND($A4871&lt;&gt;"",$O4871=1,$L4871="Débit",N($Q4871)&gt;0,$A4871&gt;=Visualisation!$B$1,$A4871&lt;Visualisation!$D$1),MAX($V$1:V4870)+1,"")</f>
        <v/>
      </c>
    </row>
    <row r="4872" spans="1:22" x14ac:dyDescent="0.25">
      <c r="A4872" s="9"/>
      <c r="E4872" s="10"/>
      <c r="K4872" s="11" t="str">
        <f>IF($E4872="","",ROUND($E4872*IF(ISNA(MATCH($C4872,'Paramètres'!$D:$D,0)),1,IF(INDEX('Paramètres'!$J:$J,MATCH($C4872,'Paramètres'!$D:$D,0))="",1,INDEX('Paramètres'!$J:$J,MATCH($C4872,'Paramètres'!$D:$D,0)))),2))</f>
        <v/>
      </c>
      <c r="L4872" s="6" t="str">
        <f>IF($D4872="","",IF($F4872&lt;&gt;"",$F4872,IF(ISNA(MATCH($D4872,'Paramètres'!$M:$M,0)),"⚠ Type inconnu",IFERROR(INDEX('Paramètres'!$P:$P,MATCH($D4872,'Paramètres'!$M:$M,0))&amp;"",""))))</f>
        <v/>
      </c>
      <c r="M4872" s="6" t="str">
        <f>IF($D4872="","",IF(ISNA(MATCH($D4872,'Paramètres'!$M:$M,0)),"⚠ Type inconnu",IF($L4872="Crédit","",IFERROR(INDEX('Paramètres'!$O:$O,MATCH($D4872,'Paramètres'!$M:$M,0))&amp;"",""))))</f>
        <v/>
      </c>
      <c r="N4872" s="6" t="str">
        <f>IF($D4872="","",IFERROR(INDEX('Paramètres'!$Q:$Q,MATCH($D4872,'Paramètres'!$M:$M,0))&amp;"",""))</f>
        <v/>
      </c>
      <c r="O4872" s="6" t="str">
        <f>IF($A4872="","",IF(OR($J4872&lt;&gt;"x",$A4872&lt;=FinReleve),1,0))</f>
        <v/>
      </c>
      <c r="P4872" s="6" t="str">
        <f>IF($D4872="","",IF(AND($L4872="Crédit",OR(IFERROR(INDEX('Paramètres'!$O:$O,MATCH($D4872,'Paramètres'!$M:$M,0))&amp;"","")&lt;&gt;"",ISNUMBER(SEARCH("remboursement",IFERROR(INDEX('Paramètres'!$N:$N,MATCH($D4872,'Paramètres'!$M:$M,0))&amp;"",""))))),1,0))</f>
        <v/>
      </c>
      <c r="Q4872" s="6" t="str">
        <f>IF($K4872="","",IF(ISNUMBER(SEARCH("transfert-interne",IFERROR(INDEX('Paramètres'!$N:$N,MATCH($D4872,'Paramètres'!$M:$M,0))&amp;"",""))),0,IF($L4872="Débit",$K4872,IF($P4872=1,-$K4872,0))))</f>
        <v/>
      </c>
      <c r="R4872" s="6" t="str">
        <f>IF($K4872="","",IF($L4872="Crédit",$K4872,-$K4872))</f>
        <v/>
      </c>
      <c r="S4872" s="6" t="str">
        <f>IF($C4872="","",IFERROR(INDEX('Paramètres'!$H:$H,MATCH($C4872,'Paramètres'!$D:$D,0))&amp;"",""))</f>
        <v/>
      </c>
      <c r="T4872" s="6" t="str">
        <f>IF($K4872="","",IF($S4872="",0,IF(ISNUMBER(SEARCH("apport-exterieur",IFERROR(INDEX('Paramètres'!$N:$N,MATCH($D4872,'Paramètres'!$M:$M,0))&amp;"",""))),0,IF(OR(IFERROR(INDEX('Paramètres'!$I:$I,MATCH($C4872,'Paramètres'!$D:$D,0))&amp;"","")="Les deux",IFERROR(INDEX('Paramètres'!$I:$I,MATCH($C4872,'Paramètres'!$D:$D,0))&amp;"","")=IF($P4872=1,"Débit",$L4872)),-IF($P4872=1,-$K4872,$K4872),0))))</f>
        <v/>
      </c>
      <c r="U4872" s="6" t="str">
        <f>IF($K4872="","",IF(ISNUMBER(SEARCH("sortie-epargne",IFERROR(INDEX('Paramètres'!$N:$N,MATCH($D4872,'Paramètres'!$M:$M,0))&amp;"",""))),$K4872,0))</f>
        <v/>
      </c>
      <c r="V4872" s="6" t="str">
        <f>IF(AND($A4872&lt;&gt;"",$O4872=1,$L4872="Débit",N($Q4872)&gt;0,$A4872&gt;=Visualisation!$B$1,$A4872&lt;Visualisation!$D$1),MAX($V$1:V4871)+1,"")</f>
        <v/>
      </c>
    </row>
    <row r="4873" spans="1:22" x14ac:dyDescent="0.25">
      <c r="A4873" s="9"/>
      <c r="E4873" s="10"/>
      <c r="K4873" s="11" t="str">
        <f>IF($E4873="","",ROUND($E4873*IF(ISNA(MATCH($C4873,'Paramètres'!$D:$D,0)),1,IF(INDEX('Paramètres'!$J:$J,MATCH($C4873,'Paramètres'!$D:$D,0))="",1,INDEX('Paramètres'!$J:$J,MATCH($C4873,'Paramètres'!$D:$D,0)))),2))</f>
        <v/>
      </c>
      <c r="L4873" s="6" t="str">
        <f>IF($D4873="","",IF($F4873&lt;&gt;"",$F4873,IF(ISNA(MATCH($D4873,'Paramètres'!$M:$M,0)),"⚠ Type inconnu",IFERROR(INDEX('Paramètres'!$P:$P,MATCH($D4873,'Paramètres'!$M:$M,0))&amp;"",""))))</f>
        <v/>
      </c>
      <c r="M4873" s="6" t="str">
        <f>IF($D4873="","",IF(ISNA(MATCH($D4873,'Paramètres'!$M:$M,0)),"⚠ Type inconnu",IF($L4873="Crédit","",IFERROR(INDEX('Paramètres'!$O:$O,MATCH($D4873,'Paramètres'!$M:$M,0))&amp;"",""))))</f>
        <v/>
      </c>
      <c r="N4873" s="6" t="str">
        <f>IF($D4873="","",IFERROR(INDEX('Paramètres'!$Q:$Q,MATCH($D4873,'Paramètres'!$M:$M,0))&amp;"",""))</f>
        <v/>
      </c>
      <c r="O4873" s="6" t="str">
        <f>IF($A4873="","",IF(OR($J4873&lt;&gt;"x",$A4873&lt;=FinReleve),1,0))</f>
        <v/>
      </c>
      <c r="P4873" s="6" t="str">
        <f>IF($D4873="","",IF(AND($L4873="Crédit",OR(IFERROR(INDEX('Paramètres'!$O:$O,MATCH($D4873,'Paramètres'!$M:$M,0))&amp;"","")&lt;&gt;"",ISNUMBER(SEARCH("remboursement",IFERROR(INDEX('Paramètres'!$N:$N,MATCH($D4873,'Paramètres'!$M:$M,0))&amp;"",""))))),1,0))</f>
        <v/>
      </c>
      <c r="Q4873" s="6" t="str">
        <f>IF($K4873="","",IF(ISNUMBER(SEARCH("transfert-interne",IFERROR(INDEX('Paramètres'!$N:$N,MATCH($D4873,'Paramètres'!$M:$M,0))&amp;"",""))),0,IF($L4873="Débit",$K4873,IF($P4873=1,-$K4873,0))))</f>
        <v/>
      </c>
      <c r="R4873" s="6" t="str">
        <f>IF($K4873="","",IF($L4873="Crédit",$K4873,-$K4873))</f>
        <v/>
      </c>
      <c r="S4873" s="6" t="str">
        <f>IF($C4873="","",IFERROR(INDEX('Paramètres'!$H:$H,MATCH($C4873,'Paramètres'!$D:$D,0))&amp;"",""))</f>
        <v/>
      </c>
      <c r="T4873" s="6" t="str">
        <f>IF($K4873="","",IF($S4873="",0,IF(ISNUMBER(SEARCH("apport-exterieur",IFERROR(INDEX('Paramètres'!$N:$N,MATCH($D4873,'Paramètres'!$M:$M,0))&amp;"",""))),0,IF(OR(IFERROR(INDEX('Paramètres'!$I:$I,MATCH($C4873,'Paramètres'!$D:$D,0))&amp;"","")="Les deux",IFERROR(INDEX('Paramètres'!$I:$I,MATCH($C4873,'Paramètres'!$D:$D,0))&amp;"","")=IF($P4873=1,"Débit",$L4873)),-IF($P4873=1,-$K4873,$K4873),0))))</f>
        <v/>
      </c>
      <c r="U4873" s="6" t="str">
        <f>IF($K4873="","",IF(ISNUMBER(SEARCH("sortie-epargne",IFERROR(INDEX('Paramètres'!$N:$N,MATCH($D4873,'Paramètres'!$M:$M,0))&amp;"",""))),$K4873,0))</f>
        <v/>
      </c>
      <c r="V4873" s="6" t="str">
        <f>IF(AND($A4873&lt;&gt;"",$O4873=1,$L4873="Débit",N($Q4873)&gt;0,$A4873&gt;=Visualisation!$B$1,$A4873&lt;Visualisation!$D$1),MAX($V$1:V4872)+1,"")</f>
        <v/>
      </c>
    </row>
    <row r="4874" spans="1:22" x14ac:dyDescent="0.25">
      <c r="A4874" s="9"/>
      <c r="E4874" s="10"/>
      <c r="K4874" s="11" t="str">
        <f>IF($E4874="","",ROUND($E4874*IF(ISNA(MATCH($C4874,'Paramètres'!$D:$D,0)),1,IF(INDEX('Paramètres'!$J:$J,MATCH($C4874,'Paramètres'!$D:$D,0))="",1,INDEX('Paramètres'!$J:$J,MATCH($C4874,'Paramètres'!$D:$D,0)))),2))</f>
        <v/>
      </c>
      <c r="L4874" s="6" t="str">
        <f>IF($D4874="","",IF($F4874&lt;&gt;"",$F4874,IF(ISNA(MATCH($D4874,'Paramètres'!$M:$M,0)),"⚠ Type inconnu",IFERROR(INDEX('Paramètres'!$P:$P,MATCH($D4874,'Paramètres'!$M:$M,0))&amp;"",""))))</f>
        <v/>
      </c>
      <c r="M4874" s="6" t="str">
        <f>IF($D4874="","",IF(ISNA(MATCH($D4874,'Paramètres'!$M:$M,0)),"⚠ Type inconnu",IF($L4874="Crédit","",IFERROR(INDEX('Paramètres'!$O:$O,MATCH($D4874,'Paramètres'!$M:$M,0))&amp;"",""))))</f>
        <v/>
      </c>
      <c r="N4874" s="6" t="str">
        <f>IF($D4874="","",IFERROR(INDEX('Paramètres'!$Q:$Q,MATCH($D4874,'Paramètres'!$M:$M,0))&amp;"",""))</f>
        <v/>
      </c>
      <c r="O4874" s="6" t="str">
        <f>IF($A4874="","",IF(OR($J4874&lt;&gt;"x",$A4874&lt;=FinReleve),1,0))</f>
        <v/>
      </c>
      <c r="P4874" s="6" t="str">
        <f>IF($D4874="","",IF(AND($L4874="Crédit",OR(IFERROR(INDEX('Paramètres'!$O:$O,MATCH($D4874,'Paramètres'!$M:$M,0))&amp;"","")&lt;&gt;"",ISNUMBER(SEARCH("remboursement",IFERROR(INDEX('Paramètres'!$N:$N,MATCH($D4874,'Paramètres'!$M:$M,0))&amp;"",""))))),1,0))</f>
        <v/>
      </c>
      <c r="Q4874" s="6" t="str">
        <f>IF($K4874="","",IF(ISNUMBER(SEARCH("transfert-interne",IFERROR(INDEX('Paramètres'!$N:$N,MATCH($D4874,'Paramètres'!$M:$M,0))&amp;"",""))),0,IF($L4874="Débit",$K4874,IF($P4874=1,-$K4874,0))))</f>
        <v/>
      </c>
      <c r="R4874" s="6" t="str">
        <f>IF($K4874="","",IF($L4874="Crédit",$K4874,-$K4874))</f>
        <v/>
      </c>
      <c r="S4874" s="6" t="str">
        <f>IF($C4874="","",IFERROR(INDEX('Paramètres'!$H:$H,MATCH($C4874,'Paramètres'!$D:$D,0))&amp;"",""))</f>
        <v/>
      </c>
      <c r="T4874" s="6" t="str">
        <f>IF($K4874="","",IF($S4874="",0,IF(ISNUMBER(SEARCH("apport-exterieur",IFERROR(INDEX('Paramètres'!$N:$N,MATCH($D4874,'Paramètres'!$M:$M,0))&amp;"",""))),0,IF(OR(IFERROR(INDEX('Paramètres'!$I:$I,MATCH($C4874,'Paramètres'!$D:$D,0))&amp;"","")="Les deux",IFERROR(INDEX('Paramètres'!$I:$I,MATCH($C4874,'Paramètres'!$D:$D,0))&amp;"","")=IF($P4874=1,"Débit",$L4874)),-IF($P4874=1,-$K4874,$K4874),0))))</f>
        <v/>
      </c>
      <c r="U4874" s="6" t="str">
        <f>IF($K4874="","",IF(ISNUMBER(SEARCH("sortie-epargne",IFERROR(INDEX('Paramètres'!$N:$N,MATCH($D4874,'Paramètres'!$M:$M,0))&amp;"",""))),$K4874,0))</f>
        <v/>
      </c>
      <c r="V4874" s="6" t="str">
        <f>IF(AND($A4874&lt;&gt;"",$O4874=1,$L4874="Débit",N($Q4874)&gt;0,$A4874&gt;=Visualisation!$B$1,$A4874&lt;Visualisation!$D$1),MAX($V$1:V4873)+1,"")</f>
        <v/>
      </c>
    </row>
    <row r="4875" spans="1:22" x14ac:dyDescent="0.25">
      <c r="A4875" s="9"/>
      <c r="E4875" s="10"/>
      <c r="K4875" s="11" t="str">
        <f>IF($E4875="","",ROUND($E4875*IF(ISNA(MATCH($C4875,'Paramètres'!$D:$D,0)),1,IF(INDEX('Paramètres'!$J:$J,MATCH($C4875,'Paramètres'!$D:$D,0))="",1,INDEX('Paramètres'!$J:$J,MATCH($C4875,'Paramètres'!$D:$D,0)))),2))</f>
        <v/>
      </c>
      <c r="L4875" s="6" t="str">
        <f>IF($D4875="","",IF($F4875&lt;&gt;"",$F4875,IF(ISNA(MATCH($D4875,'Paramètres'!$M:$M,0)),"⚠ Type inconnu",IFERROR(INDEX('Paramètres'!$P:$P,MATCH($D4875,'Paramètres'!$M:$M,0))&amp;"",""))))</f>
        <v/>
      </c>
      <c r="M4875" s="6" t="str">
        <f>IF($D4875="","",IF(ISNA(MATCH($D4875,'Paramètres'!$M:$M,0)),"⚠ Type inconnu",IF($L4875="Crédit","",IFERROR(INDEX('Paramètres'!$O:$O,MATCH($D4875,'Paramètres'!$M:$M,0))&amp;"",""))))</f>
        <v/>
      </c>
      <c r="N4875" s="6" t="str">
        <f>IF($D4875="","",IFERROR(INDEX('Paramètres'!$Q:$Q,MATCH($D4875,'Paramètres'!$M:$M,0))&amp;"",""))</f>
        <v/>
      </c>
      <c r="O4875" s="6" t="str">
        <f>IF($A4875="","",IF(OR($J4875&lt;&gt;"x",$A4875&lt;=FinReleve),1,0))</f>
        <v/>
      </c>
      <c r="P4875" s="6" t="str">
        <f>IF($D4875="","",IF(AND($L4875="Crédit",OR(IFERROR(INDEX('Paramètres'!$O:$O,MATCH($D4875,'Paramètres'!$M:$M,0))&amp;"","")&lt;&gt;"",ISNUMBER(SEARCH("remboursement",IFERROR(INDEX('Paramètres'!$N:$N,MATCH($D4875,'Paramètres'!$M:$M,0))&amp;"",""))))),1,0))</f>
        <v/>
      </c>
      <c r="Q4875" s="6" t="str">
        <f>IF($K4875="","",IF(ISNUMBER(SEARCH("transfert-interne",IFERROR(INDEX('Paramètres'!$N:$N,MATCH($D4875,'Paramètres'!$M:$M,0))&amp;"",""))),0,IF($L4875="Débit",$K4875,IF($P4875=1,-$K4875,0))))</f>
        <v/>
      </c>
      <c r="R4875" s="6" t="str">
        <f>IF($K4875="","",IF($L4875="Crédit",$K4875,-$K4875))</f>
        <v/>
      </c>
      <c r="S4875" s="6" t="str">
        <f>IF($C4875="","",IFERROR(INDEX('Paramètres'!$H:$H,MATCH($C4875,'Paramètres'!$D:$D,0))&amp;"",""))</f>
        <v/>
      </c>
      <c r="T4875" s="6" t="str">
        <f>IF($K4875="","",IF($S4875="",0,IF(ISNUMBER(SEARCH("apport-exterieur",IFERROR(INDEX('Paramètres'!$N:$N,MATCH($D4875,'Paramètres'!$M:$M,0))&amp;"",""))),0,IF(OR(IFERROR(INDEX('Paramètres'!$I:$I,MATCH($C4875,'Paramètres'!$D:$D,0))&amp;"","")="Les deux",IFERROR(INDEX('Paramètres'!$I:$I,MATCH($C4875,'Paramètres'!$D:$D,0))&amp;"","")=IF($P4875=1,"Débit",$L4875)),-IF($P4875=1,-$K4875,$K4875),0))))</f>
        <v/>
      </c>
      <c r="U4875" s="6" t="str">
        <f>IF($K4875="","",IF(ISNUMBER(SEARCH("sortie-epargne",IFERROR(INDEX('Paramètres'!$N:$N,MATCH($D4875,'Paramètres'!$M:$M,0))&amp;"",""))),$K4875,0))</f>
        <v/>
      </c>
      <c r="V4875" s="6" t="str">
        <f>IF(AND($A4875&lt;&gt;"",$O4875=1,$L4875="Débit",N($Q4875)&gt;0,$A4875&gt;=Visualisation!$B$1,$A4875&lt;Visualisation!$D$1),MAX($V$1:V4874)+1,"")</f>
        <v/>
      </c>
    </row>
    <row r="4876" spans="1:22" x14ac:dyDescent="0.25">
      <c r="A4876" s="9"/>
      <c r="E4876" s="10"/>
      <c r="K4876" s="11" t="str">
        <f>IF($E4876="","",ROUND($E4876*IF(ISNA(MATCH($C4876,'Paramètres'!$D:$D,0)),1,IF(INDEX('Paramètres'!$J:$J,MATCH($C4876,'Paramètres'!$D:$D,0))="",1,INDEX('Paramètres'!$J:$J,MATCH($C4876,'Paramètres'!$D:$D,0)))),2))</f>
        <v/>
      </c>
      <c r="L4876" s="6" t="str">
        <f>IF($D4876="","",IF($F4876&lt;&gt;"",$F4876,IF(ISNA(MATCH($D4876,'Paramètres'!$M:$M,0)),"⚠ Type inconnu",IFERROR(INDEX('Paramètres'!$P:$P,MATCH($D4876,'Paramètres'!$M:$M,0))&amp;"",""))))</f>
        <v/>
      </c>
      <c r="M4876" s="6" t="str">
        <f>IF($D4876="","",IF(ISNA(MATCH($D4876,'Paramètres'!$M:$M,0)),"⚠ Type inconnu",IF($L4876="Crédit","",IFERROR(INDEX('Paramètres'!$O:$O,MATCH($D4876,'Paramètres'!$M:$M,0))&amp;"",""))))</f>
        <v/>
      </c>
      <c r="N4876" s="6" t="str">
        <f>IF($D4876="","",IFERROR(INDEX('Paramètres'!$Q:$Q,MATCH($D4876,'Paramètres'!$M:$M,0))&amp;"",""))</f>
        <v/>
      </c>
      <c r="O4876" s="6" t="str">
        <f>IF($A4876="","",IF(OR($J4876&lt;&gt;"x",$A4876&lt;=FinReleve),1,0))</f>
        <v/>
      </c>
      <c r="P4876" s="6" t="str">
        <f>IF($D4876="","",IF(AND($L4876="Crédit",OR(IFERROR(INDEX('Paramètres'!$O:$O,MATCH($D4876,'Paramètres'!$M:$M,0))&amp;"","")&lt;&gt;"",ISNUMBER(SEARCH("remboursement",IFERROR(INDEX('Paramètres'!$N:$N,MATCH($D4876,'Paramètres'!$M:$M,0))&amp;"",""))))),1,0))</f>
        <v/>
      </c>
      <c r="Q4876" s="6" t="str">
        <f>IF($K4876="","",IF(ISNUMBER(SEARCH("transfert-interne",IFERROR(INDEX('Paramètres'!$N:$N,MATCH($D4876,'Paramètres'!$M:$M,0))&amp;"",""))),0,IF($L4876="Débit",$K4876,IF($P4876=1,-$K4876,0))))</f>
        <v/>
      </c>
      <c r="R4876" s="6" t="str">
        <f>IF($K4876="","",IF($L4876="Crédit",$K4876,-$K4876))</f>
        <v/>
      </c>
      <c r="S4876" s="6" t="str">
        <f>IF($C4876="","",IFERROR(INDEX('Paramètres'!$H:$H,MATCH($C4876,'Paramètres'!$D:$D,0))&amp;"",""))</f>
        <v/>
      </c>
      <c r="T4876" s="6" t="str">
        <f>IF($K4876="","",IF($S4876="",0,IF(ISNUMBER(SEARCH("apport-exterieur",IFERROR(INDEX('Paramètres'!$N:$N,MATCH($D4876,'Paramètres'!$M:$M,0))&amp;"",""))),0,IF(OR(IFERROR(INDEX('Paramètres'!$I:$I,MATCH($C4876,'Paramètres'!$D:$D,0))&amp;"","")="Les deux",IFERROR(INDEX('Paramètres'!$I:$I,MATCH($C4876,'Paramètres'!$D:$D,0))&amp;"","")=IF($P4876=1,"Débit",$L4876)),-IF($P4876=1,-$K4876,$K4876),0))))</f>
        <v/>
      </c>
      <c r="U4876" s="6" t="str">
        <f>IF($K4876="","",IF(ISNUMBER(SEARCH("sortie-epargne",IFERROR(INDEX('Paramètres'!$N:$N,MATCH($D4876,'Paramètres'!$M:$M,0))&amp;"",""))),$K4876,0))</f>
        <v/>
      </c>
      <c r="V4876" s="6" t="str">
        <f>IF(AND($A4876&lt;&gt;"",$O4876=1,$L4876="Débit",N($Q4876)&gt;0,$A4876&gt;=Visualisation!$B$1,$A4876&lt;Visualisation!$D$1),MAX($V$1:V4875)+1,"")</f>
        <v/>
      </c>
    </row>
    <row r="4877" spans="1:22" x14ac:dyDescent="0.25">
      <c r="A4877" s="9"/>
      <c r="E4877" s="10"/>
      <c r="K4877" s="11" t="str">
        <f>IF($E4877="","",ROUND($E4877*IF(ISNA(MATCH($C4877,'Paramètres'!$D:$D,0)),1,IF(INDEX('Paramètres'!$J:$J,MATCH($C4877,'Paramètres'!$D:$D,0))="",1,INDEX('Paramètres'!$J:$J,MATCH($C4877,'Paramètres'!$D:$D,0)))),2))</f>
        <v/>
      </c>
      <c r="L4877" s="6" t="str">
        <f>IF($D4877="","",IF($F4877&lt;&gt;"",$F4877,IF(ISNA(MATCH($D4877,'Paramètres'!$M:$M,0)),"⚠ Type inconnu",IFERROR(INDEX('Paramètres'!$P:$P,MATCH($D4877,'Paramètres'!$M:$M,0))&amp;"",""))))</f>
        <v/>
      </c>
      <c r="M4877" s="6" t="str">
        <f>IF($D4877="","",IF(ISNA(MATCH($D4877,'Paramètres'!$M:$M,0)),"⚠ Type inconnu",IF($L4877="Crédit","",IFERROR(INDEX('Paramètres'!$O:$O,MATCH($D4877,'Paramètres'!$M:$M,0))&amp;"",""))))</f>
        <v/>
      </c>
      <c r="N4877" s="6" t="str">
        <f>IF($D4877="","",IFERROR(INDEX('Paramètres'!$Q:$Q,MATCH($D4877,'Paramètres'!$M:$M,0))&amp;"",""))</f>
        <v/>
      </c>
      <c r="O4877" s="6" t="str">
        <f>IF($A4877="","",IF(OR($J4877&lt;&gt;"x",$A4877&lt;=FinReleve),1,0))</f>
        <v/>
      </c>
      <c r="P4877" s="6" t="str">
        <f>IF($D4877="","",IF(AND($L4877="Crédit",OR(IFERROR(INDEX('Paramètres'!$O:$O,MATCH($D4877,'Paramètres'!$M:$M,0))&amp;"","")&lt;&gt;"",ISNUMBER(SEARCH("remboursement",IFERROR(INDEX('Paramètres'!$N:$N,MATCH($D4877,'Paramètres'!$M:$M,0))&amp;"",""))))),1,0))</f>
        <v/>
      </c>
      <c r="Q4877" s="6" t="str">
        <f>IF($K4877="","",IF(ISNUMBER(SEARCH("transfert-interne",IFERROR(INDEX('Paramètres'!$N:$N,MATCH($D4877,'Paramètres'!$M:$M,0))&amp;"",""))),0,IF($L4877="Débit",$K4877,IF($P4877=1,-$K4877,0))))</f>
        <v/>
      </c>
      <c r="R4877" s="6" t="str">
        <f>IF($K4877="","",IF($L4877="Crédit",$K4877,-$K4877))</f>
        <v/>
      </c>
      <c r="S4877" s="6" t="str">
        <f>IF($C4877="","",IFERROR(INDEX('Paramètres'!$H:$H,MATCH($C4877,'Paramètres'!$D:$D,0))&amp;"",""))</f>
        <v/>
      </c>
      <c r="T4877" s="6" t="str">
        <f>IF($K4877="","",IF($S4877="",0,IF(ISNUMBER(SEARCH("apport-exterieur",IFERROR(INDEX('Paramètres'!$N:$N,MATCH($D4877,'Paramètres'!$M:$M,0))&amp;"",""))),0,IF(OR(IFERROR(INDEX('Paramètres'!$I:$I,MATCH($C4877,'Paramètres'!$D:$D,0))&amp;"","")="Les deux",IFERROR(INDEX('Paramètres'!$I:$I,MATCH($C4877,'Paramètres'!$D:$D,0))&amp;"","")=IF($P4877=1,"Débit",$L4877)),-IF($P4877=1,-$K4877,$K4877),0))))</f>
        <v/>
      </c>
      <c r="U4877" s="6" t="str">
        <f>IF($K4877="","",IF(ISNUMBER(SEARCH("sortie-epargne",IFERROR(INDEX('Paramètres'!$N:$N,MATCH($D4877,'Paramètres'!$M:$M,0))&amp;"",""))),$K4877,0))</f>
        <v/>
      </c>
      <c r="V4877" s="6" t="str">
        <f>IF(AND($A4877&lt;&gt;"",$O4877=1,$L4877="Débit",N($Q4877)&gt;0,$A4877&gt;=Visualisation!$B$1,$A4877&lt;Visualisation!$D$1),MAX($V$1:V4876)+1,"")</f>
        <v/>
      </c>
    </row>
    <row r="4878" spans="1:22" x14ac:dyDescent="0.25">
      <c r="A4878" s="9"/>
      <c r="E4878" s="10"/>
      <c r="K4878" s="11" t="str">
        <f>IF($E4878="","",ROUND($E4878*IF(ISNA(MATCH($C4878,'Paramètres'!$D:$D,0)),1,IF(INDEX('Paramètres'!$J:$J,MATCH($C4878,'Paramètres'!$D:$D,0))="",1,INDEX('Paramètres'!$J:$J,MATCH($C4878,'Paramètres'!$D:$D,0)))),2))</f>
        <v/>
      </c>
      <c r="L4878" s="6" t="str">
        <f>IF($D4878="","",IF($F4878&lt;&gt;"",$F4878,IF(ISNA(MATCH($D4878,'Paramètres'!$M:$M,0)),"⚠ Type inconnu",IFERROR(INDEX('Paramètres'!$P:$P,MATCH($D4878,'Paramètres'!$M:$M,0))&amp;"",""))))</f>
        <v/>
      </c>
      <c r="M4878" s="6" t="str">
        <f>IF($D4878="","",IF(ISNA(MATCH($D4878,'Paramètres'!$M:$M,0)),"⚠ Type inconnu",IF($L4878="Crédit","",IFERROR(INDEX('Paramètres'!$O:$O,MATCH($D4878,'Paramètres'!$M:$M,0))&amp;"",""))))</f>
        <v/>
      </c>
      <c r="N4878" s="6" t="str">
        <f>IF($D4878="","",IFERROR(INDEX('Paramètres'!$Q:$Q,MATCH($D4878,'Paramètres'!$M:$M,0))&amp;"",""))</f>
        <v/>
      </c>
      <c r="O4878" s="6" t="str">
        <f>IF($A4878="","",IF(OR($J4878&lt;&gt;"x",$A4878&lt;=FinReleve),1,0))</f>
        <v/>
      </c>
      <c r="P4878" s="6" t="str">
        <f>IF($D4878="","",IF(AND($L4878="Crédit",OR(IFERROR(INDEX('Paramètres'!$O:$O,MATCH($D4878,'Paramètres'!$M:$M,0))&amp;"","")&lt;&gt;"",ISNUMBER(SEARCH("remboursement",IFERROR(INDEX('Paramètres'!$N:$N,MATCH($D4878,'Paramètres'!$M:$M,0))&amp;"",""))))),1,0))</f>
        <v/>
      </c>
      <c r="Q4878" s="6" t="str">
        <f>IF($K4878="","",IF(ISNUMBER(SEARCH("transfert-interne",IFERROR(INDEX('Paramètres'!$N:$N,MATCH($D4878,'Paramètres'!$M:$M,0))&amp;"",""))),0,IF($L4878="Débit",$K4878,IF($P4878=1,-$K4878,0))))</f>
        <v/>
      </c>
      <c r="R4878" s="6" t="str">
        <f>IF($K4878="","",IF($L4878="Crédit",$K4878,-$K4878))</f>
        <v/>
      </c>
      <c r="S4878" s="6" t="str">
        <f>IF($C4878="","",IFERROR(INDEX('Paramètres'!$H:$H,MATCH($C4878,'Paramètres'!$D:$D,0))&amp;"",""))</f>
        <v/>
      </c>
      <c r="T4878" s="6" t="str">
        <f>IF($K4878="","",IF($S4878="",0,IF(ISNUMBER(SEARCH("apport-exterieur",IFERROR(INDEX('Paramètres'!$N:$N,MATCH($D4878,'Paramètres'!$M:$M,0))&amp;"",""))),0,IF(OR(IFERROR(INDEX('Paramètres'!$I:$I,MATCH($C4878,'Paramètres'!$D:$D,0))&amp;"","")="Les deux",IFERROR(INDEX('Paramètres'!$I:$I,MATCH($C4878,'Paramètres'!$D:$D,0))&amp;"","")=IF($P4878=1,"Débit",$L4878)),-IF($P4878=1,-$K4878,$K4878),0))))</f>
        <v/>
      </c>
      <c r="U4878" s="6" t="str">
        <f>IF($K4878="","",IF(ISNUMBER(SEARCH("sortie-epargne",IFERROR(INDEX('Paramètres'!$N:$N,MATCH($D4878,'Paramètres'!$M:$M,0))&amp;"",""))),$K4878,0))</f>
        <v/>
      </c>
      <c r="V4878" s="6" t="str">
        <f>IF(AND($A4878&lt;&gt;"",$O4878=1,$L4878="Débit",N($Q4878)&gt;0,$A4878&gt;=Visualisation!$B$1,$A4878&lt;Visualisation!$D$1),MAX($V$1:V4877)+1,"")</f>
        <v/>
      </c>
    </row>
    <row r="4879" spans="1:22" x14ac:dyDescent="0.25">
      <c r="A4879" s="9"/>
      <c r="E4879" s="10"/>
      <c r="K4879" s="11" t="str">
        <f>IF($E4879="","",ROUND($E4879*IF(ISNA(MATCH($C4879,'Paramètres'!$D:$D,0)),1,IF(INDEX('Paramètres'!$J:$J,MATCH($C4879,'Paramètres'!$D:$D,0))="",1,INDEX('Paramètres'!$J:$J,MATCH($C4879,'Paramètres'!$D:$D,0)))),2))</f>
        <v/>
      </c>
      <c r="L4879" s="6" t="str">
        <f>IF($D4879="","",IF($F4879&lt;&gt;"",$F4879,IF(ISNA(MATCH($D4879,'Paramètres'!$M:$M,0)),"⚠ Type inconnu",IFERROR(INDEX('Paramètres'!$P:$P,MATCH($D4879,'Paramètres'!$M:$M,0))&amp;"",""))))</f>
        <v/>
      </c>
      <c r="M4879" s="6" t="str">
        <f>IF($D4879="","",IF(ISNA(MATCH($D4879,'Paramètres'!$M:$M,0)),"⚠ Type inconnu",IF($L4879="Crédit","",IFERROR(INDEX('Paramètres'!$O:$O,MATCH($D4879,'Paramètres'!$M:$M,0))&amp;"",""))))</f>
        <v/>
      </c>
      <c r="N4879" s="6" t="str">
        <f>IF($D4879="","",IFERROR(INDEX('Paramètres'!$Q:$Q,MATCH($D4879,'Paramètres'!$M:$M,0))&amp;"",""))</f>
        <v/>
      </c>
      <c r="O4879" s="6" t="str">
        <f>IF($A4879="","",IF(OR($J4879&lt;&gt;"x",$A4879&lt;=FinReleve),1,0))</f>
        <v/>
      </c>
      <c r="P4879" s="6" t="str">
        <f>IF($D4879="","",IF(AND($L4879="Crédit",OR(IFERROR(INDEX('Paramètres'!$O:$O,MATCH($D4879,'Paramètres'!$M:$M,0))&amp;"","")&lt;&gt;"",ISNUMBER(SEARCH("remboursement",IFERROR(INDEX('Paramètres'!$N:$N,MATCH($D4879,'Paramètres'!$M:$M,0))&amp;"",""))))),1,0))</f>
        <v/>
      </c>
      <c r="Q4879" s="6" t="str">
        <f>IF($K4879="","",IF(ISNUMBER(SEARCH("transfert-interne",IFERROR(INDEX('Paramètres'!$N:$N,MATCH($D4879,'Paramètres'!$M:$M,0))&amp;"",""))),0,IF($L4879="Débit",$K4879,IF($P4879=1,-$K4879,0))))</f>
        <v/>
      </c>
      <c r="R4879" s="6" t="str">
        <f>IF($K4879="","",IF($L4879="Crédit",$K4879,-$K4879))</f>
        <v/>
      </c>
      <c r="S4879" s="6" t="str">
        <f>IF($C4879="","",IFERROR(INDEX('Paramètres'!$H:$H,MATCH($C4879,'Paramètres'!$D:$D,0))&amp;"",""))</f>
        <v/>
      </c>
      <c r="T4879" s="6" t="str">
        <f>IF($K4879="","",IF($S4879="",0,IF(ISNUMBER(SEARCH("apport-exterieur",IFERROR(INDEX('Paramètres'!$N:$N,MATCH($D4879,'Paramètres'!$M:$M,0))&amp;"",""))),0,IF(OR(IFERROR(INDEX('Paramètres'!$I:$I,MATCH($C4879,'Paramètres'!$D:$D,0))&amp;"","")="Les deux",IFERROR(INDEX('Paramètres'!$I:$I,MATCH($C4879,'Paramètres'!$D:$D,0))&amp;"","")=IF($P4879=1,"Débit",$L4879)),-IF($P4879=1,-$K4879,$K4879),0))))</f>
        <v/>
      </c>
      <c r="U4879" s="6" t="str">
        <f>IF($K4879="","",IF(ISNUMBER(SEARCH("sortie-epargne",IFERROR(INDEX('Paramètres'!$N:$N,MATCH($D4879,'Paramètres'!$M:$M,0))&amp;"",""))),$K4879,0))</f>
        <v/>
      </c>
      <c r="V4879" s="6" t="str">
        <f>IF(AND($A4879&lt;&gt;"",$O4879=1,$L4879="Débit",N($Q4879)&gt;0,$A4879&gt;=Visualisation!$B$1,$A4879&lt;Visualisation!$D$1),MAX($V$1:V4878)+1,"")</f>
        <v/>
      </c>
    </row>
    <row r="4880" spans="1:22" x14ac:dyDescent="0.25">
      <c r="A4880" s="9"/>
      <c r="E4880" s="10"/>
      <c r="K4880" s="11" t="str">
        <f>IF($E4880="","",ROUND($E4880*IF(ISNA(MATCH($C4880,'Paramètres'!$D:$D,0)),1,IF(INDEX('Paramètres'!$J:$J,MATCH($C4880,'Paramètres'!$D:$D,0))="",1,INDEX('Paramètres'!$J:$J,MATCH($C4880,'Paramètres'!$D:$D,0)))),2))</f>
        <v/>
      </c>
      <c r="L4880" s="6" t="str">
        <f>IF($D4880="","",IF($F4880&lt;&gt;"",$F4880,IF(ISNA(MATCH($D4880,'Paramètres'!$M:$M,0)),"⚠ Type inconnu",IFERROR(INDEX('Paramètres'!$P:$P,MATCH($D4880,'Paramètres'!$M:$M,0))&amp;"",""))))</f>
        <v/>
      </c>
      <c r="M4880" s="6" t="str">
        <f>IF($D4880="","",IF(ISNA(MATCH($D4880,'Paramètres'!$M:$M,0)),"⚠ Type inconnu",IF($L4880="Crédit","",IFERROR(INDEX('Paramètres'!$O:$O,MATCH($D4880,'Paramètres'!$M:$M,0))&amp;"",""))))</f>
        <v/>
      </c>
      <c r="N4880" s="6" t="str">
        <f>IF($D4880="","",IFERROR(INDEX('Paramètres'!$Q:$Q,MATCH($D4880,'Paramètres'!$M:$M,0))&amp;"",""))</f>
        <v/>
      </c>
      <c r="O4880" s="6" t="str">
        <f>IF($A4880="","",IF(OR($J4880&lt;&gt;"x",$A4880&lt;=FinReleve),1,0))</f>
        <v/>
      </c>
      <c r="P4880" s="6" t="str">
        <f>IF($D4880="","",IF(AND($L4880="Crédit",OR(IFERROR(INDEX('Paramètres'!$O:$O,MATCH($D4880,'Paramètres'!$M:$M,0))&amp;"","")&lt;&gt;"",ISNUMBER(SEARCH("remboursement",IFERROR(INDEX('Paramètres'!$N:$N,MATCH($D4880,'Paramètres'!$M:$M,0))&amp;"",""))))),1,0))</f>
        <v/>
      </c>
      <c r="Q4880" s="6" t="str">
        <f>IF($K4880="","",IF(ISNUMBER(SEARCH("transfert-interne",IFERROR(INDEX('Paramètres'!$N:$N,MATCH($D4880,'Paramètres'!$M:$M,0))&amp;"",""))),0,IF($L4880="Débit",$K4880,IF($P4880=1,-$K4880,0))))</f>
        <v/>
      </c>
      <c r="R4880" s="6" t="str">
        <f>IF($K4880="","",IF($L4880="Crédit",$K4880,-$K4880))</f>
        <v/>
      </c>
      <c r="S4880" s="6" t="str">
        <f>IF($C4880="","",IFERROR(INDEX('Paramètres'!$H:$H,MATCH($C4880,'Paramètres'!$D:$D,0))&amp;"",""))</f>
        <v/>
      </c>
      <c r="T4880" s="6" t="str">
        <f>IF($K4880="","",IF($S4880="",0,IF(ISNUMBER(SEARCH("apport-exterieur",IFERROR(INDEX('Paramètres'!$N:$N,MATCH($D4880,'Paramètres'!$M:$M,0))&amp;"",""))),0,IF(OR(IFERROR(INDEX('Paramètres'!$I:$I,MATCH($C4880,'Paramètres'!$D:$D,0))&amp;"","")="Les deux",IFERROR(INDEX('Paramètres'!$I:$I,MATCH($C4880,'Paramètres'!$D:$D,0))&amp;"","")=IF($P4880=1,"Débit",$L4880)),-IF($P4880=1,-$K4880,$K4880),0))))</f>
        <v/>
      </c>
      <c r="U4880" s="6" t="str">
        <f>IF($K4880="","",IF(ISNUMBER(SEARCH("sortie-epargne",IFERROR(INDEX('Paramètres'!$N:$N,MATCH($D4880,'Paramètres'!$M:$M,0))&amp;"",""))),$K4880,0))</f>
        <v/>
      </c>
      <c r="V4880" s="6" t="str">
        <f>IF(AND($A4880&lt;&gt;"",$O4880=1,$L4880="Débit",N($Q4880)&gt;0,$A4880&gt;=Visualisation!$B$1,$A4880&lt;Visualisation!$D$1),MAX($V$1:V4879)+1,"")</f>
        <v/>
      </c>
    </row>
    <row r="4881" spans="1:22" x14ac:dyDescent="0.25">
      <c r="A4881" s="9"/>
      <c r="E4881" s="10"/>
      <c r="K4881" s="11" t="str">
        <f>IF($E4881="","",ROUND($E4881*IF(ISNA(MATCH($C4881,'Paramètres'!$D:$D,0)),1,IF(INDEX('Paramètres'!$J:$J,MATCH($C4881,'Paramètres'!$D:$D,0))="",1,INDEX('Paramètres'!$J:$J,MATCH($C4881,'Paramètres'!$D:$D,0)))),2))</f>
        <v/>
      </c>
      <c r="L4881" s="6" t="str">
        <f>IF($D4881="","",IF($F4881&lt;&gt;"",$F4881,IF(ISNA(MATCH($D4881,'Paramètres'!$M:$M,0)),"⚠ Type inconnu",IFERROR(INDEX('Paramètres'!$P:$P,MATCH($D4881,'Paramètres'!$M:$M,0))&amp;"",""))))</f>
        <v/>
      </c>
      <c r="M4881" s="6" t="str">
        <f>IF($D4881="","",IF(ISNA(MATCH($D4881,'Paramètres'!$M:$M,0)),"⚠ Type inconnu",IF($L4881="Crédit","",IFERROR(INDEX('Paramètres'!$O:$O,MATCH($D4881,'Paramètres'!$M:$M,0))&amp;"",""))))</f>
        <v/>
      </c>
      <c r="N4881" s="6" t="str">
        <f>IF($D4881="","",IFERROR(INDEX('Paramètres'!$Q:$Q,MATCH($D4881,'Paramètres'!$M:$M,0))&amp;"",""))</f>
        <v/>
      </c>
      <c r="O4881" s="6" t="str">
        <f>IF($A4881="","",IF(OR($J4881&lt;&gt;"x",$A4881&lt;=FinReleve),1,0))</f>
        <v/>
      </c>
      <c r="P4881" s="6" t="str">
        <f>IF($D4881="","",IF(AND($L4881="Crédit",OR(IFERROR(INDEX('Paramètres'!$O:$O,MATCH($D4881,'Paramètres'!$M:$M,0))&amp;"","")&lt;&gt;"",ISNUMBER(SEARCH("remboursement",IFERROR(INDEX('Paramètres'!$N:$N,MATCH($D4881,'Paramètres'!$M:$M,0))&amp;"",""))))),1,0))</f>
        <v/>
      </c>
      <c r="Q4881" s="6" t="str">
        <f>IF($K4881="","",IF(ISNUMBER(SEARCH("transfert-interne",IFERROR(INDEX('Paramètres'!$N:$N,MATCH($D4881,'Paramètres'!$M:$M,0))&amp;"",""))),0,IF($L4881="Débit",$K4881,IF($P4881=1,-$K4881,0))))</f>
        <v/>
      </c>
      <c r="R4881" s="6" t="str">
        <f>IF($K4881="","",IF($L4881="Crédit",$K4881,-$K4881))</f>
        <v/>
      </c>
      <c r="S4881" s="6" t="str">
        <f>IF($C4881="","",IFERROR(INDEX('Paramètres'!$H:$H,MATCH($C4881,'Paramètres'!$D:$D,0))&amp;"",""))</f>
        <v/>
      </c>
      <c r="T4881" s="6" t="str">
        <f>IF($K4881="","",IF($S4881="",0,IF(ISNUMBER(SEARCH("apport-exterieur",IFERROR(INDEX('Paramètres'!$N:$N,MATCH($D4881,'Paramètres'!$M:$M,0))&amp;"",""))),0,IF(OR(IFERROR(INDEX('Paramètres'!$I:$I,MATCH($C4881,'Paramètres'!$D:$D,0))&amp;"","")="Les deux",IFERROR(INDEX('Paramètres'!$I:$I,MATCH($C4881,'Paramètres'!$D:$D,0))&amp;"","")=IF($P4881=1,"Débit",$L4881)),-IF($P4881=1,-$K4881,$K4881),0))))</f>
        <v/>
      </c>
      <c r="U4881" s="6" t="str">
        <f>IF($K4881="","",IF(ISNUMBER(SEARCH("sortie-epargne",IFERROR(INDEX('Paramètres'!$N:$N,MATCH($D4881,'Paramètres'!$M:$M,0))&amp;"",""))),$K4881,0))</f>
        <v/>
      </c>
      <c r="V4881" s="6" t="str">
        <f>IF(AND($A4881&lt;&gt;"",$O4881=1,$L4881="Débit",N($Q4881)&gt;0,$A4881&gt;=Visualisation!$B$1,$A4881&lt;Visualisation!$D$1),MAX($V$1:V4880)+1,"")</f>
        <v/>
      </c>
    </row>
    <row r="4882" spans="1:22" x14ac:dyDescent="0.25">
      <c r="A4882" s="9"/>
      <c r="E4882" s="10"/>
      <c r="K4882" s="11" t="str">
        <f>IF($E4882="","",ROUND($E4882*IF(ISNA(MATCH($C4882,'Paramètres'!$D:$D,0)),1,IF(INDEX('Paramètres'!$J:$J,MATCH($C4882,'Paramètres'!$D:$D,0))="",1,INDEX('Paramètres'!$J:$J,MATCH($C4882,'Paramètres'!$D:$D,0)))),2))</f>
        <v/>
      </c>
      <c r="L4882" s="6" t="str">
        <f>IF($D4882="","",IF($F4882&lt;&gt;"",$F4882,IF(ISNA(MATCH($D4882,'Paramètres'!$M:$M,0)),"⚠ Type inconnu",IFERROR(INDEX('Paramètres'!$P:$P,MATCH($D4882,'Paramètres'!$M:$M,0))&amp;"",""))))</f>
        <v/>
      </c>
      <c r="M4882" s="6" t="str">
        <f>IF($D4882="","",IF(ISNA(MATCH($D4882,'Paramètres'!$M:$M,0)),"⚠ Type inconnu",IF($L4882="Crédit","",IFERROR(INDEX('Paramètres'!$O:$O,MATCH($D4882,'Paramètres'!$M:$M,0))&amp;"",""))))</f>
        <v/>
      </c>
      <c r="N4882" s="6" t="str">
        <f>IF($D4882="","",IFERROR(INDEX('Paramètres'!$Q:$Q,MATCH($D4882,'Paramètres'!$M:$M,0))&amp;"",""))</f>
        <v/>
      </c>
      <c r="O4882" s="6" t="str">
        <f>IF($A4882="","",IF(OR($J4882&lt;&gt;"x",$A4882&lt;=FinReleve),1,0))</f>
        <v/>
      </c>
      <c r="P4882" s="6" t="str">
        <f>IF($D4882="","",IF(AND($L4882="Crédit",OR(IFERROR(INDEX('Paramètres'!$O:$O,MATCH($D4882,'Paramètres'!$M:$M,0))&amp;"","")&lt;&gt;"",ISNUMBER(SEARCH("remboursement",IFERROR(INDEX('Paramètres'!$N:$N,MATCH($D4882,'Paramètres'!$M:$M,0))&amp;"",""))))),1,0))</f>
        <v/>
      </c>
      <c r="Q4882" s="6" t="str">
        <f>IF($K4882="","",IF(ISNUMBER(SEARCH("transfert-interne",IFERROR(INDEX('Paramètres'!$N:$N,MATCH($D4882,'Paramètres'!$M:$M,0))&amp;"",""))),0,IF($L4882="Débit",$K4882,IF($P4882=1,-$K4882,0))))</f>
        <v/>
      </c>
      <c r="R4882" s="6" t="str">
        <f>IF($K4882="","",IF($L4882="Crédit",$K4882,-$K4882))</f>
        <v/>
      </c>
      <c r="S4882" s="6" t="str">
        <f>IF($C4882="","",IFERROR(INDEX('Paramètres'!$H:$H,MATCH($C4882,'Paramètres'!$D:$D,0))&amp;"",""))</f>
        <v/>
      </c>
      <c r="T4882" s="6" t="str">
        <f>IF($K4882="","",IF($S4882="",0,IF(ISNUMBER(SEARCH("apport-exterieur",IFERROR(INDEX('Paramètres'!$N:$N,MATCH($D4882,'Paramètres'!$M:$M,0))&amp;"",""))),0,IF(OR(IFERROR(INDEX('Paramètres'!$I:$I,MATCH($C4882,'Paramètres'!$D:$D,0))&amp;"","")="Les deux",IFERROR(INDEX('Paramètres'!$I:$I,MATCH($C4882,'Paramètres'!$D:$D,0))&amp;"","")=IF($P4882=1,"Débit",$L4882)),-IF($P4882=1,-$K4882,$K4882),0))))</f>
        <v/>
      </c>
      <c r="U4882" s="6" t="str">
        <f>IF($K4882="","",IF(ISNUMBER(SEARCH("sortie-epargne",IFERROR(INDEX('Paramètres'!$N:$N,MATCH($D4882,'Paramètres'!$M:$M,0))&amp;"",""))),$K4882,0))</f>
        <v/>
      </c>
      <c r="V4882" s="6" t="str">
        <f>IF(AND($A4882&lt;&gt;"",$O4882=1,$L4882="Débit",N($Q4882)&gt;0,$A4882&gt;=Visualisation!$B$1,$A4882&lt;Visualisation!$D$1),MAX($V$1:V4881)+1,"")</f>
        <v/>
      </c>
    </row>
    <row r="4883" spans="1:22" x14ac:dyDescent="0.25">
      <c r="A4883" s="9"/>
      <c r="E4883" s="10"/>
      <c r="K4883" s="11" t="str">
        <f>IF($E4883="","",ROUND($E4883*IF(ISNA(MATCH($C4883,'Paramètres'!$D:$D,0)),1,IF(INDEX('Paramètres'!$J:$J,MATCH($C4883,'Paramètres'!$D:$D,0))="",1,INDEX('Paramètres'!$J:$J,MATCH($C4883,'Paramètres'!$D:$D,0)))),2))</f>
        <v/>
      </c>
      <c r="L4883" s="6" t="str">
        <f>IF($D4883="","",IF($F4883&lt;&gt;"",$F4883,IF(ISNA(MATCH($D4883,'Paramètres'!$M:$M,0)),"⚠ Type inconnu",IFERROR(INDEX('Paramètres'!$P:$P,MATCH($D4883,'Paramètres'!$M:$M,0))&amp;"",""))))</f>
        <v/>
      </c>
      <c r="M4883" s="6" t="str">
        <f>IF($D4883="","",IF(ISNA(MATCH($D4883,'Paramètres'!$M:$M,0)),"⚠ Type inconnu",IF($L4883="Crédit","",IFERROR(INDEX('Paramètres'!$O:$O,MATCH($D4883,'Paramètres'!$M:$M,0))&amp;"",""))))</f>
        <v/>
      </c>
      <c r="N4883" s="6" t="str">
        <f>IF($D4883="","",IFERROR(INDEX('Paramètres'!$Q:$Q,MATCH($D4883,'Paramètres'!$M:$M,0))&amp;"",""))</f>
        <v/>
      </c>
      <c r="O4883" s="6" t="str">
        <f>IF($A4883="","",IF(OR($J4883&lt;&gt;"x",$A4883&lt;=FinReleve),1,0))</f>
        <v/>
      </c>
      <c r="P4883" s="6" t="str">
        <f>IF($D4883="","",IF(AND($L4883="Crédit",OR(IFERROR(INDEX('Paramètres'!$O:$O,MATCH($D4883,'Paramètres'!$M:$M,0))&amp;"","")&lt;&gt;"",ISNUMBER(SEARCH("remboursement",IFERROR(INDEX('Paramètres'!$N:$N,MATCH($D4883,'Paramètres'!$M:$M,0))&amp;"",""))))),1,0))</f>
        <v/>
      </c>
      <c r="Q4883" s="6" t="str">
        <f>IF($K4883="","",IF(ISNUMBER(SEARCH("transfert-interne",IFERROR(INDEX('Paramètres'!$N:$N,MATCH($D4883,'Paramètres'!$M:$M,0))&amp;"",""))),0,IF($L4883="Débit",$K4883,IF($P4883=1,-$K4883,0))))</f>
        <v/>
      </c>
      <c r="R4883" s="6" t="str">
        <f>IF($K4883="","",IF($L4883="Crédit",$K4883,-$K4883))</f>
        <v/>
      </c>
      <c r="S4883" s="6" t="str">
        <f>IF($C4883="","",IFERROR(INDEX('Paramètres'!$H:$H,MATCH($C4883,'Paramètres'!$D:$D,0))&amp;"",""))</f>
        <v/>
      </c>
      <c r="T4883" s="6" t="str">
        <f>IF($K4883="","",IF($S4883="",0,IF(ISNUMBER(SEARCH("apport-exterieur",IFERROR(INDEX('Paramètres'!$N:$N,MATCH($D4883,'Paramètres'!$M:$M,0))&amp;"",""))),0,IF(OR(IFERROR(INDEX('Paramètres'!$I:$I,MATCH($C4883,'Paramètres'!$D:$D,0))&amp;"","")="Les deux",IFERROR(INDEX('Paramètres'!$I:$I,MATCH($C4883,'Paramètres'!$D:$D,0))&amp;"","")=IF($P4883=1,"Débit",$L4883)),-IF($P4883=1,-$K4883,$K4883),0))))</f>
        <v/>
      </c>
      <c r="U4883" s="6" t="str">
        <f>IF($K4883="","",IF(ISNUMBER(SEARCH("sortie-epargne",IFERROR(INDEX('Paramètres'!$N:$N,MATCH($D4883,'Paramètres'!$M:$M,0))&amp;"",""))),$K4883,0))</f>
        <v/>
      </c>
      <c r="V4883" s="6" t="str">
        <f>IF(AND($A4883&lt;&gt;"",$O4883=1,$L4883="Débit",N($Q4883)&gt;0,$A4883&gt;=Visualisation!$B$1,$A4883&lt;Visualisation!$D$1),MAX($V$1:V4882)+1,"")</f>
        <v/>
      </c>
    </row>
    <row r="4884" spans="1:22" x14ac:dyDescent="0.25">
      <c r="A4884" s="9"/>
      <c r="E4884" s="10"/>
      <c r="K4884" s="11" t="str">
        <f>IF($E4884="","",ROUND($E4884*IF(ISNA(MATCH($C4884,'Paramètres'!$D:$D,0)),1,IF(INDEX('Paramètres'!$J:$J,MATCH($C4884,'Paramètres'!$D:$D,0))="",1,INDEX('Paramètres'!$J:$J,MATCH($C4884,'Paramètres'!$D:$D,0)))),2))</f>
        <v/>
      </c>
      <c r="L4884" s="6" t="str">
        <f>IF($D4884="","",IF($F4884&lt;&gt;"",$F4884,IF(ISNA(MATCH($D4884,'Paramètres'!$M:$M,0)),"⚠ Type inconnu",IFERROR(INDEX('Paramètres'!$P:$P,MATCH($D4884,'Paramètres'!$M:$M,0))&amp;"",""))))</f>
        <v/>
      </c>
      <c r="M4884" s="6" t="str">
        <f>IF($D4884="","",IF(ISNA(MATCH($D4884,'Paramètres'!$M:$M,0)),"⚠ Type inconnu",IF($L4884="Crédit","",IFERROR(INDEX('Paramètres'!$O:$O,MATCH($D4884,'Paramètres'!$M:$M,0))&amp;"",""))))</f>
        <v/>
      </c>
      <c r="N4884" s="6" t="str">
        <f>IF($D4884="","",IFERROR(INDEX('Paramètres'!$Q:$Q,MATCH($D4884,'Paramètres'!$M:$M,0))&amp;"",""))</f>
        <v/>
      </c>
      <c r="O4884" s="6" t="str">
        <f>IF($A4884="","",IF(OR($J4884&lt;&gt;"x",$A4884&lt;=FinReleve),1,0))</f>
        <v/>
      </c>
      <c r="P4884" s="6" t="str">
        <f>IF($D4884="","",IF(AND($L4884="Crédit",OR(IFERROR(INDEX('Paramètres'!$O:$O,MATCH($D4884,'Paramètres'!$M:$M,0))&amp;"","")&lt;&gt;"",ISNUMBER(SEARCH("remboursement",IFERROR(INDEX('Paramètres'!$N:$N,MATCH($D4884,'Paramètres'!$M:$M,0))&amp;"",""))))),1,0))</f>
        <v/>
      </c>
      <c r="Q4884" s="6" t="str">
        <f>IF($K4884="","",IF(ISNUMBER(SEARCH("transfert-interne",IFERROR(INDEX('Paramètres'!$N:$N,MATCH($D4884,'Paramètres'!$M:$M,0))&amp;"",""))),0,IF($L4884="Débit",$K4884,IF($P4884=1,-$K4884,0))))</f>
        <v/>
      </c>
      <c r="R4884" s="6" t="str">
        <f>IF($K4884="","",IF($L4884="Crédit",$K4884,-$K4884))</f>
        <v/>
      </c>
      <c r="S4884" s="6" t="str">
        <f>IF($C4884="","",IFERROR(INDEX('Paramètres'!$H:$H,MATCH($C4884,'Paramètres'!$D:$D,0))&amp;"",""))</f>
        <v/>
      </c>
      <c r="T4884" s="6" t="str">
        <f>IF($K4884="","",IF($S4884="",0,IF(ISNUMBER(SEARCH("apport-exterieur",IFERROR(INDEX('Paramètres'!$N:$N,MATCH($D4884,'Paramètres'!$M:$M,0))&amp;"",""))),0,IF(OR(IFERROR(INDEX('Paramètres'!$I:$I,MATCH($C4884,'Paramètres'!$D:$D,0))&amp;"","")="Les deux",IFERROR(INDEX('Paramètres'!$I:$I,MATCH($C4884,'Paramètres'!$D:$D,0))&amp;"","")=IF($P4884=1,"Débit",$L4884)),-IF($P4884=1,-$K4884,$K4884),0))))</f>
        <v/>
      </c>
      <c r="U4884" s="6" t="str">
        <f>IF($K4884="","",IF(ISNUMBER(SEARCH("sortie-epargne",IFERROR(INDEX('Paramètres'!$N:$N,MATCH($D4884,'Paramètres'!$M:$M,0))&amp;"",""))),$K4884,0))</f>
        <v/>
      </c>
      <c r="V4884" s="6" t="str">
        <f>IF(AND($A4884&lt;&gt;"",$O4884=1,$L4884="Débit",N($Q4884)&gt;0,$A4884&gt;=Visualisation!$B$1,$A4884&lt;Visualisation!$D$1),MAX($V$1:V4883)+1,"")</f>
        <v/>
      </c>
    </row>
    <row r="4885" spans="1:22" x14ac:dyDescent="0.25">
      <c r="A4885" s="9"/>
      <c r="E4885" s="10"/>
      <c r="K4885" s="11" t="str">
        <f>IF($E4885="","",ROUND($E4885*IF(ISNA(MATCH($C4885,'Paramètres'!$D:$D,0)),1,IF(INDEX('Paramètres'!$J:$J,MATCH($C4885,'Paramètres'!$D:$D,0))="",1,INDEX('Paramètres'!$J:$J,MATCH($C4885,'Paramètres'!$D:$D,0)))),2))</f>
        <v/>
      </c>
      <c r="L4885" s="6" t="str">
        <f>IF($D4885="","",IF($F4885&lt;&gt;"",$F4885,IF(ISNA(MATCH($D4885,'Paramètres'!$M:$M,0)),"⚠ Type inconnu",IFERROR(INDEX('Paramètres'!$P:$P,MATCH($D4885,'Paramètres'!$M:$M,0))&amp;"",""))))</f>
        <v/>
      </c>
      <c r="M4885" s="6" t="str">
        <f>IF($D4885="","",IF(ISNA(MATCH($D4885,'Paramètres'!$M:$M,0)),"⚠ Type inconnu",IF($L4885="Crédit","",IFERROR(INDEX('Paramètres'!$O:$O,MATCH($D4885,'Paramètres'!$M:$M,0))&amp;"",""))))</f>
        <v/>
      </c>
      <c r="N4885" s="6" t="str">
        <f>IF($D4885="","",IFERROR(INDEX('Paramètres'!$Q:$Q,MATCH($D4885,'Paramètres'!$M:$M,0))&amp;"",""))</f>
        <v/>
      </c>
      <c r="O4885" s="6" t="str">
        <f>IF($A4885="","",IF(OR($J4885&lt;&gt;"x",$A4885&lt;=FinReleve),1,0))</f>
        <v/>
      </c>
      <c r="P4885" s="6" t="str">
        <f>IF($D4885="","",IF(AND($L4885="Crédit",OR(IFERROR(INDEX('Paramètres'!$O:$O,MATCH($D4885,'Paramètres'!$M:$M,0))&amp;"","")&lt;&gt;"",ISNUMBER(SEARCH("remboursement",IFERROR(INDEX('Paramètres'!$N:$N,MATCH($D4885,'Paramètres'!$M:$M,0))&amp;"",""))))),1,0))</f>
        <v/>
      </c>
      <c r="Q4885" s="6" t="str">
        <f>IF($K4885="","",IF(ISNUMBER(SEARCH("transfert-interne",IFERROR(INDEX('Paramètres'!$N:$N,MATCH($D4885,'Paramètres'!$M:$M,0))&amp;"",""))),0,IF($L4885="Débit",$K4885,IF($P4885=1,-$K4885,0))))</f>
        <v/>
      </c>
      <c r="R4885" s="6" t="str">
        <f>IF($K4885="","",IF($L4885="Crédit",$K4885,-$K4885))</f>
        <v/>
      </c>
      <c r="S4885" s="6" t="str">
        <f>IF($C4885="","",IFERROR(INDEX('Paramètres'!$H:$H,MATCH($C4885,'Paramètres'!$D:$D,0))&amp;"",""))</f>
        <v/>
      </c>
      <c r="T4885" s="6" t="str">
        <f>IF($K4885="","",IF($S4885="",0,IF(ISNUMBER(SEARCH("apport-exterieur",IFERROR(INDEX('Paramètres'!$N:$N,MATCH($D4885,'Paramètres'!$M:$M,0))&amp;"",""))),0,IF(OR(IFERROR(INDEX('Paramètres'!$I:$I,MATCH($C4885,'Paramètres'!$D:$D,0))&amp;"","")="Les deux",IFERROR(INDEX('Paramètres'!$I:$I,MATCH($C4885,'Paramètres'!$D:$D,0))&amp;"","")=IF($P4885=1,"Débit",$L4885)),-IF($P4885=1,-$K4885,$K4885),0))))</f>
        <v/>
      </c>
      <c r="U4885" s="6" t="str">
        <f>IF($K4885="","",IF(ISNUMBER(SEARCH("sortie-epargne",IFERROR(INDEX('Paramètres'!$N:$N,MATCH($D4885,'Paramètres'!$M:$M,0))&amp;"",""))),$K4885,0))</f>
        <v/>
      </c>
      <c r="V4885" s="6" t="str">
        <f>IF(AND($A4885&lt;&gt;"",$O4885=1,$L4885="Débit",N($Q4885)&gt;0,$A4885&gt;=Visualisation!$B$1,$A4885&lt;Visualisation!$D$1),MAX($V$1:V4884)+1,"")</f>
        <v/>
      </c>
    </row>
    <row r="4886" spans="1:22" x14ac:dyDescent="0.25">
      <c r="A4886" s="9"/>
      <c r="E4886" s="10"/>
      <c r="K4886" s="11" t="str">
        <f>IF($E4886="","",ROUND($E4886*IF(ISNA(MATCH($C4886,'Paramètres'!$D:$D,0)),1,IF(INDEX('Paramètres'!$J:$J,MATCH($C4886,'Paramètres'!$D:$D,0))="",1,INDEX('Paramètres'!$J:$J,MATCH($C4886,'Paramètres'!$D:$D,0)))),2))</f>
        <v/>
      </c>
      <c r="L4886" s="6" t="str">
        <f>IF($D4886="","",IF($F4886&lt;&gt;"",$F4886,IF(ISNA(MATCH($D4886,'Paramètres'!$M:$M,0)),"⚠ Type inconnu",IFERROR(INDEX('Paramètres'!$P:$P,MATCH($D4886,'Paramètres'!$M:$M,0))&amp;"",""))))</f>
        <v/>
      </c>
      <c r="M4886" s="6" t="str">
        <f>IF($D4886="","",IF(ISNA(MATCH($D4886,'Paramètres'!$M:$M,0)),"⚠ Type inconnu",IF($L4886="Crédit","",IFERROR(INDEX('Paramètres'!$O:$O,MATCH($D4886,'Paramètres'!$M:$M,0))&amp;"",""))))</f>
        <v/>
      </c>
      <c r="N4886" s="6" t="str">
        <f>IF($D4886="","",IFERROR(INDEX('Paramètres'!$Q:$Q,MATCH($D4886,'Paramètres'!$M:$M,0))&amp;"",""))</f>
        <v/>
      </c>
      <c r="O4886" s="6" t="str">
        <f>IF($A4886="","",IF(OR($J4886&lt;&gt;"x",$A4886&lt;=FinReleve),1,0))</f>
        <v/>
      </c>
      <c r="P4886" s="6" t="str">
        <f>IF($D4886="","",IF(AND($L4886="Crédit",OR(IFERROR(INDEX('Paramètres'!$O:$O,MATCH($D4886,'Paramètres'!$M:$M,0))&amp;"","")&lt;&gt;"",ISNUMBER(SEARCH("remboursement",IFERROR(INDEX('Paramètres'!$N:$N,MATCH($D4886,'Paramètres'!$M:$M,0))&amp;"",""))))),1,0))</f>
        <v/>
      </c>
      <c r="Q4886" s="6" t="str">
        <f>IF($K4886="","",IF(ISNUMBER(SEARCH("transfert-interne",IFERROR(INDEX('Paramètres'!$N:$N,MATCH($D4886,'Paramètres'!$M:$M,0))&amp;"",""))),0,IF($L4886="Débit",$K4886,IF($P4886=1,-$K4886,0))))</f>
        <v/>
      </c>
      <c r="R4886" s="6" t="str">
        <f>IF($K4886="","",IF($L4886="Crédit",$K4886,-$K4886))</f>
        <v/>
      </c>
      <c r="S4886" s="6" t="str">
        <f>IF($C4886="","",IFERROR(INDEX('Paramètres'!$H:$H,MATCH($C4886,'Paramètres'!$D:$D,0))&amp;"",""))</f>
        <v/>
      </c>
      <c r="T4886" s="6" t="str">
        <f>IF($K4886="","",IF($S4886="",0,IF(ISNUMBER(SEARCH("apport-exterieur",IFERROR(INDEX('Paramètres'!$N:$N,MATCH($D4886,'Paramètres'!$M:$M,0))&amp;"",""))),0,IF(OR(IFERROR(INDEX('Paramètres'!$I:$I,MATCH($C4886,'Paramètres'!$D:$D,0))&amp;"","")="Les deux",IFERROR(INDEX('Paramètres'!$I:$I,MATCH($C4886,'Paramètres'!$D:$D,0))&amp;"","")=IF($P4886=1,"Débit",$L4886)),-IF($P4886=1,-$K4886,$K4886),0))))</f>
        <v/>
      </c>
      <c r="U4886" s="6" t="str">
        <f>IF($K4886="","",IF(ISNUMBER(SEARCH("sortie-epargne",IFERROR(INDEX('Paramètres'!$N:$N,MATCH($D4886,'Paramètres'!$M:$M,0))&amp;"",""))),$K4886,0))</f>
        <v/>
      </c>
      <c r="V4886" s="6" t="str">
        <f>IF(AND($A4886&lt;&gt;"",$O4886=1,$L4886="Débit",N($Q4886)&gt;0,$A4886&gt;=Visualisation!$B$1,$A4886&lt;Visualisation!$D$1),MAX($V$1:V4885)+1,"")</f>
        <v/>
      </c>
    </row>
    <row r="4887" spans="1:22" x14ac:dyDescent="0.25">
      <c r="A4887" s="9"/>
      <c r="E4887" s="10"/>
      <c r="K4887" s="11" t="str">
        <f>IF($E4887="","",ROUND($E4887*IF(ISNA(MATCH($C4887,'Paramètres'!$D:$D,0)),1,IF(INDEX('Paramètres'!$J:$J,MATCH($C4887,'Paramètres'!$D:$D,0))="",1,INDEX('Paramètres'!$J:$J,MATCH($C4887,'Paramètres'!$D:$D,0)))),2))</f>
        <v/>
      </c>
      <c r="L4887" s="6" t="str">
        <f>IF($D4887="","",IF($F4887&lt;&gt;"",$F4887,IF(ISNA(MATCH($D4887,'Paramètres'!$M:$M,0)),"⚠ Type inconnu",IFERROR(INDEX('Paramètres'!$P:$P,MATCH($D4887,'Paramètres'!$M:$M,0))&amp;"",""))))</f>
        <v/>
      </c>
      <c r="M4887" s="6" t="str">
        <f>IF($D4887="","",IF(ISNA(MATCH($D4887,'Paramètres'!$M:$M,0)),"⚠ Type inconnu",IF($L4887="Crédit","",IFERROR(INDEX('Paramètres'!$O:$O,MATCH($D4887,'Paramètres'!$M:$M,0))&amp;"",""))))</f>
        <v/>
      </c>
      <c r="N4887" s="6" t="str">
        <f>IF($D4887="","",IFERROR(INDEX('Paramètres'!$Q:$Q,MATCH($D4887,'Paramètres'!$M:$M,0))&amp;"",""))</f>
        <v/>
      </c>
      <c r="O4887" s="6" t="str">
        <f>IF($A4887="","",IF(OR($J4887&lt;&gt;"x",$A4887&lt;=FinReleve),1,0))</f>
        <v/>
      </c>
      <c r="P4887" s="6" t="str">
        <f>IF($D4887="","",IF(AND($L4887="Crédit",OR(IFERROR(INDEX('Paramètres'!$O:$O,MATCH($D4887,'Paramètres'!$M:$M,0))&amp;"","")&lt;&gt;"",ISNUMBER(SEARCH("remboursement",IFERROR(INDEX('Paramètres'!$N:$N,MATCH($D4887,'Paramètres'!$M:$M,0))&amp;"",""))))),1,0))</f>
        <v/>
      </c>
      <c r="Q4887" s="6" t="str">
        <f>IF($K4887="","",IF(ISNUMBER(SEARCH("transfert-interne",IFERROR(INDEX('Paramètres'!$N:$N,MATCH($D4887,'Paramètres'!$M:$M,0))&amp;"",""))),0,IF($L4887="Débit",$K4887,IF($P4887=1,-$K4887,0))))</f>
        <v/>
      </c>
      <c r="R4887" s="6" t="str">
        <f>IF($K4887="","",IF($L4887="Crédit",$K4887,-$K4887))</f>
        <v/>
      </c>
      <c r="S4887" s="6" t="str">
        <f>IF($C4887="","",IFERROR(INDEX('Paramètres'!$H:$H,MATCH($C4887,'Paramètres'!$D:$D,0))&amp;"",""))</f>
        <v/>
      </c>
      <c r="T4887" s="6" t="str">
        <f>IF($K4887="","",IF($S4887="",0,IF(ISNUMBER(SEARCH("apport-exterieur",IFERROR(INDEX('Paramètres'!$N:$N,MATCH($D4887,'Paramètres'!$M:$M,0))&amp;"",""))),0,IF(OR(IFERROR(INDEX('Paramètres'!$I:$I,MATCH($C4887,'Paramètres'!$D:$D,0))&amp;"","")="Les deux",IFERROR(INDEX('Paramètres'!$I:$I,MATCH($C4887,'Paramètres'!$D:$D,0))&amp;"","")=IF($P4887=1,"Débit",$L4887)),-IF($P4887=1,-$K4887,$K4887),0))))</f>
        <v/>
      </c>
      <c r="U4887" s="6" t="str">
        <f>IF($K4887="","",IF(ISNUMBER(SEARCH("sortie-epargne",IFERROR(INDEX('Paramètres'!$N:$N,MATCH($D4887,'Paramètres'!$M:$M,0))&amp;"",""))),$K4887,0))</f>
        <v/>
      </c>
      <c r="V4887" s="6" t="str">
        <f>IF(AND($A4887&lt;&gt;"",$O4887=1,$L4887="Débit",N($Q4887)&gt;0,$A4887&gt;=Visualisation!$B$1,$A4887&lt;Visualisation!$D$1),MAX($V$1:V4886)+1,"")</f>
        <v/>
      </c>
    </row>
    <row r="4888" spans="1:22" x14ac:dyDescent="0.25">
      <c r="A4888" s="9"/>
      <c r="E4888" s="10"/>
      <c r="K4888" s="11" t="str">
        <f>IF($E4888="","",ROUND($E4888*IF(ISNA(MATCH($C4888,'Paramètres'!$D:$D,0)),1,IF(INDEX('Paramètres'!$J:$J,MATCH($C4888,'Paramètres'!$D:$D,0))="",1,INDEX('Paramètres'!$J:$J,MATCH($C4888,'Paramètres'!$D:$D,0)))),2))</f>
        <v/>
      </c>
      <c r="L4888" s="6" t="str">
        <f>IF($D4888="","",IF($F4888&lt;&gt;"",$F4888,IF(ISNA(MATCH($D4888,'Paramètres'!$M:$M,0)),"⚠ Type inconnu",IFERROR(INDEX('Paramètres'!$P:$P,MATCH($D4888,'Paramètres'!$M:$M,0))&amp;"",""))))</f>
        <v/>
      </c>
      <c r="M4888" s="6" t="str">
        <f>IF($D4888="","",IF(ISNA(MATCH($D4888,'Paramètres'!$M:$M,0)),"⚠ Type inconnu",IF($L4888="Crédit","",IFERROR(INDEX('Paramètres'!$O:$O,MATCH($D4888,'Paramètres'!$M:$M,0))&amp;"",""))))</f>
        <v/>
      </c>
      <c r="N4888" s="6" t="str">
        <f>IF($D4888="","",IFERROR(INDEX('Paramètres'!$Q:$Q,MATCH($D4888,'Paramètres'!$M:$M,0))&amp;"",""))</f>
        <v/>
      </c>
      <c r="O4888" s="6" t="str">
        <f>IF($A4888="","",IF(OR($J4888&lt;&gt;"x",$A4888&lt;=FinReleve),1,0))</f>
        <v/>
      </c>
      <c r="P4888" s="6" t="str">
        <f>IF($D4888="","",IF(AND($L4888="Crédit",OR(IFERROR(INDEX('Paramètres'!$O:$O,MATCH($D4888,'Paramètres'!$M:$M,0))&amp;"","")&lt;&gt;"",ISNUMBER(SEARCH("remboursement",IFERROR(INDEX('Paramètres'!$N:$N,MATCH($D4888,'Paramètres'!$M:$M,0))&amp;"",""))))),1,0))</f>
        <v/>
      </c>
      <c r="Q4888" s="6" t="str">
        <f>IF($K4888="","",IF(ISNUMBER(SEARCH("transfert-interne",IFERROR(INDEX('Paramètres'!$N:$N,MATCH($D4888,'Paramètres'!$M:$M,0))&amp;"",""))),0,IF($L4888="Débit",$K4888,IF($P4888=1,-$K4888,0))))</f>
        <v/>
      </c>
      <c r="R4888" s="6" t="str">
        <f>IF($K4888="","",IF($L4888="Crédit",$K4888,-$K4888))</f>
        <v/>
      </c>
      <c r="S4888" s="6" t="str">
        <f>IF($C4888="","",IFERROR(INDEX('Paramètres'!$H:$H,MATCH($C4888,'Paramètres'!$D:$D,0))&amp;"",""))</f>
        <v/>
      </c>
      <c r="T4888" s="6" t="str">
        <f>IF($K4888="","",IF($S4888="",0,IF(ISNUMBER(SEARCH("apport-exterieur",IFERROR(INDEX('Paramètres'!$N:$N,MATCH($D4888,'Paramètres'!$M:$M,0))&amp;"",""))),0,IF(OR(IFERROR(INDEX('Paramètres'!$I:$I,MATCH($C4888,'Paramètres'!$D:$D,0))&amp;"","")="Les deux",IFERROR(INDEX('Paramètres'!$I:$I,MATCH($C4888,'Paramètres'!$D:$D,0))&amp;"","")=IF($P4888=1,"Débit",$L4888)),-IF($P4888=1,-$K4888,$K4888),0))))</f>
        <v/>
      </c>
      <c r="U4888" s="6" t="str">
        <f>IF($K4888="","",IF(ISNUMBER(SEARCH("sortie-epargne",IFERROR(INDEX('Paramètres'!$N:$N,MATCH($D4888,'Paramètres'!$M:$M,0))&amp;"",""))),$K4888,0))</f>
        <v/>
      </c>
      <c r="V4888" s="6" t="str">
        <f>IF(AND($A4888&lt;&gt;"",$O4888=1,$L4888="Débit",N($Q4888)&gt;0,$A4888&gt;=Visualisation!$B$1,$A4888&lt;Visualisation!$D$1),MAX($V$1:V4887)+1,"")</f>
        <v/>
      </c>
    </row>
    <row r="4889" spans="1:22" x14ac:dyDescent="0.25">
      <c r="A4889" s="9"/>
      <c r="E4889" s="10"/>
      <c r="K4889" s="11" t="str">
        <f>IF($E4889="","",ROUND($E4889*IF(ISNA(MATCH($C4889,'Paramètres'!$D:$D,0)),1,IF(INDEX('Paramètres'!$J:$J,MATCH($C4889,'Paramètres'!$D:$D,0))="",1,INDEX('Paramètres'!$J:$J,MATCH($C4889,'Paramètres'!$D:$D,0)))),2))</f>
        <v/>
      </c>
      <c r="L4889" s="6" t="str">
        <f>IF($D4889="","",IF($F4889&lt;&gt;"",$F4889,IF(ISNA(MATCH($D4889,'Paramètres'!$M:$M,0)),"⚠ Type inconnu",IFERROR(INDEX('Paramètres'!$P:$P,MATCH($D4889,'Paramètres'!$M:$M,0))&amp;"",""))))</f>
        <v/>
      </c>
      <c r="M4889" s="6" t="str">
        <f>IF($D4889="","",IF(ISNA(MATCH($D4889,'Paramètres'!$M:$M,0)),"⚠ Type inconnu",IF($L4889="Crédit","",IFERROR(INDEX('Paramètres'!$O:$O,MATCH($D4889,'Paramètres'!$M:$M,0))&amp;"",""))))</f>
        <v/>
      </c>
      <c r="N4889" s="6" t="str">
        <f>IF($D4889="","",IFERROR(INDEX('Paramètres'!$Q:$Q,MATCH($D4889,'Paramètres'!$M:$M,0))&amp;"",""))</f>
        <v/>
      </c>
      <c r="O4889" s="6" t="str">
        <f>IF($A4889="","",IF(OR($J4889&lt;&gt;"x",$A4889&lt;=FinReleve),1,0))</f>
        <v/>
      </c>
      <c r="P4889" s="6" t="str">
        <f>IF($D4889="","",IF(AND($L4889="Crédit",OR(IFERROR(INDEX('Paramètres'!$O:$O,MATCH($D4889,'Paramètres'!$M:$M,0))&amp;"","")&lt;&gt;"",ISNUMBER(SEARCH("remboursement",IFERROR(INDEX('Paramètres'!$N:$N,MATCH($D4889,'Paramètres'!$M:$M,0))&amp;"",""))))),1,0))</f>
        <v/>
      </c>
      <c r="Q4889" s="6" t="str">
        <f>IF($K4889="","",IF(ISNUMBER(SEARCH("transfert-interne",IFERROR(INDEX('Paramètres'!$N:$N,MATCH($D4889,'Paramètres'!$M:$M,0))&amp;"",""))),0,IF($L4889="Débit",$K4889,IF($P4889=1,-$K4889,0))))</f>
        <v/>
      </c>
      <c r="R4889" s="6" t="str">
        <f>IF($K4889="","",IF($L4889="Crédit",$K4889,-$K4889))</f>
        <v/>
      </c>
      <c r="S4889" s="6" t="str">
        <f>IF($C4889="","",IFERROR(INDEX('Paramètres'!$H:$H,MATCH($C4889,'Paramètres'!$D:$D,0))&amp;"",""))</f>
        <v/>
      </c>
      <c r="T4889" s="6" t="str">
        <f>IF($K4889="","",IF($S4889="",0,IF(ISNUMBER(SEARCH("apport-exterieur",IFERROR(INDEX('Paramètres'!$N:$N,MATCH($D4889,'Paramètres'!$M:$M,0))&amp;"",""))),0,IF(OR(IFERROR(INDEX('Paramètres'!$I:$I,MATCH($C4889,'Paramètres'!$D:$D,0))&amp;"","")="Les deux",IFERROR(INDEX('Paramètres'!$I:$I,MATCH($C4889,'Paramètres'!$D:$D,0))&amp;"","")=IF($P4889=1,"Débit",$L4889)),-IF($P4889=1,-$K4889,$K4889),0))))</f>
        <v/>
      </c>
      <c r="U4889" s="6" t="str">
        <f>IF($K4889="","",IF(ISNUMBER(SEARCH("sortie-epargne",IFERROR(INDEX('Paramètres'!$N:$N,MATCH($D4889,'Paramètres'!$M:$M,0))&amp;"",""))),$K4889,0))</f>
        <v/>
      </c>
      <c r="V4889" s="6" t="str">
        <f>IF(AND($A4889&lt;&gt;"",$O4889=1,$L4889="Débit",N($Q4889)&gt;0,$A4889&gt;=Visualisation!$B$1,$A4889&lt;Visualisation!$D$1),MAX($V$1:V4888)+1,"")</f>
        <v/>
      </c>
    </row>
    <row r="4890" spans="1:22" x14ac:dyDescent="0.25">
      <c r="A4890" s="9"/>
      <c r="E4890" s="10"/>
      <c r="K4890" s="11" t="str">
        <f>IF($E4890="","",ROUND($E4890*IF(ISNA(MATCH($C4890,'Paramètres'!$D:$D,0)),1,IF(INDEX('Paramètres'!$J:$J,MATCH($C4890,'Paramètres'!$D:$D,0))="",1,INDEX('Paramètres'!$J:$J,MATCH($C4890,'Paramètres'!$D:$D,0)))),2))</f>
        <v/>
      </c>
      <c r="L4890" s="6" t="str">
        <f>IF($D4890="","",IF($F4890&lt;&gt;"",$F4890,IF(ISNA(MATCH($D4890,'Paramètres'!$M:$M,0)),"⚠ Type inconnu",IFERROR(INDEX('Paramètres'!$P:$P,MATCH($D4890,'Paramètres'!$M:$M,0))&amp;"",""))))</f>
        <v/>
      </c>
      <c r="M4890" s="6" t="str">
        <f>IF($D4890="","",IF(ISNA(MATCH($D4890,'Paramètres'!$M:$M,0)),"⚠ Type inconnu",IF($L4890="Crédit","",IFERROR(INDEX('Paramètres'!$O:$O,MATCH($D4890,'Paramètres'!$M:$M,0))&amp;"",""))))</f>
        <v/>
      </c>
      <c r="N4890" s="6" t="str">
        <f>IF($D4890="","",IFERROR(INDEX('Paramètres'!$Q:$Q,MATCH($D4890,'Paramètres'!$M:$M,0))&amp;"",""))</f>
        <v/>
      </c>
      <c r="O4890" s="6" t="str">
        <f>IF($A4890="","",IF(OR($J4890&lt;&gt;"x",$A4890&lt;=FinReleve),1,0))</f>
        <v/>
      </c>
      <c r="P4890" s="6" t="str">
        <f>IF($D4890="","",IF(AND($L4890="Crédit",OR(IFERROR(INDEX('Paramètres'!$O:$O,MATCH($D4890,'Paramètres'!$M:$M,0))&amp;"","")&lt;&gt;"",ISNUMBER(SEARCH("remboursement",IFERROR(INDEX('Paramètres'!$N:$N,MATCH($D4890,'Paramètres'!$M:$M,0))&amp;"",""))))),1,0))</f>
        <v/>
      </c>
      <c r="Q4890" s="6" t="str">
        <f>IF($K4890="","",IF(ISNUMBER(SEARCH("transfert-interne",IFERROR(INDEX('Paramètres'!$N:$N,MATCH($D4890,'Paramètres'!$M:$M,0))&amp;"",""))),0,IF($L4890="Débit",$K4890,IF($P4890=1,-$K4890,0))))</f>
        <v/>
      </c>
      <c r="R4890" s="6" t="str">
        <f>IF($K4890="","",IF($L4890="Crédit",$K4890,-$K4890))</f>
        <v/>
      </c>
      <c r="S4890" s="6" t="str">
        <f>IF($C4890="","",IFERROR(INDEX('Paramètres'!$H:$H,MATCH($C4890,'Paramètres'!$D:$D,0))&amp;"",""))</f>
        <v/>
      </c>
      <c r="T4890" s="6" t="str">
        <f>IF($K4890="","",IF($S4890="",0,IF(ISNUMBER(SEARCH("apport-exterieur",IFERROR(INDEX('Paramètres'!$N:$N,MATCH($D4890,'Paramètres'!$M:$M,0))&amp;"",""))),0,IF(OR(IFERROR(INDEX('Paramètres'!$I:$I,MATCH($C4890,'Paramètres'!$D:$D,0))&amp;"","")="Les deux",IFERROR(INDEX('Paramètres'!$I:$I,MATCH($C4890,'Paramètres'!$D:$D,0))&amp;"","")=IF($P4890=1,"Débit",$L4890)),-IF($P4890=1,-$K4890,$K4890),0))))</f>
        <v/>
      </c>
      <c r="U4890" s="6" t="str">
        <f>IF($K4890="","",IF(ISNUMBER(SEARCH("sortie-epargne",IFERROR(INDEX('Paramètres'!$N:$N,MATCH($D4890,'Paramètres'!$M:$M,0))&amp;"",""))),$K4890,0))</f>
        <v/>
      </c>
      <c r="V4890" s="6" t="str">
        <f>IF(AND($A4890&lt;&gt;"",$O4890=1,$L4890="Débit",N($Q4890)&gt;0,$A4890&gt;=Visualisation!$B$1,$A4890&lt;Visualisation!$D$1),MAX($V$1:V4889)+1,"")</f>
        <v/>
      </c>
    </row>
    <row r="4891" spans="1:22" x14ac:dyDescent="0.25">
      <c r="A4891" s="9"/>
      <c r="E4891" s="10"/>
      <c r="K4891" s="11" t="str">
        <f>IF($E4891="","",ROUND($E4891*IF(ISNA(MATCH($C4891,'Paramètres'!$D:$D,0)),1,IF(INDEX('Paramètres'!$J:$J,MATCH($C4891,'Paramètres'!$D:$D,0))="",1,INDEX('Paramètres'!$J:$J,MATCH($C4891,'Paramètres'!$D:$D,0)))),2))</f>
        <v/>
      </c>
      <c r="L4891" s="6" t="str">
        <f>IF($D4891="","",IF($F4891&lt;&gt;"",$F4891,IF(ISNA(MATCH($D4891,'Paramètres'!$M:$M,0)),"⚠ Type inconnu",IFERROR(INDEX('Paramètres'!$P:$P,MATCH($D4891,'Paramètres'!$M:$M,0))&amp;"",""))))</f>
        <v/>
      </c>
      <c r="M4891" s="6" t="str">
        <f>IF($D4891="","",IF(ISNA(MATCH($D4891,'Paramètres'!$M:$M,0)),"⚠ Type inconnu",IF($L4891="Crédit","",IFERROR(INDEX('Paramètres'!$O:$O,MATCH($D4891,'Paramètres'!$M:$M,0))&amp;"",""))))</f>
        <v/>
      </c>
      <c r="N4891" s="6" t="str">
        <f>IF($D4891="","",IFERROR(INDEX('Paramètres'!$Q:$Q,MATCH($D4891,'Paramètres'!$M:$M,0))&amp;"",""))</f>
        <v/>
      </c>
      <c r="O4891" s="6" t="str">
        <f>IF($A4891="","",IF(OR($J4891&lt;&gt;"x",$A4891&lt;=FinReleve),1,0))</f>
        <v/>
      </c>
      <c r="P4891" s="6" t="str">
        <f>IF($D4891="","",IF(AND($L4891="Crédit",OR(IFERROR(INDEX('Paramètres'!$O:$O,MATCH($D4891,'Paramètres'!$M:$M,0))&amp;"","")&lt;&gt;"",ISNUMBER(SEARCH("remboursement",IFERROR(INDEX('Paramètres'!$N:$N,MATCH($D4891,'Paramètres'!$M:$M,0))&amp;"",""))))),1,0))</f>
        <v/>
      </c>
      <c r="Q4891" s="6" t="str">
        <f>IF($K4891="","",IF(ISNUMBER(SEARCH("transfert-interne",IFERROR(INDEX('Paramètres'!$N:$N,MATCH($D4891,'Paramètres'!$M:$M,0))&amp;"",""))),0,IF($L4891="Débit",$K4891,IF($P4891=1,-$K4891,0))))</f>
        <v/>
      </c>
      <c r="R4891" s="6" t="str">
        <f>IF($K4891="","",IF($L4891="Crédit",$K4891,-$K4891))</f>
        <v/>
      </c>
      <c r="S4891" s="6" t="str">
        <f>IF($C4891="","",IFERROR(INDEX('Paramètres'!$H:$H,MATCH($C4891,'Paramètres'!$D:$D,0))&amp;"",""))</f>
        <v/>
      </c>
      <c r="T4891" s="6" t="str">
        <f>IF($K4891="","",IF($S4891="",0,IF(ISNUMBER(SEARCH("apport-exterieur",IFERROR(INDEX('Paramètres'!$N:$N,MATCH($D4891,'Paramètres'!$M:$M,0))&amp;"",""))),0,IF(OR(IFERROR(INDEX('Paramètres'!$I:$I,MATCH($C4891,'Paramètres'!$D:$D,0))&amp;"","")="Les deux",IFERROR(INDEX('Paramètres'!$I:$I,MATCH($C4891,'Paramètres'!$D:$D,0))&amp;"","")=IF($P4891=1,"Débit",$L4891)),-IF($P4891=1,-$K4891,$K4891),0))))</f>
        <v/>
      </c>
      <c r="U4891" s="6" t="str">
        <f>IF($K4891="","",IF(ISNUMBER(SEARCH("sortie-epargne",IFERROR(INDEX('Paramètres'!$N:$N,MATCH($D4891,'Paramètres'!$M:$M,0))&amp;"",""))),$K4891,0))</f>
        <v/>
      </c>
      <c r="V4891" s="6" t="str">
        <f>IF(AND($A4891&lt;&gt;"",$O4891=1,$L4891="Débit",N($Q4891)&gt;0,$A4891&gt;=Visualisation!$B$1,$A4891&lt;Visualisation!$D$1),MAX($V$1:V4890)+1,"")</f>
        <v/>
      </c>
    </row>
    <row r="4892" spans="1:22" x14ac:dyDescent="0.25">
      <c r="A4892" s="9"/>
      <c r="E4892" s="10"/>
      <c r="K4892" s="11" t="str">
        <f>IF($E4892="","",ROUND($E4892*IF(ISNA(MATCH($C4892,'Paramètres'!$D:$D,0)),1,IF(INDEX('Paramètres'!$J:$J,MATCH($C4892,'Paramètres'!$D:$D,0))="",1,INDEX('Paramètres'!$J:$J,MATCH($C4892,'Paramètres'!$D:$D,0)))),2))</f>
        <v/>
      </c>
      <c r="L4892" s="6" t="str">
        <f>IF($D4892="","",IF($F4892&lt;&gt;"",$F4892,IF(ISNA(MATCH($D4892,'Paramètres'!$M:$M,0)),"⚠ Type inconnu",IFERROR(INDEX('Paramètres'!$P:$P,MATCH($D4892,'Paramètres'!$M:$M,0))&amp;"",""))))</f>
        <v/>
      </c>
      <c r="M4892" s="6" t="str">
        <f>IF($D4892="","",IF(ISNA(MATCH($D4892,'Paramètres'!$M:$M,0)),"⚠ Type inconnu",IF($L4892="Crédit","",IFERROR(INDEX('Paramètres'!$O:$O,MATCH($D4892,'Paramètres'!$M:$M,0))&amp;"",""))))</f>
        <v/>
      </c>
      <c r="N4892" s="6" t="str">
        <f>IF($D4892="","",IFERROR(INDEX('Paramètres'!$Q:$Q,MATCH($D4892,'Paramètres'!$M:$M,0))&amp;"",""))</f>
        <v/>
      </c>
      <c r="O4892" s="6" t="str">
        <f>IF($A4892="","",IF(OR($J4892&lt;&gt;"x",$A4892&lt;=FinReleve),1,0))</f>
        <v/>
      </c>
      <c r="P4892" s="6" t="str">
        <f>IF($D4892="","",IF(AND($L4892="Crédit",OR(IFERROR(INDEX('Paramètres'!$O:$O,MATCH($D4892,'Paramètres'!$M:$M,0))&amp;"","")&lt;&gt;"",ISNUMBER(SEARCH("remboursement",IFERROR(INDEX('Paramètres'!$N:$N,MATCH($D4892,'Paramètres'!$M:$M,0))&amp;"",""))))),1,0))</f>
        <v/>
      </c>
      <c r="Q4892" s="6" t="str">
        <f>IF($K4892="","",IF(ISNUMBER(SEARCH("transfert-interne",IFERROR(INDEX('Paramètres'!$N:$N,MATCH($D4892,'Paramètres'!$M:$M,0))&amp;"",""))),0,IF($L4892="Débit",$K4892,IF($P4892=1,-$K4892,0))))</f>
        <v/>
      </c>
      <c r="R4892" s="6" t="str">
        <f>IF($K4892="","",IF($L4892="Crédit",$K4892,-$K4892))</f>
        <v/>
      </c>
      <c r="S4892" s="6" t="str">
        <f>IF($C4892="","",IFERROR(INDEX('Paramètres'!$H:$H,MATCH($C4892,'Paramètres'!$D:$D,0))&amp;"",""))</f>
        <v/>
      </c>
      <c r="T4892" s="6" t="str">
        <f>IF($K4892="","",IF($S4892="",0,IF(ISNUMBER(SEARCH("apport-exterieur",IFERROR(INDEX('Paramètres'!$N:$N,MATCH($D4892,'Paramètres'!$M:$M,0))&amp;"",""))),0,IF(OR(IFERROR(INDEX('Paramètres'!$I:$I,MATCH($C4892,'Paramètres'!$D:$D,0))&amp;"","")="Les deux",IFERROR(INDEX('Paramètres'!$I:$I,MATCH($C4892,'Paramètres'!$D:$D,0))&amp;"","")=IF($P4892=1,"Débit",$L4892)),-IF($P4892=1,-$K4892,$K4892),0))))</f>
        <v/>
      </c>
      <c r="U4892" s="6" t="str">
        <f>IF($K4892="","",IF(ISNUMBER(SEARCH("sortie-epargne",IFERROR(INDEX('Paramètres'!$N:$N,MATCH($D4892,'Paramètres'!$M:$M,0))&amp;"",""))),$K4892,0))</f>
        <v/>
      </c>
      <c r="V4892" s="6" t="str">
        <f>IF(AND($A4892&lt;&gt;"",$O4892=1,$L4892="Débit",N($Q4892)&gt;0,$A4892&gt;=Visualisation!$B$1,$A4892&lt;Visualisation!$D$1),MAX($V$1:V4891)+1,"")</f>
        <v/>
      </c>
    </row>
    <row r="4893" spans="1:22" x14ac:dyDescent="0.25">
      <c r="A4893" s="9"/>
      <c r="E4893" s="10"/>
      <c r="K4893" s="11" t="str">
        <f>IF($E4893="","",ROUND($E4893*IF(ISNA(MATCH($C4893,'Paramètres'!$D:$D,0)),1,IF(INDEX('Paramètres'!$J:$J,MATCH($C4893,'Paramètres'!$D:$D,0))="",1,INDEX('Paramètres'!$J:$J,MATCH($C4893,'Paramètres'!$D:$D,0)))),2))</f>
        <v/>
      </c>
      <c r="L4893" s="6" t="str">
        <f>IF($D4893="","",IF($F4893&lt;&gt;"",$F4893,IF(ISNA(MATCH($D4893,'Paramètres'!$M:$M,0)),"⚠ Type inconnu",IFERROR(INDEX('Paramètres'!$P:$P,MATCH($D4893,'Paramètres'!$M:$M,0))&amp;"",""))))</f>
        <v/>
      </c>
      <c r="M4893" s="6" t="str">
        <f>IF($D4893="","",IF(ISNA(MATCH($D4893,'Paramètres'!$M:$M,0)),"⚠ Type inconnu",IF($L4893="Crédit","",IFERROR(INDEX('Paramètres'!$O:$O,MATCH($D4893,'Paramètres'!$M:$M,0))&amp;"",""))))</f>
        <v/>
      </c>
      <c r="N4893" s="6" t="str">
        <f>IF($D4893="","",IFERROR(INDEX('Paramètres'!$Q:$Q,MATCH($D4893,'Paramètres'!$M:$M,0))&amp;"",""))</f>
        <v/>
      </c>
      <c r="O4893" s="6" t="str">
        <f>IF($A4893="","",IF(OR($J4893&lt;&gt;"x",$A4893&lt;=FinReleve),1,0))</f>
        <v/>
      </c>
      <c r="P4893" s="6" t="str">
        <f>IF($D4893="","",IF(AND($L4893="Crédit",OR(IFERROR(INDEX('Paramètres'!$O:$O,MATCH($D4893,'Paramètres'!$M:$M,0))&amp;"","")&lt;&gt;"",ISNUMBER(SEARCH("remboursement",IFERROR(INDEX('Paramètres'!$N:$N,MATCH($D4893,'Paramètres'!$M:$M,0))&amp;"",""))))),1,0))</f>
        <v/>
      </c>
      <c r="Q4893" s="6" t="str">
        <f>IF($K4893="","",IF(ISNUMBER(SEARCH("transfert-interne",IFERROR(INDEX('Paramètres'!$N:$N,MATCH($D4893,'Paramètres'!$M:$M,0))&amp;"",""))),0,IF($L4893="Débit",$K4893,IF($P4893=1,-$K4893,0))))</f>
        <v/>
      </c>
      <c r="R4893" s="6" t="str">
        <f>IF($K4893="","",IF($L4893="Crédit",$K4893,-$K4893))</f>
        <v/>
      </c>
      <c r="S4893" s="6" t="str">
        <f>IF($C4893="","",IFERROR(INDEX('Paramètres'!$H:$H,MATCH($C4893,'Paramètres'!$D:$D,0))&amp;"",""))</f>
        <v/>
      </c>
      <c r="T4893" s="6" t="str">
        <f>IF($K4893="","",IF($S4893="",0,IF(ISNUMBER(SEARCH("apport-exterieur",IFERROR(INDEX('Paramètres'!$N:$N,MATCH($D4893,'Paramètres'!$M:$M,0))&amp;"",""))),0,IF(OR(IFERROR(INDEX('Paramètres'!$I:$I,MATCH($C4893,'Paramètres'!$D:$D,0))&amp;"","")="Les deux",IFERROR(INDEX('Paramètres'!$I:$I,MATCH($C4893,'Paramètres'!$D:$D,0))&amp;"","")=IF($P4893=1,"Débit",$L4893)),-IF($P4893=1,-$K4893,$K4893),0))))</f>
        <v/>
      </c>
      <c r="U4893" s="6" t="str">
        <f>IF($K4893="","",IF(ISNUMBER(SEARCH("sortie-epargne",IFERROR(INDEX('Paramètres'!$N:$N,MATCH($D4893,'Paramètres'!$M:$M,0))&amp;"",""))),$K4893,0))</f>
        <v/>
      </c>
      <c r="V4893" s="6" t="str">
        <f>IF(AND($A4893&lt;&gt;"",$O4893=1,$L4893="Débit",N($Q4893)&gt;0,$A4893&gt;=Visualisation!$B$1,$A4893&lt;Visualisation!$D$1),MAX($V$1:V4892)+1,"")</f>
        <v/>
      </c>
    </row>
    <row r="4894" spans="1:22" x14ac:dyDescent="0.25">
      <c r="A4894" s="9"/>
      <c r="E4894" s="10"/>
      <c r="K4894" s="11" t="str">
        <f>IF($E4894="","",ROUND($E4894*IF(ISNA(MATCH($C4894,'Paramètres'!$D:$D,0)),1,IF(INDEX('Paramètres'!$J:$J,MATCH($C4894,'Paramètres'!$D:$D,0))="",1,INDEX('Paramètres'!$J:$J,MATCH($C4894,'Paramètres'!$D:$D,0)))),2))</f>
        <v/>
      </c>
      <c r="L4894" s="6" t="str">
        <f>IF($D4894="","",IF($F4894&lt;&gt;"",$F4894,IF(ISNA(MATCH($D4894,'Paramètres'!$M:$M,0)),"⚠ Type inconnu",IFERROR(INDEX('Paramètres'!$P:$P,MATCH($D4894,'Paramètres'!$M:$M,0))&amp;"",""))))</f>
        <v/>
      </c>
      <c r="M4894" s="6" t="str">
        <f>IF($D4894="","",IF(ISNA(MATCH($D4894,'Paramètres'!$M:$M,0)),"⚠ Type inconnu",IF($L4894="Crédit","",IFERROR(INDEX('Paramètres'!$O:$O,MATCH($D4894,'Paramètres'!$M:$M,0))&amp;"",""))))</f>
        <v/>
      </c>
      <c r="N4894" s="6" t="str">
        <f>IF($D4894="","",IFERROR(INDEX('Paramètres'!$Q:$Q,MATCH($D4894,'Paramètres'!$M:$M,0))&amp;"",""))</f>
        <v/>
      </c>
      <c r="O4894" s="6" t="str">
        <f>IF($A4894="","",IF(OR($J4894&lt;&gt;"x",$A4894&lt;=FinReleve),1,0))</f>
        <v/>
      </c>
      <c r="P4894" s="6" t="str">
        <f>IF($D4894="","",IF(AND($L4894="Crédit",OR(IFERROR(INDEX('Paramètres'!$O:$O,MATCH($D4894,'Paramètres'!$M:$M,0))&amp;"","")&lt;&gt;"",ISNUMBER(SEARCH("remboursement",IFERROR(INDEX('Paramètres'!$N:$N,MATCH($D4894,'Paramètres'!$M:$M,0))&amp;"",""))))),1,0))</f>
        <v/>
      </c>
      <c r="Q4894" s="6" t="str">
        <f>IF($K4894="","",IF(ISNUMBER(SEARCH("transfert-interne",IFERROR(INDEX('Paramètres'!$N:$N,MATCH($D4894,'Paramètres'!$M:$M,0))&amp;"",""))),0,IF($L4894="Débit",$K4894,IF($P4894=1,-$K4894,0))))</f>
        <v/>
      </c>
      <c r="R4894" s="6" t="str">
        <f>IF($K4894="","",IF($L4894="Crédit",$K4894,-$K4894))</f>
        <v/>
      </c>
      <c r="S4894" s="6" t="str">
        <f>IF($C4894="","",IFERROR(INDEX('Paramètres'!$H:$H,MATCH($C4894,'Paramètres'!$D:$D,0))&amp;"",""))</f>
        <v/>
      </c>
      <c r="T4894" s="6" t="str">
        <f>IF($K4894="","",IF($S4894="",0,IF(ISNUMBER(SEARCH("apport-exterieur",IFERROR(INDEX('Paramètres'!$N:$N,MATCH($D4894,'Paramètres'!$M:$M,0))&amp;"",""))),0,IF(OR(IFERROR(INDEX('Paramètres'!$I:$I,MATCH($C4894,'Paramètres'!$D:$D,0))&amp;"","")="Les deux",IFERROR(INDEX('Paramètres'!$I:$I,MATCH($C4894,'Paramètres'!$D:$D,0))&amp;"","")=IF($P4894=1,"Débit",$L4894)),-IF($P4894=1,-$K4894,$K4894),0))))</f>
        <v/>
      </c>
      <c r="U4894" s="6" t="str">
        <f>IF($K4894="","",IF(ISNUMBER(SEARCH("sortie-epargne",IFERROR(INDEX('Paramètres'!$N:$N,MATCH($D4894,'Paramètres'!$M:$M,0))&amp;"",""))),$K4894,0))</f>
        <v/>
      </c>
      <c r="V4894" s="6" t="str">
        <f>IF(AND($A4894&lt;&gt;"",$O4894=1,$L4894="Débit",N($Q4894)&gt;0,$A4894&gt;=Visualisation!$B$1,$A4894&lt;Visualisation!$D$1),MAX($V$1:V4893)+1,"")</f>
        <v/>
      </c>
    </row>
    <row r="4895" spans="1:22" x14ac:dyDescent="0.25">
      <c r="A4895" s="9"/>
      <c r="E4895" s="10"/>
      <c r="K4895" s="11" t="str">
        <f>IF($E4895="","",ROUND($E4895*IF(ISNA(MATCH($C4895,'Paramètres'!$D:$D,0)),1,IF(INDEX('Paramètres'!$J:$J,MATCH($C4895,'Paramètres'!$D:$D,0))="",1,INDEX('Paramètres'!$J:$J,MATCH($C4895,'Paramètres'!$D:$D,0)))),2))</f>
        <v/>
      </c>
      <c r="L4895" s="6" t="str">
        <f>IF($D4895="","",IF($F4895&lt;&gt;"",$F4895,IF(ISNA(MATCH($D4895,'Paramètres'!$M:$M,0)),"⚠ Type inconnu",IFERROR(INDEX('Paramètres'!$P:$P,MATCH($D4895,'Paramètres'!$M:$M,0))&amp;"",""))))</f>
        <v/>
      </c>
      <c r="M4895" s="6" t="str">
        <f>IF($D4895="","",IF(ISNA(MATCH($D4895,'Paramètres'!$M:$M,0)),"⚠ Type inconnu",IF($L4895="Crédit","",IFERROR(INDEX('Paramètres'!$O:$O,MATCH($D4895,'Paramètres'!$M:$M,0))&amp;"",""))))</f>
        <v/>
      </c>
      <c r="N4895" s="6" t="str">
        <f>IF($D4895="","",IFERROR(INDEX('Paramètres'!$Q:$Q,MATCH($D4895,'Paramètres'!$M:$M,0))&amp;"",""))</f>
        <v/>
      </c>
      <c r="O4895" s="6" t="str">
        <f>IF($A4895="","",IF(OR($J4895&lt;&gt;"x",$A4895&lt;=FinReleve),1,0))</f>
        <v/>
      </c>
      <c r="P4895" s="6" t="str">
        <f>IF($D4895="","",IF(AND($L4895="Crédit",OR(IFERROR(INDEX('Paramètres'!$O:$O,MATCH($D4895,'Paramètres'!$M:$M,0))&amp;"","")&lt;&gt;"",ISNUMBER(SEARCH("remboursement",IFERROR(INDEX('Paramètres'!$N:$N,MATCH($D4895,'Paramètres'!$M:$M,0))&amp;"",""))))),1,0))</f>
        <v/>
      </c>
      <c r="Q4895" s="6" t="str">
        <f>IF($K4895="","",IF(ISNUMBER(SEARCH("transfert-interne",IFERROR(INDEX('Paramètres'!$N:$N,MATCH($D4895,'Paramètres'!$M:$M,0))&amp;"",""))),0,IF($L4895="Débit",$K4895,IF($P4895=1,-$K4895,0))))</f>
        <v/>
      </c>
      <c r="R4895" s="6" t="str">
        <f>IF($K4895="","",IF($L4895="Crédit",$K4895,-$K4895))</f>
        <v/>
      </c>
      <c r="S4895" s="6" t="str">
        <f>IF($C4895="","",IFERROR(INDEX('Paramètres'!$H:$H,MATCH($C4895,'Paramètres'!$D:$D,0))&amp;"",""))</f>
        <v/>
      </c>
      <c r="T4895" s="6" t="str">
        <f>IF($K4895="","",IF($S4895="",0,IF(ISNUMBER(SEARCH("apport-exterieur",IFERROR(INDEX('Paramètres'!$N:$N,MATCH($D4895,'Paramètres'!$M:$M,0))&amp;"",""))),0,IF(OR(IFERROR(INDEX('Paramètres'!$I:$I,MATCH($C4895,'Paramètres'!$D:$D,0))&amp;"","")="Les deux",IFERROR(INDEX('Paramètres'!$I:$I,MATCH($C4895,'Paramètres'!$D:$D,0))&amp;"","")=IF($P4895=1,"Débit",$L4895)),-IF($P4895=1,-$K4895,$K4895),0))))</f>
        <v/>
      </c>
      <c r="U4895" s="6" t="str">
        <f>IF($K4895="","",IF(ISNUMBER(SEARCH("sortie-epargne",IFERROR(INDEX('Paramètres'!$N:$N,MATCH($D4895,'Paramètres'!$M:$M,0))&amp;"",""))),$K4895,0))</f>
        <v/>
      </c>
      <c r="V4895" s="6" t="str">
        <f>IF(AND($A4895&lt;&gt;"",$O4895=1,$L4895="Débit",N($Q4895)&gt;0,$A4895&gt;=Visualisation!$B$1,$A4895&lt;Visualisation!$D$1),MAX($V$1:V4894)+1,"")</f>
        <v/>
      </c>
    </row>
    <row r="4896" spans="1:22" x14ac:dyDescent="0.25">
      <c r="A4896" s="9"/>
      <c r="E4896" s="10"/>
      <c r="K4896" s="11" t="str">
        <f>IF($E4896="","",ROUND($E4896*IF(ISNA(MATCH($C4896,'Paramètres'!$D:$D,0)),1,IF(INDEX('Paramètres'!$J:$J,MATCH($C4896,'Paramètres'!$D:$D,0))="",1,INDEX('Paramètres'!$J:$J,MATCH($C4896,'Paramètres'!$D:$D,0)))),2))</f>
        <v/>
      </c>
      <c r="L4896" s="6" t="str">
        <f>IF($D4896="","",IF($F4896&lt;&gt;"",$F4896,IF(ISNA(MATCH($D4896,'Paramètres'!$M:$M,0)),"⚠ Type inconnu",IFERROR(INDEX('Paramètres'!$P:$P,MATCH($D4896,'Paramètres'!$M:$M,0))&amp;"",""))))</f>
        <v/>
      </c>
      <c r="M4896" s="6" t="str">
        <f>IF($D4896="","",IF(ISNA(MATCH($D4896,'Paramètres'!$M:$M,0)),"⚠ Type inconnu",IF($L4896="Crédit","",IFERROR(INDEX('Paramètres'!$O:$O,MATCH($D4896,'Paramètres'!$M:$M,0))&amp;"",""))))</f>
        <v/>
      </c>
      <c r="N4896" s="6" t="str">
        <f>IF($D4896="","",IFERROR(INDEX('Paramètres'!$Q:$Q,MATCH($D4896,'Paramètres'!$M:$M,0))&amp;"",""))</f>
        <v/>
      </c>
      <c r="O4896" s="6" t="str">
        <f>IF($A4896="","",IF(OR($J4896&lt;&gt;"x",$A4896&lt;=FinReleve),1,0))</f>
        <v/>
      </c>
      <c r="P4896" s="6" t="str">
        <f>IF($D4896="","",IF(AND($L4896="Crédit",OR(IFERROR(INDEX('Paramètres'!$O:$O,MATCH($D4896,'Paramètres'!$M:$M,0))&amp;"","")&lt;&gt;"",ISNUMBER(SEARCH("remboursement",IFERROR(INDEX('Paramètres'!$N:$N,MATCH($D4896,'Paramètres'!$M:$M,0))&amp;"",""))))),1,0))</f>
        <v/>
      </c>
      <c r="Q4896" s="6" t="str">
        <f>IF($K4896="","",IF(ISNUMBER(SEARCH("transfert-interne",IFERROR(INDEX('Paramètres'!$N:$N,MATCH($D4896,'Paramètres'!$M:$M,0))&amp;"",""))),0,IF($L4896="Débit",$K4896,IF($P4896=1,-$K4896,0))))</f>
        <v/>
      </c>
      <c r="R4896" s="6" t="str">
        <f>IF($K4896="","",IF($L4896="Crédit",$K4896,-$K4896))</f>
        <v/>
      </c>
      <c r="S4896" s="6" t="str">
        <f>IF($C4896="","",IFERROR(INDEX('Paramètres'!$H:$H,MATCH($C4896,'Paramètres'!$D:$D,0))&amp;"",""))</f>
        <v/>
      </c>
      <c r="T4896" s="6" t="str">
        <f>IF($K4896="","",IF($S4896="",0,IF(ISNUMBER(SEARCH("apport-exterieur",IFERROR(INDEX('Paramètres'!$N:$N,MATCH($D4896,'Paramètres'!$M:$M,0))&amp;"",""))),0,IF(OR(IFERROR(INDEX('Paramètres'!$I:$I,MATCH($C4896,'Paramètres'!$D:$D,0))&amp;"","")="Les deux",IFERROR(INDEX('Paramètres'!$I:$I,MATCH($C4896,'Paramètres'!$D:$D,0))&amp;"","")=IF($P4896=1,"Débit",$L4896)),-IF($P4896=1,-$K4896,$K4896),0))))</f>
        <v/>
      </c>
      <c r="U4896" s="6" t="str">
        <f>IF($K4896="","",IF(ISNUMBER(SEARCH("sortie-epargne",IFERROR(INDEX('Paramètres'!$N:$N,MATCH($D4896,'Paramètres'!$M:$M,0))&amp;"",""))),$K4896,0))</f>
        <v/>
      </c>
      <c r="V4896" s="6" t="str">
        <f>IF(AND($A4896&lt;&gt;"",$O4896=1,$L4896="Débit",N($Q4896)&gt;0,$A4896&gt;=Visualisation!$B$1,$A4896&lt;Visualisation!$D$1),MAX($V$1:V4895)+1,"")</f>
        <v/>
      </c>
    </row>
    <row r="4897" spans="1:22" x14ac:dyDescent="0.25">
      <c r="A4897" s="9"/>
      <c r="E4897" s="10"/>
      <c r="K4897" s="11" t="str">
        <f>IF($E4897="","",ROUND($E4897*IF(ISNA(MATCH($C4897,'Paramètres'!$D:$D,0)),1,IF(INDEX('Paramètres'!$J:$J,MATCH($C4897,'Paramètres'!$D:$D,0))="",1,INDEX('Paramètres'!$J:$J,MATCH($C4897,'Paramètres'!$D:$D,0)))),2))</f>
        <v/>
      </c>
      <c r="L4897" s="6" t="str">
        <f>IF($D4897="","",IF($F4897&lt;&gt;"",$F4897,IF(ISNA(MATCH($D4897,'Paramètres'!$M:$M,0)),"⚠ Type inconnu",IFERROR(INDEX('Paramètres'!$P:$P,MATCH($D4897,'Paramètres'!$M:$M,0))&amp;"",""))))</f>
        <v/>
      </c>
      <c r="M4897" s="6" t="str">
        <f>IF($D4897="","",IF(ISNA(MATCH($D4897,'Paramètres'!$M:$M,0)),"⚠ Type inconnu",IF($L4897="Crédit","",IFERROR(INDEX('Paramètres'!$O:$O,MATCH($D4897,'Paramètres'!$M:$M,0))&amp;"",""))))</f>
        <v/>
      </c>
      <c r="N4897" s="6" t="str">
        <f>IF($D4897="","",IFERROR(INDEX('Paramètres'!$Q:$Q,MATCH($D4897,'Paramètres'!$M:$M,0))&amp;"",""))</f>
        <v/>
      </c>
      <c r="O4897" s="6" t="str">
        <f>IF($A4897="","",IF(OR($J4897&lt;&gt;"x",$A4897&lt;=FinReleve),1,0))</f>
        <v/>
      </c>
      <c r="P4897" s="6" t="str">
        <f>IF($D4897="","",IF(AND($L4897="Crédit",OR(IFERROR(INDEX('Paramètres'!$O:$O,MATCH($D4897,'Paramètres'!$M:$M,0))&amp;"","")&lt;&gt;"",ISNUMBER(SEARCH("remboursement",IFERROR(INDEX('Paramètres'!$N:$N,MATCH($D4897,'Paramètres'!$M:$M,0))&amp;"",""))))),1,0))</f>
        <v/>
      </c>
      <c r="Q4897" s="6" t="str">
        <f>IF($K4897="","",IF(ISNUMBER(SEARCH("transfert-interne",IFERROR(INDEX('Paramètres'!$N:$N,MATCH($D4897,'Paramètres'!$M:$M,0))&amp;"",""))),0,IF($L4897="Débit",$K4897,IF($P4897=1,-$K4897,0))))</f>
        <v/>
      </c>
      <c r="R4897" s="6" t="str">
        <f>IF($K4897="","",IF($L4897="Crédit",$K4897,-$K4897))</f>
        <v/>
      </c>
      <c r="S4897" s="6" t="str">
        <f>IF($C4897="","",IFERROR(INDEX('Paramètres'!$H:$H,MATCH($C4897,'Paramètres'!$D:$D,0))&amp;"",""))</f>
        <v/>
      </c>
      <c r="T4897" s="6" t="str">
        <f>IF($K4897="","",IF($S4897="",0,IF(ISNUMBER(SEARCH("apport-exterieur",IFERROR(INDEX('Paramètres'!$N:$N,MATCH($D4897,'Paramètres'!$M:$M,0))&amp;"",""))),0,IF(OR(IFERROR(INDEX('Paramètres'!$I:$I,MATCH($C4897,'Paramètres'!$D:$D,0))&amp;"","")="Les deux",IFERROR(INDEX('Paramètres'!$I:$I,MATCH($C4897,'Paramètres'!$D:$D,0))&amp;"","")=IF($P4897=1,"Débit",$L4897)),-IF($P4897=1,-$K4897,$K4897),0))))</f>
        <v/>
      </c>
      <c r="U4897" s="6" t="str">
        <f>IF($K4897="","",IF(ISNUMBER(SEARCH("sortie-epargne",IFERROR(INDEX('Paramètres'!$N:$N,MATCH($D4897,'Paramètres'!$M:$M,0))&amp;"",""))),$K4897,0))</f>
        <v/>
      </c>
      <c r="V4897" s="6" t="str">
        <f>IF(AND($A4897&lt;&gt;"",$O4897=1,$L4897="Débit",N($Q4897)&gt;0,$A4897&gt;=Visualisation!$B$1,$A4897&lt;Visualisation!$D$1),MAX($V$1:V4896)+1,"")</f>
        <v/>
      </c>
    </row>
    <row r="4898" spans="1:22" x14ac:dyDescent="0.25">
      <c r="A4898" s="9"/>
      <c r="E4898" s="10"/>
      <c r="K4898" s="11" t="str">
        <f>IF($E4898="","",ROUND($E4898*IF(ISNA(MATCH($C4898,'Paramètres'!$D:$D,0)),1,IF(INDEX('Paramètres'!$J:$J,MATCH($C4898,'Paramètres'!$D:$D,0))="",1,INDEX('Paramètres'!$J:$J,MATCH($C4898,'Paramètres'!$D:$D,0)))),2))</f>
        <v/>
      </c>
      <c r="L4898" s="6" t="str">
        <f>IF($D4898="","",IF($F4898&lt;&gt;"",$F4898,IF(ISNA(MATCH($D4898,'Paramètres'!$M:$M,0)),"⚠ Type inconnu",IFERROR(INDEX('Paramètres'!$P:$P,MATCH($D4898,'Paramètres'!$M:$M,0))&amp;"",""))))</f>
        <v/>
      </c>
      <c r="M4898" s="6" t="str">
        <f>IF($D4898="","",IF(ISNA(MATCH($D4898,'Paramètres'!$M:$M,0)),"⚠ Type inconnu",IF($L4898="Crédit","",IFERROR(INDEX('Paramètres'!$O:$O,MATCH($D4898,'Paramètres'!$M:$M,0))&amp;"",""))))</f>
        <v/>
      </c>
      <c r="N4898" s="6" t="str">
        <f>IF($D4898="","",IFERROR(INDEX('Paramètres'!$Q:$Q,MATCH($D4898,'Paramètres'!$M:$M,0))&amp;"",""))</f>
        <v/>
      </c>
      <c r="O4898" s="6" t="str">
        <f>IF($A4898="","",IF(OR($J4898&lt;&gt;"x",$A4898&lt;=FinReleve),1,0))</f>
        <v/>
      </c>
      <c r="P4898" s="6" t="str">
        <f>IF($D4898="","",IF(AND($L4898="Crédit",OR(IFERROR(INDEX('Paramètres'!$O:$O,MATCH($D4898,'Paramètres'!$M:$M,0))&amp;"","")&lt;&gt;"",ISNUMBER(SEARCH("remboursement",IFERROR(INDEX('Paramètres'!$N:$N,MATCH($D4898,'Paramètres'!$M:$M,0))&amp;"",""))))),1,0))</f>
        <v/>
      </c>
      <c r="Q4898" s="6" t="str">
        <f>IF($K4898="","",IF(ISNUMBER(SEARCH("transfert-interne",IFERROR(INDEX('Paramètres'!$N:$N,MATCH($D4898,'Paramètres'!$M:$M,0))&amp;"",""))),0,IF($L4898="Débit",$K4898,IF($P4898=1,-$K4898,0))))</f>
        <v/>
      </c>
      <c r="R4898" s="6" t="str">
        <f>IF($K4898="","",IF($L4898="Crédit",$K4898,-$K4898))</f>
        <v/>
      </c>
      <c r="S4898" s="6" t="str">
        <f>IF($C4898="","",IFERROR(INDEX('Paramètres'!$H:$H,MATCH($C4898,'Paramètres'!$D:$D,0))&amp;"",""))</f>
        <v/>
      </c>
      <c r="T4898" s="6" t="str">
        <f>IF($K4898="","",IF($S4898="",0,IF(ISNUMBER(SEARCH("apport-exterieur",IFERROR(INDEX('Paramètres'!$N:$N,MATCH($D4898,'Paramètres'!$M:$M,0))&amp;"",""))),0,IF(OR(IFERROR(INDEX('Paramètres'!$I:$I,MATCH($C4898,'Paramètres'!$D:$D,0))&amp;"","")="Les deux",IFERROR(INDEX('Paramètres'!$I:$I,MATCH($C4898,'Paramètres'!$D:$D,0))&amp;"","")=IF($P4898=1,"Débit",$L4898)),-IF($P4898=1,-$K4898,$K4898),0))))</f>
        <v/>
      </c>
      <c r="U4898" s="6" t="str">
        <f>IF($K4898="","",IF(ISNUMBER(SEARCH("sortie-epargne",IFERROR(INDEX('Paramètres'!$N:$N,MATCH($D4898,'Paramètres'!$M:$M,0))&amp;"",""))),$K4898,0))</f>
        <v/>
      </c>
      <c r="V4898" s="6" t="str">
        <f>IF(AND($A4898&lt;&gt;"",$O4898=1,$L4898="Débit",N($Q4898)&gt;0,$A4898&gt;=Visualisation!$B$1,$A4898&lt;Visualisation!$D$1),MAX($V$1:V4897)+1,"")</f>
        <v/>
      </c>
    </row>
    <row r="4899" spans="1:22" x14ac:dyDescent="0.25">
      <c r="A4899" s="9"/>
      <c r="E4899" s="10"/>
      <c r="K4899" s="11" t="str">
        <f>IF($E4899="","",ROUND($E4899*IF(ISNA(MATCH($C4899,'Paramètres'!$D:$D,0)),1,IF(INDEX('Paramètres'!$J:$J,MATCH($C4899,'Paramètres'!$D:$D,0))="",1,INDEX('Paramètres'!$J:$J,MATCH($C4899,'Paramètres'!$D:$D,0)))),2))</f>
        <v/>
      </c>
      <c r="L4899" s="6" t="str">
        <f>IF($D4899="","",IF($F4899&lt;&gt;"",$F4899,IF(ISNA(MATCH($D4899,'Paramètres'!$M:$M,0)),"⚠ Type inconnu",IFERROR(INDEX('Paramètres'!$P:$P,MATCH($D4899,'Paramètres'!$M:$M,0))&amp;"",""))))</f>
        <v/>
      </c>
      <c r="M4899" s="6" t="str">
        <f>IF($D4899="","",IF(ISNA(MATCH($D4899,'Paramètres'!$M:$M,0)),"⚠ Type inconnu",IF($L4899="Crédit","",IFERROR(INDEX('Paramètres'!$O:$O,MATCH($D4899,'Paramètres'!$M:$M,0))&amp;"",""))))</f>
        <v/>
      </c>
      <c r="N4899" s="6" t="str">
        <f>IF($D4899="","",IFERROR(INDEX('Paramètres'!$Q:$Q,MATCH($D4899,'Paramètres'!$M:$M,0))&amp;"",""))</f>
        <v/>
      </c>
      <c r="O4899" s="6" t="str">
        <f>IF($A4899="","",IF(OR($J4899&lt;&gt;"x",$A4899&lt;=FinReleve),1,0))</f>
        <v/>
      </c>
      <c r="P4899" s="6" t="str">
        <f>IF($D4899="","",IF(AND($L4899="Crédit",OR(IFERROR(INDEX('Paramètres'!$O:$O,MATCH($D4899,'Paramètres'!$M:$M,0))&amp;"","")&lt;&gt;"",ISNUMBER(SEARCH("remboursement",IFERROR(INDEX('Paramètres'!$N:$N,MATCH($D4899,'Paramètres'!$M:$M,0))&amp;"",""))))),1,0))</f>
        <v/>
      </c>
      <c r="Q4899" s="6" t="str">
        <f>IF($K4899="","",IF(ISNUMBER(SEARCH("transfert-interne",IFERROR(INDEX('Paramètres'!$N:$N,MATCH($D4899,'Paramètres'!$M:$M,0))&amp;"",""))),0,IF($L4899="Débit",$K4899,IF($P4899=1,-$K4899,0))))</f>
        <v/>
      </c>
      <c r="R4899" s="6" t="str">
        <f>IF($K4899="","",IF($L4899="Crédit",$K4899,-$K4899))</f>
        <v/>
      </c>
      <c r="S4899" s="6" t="str">
        <f>IF($C4899="","",IFERROR(INDEX('Paramètres'!$H:$H,MATCH($C4899,'Paramètres'!$D:$D,0))&amp;"",""))</f>
        <v/>
      </c>
      <c r="T4899" s="6" t="str">
        <f>IF($K4899="","",IF($S4899="",0,IF(ISNUMBER(SEARCH("apport-exterieur",IFERROR(INDEX('Paramètres'!$N:$N,MATCH($D4899,'Paramètres'!$M:$M,0))&amp;"",""))),0,IF(OR(IFERROR(INDEX('Paramètres'!$I:$I,MATCH($C4899,'Paramètres'!$D:$D,0))&amp;"","")="Les deux",IFERROR(INDEX('Paramètres'!$I:$I,MATCH($C4899,'Paramètres'!$D:$D,0))&amp;"","")=IF($P4899=1,"Débit",$L4899)),-IF($P4899=1,-$K4899,$K4899),0))))</f>
        <v/>
      </c>
      <c r="U4899" s="6" t="str">
        <f>IF($K4899="","",IF(ISNUMBER(SEARCH("sortie-epargne",IFERROR(INDEX('Paramètres'!$N:$N,MATCH($D4899,'Paramètres'!$M:$M,0))&amp;"",""))),$K4899,0))</f>
        <v/>
      </c>
      <c r="V4899" s="6" t="str">
        <f>IF(AND($A4899&lt;&gt;"",$O4899=1,$L4899="Débit",N($Q4899)&gt;0,$A4899&gt;=Visualisation!$B$1,$A4899&lt;Visualisation!$D$1),MAX($V$1:V4898)+1,"")</f>
        <v/>
      </c>
    </row>
    <row r="4900" spans="1:22" x14ac:dyDescent="0.25">
      <c r="A4900" s="9"/>
      <c r="E4900" s="10"/>
      <c r="K4900" s="11" t="str">
        <f>IF($E4900="","",ROUND($E4900*IF(ISNA(MATCH($C4900,'Paramètres'!$D:$D,0)),1,IF(INDEX('Paramètres'!$J:$J,MATCH($C4900,'Paramètres'!$D:$D,0))="",1,INDEX('Paramètres'!$J:$J,MATCH($C4900,'Paramètres'!$D:$D,0)))),2))</f>
        <v/>
      </c>
      <c r="L4900" s="6" t="str">
        <f>IF($D4900="","",IF($F4900&lt;&gt;"",$F4900,IF(ISNA(MATCH($D4900,'Paramètres'!$M:$M,0)),"⚠ Type inconnu",IFERROR(INDEX('Paramètres'!$P:$P,MATCH($D4900,'Paramètres'!$M:$M,0))&amp;"",""))))</f>
        <v/>
      </c>
      <c r="M4900" s="6" t="str">
        <f>IF($D4900="","",IF(ISNA(MATCH($D4900,'Paramètres'!$M:$M,0)),"⚠ Type inconnu",IF($L4900="Crédit","",IFERROR(INDEX('Paramètres'!$O:$O,MATCH($D4900,'Paramètres'!$M:$M,0))&amp;"",""))))</f>
        <v/>
      </c>
      <c r="N4900" s="6" t="str">
        <f>IF($D4900="","",IFERROR(INDEX('Paramètres'!$Q:$Q,MATCH($D4900,'Paramètres'!$M:$M,0))&amp;"",""))</f>
        <v/>
      </c>
      <c r="O4900" s="6" t="str">
        <f>IF($A4900="","",IF(OR($J4900&lt;&gt;"x",$A4900&lt;=FinReleve),1,0))</f>
        <v/>
      </c>
      <c r="P4900" s="6" t="str">
        <f>IF($D4900="","",IF(AND($L4900="Crédit",OR(IFERROR(INDEX('Paramètres'!$O:$O,MATCH($D4900,'Paramètres'!$M:$M,0))&amp;"","")&lt;&gt;"",ISNUMBER(SEARCH("remboursement",IFERROR(INDEX('Paramètres'!$N:$N,MATCH($D4900,'Paramètres'!$M:$M,0))&amp;"",""))))),1,0))</f>
        <v/>
      </c>
      <c r="Q4900" s="6" t="str">
        <f>IF($K4900="","",IF(ISNUMBER(SEARCH("transfert-interne",IFERROR(INDEX('Paramètres'!$N:$N,MATCH($D4900,'Paramètres'!$M:$M,0))&amp;"",""))),0,IF($L4900="Débit",$K4900,IF($P4900=1,-$K4900,0))))</f>
        <v/>
      </c>
      <c r="R4900" s="6" t="str">
        <f>IF($K4900="","",IF($L4900="Crédit",$K4900,-$K4900))</f>
        <v/>
      </c>
      <c r="S4900" s="6" t="str">
        <f>IF($C4900="","",IFERROR(INDEX('Paramètres'!$H:$H,MATCH($C4900,'Paramètres'!$D:$D,0))&amp;"",""))</f>
        <v/>
      </c>
      <c r="T4900" s="6" t="str">
        <f>IF($K4900="","",IF($S4900="",0,IF(ISNUMBER(SEARCH("apport-exterieur",IFERROR(INDEX('Paramètres'!$N:$N,MATCH($D4900,'Paramètres'!$M:$M,0))&amp;"",""))),0,IF(OR(IFERROR(INDEX('Paramètres'!$I:$I,MATCH($C4900,'Paramètres'!$D:$D,0))&amp;"","")="Les deux",IFERROR(INDEX('Paramètres'!$I:$I,MATCH($C4900,'Paramètres'!$D:$D,0))&amp;"","")=IF($P4900=1,"Débit",$L4900)),-IF($P4900=1,-$K4900,$K4900),0))))</f>
        <v/>
      </c>
      <c r="U4900" s="6" t="str">
        <f>IF($K4900="","",IF(ISNUMBER(SEARCH("sortie-epargne",IFERROR(INDEX('Paramètres'!$N:$N,MATCH($D4900,'Paramètres'!$M:$M,0))&amp;"",""))),$K4900,0))</f>
        <v/>
      </c>
      <c r="V4900" s="6" t="str">
        <f>IF(AND($A4900&lt;&gt;"",$O4900=1,$L4900="Débit",N($Q4900)&gt;0,$A4900&gt;=Visualisation!$B$1,$A4900&lt;Visualisation!$D$1),MAX($V$1:V4899)+1,"")</f>
        <v/>
      </c>
    </row>
    <row r="4901" spans="1:22" x14ac:dyDescent="0.25">
      <c r="A4901" s="9"/>
      <c r="E4901" s="10"/>
      <c r="K4901" s="11" t="str">
        <f>IF($E4901="","",ROUND($E4901*IF(ISNA(MATCH($C4901,'Paramètres'!$D:$D,0)),1,IF(INDEX('Paramètres'!$J:$J,MATCH($C4901,'Paramètres'!$D:$D,0))="",1,INDEX('Paramètres'!$J:$J,MATCH($C4901,'Paramètres'!$D:$D,0)))),2))</f>
        <v/>
      </c>
      <c r="L4901" s="6" t="str">
        <f>IF($D4901="","",IF($F4901&lt;&gt;"",$F4901,IF(ISNA(MATCH($D4901,'Paramètres'!$M:$M,0)),"⚠ Type inconnu",IFERROR(INDEX('Paramètres'!$P:$P,MATCH($D4901,'Paramètres'!$M:$M,0))&amp;"",""))))</f>
        <v/>
      </c>
      <c r="M4901" s="6" t="str">
        <f>IF($D4901="","",IF(ISNA(MATCH($D4901,'Paramètres'!$M:$M,0)),"⚠ Type inconnu",IF($L4901="Crédit","",IFERROR(INDEX('Paramètres'!$O:$O,MATCH($D4901,'Paramètres'!$M:$M,0))&amp;"",""))))</f>
        <v/>
      </c>
      <c r="N4901" s="6" t="str">
        <f>IF($D4901="","",IFERROR(INDEX('Paramètres'!$Q:$Q,MATCH($D4901,'Paramètres'!$M:$M,0))&amp;"",""))</f>
        <v/>
      </c>
      <c r="O4901" s="6" t="str">
        <f>IF($A4901="","",IF(OR($J4901&lt;&gt;"x",$A4901&lt;=FinReleve),1,0))</f>
        <v/>
      </c>
      <c r="P4901" s="6" t="str">
        <f>IF($D4901="","",IF(AND($L4901="Crédit",OR(IFERROR(INDEX('Paramètres'!$O:$O,MATCH($D4901,'Paramètres'!$M:$M,0))&amp;"","")&lt;&gt;"",ISNUMBER(SEARCH("remboursement",IFERROR(INDEX('Paramètres'!$N:$N,MATCH($D4901,'Paramètres'!$M:$M,0))&amp;"",""))))),1,0))</f>
        <v/>
      </c>
      <c r="Q4901" s="6" t="str">
        <f>IF($K4901="","",IF(ISNUMBER(SEARCH("transfert-interne",IFERROR(INDEX('Paramètres'!$N:$N,MATCH($D4901,'Paramètres'!$M:$M,0))&amp;"",""))),0,IF($L4901="Débit",$K4901,IF($P4901=1,-$K4901,0))))</f>
        <v/>
      </c>
      <c r="R4901" s="6" t="str">
        <f>IF($K4901="","",IF($L4901="Crédit",$K4901,-$K4901))</f>
        <v/>
      </c>
      <c r="S4901" s="6" t="str">
        <f>IF($C4901="","",IFERROR(INDEX('Paramètres'!$H:$H,MATCH($C4901,'Paramètres'!$D:$D,0))&amp;"",""))</f>
        <v/>
      </c>
      <c r="T4901" s="6" t="str">
        <f>IF($K4901="","",IF($S4901="",0,IF(ISNUMBER(SEARCH("apport-exterieur",IFERROR(INDEX('Paramètres'!$N:$N,MATCH($D4901,'Paramètres'!$M:$M,0))&amp;"",""))),0,IF(OR(IFERROR(INDEX('Paramètres'!$I:$I,MATCH($C4901,'Paramètres'!$D:$D,0))&amp;"","")="Les deux",IFERROR(INDEX('Paramètres'!$I:$I,MATCH($C4901,'Paramètres'!$D:$D,0))&amp;"","")=IF($P4901=1,"Débit",$L4901)),-IF($P4901=1,-$K4901,$K4901),0))))</f>
        <v/>
      </c>
      <c r="U4901" s="6" t="str">
        <f>IF($K4901="","",IF(ISNUMBER(SEARCH("sortie-epargne",IFERROR(INDEX('Paramètres'!$N:$N,MATCH($D4901,'Paramètres'!$M:$M,0))&amp;"",""))),$K4901,0))</f>
        <v/>
      </c>
      <c r="V4901" s="6" t="str">
        <f>IF(AND($A4901&lt;&gt;"",$O4901=1,$L4901="Débit",N($Q4901)&gt;0,$A4901&gt;=Visualisation!$B$1,$A4901&lt;Visualisation!$D$1),MAX($V$1:V4900)+1,"")</f>
        <v/>
      </c>
    </row>
    <row r="4902" spans="1:22" x14ac:dyDescent="0.25">
      <c r="A4902" s="9"/>
      <c r="E4902" s="10"/>
      <c r="K4902" s="11" t="str">
        <f>IF($E4902="","",ROUND($E4902*IF(ISNA(MATCH($C4902,'Paramètres'!$D:$D,0)),1,IF(INDEX('Paramètres'!$J:$J,MATCH($C4902,'Paramètres'!$D:$D,0))="",1,INDEX('Paramètres'!$J:$J,MATCH($C4902,'Paramètres'!$D:$D,0)))),2))</f>
        <v/>
      </c>
      <c r="L4902" s="6" t="str">
        <f>IF($D4902="","",IF($F4902&lt;&gt;"",$F4902,IF(ISNA(MATCH($D4902,'Paramètres'!$M:$M,0)),"⚠ Type inconnu",IFERROR(INDEX('Paramètres'!$P:$P,MATCH($D4902,'Paramètres'!$M:$M,0))&amp;"",""))))</f>
        <v/>
      </c>
      <c r="M4902" s="6" t="str">
        <f>IF($D4902="","",IF(ISNA(MATCH($D4902,'Paramètres'!$M:$M,0)),"⚠ Type inconnu",IF($L4902="Crédit","",IFERROR(INDEX('Paramètres'!$O:$O,MATCH($D4902,'Paramètres'!$M:$M,0))&amp;"",""))))</f>
        <v/>
      </c>
      <c r="N4902" s="6" t="str">
        <f>IF($D4902="","",IFERROR(INDEX('Paramètres'!$Q:$Q,MATCH($D4902,'Paramètres'!$M:$M,0))&amp;"",""))</f>
        <v/>
      </c>
      <c r="O4902" s="6" t="str">
        <f>IF($A4902="","",IF(OR($J4902&lt;&gt;"x",$A4902&lt;=FinReleve),1,0))</f>
        <v/>
      </c>
      <c r="P4902" s="6" t="str">
        <f>IF($D4902="","",IF(AND($L4902="Crédit",OR(IFERROR(INDEX('Paramètres'!$O:$O,MATCH($D4902,'Paramètres'!$M:$M,0))&amp;"","")&lt;&gt;"",ISNUMBER(SEARCH("remboursement",IFERROR(INDEX('Paramètres'!$N:$N,MATCH($D4902,'Paramètres'!$M:$M,0))&amp;"",""))))),1,0))</f>
        <v/>
      </c>
      <c r="Q4902" s="6" t="str">
        <f>IF($K4902="","",IF(ISNUMBER(SEARCH("transfert-interne",IFERROR(INDEX('Paramètres'!$N:$N,MATCH($D4902,'Paramètres'!$M:$M,0))&amp;"",""))),0,IF($L4902="Débit",$K4902,IF($P4902=1,-$K4902,0))))</f>
        <v/>
      </c>
      <c r="R4902" s="6" t="str">
        <f>IF($K4902="","",IF($L4902="Crédit",$K4902,-$K4902))</f>
        <v/>
      </c>
      <c r="S4902" s="6" t="str">
        <f>IF($C4902="","",IFERROR(INDEX('Paramètres'!$H:$H,MATCH($C4902,'Paramètres'!$D:$D,0))&amp;"",""))</f>
        <v/>
      </c>
      <c r="T4902" s="6" t="str">
        <f>IF($K4902="","",IF($S4902="",0,IF(ISNUMBER(SEARCH("apport-exterieur",IFERROR(INDEX('Paramètres'!$N:$N,MATCH($D4902,'Paramètres'!$M:$M,0))&amp;"",""))),0,IF(OR(IFERROR(INDEX('Paramètres'!$I:$I,MATCH($C4902,'Paramètres'!$D:$D,0))&amp;"","")="Les deux",IFERROR(INDEX('Paramètres'!$I:$I,MATCH($C4902,'Paramètres'!$D:$D,0))&amp;"","")=IF($P4902=1,"Débit",$L4902)),-IF($P4902=1,-$K4902,$K4902),0))))</f>
        <v/>
      </c>
      <c r="U4902" s="6" t="str">
        <f>IF($K4902="","",IF(ISNUMBER(SEARCH("sortie-epargne",IFERROR(INDEX('Paramètres'!$N:$N,MATCH($D4902,'Paramètres'!$M:$M,0))&amp;"",""))),$K4902,0))</f>
        <v/>
      </c>
      <c r="V4902" s="6" t="str">
        <f>IF(AND($A4902&lt;&gt;"",$O4902=1,$L4902="Débit",N($Q4902)&gt;0,$A4902&gt;=Visualisation!$B$1,$A4902&lt;Visualisation!$D$1),MAX($V$1:V4901)+1,"")</f>
        <v/>
      </c>
    </row>
    <row r="4903" spans="1:22" x14ac:dyDescent="0.25">
      <c r="A4903" s="9"/>
      <c r="E4903" s="10"/>
      <c r="K4903" s="11" t="str">
        <f>IF($E4903="","",ROUND($E4903*IF(ISNA(MATCH($C4903,'Paramètres'!$D:$D,0)),1,IF(INDEX('Paramètres'!$J:$J,MATCH($C4903,'Paramètres'!$D:$D,0))="",1,INDEX('Paramètres'!$J:$J,MATCH($C4903,'Paramètres'!$D:$D,0)))),2))</f>
        <v/>
      </c>
      <c r="L4903" s="6" t="str">
        <f>IF($D4903="","",IF($F4903&lt;&gt;"",$F4903,IF(ISNA(MATCH($D4903,'Paramètres'!$M:$M,0)),"⚠ Type inconnu",IFERROR(INDEX('Paramètres'!$P:$P,MATCH($D4903,'Paramètres'!$M:$M,0))&amp;"",""))))</f>
        <v/>
      </c>
      <c r="M4903" s="6" t="str">
        <f>IF($D4903="","",IF(ISNA(MATCH($D4903,'Paramètres'!$M:$M,0)),"⚠ Type inconnu",IF($L4903="Crédit","",IFERROR(INDEX('Paramètres'!$O:$O,MATCH($D4903,'Paramètres'!$M:$M,0))&amp;"",""))))</f>
        <v/>
      </c>
      <c r="N4903" s="6" t="str">
        <f>IF($D4903="","",IFERROR(INDEX('Paramètres'!$Q:$Q,MATCH($D4903,'Paramètres'!$M:$M,0))&amp;"",""))</f>
        <v/>
      </c>
      <c r="O4903" s="6" t="str">
        <f>IF($A4903="","",IF(OR($J4903&lt;&gt;"x",$A4903&lt;=FinReleve),1,0))</f>
        <v/>
      </c>
      <c r="P4903" s="6" t="str">
        <f>IF($D4903="","",IF(AND($L4903="Crédit",OR(IFERROR(INDEX('Paramètres'!$O:$O,MATCH($D4903,'Paramètres'!$M:$M,0))&amp;"","")&lt;&gt;"",ISNUMBER(SEARCH("remboursement",IFERROR(INDEX('Paramètres'!$N:$N,MATCH($D4903,'Paramètres'!$M:$M,0))&amp;"",""))))),1,0))</f>
        <v/>
      </c>
      <c r="Q4903" s="6" t="str">
        <f>IF($K4903="","",IF(ISNUMBER(SEARCH("transfert-interne",IFERROR(INDEX('Paramètres'!$N:$N,MATCH($D4903,'Paramètres'!$M:$M,0))&amp;"",""))),0,IF($L4903="Débit",$K4903,IF($P4903=1,-$K4903,0))))</f>
        <v/>
      </c>
      <c r="R4903" s="6" t="str">
        <f>IF($K4903="","",IF($L4903="Crédit",$K4903,-$K4903))</f>
        <v/>
      </c>
      <c r="S4903" s="6" t="str">
        <f>IF($C4903="","",IFERROR(INDEX('Paramètres'!$H:$H,MATCH($C4903,'Paramètres'!$D:$D,0))&amp;"",""))</f>
        <v/>
      </c>
      <c r="T4903" s="6" t="str">
        <f>IF($K4903="","",IF($S4903="",0,IF(ISNUMBER(SEARCH("apport-exterieur",IFERROR(INDEX('Paramètres'!$N:$N,MATCH($D4903,'Paramètres'!$M:$M,0))&amp;"",""))),0,IF(OR(IFERROR(INDEX('Paramètres'!$I:$I,MATCH($C4903,'Paramètres'!$D:$D,0))&amp;"","")="Les deux",IFERROR(INDEX('Paramètres'!$I:$I,MATCH($C4903,'Paramètres'!$D:$D,0))&amp;"","")=IF($P4903=1,"Débit",$L4903)),-IF($P4903=1,-$K4903,$K4903),0))))</f>
        <v/>
      </c>
      <c r="U4903" s="6" t="str">
        <f>IF($K4903="","",IF(ISNUMBER(SEARCH("sortie-epargne",IFERROR(INDEX('Paramètres'!$N:$N,MATCH($D4903,'Paramètres'!$M:$M,0))&amp;"",""))),$K4903,0))</f>
        <v/>
      </c>
      <c r="V4903" s="6" t="str">
        <f>IF(AND($A4903&lt;&gt;"",$O4903=1,$L4903="Débit",N($Q4903)&gt;0,$A4903&gt;=Visualisation!$B$1,$A4903&lt;Visualisation!$D$1),MAX($V$1:V4902)+1,"")</f>
        <v/>
      </c>
    </row>
    <row r="4904" spans="1:22" x14ac:dyDescent="0.25">
      <c r="A4904" s="9"/>
      <c r="E4904" s="10"/>
      <c r="K4904" s="11" t="str">
        <f>IF($E4904="","",ROUND($E4904*IF(ISNA(MATCH($C4904,'Paramètres'!$D:$D,0)),1,IF(INDEX('Paramètres'!$J:$J,MATCH($C4904,'Paramètres'!$D:$D,0))="",1,INDEX('Paramètres'!$J:$J,MATCH($C4904,'Paramètres'!$D:$D,0)))),2))</f>
        <v/>
      </c>
      <c r="L4904" s="6" t="str">
        <f>IF($D4904="","",IF($F4904&lt;&gt;"",$F4904,IF(ISNA(MATCH($D4904,'Paramètres'!$M:$M,0)),"⚠ Type inconnu",IFERROR(INDEX('Paramètres'!$P:$P,MATCH($D4904,'Paramètres'!$M:$M,0))&amp;"",""))))</f>
        <v/>
      </c>
      <c r="M4904" s="6" t="str">
        <f>IF($D4904="","",IF(ISNA(MATCH($D4904,'Paramètres'!$M:$M,0)),"⚠ Type inconnu",IF($L4904="Crédit","",IFERROR(INDEX('Paramètres'!$O:$O,MATCH($D4904,'Paramètres'!$M:$M,0))&amp;"",""))))</f>
        <v/>
      </c>
      <c r="N4904" s="6" t="str">
        <f>IF($D4904="","",IFERROR(INDEX('Paramètres'!$Q:$Q,MATCH($D4904,'Paramètres'!$M:$M,0))&amp;"",""))</f>
        <v/>
      </c>
      <c r="O4904" s="6" t="str">
        <f>IF($A4904="","",IF(OR($J4904&lt;&gt;"x",$A4904&lt;=FinReleve),1,0))</f>
        <v/>
      </c>
      <c r="P4904" s="6" t="str">
        <f>IF($D4904="","",IF(AND($L4904="Crédit",OR(IFERROR(INDEX('Paramètres'!$O:$O,MATCH($D4904,'Paramètres'!$M:$M,0))&amp;"","")&lt;&gt;"",ISNUMBER(SEARCH("remboursement",IFERROR(INDEX('Paramètres'!$N:$N,MATCH($D4904,'Paramètres'!$M:$M,0))&amp;"",""))))),1,0))</f>
        <v/>
      </c>
      <c r="Q4904" s="6" t="str">
        <f>IF($K4904="","",IF(ISNUMBER(SEARCH("transfert-interne",IFERROR(INDEX('Paramètres'!$N:$N,MATCH($D4904,'Paramètres'!$M:$M,0))&amp;"",""))),0,IF($L4904="Débit",$K4904,IF($P4904=1,-$K4904,0))))</f>
        <v/>
      </c>
      <c r="R4904" s="6" t="str">
        <f>IF($K4904="","",IF($L4904="Crédit",$K4904,-$K4904))</f>
        <v/>
      </c>
      <c r="S4904" s="6" t="str">
        <f>IF($C4904="","",IFERROR(INDEX('Paramètres'!$H:$H,MATCH($C4904,'Paramètres'!$D:$D,0))&amp;"",""))</f>
        <v/>
      </c>
      <c r="T4904" s="6" t="str">
        <f>IF($K4904="","",IF($S4904="",0,IF(ISNUMBER(SEARCH("apport-exterieur",IFERROR(INDEX('Paramètres'!$N:$N,MATCH($D4904,'Paramètres'!$M:$M,0))&amp;"",""))),0,IF(OR(IFERROR(INDEX('Paramètres'!$I:$I,MATCH($C4904,'Paramètres'!$D:$D,0))&amp;"","")="Les deux",IFERROR(INDEX('Paramètres'!$I:$I,MATCH($C4904,'Paramètres'!$D:$D,0))&amp;"","")=IF($P4904=1,"Débit",$L4904)),-IF($P4904=1,-$K4904,$K4904),0))))</f>
        <v/>
      </c>
      <c r="U4904" s="6" t="str">
        <f>IF($K4904="","",IF(ISNUMBER(SEARCH("sortie-epargne",IFERROR(INDEX('Paramètres'!$N:$N,MATCH($D4904,'Paramètres'!$M:$M,0))&amp;"",""))),$K4904,0))</f>
        <v/>
      </c>
      <c r="V4904" s="6" t="str">
        <f>IF(AND($A4904&lt;&gt;"",$O4904=1,$L4904="Débit",N($Q4904)&gt;0,$A4904&gt;=Visualisation!$B$1,$A4904&lt;Visualisation!$D$1),MAX($V$1:V4903)+1,"")</f>
        <v/>
      </c>
    </row>
    <row r="4905" spans="1:22" x14ac:dyDescent="0.25">
      <c r="A4905" s="9"/>
      <c r="E4905" s="10"/>
      <c r="K4905" s="11" t="str">
        <f>IF($E4905="","",ROUND($E4905*IF(ISNA(MATCH($C4905,'Paramètres'!$D:$D,0)),1,IF(INDEX('Paramètres'!$J:$J,MATCH($C4905,'Paramètres'!$D:$D,0))="",1,INDEX('Paramètres'!$J:$J,MATCH($C4905,'Paramètres'!$D:$D,0)))),2))</f>
        <v/>
      </c>
      <c r="L4905" s="6" t="str">
        <f>IF($D4905="","",IF($F4905&lt;&gt;"",$F4905,IF(ISNA(MATCH($D4905,'Paramètres'!$M:$M,0)),"⚠ Type inconnu",IFERROR(INDEX('Paramètres'!$P:$P,MATCH($D4905,'Paramètres'!$M:$M,0))&amp;"",""))))</f>
        <v/>
      </c>
      <c r="M4905" s="6" t="str">
        <f>IF($D4905="","",IF(ISNA(MATCH($D4905,'Paramètres'!$M:$M,0)),"⚠ Type inconnu",IF($L4905="Crédit","",IFERROR(INDEX('Paramètres'!$O:$O,MATCH($D4905,'Paramètres'!$M:$M,0))&amp;"",""))))</f>
        <v/>
      </c>
      <c r="N4905" s="6" t="str">
        <f>IF($D4905="","",IFERROR(INDEX('Paramètres'!$Q:$Q,MATCH($D4905,'Paramètres'!$M:$M,0))&amp;"",""))</f>
        <v/>
      </c>
      <c r="O4905" s="6" t="str">
        <f>IF($A4905="","",IF(OR($J4905&lt;&gt;"x",$A4905&lt;=FinReleve),1,0))</f>
        <v/>
      </c>
      <c r="P4905" s="6" t="str">
        <f>IF($D4905="","",IF(AND($L4905="Crédit",OR(IFERROR(INDEX('Paramètres'!$O:$O,MATCH($D4905,'Paramètres'!$M:$M,0))&amp;"","")&lt;&gt;"",ISNUMBER(SEARCH("remboursement",IFERROR(INDEX('Paramètres'!$N:$N,MATCH($D4905,'Paramètres'!$M:$M,0))&amp;"",""))))),1,0))</f>
        <v/>
      </c>
      <c r="Q4905" s="6" t="str">
        <f>IF($K4905="","",IF(ISNUMBER(SEARCH("transfert-interne",IFERROR(INDEX('Paramètres'!$N:$N,MATCH($D4905,'Paramètres'!$M:$M,0))&amp;"",""))),0,IF($L4905="Débit",$K4905,IF($P4905=1,-$K4905,0))))</f>
        <v/>
      </c>
      <c r="R4905" s="6" t="str">
        <f>IF($K4905="","",IF($L4905="Crédit",$K4905,-$K4905))</f>
        <v/>
      </c>
      <c r="S4905" s="6" t="str">
        <f>IF($C4905="","",IFERROR(INDEX('Paramètres'!$H:$H,MATCH($C4905,'Paramètres'!$D:$D,0))&amp;"",""))</f>
        <v/>
      </c>
      <c r="T4905" s="6" t="str">
        <f>IF($K4905="","",IF($S4905="",0,IF(ISNUMBER(SEARCH("apport-exterieur",IFERROR(INDEX('Paramètres'!$N:$N,MATCH($D4905,'Paramètres'!$M:$M,0))&amp;"",""))),0,IF(OR(IFERROR(INDEX('Paramètres'!$I:$I,MATCH($C4905,'Paramètres'!$D:$D,0))&amp;"","")="Les deux",IFERROR(INDEX('Paramètres'!$I:$I,MATCH($C4905,'Paramètres'!$D:$D,0))&amp;"","")=IF($P4905=1,"Débit",$L4905)),-IF($P4905=1,-$K4905,$K4905),0))))</f>
        <v/>
      </c>
      <c r="U4905" s="6" t="str">
        <f>IF($K4905="","",IF(ISNUMBER(SEARCH("sortie-epargne",IFERROR(INDEX('Paramètres'!$N:$N,MATCH($D4905,'Paramètres'!$M:$M,0))&amp;"",""))),$K4905,0))</f>
        <v/>
      </c>
      <c r="V4905" s="6" t="str">
        <f>IF(AND($A4905&lt;&gt;"",$O4905=1,$L4905="Débit",N($Q4905)&gt;0,$A4905&gt;=Visualisation!$B$1,$A4905&lt;Visualisation!$D$1),MAX($V$1:V4904)+1,"")</f>
        <v/>
      </c>
    </row>
    <row r="4906" spans="1:22" x14ac:dyDescent="0.25">
      <c r="A4906" s="9"/>
      <c r="E4906" s="10"/>
      <c r="K4906" s="11" t="str">
        <f>IF($E4906="","",ROUND($E4906*IF(ISNA(MATCH($C4906,'Paramètres'!$D:$D,0)),1,IF(INDEX('Paramètres'!$J:$J,MATCH($C4906,'Paramètres'!$D:$D,0))="",1,INDEX('Paramètres'!$J:$J,MATCH($C4906,'Paramètres'!$D:$D,0)))),2))</f>
        <v/>
      </c>
      <c r="L4906" s="6" t="str">
        <f>IF($D4906="","",IF($F4906&lt;&gt;"",$F4906,IF(ISNA(MATCH($D4906,'Paramètres'!$M:$M,0)),"⚠ Type inconnu",IFERROR(INDEX('Paramètres'!$P:$P,MATCH($D4906,'Paramètres'!$M:$M,0))&amp;"",""))))</f>
        <v/>
      </c>
      <c r="M4906" s="6" t="str">
        <f>IF($D4906="","",IF(ISNA(MATCH($D4906,'Paramètres'!$M:$M,0)),"⚠ Type inconnu",IF($L4906="Crédit","",IFERROR(INDEX('Paramètres'!$O:$O,MATCH($D4906,'Paramètres'!$M:$M,0))&amp;"",""))))</f>
        <v/>
      </c>
      <c r="N4906" s="6" t="str">
        <f>IF($D4906="","",IFERROR(INDEX('Paramètres'!$Q:$Q,MATCH($D4906,'Paramètres'!$M:$M,0))&amp;"",""))</f>
        <v/>
      </c>
      <c r="O4906" s="6" t="str">
        <f>IF($A4906="","",IF(OR($J4906&lt;&gt;"x",$A4906&lt;=FinReleve),1,0))</f>
        <v/>
      </c>
      <c r="P4906" s="6" t="str">
        <f>IF($D4906="","",IF(AND($L4906="Crédit",OR(IFERROR(INDEX('Paramètres'!$O:$O,MATCH($D4906,'Paramètres'!$M:$M,0))&amp;"","")&lt;&gt;"",ISNUMBER(SEARCH("remboursement",IFERROR(INDEX('Paramètres'!$N:$N,MATCH($D4906,'Paramètres'!$M:$M,0))&amp;"",""))))),1,0))</f>
        <v/>
      </c>
      <c r="Q4906" s="6" t="str">
        <f>IF($K4906="","",IF(ISNUMBER(SEARCH("transfert-interne",IFERROR(INDEX('Paramètres'!$N:$N,MATCH($D4906,'Paramètres'!$M:$M,0))&amp;"",""))),0,IF($L4906="Débit",$K4906,IF($P4906=1,-$K4906,0))))</f>
        <v/>
      </c>
      <c r="R4906" s="6" t="str">
        <f>IF($K4906="","",IF($L4906="Crédit",$K4906,-$K4906))</f>
        <v/>
      </c>
      <c r="S4906" s="6" t="str">
        <f>IF($C4906="","",IFERROR(INDEX('Paramètres'!$H:$H,MATCH($C4906,'Paramètres'!$D:$D,0))&amp;"",""))</f>
        <v/>
      </c>
      <c r="T4906" s="6" t="str">
        <f>IF($K4906="","",IF($S4906="",0,IF(ISNUMBER(SEARCH("apport-exterieur",IFERROR(INDEX('Paramètres'!$N:$N,MATCH($D4906,'Paramètres'!$M:$M,0))&amp;"",""))),0,IF(OR(IFERROR(INDEX('Paramètres'!$I:$I,MATCH($C4906,'Paramètres'!$D:$D,0))&amp;"","")="Les deux",IFERROR(INDEX('Paramètres'!$I:$I,MATCH($C4906,'Paramètres'!$D:$D,0))&amp;"","")=IF($P4906=1,"Débit",$L4906)),-IF($P4906=1,-$K4906,$K4906),0))))</f>
        <v/>
      </c>
      <c r="U4906" s="6" t="str">
        <f>IF($K4906="","",IF(ISNUMBER(SEARCH("sortie-epargne",IFERROR(INDEX('Paramètres'!$N:$N,MATCH($D4906,'Paramètres'!$M:$M,0))&amp;"",""))),$K4906,0))</f>
        <v/>
      </c>
      <c r="V4906" s="6" t="str">
        <f>IF(AND($A4906&lt;&gt;"",$O4906=1,$L4906="Débit",N($Q4906)&gt;0,$A4906&gt;=Visualisation!$B$1,$A4906&lt;Visualisation!$D$1),MAX($V$1:V4905)+1,"")</f>
        <v/>
      </c>
    </row>
    <row r="4907" spans="1:22" x14ac:dyDescent="0.25">
      <c r="A4907" s="9"/>
      <c r="E4907" s="10"/>
      <c r="K4907" s="11" t="str">
        <f>IF($E4907="","",ROUND($E4907*IF(ISNA(MATCH($C4907,'Paramètres'!$D:$D,0)),1,IF(INDEX('Paramètres'!$J:$J,MATCH($C4907,'Paramètres'!$D:$D,0))="",1,INDEX('Paramètres'!$J:$J,MATCH($C4907,'Paramètres'!$D:$D,0)))),2))</f>
        <v/>
      </c>
      <c r="L4907" s="6" t="str">
        <f>IF($D4907="","",IF($F4907&lt;&gt;"",$F4907,IF(ISNA(MATCH($D4907,'Paramètres'!$M:$M,0)),"⚠ Type inconnu",IFERROR(INDEX('Paramètres'!$P:$P,MATCH($D4907,'Paramètres'!$M:$M,0))&amp;"",""))))</f>
        <v/>
      </c>
      <c r="M4907" s="6" t="str">
        <f>IF($D4907="","",IF(ISNA(MATCH($D4907,'Paramètres'!$M:$M,0)),"⚠ Type inconnu",IF($L4907="Crédit","",IFERROR(INDEX('Paramètres'!$O:$O,MATCH($D4907,'Paramètres'!$M:$M,0))&amp;"",""))))</f>
        <v/>
      </c>
      <c r="N4907" s="6" t="str">
        <f>IF($D4907="","",IFERROR(INDEX('Paramètres'!$Q:$Q,MATCH($D4907,'Paramètres'!$M:$M,0))&amp;"",""))</f>
        <v/>
      </c>
      <c r="O4907" s="6" t="str">
        <f>IF($A4907="","",IF(OR($J4907&lt;&gt;"x",$A4907&lt;=FinReleve),1,0))</f>
        <v/>
      </c>
      <c r="P4907" s="6" t="str">
        <f>IF($D4907="","",IF(AND($L4907="Crédit",OR(IFERROR(INDEX('Paramètres'!$O:$O,MATCH($D4907,'Paramètres'!$M:$M,0))&amp;"","")&lt;&gt;"",ISNUMBER(SEARCH("remboursement",IFERROR(INDEX('Paramètres'!$N:$N,MATCH($D4907,'Paramètres'!$M:$M,0))&amp;"",""))))),1,0))</f>
        <v/>
      </c>
      <c r="Q4907" s="6" t="str">
        <f>IF($K4907="","",IF(ISNUMBER(SEARCH("transfert-interne",IFERROR(INDEX('Paramètres'!$N:$N,MATCH($D4907,'Paramètres'!$M:$M,0))&amp;"",""))),0,IF($L4907="Débit",$K4907,IF($P4907=1,-$K4907,0))))</f>
        <v/>
      </c>
      <c r="R4907" s="6" t="str">
        <f>IF($K4907="","",IF($L4907="Crédit",$K4907,-$K4907))</f>
        <v/>
      </c>
      <c r="S4907" s="6" t="str">
        <f>IF($C4907="","",IFERROR(INDEX('Paramètres'!$H:$H,MATCH($C4907,'Paramètres'!$D:$D,0))&amp;"",""))</f>
        <v/>
      </c>
      <c r="T4907" s="6" t="str">
        <f>IF($K4907="","",IF($S4907="",0,IF(ISNUMBER(SEARCH("apport-exterieur",IFERROR(INDEX('Paramètres'!$N:$N,MATCH($D4907,'Paramètres'!$M:$M,0))&amp;"",""))),0,IF(OR(IFERROR(INDEX('Paramètres'!$I:$I,MATCH($C4907,'Paramètres'!$D:$D,0))&amp;"","")="Les deux",IFERROR(INDEX('Paramètres'!$I:$I,MATCH($C4907,'Paramètres'!$D:$D,0))&amp;"","")=IF($P4907=1,"Débit",$L4907)),-IF($P4907=1,-$K4907,$K4907),0))))</f>
        <v/>
      </c>
      <c r="U4907" s="6" t="str">
        <f>IF($K4907="","",IF(ISNUMBER(SEARCH("sortie-epargne",IFERROR(INDEX('Paramètres'!$N:$N,MATCH($D4907,'Paramètres'!$M:$M,0))&amp;"",""))),$K4907,0))</f>
        <v/>
      </c>
      <c r="V4907" s="6" t="str">
        <f>IF(AND($A4907&lt;&gt;"",$O4907=1,$L4907="Débit",N($Q4907)&gt;0,$A4907&gt;=Visualisation!$B$1,$A4907&lt;Visualisation!$D$1),MAX($V$1:V4906)+1,"")</f>
        <v/>
      </c>
    </row>
    <row r="4908" spans="1:22" x14ac:dyDescent="0.25">
      <c r="A4908" s="9"/>
      <c r="E4908" s="10"/>
      <c r="K4908" s="11" t="str">
        <f>IF($E4908="","",ROUND($E4908*IF(ISNA(MATCH($C4908,'Paramètres'!$D:$D,0)),1,IF(INDEX('Paramètres'!$J:$J,MATCH($C4908,'Paramètres'!$D:$D,0))="",1,INDEX('Paramètres'!$J:$J,MATCH($C4908,'Paramètres'!$D:$D,0)))),2))</f>
        <v/>
      </c>
      <c r="L4908" s="6" t="str">
        <f>IF($D4908="","",IF($F4908&lt;&gt;"",$F4908,IF(ISNA(MATCH($D4908,'Paramètres'!$M:$M,0)),"⚠ Type inconnu",IFERROR(INDEX('Paramètres'!$P:$P,MATCH($D4908,'Paramètres'!$M:$M,0))&amp;"",""))))</f>
        <v/>
      </c>
      <c r="M4908" s="6" t="str">
        <f>IF($D4908="","",IF(ISNA(MATCH($D4908,'Paramètres'!$M:$M,0)),"⚠ Type inconnu",IF($L4908="Crédit","",IFERROR(INDEX('Paramètres'!$O:$O,MATCH($D4908,'Paramètres'!$M:$M,0))&amp;"",""))))</f>
        <v/>
      </c>
      <c r="N4908" s="6" t="str">
        <f>IF($D4908="","",IFERROR(INDEX('Paramètres'!$Q:$Q,MATCH($D4908,'Paramètres'!$M:$M,0))&amp;"",""))</f>
        <v/>
      </c>
      <c r="O4908" s="6" t="str">
        <f>IF($A4908="","",IF(OR($J4908&lt;&gt;"x",$A4908&lt;=FinReleve),1,0))</f>
        <v/>
      </c>
      <c r="P4908" s="6" t="str">
        <f>IF($D4908="","",IF(AND($L4908="Crédit",OR(IFERROR(INDEX('Paramètres'!$O:$O,MATCH($D4908,'Paramètres'!$M:$M,0))&amp;"","")&lt;&gt;"",ISNUMBER(SEARCH("remboursement",IFERROR(INDEX('Paramètres'!$N:$N,MATCH($D4908,'Paramètres'!$M:$M,0))&amp;"",""))))),1,0))</f>
        <v/>
      </c>
      <c r="Q4908" s="6" t="str">
        <f>IF($K4908="","",IF(ISNUMBER(SEARCH("transfert-interne",IFERROR(INDEX('Paramètres'!$N:$N,MATCH($D4908,'Paramètres'!$M:$M,0))&amp;"",""))),0,IF($L4908="Débit",$K4908,IF($P4908=1,-$K4908,0))))</f>
        <v/>
      </c>
      <c r="R4908" s="6" t="str">
        <f>IF($K4908="","",IF($L4908="Crédit",$K4908,-$K4908))</f>
        <v/>
      </c>
      <c r="S4908" s="6" t="str">
        <f>IF($C4908="","",IFERROR(INDEX('Paramètres'!$H:$H,MATCH($C4908,'Paramètres'!$D:$D,0))&amp;"",""))</f>
        <v/>
      </c>
      <c r="T4908" s="6" t="str">
        <f>IF($K4908="","",IF($S4908="",0,IF(ISNUMBER(SEARCH("apport-exterieur",IFERROR(INDEX('Paramètres'!$N:$N,MATCH($D4908,'Paramètres'!$M:$M,0))&amp;"",""))),0,IF(OR(IFERROR(INDEX('Paramètres'!$I:$I,MATCH($C4908,'Paramètres'!$D:$D,0))&amp;"","")="Les deux",IFERROR(INDEX('Paramètres'!$I:$I,MATCH($C4908,'Paramètres'!$D:$D,0))&amp;"","")=IF($P4908=1,"Débit",$L4908)),-IF($P4908=1,-$K4908,$K4908),0))))</f>
        <v/>
      </c>
      <c r="U4908" s="6" t="str">
        <f>IF($K4908="","",IF(ISNUMBER(SEARCH("sortie-epargne",IFERROR(INDEX('Paramètres'!$N:$N,MATCH($D4908,'Paramètres'!$M:$M,0))&amp;"",""))),$K4908,0))</f>
        <v/>
      </c>
      <c r="V4908" s="6" t="str">
        <f>IF(AND($A4908&lt;&gt;"",$O4908=1,$L4908="Débit",N($Q4908)&gt;0,$A4908&gt;=Visualisation!$B$1,$A4908&lt;Visualisation!$D$1),MAX($V$1:V4907)+1,"")</f>
        <v/>
      </c>
    </row>
    <row r="4909" spans="1:22" x14ac:dyDescent="0.25">
      <c r="A4909" s="9"/>
      <c r="E4909" s="10"/>
      <c r="K4909" s="11" t="str">
        <f>IF($E4909="","",ROUND($E4909*IF(ISNA(MATCH($C4909,'Paramètres'!$D:$D,0)),1,IF(INDEX('Paramètres'!$J:$J,MATCH($C4909,'Paramètres'!$D:$D,0))="",1,INDEX('Paramètres'!$J:$J,MATCH($C4909,'Paramètres'!$D:$D,0)))),2))</f>
        <v/>
      </c>
      <c r="L4909" s="6" t="str">
        <f>IF($D4909="","",IF($F4909&lt;&gt;"",$F4909,IF(ISNA(MATCH($D4909,'Paramètres'!$M:$M,0)),"⚠ Type inconnu",IFERROR(INDEX('Paramètres'!$P:$P,MATCH($D4909,'Paramètres'!$M:$M,0))&amp;"",""))))</f>
        <v/>
      </c>
      <c r="M4909" s="6" t="str">
        <f>IF($D4909="","",IF(ISNA(MATCH($D4909,'Paramètres'!$M:$M,0)),"⚠ Type inconnu",IF($L4909="Crédit","",IFERROR(INDEX('Paramètres'!$O:$O,MATCH($D4909,'Paramètres'!$M:$M,0))&amp;"",""))))</f>
        <v/>
      </c>
      <c r="N4909" s="6" t="str">
        <f>IF($D4909="","",IFERROR(INDEX('Paramètres'!$Q:$Q,MATCH($D4909,'Paramètres'!$M:$M,0))&amp;"",""))</f>
        <v/>
      </c>
      <c r="O4909" s="6" t="str">
        <f>IF($A4909="","",IF(OR($J4909&lt;&gt;"x",$A4909&lt;=FinReleve),1,0))</f>
        <v/>
      </c>
      <c r="P4909" s="6" t="str">
        <f>IF($D4909="","",IF(AND($L4909="Crédit",OR(IFERROR(INDEX('Paramètres'!$O:$O,MATCH($D4909,'Paramètres'!$M:$M,0))&amp;"","")&lt;&gt;"",ISNUMBER(SEARCH("remboursement",IFERROR(INDEX('Paramètres'!$N:$N,MATCH($D4909,'Paramètres'!$M:$M,0))&amp;"",""))))),1,0))</f>
        <v/>
      </c>
      <c r="Q4909" s="6" t="str">
        <f>IF($K4909="","",IF(ISNUMBER(SEARCH("transfert-interne",IFERROR(INDEX('Paramètres'!$N:$N,MATCH($D4909,'Paramètres'!$M:$M,0))&amp;"",""))),0,IF($L4909="Débit",$K4909,IF($P4909=1,-$K4909,0))))</f>
        <v/>
      </c>
      <c r="R4909" s="6" t="str">
        <f>IF($K4909="","",IF($L4909="Crédit",$K4909,-$K4909))</f>
        <v/>
      </c>
      <c r="S4909" s="6" t="str">
        <f>IF($C4909="","",IFERROR(INDEX('Paramètres'!$H:$H,MATCH($C4909,'Paramètres'!$D:$D,0))&amp;"",""))</f>
        <v/>
      </c>
      <c r="T4909" s="6" t="str">
        <f>IF($K4909="","",IF($S4909="",0,IF(ISNUMBER(SEARCH("apport-exterieur",IFERROR(INDEX('Paramètres'!$N:$N,MATCH($D4909,'Paramètres'!$M:$M,0))&amp;"",""))),0,IF(OR(IFERROR(INDEX('Paramètres'!$I:$I,MATCH($C4909,'Paramètres'!$D:$D,0))&amp;"","")="Les deux",IFERROR(INDEX('Paramètres'!$I:$I,MATCH($C4909,'Paramètres'!$D:$D,0))&amp;"","")=IF($P4909=1,"Débit",$L4909)),-IF($P4909=1,-$K4909,$K4909),0))))</f>
        <v/>
      </c>
      <c r="U4909" s="6" t="str">
        <f>IF($K4909="","",IF(ISNUMBER(SEARCH("sortie-epargne",IFERROR(INDEX('Paramètres'!$N:$N,MATCH($D4909,'Paramètres'!$M:$M,0))&amp;"",""))),$K4909,0))</f>
        <v/>
      </c>
      <c r="V4909" s="6" t="str">
        <f>IF(AND($A4909&lt;&gt;"",$O4909=1,$L4909="Débit",N($Q4909)&gt;0,$A4909&gt;=Visualisation!$B$1,$A4909&lt;Visualisation!$D$1),MAX($V$1:V4908)+1,"")</f>
        <v/>
      </c>
    </row>
    <row r="4910" spans="1:22" x14ac:dyDescent="0.25">
      <c r="A4910" s="9"/>
      <c r="E4910" s="10"/>
      <c r="K4910" s="11" t="str">
        <f>IF($E4910="","",ROUND($E4910*IF(ISNA(MATCH($C4910,'Paramètres'!$D:$D,0)),1,IF(INDEX('Paramètres'!$J:$J,MATCH($C4910,'Paramètres'!$D:$D,0))="",1,INDEX('Paramètres'!$J:$J,MATCH($C4910,'Paramètres'!$D:$D,0)))),2))</f>
        <v/>
      </c>
      <c r="L4910" s="6" t="str">
        <f>IF($D4910="","",IF($F4910&lt;&gt;"",$F4910,IF(ISNA(MATCH($D4910,'Paramètres'!$M:$M,0)),"⚠ Type inconnu",IFERROR(INDEX('Paramètres'!$P:$P,MATCH($D4910,'Paramètres'!$M:$M,0))&amp;"",""))))</f>
        <v/>
      </c>
      <c r="M4910" s="6" t="str">
        <f>IF($D4910="","",IF(ISNA(MATCH($D4910,'Paramètres'!$M:$M,0)),"⚠ Type inconnu",IF($L4910="Crédit","",IFERROR(INDEX('Paramètres'!$O:$O,MATCH($D4910,'Paramètres'!$M:$M,0))&amp;"",""))))</f>
        <v/>
      </c>
      <c r="N4910" s="6" t="str">
        <f>IF($D4910="","",IFERROR(INDEX('Paramètres'!$Q:$Q,MATCH($D4910,'Paramètres'!$M:$M,0))&amp;"",""))</f>
        <v/>
      </c>
      <c r="O4910" s="6" t="str">
        <f>IF($A4910="","",IF(OR($J4910&lt;&gt;"x",$A4910&lt;=FinReleve),1,0))</f>
        <v/>
      </c>
      <c r="P4910" s="6" t="str">
        <f>IF($D4910="","",IF(AND($L4910="Crédit",OR(IFERROR(INDEX('Paramètres'!$O:$O,MATCH($D4910,'Paramètres'!$M:$M,0))&amp;"","")&lt;&gt;"",ISNUMBER(SEARCH("remboursement",IFERROR(INDEX('Paramètres'!$N:$N,MATCH($D4910,'Paramètres'!$M:$M,0))&amp;"",""))))),1,0))</f>
        <v/>
      </c>
      <c r="Q4910" s="6" t="str">
        <f>IF($K4910="","",IF(ISNUMBER(SEARCH("transfert-interne",IFERROR(INDEX('Paramètres'!$N:$N,MATCH($D4910,'Paramètres'!$M:$M,0))&amp;"",""))),0,IF($L4910="Débit",$K4910,IF($P4910=1,-$K4910,0))))</f>
        <v/>
      </c>
      <c r="R4910" s="6" t="str">
        <f>IF($K4910="","",IF($L4910="Crédit",$K4910,-$K4910))</f>
        <v/>
      </c>
      <c r="S4910" s="6" t="str">
        <f>IF($C4910="","",IFERROR(INDEX('Paramètres'!$H:$H,MATCH($C4910,'Paramètres'!$D:$D,0))&amp;"",""))</f>
        <v/>
      </c>
      <c r="T4910" s="6" t="str">
        <f>IF($K4910="","",IF($S4910="",0,IF(ISNUMBER(SEARCH("apport-exterieur",IFERROR(INDEX('Paramètres'!$N:$N,MATCH($D4910,'Paramètres'!$M:$M,0))&amp;"",""))),0,IF(OR(IFERROR(INDEX('Paramètres'!$I:$I,MATCH($C4910,'Paramètres'!$D:$D,0))&amp;"","")="Les deux",IFERROR(INDEX('Paramètres'!$I:$I,MATCH($C4910,'Paramètres'!$D:$D,0))&amp;"","")=IF($P4910=1,"Débit",$L4910)),-IF($P4910=1,-$K4910,$K4910),0))))</f>
        <v/>
      </c>
      <c r="U4910" s="6" t="str">
        <f>IF($K4910="","",IF(ISNUMBER(SEARCH("sortie-epargne",IFERROR(INDEX('Paramètres'!$N:$N,MATCH($D4910,'Paramètres'!$M:$M,0))&amp;"",""))),$K4910,0))</f>
        <v/>
      </c>
      <c r="V4910" s="6" t="str">
        <f>IF(AND($A4910&lt;&gt;"",$O4910=1,$L4910="Débit",N($Q4910)&gt;0,$A4910&gt;=Visualisation!$B$1,$A4910&lt;Visualisation!$D$1),MAX($V$1:V4909)+1,"")</f>
        <v/>
      </c>
    </row>
    <row r="4911" spans="1:22" x14ac:dyDescent="0.25">
      <c r="A4911" s="9"/>
      <c r="E4911" s="10"/>
      <c r="K4911" s="11" t="str">
        <f>IF($E4911="","",ROUND($E4911*IF(ISNA(MATCH($C4911,'Paramètres'!$D:$D,0)),1,IF(INDEX('Paramètres'!$J:$J,MATCH($C4911,'Paramètres'!$D:$D,0))="",1,INDEX('Paramètres'!$J:$J,MATCH($C4911,'Paramètres'!$D:$D,0)))),2))</f>
        <v/>
      </c>
      <c r="L4911" s="6" t="str">
        <f>IF($D4911="","",IF($F4911&lt;&gt;"",$F4911,IF(ISNA(MATCH($D4911,'Paramètres'!$M:$M,0)),"⚠ Type inconnu",IFERROR(INDEX('Paramètres'!$P:$P,MATCH($D4911,'Paramètres'!$M:$M,0))&amp;"",""))))</f>
        <v/>
      </c>
      <c r="M4911" s="6" t="str">
        <f>IF($D4911="","",IF(ISNA(MATCH($D4911,'Paramètres'!$M:$M,0)),"⚠ Type inconnu",IF($L4911="Crédit","",IFERROR(INDEX('Paramètres'!$O:$O,MATCH($D4911,'Paramètres'!$M:$M,0))&amp;"",""))))</f>
        <v/>
      </c>
      <c r="N4911" s="6" t="str">
        <f>IF($D4911="","",IFERROR(INDEX('Paramètres'!$Q:$Q,MATCH($D4911,'Paramètres'!$M:$M,0))&amp;"",""))</f>
        <v/>
      </c>
      <c r="O4911" s="6" t="str">
        <f>IF($A4911="","",IF(OR($J4911&lt;&gt;"x",$A4911&lt;=FinReleve),1,0))</f>
        <v/>
      </c>
      <c r="P4911" s="6" t="str">
        <f>IF($D4911="","",IF(AND($L4911="Crédit",OR(IFERROR(INDEX('Paramètres'!$O:$O,MATCH($D4911,'Paramètres'!$M:$M,0))&amp;"","")&lt;&gt;"",ISNUMBER(SEARCH("remboursement",IFERROR(INDEX('Paramètres'!$N:$N,MATCH($D4911,'Paramètres'!$M:$M,0))&amp;"",""))))),1,0))</f>
        <v/>
      </c>
      <c r="Q4911" s="6" t="str">
        <f>IF($K4911="","",IF(ISNUMBER(SEARCH("transfert-interne",IFERROR(INDEX('Paramètres'!$N:$N,MATCH($D4911,'Paramètres'!$M:$M,0))&amp;"",""))),0,IF($L4911="Débit",$K4911,IF($P4911=1,-$K4911,0))))</f>
        <v/>
      </c>
      <c r="R4911" s="6" t="str">
        <f>IF($K4911="","",IF($L4911="Crédit",$K4911,-$K4911))</f>
        <v/>
      </c>
      <c r="S4911" s="6" t="str">
        <f>IF($C4911="","",IFERROR(INDEX('Paramètres'!$H:$H,MATCH($C4911,'Paramètres'!$D:$D,0))&amp;"",""))</f>
        <v/>
      </c>
      <c r="T4911" s="6" t="str">
        <f>IF($K4911="","",IF($S4911="",0,IF(ISNUMBER(SEARCH("apport-exterieur",IFERROR(INDEX('Paramètres'!$N:$N,MATCH($D4911,'Paramètres'!$M:$M,0))&amp;"",""))),0,IF(OR(IFERROR(INDEX('Paramètres'!$I:$I,MATCH($C4911,'Paramètres'!$D:$D,0))&amp;"","")="Les deux",IFERROR(INDEX('Paramètres'!$I:$I,MATCH($C4911,'Paramètres'!$D:$D,0))&amp;"","")=IF($P4911=1,"Débit",$L4911)),-IF($P4911=1,-$K4911,$K4911),0))))</f>
        <v/>
      </c>
      <c r="U4911" s="6" t="str">
        <f>IF($K4911="","",IF(ISNUMBER(SEARCH("sortie-epargne",IFERROR(INDEX('Paramètres'!$N:$N,MATCH($D4911,'Paramètres'!$M:$M,0))&amp;"",""))),$K4911,0))</f>
        <v/>
      </c>
      <c r="V4911" s="6" t="str">
        <f>IF(AND($A4911&lt;&gt;"",$O4911=1,$L4911="Débit",N($Q4911)&gt;0,$A4911&gt;=Visualisation!$B$1,$A4911&lt;Visualisation!$D$1),MAX($V$1:V4910)+1,"")</f>
        <v/>
      </c>
    </row>
    <row r="4912" spans="1:22" x14ac:dyDescent="0.25">
      <c r="A4912" s="9"/>
      <c r="E4912" s="10"/>
      <c r="K4912" s="11" t="str">
        <f>IF($E4912="","",ROUND($E4912*IF(ISNA(MATCH($C4912,'Paramètres'!$D:$D,0)),1,IF(INDEX('Paramètres'!$J:$J,MATCH($C4912,'Paramètres'!$D:$D,0))="",1,INDEX('Paramètres'!$J:$J,MATCH($C4912,'Paramètres'!$D:$D,0)))),2))</f>
        <v/>
      </c>
      <c r="L4912" s="6" t="str">
        <f>IF($D4912="","",IF($F4912&lt;&gt;"",$F4912,IF(ISNA(MATCH($D4912,'Paramètres'!$M:$M,0)),"⚠ Type inconnu",IFERROR(INDEX('Paramètres'!$P:$P,MATCH($D4912,'Paramètres'!$M:$M,0))&amp;"",""))))</f>
        <v/>
      </c>
      <c r="M4912" s="6" t="str">
        <f>IF($D4912="","",IF(ISNA(MATCH($D4912,'Paramètres'!$M:$M,0)),"⚠ Type inconnu",IF($L4912="Crédit","",IFERROR(INDEX('Paramètres'!$O:$O,MATCH($D4912,'Paramètres'!$M:$M,0))&amp;"",""))))</f>
        <v/>
      </c>
      <c r="N4912" s="6" t="str">
        <f>IF($D4912="","",IFERROR(INDEX('Paramètres'!$Q:$Q,MATCH($D4912,'Paramètres'!$M:$M,0))&amp;"",""))</f>
        <v/>
      </c>
      <c r="O4912" s="6" t="str">
        <f>IF($A4912="","",IF(OR($J4912&lt;&gt;"x",$A4912&lt;=FinReleve),1,0))</f>
        <v/>
      </c>
      <c r="P4912" s="6" t="str">
        <f>IF($D4912="","",IF(AND($L4912="Crédit",OR(IFERROR(INDEX('Paramètres'!$O:$O,MATCH($D4912,'Paramètres'!$M:$M,0))&amp;"","")&lt;&gt;"",ISNUMBER(SEARCH("remboursement",IFERROR(INDEX('Paramètres'!$N:$N,MATCH($D4912,'Paramètres'!$M:$M,0))&amp;"",""))))),1,0))</f>
        <v/>
      </c>
      <c r="Q4912" s="6" t="str">
        <f>IF($K4912="","",IF(ISNUMBER(SEARCH("transfert-interne",IFERROR(INDEX('Paramètres'!$N:$N,MATCH($D4912,'Paramètres'!$M:$M,0))&amp;"",""))),0,IF($L4912="Débit",$K4912,IF($P4912=1,-$K4912,0))))</f>
        <v/>
      </c>
      <c r="R4912" s="6" t="str">
        <f>IF($K4912="","",IF($L4912="Crédit",$K4912,-$K4912))</f>
        <v/>
      </c>
      <c r="S4912" s="6" t="str">
        <f>IF($C4912="","",IFERROR(INDEX('Paramètres'!$H:$H,MATCH($C4912,'Paramètres'!$D:$D,0))&amp;"",""))</f>
        <v/>
      </c>
      <c r="T4912" s="6" t="str">
        <f>IF($K4912="","",IF($S4912="",0,IF(ISNUMBER(SEARCH("apport-exterieur",IFERROR(INDEX('Paramètres'!$N:$N,MATCH($D4912,'Paramètres'!$M:$M,0))&amp;"",""))),0,IF(OR(IFERROR(INDEX('Paramètres'!$I:$I,MATCH($C4912,'Paramètres'!$D:$D,0))&amp;"","")="Les deux",IFERROR(INDEX('Paramètres'!$I:$I,MATCH($C4912,'Paramètres'!$D:$D,0))&amp;"","")=IF($P4912=1,"Débit",$L4912)),-IF($P4912=1,-$K4912,$K4912),0))))</f>
        <v/>
      </c>
      <c r="U4912" s="6" t="str">
        <f>IF($K4912="","",IF(ISNUMBER(SEARCH("sortie-epargne",IFERROR(INDEX('Paramètres'!$N:$N,MATCH($D4912,'Paramètres'!$M:$M,0))&amp;"",""))),$K4912,0))</f>
        <v/>
      </c>
      <c r="V4912" s="6" t="str">
        <f>IF(AND($A4912&lt;&gt;"",$O4912=1,$L4912="Débit",N($Q4912)&gt;0,$A4912&gt;=Visualisation!$B$1,$A4912&lt;Visualisation!$D$1),MAX($V$1:V4911)+1,"")</f>
        <v/>
      </c>
    </row>
    <row r="4913" spans="1:22" x14ac:dyDescent="0.25">
      <c r="A4913" s="9"/>
      <c r="E4913" s="10"/>
      <c r="K4913" s="11" t="str">
        <f>IF($E4913="","",ROUND($E4913*IF(ISNA(MATCH($C4913,'Paramètres'!$D:$D,0)),1,IF(INDEX('Paramètres'!$J:$J,MATCH($C4913,'Paramètres'!$D:$D,0))="",1,INDEX('Paramètres'!$J:$J,MATCH($C4913,'Paramètres'!$D:$D,0)))),2))</f>
        <v/>
      </c>
      <c r="L4913" s="6" t="str">
        <f>IF($D4913="","",IF($F4913&lt;&gt;"",$F4913,IF(ISNA(MATCH($D4913,'Paramètres'!$M:$M,0)),"⚠ Type inconnu",IFERROR(INDEX('Paramètres'!$P:$P,MATCH($D4913,'Paramètres'!$M:$M,0))&amp;"",""))))</f>
        <v/>
      </c>
      <c r="M4913" s="6" t="str">
        <f>IF($D4913="","",IF(ISNA(MATCH($D4913,'Paramètres'!$M:$M,0)),"⚠ Type inconnu",IF($L4913="Crédit","",IFERROR(INDEX('Paramètres'!$O:$O,MATCH($D4913,'Paramètres'!$M:$M,0))&amp;"",""))))</f>
        <v/>
      </c>
      <c r="N4913" s="6" t="str">
        <f>IF($D4913="","",IFERROR(INDEX('Paramètres'!$Q:$Q,MATCH($D4913,'Paramètres'!$M:$M,0))&amp;"",""))</f>
        <v/>
      </c>
      <c r="O4913" s="6" t="str">
        <f>IF($A4913="","",IF(OR($J4913&lt;&gt;"x",$A4913&lt;=FinReleve),1,0))</f>
        <v/>
      </c>
      <c r="P4913" s="6" t="str">
        <f>IF($D4913="","",IF(AND($L4913="Crédit",OR(IFERROR(INDEX('Paramètres'!$O:$O,MATCH($D4913,'Paramètres'!$M:$M,0))&amp;"","")&lt;&gt;"",ISNUMBER(SEARCH("remboursement",IFERROR(INDEX('Paramètres'!$N:$N,MATCH($D4913,'Paramètres'!$M:$M,0))&amp;"",""))))),1,0))</f>
        <v/>
      </c>
      <c r="Q4913" s="6" t="str">
        <f>IF($K4913="","",IF(ISNUMBER(SEARCH("transfert-interne",IFERROR(INDEX('Paramètres'!$N:$N,MATCH($D4913,'Paramètres'!$M:$M,0))&amp;"",""))),0,IF($L4913="Débit",$K4913,IF($P4913=1,-$K4913,0))))</f>
        <v/>
      </c>
      <c r="R4913" s="6" t="str">
        <f>IF($K4913="","",IF($L4913="Crédit",$K4913,-$K4913))</f>
        <v/>
      </c>
      <c r="S4913" s="6" t="str">
        <f>IF($C4913="","",IFERROR(INDEX('Paramètres'!$H:$H,MATCH($C4913,'Paramètres'!$D:$D,0))&amp;"",""))</f>
        <v/>
      </c>
      <c r="T4913" s="6" t="str">
        <f>IF($K4913="","",IF($S4913="",0,IF(ISNUMBER(SEARCH("apport-exterieur",IFERROR(INDEX('Paramètres'!$N:$N,MATCH($D4913,'Paramètres'!$M:$M,0))&amp;"",""))),0,IF(OR(IFERROR(INDEX('Paramètres'!$I:$I,MATCH($C4913,'Paramètres'!$D:$D,0))&amp;"","")="Les deux",IFERROR(INDEX('Paramètres'!$I:$I,MATCH($C4913,'Paramètres'!$D:$D,0))&amp;"","")=IF($P4913=1,"Débit",$L4913)),-IF($P4913=1,-$K4913,$K4913),0))))</f>
        <v/>
      </c>
      <c r="U4913" s="6" t="str">
        <f>IF($K4913="","",IF(ISNUMBER(SEARCH("sortie-epargne",IFERROR(INDEX('Paramètres'!$N:$N,MATCH($D4913,'Paramètres'!$M:$M,0))&amp;"",""))),$K4913,0))</f>
        <v/>
      </c>
      <c r="V4913" s="6" t="str">
        <f>IF(AND($A4913&lt;&gt;"",$O4913=1,$L4913="Débit",N($Q4913)&gt;0,$A4913&gt;=Visualisation!$B$1,$A4913&lt;Visualisation!$D$1),MAX($V$1:V4912)+1,"")</f>
        <v/>
      </c>
    </row>
    <row r="4914" spans="1:22" x14ac:dyDescent="0.25">
      <c r="A4914" s="9"/>
      <c r="E4914" s="10"/>
      <c r="K4914" s="11" t="str">
        <f>IF($E4914="","",ROUND($E4914*IF(ISNA(MATCH($C4914,'Paramètres'!$D:$D,0)),1,IF(INDEX('Paramètres'!$J:$J,MATCH($C4914,'Paramètres'!$D:$D,0))="",1,INDEX('Paramètres'!$J:$J,MATCH($C4914,'Paramètres'!$D:$D,0)))),2))</f>
        <v/>
      </c>
      <c r="L4914" s="6" t="str">
        <f>IF($D4914="","",IF($F4914&lt;&gt;"",$F4914,IF(ISNA(MATCH($D4914,'Paramètres'!$M:$M,0)),"⚠ Type inconnu",IFERROR(INDEX('Paramètres'!$P:$P,MATCH($D4914,'Paramètres'!$M:$M,0))&amp;"",""))))</f>
        <v/>
      </c>
      <c r="M4914" s="6" t="str">
        <f>IF($D4914="","",IF(ISNA(MATCH($D4914,'Paramètres'!$M:$M,0)),"⚠ Type inconnu",IF($L4914="Crédit","",IFERROR(INDEX('Paramètres'!$O:$O,MATCH($D4914,'Paramètres'!$M:$M,0))&amp;"",""))))</f>
        <v/>
      </c>
      <c r="N4914" s="6" t="str">
        <f>IF($D4914="","",IFERROR(INDEX('Paramètres'!$Q:$Q,MATCH($D4914,'Paramètres'!$M:$M,0))&amp;"",""))</f>
        <v/>
      </c>
      <c r="O4914" s="6" t="str">
        <f>IF($A4914="","",IF(OR($J4914&lt;&gt;"x",$A4914&lt;=FinReleve),1,0))</f>
        <v/>
      </c>
      <c r="P4914" s="6" t="str">
        <f>IF($D4914="","",IF(AND($L4914="Crédit",OR(IFERROR(INDEX('Paramètres'!$O:$O,MATCH($D4914,'Paramètres'!$M:$M,0))&amp;"","")&lt;&gt;"",ISNUMBER(SEARCH("remboursement",IFERROR(INDEX('Paramètres'!$N:$N,MATCH($D4914,'Paramètres'!$M:$M,0))&amp;"",""))))),1,0))</f>
        <v/>
      </c>
      <c r="Q4914" s="6" t="str">
        <f>IF($K4914="","",IF(ISNUMBER(SEARCH("transfert-interne",IFERROR(INDEX('Paramètres'!$N:$N,MATCH($D4914,'Paramètres'!$M:$M,0))&amp;"",""))),0,IF($L4914="Débit",$K4914,IF($P4914=1,-$K4914,0))))</f>
        <v/>
      </c>
      <c r="R4914" s="6" t="str">
        <f>IF($K4914="","",IF($L4914="Crédit",$K4914,-$K4914))</f>
        <v/>
      </c>
      <c r="S4914" s="6" t="str">
        <f>IF($C4914="","",IFERROR(INDEX('Paramètres'!$H:$H,MATCH($C4914,'Paramètres'!$D:$D,0))&amp;"",""))</f>
        <v/>
      </c>
      <c r="T4914" s="6" t="str">
        <f>IF($K4914="","",IF($S4914="",0,IF(ISNUMBER(SEARCH("apport-exterieur",IFERROR(INDEX('Paramètres'!$N:$N,MATCH($D4914,'Paramètres'!$M:$M,0))&amp;"",""))),0,IF(OR(IFERROR(INDEX('Paramètres'!$I:$I,MATCH($C4914,'Paramètres'!$D:$D,0))&amp;"","")="Les deux",IFERROR(INDEX('Paramètres'!$I:$I,MATCH($C4914,'Paramètres'!$D:$D,0))&amp;"","")=IF($P4914=1,"Débit",$L4914)),-IF($P4914=1,-$K4914,$K4914),0))))</f>
        <v/>
      </c>
      <c r="U4914" s="6" t="str">
        <f>IF($K4914="","",IF(ISNUMBER(SEARCH("sortie-epargne",IFERROR(INDEX('Paramètres'!$N:$N,MATCH($D4914,'Paramètres'!$M:$M,0))&amp;"",""))),$K4914,0))</f>
        <v/>
      </c>
      <c r="V4914" s="6" t="str">
        <f>IF(AND($A4914&lt;&gt;"",$O4914=1,$L4914="Débit",N($Q4914)&gt;0,$A4914&gt;=Visualisation!$B$1,$A4914&lt;Visualisation!$D$1),MAX($V$1:V4913)+1,"")</f>
        <v/>
      </c>
    </row>
    <row r="4915" spans="1:22" x14ac:dyDescent="0.25">
      <c r="A4915" s="9"/>
      <c r="E4915" s="10"/>
      <c r="K4915" s="11" t="str">
        <f>IF($E4915="","",ROUND($E4915*IF(ISNA(MATCH($C4915,'Paramètres'!$D:$D,0)),1,IF(INDEX('Paramètres'!$J:$J,MATCH($C4915,'Paramètres'!$D:$D,0))="",1,INDEX('Paramètres'!$J:$J,MATCH($C4915,'Paramètres'!$D:$D,0)))),2))</f>
        <v/>
      </c>
      <c r="L4915" s="6" t="str">
        <f>IF($D4915="","",IF($F4915&lt;&gt;"",$F4915,IF(ISNA(MATCH($D4915,'Paramètres'!$M:$M,0)),"⚠ Type inconnu",IFERROR(INDEX('Paramètres'!$P:$P,MATCH($D4915,'Paramètres'!$M:$M,0))&amp;"",""))))</f>
        <v/>
      </c>
      <c r="M4915" s="6" t="str">
        <f>IF($D4915="","",IF(ISNA(MATCH($D4915,'Paramètres'!$M:$M,0)),"⚠ Type inconnu",IF($L4915="Crédit","",IFERROR(INDEX('Paramètres'!$O:$O,MATCH($D4915,'Paramètres'!$M:$M,0))&amp;"",""))))</f>
        <v/>
      </c>
      <c r="N4915" s="6" t="str">
        <f>IF($D4915="","",IFERROR(INDEX('Paramètres'!$Q:$Q,MATCH($D4915,'Paramètres'!$M:$M,0))&amp;"",""))</f>
        <v/>
      </c>
      <c r="O4915" s="6" t="str">
        <f>IF($A4915="","",IF(OR($J4915&lt;&gt;"x",$A4915&lt;=FinReleve),1,0))</f>
        <v/>
      </c>
      <c r="P4915" s="6" t="str">
        <f>IF($D4915="","",IF(AND($L4915="Crédit",OR(IFERROR(INDEX('Paramètres'!$O:$O,MATCH($D4915,'Paramètres'!$M:$M,0))&amp;"","")&lt;&gt;"",ISNUMBER(SEARCH("remboursement",IFERROR(INDEX('Paramètres'!$N:$N,MATCH($D4915,'Paramètres'!$M:$M,0))&amp;"",""))))),1,0))</f>
        <v/>
      </c>
      <c r="Q4915" s="6" t="str">
        <f>IF($K4915="","",IF(ISNUMBER(SEARCH("transfert-interne",IFERROR(INDEX('Paramètres'!$N:$N,MATCH($D4915,'Paramètres'!$M:$M,0))&amp;"",""))),0,IF($L4915="Débit",$K4915,IF($P4915=1,-$K4915,0))))</f>
        <v/>
      </c>
      <c r="R4915" s="6" t="str">
        <f>IF($K4915="","",IF($L4915="Crédit",$K4915,-$K4915))</f>
        <v/>
      </c>
      <c r="S4915" s="6" t="str">
        <f>IF($C4915="","",IFERROR(INDEX('Paramètres'!$H:$H,MATCH($C4915,'Paramètres'!$D:$D,0))&amp;"",""))</f>
        <v/>
      </c>
      <c r="T4915" s="6" t="str">
        <f>IF($K4915="","",IF($S4915="",0,IF(ISNUMBER(SEARCH("apport-exterieur",IFERROR(INDEX('Paramètres'!$N:$N,MATCH($D4915,'Paramètres'!$M:$M,0))&amp;"",""))),0,IF(OR(IFERROR(INDEX('Paramètres'!$I:$I,MATCH($C4915,'Paramètres'!$D:$D,0))&amp;"","")="Les deux",IFERROR(INDEX('Paramètres'!$I:$I,MATCH($C4915,'Paramètres'!$D:$D,0))&amp;"","")=IF($P4915=1,"Débit",$L4915)),-IF($P4915=1,-$K4915,$K4915),0))))</f>
        <v/>
      </c>
      <c r="U4915" s="6" t="str">
        <f>IF($K4915="","",IF(ISNUMBER(SEARCH("sortie-epargne",IFERROR(INDEX('Paramètres'!$N:$N,MATCH($D4915,'Paramètres'!$M:$M,0))&amp;"",""))),$K4915,0))</f>
        <v/>
      </c>
      <c r="V4915" s="6" t="str">
        <f>IF(AND($A4915&lt;&gt;"",$O4915=1,$L4915="Débit",N($Q4915)&gt;0,$A4915&gt;=Visualisation!$B$1,$A4915&lt;Visualisation!$D$1),MAX($V$1:V4914)+1,"")</f>
        <v/>
      </c>
    </row>
    <row r="4916" spans="1:22" x14ac:dyDescent="0.25">
      <c r="A4916" s="9"/>
      <c r="E4916" s="10"/>
      <c r="K4916" s="11" t="str">
        <f>IF($E4916="","",ROUND($E4916*IF(ISNA(MATCH($C4916,'Paramètres'!$D:$D,0)),1,IF(INDEX('Paramètres'!$J:$J,MATCH($C4916,'Paramètres'!$D:$D,0))="",1,INDEX('Paramètres'!$J:$J,MATCH($C4916,'Paramètres'!$D:$D,0)))),2))</f>
        <v/>
      </c>
      <c r="L4916" s="6" t="str">
        <f>IF($D4916="","",IF($F4916&lt;&gt;"",$F4916,IF(ISNA(MATCH($D4916,'Paramètres'!$M:$M,0)),"⚠ Type inconnu",IFERROR(INDEX('Paramètres'!$P:$P,MATCH($D4916,'Paramètres'!$M:$M,0))&amp;"",""))))</f>
        <v/>
      </c>
      <c r="M4916" s="6" t="str">
        <f>IF($D4916="","",IF(ISNA(MATCH($D4916,'Paramètres'!$M:$M,0)),"⚠ Type inconnu",IF($L4916="Crédit","",IFERROR(INDEX('Paramètres'!$O:$O,MATCH($D4916,'Paramètres'!$M:$M,0))&amp;"",""))))</f>
        <v/>
      </c>
      <c r="N4916" s="6" t="str">
        <f>IF($D4916="","",IFERROR(INDEX('Paramètres'!$Q:$Q,MATCH($D4916,'Paramètres'!$M:$M,0))&amp;"",""))</f>
        <v/>
      </c>
      <c r="O4916" s="6" t="str">
        <f>IF($A4916="","",IF(OR($J4916&lt;&gt;"x",$A4916&lt;=FinReleve),1,0))</f>
        <v/>
      </c>
      <c r="P4916" s="6" t="str">
        <f>IF($D4916="","",IF(AND($L4916="Crédit",OR(IFERROR(INDEX('Paramètres'!$O:$O,MATCH($D4916,'Paramètres'!$M:$M,0))&amp;"","")&lt;&gt;"",ISNUMBER(SEARCH("remboursement",IFERROR(INDEX('Paramètres'!$N:$N,MATCH($D4916,'Paramètres'!$M:$M,0))&amp;"",""))))),1,0))</f>
        <v/>
      </c>
      <c r="Q4916" s="6" t="str">
        <f>IF($K4916="","",IF(ISNUMBER(SEARCH("transfert-interne",IFERROR(INDEX('Paramètres'!$N:$N,MATCH($D4916,'Paramètres'!$M:$M,0))&amp;"",""))),0,IF($L4916="Débit",$K4916,IF($P4916=1,-$K4916,0))))</f>
        <v/>
      </c>
      <c r="R4916" s="6" t="str">
        <f>IF($K4916="","",IF($L4916="Crédit",$K4916,-$K4916))</f>
        <v/>
      </c>
      <c r="S4916" s="6" t="str">
        <f>IF($C4916="","",IFERROR(INDEX('Paramètres'!$H:$H,MATCH($C4916,'Paramètres'!$D:$D,0))&amp;"",""))</f>
        <v/>
      </c>
      <c r="T4916" s="6" t="str">
        <f>IF($K4916="","",IF($S4916="",0,IF(ISNUMBER(SEARCH("apport-exterieur",IFERROR(INDEX('Paramètres'!$N:$N,MATCH($D4916,'Paramètres'!$M:$M,0))&amp;"",""))),0,IF(OR(IFERROR(INDEX('Paramètres'!$I:$I,MATCH($C4916,'Paramètres'!$D:$D,0))&amp;"","")="Les deux",IFERROR(INDEX('Paramètres'!$I:$I,MATCH($C4916,'Paramètres'!$D:$D,0))&amp;"","")=IF($P4916=1,"Débit",$L4916)),-IF($P4916=1,-$K4916,$K4916),0))))</f>
        <v/>
      </c>
      <c r="U4916" s="6" t="str">
        <f>IF($K4916="","",IF(ISNUMBER(SEARCH("sortie-epargne",IFERROR(INDEX('Paramètres'!$N:$N,MATCH($D4916,'Paramètres'!$M:$M,0))&amp;"",""))),$K4916,0))</f>
        <v/>
      </c>
      <c r="V4916" s="6" t="str">
        <f>IF(AND($A4916&lt;&gt;"",$O4916=1,$L4916="Débit",N($Q4916)&gt;0,$A4916&gt;=Visualisation!$B$1,$A4916&lt;Visualisation!$D$1),MAX($V$1:V4915)+1,"")</f>
        <v/>
      </c>
    </row>
    <row r="4917" spans="1:22" x14ac:dyDescent="0.25">
      <c r="A4917" s="9"/>
      <c r="E4917" s="10"/>
      <c r="K4917" s="11" t="str">
        <f>IF($E4917="","",ROUND($E4917*IF(ISNA(MATCH($C4917,'Paramètres'!$D:$D,0)),1,IF(INDEX('Paramètres'!$J:$J,MATCH($C4917,'Paramètres'!$D:$D,0))="",1,INDEX('Paramètres'!$J:$J,MATCH($C4917,'Paramètres'!$D:$D,0)))),2))</f>
        <v/>
      </c>
      <c r="L4917" s="6" t="str">
        <f>IF($D4917="","",IF($F4917&lt;&gt;"",$F4917,IF(ISNA(MATCH($D4917,'Paramètres'!$M:$M,0)),"⚠ Type inconnu",IFERROR(INDEX('Paramètres'!$P:$P,MATCH($D4917,'Paramètres'!$M:$M,0))&amp;"",""))))</f>
        <v/>
      </c>
      <c r="M4917" s="6" t="str">
        <f>IF($D4917="","",IF(ISNA(MATCH($D4917,'Paramètres'!$M:$M,0)),"⚠ Type inconnu",IF($L4917="Crédit","",IFERROR(INDEX('Paramètres'!$O:$O,MATCH($D4917,'Paramètres'!$M:$M,0))&amp;"",""))))</f>
        <v/>
      </c>
      <c r="N4917" s="6" t="str">
        <f>IF($D4917="","",IFERROR(INDEX('Paramètres'!$Q:$Q,MATCH($D4917,'Paramètres'!$M:$M,0))&amp;"",""))</f>
        <v/>
      </c>
      <c r="O4917" s="6" t="str">
        <f>IF($A4917="","",IF(OR($J4917&lt;&gt;"x",$A4917&lt;=FinReleve),1,0))</f>
        <v/>
      </c>
      <c r="P4917" s="6" t="str">
        <f>IF($D4917="","",IF(AND($L4917="Crédit",OR(IFERROR(INDEX('Paramètres'!$O:$O,MATCH($D4917,'Paramètres'!$M:$M,0))&amp;"","")&lt;&gt;"",ISNUMBER(SEARCH("remboursement",IFERROR(INDEX('Paramètres'!$N:$N,MATCH($D4917,'Paramètres'!$M:$M,0))&amp;"",""))))),1,0))</f>
        <v/>
      </c>
      <c r="Q4917" s="6" t="str">
        <f>IF($K4917="","",IF(ISNUMBER(SEARCH("transfert-interne",IFERROR(INDEX('Paramètres'!$N:$N,MATCH($D4917,'Paramètres'!$M:$M,0))&amp;"",""))),0,IF($L4917="Débit",$K4917,IF($P4917=1,-$K4917,0))))</f>
        <v/>
      </c>
      <c r="R4917" s="6" t="str">
        <f>IF($K4917="","",IF($L4917="Crédit",$K4917,-$K4917))</f>
        <v/>
      </c>
      <c r="S4917" s="6" t="str">
        <f>IF($C4917="","",IFERROR(INDEX('Paramètres'!$H:$H,MATCH($C4917,'Paramètres'!$D:$D,0))&amp;"",""))</f>
        <v/>
      </c>
      <c r="T4917" s="6" t="str">
        <f>IF($K4917="","",IF($S4917="",0,IF(ISNUMBER(SEARCH("apport-exterieur",IFERROR(INDEX('Paramètres'!$N:$N,MATCH($D4917,'Paramètres'!$M:$M,0))&amp;"",""))),0,IF(OR(IFERROR(INDEX('Paramètres'!$I:$I,MATCH($C4917,'Paramètres'!$D:$D,0))&amp;"","")="Les deux",IFERROR(INDEX('Paramètres'!$I:$I,MATCH($C4917,'Paramètres'!$D:$D,0))&amp;"","")=IF($P4917=1,"Débit",$L4917)),-IF($P4917=1,-$K4917,$K4917),0))))</f>
        <v/>
      </c>
      <c r="U4917" s="6" t="str">
        <f>IF($K4917="","",IF(ISNUMBER(SEARCH("sortie-epargne",IFERROR(INDEX('Paramètres'!$N:$N,MATCH($D4917,'Paramètres'!$M:$M,0))&amp;"",""))),$K4917,0))</f>
        <v/>
      </c>
      <c r="V4917" s="6" t="str">
        <f>IF(AND($A4917&lt;&gt;"",$O4917=1,$L4917="Débit",N($Q4917)&gt;0,$A4917&gt;=Visualisation!$B$1,$A4917&lt;Visualisation!$D$1),MAX($V$1:V4916)+1,"")</f>
        <v/>
      </c>
    </row>
    <row r="4918" spans="1:22" x14ac:dyDescent="0.25">
      <c r="A4918" s="9"/>
      <c r="E4918" s="10"/>
      <c r="K4918" s="11" t="str">
        <f>IF($E4918="","",ROUND($E4918*IF(ISNA(MATCH($C4918,'Paramètres'!$D:$D,0)),1,IF(INDEX('Paramètres'!$J:$J,MATCH($C4918,'Paramètres'!$D:$D,0))="",1,INDEX('Paramètres'!$J:$J,MATCH($C4918,'Paramètres'!$D:$D,0)))),2))</f>
        <v/>
      </c>
      <c r="L4918" s="6" t="str">
        <f>IF($D4918="","",IF($F4918&lt;&gt;"",$F4918,IF(ISNA(MATCH($D4918,'Paramètres'!$M:$M,0)),"⚠ Type inconnu",IFERROR(INDEX('Paramètres'!$P:$P,MATCH($D4918,'Paramètres'!$M:$M,0))&amp;"",""))))</f>
        <v/>
      </c>
      <c r="M4918" s="6" t="str">
        <f>IF($D4918="","",IF(ISNA(MATCH($D4918,'Paramètres'!$M:$M,0)),"⚠ Type inconnu",IF($L4918="Crédit","",IFERROR(INDEX('Paramètres'!$O:$O,MATCH($D4918,'Paramètres'!$M:$M,0))&amp;"",""))))</f>
        <v/>
      </c>
      <c r="N4918" s="6" t="str">
        <f>IF($D4918="","",IFERROR(INDEX('Paramètres'!$Q:$Q,MATCH($D4918,'Paramètres'!$M:$M,0))&amp;"",""))</f>
        <v/>
      </c>
      <c r="O4918" s="6" t="str">
        <f>IF($A4918="","",IF(OR($J4918&lt;&gt;"x",$A4918&lt;=FinReleve),1,0))</f>
        <v/>
      </c>
      <c r="P4918" s="6" t="str">
        <f>IF($D4918="","",IF(AND($L4918="Crédit",OR(IFERROR(INDEX('Paramètres'!$O:$O,MATCH($D4918,'Paramètres'!$M:$M,0))&amp;"","")&lt;&gt;"",ISNUMBER(SEARCH("remboursement",IFERROR(INDEX('Paramètres'!$N:$N,MATCH($D4918,'Paramètres'!$M:$M,0))&amp;"",""))))),1,0))</f>
        <v/>
      </c>
      <c r="Q4918" s="6" t="str">
        <f>IF($K4918="","",IF(ISNUMBER(SEARCH("transfert-interne",IFERROR(INDEX('Paramètres'!$N:$N,MATCH($D4918,'Paramètres'!$M:$M,0))&amp;"",""))),0,IF($L4918="Débit",$K4918,IF($P4918=1,-$K4918,0))))</f>
        <v/>
      </c>
      <c r="R4918" s="6" t="str">
        <f>IF($K4918="","",IF($L4918="Crédit",$K4918,-$K4918))</f>
        <v/>
      </c>
      <c r="S4918" s="6" t="str">
        <f>IF($C4918="","",IFERROR(INDEX('Paramètres'!$H:$H,MATCH($C4918,'Paramètres'!$D:$D,0))&amp;"",""))</f>
        <v/>
      </c>
      <c r="T4918" s="6" t="str">
        <f>IF($K4918="","",IF($S4918="",0,IF(ISNUMBER(SEARCH("apport-exterieur",IFERROR(INDEX('Paramètres'!$N:$N,MATCH($D4918,'Paramètres'!$M:$M,0))&amp;"",""))),0,IF(OR(IFERROR(INDEX('Paramètres'!$I:$I,MATCH($C4918,'Paramètres'!$D:$D,0))&amp;"","")="Les deux",IFERROR(INDEX('Paramètres'!$I:$I,MATCH($C4918,'Paramètres'!$D:$D,0))&amp;"","")=IF($P4918=1,"Débit",$L4918)),-IF($P4918=1,-$K4918,$K4918),0))))</f>
        <v/>
      </c>
      <c r="U4918" s="6" t="str">
        <f>IF($K4918="","",IF(ISNUMBER(SEARCH("sortie-epargne",IFERROR(INDEX('Paramètres'!$N:$N,MATCH($D4918,'Paramètres'!$M:$M,0))&amp;"",""))),$K4918,0))</f>
        <v/>
      </c>
      <c r="V4918" s="6" t="str">
        <f>IF(AND($A4918&lt;&gt;"",$O4918=1,$L4918="Débit",N($Q4918)&gt;0,$A4918&gt;=Visualisation!$B$1,$A4918&lt;Visualisation!$D$1),MAX($V$1:V4917)+1,"")</f>
        <v/>
      </c>
    </row>
    <row r="4919" spans="1:22" x14ac:dyDescent="0.25">
      <c r="A4919" s="9"/>
      <c r="E4919" s="10"/>
      <c r="K4919" s="11" t="str">
        <f>IF($E4919="","",ROUND($E4919*IF(ISNA(MATCH($C4919,'Paramètres'!$D:$D,0)),1,IF(INDEX('Paramètres'!$J:$J,MATCH($C4919,'Paramètres'!$D:$D,0))="",1,INDEX('Paramètres'!$J:$J,MATCH($C4919,'Paramètres'!$D:$D,0)))),2))</f>
        <v/>
      </c>
      <c r="L4919" s="6" t="str">
        <f>IF($D4919="","",IF($F4919&lt;&gt;"",$F4919,IF(ISNA(MATCH($D4919,'Paramètres'!$M:$M,0)),"⚠ Type inconnu",IFERROR(INDEX('Paramètres'!$P:$P,MATCH($D4919,'Paramètres'!$M:$M,0))&amp;"",""))))</f>
        <v/>
      </c>
      <c r="M4919" s="6" t="str">
        <f>IF($D4919="","",IF(ISNA(MATCH($D4919,'Paramètres'!$M:$M,0)),"⚠ Type inconnu",IF($L4919="Crédit","",IFERROR(INDEX('Paramètres'!$O:$O,MATCH($D4919,'Paramètres'!$M:$M,0))&amp;"",""))))</f>
        <v/>
      </c>
      <c r="N4919" s="6" t="str">
        <f>IF($D4919="","",IFERROR(INDEX('Paramètres'!$Q:$Q,MATCH($D4919,'Paramètres'!$M:$M,0))&amp;"",""))</f>
        <v/>
      </c>
      <c r="O4919" s="6" t="str">
        <f>IF($A4919="","",IF(OR($J4919&lt;&gt;"x",$A4919&lt;=FinReleve),1,0))</f>
        <v/>
      </c>
      <c r="P4919" s="6" t="str">
        <f>IF($D4919="","",IF(AND($L4919="Crédit",OR(IFERROR(INDEX('Paramètres'!$O:$O,MATCH($D4919,'Paramètres'!$M:$M,0))&amp;"","")&lt;&gt;"",ISNUMBER(SEARCH("remboursement",IFERROR(INDEX('Paramètres'!$N:$N,MATCH($D4919,'Paramètres'!$M:$M,0))&amp;"",""))))),1,0))</f>
        <v/>
      </c>
      <c r="Q4919" s="6" t="str">
        <f>IF($K4919="","",IF(ISNUMBER(SEARCH("transfert-interne",IFERROR(INDEX('Paramètres'!$N:$N,MATCH($D4919,'Paramètres'!$M:$M,0))&amp;"",""))),0,IF($L4919="Débit",$K4919,IF($P4919=1,-$K4919,0))))</f>
        <v/>
      </c>
      <c r="R4919" s="6" t="str">
        <f>IF($K4919="","",IF($L4919="Crédit",$K4919,-$K4919))</f>
        <v/>
      </c>
      <c r="S4919" s="6" t="str">
        <f>IF($C4919="","",IFERROR(INDEX('Paramètres'!$H:$H,MATCH($C4919,'Paramètres'!$D:$D,0))&amp;"",""))</f>
        <v/>
      </c>
      <c r="T4919" s="6" t="str">
        <f>IF($K4919="","",IF($S4919="",0,IF(ISNUMBER(SEARCH("apport-exterieur",IFERROR(INDEX('Paramètres'!$N:$N,MATCH($D4919,'Paramètres'!$M:$M,0))&amp;"",""))),0,IF(OR(IFERROR(INDEX('Paramètres'!$I:$I,MATCH($C4919,'Paramètres'!$D:$D,0))&amp;"","")="Les deux",IFERROR(INDEX('Paramètres'!$I:$I,MATCH($C4919,'Paramètres'!$D:$D,0))&amp;"","")=IF($P4919=1,"Débit",$L4919)),-IF($P4919=1,-$K4919,$K4919),0))))</f>
        <v/>
      </c>
      <c r="U4919" s="6" t="str">
        <f>IF($K4919="","",IF(ISNUMBER(SEARCH("sortie-epargne",IFERROR(INDEX('Paramètres'!$N:$N,MATCH($D4919,'Paramètres'!$M:$M,0))&amp;"",""))),$K4919,0))</f>
        <v/>
      </c>
      <c r="V4919" s="6" t="str">
        <f>IF(AND($A4919&lt;&gt;"",$O4919=1,$L4919="Débit",N($Q4919)&gt;0,$A4919&gt;=Visualisation!$B$1,$A4919&lt;Visualisation!$D$1),MAX($V$1:V4918)+1,"")</f>
        <v/>
      </c>
    </row>
    <row r="4920" spans="1:22" x14ac:dyDescent="0.25">
      <c r="A4920" s="9"/>
      <c r="E4920" s="10"/>
      <c r="K4920" s="11" t="str">
        <f>IF($E4920="","",ROUND($E4920*IF(ISNA(MATCH($C4920,'Paramètres'!$D:$D,0)),1,IF(INDEX('Paramètres'!$J:$J,MATCH($C4920,'Paramètres'!$D:$D,0))="",1,INDEX('Paramètres'!$J:$J,MATCH($C4920,'Paramètres'!$D:$D,0)))),2))</f>
        <v/>
      </c>
      <c r="L4920" s="6" t="str">
        <f>IF($D4920="","",IF($F4920&lt;&gt;"",$F4920,IF(ISNA(MATCH($D4920,'Paramètres'!$M:$M,0)),"⚠ Type inconnu",IFERROR(INDEX('Paramètres'!$P:$P,MATCH($D4920,'Paramètres'!$M:$M,0))&amp;"",""))))</f>
        <v/>
      </c>
      <c r="M4920" s="6" t="str">
        <f>IF($D4920="","",IF(ISNA(MATCH($D4920,'Paramètres'!$M:$M,0)),"⚠ Type inconnu",IF($L4920="Crédit","",IFERROR(INDEX('Paramètres'!$O:$O,MATCH($D4920,'Paramètres'!$M:$M,0))&amp;"",""))))</f>
        <v/>
      </c>
      <c r="N4920" s="6" t="str">
        <f>IF($D4920="","",IFERROR(INDEX('Paramètres'!$Q:$Q,MATCH($D4920,'Paramètres'!$M:$M,0))&amp;"",""))</f>
        <v/>
      </c>
      <c r="O4920" s="6" t="str">
        <f>IF($A4920="","",IF(OR($J4920&lt;&gt;"x",$A4920&lt;=FinReleve),1,0))</f>
        <v/>
      </c>
      <c r="P4920" s="6" t="str">
        <f>IF($D4920="","",IF(AND($L4920="Crédit",OR(IFERROR(INDEX('Paramètres'!$O:$O,MATCH($D4920,'Paramètres'!$M:$M,0))&amp;"","")&lt;&gt;"",ISNUMBER(SEARCH("remboursement",IFERROR(INDEX('Paramètres'!$N:$N,MATCH($D4920,'Paramètres'!$M:$M,0))&amp;"",""))))),1,0))</f>
        <v/>
      </c>
      <c r="Q4920" s="6" t="str">
        <f>IF($K4920="","",IF(ISNUMBER(SEARCH("transfert-interne",IFERROR(INDEX('Paramètres'!$N:$N,MATCH($D4920,'Paramètres'!$M:$M,0))&amp;"",""))),0,IF($L4920="Débit",$K4920,IF($P4920=1,-$K4920,0))))</f>
        <v/>
      </c>
      <c r="R4920" s="6" t="str">
        <f>IF($K4920="","",IF($L4920="Crédit",$K4920,-$K4920))</f>
        <v/>
      </c>
      <c r="S4920" s="6" t="str">
        <f>IF($C4920="","",IFERROR(INDEX('Paramètres'!$H:$H,MATCH($C4920,'Paramètres'!$D:$D,0))&amp;"",""))</f>
        <v/>
      </c>
      <c r="T4920" s="6" t="str">
        <f>IF($K4920="","",IF($S4920="",0,IF(ISNUMBER(SEARCH("apport-exterieur",IFERROR(INDEX('Paramètres'!$N:$N,MATCH($D4920,'Paramètres'!$M:$M,0))&amp;"",""))),0,IF(OR(IFERROR(INDEX('Paramètres'!$I:$I,MATCH($C4920,'Paramètres'!$D:$D,0))&amp;"","")="Les deux",IFERROR(INDEX('Paramètres'!$I:$I,MATCH($C4920,'Paramètres'!$D:$D,0))&amp;"","")=IF($P4920=1,"Débit",$L4920)),-IF($P4920=1,-$K4920,$K4920),0))))</f>
        <v/>
      </c>
      <c r="U4920" s="6" t="str">
        <f>IF($K4920="","",IF(ISNUMBER(SEARCH("sortie-epargne",IFERROR(INDEX('Paramètres'!$N:$N,MATCH($D4920,'Paramètres'!$M:$M,0))&amp;"",""))),$K4920,0))</f>
        <v/>
      </c>
      <c r="V4920" s="6" t="str">
        <f>IF(AND($A4920&lt;&gt;"",$O4920=1,$L4920="Débit",N($Q4920)&gt;0,$A4920&gt;=Visualisation!$B$1,$A4920&lt;Visualisation!$D$1),MAX($V$1:V4919)+1,"")</f>
        <v/>
      </c>
    </row>
    <row r="4921" spans="1:22" x14ac:dyDescent="0.25">
      <c r="A4921" s="9"/>
      <c r="E4921" s="10"/>
      <c r="K4921" s="11" t="str">
        <f>IF($E4921="","",ROUND($E4921*IF(ISNA(MATCH($C4921,'Paramètres'!$D:$D,0)),1,IF(INDEX('Paramètres'!$J:$J,MATCH($C4921,'Paramètres'!$D:$D,0))="",1,INDEX('Paramètres'!$J:$J,MATCH($C4921,'Paramètres'!$D:$D,0)))),2))</f>
        <v/>
      </c>
      <c r="L4921" s="6" t="str">
        <f>IF($D4921="","",IF($F4921&lt;&gt;"",$F4921,IF(ISNA(MATCH($D4921,'Paramètres'!$M:$M,0)),"⚠ Type inconnu",IFERROR(INDEX('Paramètres'!$P:$P,MATCH($D4921,'Paramètres'!$M:$M,0))&amp;"",""))))</f>
        <v/>
      </c>
      <c r="M4921" s="6" t="str">
        <f>IF($D4921="","",IF(ISNA(MATCH($D4921,'Paramètres'!$M:$M,0)),"⚠ Type inconnu",IF($L4921="Crédit","",IFERROR(INDEX('Paramètres'!$O:$O,MATCH($D4921,'Paramètres'!$M:$M,0))&amp;"",""))))</f>
        <v/>
      </c>
      <c r="N4921" s="6" t="str">
        <f>IF($D4921="","",IFERROR(INDEX('Paramètres'!$Q:$Q,MATCH($D4921,'Paramètres'!$M:$M,0))&amp;"",""))</f>
        <v/>
      </c>
      <c r="O4921" s="6" t="str">
        <f>IF($A4921="","",IF(OR($J4921&lt;&gt;"x",$A4921&lt;=FinReleve),1,0))</f>
        <v/>
      </c>
      <c r="P4921" s="6" t="str">
        <f>IF($D4921="","",IF(AND($L4921="Crédit",OR(IFERROR(INDEX('Paramètres'!$O:$O,MATCH($D4921,'Paramètres'!$M:$M,0))&amp;"","")&lt;&gt;"",ISNUMBER(SEARCH("remboursement",IFERROR(INDEX('Paramètres'!$N:$N,MATCH($D4921,'Paramètres'!$M:$M,0))&amp;"",""))))),1,0))</f>
        <v/>
      </c>
      <c r="Q4921" s="6" t="str">
        <f>IF($K4921="","",IF(ISNUMBER(SEARCH("transfert-interne",IFERROR(INDEX('Paramètres'!$N:$N,MATCH($D4921,'Paramètres'!$M:$M,0))&amp;"",""))),0,IF($L4921="Débit",$K4921,IF($P4921=1,-$K4921,0))))</f>
        <v/>
      </c>
      <c r="R4921" s="6" t="str">
        <f>IF($K4921="","",IF($L4921="Crédit",$K4921,-$K4921))</f>
        <v/>
      </c>
      <c r="S4921" s="6" t="str">
        <f>IF($C4921="","",IFERROR(INDEX('Paramètres'!$H:$H,MATCH($C4921,'Paramètres'!$D:$D,0))&amp;"",""))</f>
        <v/>
      </c>
      <c r="T4921" s="6" t="str">
        <f>IF($K4921="","",IF($S4921="",0,IF(ISNUMBER(SEARCH("apport-exterieur",IFERROR(INDEX('Paramètres'!$N:$N,MATCH($D4921,'Paramètres'!$M:$M,0))&amp;"",""))),0,IF(OR(IFERROR(INDEX('Paramètres'!$I:$I,MATCH($C4921,'Paramètres'!$D:$D,0))&amp;"","")="Les deux",IFERROR(INDEX('Paramètres'!$I:$I,MATCH($C4921,'Paramètres'!$D:$D,0))&amp;"","")=IF($P4921=1,"Débit",$L4921)),-IF($P4921=1,-$K4921,$K4921),0))))</f>
        <v/>
      </c>
      <c r="U4921" s="6" t="str">
        <f>IF($K4921="","",IF(ISNUMBER(SEARCH("sortie-epargne",IFERROR(INDEX('Paramètres'!$N:$N,MATCH($D4921,'Paramètres'!$M:$M,0))&amp;"",""))),$K4921,0))</f>
        <v/>
      </c>
      <c r="V4921" s="6" t="str">
        <f>IF(AND($A4921&lt;&gt;"",$O4921=1,$L4921="Débit",N($Q4921)&gt;0,$A4921&gt;=Visualisation!$B$1,$A4921&lt;Visualisation!$D$1),MAX($V$1:V4920)+1,"")</f>
        <v/>
      </c>
    </row>
    <row r="4922" spans="1:22" x14ac:dyDescent="0.25">
      <c r="A4922" s="9"/>
      <c r="E4922" s="10"/>
      <c r="K4922" s="11" t="str">
        <f>IF($E4922="","",ROUND($E4922*IF(ISNA(MATCH($C4922,'Paramètres'!$D:$D,0)),1,IF(INDEX('Paramètres'!$J:$J,MATCH($C4922,'Paramètres'!$D:$D,0))="",1,INDEX('Paramètres'!$J:$J,MATCH($C4922,'Paramètres'!$D:$D,0)))),2))</f>
        <v/>
      </c>
      <c r="L4922" s="6" t="str">
        <f>IF($D4922="","",IF($F4922&lt;&gt;"",$F4922,IF(ISNA(MATCH($D4922,'Paramètres'!$M:$M,0)),"⚠ Type inconnu",IFERROR(INDEX('Paramètres'!$P:$P,MATCH($D4922,'Paramètres'!$M:$M,0))&amp;"",""))))</f>
        <v/>
      </c>
      <c r="M4922" s="6" t="str">
        <f>IF($D4922="","",IF(ISNA(MATCH($D4922,'Paramètres'!$M:$M,0)),"⚠ Type inconnu",IF($L4922="Crédit","",IFERROR(INDEX('Paramètres'!$O:$O,MATCH($D4922,'Paramètres'!$M:$M,0))&amp;"",""))))</f>
        <v/>
      </c>
      <c r="N4922" s="6" t="str">
        <f>IF($D4922="","",IFERROR(INDEX('Paramètres'!$Q:$Q,MATCH($D4922,'Paramètres'!$M:$M,0))&amp;"",""))</f>
        <v/>
      </c>
      <c r="O4922" s="6" t="str">
        <f>IF($A4922="","",IF(OR($J4922&lt;&gt;"x",$A4922&lt;=FinReleve),1,0))</f>
        <v/>
      </c>
      <c r="P4922" s="6" t="str">
        <f>IF($D4922="","",IF(AND($L4922="Crédit",OR(IFERROR(INDEX('Paramètres'!$O:$O,MATCH($D4922,'Paramètres'!$M:$M,0))&amp;"","")&lt;&gt;"",ISNUMBER(SEARCH("remboursement",IFERROR(INDEX('Paramètres'!$N:$N,MATCH($D4922,'Paramètres'!$M:$M,0))&amp;"",""))))),1,0))</f>
        <v/>
      </c>
      <c r="Q4922" s="6" t="str">
        <f>IF($K4922="","",IF(ISNUMBER(SEARCH("transfert-interne",IFERROR(INDEX('Paramètres'!$N:$N,MATCH($D4922,'Paramètres'!$M:$M,0))&amp;"",""))),0,IF($L4922="Débit",$K4922,IF($P4922=1,-$K4922,0))))</f>
        <v/>
      </c>
      <c r="R4922" s="6" t="str">
        <f>IF($K4922="","",IF($L4922="Crédit",$K4922,-$K4922))</f>
        <v/>
      </c>
      <c r="S4922" s="6" t="str">
        <f>IF($C4922="","",IFERROR(INDEX('Paramètres'!$H:$H,MATCH($C4922,'Paramètres'!$D:$D,0))&amp;"",""))</f>
        <v/>
      </c>
      <c r="T4922" s="6" t="str">
        <f>IF($K4922="","",IF($S4922="",0,IF(ISNUMBER(SEARCH("apport-exterieur",IFERROR(INDEX('Paramètres'!$N:$N,MATCH($D4922,'Paramètres'!$M:$M,0))&amp;"",""))),0,IF(OR(IFERROR(INDEX('Paramètres'!$I:$I,MATCH($C4922,'Paramètres'!$D:$D,0))&amp;"","")="Les deux",IFERROR(INDEX('Paramètres'!$I:$I,MATCH($C4922,'Paramètres'!$D:$D,0))&amp;"","")=IF($P4922=1,"Débit",$L4922)),-IF($P4922=1,-$K4922,$K4922),0))))</f>
        <v/>
      </c>
      <c r="U4922" s="6" t="str">
        <f>IF($K4922="","",IF(ISNUMBER(SEARCH("sortie-epargne",IFERROR(INDEX('Paramètres'!$N:$N,MATCH($D4922,'Paramètres'!$M:$M,0))&amp;"",""))),$K4922,0))</f>
        <v/>
      </c>
      <c r="V4922" s="6" t="str">
        <f>IF(AND($A4922&lt;&gt;"",$O4922=1,$L4922="Débit",N($Q4922)&gt;0,$A4922&gt;=Visualisation!$B$1,$A4922&lt;Visualisation!$D$1),MAX($V$1:V4921)+1,"")</f>
        <v/>
      </c>
    </row>
    <row r="4923" spans="1:22" x14ac:dyDescent="0.25">
      <c r="A4923" s="9"/>
      <c r="E4923" s="10"/>
      <c r="K4923" s="11" t="str">
        <f>IF($E4923="","",ROUND($E4923*IF(ISNA(MATCH($C4923,'Paramètres'!$D:$D,0)),1,IF(INDEX('Paramètres'!$J:$J,MATCH($C4923,'Paramètres'!$D:$D,0))="",1,INDEX('Paramètres'!$J:$J,MATCH($C4923,'Paramètres'!$D:$D,0)))),2))</f>
        <v/>
      </c>
      <c r="L4923" s="6" t="str">
        <f>IF($D4923="","",IF($F4923&lt;&gt;"",$F4923,IF(ISNA(MATCH($D4923,'Paramètres'!$M:$M,0)),"⚠ Type inconnu",IFERROR(INDEX('Paramètres'!$P:$P,MATCH($D4923,'Paramètres'!$M:$M,0))&amp;"",""))))</f>
        <v/>
      </c>
      <c r="M4923" s="6" t="str">
        <f>IF($D4923="","",IF(ISNA(MATCH($D4923,'Paramètres'!$M:$M,0)),"⚠ Type inconnu",IF($L4923="Crédit","",IFERROR(INDEX('Paramètres'!$O:$O,MATCH($D4923,'Paramètres'!$M:$M,0))&amp;"",""))))</f>
        <v/>
      </c>
      <c r="N4923" s="6" t="str">
        <f>IF($D4923="","",IFERROR(INDEX('Paramètres'!$Q:$Q,MATCH($D4923,'Paramètres'!$M:$M,0))&amp;"",""))</f>
        <v/>
      </c>
      <c r="O4923" s="6" t="str">
        <f>IF($A4923="","",IF(OR($J4923&lt;&gt;"x",$A4923&lt;=FinReleve),1,0))</f>
        <v/>
      </c>
      <c r="P4923" s="6" t="str">
        <f>IF($D4923="","",IF(AND($L4923="Crédit",OR(IFERROR(INDEX('Paramètres'!$O:$O,MATCH($D4923,'Paramètres'!$M:$M,0))&amp;"","")&lt;&gt;"",ISNUMBER(SEARCH("remboursement",IFERROR(INDEX('Paramètres'!$N:$N,MATCH($D4923,'Paramètres'!$M:$M,0))&amp;"",""))))),1,0))</f>
        <v/>
      </c>
      <c r="Q4923" s="6" t="str">
        <f>IF($K4923="","",IF(ISNUMBER(SEARCH("transfert-interne",IFERROR(INDEX('Paramètres'!$N:$N,MATCH($D4923,'Paramètres'!$M:$M,0))&amp;"",""))),0,IF($L4923="Débit",$K4923,IF($P4923=1,-$K4923,0))))</f>
        <v/>
      </c>
      <c r="R4923" s="6" t="str">
        <f>IF($K4923="","",IF($L4923="Crédit",$K4923,-$K4923))</f>
        <v/>
      </c>
      <c r="S4923" s="6" t="str">
        <f>IF($C4923="","",IFERROR(INDEX('Paramètres'!$H:$H,MATCH($C4923,'Paramètres'!$D:$D,0))&amp;"",""))</f>
        <v/>
      </c>
      <c r="T4923" s="6" t="str">
        <f>IF($K4923="","",IF($S4923="",0,IF(ISNUMBER(SEARCH("apport-exterieur",IFERROR(INDEX('Paramètres'!$N:$N,MATCH($D4923,'Paramètres'!$M:$M,0))&amp;"",""))),0,IF(OR(IFERROR(INDEX('Paramètres'!$I:$I,MATCH($C4923,'Paramètres'!$D:$D,0))&amp;"","")="Les deux",IFERROR(INDEX('Paramètres'!$I:$I,MATCH($C4923,'Paramètres'!$D:$D,0))&amp;"","")=IF($P4923=1,"Débit",$L4923)),-IF($P4923=1,-$K4923,$K4923),0))))</f>
        <v/>
      </c>
      <c r="U4923" s="6" t="str">
        <f>IF($K4923="","",IF(ISNUMBER(SEARCH("sortie-epargne",IFERROR(INDEX('Paramètres'!$N:$N,MATCH($D4923,'Paramètres'!$M:$M,0))&amp;"",""))),$K4923,0))</f>
        <v/>
      </c>
      <c r="V4923" s="6" t="str">
        <f>IF(AND($A4923&lt;&gt;"",$O4923=1,$L4923="Débit",N($Q4923)&gt;0,$A4923&gt;=Visualisation!$B$1,$A4923&lt;Visualisation!$D$1),MAX($V$1:V4922)+1,"")</f>
        <v/>
      </c>
    </row>
    <row r="4924" spans="1:22" x14ac:dyDescent="0.25">
      <c r="A4924" s="9"/>
      <c r="E4924" s="10"/>
      <c r="K4924" s="11" t="str">
        <f>IF($E4924="","",ROUND($E4924*IF(ISNA(MATCH($C4924,'Paramètres'!$D:$D,0)),1,IF(INDEX('Paramètres'!$J:$J,MATCH($C4924,'Paramètres'!$D:$D,0))="",1,INDEX('Paramètres'!$J:$J,MATCH($C4924,'Paramètres'!$D:$D,0)))),2))</f>
        <v/>
      </c>
      <c r="L4924" s="6" t="str">
        <f>IF($D4924="","",IF($F4924&lt;&gt;"",$F4924,IF(ISNA(MATCH($D4924,'Paramètres'!$M:$M,0)),"⚠ Type inconnu",IFERROR(INDEX('Paramètres'!$P:$P,MATCH($D4924,'Paramètres'!$M:$M,0))&amp;"",""))))</f>
        <v/>
      </c>
      <c r="M4924" s="6" t="str">
        <f>IF($D4924="","",IF(ISNA(MATCH($D4924,'Paramètres'!$M:$M,0)),"⚠ Type inconnu",IF($L4924="Crédit","",IFERROR(INDEX('Paramètres'!$O:$O,MATCH($D4924,'Paramètres'!$M:$M,0))&amp;"",""))))</f>
        <v/>
      </c>
      <c r="N4924" s="6" t="str">
        <f>IF($D4924="","",IFERROR(INDEX('Paramètres'!$Q:$Q,MATCH($D4924,'Paramètres'!$M:$M,0))&amp;"",""))</f>
        <v/>
      </c>
      <c r="O4924" s="6" t="str">
        <f>IF($A4924="","",IF(OR($J4924&lt;&gt;"x",$A4924&lt;=FinReleve),1,0))</f>
        <v/>
      </c>
      <c r="P4924" s="6" t="str">
        <f>IF($D4924="","",IF(AND($L4924="Crédit",OR(IFERROR(INDEX('Paramètres'!$O:$O,MATCH($D4924,'Paramètres'!$M:$M,0))&amp;"","")&lt;&gt;"",ISNUMBER(SEARCH("remboursement",IFERROR(INDEX('Paramètres'!$N:$N,MATCH($D4924,'Paramètres'!$M:$M,0))&amp;"",""))))),1,0))</f>
        <v/>
      </c>
      <c r="Q4924" s="6" t="str">
        <f>IF($K4924="","",IF(ISNUMBER(SEARCH("transfert-interne",IFERROR(INDEX('Paramètres'!$N:$N,MATCH($D4924,'Paramètres'!$M:$M,0))&amp;"",""))),0,IF($L4924="Débit",$K4924,IF($P4924=1,-$K4924,0))))</f>
        <v/>
      </c>
      <c r="R4924" s="6" t="str">
        <f>IF($K4924="","",IF($L4924="Crédit",$K4924,-$K4924))</f>
        <v/>
      </c>
      <c r="S4924" s="6" t="str">
        <f>IF($C4924="","",IFERROR(INDEX('Paramètres'!$H:$H,MATCH($C4924,'Paramètres'!$D:$D,0))&amp;"",""))</f>
        <v/>
      </c>
      <c r="T4924" s="6" t="str">
        <f>IF($K4924="","",IF($S4924="",0,IF(ISNUMBER(SEARCH("apport-exterieur",IFERROR(INDEX('Paramètres'!$N:$N,MATCH($D4924,'Paramètres'!$M:$M,0))&amp;"",""))),0,IF(OR(IFERROR(INDEX('Paramètres'!$I:$I,MATCH($C4924,'Paramètres'!$D:$D,0))&amp;"","")="Les deux",IFERROR(INDEX('Paramètres'!$I:$I,MATCH($C4924,'Paramètres'!$D:$D,0))&amp;"","")=IF($P4924=1,"Débit",$L4924)),-IF($P4924=1,-$K4924,$K4924),0))))</f>
        <v/>
      </c>
      <c r="U4924" s="6" t="str">
        <f>IF($K4924="","",IF(ISNUMBER(SEARCH("sortie-epargne",IFERROR(INDEX('Paramètres'!$N:$N,MATCH($D4924,'Paramètres'!$M:$M,0))&amp;"",""))),$K4924,0))</f>
        <v/>
      </c>
      <c r="V4924" s="6" t="str">
        <f>IF(AND($A4924&lt;&gt;"",$O4924=1,$L4924="Débit",N($Q4924)&gt;0,$A4924&gt;=Visualisation!$B$1,$A4924&lt;Visualisation!$D$1),MAX($V$1:V4923)+1,"")</f>
        <v/>
      </c>
    </row>
    <row r="4925" spans="1:22" x14ac:dyDescent="0.25">
      <c r="A4925" s="9"/>
      <c r="E4925" s="10"/>
      <c r="K4925" s="11" t="str">
        <f>IF($E4925="","",ROUND($E4925*IF(ISNA(MATCH($C4925,'Paramètres'!$D:$D,0)),1,IF(INDEX('Paramètres'!$J:$J,MATCH($C4925,'Paramètres'!$D:$D,0))="",1,INDEX('Paramètres'!$J:$J,MATCH($C4925,'Paramètres'!$D:$D,0)))),2))</f>
        <v/>
      </c>
      <c r="L4925" s="6" t="str">
        <f>IF($D4925="","",IF($F4925&lt;&gt;"",$F4925,IF(ISNA(MATCH($D4925,'Paramètres'!$M:$M,0)),"⚠ Type inconnu",IFERROR(INDEX('Paramètres'!$P:$P,MATCH($D4925,'Paramètres'!$M:$M,0))&amp;"",""))))</f>
        <v/>
      </c>
      <c r="M4925" s="6" t="str">
        <f>IF($D4925="","",IF(ISNA(MATCH($D4925,'Paramètres'!$M:$M,0)),"⚠ Type inconnu",IF($L4925="Crédit","",IFERROR(INDEX('Paramètres'!$O:$O,MATCH($D4925,'Paramètres'!$M:$M,0))&amp;"",""))))</f>
        <v/>
      </c>
      <c r="N4925" s="6" t="str">
        <f>IF($D4925="","",IFERROR(INDEX('Paramètres'!$Q:$Q,MATCH($D4925,'Paramètres'!$M:$M,0))&amp;"",""))</f>
        <v/>
      </c>
      <c r="O4925" s="6" t="str">
        <f>IF($A4925="","",IF(OR($J4925&lt;&gt;"x",$A4925&lt;=FinReleve),1,0))</f>
        <v/>
      </c>
      <c r="P4925" s="6" t="str">
        <f>IF($D4925="","",IF(AND($L4925="Crédit",OR(IFERROR(INDEX('Paramètres'!$O:$O,MATCH($D4925,'Paramètres'!$M:$M,0))&amp;"","")&lt;&gt;"",ISNUMBER(SEARCH("remboursement",IFERROR(INDEX('Paramètres'!$N:$N,MATCH($D4925,'Paramètres'!$M:$M,0))&amp;"",""))))),1,0))</f>
        <v/>
      </c>
      <c r="Q4925" s="6" t="str">
        <f>IF($K4925="","",IF(ISNUMBER(SEARCH("transfert-interne",IFERROR(INDEX('Paramètres'!$N:$N,MATCH($D4925,'Paramètres'!$M:$M,0))&amp;"",""))),0,IF($L4925="Débit",$K4925,IF($P4925=1,-$K4925,0))))</f>
        <v/>
      </c>
      <c r="R4925" s="6" t="str">
        <f>IF($K4925="","",IF($L4925="Crédit",$K4925,-$K4925))</f>
        <v/>
      </c>
      <c r="S4925" s="6" t="str">
        <f>IF($C4925="","",IFERROR(INDEX('Paramètres'!$H:$H,MATCH($C4925,'Paramètres'!$D:$D,0))&amp;"",""))</f>
        <v/>
      </c>
      <c r="T4925" s="6" t="str">
        <f>IF($K4925="","",IF($S4925="",0,IF(ISNUMBER(SEARCH("apport-exterieur",IFERROR(INDEX('Paramètres'!$N:$N,MATCH($D4925,'Paramètres'!$M:$M,0))&amp;"",""))),0,IF(OR(IFERROR(INDEX('Paramètres'!$I:$I,MATCH($C4925,'Paramètres'!$D:$D,0))&amp;"","")="Les deux",IFERROR(INDEX('Paramètres'!$I:$I,MATCH($C4925,'Paramètres'!$D:$D,0))&amp;"","")=IF($P4925=1,"Débit",$L4925)),-IF($P4925=1,-$K4925,$K4925),0))))</f>
        <v/>
      </c>
      <c r="U4925" s="6" t="str">
        <f>IF($K4925="","",IF(ISNUMBER(SEARCH("sortie-epargne",IFERROR(INDEX('Paramètres'!$N:$N,MATCH($D4925,'Paramètres'!$M:$M,0))&amp;"",""))),$K4925,0))</f>
        <v/>
      </c>
      <c r="V4925" s="6" t="str">
        <f>IF(AND($A4925&lt;&gt;"",$O4925=1,$L4925="Débit",N($Q4925)&gt;0,$A4925&gt;=Visualisation!$B$1,$A4925&lt;Visualisation!$D$1),MAX($V$1:V4924)+1,"")</f>
        <v/>
      </c>
    </row>
    <row r="4926" spans="1:22" x14ac:dyDescent="0.25">
      <c r="A4926" s="9"/>
      <c r="E4926" s="10"/>
      <c r="K4926" s="11" t="str">
        <f>IF($E4926="","",ROUND($E4926*IF(ISNA(MATCH($C4926,'Paramètres'!$D:$D,0)),1,IF(INDEX('Paramètres'!$J:$J,MATCH($C4926,'Paramètres'!$D:$D,0))="",1,INDEX('Paramètres'!$J:$J,MATCH($C4926,'Paramètres'!$D:$D,0)))),2))</f>
        <v/>
      </c>
      <c r="L4926" s="6" t="str">
        <f>IF($D4926="","",IF($F4926&lt;&gt;"",$F4926,IF(ISNA(MATCH($D4926,'Paramètres'!$M:$M,0)),"⚠ Type inconnu",IFERROR(INDEX('Paramètres'!$P:$P,MATCH($D4926,'Paramètres'!$M:$M,0))&amp;"",""))))</f>
        <v/>
      </c>
      <c r="M4926" s="6" t="str">
        <f>IF($D4926="","",IF(ISNA(MATCH($D4926,'Paramètres'!$M:$M,0)),"⚠ Type inconnu",IF($L4926="Crédit","",IFERROR(INDEX('Paramètres'!$O:$O,MATCH($D4926,'Paramètres'!$M:$M,0))&amp;"",""))))</f>
        <v/>
      </c>
      <c r="N4926" s="6" t="str">
        <f>IF($D4926="","",IFERROR(INDEX('Paramètres'!$Q:$Q,MATCH($D4926,'Paramètres'!$M:$M,0))&amp;"",""))</f>
        <v/>
      </c>
      <c r="O4926" s="6" t="str">
        <f>IF($A4926="","",IF(OR($J4926&lt;&gt;"x",$A4926&lt;=FinReleve),1,0))</f>
        <v/>
      </c>
      <c r="P4926" s="6" t="str">
        <f>IF($D4926="","",IF(AND($L4926="Crédit",OR(IFERROR(INDEX('Paramètres'!$O:$O,MATCH($D4926,'Paramètres'!$M:$M,0))&amp;"","")&lt;&gt;"",ISNUMBER(SEARCH("remboursement",IFERROR(INDEX('Paramètres'!$N:$N,MATCH($D4926,'Paramètres'!$M:$M,0))&amp;"",""))))),1,0))</f>
        <v/>
      </c>
      <c r="Q4926" s="6" t="str">
        <f>IF($K4926="","",IF(ISNUMBER(SEARCH("transfert-interne",IFERROR(INDEX('Paramètres'!$N:$N,MATCH($D4926,'Paramètres'!$M:$M,0))&amp;"",""))),0,IF($L4926="Débit",$K4926,IF($P4926=1,-$K4926,0))))</f>
        <v/>
      </c>
      <c r="R4926" s="6" t="str">
        <f>IF($K4926="","",IF($L4926="Crédit",$K4926,-$K4926))</f>
        <v/>
      </c>
      <c r="S4926" s="6" t="str">
        <f>IF($C4926="","",IFERROR(INDEX('Paramètres'!$H:$H,MATCH($C4926,'Paramètres'!$D:$D,0))&amp;"",""))</f>
        <v/>
      </c>
      <c r="T4926" s="6" t="str">
        <f>IF($K4926="","",IF($S4926="",0,IF(ISNUMBER(SEARCH("apport-exterieur",IFERROR(INDEX('Paramètres'!$N:$N,MATCH($D4926,'Paramètres'!$M:$M,0))&amp;"",""))),0,IF(OR(IFERROR(INDEX('Paramètres'!$I:$I,MATCH($C4926,'Paramètres'!$D:$D,0))&amp;"","")="Les deux",IFERROR(INDEX('Paramètres'!$I:$I,MATCH($C4926,'Paramètres'!$D:$D,0))&amp;"","")=IF($P4926=1,"Débit",$L4926)),-IF($P4926=1,-$K4926,$K4926),0))))</f>
        <v/>
      </c>
      <c r="U4926" s="6" t="str">
        <f>IF($K4926="","",IF(ISNUMBER(SEARCH("sortie-epargne",IFERROR(INDEX('Paramètres'!$N:$N,MATCH($D4926,'Paramètres'!$M:$M,0))&amp;"",""))),$K4926,0))</f>
        <v/>
      </c>
      <c r="V4926" s="6" t="str">
        <f>IF(AND($A4926&lt;&gt;"",$O4926=1,$L4926="Débit",N($Q4926)&gt;0,$A4926&gt;=Visualisation!$B$1,$A4926&lt;Visualisation!$D$1),MAX($V$1:V4925)+1,"")</f>
        <v/>
      </c>
    </row>
    <row r="4927" spans="1:22" x14ac:dyDescent="0.25">
      <c r="A4927" s="9"/>
      <c r="E4927" s="10"/>
      <c r="K4927" s="11" t="str">
        <f>IF($E4927="","",ROUND($E4927*IF(ISNA(MATCH($C4927,'Paramètres'!$D:$D,0)),1,IF(INDEX('Paramètres'!$J:$J,MATCH($C4927,'Paramètres'!$D:$D,0))="",1,INDEX('Paramètres'!$J:$J,MATCH($C4927,'Paramètres'!$D:$D,0)))),2))</f>
        <v/>
      </c>
      <c r="L4927" s="6" t="str">
        <f>IF($D4927="","",IF($F4927&lt;&gt;"",$F4927,IF(ISNA(MATCH($D4927,'Paramètres'!$M:$M,0)),"⚠ Type inconnu",IFERROR(INDEX('Paramètres'!$P:$P,MATCH($D4927,'Paramètres'!$M:$M,0))&amp;"",""))))</f>
        <v/>
      </c>
      <c r="M4927" s="6" t="str">
        <f>IF($D4927="","",IF(ISNA(MATCH($D4927,'Paramètres'!$M:$M,0)),"⚠ Type inconnu",IF($L4927="Crédit","",IFERROR(INDEX('Paramètres'!$O:$O,MATCH($D4927,'Paramètres'!$M:$M,0))&amp;"",""))))</f>
        <v/>
      </c>
      <c r="N4927" s="6" t="str">
        <f>IF($D4927="","",IFERROR(INDEX('Paramètres'!$Q:$Q,MATCH($D4927,'Paramètres'!$M:$M,0))&amp;"",""))</f>
        <v/>
      </c>
      <c r="O4927" s="6" t="str">
        <f>IF($A4927="","",IF(OR($J4927&lt;&gt;"x",$A4927&lt;=FinReleve),1,0))</f>
        <v/>
      </c>
      <c r="P4927" s="6" t="str">
        <f>IF($D4927="","",IF(AND($L4927="Crédit",OR(IFERROR(INDEX('Paramètres'!$O:$O,MATCH($D4927,'Paramètres'!$M:$M,0))&amp;"","")&lt;&gt;"",ISNUMBER(SEARCH("remboursement",IFERROR(INDEX('Paramètres'!$N:$N,MATCH($D4927,'Paramètres'!$M:$M,0))&amp;"",""))))),1,0))</f>
        <v/>
      </c>
      <c r="Q4927" s="6" t="str">
        <f>IF($K4927="","",IF(ISNUMBER(SEARCH("transfert-interne",IFERROR(INDEX('Paramètres'!$N:$N,MATCH($D4927,'Paramètres'!$M:$M,0))&amp;"",""))),0,IF($L4927="Débit",$K4927,IF($P4927=1,-$K4927,0))))</f>
        <v/>
      </c>
      <c r="R4927" s="6" t="str">
        <f>IF($K4927="","",IF($L4927="Crédit",$K4927,-$K4927))</f>
        <v/>
      </c>
      <c r="S4927" s="6" t="str">
        <f>IF($C4927="","",IFERROR(INDEX('Paramètres'!$H:$H,MATCH($C4927,'Paramètres'!$D:$D,0))&amp;"",""))</f>
        <v/>
      </c>
      <c r="T4927" s="6" t="str">
        <f>IF($K4927="","",IF($S4927="",0,IF(ISNUMBER(SEARCH("apport-exterieur",IFERROR(INDEX('Paramètres'!$N:$N,MATCH($D4927,'Paramètres'!$M:$M,0))&amp;"",""))),0,IF(OR(IFERROR(INDEX('Paramètres'!$I:$I,MATCH($C4927,'Paramètres'!$D:$D,0))&amp;"","")="Les deux",IFERROR(INDEX('Paramètres'!$I:$I,MATCH($C4927,'Paramètres'!$D:$D,0))&amp;"","")=IF($P4927=1,"Débit",$L4927)),-IF($P4927=1,-$K4927,$K4927),0))))</f>
        <v/>
      </c>
      <c r="U4927" s="6" t="str">
        <f>IF($K4927="","",IF(ISNUMBER(SEARCH("sortie-epargne",IFERROR(INDEX('Paramètres'!$N:$N,MATCH($D4927,'Paramètres'!$M:$M,0))&amp;"",""))),$K4927,0))</f>
        <v/>
      </c>
      <c r="V4927" s="6" t="str">
        <f>IF(AND($A4927&lt;&gt;"",$O4927=1,$L4927="Débit",N($Q4927)&gt;0,$A4927&gt;=Visualisation!$B$1,$A4927&lt;Visualisation!$D$1),MAX($V$1:V4926)+1,"")</f>
        <v/>
      </c>
    </row>
    <row r="4928" spans="1:22" x14ac:dyDescent="0.25">
      <c r="A4928" s="9"/>
      <c r="E4928" s="10"/>
      <c r="K4928" s="11" t="str">
        <f>IF($E4928="","",ROUND($E4928*IF(ISNA(MATCH($C4928,'Paramètres'!$D:$D,0)),1,IF(INDEX('Paramètres'!$J:$J,MATCH($C4928,'Paramètres'!$D:$D,0))="",1,INDEX('Paramètres'!$J:$J,MATCH($C4928,'Paramètres'!$D:$D,0)))),2))</f>
        <v/>
      </c>
      <c r="L4928" s="6" t="str">
        <f>IF($D4928="","",IF($F4928&lt;&gt;"",$F4928,IF(ISNA(MATCH($D4928,'Paramètres'!$M:$M,0)),"⚠ Type inconnu",IFERROR(INDEX('Paramètres'!$P:$P,MATCH($D4928,'Paramètres'!$M:$M,0))&amp;"",""))))</f>
        <v/>
      </c>
      <c r="M4928" s="6" t="str">
        <f>IF($D4928="","",IF(ISNA(MATCH($D4928,'Paramètres'!$M:$M,0)),"⚠ Type inconnu",IF($L4928="Crédit","",IFERROR(INDEX('Paramètres'!$O:$O,MATCH($D4928,'Paramètres'!$M:$M,0))&amp;"",""))))</f>
        <v/>
      </c>
      <c r="N4928" s="6" t="str">
        <f>IF($D4928="","",IFERROR(INDEX('Paramètres'!$Q:$Q,MATCH($D4928,'Paramètres'!$M:$M,0))&amp;"",""))</f>
        <v/>
      </c>
      <c r="O4928" s="6" t="str">
        <f>IF($A4928="","",IF(OR($J4928&lt;&gt;"x",$A4928&lt;=FinReleve),1,0))</f>
        <v/>
      </c>
      <c r="P4928" s="6" t="str">
        <f>IF($D4928="","",IF(AND($L4928="Crédit",OR(IFERROR(INDEX('Paramètres'!$O:$O,MATCH($D4928,'Paramètres'!$M:$M,0))&amp;"","")&lt;&gt;"",ISNUMBER(SEARCH("remboursement",IFERROR(INDEX('Paramètres'!$N:$N,MATCH($D4928,'Paramètres'!$M:$M,0))&amp;"",""))))),1,0))</f>
        <v/>
      </c>
      <c r="Q4928" s="6" t="str">
        <f>IF($K4928="","",IF(ISNUMBER(SEARCH("transfert-interne",IFERROR(INDEX('Paramètres'!$N:$N,MATCH($D4928,'Paramètres'!$M:$M,0))&amp;"",""))),0,IF($L4928="Débit",$K4928,IF($P4928=1,-$K4928,0))))</f>
        <v/>
      </c>
      <c r="R4928" s="6" t="str">
        <f>IF($K4928="","",IF($L4928="Crédit",$K4928,-$K4928))</f>
        <v/>
      </c>
      <c r="S4928" s="6" t="str">
        <f>IF($C4928="","",IFERROR(INDEX('Paramètres'!$H:$H,MATCH($C4928,'Paramètres'!$D:$D,0))&amp;"",""))</f>
        <v/>
      </c>
      <c r="T4928" s="6" t="str">
        <f>IF($K4928="","",IF($S4928="",0,IF(ISNUMBER(SEARCH("apport-exterieur",IFERROR(INDEX('Paramètres'!$N:$N,MATCH($D4928,'Paramètres'!$M:$M,0))&amp;"",""))),0,IF(OR(IFERROR(INDEX('Paramètres'!$I:$I,MATCH($C4928,'Paramètres'!$D:$D,0))&amp;"","")="Les deux",IFERROR(INDEX('Paramètres'!$I:$I,MATCH($C4928,'Paramètres'!$D:$D,0))&amp;"","")=IF($P4928=1,"Débit",$L4928)),-IF($P4928=1,-$K4928,$K4928),0))))</f>
        <v/>
      </c>
      <c r="U4928" s="6" t="str">
        <f>IF($K4928="","",IF(ISNUMBER(SEARCH("sortie-epargne",IFERROR(INDEX('Paramètres'!$N:$N,MATCH($D4928,'Paramètres'!$M:$M,0))&amp;"",""))),$K4928,0))</f>
        <v/>
      </c>
      <c r="V4928" s="6" t="str">
        <f>IF(AND($A4928&lt;&gt;"",$O4928=1,$L4928="Débit",N($Q4928)&gt;0,$A4928&gt;=Visualisation!$B$1,$A4928&lt;Visualisation!$D$1),MAX($V$1:V4927)+1,"")</f>
        <v/>
      </c>
    </row>
    <row r="4929" spans="1:22" x14ac:dyDescent="0.25">
      <c r="A4929" s="9"/>
      <c r="E4929" s="10"/>
      <c r="K4929" s="11" t="str">
        <f>IF($E4929="","",ROUND($E4929*IF(ISNA(MATCH($C4929,'Paramètres'!$D:$D,0)),1,IF(INDEX('Paramètres'!$J:$J,MATCH($C4929,'Paramètres'!$D:$D,0))="",1,INDEX('Paramètres'!$J:$J,MATCH($C4929,'Paramètres'!$D:$D,0)))),2))</f>
        <v/>
      </c>
      <c r="L4929" s="6" t="str">
        <f>IF($D4929="","",IF($F4929&lt;&gt;"",$F4929,IF(ISNA(MATCH($D4929,'Paramètres'!$M:$M,0)),"⚠ Type inconnu",IFERROR(INDEX('Paramètres'!$P:$P,MATCH($D4929,'Paramètres'!$M:$M,0))&amp;"",""))))</f>
        <v/>
      </c>
      <c r="M4929" s="6" t="str">
        <f>IF($D4929="","",IF(ISNA(MATCH($D4929,'Paramètres'!$M:$M,0)),"⚠ Type inconnu",IF($L4929="Crédit","",IFERROR(INDEX('Paramètres'!$O:$O,MATCH($D4929,'Paramètres'!$M:$M,0))&amp;"",""))))</f>
        <v/>
      </c>
      <c r="N4929" s="6" t="str">
        <f>IF($D4929="","",IFERROR(INDEX('Paramètres'!$Q:$Q,MATCH($D4929,'Paramètres'!$M:$M,0))&amp;"",""))</f>
        <v/>
      </c>
      <c r="O4929" s="6" t="str">
        <f>IF($A4929="","",IF(OR($J4929&lt;&gt;"x",$A4929&lt;=FinReleve),1,0))</f>
        <v/>
      </c>
      <c r="P4929" s="6" t="str">
        <f>IF($D4929="","",IF(AND($L4929="Crédit",OR(IFERROR(INDEX('Paramètres'!$O:$O,MATCH($D4929,'Paramètres'!$M:$M,0))&amp;"","")&lt;&gt;"",ISNUMBER(SEARCH("remboursement",IFERROR(INDEX('Paramètres'!$N:$N,MATCH($D4929,'Paramètres'!$M:$M,0))&amp;"",""))))),1,0))</f>
        <v/>
      </c>
      <c r="Q4929" s="6" t="str">
        <f>IF($K4929="","",IF(ISNUMBER(SEARCH("transfert-interne",IFERROR(INDEX('Paramètres'!$N:$N,MATCH($D4929,'Paramètres'!$M:$M,0))&amp;"",""))),0,IF($L4929="Débit",$K4929,IF($P4929=1,-$K4929,0))))</f>
        <v/>
      </c>
      <c r="R4929" s="6" t="str">
        <f>IF($K4929="","",IF($L4929="Crédit",$K4929,-$K4929))</f>
        <v/>
      </c>
      <c r="S4929" s="6" t="str">
        <f>IF($C4929="","",IFERROR(INDEX('Paramètres'!$H:$H,MATCH($C4929,'Paramètres'!$D:$D,0))&amp;"",""))</f>
        <v/>
      </c>
      <c r="T4929" s="6" t="str">
        <f>IF($K4929="","",IF($S4929="",0,IF(ISNUMBER(SEARCH("apport-exterieur",IFERROR(INDEX('Paramètres'!$N:$N,MATCH($D4929,'Paramètres'!$M:$M,0))&amp;"",""))),0,IF(OR(IFERROR(INDEX('Paramètres'!$I:$I,MATCH($C4929,'Paramètres'!$D:$D,0))&amp;"","")="Les deux",IFERROR(INDEX('Paramètres'!$I:$I,MATCH($C4929,'Paramètres'!$D:$D,0))&amp;"","")=IF($P4929=1,"Débit",$L4929)),-IF($P4929=1,-$K4929,$K4929),0))))</f>
        <v/>
      </c>
      <c r="U4929" s="6" t="str">
        <f>IF($K4929="","",IF(ISNUMBER(SEARCH("sortie-epargne",IFERROR(INDEX('Paramètres'!$N:$N,MATCH($D4929,'Paramètres'!$M:$M,0))&amp;"",""))),$K4929,0))</f>
        <v/>
      </c>
      <c r="V4929" s="6" t="str">
        <f>IF(AND($A4929&lt;&gt;"",$O4929=1,$L4929="Débit",N($Q4929)&gt;0,$A4929&gt;=Visualisation!$B$1,$A4929&lt;Visualisation!$D$1),MAX($V$1:V4928)+1,"")</f>
        <v/>
      </c>
    </row>
    <row r="4930" spans="1:22" x14ac:dyDescent="0.25">
      <c r="A4930" s="9"/>
      <c r="E4930" s="10"/>
      <c r="K4930" s="11" t="str">
        <f>IF($E4930="","",ROUND($E4930*IF(ISNA(MATCH($C4930,'Paramètres'!$D:$D,0)),1,IF(INDEX('Paramètres'!$J:$J,MATCH($C4930,'Paramètres'!$D:$D,0))="",1,INDEX('Paramètres'!$J:$J,MATCH($C4930,'Paramètres'!$D:$D,0)))),2))</f>
        <v/>
      </c>
      <c r="L4930" s="6" t="str">
        <f>IF($D4930="","",IF($F4930&lt;&gt;"",$F4930,IF(ISNA(MATCH($D4930,'Paramètres'!$M:$M,0)),"⚠ Type inconnu",IFERROR(INDEX('Paramètres'!$P:$P,MATCH($D4930,'Paramètres'!$M:$M,0))&amp;"",""))))</f>
        <v/>
      </c>
      <c r="M4930" s="6" t="str">
        <f>IF($D4930="","",IF(ISNA(MATCH($D4930,'Paramètres'!$M:$M,0)),"⚠ Type inconnu",IF($L4930="Crédit","",IFERROR(INDEX('Paramètres'!$O:$O,MATCH($D4930,'Paramètres'!$M:$M,0))&amp;"",""))))</f>
        <v/>
      </c>
      <c r="N4930" s="6" t="str">
        <f>IF($D4930="","",IFERROR(INDEX('Paramètres'!$Q:$Q,MATCH($D4930,'Paramètres'!$M:$M,0))&amp;"",""))</f>
        <v/>
      </c>
      <c r="O4930" s="6" t="str">
        <f>IF($A4930="","",IF(OR($J4930&lt;&gt;"x",$A4930&lt;=FinReleve),1,0))</f>
        <v/>
      </c>
      <c r="P4930" s="6" t="str">
        <f>IF($D4930="","",IF(AND($L4930="Crédit",OR(IFERROR(INDEX('Paramètres'!$O:$O,MATCH($D4930,'Paramètres'!$M:$M,0))&amp;"","")&lt;&gt;"",ISNUMBER(SEARCH("remboursement",IFERROR(INDEX('Paramètres'!$N:$N,MATCH($D4930,'Paramètres'!$M:$M,0))&amp;"",""))))),1,0))</f>
        <v/>
      </c>
      <c r="Q4930" s="6" t="str">
        <f>IF($K4930="","",IF(ISNUMBER(SEARCH("transfert-interne",IFERROR(INDEX('Paramètres'!$N:$N,MATCH($D4930,'Paramètres'!$M:$M,0))&amp;"",""))),0,IF($L4930="Débit",$K4930,IF($P4930=1,-$K4930,0))))</f>
        <v/>
      </c>
      <c r="R4930" s="6" t="str">
        <f>IF($K4930="","",IF($L4930="Crédit",$K4930,-$K4930))</f>
        <v/>
      </c>
      <c r="S4930" s="6" t="str">
        <f>IF($C4930="","",IFERROR(INDEX('Paramètres'!$H:$H,MATCH($C4930,'Paramètres'!$D:$D,0))&amp;"",""))</f>
        <v/>
      </c>
      <c r="T4930" s="6" t="str">
        <f>IF($K4930="","",IF($S4930="",0,IF(ISNUMBER(SEARCH("apport-exterieur",IFERROR(INDEX('Paramètres'!$N:$N,MATCH($D4930,'Paramètres'!$M:$M,0))&amp;"",""))),0,IF(OR(IFERROR(INDEX('Paramètres'!$I:$I,MATCH($C4930,'Paramètres'!$D:$D,0))&amp;"","")="Les deux",IFERROR(INDEX('Paramètres'!$I:$I,MATCH($C4930,'Paramètres'!$D:$D,0))&amp;"","")=IF($P4930=1,"Débit",$L4930)),-IF($P4930=1,-$K4930,$K4930),0))))</f>
        <v/>
      </c>
      <c r="U4930" s="6" t="str">
        <f>IF($K4930="","",IF(ISNUMBER(SEARCH("sortie-epargne",IFERROR(INDEX('Paramètres'!$N:$N,MATCH($D4930,'Paramètres'!$M:$M,0))&amp;"",""))),$K4930,0))</f>
        <v/>
      </c>
      <c r="V4930" s="6" t="str">
        <f>IF(AND($A4930&lt;&gt;"",$O4930=1,$L4930="Débit",N($Q4930)&gt;0,$A4930&gt;=Visualisation!$B$1,$A4930&lt;Visualisation!$D$1),MAX($V$1:V4929)+1,"")</f>
        <v/>
      </c>
    </row>
    <row r="4931" spans="1:22" x14ac:dyDescent="0.25">
      <c r="A4931" s="9"/>
      <c r="E4931" s="10"/>
      <c r="K4931" s="11" t="str">
        <f>IF($E4931="","",ROUND($E4931*IF(ISNA(MATCH($C4931,'Paramètres'!$D:$D,0)),1,IF(INDEX('Paramètres'!$J:$J,MATCH($C4931,'Paramètres'!$D:$D,0))="",1,INDEX('Paramètres'!$J:$J,MATCH($C4931,'Paramètres'!$D:$D,0)))),2))</f>
        <v/>
      </c>
      <c r="L4931" s="6" t="str">
        <f>IF($D4931="","",IF($F4931&lt;&gt;"",$F4931,IF(ISNA(MATCH($D4931,'Paramètres'!$M:$M,0)),"⚠ Type inconnu",IFERROR(INDEX('Paramètres'!$P:$P,MATCH($D4931,'Paramètres'!$M:$M,0))&amp;"",""))))</f>
        <v/>
      </c>
      <c r="M4931" s="6" t="str">
        <f>IF($D4931="","",IF(ISNA(MATCH($D4931,'Paramètres'!$M:$M,0)),"⚠ Type inconnu",IF($L4931="Crédit","",IFERROR(INDEX('Paramètres'!$O:$O,MATCH($D4931,'Paramètres'!$M:$M,0))&amp;"",""))))</f>
        <v/>
      </c>
      <c r="N4931" s="6" t="str">
        <f>IF($D4931="","",IFERROR(INDEX('Paramètres'!$Q:$Q,MATCH($D4931,'Paramètres'!$M:$M,0))&amp;"",""))</f>
        <v/>
      </c>
      <c r="O4931" s="6" t="str">
        <f>IF($A4931="","",IF(OR($J4931&lt;&gt;"x",$A4931&lt;=FinReleve),1,0))</f>
        <v/>
      </c>
      <c r="P4931" s="6" t="str">
        <f>IF($D4931="","",IF(AND($L4931="Crédit",OR(IFERROR(INDEX('Paramètres'!$O:$O,MATCH($D4931,'Paramètres'!$M:$M,0))&amp;"","")&lt;&gt;"",ISNUMBER(SEARCH("remboursement",IFERROR(INDEX('Paramètres'!$N:$N,MATCH($D4931,'Paramètres'!$M:$M,0))&amp;"",""))))),1,0))</f>
        <v/>
      </c>
      <c r="Q4931" s="6" t="str">
        <f>IF($K4931="","",IF(ISNUMBER(SEARCH("transfert-interne",IFERROR(INDEX('Paramètres'!$N:$N,MATCH($D4931,'Paramètres'!$M:$M,0))&amp;"",""))),0,IF($L4931="Débit",$K4931,IF($P4931=1,-$K4931,0))))</f>
        <v/>
      </c>
      <c r="R4931" s="6" t="str">
        <f>IF($K4931="","",IF($L4931="Crédit",$K4931,-$K4931))</f>
        <v/>
      </c>
      <c r="S4931" s="6" t="str">
        <f>IF($C4931="","",IFERROR(INDEX('Paramètres'!$H:$H,MATCH($C4931,'Paramètres'!$D:$D,0))&amp;"",""))</f>
        <v/>
      </c>
      <c r="T4931" s="6" t="str">
        <f>IF($K4931="","",IF($S4931="",0,IF(ISNUMBER(SEARCH("apport-exterieur",IFERROR(INDEX('Paramètres'!$N:$N,MATCH($D4931,'Paramètres'!$M:$M,0))&amp;"",""))),0,IF(OR(IFERROR(INDEX('Paramètres'!$I:$I,MATCH($C4931,'Paramètres'!$D:$D,0))&amp;"","")="Les deux",IFERROR(INDEX('Paramètres'!$I:$I,MATCH($C4931,'Paramètres'!$D:$D,0))&amp;"","")=IF($P4931=1,"Débit",$L4931)),-IF($P4931=1,-$K4931,$K4931),0))))</f>
        <v/>
      </c>
      <c r="U4931" s="6" t="str">
        <f>IF($K4931="","",IF(ISNUMBER(SEARCH("sortie-epargne",IFERROR(INDEX('Paramètres'!$N:$N,MATCH($D4931,'Paramètres'!$M:$M,0))&amp;"",""))),$K4931,0))</f>
        <v/>
      </c>
      <c r="V4931" s="6" t="str">
        <f>IF(AND($A4931&lt;&gt;"",$O4931=1,$L4931="Débit",N($Q4931)&gt;0,$A4931&gt;=Visualisation!$B$1,$A4931&lt;Visualisation!$D$1),MAX($V$1:V4930)+1,"")</f>
        <v/>
      </c>
    </row>
    <row r="4932" spans="1:22" x14ac:dyDescent="0.25">
      <c r="A4932" s="9"/>
      <c r="E4932" s="10"/>
      <c r="K4932" s="11" t="str">
        <f>IF($E4932="","",ROUND($E4932*IF(ISNA(MATCH($C4932,'Paramètres'!$D:$D,0)),1,IF(INDEX('Paramètres'!$J:$J,MATCH($C4932,'Paramètres'!$D:$D,0))="",1,INDEX('Paramètres'!$J:$J,MATCH($C4932,'Paramètres'!$D:$D,0)))),2))</f>
        <v/>
      </c>
      <c r="L4932" s="6" t="str">
        <f>IF($D4932="","",IF($F4932&lt;&gt;"",$F4932,IF(ISNA(MATCH($D4932,'Paramètres'!$M:$M,0)),"⚠ Type inconnu",IFERROR(INDEX('Paramètres'!$P:$P,MATCH($D4932,'Paramètres'!$M:$M,0))&amp;"",""))))</f>
        <v/>
      </c>
      <c r="M4932" s="6" t="str">
        <f>IF($D4932="","",IF(ISNA(MATCH($D4932,'Paramètres'!$M:$M,0)),"⚠ Type inconnu",IF($L4932="Crédit","",IFERROR(INDEX('Paramètres'!$O:$O,MATCH($D4932,'Paramètres'!$M:$M,0))&amp;"",""))))</f>
        <v/>
      </c>
      <c r="N4932" s="6" t="str">
        <f>IF($D4932="","",IFERROR(INDEX('Paramètres'!$Q:$Q,MATCH($D4932,'Paramètres'!$M:$M,0))&amp;"",""))</f>
        <v/>
      </c>
      <c r="O4932" s="6" t="str">
        <f>IF($A4932="","",IF(OR($J4932&lt;&gt;"x",$A4932&lt;=FinReleve),1,0))</f>
        <v/>
      </c>
      <c r="P4932" s="6" t="str">
        <f>IF($D4932="","",IF(AND($L4932="Crédit",OR(IFERROR(INDEX('Paramètres'!$O:$O,MATCH($D4932,'Paramètres'!$M:$M,0))&amp;"","")&lt;&gt;"",ISNUMBER(SEARCH("remboursement",IFERROR(INDEX('Paramètres'!$N:$N,MATCH($D4932,'Paramètres'!$M:$M,0))&amp;"",""))))),1,0))</f>
        <v/>
      </c>
      <c r="Q4932" s="6" t="str">
        <f>IF($K4932="","",IF(ISNUMBER(SEARCH("transfert-interne",IFERROR(INDEX('Paramètres'!$N:$N,MATCH($D4932,'Paramètres'!$M:$M,0))&amp;"",""))),0,IF($L4932="Débit",$K4932,IF($P4932=1,-$K4932,0))))</f>
        <v/>
      </c>
      <c r="R4932" s="6" t="str">
        <f>IF($K4932="","",IF($L4932="Crédit",$K4932,-$K4932))</f>
        <v/>
      </c>
      <c r="S4932" s="6" t="str">
        <f>IF($C4932="","",IFERROR(INDEX('Paramètres'!$H:$H,MATCH($C4932,'Paramètres'!$D:$D,0))&amp;"",""))</f>
        <v/>
      </c>
      <c r="T4932" s="6" t="str">
        <f>IF($K4932="","",IF($S4932="",0,IF(ISNUMBER(SEARCH("apport-exterieur",IFERROR(INDEX('Paramètres'!$N:$N,MATCH($D4932,'Paramètres'!$M:$M,0))&amp;"",""))),0,IF(OR(IFERROR(INDEX('Paramètres'!$I:$I,MATCH($C4932,'Paramètres'!$D:$D,0))&amp;"","")="Les deux",IFERROR(INDEX('Paramètres'!$I:$I,MATCH($C4932,'Paramètres'!$D:$D,0))&amp;"","")=IF($P4932=1,"Débit",$L4932)),-IF($P4932=1,-$K4932,$K4932),0))))</f>
        <v/>
      </c>
      <c r="U4932" s="6" t="str">
        <f>IF($K4932="","",IF(ISNUMBER(SEARCH("sortie-epargne",IFERROR(INDEX('Paramètres'!$N:$N,MATCH($D4932,'Paramètres'!$M:$M,0))&amp;"",""))),$K4932,0))</f>
        <v/>
      </c>
      <c r="V4932" s="6" t="str">
        <f>IF(AND($A4932&lt;&gt;"",$O4932=1,$L4932="Débit",N($Q4932)&gt;0,$A4932&gt;=Visualisation!$B$1,$A4932&lt;Visualisation!$D$1),MAX($V$1:V4931)+1,"")</f>
        <v/>
      </c>
    </row>
    <row r="4933" spans="1:22" x14ac:dyDescent="0.25">
      <c r="A4933" s="9"/>
      <c r="E4933" s="10"/>
      <c r="K4933" s="11" t="str">
        <f>IF($E4933="","",ROUND($E4933*IF(ISNA(MATCH($C4933,'Paramètres'!$D:$D,0)),1,IF(INDEX('Paramètres'!$J:$J,MATCH($C4933,'Paramètres'!$D:$D,0))="",1,INDEX('Paramètres'!$J:$J,MATCH($C4933,'Paramètres'!$D:$D,0)))),2))</f>
        <v/>
      </c>
      <c r="L4933" s="6" t="str">
        <f>IF($D4933="","",IF($F4933&lt;&gt;"",$F4933,IF(ISNA(MATCH($D4933,'Paramètres'!$M:$M,0)),"⚠ Type inconnu",IFERROR(INDEX('Paramètres'!$P:$P,MATCH($D4933,'Paramètres'!$M:$M,0))&amp;"",""))))</f>
        <v/>
      </c>
      <c r="M4933" s="6" t="str">
        <f>IF($D4933="","",IF(ISNA(MATCH($D4933,'Paramètres'!$M:$M,0)),"⚠ Type inconnu",IF($L4933="Crédit","",IFERROR(INDEX('Paramètres'!$O:$O,MATCH($D4933,'Paramètres'!$M:$M,0))&amp;"",""))))</f>
        <v/>
      </c>
      <c r="N4933" s="6" t="str">
        <f>IF($D4933="","",IFERROR(INDEX('Paramètres'!$Q:$Q,MATCH($D4933,'Paramètres'!$M:$M,0))&amp;"",""))</f>
        <v/>
      </c>
      <c r="O4933" s="6" t="str">
        <f>IF($A4933="","",IF(OR($J4933&lt;&gt;"x",$A4933&lt;=FinReleve),1,0))</f>
        <v/>
      </c>
      <c r="P4933" s="6" t="str">
        <f>IF($D4933="","",IF(AND($L4933="Crédit",OR(IFERROR(INDEX('Paramètres'!$O:$O,MATCH($D4933,'Paramètres'!$M:$M,0))&amp;"","")&lt;&gt;"",ISNUMBER(SEARCH("remboursement",IFERROR(INDEX('Paramètres'!$N:$N,MATCH($D4933,'Paramètres'!$M:$M,0))&amp;"",""))))),1,0))</f>
        <v/>
      </c>
      <c r="Q4933" s="6" t="str">
        <f>IF($K4933="","",IF(ISNUMBER(SEARCH("transfert-interne",IFERROR(INDEX('Paramètres'!$N:$N,MATCH($D4933,'Paramètres'!$M:$M,0))&amp;"",""))),0,IF($L4933="Débit",$K4933,IF($P4933=1,-$K4933,0))))</f>
        <v/>
      </c>
      <c r="R4933" s="6" t="str">
        <f>IF($K4933="","",IF($L4933="Crédit",$K4933,-$K4933))</f>
        <v/>
      </c>
      <c r="S4933" s="6" t="str">
        <f>IF($C4933="","",IFERROR(INDEX('Paramètres'!$H:$H,MATCH($C4933,'Paramètres'!$D:$D,0))&amp;"",""))</f>
        <v/>
      </c>
      <c r="T4933" s="6" t="str">
        <f>IF($K4933="","",IF($S4933="",0,IF(ISNUMBER(SEARCH("apport-exterieur",IFERROR(INDEX('Paramètres'!$N:$N,MATCH($D4933,'Paramètres'!$M:$M,0))&amp;"",""))),0,IF(OR(IFERROR(INDEX('Paramètres'!$I:$I,MATCH($C4933,'Paramètres'!$D:$D,0))&amp;"","")="Les deux",IFERROR(INDEX('Paramètres'!$I:$I,MATCH($C4933,'Paramètres'!$D:$D,0))&amp;"","")=IF($P4933=1,"Débit",$L4933)),-IF($P4933=1,-$K4933,$K4933),0))))</f>
        <v/>
      </c>
      <c r="U4933" s="6" t="str">
        <f>IF($K4933="","",IF(ISNUMBER(SEARCH("sortie-epargne",IFERROR(INDEX('Paramètres'!$N:$N,MATCH($D4933,'Paramètres'!$M:$M,0))&amp;"",""))),$K4933,0))</f>
        <v/>
      </c>
      <c r="V4933" s="6" t="str">
        <f>IF(AND($A4933&lt;&gt;"",$O4933=1,$L4933="Débit",N($Q4933)&gt;0,$A4933&gt;=Visualisation!$B$1,$A4933&lt;Visualisation!$D$1),MAX($V$1:V4932)+1,"")</f>
        <v/>
      </c>
    </row>
    <row r="4934" spans="1:22" x14ac:dyDescent="0.25">
      <c r="A4934" s="9"/>
      <c r="E4934" s="10"/>
      <c r="K4934" s="11" t="str">
        <f>IF($E4934="","",ROUND($E4934*IF(ISNA(MATCH($C4934,'Paramètres'!$D:$D,0)),1,IF(INDEX('Paramètres'!$J:$J,MATCH($C4934,'Paramètres'!$D:$D,0))="",1,INDEX('Paramètres'!$J:$J,MATCH($C4934,'Paramètres'!$D:$D,0)))),2))</f>
        <v/>
      </c>
      <c r="L4934" s="6" t="str">
        <f>IF($D4934="","",IF($F4934&lt;&gt;"",$F4934,IF(ISNA(MATCH($D4934,'Paramètres'!$M:$M,0)),"⚠ Type inconnu",IFERROR(INDEX('Paramètres'!$P:$P,MATCH($D4934,'Paramètres'!$M:$M,0))&amp;"",""))))</f>
        <v/>
      </c>
      <c r="M4934" s="6" t="str">
        <f>IF($D4934="","",IF(ISNA(MATCH($D4934,'Paramètres'!$M:$M,0)),"⚠ Type inconnu",IF($L4934="Crédit","",IFERROR(INDEX('Paramètres'!$O:$O,MATCH($D4934,'Paramètres'!$M:$M,0))&amp;"",""))))</f>
        <v/>
      </c>
      <c r="N4934" s="6" t="str">
        <f>IF($D4934="","",IFERROR(INDEX('Paramètres'!$Q:$Q,MATCH($D4934,'Paramètres'!$M:$M,0))&amp;"",""))</f>
        <v/>
      </c>
      <c r="O4934" s="6" t="str">
        <f>IF($A4934="","",IF(OR($J4934&lt;&gt;"x",$A4934&lt;=FinReleve),1,0))</f>
        <v/>
      </c>
      <c r="P4934" s="6" t="str">
        <f>IF($D4934="","",IF(AND($L4934="Crédit",OR(IFERROR(INDEX('Paramètres'!$O:$O,MATCH($D4934,'Paramètres'!$M:$M,0))&amp;"","")&lt;&gt;"",ISNUMBER(SEARCH("remboursement",IFERROR(INDEX('Paramètres'!$N:$N,MATCH($D4934,'Paramètres'!$M:$M,0))&amp;"",""))))),1,0))</f>
        <v/>
      </c>
      <c r="Q4934" s="6" t="str">
        <f>IF($K4934="","",IF(ISNUMBER(SEARCH("transfert-interne",IFERROR(INDEX('Paramètres'!$N:$N,MATCH($D4934,'Paramètres'!$M:$M,0))&amp;"",""))),0,IF($L4934="Débit",$K4934,IF($P4934=1,-$K4934,0))))</f>
        <v/>
      </c>
      <c r="R4934" s="6" t="str">
        <f>IF($K4934="","",IF($L4934="Crédit",$K4934,-$K4934))</f>
        <v/>
      </c>
      <c r="S4934" s="6" t="str">
        <f>IF($C4934="","",IFERROR(INDEX('Paramètres'!$H:$H,MATCH($C4934,'Paramètres'!$D:$D,0))&amp;"",""))</f>
        <v/>
      </c>
      <c r="T4934" s="6" t="str">
        <f>IF($K4934="","",IF($S4934="",0,IF(ISNUMBER(SEARCH("apport-exterieur",IFERROR(INDEX('Paramètres'!$N:$N,MATCH($D4934,'Paramètres'!$M:$M,0))&amp;"",""))),0,IF(OR(IFERROR(INDEX('Paramètres'!$I:$I,MATCH($C4934,'Paramètres'!$D:$D,0))&amp;"","")="Les deux",IFERROR(INDEX('Paramètres'!$I:$I,MATCH($C4934,'Paramètres'!$D:$D,0))&amp;"","")=IF($P4934=1,"Débit",$L4934)),-IF($P4934=1,-$K4934,$K4934),0))))</f>
        <v/>
      </c>
      <c r="U4934" s="6" t="str">
        <f>IF($K4934="","",IF(ISNUMBER(SEARCH("sortie-epargne",IFERROR(INDEX('Paramètres'!$N:$N,MATCH($D4934,'Paramètres'!$M:$M,0))&amp;"",""))),$K4934,0))</f>
        <v/>
      </c>
      <c r="V4934" s="6" t="str">
        <f>IF(AND($A4934&lt;&gt;"",$O4934=1,$L4934="Débit",N($Q4934)&gt;0,$A4934&gt;=Visualisation!$B$1,$A4934&lt;Visualisation!$D$1),MAX($V$1:V4933)+1,"")</f>
        <v/>
      </c>
    </row>
    <row r="4935" spans="1:22" x14ac:dyDescent="0.25">
      <c r="A4935" s="9"/>
      <c r="E4935" s="10"/>
      <c r="K4935" s="11" t="str">
        <f>IF($E4935="","",ROUND($E4935*IF(ISNA(MATCH($C4935,'Paramètres'!$D:$D,0)),1,IF(INDEX('Paramètres'!$J:$J,MATCH($C4935,'Paramètres'!$D:$D,0))="",1,INDEX('Paramètres'!$J:$J,MATCH($C4935,'Paramètres'!$D:$D,0)))),2))</f>
        <v/>
      </c>
      <c r="L4935" s="6" t="str">
        <f>IF($D4935="","",IF($F4935&lt;&gt;"",$F4935,IF(ISNA(MATCH($D4935,'Paramètres'!$M:$M,0)),"⚠ Type inconnu",IFERROR(INDEX('Paramètres'!$P:$P,MATCH($D4935,'Paramètres'!$M:$M,0))&amp;"",""))))</f>
        <v/>
      </c>
      <c r="M4935" s="6" t="str">
        <f>IF($D4935="","",IF(ISNA(MATCH($D4935,'Paramètres'!$M:$M,0)),"⚠ Type inconnu",IF($L4935="Crédit","",IFERROR(INDEX('Paramètres'!$O:$O,MATCH($D4935,'Paramètres'!$M:$M,0))&amp;"",""))))</f>
        <v/>
      </c>
      <c r="N4935" s="6" t="str">
        <f>IF($D4935="","",IFERROR(INDEX('Paramètres'!$Q:$Q,MATCH($D4935,'Paramètres'!$M:$M,0))&amp;"",""))</f>
        <v/>
      </c>
      <c r="O4935" s="6" t="str">
        <f>IF($A4935="","",IF(OR($J4935&lt;&gt;"x",$A4935&lt;=FinReleve),1,0))</f>
        <v/>
      </c>
      <c r="P4935" s="6" t="str">
        <f>IF($D4935="","",IF(AND($L4935="Crédit",OR(IFERROR(INDEX('Paramètres'!$O:$O,MATCH($D4935,'Paramètres'!$M:$M,0))&amp;"","")&lt;&gt;"",ISNUMBER(SEARCH("remboursement",IFERROR(INDEX('Paramètres'!$N:$N,MATCH($D4935,'Paramètres'!$M:$M,0))&amp;"",""))))),1,0))</f>
        <v/>
      </c>
      <c r="Q4935" s="6" t="str">
        <f>IF($K4935="","",IF(ISNUMBER(SEARCH("transfert-interne",IFERROR(INDEX('Paramètres'!$N:$N,MATCH($D4935,'Paramètres'!$M:$M,0))&amp;"",""))),0,IF($L4935="Débit",$K4935,IF($P4935=1,-$K4935,0))))</f>
        <v/>
      </c>
      <c r="R4935" s="6" t="str">
        <f>IF($K4935="","",IF($L4935="Crédit",$K4935,-$K4935))</f>
        <v/>
      </c>
      <c r="S4935" s="6" t="str">
        <f>IF($C4935="","",IFERROR(INDEX('Paramètres'!$H:$H,MATCH($C4935,'Paramètres'!$D:$D,0))&amp;"",""))</f>
        <v/>
      </c>
      <c r="T4935" s="6" t="str">
        <f>IF($K4935="","",IF($S4935="",0,IF(ISNUMBER(SEARCH("apport-exterieur",IFERROR(INDEX('Paramètres'!$N:$N,MATCH($D4935,'Paramètres'!$M:$M,0))&amp;"",""))),0,IF(OR(IFERROR(INDEX('Paramètres'!$I:$I,MATCH($C4935,'Paramètres'!$D:$D,0))&amp;"","")="Les deux",IFERROR(INDEX('Paramètres'!$I:$I,MATCH($C4935,'Paramètres'!$D:$D,0))&amp;"","")=IF($P4935=1,"Débit",$L4935)),-IF($P4935=1,-$K4935,$K4935),0))))</f>
        <v/>
      </c>
      <c r="U4935" s="6" t="str">
        <f>IF($K4935="","",IF(ISNUMBER(SEARCH("sortie-epargne",IFERROR(INDEX('Paramètres'!$N:$N,MATCH($D4935,'Paramètres'!$M:$M,0))&amp;"",""))),$K4935,0))</f>
        <v/>
      </c>
      <c r="V4935" s="6" t="str">
        <f>IF(AND($A4935&lt;&gt;"",$O4935=1,$L4935="Débit",N($Q4935)&gt;0,$A4935&gt;=Visualisation!$B$1,$A4935&lt;Visualisation!$D$1),MAX($V$1:V4934)+1,"")</f>
        <v/>
      </c>
    </row>
    <row r="4936" spans="1:22" x14ac:dyDescent="0.25">
      <c r="A4936" s="9"/>
      <c r="E4936" s="10"/>
      <c r="K4936" s="11" t="str">
        <f>IF($E4936="","",ROUND($E4936*IF(ISNA(MATCH($C4936,'Paramètres'!$D:$D,0)),1,IF(INDEX('Paramètres'!$J:$J,MATCH($C4936,'Paramètres'!$D:$D,0))="",1,INDEX('Paramètres'!$J:$J,MATCH($C4936,'Paramètres'!$D:$D,0)))),2))</f>
        <v/>
      </c>
      <c r="L4936" s="6" t="str">
        <f>IF($D4936="","",IF($F4936&lt;&gt;"",$F4936,IF(ISNA(MATCH($D4936,'Paramètres'!$M:$M,0)),"⚠ Type inconnu",IFERROR(INDEX('Paramètres'!$P:$P,MATCH($D4936,'Paramètres'!$M:$M,0))&amp;"",""))))</f>
        <v/>
      </c>
      <c r="M4936" s="6" t="str">
        <f>IF($D4936="","",IF(ISNA(MATCH($D4936,'Paramètres'!$M:$M,0)),"⚠ Type inconnu",IF($L4936="Crédit","",IFERROR(INDEX('Paramètres'!$O:$O,MATCH($D4936,'Paramètres'!$M:$M,0))&amp;"",""))))</f>
        <v/>
      </c>
      <c r="N4936" s="6" t="str">
        <f>IF($D4936="","",IFERROR(INDEX('Paramètres'!$Q:$Q,MATCH($D4936,'Paramètres'!$M:$M,0))&amp;"",""))</f>
        <v/>
      </c>
      <c r="O4936" s="6" t="str">
        <f>IF($A4936="","",IF(OR($J4936&lt;&gt;"x",$A4936&lt;=FinReleve),1,0))</f>
        <v/>
      </c>
      <c r="P4936" s="6" t="str">
        <f>IF($D4936="","",IF(AND($L4936="Crédit",OR(IFERROR(INDEX('Paramètres'!$O:$O,MATCH($D4936,'Paramètres'!$M:$M,0))&amp;"","")&lt;&gt;"",ISNUMBER(SEARCH("remboursement",IFERROR(INDEX('Paramètres'!$N:$N,MATCH($D4936,'Paramètres'!$M:$M,0))&amp;"",""))))),1,0))</f>
        <v/>
      </c>
      <c r="Q4936" s="6" t="str">
        <f>IF($K4936="","",IF(ISNUMBER(SEARCH("transfert-interne",IFERROR(INDEX('Paramètres'!$N:$N,MATCH($D4936,'Paramètres'!$M:$M,0))&amp;"",""))),0,IF($L4936="Débit",$K4936,IF($P4936=1,-$K4936,0))))</f>
        <v/>
      </c>
      <c r="R4936" s="6" t="str">
        <f>IF($K4936="","",IF($L4936="Crédit",$K4936,-$K4936))</f>
        <v/>
      </c>
      <c r="S4936" s="6" t="str">
        <f>IF($C4936="","",IFERROR(INDEX('Paramètres'!$H:$H,MATCH($C4936,'Paramètres'!$D:$D,0))&amp;"",""))</f>
        <v/>
      </c>
      <c r="T4936" s="6" t="str">
        <f>IF($K4936="","",IF($S4936="",0,IF(ISNUMBER(SEARCH("apport-exterieur",IFERROR(INDEX('Paramètres'!$N:$N,MATCH($D4936,'Paramètres'!$M:$M,0))&amp;"",""))),0,IF(OR(IFERROR(INDEX('Paramètres'!$I:$I,MATCH($C4936,'Paramètres'!$D:$D,0))&amp;"","")="Les deux",IFERROR(INDEX('Paramètres'!$I:$I,MATCH($C4936,'Paramètres'!$D:$D,0))&amp;"","")=IF($P4936=1,"Débit",$L4936)),-IF($P4936=1,-$K4936,$K4936),0))))</f>
        <v/>
      </c>
      <c r="U4936" s="6" t="str">
        <f>IF($K4936="","",IF(ISNUMBER(SEARCH("sortie-epargne",IFERROR(INDEX('Paramètres'!$N:$N,MATCH($D4936,'Paramètres'!$M:$M,0))&amp;"",""))),$K4936,0))</f>
        <v/>
      </c>
      <c r="V4936" s="6" t="str">
        <f>IF(AND($A4936&lt;&gt;"",$O4936=1,$L4936="Débit",N($Q4936)&gt;0,$A4936&gt;=Visualisation!$B$1,$A4936&lt;Visualisation!$D$1),MAX($V$1:V4935)+1,"")</f>
        <v/>
      </c>
    </row>
    <row r="4937" spans="1:22" x14ac:dyDescent="0.25">
      <c r="A4937" s="9"/>
      <c r="E4937" s="10"/>
      <c r="K4937" s="11" t="str">
        <f>IF($E4937="","",ROUND($E4937*IF(ISNA(MATCH($C4937,'Paramètres'!$D:$D,0)),1,IF(INDEX('Paramètres'!$J:$J,MATCH($C4937,'Paramètres'!$D:$D,0))="",1,INDEX('Paramètres'!$J:$J,MATCH($C4937,'Paramètres'!$D:$D,0)))),2))</f>
        <v/>
      </c>
      <c r="L4937" s="6" t="str">
        <f>IF($D4937="","",IF($F4937&lt;&gt;"",$F4937,IF(ISNA(MATCH($D4937,'Paramètres'!$M:$M,0)),"⚠ Type inconnu",IFERROR(INDEX('Paramètres'!$P:$P,MATCH($D4937,'Paramètres'!$M:$M,0))&amp;"",""))))</f>
        <v/>
      </c>
      <c r="M4937" s="6" t="str">
        <f>IF($D4937="","",IF(ISNA(MATCH($D4937,'Paramètres'!$M:$M,0)),"⚠ Type inconnu",IF($L4937="Crédit","",IFERROR(INDEX('Paramètres'!$O:$O,MATCH($D4937,'Paramètres'!$M:$M,0))&amp;"",""))))</f>
        <v/>
      </c>
      <c r="N4937" s="6" t="str">
        <f>IF($D4937="","",IFERROR(INDEX('Paramètres'!$Q:$Q,MATCH($D4937,'Paramètres'!$M:$M,0))&amp;"",""))</f>
        <v/>
      </c>
      <c r="O4937" s="6" t="str">
        <f>IF($A4937="","",IF(OR($J4937&lt;&gt;"x",$A4937&lt;=FinReleve),1,0))</f>
        <v/>
      </c>
      <c r="P4937" s="6" t="str">
        <f>IF($D4937="","",IF(AND($L4937="Crédit",OR(IFERROR(INDEX('Paramètres'!$O:$O,MATCH($D4937,'Paramètres'!$M:$M,0))&amp;"","")&lt;&gt;"",ISNUMBER(SEARCH("remboursement",IFERROR(INDEX('Paramètres'!$N:$N,MATCH($D4937,'Paramètres'!$M:$M,0))&amp;"",""))))),1,0))</f>
        <v/>
      </c>
      <c r="Q4937" s="6" t="str">
        <f>IF($K4937="","",IF(ISNUMBER(SEARCH("transfert-interne",IFERROR(INDEX('Paramètres'!$N:$N,MATCH($D4937,'Paramètres'!$M:$M,0))&amp;"",""))),0,IF($L4937="Débit",$K4937,IF($P4937=1,-$K4937,0))))</f>
        <v/>
      </c>
      <c r="R4937" s="6" t="str">
        <f>IF($K4937="","",IF($L4937="Crédit",$K4937,-$K4937))</f>
        <v/>
      </c>
      <c r="S4937" s="6" t="str">
        <f>IF($C4937="","",IFERROR(INDEX('Paramètres'!$H:$H,MATCH($C4937,'Paramètres'!$D:$D,0))&amp;"",""))</f>
        <v/>
      </c>
      <c r="T4937" s="6" t="str">
        <f>IF($K4937="","",IF($S4937="",0,IF(ISNUMBER(SEARCH("apport-exterieur",IFERROR(INDEX('Paramètres'!$N:$N,MATCH($D4937,'Paramètres'!$M:$M,0))&amp;"",""))),0,IF(OR(IFERROR(INDEX('Paramètres'!$I:$I,MATCH($C4937,'Paramètres'!$D:$D,0))&amp;"","")="Les deux",IFERROR(INDEX('Paramètres'!$I:$I,MATCH($C4937,'Paramètres'!$D:$D,0))&amp;"","")=IF($P4937=1,"Débit",$L4937)),-IF($P4937=1,-$K4937,$K4937),0))))</f>
        <v/>
      </c>
      <c r="U4937" s="6" t="str">
        <f>IF($K4937="","",IF(ISNUMBER(SEARCH("sortie-epargne",IFERROR(INDEX('Paramètres'!$N:$N,MATCH($D4937,'Paramètres'!$M:$M,0))&amp;"",""))),$K4937,0))</f>
        <v/>
      </c>
      <c r="V4937" s="6" t="str">
        <f>IF(AND($A4937&lt;&gt;"",$O4937=1,$L4937="Débit",N($Q4937)&gt;0,$A4937&gt;=Visualisation!$B$1,$A4937&lt;Visualisation!$D$1),MAX($V$1:V4936)+1,"")</f>
        <v/>
      </c>
    </row>
    <row r="4938" spans="1:22" x14ac:dyDescent="0.25">
      <c r="A4938" s="9"/>
      <c r="E4938" s="10"/>
      <c r="K4938" s="11" t="str">
        <f>IF($E4938="","",ROUND($E4938*IF(ISNA(MATCH($C4938,'Paramètres'!$D:$D,0)),1,IF(INDEX('Paramètres'!$J:$J,MATCH($C4938,'Paramètres'!$D:$D,0))="",1,INDEX('Paramètres'!$J:$J,MATCH($C4938,'Paramètres'!$D:$D,0)))),2))</f>
        <v/>
      </c>
      <c r="L4938" s="6" t="str">
        <f>IF($D4938="","",IF($F4938&lt;&gt;"",$F4938,IF(ISNA(MATCH($D4938,'Paramètres'!$M:$M,0)),"⚠ Type inconnu",IFERROR(INDEX('Paramètres'!$P:$P,MATCH($D4938,'Paramètres'!$M:$M,0))&amp;"",""))))</f>
        <v/>
      </c>
      <c r="M4938" s="6" t="str">
        <f>IF($D4938="","",IF(ISNA(MATCH($D4938,'Paramètres'!$M:$M,0)),"⚠ Type inconnu",IF($L4938="Crédit","",IFERROR(INDEX('Paramètres'!$O:$O,MATCH($D4938,'Paramètres'!$M:$M,0))&amp;"",""))))</f>
        <v/>
      </c>
      <c r="N4938" s="6" t="str">
        <f>IF($D4938="","",IFERROR(INDEX('Paramètres'!$Q:$Q,MATCH($D4938,'Paramètres'!$M:$M,0))&amp;"",""))</f>
        <v/>
      </c>
      <c r="O4938" s="6" t="str">
        <f>IF($A4938="","",IF(OR($J4938&lt;&gt;"x",$A4938&lt;=FinReleve),1,0))</f>
        <v/>
      </c>
      <c r="P4938" s="6" t="str">
        <f>IF($D4938="","",IF(AND($L4938="Crédit",OR(IFERROR(INDEX('Paramètres'!$O:$O,MATCH($D4938,'Paramètres'!$M:$M,0))&amp;"","")&lt;&gt;"",ISNUMBER(SEARCH("remboursement",IFERROR(INDEX('Paramètres'!$N:$N,MATCH($D4938,'Paramètres'!$M:$M,0))&amp;"",""))))),1,0))</f>
        <v/>
      </c>
      <c r="Q4938" s="6" t="str">
        <f>IF($K4938="","",IF(ISNUMBER(SEARCH("transfert-interne",IFERROR(INDEX('Paramètres'!$N:$N,MATCH($D4938,'Paramètres'!$M:$M,0))&amp;"",""))),0,IF($L4938="Débit",$K4938,IF($P4938=1,-$K4938,0))))</f>
        <v/>
      </c>
      <c r="R4938" s="6" t="str">
        <f>IF($K4938="","",IF($L4938="Crédit",$K4938,-$K4938))</f>
        <v/>
      </c>
      <c r="S4938" s="6" t="str">
        <f>IF($C4938="","",IFERROR(INDEX('Paramètres'!$H:$H,MATCH($C4938,'Paramètres'!$D:$D,0))&amp;"",""))</f>
        <v/>
      </c>
      <c r="T4938" s="6" t="str">
        <f>IF($K4938="","",IF($S4938="",0,IF(ISNUMBER(SEARCH("apport-exterieur",IFERROR(INDEX('Paramètres'!$N:$N,MATCH($D4938,'Paramètres'!$M:$M,0))&amp;"",""))),0,IF(OR(IFERROR(INDEX('Paramètres'!$I:$I,MATCH($C4938,'Paramètres'!$D:$D,0))&amp;"","")="Les deux",IFERROR(INDEX('Paramètres'!$I:$I,MATCH($C4938,'Paramètres'!$D:$D,0))&amp;"","")=IF($P4938=1,"Débit",$L4938)),-IF($P4938=1,-$K4938,$K4938),0))))</f>
        <v/>
      </c>
      <c r="U4938" s="6" t="str">
        <f>IF($K4938="","",IF(ISNUMBER(SEARCH("sortie-epargne",IFERROR(INDEX('Paramètres'!$N:$N,MATCH($D4938,'Paramètres'!$M:$M,0))&amp;"",""))),$K4938,0))</f>
        <v/>
      </c>
      <c r="V4938" s="6" t="str">
        <f>IF(AND($A4938&lt;&gt;"",$O4938=1,$L4938="Débit",N($Q4938)&gt;0,$A4938&gt;=Visualisation!$B$1,$A4938&lt;Visualisation!$D$1),MAX($V$1:V4937)+1,"")</f>
        <v/>
      </c>
    </row>
    <row r="4939" spans="1:22" x14ac:dyDescent="0.25">
      <c r="A4939" s="9"/>
      <c r="E4939" s="10"/>
      <c r="K4939" s="11" t="str">
        <f>IF($E4939="","",ROUND($E4939*IF(ISNA(MATCH($C4939,'Paramètres'!$D:$D,0)),1,IF(INDEX('Paramètres'!$J:$J,MATCH($C4939,'Paramètres'!$D:$D,0))="",1,INDEX('Paramètres'!$J:$J,MATCH($C4939,'Paramètres'!$D:$D,0)))),2))</f>
        <v/>
      </c>
      <c r="L4939" s="6" t="str">
        <f>IF($D4939="","",IF($F4939&lt;&gt;"",$F4939,IF(ISNA(MATCH($D4939,'Paramètres'!$M:$M,0)),"⚠ Type inconnu",IFERROR(INDEX('Paramètres'!$P:$P,MATCH($D4939,'Paramètres'!$M:$M,0))&amp;"",""))))</f>
        <v/>
      </c>
      <c r="M4939" s="6" t="str">
        <f>IF($D4939="","",IF(ISNA(MATCH($D4939,'Paramètres'!$M:$M,0)),"⚠ Type inconnu",IF($L4939="Crédit","",IFERROR(INDEX('Paramètres'!$O:$O,MATCH($D4939,'Paramètres'!$M:$M,0))&amp;"",""))))</f>
        <v/>
      </c>
      <c r="N4939" s="6" t="str">
        <f>IF($D4939="","",IFERROR(INDEX('Paramètres'!$Q:$Q,MATCH($D4939,'Paramètres'!$M:$M,0))&amp;"",""))</f>
        <v/>
      </c>
      <c r="O4939" s="6" t="str">
        <f>IF($A4939="","",IF(OR($J4939&lt;&gt;"x",$A4939&lt;=FinReleve),1,0))</f>
        <v/>
      </c>
      <c r="P4939" s="6" t="str">
        <f>IF($D4939="","",IF(AND($L4939="Crédit",OR(IFERROR(INDEX('Paramètres'!$O:$O,MATCH($D4939,'Paramètres'!$M:$M,0))&amp;"","")&lt;&gt;"",ISNUMBER(SEARCH("remboursement",IFERROR(INDEX('Paramètres'!$N:$N,MATCH($D4939,'Paramètres'!$M:$M,0))&amp;"",""))))),1,0))</f>
        <v/>
      </c>
      <c r="Q4939" s="6" t="str">
        <f>IF($K4939="","",IF(ISNUMBER(SEARCH("transfert-interne",IFERROR(INDEX('Paramètres'!$N:$N,MATCH($D4939,'Paramètres'!$M:$M,0))&amp;"",""))),0,IF($L4939="Débit",$K4939,IF($P4939=1,-$K4939,0))))</f>
        <v/>
      </c>
      <c r="R4939" s="6" t="str">
        <f>IF($K4939="","",IF($L4939="Crédit",$K4939,-$K4939))</f>
        <v/>
      </c>
      <c r="S4939" s="6" t="str">
        <f>IF($C4939="","",IFERROR(INDEX('Paramètres'!$H:$H,MATCH($C4939,'Paramètres'!$D:$D,0))&amp;"",""))</f>
        <v/>
      </c>
      <c r="T4939" s="6" t="str">
        <f>IF($K4939="","",IF($S4939="",0,IF(ISNUMBER(SEARCH("apport-exterieur",IFERROR(INDEX('Paramètres'!$N:$N,MATCH($D4939,'Paramètres'!$M:$M,0))&amp;"",""))),0,IF(OR(IFERROR(INDEX('Paramètres'!$I:$I,MATCH($C4939,'Paramètres'!$D:$D,0))&amp;"","")="Les deux",IFERROR(INDEX('Paramètres'!$I:$I,MATCH($C4939,'Paramètres'!$D:$D,0))&amp;"","")=IF($P4939=1,"Débit",$L4939)),-IF($P4939=1,-$K4939,$K4939),0))))</f>
        <v/>
      </c>
      <c r="U4939" s="6" t="str">
        <f>IF($K4939="","",IF(ISNUMBER(SEARCH("sortie-epargne",IFERROR(INDEX('Paramètres'!$N:$N,MATCH($D4939,'Paramètres'!$M:$M,0))&amp;"",""))),$K4939,0))</f>
        <v/>
      </c>
      <c r="V4939" s="6" t="str">
        <f>IF(AND($A4939&lt;&gt;"",$O4939=1,$L4939="Débit",N($Q4939)&gt;0,$A4939&gt;=Visualisation!$B$1,$A4939&lt;Visualisation!$D$1),MAX($V$1:V4938)+1,"")</f>
        <v/>
      </c>
    </row>
    <row r="4940" spans="1:22" x14ac:dyDescent="0.25">
      <c r="A4940" s="9"/>
      <c r="E4940" s="10"/>
      <c r="K4940" s="11" t="str">
        <f>IF($E4940="","",ROUND($E4940*IF(ISNA(MATCH($C4940,'Paramètres'!$D:$D,0)),1,IF(INDEX('Paramètres'!$J:$J,MATCH($C4940,'Paramètres'!$D:$D,0))="",1,INDEX('Paramètres'!$J:$J,MATCH($C4940,'Paramètres'!$D:$D,0)))),2))</f>
        <v/>
      </c>
      <c r="L4940" s="6" t="str">
        <f>IF($D4940="","",IF($F4940&lt;&gt;"",$F4940,IF(ISNA(MATCH($D4940,'Paramètres'!$M:$M,0)),"⚠ Type inconnu",IFERROR(INDEX('Paramètres'!$P:$P,MATCH($D4940,'Paramètres'!$M:$M,0))&amp;"",""))))</f>
        <v/>
      </c>
      <c r="M4940" s="6" t="str">
        <f>IF($D4940="","",IF(ISNA(MATCH($D4940,'Paramètres'!$M:$M,0)),"⚠ Type inconnu",IF($L4940="Crédit","",IFERROR(INDEX('Paramètres'!$O:$O,MATCH($D4940,'Paramètres'!$M:$M,0))&amp;"",""))))</f>
        <v/>
      </c>
      <c r="N4940" s="6" t="str">
        <f>IF($D4940="","",IFERROR(INDEX('Paramètres'!$Q:$Q,MATCH($D4940,'Paramètres'!$M:$M,0))&amp;"",""))</f>
        <v/>
      </c>
      <c r="O4940" s="6" t="str">
        <f>IF($A4940="","",IF(OR($J4940&lt;&gt;"x",$A4940&lt;=FinReleve),1,0))</f>
        <v/>
      </c>
      <c r="P4940" s="6" t="str">
        <f>IF($D4940="","",IF(AND($L4940="Crédit",OR(IFERROR(INDEX('Paramètres'!$O:$O,MATCH($D4940,'Paramètres'!$M:$M,0))&amp;"","")&lt;&gt;"",ISNUMBER(SEARCH("remboursement",IFERROR(INDEX('Paramètres'!$N:$N,MATCH($D4940,'Paramètres'!$M:$M,0))&amp;"",""))))),1,0))</f>
        <v/>
      </c>
      <c r="Q4940" s="6" t="str">
        <f>IF($K4940="","",IF(ISNUMBER(SEARCH("transfert-interne",IFERROR(INDEX('Paramètres'!$N:$N,MATCH($D4940,'Paramètres'!$M:$M,0))&amp;"",""))),0,IF($L4940="Débit",$K4940,IF($P4940=1,-$K4940,0))))</f>
        <v/>
      </c>
      <c r="R4940" s="6" t="str">
        <f>IF($K4940="","",IF($L4940="Crédit",$K4940,-$K4940))</f>
        <v/>
      </c>
      <c r="S4940" s="6" t="str">
        <f>IF($C4940="","",IFERROR(INDEX('Paramètres'!$H:$H,MATCH($C4940,'Paramètres'!$D:$D,0))&amp;"",""))</f>
        <v/>
      </c>
      <c r="T4940" s="6" t="str">
        <f>IF($K4940="","",IF($S4940="",0,IF(ISNUMBER(SEARCH("apport-exterieur",IFERROR(INDEX('Paramètres'!$N:$N,MATCH($D4940,'Paramètres'!$M:$M,0))&amp;"",""))),0,IF(OR(IFERROR(INDEX('Paramètres'!$I:$I,MATCH($C4940,'Paramètres'!$D:$D,0))&amp;"","")="Les deux",IFERROR(INDEX('Paramètres'!$I:$I,MATCH($C4940,'Paramètres'!$D:$D,0))&amp;"","")=IF($P4940=1,"Débit",$L4940)),-IF($P4940=1,-$K4940,$K4940),0))))</f>
        <v/>
      </c>
      <c r="U4940" s="6" t="str">
        <f>IF($K4940="","",IF(ISNUMBER(SEARCH("sortie-epargne",IFERROR(INDEX('Paramètres'!$N:$N,MATCH($D4940,'Paramètres'!$M:$M,0))&amp;"",""))),$K4940,0))</f>
        <v/>
      </c>
      <c r="V4940" s="6" t="str">
        <f>IF(AND($A4940&lt;&gt;"",$O4940=1,$L4940="Débit",N($Q4940)&gt;0,$A4940&gt;=Visualisation!$B$1,$A4940&lt;Visualisation!$D$1),MAX($V$1:V4939)+1,"")</f>
        <v/>
      </c>
    </row>
    <row r="4941" spans="1:22" x14ac:dyDescent="0.25">
      <c r="A4941" s="9"/>
      <c r="E4941" s="10"/>
      <c r="K4941" s="11" t="str">
        <f>IF($E4941="","",ROUND($E4941*IF(ISNA(MATCH($C4941,'Paramètres'!$D:$D,0)),1,IF(INDEX('Paramètres'!$J:$J,MATCH($C4941,'Paramètres'!$D:$D,0))="",1,INDEX('Paramètres'!$J:$J,MATCH($C4941,'Paramètres'!$D:$D,0)))),2))</f>
        <v/>
      </c>
      <c r="L4941" s="6" t="str">
        <f>IF($D4941="","",IF($F4941&lt;&gt;"",$F4941,IF(ISNA(MATCH($D4941,'Paramètres'!$M:$M,0)),"⚠ Type inconnu",IFERROR(INDEX('Paramètres'!$P:$P,MATCH($D4941,'Paramètres'!$M:$M,0))&amp;"",""))))</f>
        <v/>
      </c>
      <c r="M4941" s="6" t="str">
        <f>IF($D4941="","",IF(ISNA(MATCH($D4941,'Paramètres'!$M:$M,0)),"⚠ Type inconnu",IF($L4941="Crédit","",IFERROR(INDEX('Paramètres'!$O:$O,MATCH($D4941,'Paramètres'!$M:$M,0))&amp;"",""))))</f>
        <v/>
      </c>
      <c r="N4941" s="6" t="str">
        <f>IF($D4941="","",IFERROR(INDEX('Paramètres'!$Q:$Q,MATCH($D4941,'Paramètres'!$M:$M,0))&amp;"",""))</f>
        <v/>
      </c>
      <c r="O4941" s="6" t="str">
        <f>IF($A4941="","",IF(OR($J4941&lt;&gt;"x",$A4941&lt;=FinReleve),1,0))</f>
        <v/>
      </c>
      <c r="P4941" s="6" t="str">
        <f>IF($D4941="","",IF(AND($L4941="Crédit",OR(IFERROR(INDEX('Paramètres'!$O:$O,MATCH($D4941,'Paramètres'!$M:$M,0))&amp;"","")&lt;&gt;"",ISNUMBER(SEARCH("remboursement",IFERROR(INDEX('Paramètres'!$N:$N,MATCH($D4941,'Paramètres'!$M:$M,0))&amp;"",""))))),1,0))</f>
        <v/>
      </c>
      <c r="Q4941" s="6" t="str">
        <f>IF($K4941="","",IF(ISNUMBER(SEARCH("transfert-interne",IFERROR(INDEX('Paramètres'!$N:$N,MATCH($D4941,'Paramètres'!$M:$M,0))&amp;"",""))),0,IF($L4941="Débit",$K4941,IF($P4941=1,-$K4941,0))))</f>
        <v/>
      </c>
      <c r="R4941" s="6" t="str">
        <f>IF($K4941="","",IF($L4941="Crédit",$K4941,-$K4941))</f>
        <v/>
      </c>
      <c r="S4941" s="6" t="str">
        <f>IF($C4941="","",IFERROR(INDEX('Paramètres'!$H:$H,MATCH($C4941,'Paramètres'!$D:$D,0))&amp;"",""))</f>
        <v/>
      </c>
      <c r="T4941" s="6" t="str">
        <f>IF($K4941="","",IF($S4941="",0,IF(ISNUMBER(SEARCH("apport-exterieur",IFERROR(INDEX('Paramètres'!$N:$N,MATCH($D4941,'Paramètres'!$M:$M,0))&amp;"",""))),0,IF(OR(IFERROR(INDEX('Paramètres'!$I:$I,MATCH($C4941,'Paramètres'!$D:$D,0))&amp;"","")="Les deux",IFERROR(INDEX('Paramètres'!$I:$I,MATCH($C4941,'Paramètres'!$D:$D,0))&amp;"","")=IF($P4941=1,"Débit",$L4941)),-IF($P4941=1,-$K4941,$K4941),0))))</f>
        <v/>
      </c>
      <c r="U4941" s="6" t="str">
        <f>IF($K4941="","",IF(ISNUMBER(SEARCH("sortie-epargne",IFERROR(INDEX('Paramètres'!$N:$N,MATCH($D4941,'Paramètres'!$M:$M,0))&amp;"",""))),$K4941,0))</f>
        <v/>
      </c>
      <c r="V4941" s="6" t="str">
        <f>IF(AND($A4941&lt;&gt;"",$O4941=1,$L4941="Débit",N($Q4941)&gt;0,$A4941&gt;=Visualisation!$B$1,$A4941&lt;Visualisation!$D$1),MAX($V$1:V4940)+1,"")</f>
        <v/>
      </c>
    </row>
    <row r="4942" spans="1:22" x14ac:dyDescent="0.25">
      <c r="A4942" s="9"/>
      <c r="E4942" s="10"/>
      <c r="K4942" s="11" t="str">
        <f>IF($E4942="","",ROUND($E4942*IF(ISNA(MATCH($C4942,'Paramètres'!$D:$D,0)),1,IF(INDEX('Paramètres'!$J:$J,MATCH($C4942,'Paramètres'!$D:$D,0))="",1,INDEX('Paramètres'!$J:$J,MATCH($C4942,'Paramètres'!$D:$D,0)))),2))</f>
        <v/>
      </c>
      <c r="L4942" s="6" t="str">
        <f>IF($D4942="","",IF($F4942&lt;&gt;"",$F4942,IF(ISNA(MATCH($D4942,'Paramètres'!$M:$M,0)),"⚠ Type inconnu",IFERROR(INDEX('Paramètres'!$P:$P,MATCH($D4942,'Paramètres'!$M:$M,0))&amp;"",""))))</f>
        <v/>
      </c>
      <c r="M4942" s="6" t="str">
        <f>IF($D4942="","",IF(ISNA(MATCH($D4942,'Paramètres'!$M:$M,0)),"⚠ Type inconnu",IF($L4942="Crédit","",IFERROR(INDEX('Paramètres'!$O:$O,MATCH($D4942,'Paramètres'!$M:$M,0))&amp;"",""))))</f>
        <v/>
      </c>
      <c r="N4942" s="6" t="str">
        <f>IF($D4942="","",IFERROR(INDEX('Paramètres'!$Q:$Q,MATCH($D4942,'Paramètres'!$M:$M,0))&amp;"",""))</f>
        <v/>
      </c>
      <c r="O4942" s="6" t="str">
        <f>IF($A4942="","",IF(OR($J4942&lt;&gt;"x",$A4942&lt;=FinReleve),1,0))</f>
        <v/>
      </c>
      <c r="P4942" s="6" t="str">
        <f>IF($D4942="","",IF(AND($L4942="Crédit",OR(IFERROR(INDEX('Paramètres'!$O:$O,MATCH($D4942,'Paramètres'!$M:$M,0))&amp;"","")&lt;&gt;"",ISNUMBER(SEARCH("remboursement",IFERROR(INDEX('Paramètres'!$N:$N,MATCH($D4942,'Paramètres'!$M:$M,0))&amp;"",""))))),1,0))</f>
        <v/>
      </c>
      <c r="Q4942" s="6" t="str">
        <f>IF($K4942="","",IF(ISNUMBER(SEARCH("transfert-interne",IFERROR(INDEX('Paramètres'!$N:$N,MATCH($D4942,'Paramètres'!$M:$M,0))&amp;"",""))),0,IF($L4942="Débit",$K4942,IF($P4942=1,-$K4942,0))))</f>
        <v/>
      </c>
      <c r="R4942" s="6" t="str">
        <f>IF($K4942="","",IF($L4942="Crédit",$K4942,-$K4942))</f>
        <v/>
      </c>
      <c r="S4942" s="6" t="str">
        <f>IF($C4942="","",IFERROR(INDEX('Paramètres'!$H:$H,MATCH($C4942,'Paramètres'!$D:$D,0))&amp;"",""))</f>
        <v/>
      </c>
      <c r="T4942" s="6" t="str">
        <f>IF($K4942="","",IF($S4942="",0,IF(ISNUMBER(SEARCH("apport-exterieur",IFERROR(INDEX('Paramètres'!$N:$N,MATCH($D4942,'Paramètres'!$M:$M,0))&amp;"",""))),0,IF(OR(IFERROR(INDEX('Paramètres'!$I:$I,MATCH($C4942,'Paramètres'!$D:$D,0))&amp;"","")="Les deux",IFERROR(INDEX('Paramètres'!$I:$I,MATCH($C4942,'Paramètres'!$D:$D,0))&amp;"","")=IF($P4942=1,"Débit",$L4942)),-IF($P4942=1,-$K4942,$K4942),0))))</f>
        <v/>
      </c>
      <c r="U4942" s="6" t="str">
        <f>IF($K4942="","",IF(ISNUMBER(SEARCH("sortie-epargne",IFERROR(INDEX('Paramètres'!$N:$N,MATCH($D4942,'Paramètres'!$M:$M,0))&amp;"",""))),$K4942,0))</f>
        <v/>
      </c>
      <c r="V4942" s="6" t="str">
        <f>IF(AND($A4942&lt;&gt;"",$O4942=1,$L4942="Débit",N($Q4942)&gt;0,$A4942&gt;=Visualisation!$B$1,$A4942&lt;Visualisation!$D$1),MAX($V$1:V4941)+1,"")</f>
        <v/>
      </c>
    </row>
    <row r="4943" spans="1:22" x14ac:dyDescent="0.25">
      <c r="A4943" s="9"/>
      <c r="E4943" s="10"/>
      <c r="K4943" s="11" t="str">
        <f>IF($E4943="","",ROUND($E4943*IF(ISNA(MATCH($C4943,'Paramètres'!$D:$D,0)),1,IF(INDEX('Paramètres'!$J:$J,MATCH($C4943,'Paramètres'!$D:$D,0))="",1,INDEX('Paramètres'!$J:$J,MATCH($C4943,'Paramètres'!$D:$D,0)))),2))</f>
        <v/>
      </c>
      <c r="L4943" s="6" t="str">
        <f>IF($D4943="","",IF($F4943&lt;&gt;"",$F4943,IF(ISNA(MATCH($D4943,'Paramètres'!$M:$M,0)),"⚠ Type inconnu",IFERROR(INDEX('Paramètres'!$P:$P,MATCH($D4943,'Paramètres'!$M:$M,0))&amp;"",""))))</f>
        <v/>
      </c>
      <c r="M4943" s="6" t="str">
        <f>IF($D4943="","",IF(ISNA(MATCH($D4943,'Paramètres'!$M:$M,0)),"⚠ Type inconnu",IF($L4943="Crédit","",IFERROR(INDEX('Paramètres'!$O:$O,MATCH($D4943,'Paramètres'!$M:$M,0))&amp;"",""))))</f>
        <v/>
      </c>
      <c r="N4943" s="6" t="str">
        <f>IF($D4943="","",IFERROR(INDEX('Paramètres'!$Q:$Q,MATCH($D4943,'Paramètres'!$M:$M,0))&amp;"",""))</f>
        <v/>
      </c>
      <c r="O4943" s="6" t="str">
        <f>IF($A4943="","",IF(OR($J4943&lt;&gt;"x",$A4943&lt;=FinReleve),1,0))</f>
        <v/>
      </c>
      <c r="P4943" s="6" t="str">
        <f>IF($D4943="","",IF(AND($L4943="Crédit",OR(IFERROR(INDEX('Paramètres'!$O:$O,MATCH($D4943,'Paramètres'!$M:$M,0))&amp;"","")&lt;&gt;"",ISNUMBER(SEARCH("remboursement",IFERROR(INDEX('Paramètres'!$N:$N,MATCH($D4943,'Paramètres'!$M:$M,0))&amp;"",""))))),1,0))</f>
        <v/>
      </c>
      <c r="Q4943" s="6" t="str">
        <f>IF($K4943="","",IF(ISNUMBER(SEARCH("transfert-interne",IFERROR(INDEX('Paramètres'!$N:$N,MATCH($D4943,'Paramètres'!$M:$M,0))&amp;"",""))),0,IF($L4943="Débit",$K4943,IF($P4943=1,-$K4943,0))))</f>
        <v/>
      </c>
      <c r="R4943" s="6" t="str">
        <f>IF($K4943="","",IF($L4943="Crédit",$K4943,-$K4943))</f>
        <v/>
      </c>
      <c r="S4943" s="6" t="str">
        <f>IF($C4943="","",IFERROR(INDEX('Paramètres'!$H:$H,MATCH($C4943,'Paramètres'!$D:$D,0))&amp;"",""))</f>
        <v/>
      </c>
      <c r="T4943" s="6" t="str">
        <f>IF($K4943="","",IF($S4943="",0,IF(ISNUMBER(SEARCH("apport-exterieur",IFERROR(INDEX('Paramètres'!$N:$N,MATCH($D4943,'Paramètres'!$M:$M,0))&amp;"",""))),0,IF(OR(IFERROR(INDEX('Paramètres'!$I:$I,MATCH($C4943,'Paramètres'!$D:$D,0))&amp;"","")="Les deux",IFERROR(INDEX('Paramètres'!$I:$I,MATCH($C4943,'Paramètres'!$D:$D,0))&amp;"","")=IF($P4943=1,"Débit",$L4943)),-IF($P4943=1,-$K4943,$K4943),0))))</f>
        <v/>
      </c>
      <c r="U4943" s="6" t="str">
        <f>IF($K4943="","",IF(ISNUMBER(SEARCH("sortie-epargne",IFERROR(INDEX('Paramètres'!$N:$N,MATCH($D4943,'Paramètres'!$M:$M,0))&amp;"",""))),$K4943,0))</f>
        <v/>
      </c>
      <c r="V4943" s="6" t="str">
        <f>IF(AND($A4943&lt;&gt;"",$O4943=1,$L4943="Débit",N($Q4943)&gt;0,$A4943&gt;=Visualisation!$B$1,$A4943&lt;Visualisation!$D$1),MAX($V$1:V4942)+1,"")</f>
        <v/>
      </c>
    </row>
    <row r="4944" spans="1:22" x14ac:dyDescent="0.25">
      <c r="A4944" s="9"/>
      <c r="E4944" s="10"/>
      <c r="K4944" s="11" t="str">
        <f>IF($E4944="","",ROUND($E4944*IF(ISNA(MATCH($C4944,'Paramètres'!$D:$D,0)),1,IF(INDEX('Paramètres'!$J:$J,MATCH($C4944,'Paramètres'!$D:$D,0))="",1,INDEX('Paramètres'!$J:$J,MATCH($C4944,'Paramètres'!$D:$D,0)))),2))</f>
        <v/>
      </c>
      <c r="L4944" s="6" t="str">
        <f>IF($D4944="","",IF($F4944&lt;&gt;"",$F4944,IF(ISNA(MATCH($D4944,'Paramètres'!$M:$M,0)),"⚠ Type inconnu",IFERROR(INDEX('Paramètres'!$P:$P,MATCH($D4944,'Paramètres'!$M:$M,0))&amp;"",""))))</f>
        <v/>
      </c>
      <c r="M4944" s="6" t="str">
        <f>IF($D4944="","",IF(ISNA(MATCH($D4944,'Paramètres'!$M:$M,0)),"⚠ Type inconnu",IF($L4944="Crédit","",IFERROR(INDEX('Paramètres'!$O:$O,MATCH($D4944,'Paramètres'!$M:$M,0))&amp;"",""))))</f>
        <v/>
      </c>
      <c r="N4944" s="6" t="str">
        <f>IF($D4944="","",IFERROR(INDEX('Paramètres'!$Q:$Q,MATCH($D4944,'Paramètres'!$M:$M,0))&amp;"",""))</f>
        <v/>
      </c>
      <c r="O4944" s="6" t="str">
        <f>IF($A4944="","",IF(OR($J4944&lt;&gt;"x",$A4944&lt;=FinReleve),1,0))</f>
        <v/>
      </c>
      <c r="P4944" s="6" t="str">
        <f>IF($D4944="","",IF(AND($L4944="Crédit",OR(IFERROR(INDEX('Paramètres'!$O:$O,MATCH($D4944,'Paramètres'!$M:$M,0))&amp;"","")&lt;&gt;"",ISNUMBER(SEARCH("remboursement",IFERROR(INDEX('Paramètres'!$N:$N,MATCH($D4944,'Paramètres'!$M:$M,0))&amp;"",""))))),1,0))</f>
        <v/>
      </c>
      <c r="Q4944" s="6" t="str">
        <f>IF($K4944="","",IF(ISNUMBER(SEARCH("transfert-interne",IFERROR(INDEX('Paramètres'!$N:$N,MATCH($D4944,'Paramètres'!$M:$M,0))&amp;"",""))),0,IF($L4944="Débit",$K4944,IF($P4944=1,-$K4944,0))))</f>
        <v/>
      </c>
      <c r="R4944" s="6" t="str">
        <f>IF($K4944="","",IF($L4944="Crédit",$K4944,-$K4944))</f>
        <v/>
      </c>
      <c r="S4944" s="6" t="str">
        <f>IF($C4944="","",IFERROR(INDEX('Paramètres'!$H:$H,MATCH($C4944,'Paramètres'!$D:$D,0))&amp;"",""))</f>
        <v/>
      </c>
      <c r="T4944" s="6" t="str">
        <f>IF($K4944="","",IF($S4944="",0,IF(ISNUMBER(SEARCH("apport-exterieur",IFERROR(INDEX('Paramètres'!$N:$N,MATCH($D4944,'Paramètres'!$M:$M,0))&amp;"",""))),0,IF(OR(IFERROR(INDEX('Paramètres'!$I:$I,MATCH($C4944,'Paramètres'!$D:$D,0))&amp;"","")="Les deux",IFERROR(INDEX('Paramètres'!$I:$I,MATCH($C4944,'Paramètres'!$D:$D,0))&amp;"","")=IF($P4944=1,"Débit",$L4944)),-IF($P4944=1,-$K4944,$K4944),0))))</f>
        <v/>
      </c>
      <c r="U4944" s="6" t="str">
        <f>IF($K4944="","",IF(ISNUMBER(SEARCH("sortie-epargne",IFERROR(INDEX('Paramètres'!$N:$N,MATCH($D4944,'Paramètres'!$M:$M,0))&amp;"",""))),$K4944,0))</f>
        <v/>
      </c>
      <c r="V4944" s="6" t="str">
        <f>IF(AND($A4944&lt;&gt;"",$O4944=1,$L4944="Débit",N($Q4944)&gt;0,$A4944&gt;=Visualisation!$B$1,$A4944&lt;Visualisation!$D$1),MAX($V$1:V4943)+1,"")</f>
        <v/>
      </c>
    </row>
    <row r="4945" spans="1:22" x14ac:dyDescent="0.25">
      <c r="A4945" s="9"/>
      <c r="E4945" s="10"/>
      <c r="K4945" s="11" t="str">
        <f>IF($E4945="","",ROUND($E4945*IF(ISNA(MATCH($C4945,'Paramètres'!$D:$D,0)),1,IF(INDEX('Paramètres'!$J:$J,MATCH($C4945,'Paramètres'!$D:$D,0))="",1,INDEX('Paramètres'!$J:$J,MATCH($C4945,'Paramètres'!$D:$D,0)))),2))</f>
        <v/>
      </c>
      <c r="L4945" s="6" t="str">
        <f>IF($D4945="","",IF($F4945&lt;&gt;"",$F4945,IF(ISNA(MATCH($D4945,'Paramètres'!$M:$M,0)),"⚠ Type inconnu",IFERROR(INDEX('Paramètres'!$P:$P,MATCH($D4945,'Paramètres'!$M:$M,0))&amp;"",""))))</f>
        <v/>
      </c>
      <c r="M4945" s="6" t="str">
        <f>IF($D4945="","",IF(ISNA(MATCH($D4945,'Paramètres'!$M:$M,0)),"⚠ Type inconnu",IF($L4945="Crédit","",IFERROR(INDEX('Paramètres'!$O:$O,MATCH($D4945,'Paramètres'!$M:$M,0))&amp;"",""))))</f>
        <v/>
      </c>
      <c r="N4945" s="6" t="str">
        <f>IF($D4945="","",IFERROR(INDEX('Paramètres'!$Q:$Q,MATCH($D4945,'Paramètres'!$M:$M,0))&amp;"",""))</f>
        <v/>
      </c>
      <c r="O4945" s="6" t="str">
        <f>IF($A4945="","",IF(OR($J4945&lt;&gt;"x",$A4945&lt;=FinReleve),1,0))</f>
        <v/>
      </c>
      <c r="P4945" s="6" t="str">
        <f>IF($D4945="","",IF(AND($L4945="Crédit",OR(IFERROR(INDEX('Paramètres'!$O:$O,MATCH($D4945,'Paramètres'!$M:$M,0))&amp;"","")&lt;&gt;"",ISNUMBER(SEARCH("remboursement",IFERROR(INDEX('Paramètres'!$N:$N,MATCH($D4945,'Paramètres'!$M:$M,0))&amp;"",""))))),1,0))</f>
        <v/>
      </c>
      <c r="Q4945" s="6" t="str">
        <f>IF($K4945="","",IF(ISNUMBER(SEARCH("transfert-interne",IFERROR(INDEX('Paramètres'!$N:$N,MATCH($D4945,'Paramètres'!$M:$M,0))&amp;"",""))),0,IF($L4945="Débit",$K4945,IF($P4945=1,-$K4945,0))))</f>
        <v/>
      </c>
      <c r="R4945" s="6" t="str">
        <f>IF($K4945="","",IF($L4945="Crédit",$K4945,-$K4945))</f>
        <v/>
      </c>
      <c r="S4945" s="6" t="str">
        <f>IF($C4945="","",IFERROR(INDEX('Paramètres'!$H:$H,MATCH($C4945,'Paramètres'!$D:$D,0))&amp;"",""))</f>
        <v/>
      </c>
      <c r="T4945" s="6" t="str">
        <f>IF($K4945="","",IF($S4945="",0,IF(ISNUMBER(SEARCH("apport-exterieur",IFERROR(INDEX('Paramètres'!$N:$N,MATCH($D4945,'Paramètres'!$M:$M,0))&amp;"",""))),0,IF(OR(IFERROR(INDEX('Paramètres'!$I:$I,MATCH($C4945,'Paramètres'!$D:$D,0))&amp;"","")="Les deux",IFERROR(INDEX('Paramètres'!$I:$I,MATCH($C4945,'Paramètres'!$D:$D,0))&amp;"","")=IF($P4945=1,"Débit",$L4945)),-IF($P4945=1,-$K4945,$K4945),0))))</f>
        <v/>
      </c>
      <c r="U4945" s="6" t="str">
        <f>IF($K4945="","",IF(ISNUMBER(SEARCH("sortie-epargne",IFERROR(INDEX('Paramètres'!$N:$N,MATCH($D4945,'Paramètres'!$M:$M,0))&amp;"",""))),$K4945,0))</f>
        <v/>
      </c>
      <c r="V4945" s="6" t="str">
        <f>IF(AND($A4945&lt;&gt;"",$O4945=1,$L4945="Débit",N($Q4945)&gt;0,$A4945&gt;=Visualisation!$B$1,$A4945&lt;Visualisation!$D$1),MAX($V$1:V4944)+1,"")</f>
        <v/>
      </c>
    </row>
    <row r="4946" spans="1:22" x14ac:dyDescent="0.25">
      <c r="A4946" s="9"/>
      <c r="E4946" s="10"/>
      <c r="K4946" s="11" t="str">
        <f>IF($E4946="","",ROUND($E4946*IF(ISNA(MATCH($C4946,'Paramètres'!$D:$D,0)),1,IF(INDEX('Paramètres'!$J:$J,MATCH($C4946,'Paramètres'!$D:$D,0))="",1,INDEX('Paramètres'!$J:$J,MATCH($C4946,'Paramètres'!$D:$D,0)))),2))</f>
        <v/>
      </c>
      <c r="L4946" s="6" t="str">
        <f>IF($D4946="","",IF($F4946&lt;&gt;"",$F4946,IF(ISNA(MATCH($D4946,'Paramètres'!$M:$M,0)),"⚠ Type inconnu",IFERROR(INDEX('Paramètres'!$P:$P,MATCH($D4946,'Paramètres'!$M:$M,0))&amp;"",""))))</f>
        <v/>
      </c>
      <c r="M4946" s="6" t="str">
        <f>IF($D4946="","",IF(ISNA(MATCH($D4946,'Paramètres'!$M:$M,0)),"⚠ Type inconnu",IF($L4946="Crédit","",IFERROR(INDEX('Paramètres'!$O:$O,MATCH($D4946,'Paramètres'!$M:$M,0))&amp;"",""))))</f>
        <v/>
      </c>
      <c r="N4946" s="6" t="str">
        <f>IF($D4946="","",IFERROR(INDEX('Paramètres'!$Q:$Q,MATCH($D4946,'Paramètres'!$M:$M,0))&amp;"",""))</f>
        <v/>
      </c>
      <c r="O4946" s="6" t="str">
        <f>IF($A4946="","",IF(OR($J4946&lt;&gt;"x",$A4946&lt;=FinReleve),1,0))</f>
        <v/>
      </c>
      <c r="P4946" s="6" t="str">
        <f>IF($D4946="","",IF(AND($L4946="Crédit",OR(IFERROR(INDEX('Paramètres'!$O:$O,MATCH($D4946,'Paramètres'!$M:$M,0))&amp;"","")&lt;&gt;"",ISNUMBER(SEARCH("remboursement",IFERROR(INDEX('Paramètres'!$N:$N,MATCH($D4946,'Paramètres'!$M:$M,0))&amp;"",""))))),1,0))</f>
        <v/>
      </c>
      <c r="Q4946" s="6" t="str">
        <f>IF($K4946="","",IF(ISNUMBER(SEARCH("transfert-interne",IFERROR(INDEX('Paramètres'!$N:$N,MATCH($D4946,'Paramètres'!$M:$M,0))&amp;"",""))),0,IF($L4946="Débit",$K4946,IF($P4946=1,-$K4946,0))))</f>
        <v/>
      </c>
      <c r="R4946" s="6" t="str">
        <f>IF($K4946="","",IF($L4946="Crédit",$K4946,-$K4946))</f>
        <v/>
      </c>
      <c r="S4946" s="6" t="str">
        <f>IF($C4946="","",IFERROR(INDEX('Paramètres'!$H:$H,MATCH($C4946,'Paramètres'!$D:$D,0))&amp;"",""))</f>
        <v/>
      </c>
      <c r="T4946" s="6" t="str">
        <f>IF($K4946="","",IF($S4946="",0,IF(ISNUMBER(SEARCH("apport-exterieur",IFERROR(INDEX('Paramètres'!$N:$N,MATCH($D4946,'Paramètres'!$M:$M,0))&amp;"",""))),0,IF(OR(IFERROR(INDEX('Paramètres'!$I:$I,MATCH($C4946,'Paramètres'!$D:$D,0))&amp;"","")="Les deux",IFERROR(INDEX('Paramètres'!$I:$I,MATCH($C4946,'Paramètres'!$D:$D,0))&amp;"","")=IF($P4946=1,"Débit",$L4946)),-IF($P4946=1,-$K4946,$K4946),0))))</f>
        <v/>
      </c>
      <c r="U4946" s="6" t="str">
        <f>IF($K4946="","",IF(ISNUMBER(SEARCH("sortie-epargne",IFERROR(INDEX('Paramètres'!$N:$N,MATCH($D4946,'Paramètres'!$M:$M,0))&amp;"",""))),$K4946,0))</f>
        <v/>
      </c>
      <c r="V4946" s="6" t="str">
        <f>IF(AND($A4946&lt;&gt;"",$O4946=1,$L4946="Débit",N($Q4946)&gt;0,$A4946&gt;=Visualisation!$B$1,$A4946&lt;Visualisation!$D$1),MAX($V$1:V4945)+1,"")</f>
        <v/>
      </c>
    </row>
    <row r="4947" spans="1:22" x14ac:dyDescent="0.25">
      <c r="A4947" s="9"/>
      <c r="E4947" s="10"/>
      <c r="K4947" s="11" t="str">
        <f>IF($E4947="","",ROUND($E4947*IF(ISNA(MATCH($C4947,'Paramètres'!$D:$D,0)),1,IF(INDEX('Paramètres'!$J:$J,MATCH($C4947,'Paramètres'!$D:$D,0))="",1,INDEX('Paramètres'!$J:$J,MATCH($C4947,'Paramètres'!$D:$D,0)))),2))</f>
        <v/>
      </c>
      <c r="L4947" s="6" t="str">
        <f>IF($D4947="","",IF($F4947&lt;&gt;"",$F4947,IF(ISNA(MATCH($D4947,'Paramètres'!$M:$M,0)),"⚠ Type inconnu",IFERROR(INDEX('Paramètres'!$P:$P,MATCH($D4947,'Paramètres'!$M:$M,0))&amp;"",""))))</f>
        <v/>
      </c>
      <c r="M4947" s="6" t="str">
        <f>IF($D4947="","",IF(ISNA(MATCH($D4947,'Paramètres'!$M:$M,0)),"⚠ Type inconnu",IF($L4947="Crédit","",IFERROR(INDEX('Paramètres'!$O:$O,MATCH($D4947,'Paramètres'!$M:$M,0))&amp;"",""))))</f>
        <v/>
      </c>
      <c r="N4947" s="6" t="str">
        <f>IF($D4947="","",IFERROR(INDEX('Paramètres'!$Q:$Q,MATCH($D4947,'Paramètres'!$M:$M,0))&amp;"",""))</f>
        <v/>
      </c>
      <c r="O4947" s="6" t="str">
        <f>IF($A4947="","",IF(OR($J4947&lt;&gt;"x",$A4947&lt;=FinReleve),1,0))</f>
        <v/>
      </c>
      <c r="P4947" s="6" t="str">
        <f>IF($D4947="","",IF(AND($L4947="Crédit",OR(IFERROR(INDEX('Paramètres'!$O:$O,MATCH($D4947,'Paramètres'!$M:$M,0))&amp;"","")&lt;&gt;"",ISNUMBER(SEARCH("remboursement",IFERROR(INDEX('Paramètres'!$N:$N,MATCH($D4947,'Paramètres'!$M:$M,0))&amp;"",""))))),1,0))</f>
        <v/>
      </c>
      <c r="Q4947" s="6" t="str">
        <f>IF($K4947="","",IF(ISNUMBER(SEARCH("transfert-interne",IFERROR(INDEX('Paramètres'!$N:$N,MATCH($D4947,'Paramètres'!$M:$M,0))&amp;"",""))),0,IF($L4947="Débit",$K4947,IF($P4947=1,-$K4947,0))))</f>
        <v/>
      </c>
      <c r="R4947" s="6" t="str">
        <f>IF($K4947="","",IF($L4947="Crédit",$K4947,-$K4947))</f>
        <v/>
      </c>
      <c r="S4947" s="6" t="str">
        <f>IF($C4947="","",IFERROR(INDEX('Paramètres'!$H:$H,MATCH($C4947,'Paramètres'!$D:$D,0))&amp;"",""))</f>
        <v/>
      </c>
      <c r="T4947" s="6" t="str">
        <f>IF($K4947="","",IF($S4947="",0,IF(ISNUMBER(SEARCH("apport-exterieur",IFERROR(INDEX('Paramètres'!$N:$N,MATCH($D4947,'Paramètres'!$M:$M,0))&amp;"",""))),0,IF(OR(IFERROR(INDEX('Paramètres'!$I:$I,MATCH($C4947,'Paramètres'!$D:$D,0))&amp;"","")="Les deux",IFERROR(INDEX('Paramètres'!$I:$I,MATCH($C4947,'Paramètres'!$D:$D,0))&amp;"","")=IF($P4947=1,"Débit",$L4947)),-IF($P4947=1,-$K4947,$K4947),0))))</f>
        <v/>
      </c>
      <c r="U4947" s="6" t="str">
        <f>IF($K4947="","",IF(ISNUMBER(SEARCH("sortie-epargne",IFERROR(INDEX('Paramètres'!$N:$N,MATCH($D4947,'Paramètres'!$M:$M,0))&amp;"",""))),$K4947,0))</f>
        <v/>
      </c>
      <c r="V4947" s="6" t="str">
        <f>IF(AND($A4947&lt;&gt;"",$O4947=1,$L4947="Débit",N($Q4947)&gt;0,$A4947&gt;=Visualisation!$B$1,$A4947&lt;Visualisation!$D$1),MAX($V$1:V4946)+1,"")</f>
        <v/>
      </c>
    </row>
    <row r="4948" spans="1:22" x14ac:dyDescent="0.25">
      <c r="A4948" s="9"/>
      <c r="E4948" s="10"/>
      <c r="K4948" s="11" t="str">
        <f>IF($E4948="","",ROUND($E4948*IF(ISNA(MATCH($C4948,'Paramètres'!$D:$D,0)),1,IF(INDEX('Paramètres'!$J:$J,MATCH($C4948,'Paramètres'!$D:$D,0))="",1,INDEX('Paramètres'!$J:$J,MATCH($C4948,'Paramètres'!$D:$D,0)))),2))</f>
        <v/>
      </c>
      <c r="L4948" s="6" t="str">
        <f>IF($D4948="","",IF($F4948&lt;&gt;"",$F4948,IF(ISNA(MATCH($D4948,'Paramètres'!$M:$M,0)),"⚠ Type inconnu",IFERROR(INDEX('Paramètres'!$P:$P,MATCH($D4948,'Paramètres'!$M:$M,0))&amp;"",""))))</f>
        <v/>
      </c>
      <c r="M4948" s="6" t="str">
        <f>IF($D4948="","",IF(ISNA(MATCH($D4948,'Paramètres'!$M:$M,0)),"⚠ Type inconnu",IF($L4948="Crédit","",IFERROR(INDEX('Paramètres'!$O:$O,MATCH($D4948,'Paramètres'!$M:$M,0))&amp;"",""))))</f>
        <v/>
      </c>
      <c r="N4948" s="6" t="str">
        <f>IF($D4948="","",IFERROR(INDEX('Paramètres'!$Q:$Q,MATCH($D4948,'Paramètres'!$M:$M,0))&amp;"",""))</f>
        <v/>
      </c>
      <c r="O4948" s="6" t="str">
        <f>IF($A4948="","",IF(OR($J4948&lt;&gt;"x",$A4948&lt;=FinReleve),1,0))</f>
        <v/>
      </c>
      <c r="P4948" s="6" t="str">
        <f>IF($D4948="","",IF(AND($L4948="Crédit",OR(IFERROR(INDEX('Paramètres'!$O:$O,MATCH($D4948,'Paramètres'!$M:$M,0))&amp;"","")&lt;&gt;"",ISNUMBER(SEARCH("remboursement",IFERROR(INDEX('Paramètres'!$N:$N,MATCH($D4948,'Paramètres'!$M:$M,0))&amp;"",""))))),1,0))</f>
        <v/>
      </c>
      <c r="Q4948" s="6" t="str">
        <f>IF($K4948="","",IF(ISNUMBER(SEARCH("transfert-interne",IFERROR(INDEX('Paramètres'!$N:$N,MATCH($D4948,'Paramètres'!$M:$M,0))&amp;"",""))),0,IF($L4948="Débit",$K4948,IF($P4948=1,-$K4948,0))))</f>
        <v/>
      </c>
      <c r="R4948" s="6" t="str">
        <f>IF($K4948="","",IF($L4948="Crédit",$K4948,-$K4948))</f>
        <v/>
      </c>
      <c r="S4948" s="6" t="str">
        <f>IF($C4948="","",IFERROR(INDEX('Paramètres'!$H:$H,MATCH($C4948,'Paramètres'!$D:$D,0))&amp;"",""))</f>
        <v/>
      </c>
      <c r="T4948" s="6" t="str">
        <f>IF($K4948="","",IF($S4948="",0,IF(ISNUMBER(SEARCH("apport-exterieur",IFERROR(INDEX('Paramètres'!$N:$N,MATCH($D4948,'Paramètres'!$M:$M,0))&amp;"",""))),0,IF(OR(IFERROR(INDEX('Paramètres'!$I:$I,MATCH($C4948,'Paramètres'!$D:$D,0))&amp;"","")="Les deux",IFERROR(INDEX('Paramètres'!$I:$I,MATCH($C4948,'Paramètres'!$D:$D,0))&amp;"","")=IF($P4948=1,"Débit",$L4948)),-IF($P4948=1,-$K4948,$K4948),0))))</f>
        <v/>
      </c>
      <c r="U4948" s="6" t="str">
        <f>IF($K4948="","",IF(ISNUMBER(SEARCH("sortie-epargne",IFERROR(INDEX('Paramètres'!$N:$N,MATCH($D4948,'Paramètres'!$M:$M,0))&amp;"",""))),$K4948,0))</f>
        <v/>
      </c>
      <c r="V4948" s="6" t="str">
        <f>IF(AND($A4948&lt;&gt;"",$O4948=1,$L4948="Débit",N($Q4948)&gt;0,$A4948&gt;=Visualisation!$B$1,$A4948&lt;Visualisation!$D$1),MAX($V$1:V4947)+1,"")</f>
        <v/>
      </c>
    </row>
    <row r="4949" spans="1:22" x14ac:dyDescent="0.25">
      <c r="A4949" s="9"/>
      <c r="E4949" s="10"/>
      <c r="K4949" s="11" t="str">
        <f>IF($E4949="","",ROUND($E4949*IF(ISNA(MATCH($C4949,'Paramètres'!$D:$D,0)),1,IF(INDEX('Paramètres'!$J:$J,MATCH($C4949,'Paramètres'!$D:$D,0))="",1,INDEX('Paramètres'!$J:$J,MATCH($C4949,'Paramètres'!$D:$D,0)))),2))</f>
        <v/>
      </c>
      <c r="L4949" s="6" t="str">
        <f>IF($D4949="","",IF($F4949&lt;&gt;"",$F4949,IF(ISNA(MATCH($D4949,'Paramètres'!$M:$M,0)),"⚠ Type inconnu",IFERROR(INDEX('Paramètres'!$P:$P,MATCH($D4949,'Paramètres'!$M:$M,0))&amp;"",""))))</f>
        <v/>
      </c>
      <c r="M4949" s="6" t="str">
        <f>IF($D4949="","",IF(ISNA(MATCH($D4949,'Paramètres'!$M:$M,0)),"⚠ Type inconnu",IF($L4949="Crédit","",IFERROR(INDEX('Paramètres'!$O:$O,MATCH($D4949,'Paramètres'!$M:$M,0))&amp;"",""))))</f>
        <v/>
      </c>
      <c r="N4949" s="6" t="str">
        <f>IF($D4949="","",IFERROR(INDEX('Paramètres'!$Q:$Q,MATCH($D4949,'Paramètres'!$M:$M,0))&amp;"",""))</f>
        <v/>
      </c>
      <c r="O4949" s="6" t="str">
        <f>IF($A4949="","",IF(OR($J4949&lt;&gt;"x",$A4949&lt;=FinReleve),1,0))</f>
        <v/>
      </c>
      <c r="P4949" s="6" t="str">
        <f>IF($D4949="","",IF(AND($L4949="Crédit",OR(IFERROR(INDEX('Paramètres'!$O:$O,MATCH($D4949,'Paramètres'!$M:$M,0))&amp;"","")&lt;&gt;"",ISNUMBER(SEARCH("remboursement",IFERROR(INDEX('Paramètres'!$N:$N,MATCH($D4949,'Paramètres'!$M:$M,0))&amp;"",""))))),1,0))</f>
        <v/>
      </c>
      <c r="Q4949" s="6" t="str">
        <f>IF($K4949="","",IF(ISNUMBER(SEARCH("transfert-interne",IFERROR(INDEX('Paramètres'!$N:$N,MATCH($D4949,'Paramètres'!$M:$M,0))&amp;"",""))),0,IF($L4949="Débit",$K4949,IF($P4949=1,-$K4949,0))))</f>
        <v/>
      </c>
      <c r="R4949" s="6" t="str">
        <f>IF($K4949="","",IF($L4949="Crédit",$K4949,-$K4949))</f>
        <v/>
      </c>
      <c r="S4949" s="6" t="str">
        <f>IF($C4949="","",IFERROR(INDEX('Paramètres'!$H:$H,MATCH($C4949,'Paramètres'!$D:$D,0))&amp;"",""))</f>
        <v/>
      </c>
      <c r="T4949" s="6" t="str">
        <f>IF($K4949="","",IF($S4949="",0,IF(ISNUMBER(SEARCH("apport-exterieur",IFERROR(INDEX('Paramètres'!$N:$N,MATCH($D4949,'Paramètres'!$M:$M,0))&amp;"",""))),0,IF(OR(IFERROR(INDEX('Paramètres'!$I:$I,MATCH($C4949,'Paramètres'!$D:$D,0))&amp;"","")="Les deux",IFERROR(INDEX('Paramètres'!$I:$I,MATCH($C4949,'Paramètres'!$D:$D,0))&amp;"","")=IF($P4949=1,"Débit",$L4949)),-IF($P4949=1,-$K4949,$K4949),0))))</f>
        <v/>
      </c>
      <c r="U4949" s="6" t="str">
        <f>IF($K4949="","",IF(ISNUMBER(SEARCH("sortie-epargne",IFERROR(INDEX('Paramètres'!$N:$N,MATCH($D4949,'Paramètres'!$M:$M,0))&amp;"",""))),$K4949,0))</f>
        <v/>
      </c>
      <c r="V4949" s="6" t="str">
        <f>IF(AND($A4949&lt;&gt;"",$O4949=1,$L4949="Débit",N($Q4949)&gt;0,$A4949&gt;=Visualisation!$B$1,$A4949&lt;Visualisation!$D$1),MAX($V$1:V4948)+1,"")</f>
        <v/>
      </c>
    </row>
    <row r="4950" spans="1:22" x14ac:dyDescent="0.25">
      <c r="A4950" s="9"/>
      <c r="E4950" s="10"/>
      <c r="K4950" s="11" t="str">
        <f>IF($E4950="","",ROUND($E4950*IF(ISNA(MATCH($C4950,'Paramètres'!$D:$D,0)),1,IF(INDEX('Paramètres'!$J:$J,MATCH($C4950,'Paramètres'!$D:$D,0))="",1,INDEX('Paramètres'!$J:$J,MATCH($C4950,'Paramètres'!$D:$D,0)))),2))</f>
        <v/>
      </c>
      <c r="L4950" s="6" t="str">
        <f>IF($D4950="","",IF($F4950&lt;&gt;"",$F4950,IF(ISNA(MATCH($D4950,'Paramètres'!$M:$M,0)),"⚠ Type inconnu",IFERROR(INDEX('Paramètres'!$P:$P,MATCH($D4950,'Paramètres'!$M:$M,0))&amp;"",""))))</f>
        <v/>
      </c>
      <c r="M4950" s="6" t="str">
        <f>IF($D4950="","",IF(ISNA(MATCH($D4950,'Paramètres'!$M:$M,0)),"⚠ Type inconnu",IF($L4950="Crédit","",IFERROR(INDEX('Paramètres'!$O:$O,MATCH($D4950,'Paramètres'!$M:$M,0))&amp;"",""))))</f>
        <v/>
      </c>
      <c r="N4950" s="6" t="str">
        <f>IF($D4950="","",IFERROR(INDEX('Paramètres'!$Q:$Q,MATCH($D4950,'Paramètres'!$M:$M,0))&amp;"",""))</f>
        <v/>
      </c>
      <c r="O4950" s="6" t="str">
        <f>IF($A4950="","",IF(OR($J4950&lt;&gt;"x",$A4950&lt;=FinReleve),1,0))</f>
        <v/>
      </c>
      <c r="P4950" s="6" t="str">
        <f>IF($D4950="","",IF(AND($L4950="Crédit",OR(IFERROR(INDEX('Paramètres'!$O:$O,MATCH($D4950,'Paramètres'!$M:$M,0))&amp;"","")&lt;&gt;"",ISNUMBER(SEARCH("remboursement",IFERROR(INDEX('Paramètres'!$N:$N,MATCH($D4950,'Paramètres'!$M:$M,0))&amp;"",""))))),1,0))</f>
        <v/>
      </c>
      <c r="Q4950" s="6" t="str">
        <f>IF($K4950="","",IF(ISNUMBER(SEARCH("transfert-interne",IFERROR(INDEX('Paramètres'!$N:$N,MATCH($D4950,'Paramètres'!$M:$M,0))&amp;"",""))),0,IF($L4950="Débit",$K4950,IF($P4950=1,-$K4950,0))))</f>
        <v/>
      </c>
      <c r="R4950" s="6" t="str">
        <f>IF($K4950="","",IF($L4950="Crédit",$K4950,-$K4950))</f>
        <v/>
      </c>
      <c r="S4950" s="6" t="str">
        <f>IF($C4950="","",IFERROR(INDEX('Paramètres'!$H:$H,MATCH($C4950,'Paramètres'!$D:$D,0))&amp;"",""))</f>
        <v/>
      </c>
      <c r="T4950" s="6" t="str">
        <f>IF($K4950="","",IF($S4950="",0,IF(ISNUMBER(SEARCH("apport-exterieur",IFERROR(INDEX('Paramètres'!$N:$N,MATCH($D4950,'Paramètres'!$M:$M,0))&amp;"",""))),0,IF(OR(IFERROR(INDEX('Paramètres'!$I:$I,MATCH($C4950,'Paramètres'!$D:$D,0))&amp;"","")="Les deux",IFERROR(INDEX('Paramètres'!$I:$I,MATCH($C4950,'Paramètres'!$D:$D,0))&amp;"","")=IF($P4950=1,"Débit",$L4950)),-IF($P4950=1,-$K4950,$K4950),0))))</f>
        <v/>
      </c>
      <c r="U4950" s="6" t="str">
        <f>IF($K4950="","",IF(ISNUMBER(SEARCH("sortie-epargne",IFERROR(INDEX('Paramètres'!$N:$N,MATCH($D4950,'Paramètres'!$M:$M,0))&amp;"",""))),$K4950,0))</f>
        <v/>
      </c>
      <c r="V4950" s="6" t="str">
        <f>IF(AND($A4950&lt;&gt;"",$O4950=1,$L4950="Débit",N($Q4950)&gt;0,$A4950&gt;=Visualisation!$B$1,$A4950&lt;Visualisation!$D$1),MAX($V$1:V4949)+1,"")</f>
        <v/>
      </c>
    </row>
    <row r="4951" spans="1:22" x14ac:dyDescent="0.25">
      <c r="A4951" s="9"/>
      <c r="E4951" s="10"/>
      <c r="K4951" s="11" t="str">
        <f>IF($E4951="","",ROUND($E4951*IF(ISNA(MATCH($C4951,'Paramètres'!$D:$D,0)),1,IF(INDEX('Paramètres'!$J:$J,MATCH($C4951,'Paramètres'!$D:$D,0))="",1,INDEX('Paramètres'!$J:$J,MATCH($C4951,'Paramètres'!$D:$D,0)))),2))</f>
        <v/>
      </c>
      <c r="L4951" s="6" t="str">
        <f>IF($D4951="","",IF($F4951&lt;&gt;"",$F4951,IF(ISNA(MATCH($D4951,'Paramètres'!$M:$M,0)),"⚠ Type inconnu",IFERROR(INDEX('Paramètres'!$P:$P,MATCH($D4951,'Paramètres'!$M:$M,0))&amp;"",""))))</f>
        <v/>
      </c>
      <c r="M4951" s="6" t="str">
        <f>IF($D4951="","",IF(ISNA(MATCH($D4951,'Paramètres'!$M:$M,0)),"⚠ Type inconnu",IF($L4951="Crédit","",IFERROR(INDEX('Paramètres'!$O:$O,MATCH($D4951,'Paramètres'!$M:$M,0))&amp;"",""))))</f>
        <v/>
      </c>
      <c r="N4951" s="6" t="str">
        <f>IF($D4951="","",IFERROR(INDEX('Paramètres'!$Q:$Q,MATCH($D4951,'Paramètres'!$M:$M,0))&amp;"",""))</f>
        <v/>
      </c>
      <c r="O4951" s="6" t="str">
        <f>IF($A4951="","",IF(OR($J4951&lt;&gt;"x",$A4951&lt;=FinReleve),1,0))</f>
        <v/>
      </c>
      <c r="P4951" s="6" t="str">
        <f>IF($D4951="","",IF(AND($L4951="Crédit",OR(IFERROR(INDEX('Paramètres'!$O:$O,MATCH($D4951,'Paramètres'!$M:$M,0))&amp;"","")&lt;&gt;"",ISNUMBER(SEARCH("remboursement",IFERROR(INDEX('Paramètres'!$N:$N,MATCH($D4951,'Paramètres'!$M:$M,0))&amp;"",""))))),1,0))</f>
        <v/>
      </c>
      <c r="Q4951" s="6" t="str">
        <f>IF($K4951="","",IF(ISNUMBER(SEARCH("transfert-interne",IFERROR(INDEX('Paramètres'!$N:$N,MATCH($D4951,'Paramètres'!$M:$M,0))&amp;"",""))),0,IF($L4951="Débit",$K4951,IF($P4951=1,-$K4951,0))))</f>
        <v/>
      </c>
      <c r="R4951" s="6" t="str">
        <f>IF($K4951="","",IF($L4951="Crédit",$K4951,-$K4951))</f>
        <v/>
      </c>
      <c r="S4951" s="6" t="str">
        <f>IF($C4951="","",IFERROR(INDEX('Paramètres'!$H:$H,MATCH($C4951,'Paramètres'!$D:$D,0))&amp;"",""))</f>
        <v/>
      </c>
      <c r="T4951" s="6" t="str">
        <f>IF($K4951="","",IF($S4951="",0,IF(ISNUMBER(SEARCH("apport-exterieur",IFERROR(INDEX('Paramètres'!$N:$N,MATCH($D4951,'Paramètres'!$M:$M,0))&amp;"",""))),0,IF(OR(IFERROR(INDEX('Paramètres'!$I:$I,MATCH($C4951,'Paramètres'!$D:$D,0))&amp;"","")="Les deux",IFERROR(INDEX('Paramètres'!$I:$I,MATCH($C4951,'Paramètres'!$D:$D,0))&amp;"","")=IF($P4951=1,"Débit",$L4951)),-IF($P4951=1,-$K4951,$K4951),0))))</f>
        <v/>
      </c>
      <c r="U4951" s="6" t="str">
        <f>IF($K4951="","",IF(ISNUMBER(SEARCH("sortie-epargne",IFERROR(INDEX('Paramètres'!$N:$N,MATCH($D4951,'Paramètres'!$M:$M,0))&amp;"",""))),$K4951,0))</f>
        <v/>
      </c>
      <c r="V4951" s="6" t="str">
        <f>IF(AND($A4951&lt;&gt;"",$O4951=1,$L4951="Débit",N($Q4951)&gt;0,$A4951&gt;=Visualisation!$B$1,$A4951&lt;Visualisation!$D$1),MAX($V$1:V4950)+1,"")</f>
        <v/>
      </c>
    </row>
    <row r="4952" spans="1:22" x14ac:dyDescent="0.25">
      <c r="A4952" s="9"/>
      <c r="E4952" s="10"/>
      <c r="K4952" s="11" t="str">
        <f>IF($E4952="","",ROUND($E4952*IF(ISNA(MATCH($C4952,'Paramètres'!$D:$D,0)),1,IF(INDEX('Paramètres'!$J:$J,MATCH($C4952,'Paramètres'!$D:$D,0))="",1,INDEX('Paramètres'!$J:$J,MATCH($C4952,'Paramètres'!$D:$D,0)))),2))</f>
        <v/>
      </c>
      <c r="L4952" s="6" t="str">
        <f>IF($D4952="","",IF($F4952&lt;&gt;"",$F4952,IF(ISNA(MATCH($D4952,'Paramètres'!$M:$M,0)),"⚠ Type inconnu",IFERROR(INDEX('Paramètres'!$P:$P,MATCH($D4952,'Paramètres'!$M:$M,0))&amp;"",""))))</f>
        <v/>
      </c>
      <c r="M4952" s="6" t="str">
        <f>IF($D4952="","",IF(ISNA(MATCH($D4952,'Paramètres'!$M:$M,0)),"⚠ Type inconnu",IF($L4952="Crédit","",IFERROR(INDEX('Paramètres'!$O:$O,MATCH($D4952,'Paramètres'!$M:$M,0))&amp;"",""))))</f>
        <v/>
      </c>
      <c r="N4952" s="6" t="str">
        <f>IF($D4952="","",IFERROR(INDEX('Paramètres'!$Q:$Q,MATCH($D4952,'Paramètres'!$M:$M,0))&amp;"",""))</f>
        <v/>
      </c>
      <c r="O4952" s="6" t="str">
        <f>IF($A4952="","",IF(OR($J4952&lt;&gt;"x",$A4952&lt;=FinReleve),1,0))</f>
        <v/>
      </c>
      <c r="P4952" s="6" t="str">
        <f>IF($D4952="","",IF(AND($L4952="Crédit",OR(IFERROR(INDEX('Paramètres'!$O:$O,MATCH($D4952,'Paramètres'!$M:$M,0))&amp;"","")&lt;&gt;"",ISNUMBER(SEARCH("remboursement",IFERROR(INDEX('Paramètres'!$N:$N,MATCH($D4952,'Paramètres'!$M:$M,0))&amp;"",""))))),1,0))</f>
        <v/>
      </c>
      <c r="Q4952" s="6" t="str">
        <f>IF($K4952="","",IF(ISNUMBER(SEARCH("transfert-interne",IFERROR(INDEX('Paramètres'!$N:$N,MATCH($D4952,'Paramètres'!$M:$M,0))&amp;"",""))),0,IF($L4952="Débit",$K4952,IF($P4952=1,-$K4952,0))))</f>
        <v/>
      </c>
      <c r="R4952" s="6" t="str">
        <f>IF($K4952="","",IF($L4952="Crédit",$K4952,-$K4952))</f>
        <v/>
      </c>
      <c r="S4952" s="6" t="str">
        <f>IF($C4952="","",IFERROR(INDEX('Paramètres'!$H:$H,MATCH($C4952,'Paramètres'!$D:$D,0))&amp;"",""))</f>
        <v/>
      </c>
      <c r="T4952" s="6" t="str">
        <f>IF($K4952="","",IF($S4952="",0,IF(ISNUMBER(SEARCH("apport-exterieur",IFERROR(INDEX('Paramètres'!$N:$N,MATCH($D4952,'Paramètres'!$M:$M,0))&amp;"",""))),0,IF(OR(IFERROR(INDEX('Paramètres'!$I:$I,MATCH($C4952,'Paramètres'!$D:$D,0))&amp;"","")="Les deux",IFERROR(INDEX('Paramètres'!$I:$I,MATCH($C4952,'Paramètres'!$D:$D,0))&amp;"","")=IF($P4952=1,"Débit",$L4952)),-IF($P4952=1,-$K4952,$K4952),0))))</f>
        <v/>
      </c>
      <c r="U4952" s="6" t="str">
        <f>IF($K4952="","",IF(ISNUMBER(SEARCH("sortie-epargne",IFERROR(INDEX('Paramètres'!$N:$N,MATCH($D4952,'Paramètres'!$M:$M,0))&amp;"",""))),$K4952,0))</f>
        <v/>
      </c>
      <c r="V4952" s="6" t="str">
        <f>IF(AND($A4952&lt;&gt;"",$O4952=1,$L4952="Débit",N($Q4952)&gt;0,$A4952&gt;=Visualisation!$B$1,$A4952&lt;Visualisation!$D$1),MAX($V$1:V4951)+1,"")</f>
        <v/>
      </c>
    </row>
    <row r="4953" spans="1:22" x14ac:dyDescent="0.25">
      <c r="A4953" s="9"/>
      <c r="E4953" s="10"/>
      <c r="K4953" s="11" t="str">
        <f>IF($E4953="","",ROUND($E4953*IF(ISNA(MATCH($C4953,'Paramètres'!$D:$D,0)),1,IF(INDEX('Paramètres'!$J:$J,MATCH($C4953,'Paramètres'!$D:$D,0))="",1,INDEX('Paramètres'!$J:$J,MATCH($C4953,'Paramètres'!$D:$D,0)))),2))</f>
        <v/>
      </c>
      <c r="L4953" s="6" t="str">
        <f>IF($D4953="","",IF($F4953&lt;&gt;"",$F4953,IF(ISNA(MATCH($D4953,'Paramètres'!$M:$M,0)),"⚠ Type inconnu",IFERROR(INDEX('Paramètres'!$P:$P,MATCH($D4953,'Paramètres'!$M:$M,0))&amp;"",""))))</f>
        <v/>
      </c>
      <c r="M4953" s="6" t="str">
        <f>IF($D4953="","",IF(ISNA(MATCH($D4953,'Paramètres'!$M:$M,0)),"⚠ Type inconnu",IF($L4953="Crédit","",IFERROR(INDEX('Paramètres'!$O:$O,MATCH($D4953,'Paramètres'!$M:$M,0))&amp;"",""))))</f>
        <v/>
      </c>
      <c r="N4953" s="6" t="str">
        <f>IF($D4953="","",IFERROR(INDEX('Paramètres'!$Q:$Q,MATCH($D4953,'Paramètres'!$M:$M,0))&amp;"",""))</f>
        <v/>
      </c>
      <c r="O4953" s="6" t="str">
        <f>IF($A4953="","",IF(OR($J4953&lt;&gt;"x",$A4953&lt;=FinReleve),1,0))</f>
        <v/>
      </c>
      <c r="P4953" s="6" t="str">
        <f>IF($D4953="","",IF(AND($L4953="Crédit",OR(IFERROR(INDEX('Paramètres'!$O:$O,MATCH($D4953,'Paramètres'!$M:$M,0))&amp;"","")&lt;&gt;"",ISNUMBER(SEARCH("remboursement",IFERROR(INDEX('Paramètres'!$N:$N,MATCH($D4953,'Paramètres'!$M:$M,0))&amp;"",""))))),1,0))</f>
        <v/>
      </c>
      <c r="Q4953" s="6" t="str">
        <f>IF($K4953="","",IF(ISNUMBER(SEARCH("transfert-interne",IFERROR(INDEX('Paramètres'!$N:$N,MATCH($D4953,'Paramètres'!$M:$M,0))&amp;"",""))),0,IF($L4953="Débit",$K4953,IF($P4953=1,-$K4953,0))))</f>
        <v/>
      </c>
      <c r="R4953" s="6" t="str">
        <f>IF($K4953="","",IF($L4953="Crédit",$K4953,-$K4953))</f>
        <v/>
      </c>
      <c r="S4953" s="6" t="str">
        <f>IF($C4953="","",IFERROR(INDEX('Paramètres'!$H:$H,MATCH($C4953,'Paramètres'!$D:$D,0))&amp;"",""))</f>
        <v/>
      </c>
      <c r="T4953" s="6" t="str">
        <f>IF($K4953="","",IF($S4953="",0,IF(ISNUMBER(SEARCH("apport-exterieur",IFERROR(INDEX('Paramètres'!$N:$N,MATCH($D4953,'Paramètres'!$M:$M,0))&amp;"",""))),0,IF(OR(IFERROR(INDEX('Paramètres'!$I:$I,MATCH($C4953,'Paramètres'!$D:$D,0))&amp;"","")="Les deux",IFERROR(INDEX('Paramètres'!$I:$I,MATCH($C4953,'Paramètres'!$D:$D,0))&amp;"","")=IF($P4953=1,"Débit",$L4953)),-IF($P4953=1,-$K4953,$K4953),0))))</f>
        <v/>
      </c>
      <c r="U4953" s="6" t="str">
        <f>IF($K4953="","",IF(ISNUMBER(SEARCH("sortie-epargne",IFERROR(INDEX('Paramètres'!$N:$N,MATCH($D4953,'Paramètres'!$M:$M,0))&amp;"",""))),$K4953,0))</f>
        <v/>
      </c>
      <c r="V4953" s="6" t="str">
        <f>IF(AND($A4953&lt;&gt;"",$O4953=1,$L4953="Débit",N($Q4953)&gt;0,$A4953&gt;=Visualisation!$B$1,$A4953&lt;Visualisation!$D$1),MAX($V$1:V4952)+1,"")</f>
        <v/>
      </c>
    </row>
    <row r="4954" spans="1:22" x14ac:dyDescent="0.25">
      <c r="A4954" s="9"/>
      <c r="E4954" s="10"/>
      <c r="K4954" s="11" t="str">
        <f>IF($E4954="","",ROUND($E4954*IF(ISNA(MATCH($C4954,'Paramètres'!$D:$D,0)),1,IF(INDEX('Paramètres'!$J:$J,MATCH($C4954,'Paramètres'!$D:$D,0))="",1,INDEX('Paramètres'!$J:$J,MATCH($C4954,'Paramètres'!$D:$D,0)))),2))</f>
        <v/>
      </c>
      <c r="L4954" s="6" t="str">
        <f>IF($D4954="","",IF($F4954&lt;&gt;"",$F4954,IF(ISNA(MATCH($D4954,'Paramètres'!$M:$M,0)),"⚠ Type inconnu",IFERROR(INDEX('Paramètres'!$P:$P,MATCH($D4954,'Paramètres'!$M:$M,0))&amp;"",""))))</f>
        <v/>
      </c>
      <c r="M4954" s="6" t="str">
        <f>IF($D4954="","",IF(ISNA(MATCH($D4954,'Paramètres'!$M:$M,0)),"⚠ Type inconnu",IF($L4954="Crédit","",IFERROR(INDEX('Paramètres'!$O:$O,MATCH($D4954,'Paramètres'!$M:$M,0))&amp;"",""))))</f>
        <v/>
      </c>
      <c r="N4954" s="6" t="str">
        <f>IF($D4954="","",IFERROR(INDEX('Paramètres'!$Q:$Q,MATCH($D4954,'Paramètres'!$M:$M,0))&amp;"",""))</f>
        <v/>
      </c>
      <c r="O4954" s="6" t="str">
        <f>IF($A4954="","",IF(OR($J4954&lt;&gt;"x",$A4954&lt;=FinReleve),1,0))</f>
        <v/>
      </c>
      <c r="P4954" s="6" t="str">
        <f>IF($D4954="","",IF(AND($L4954="Crédit",OR(IFERROR(INDEX('Paramètres'!$O:$O,MATCH($D4954,'Paramètres'!$M:$M,0))&amp;"","")&lt;&gt;"",ISNUMBER(SEARCH("remboursement",IFERROR(INDEX('Paramètres'!$N:$N,MATCH($D4954,'Paramètres'!$M:$M,0))&amp;"",""))))),1,0))</f>
        <v/>
      </c>
      <c r="Q4954" s="6" t="str">
        <f>IF($K4954="","",IF(ISNUMBER(SEARCH("transfert-interne",IFERROR(INDEX('Paramètres'!$N:$N,MATCH($D4954,'Paramètres'!$M:$M,0))&amp;"",""))),0,IF($L4954="Débit",$K4954,IF($P4954=1,-$K4954,0))))</f>
        <v/>
      </c>
      <c r="R4954" s="6" t="str">
        <f>IF($K4954="","",IF($L4954="Crédit",$K4954,-$K4954))</f>
        <v/>
      </c>
      <c r="S4954" s="6" t="str">
        <f>IF($C4954="","",IFERROR(INDEX('Paramètres'!$H:$H,MATCH($C4954,'Paramètres'!$D:$D,0))&amp;"",""))</f>
        <v/>
      </c>
      <c r="T4954" s="6" t="str">
        <f>IF($K4954="","",IF($S4954="",0,IF(ISNUMBER(SEARCH("apport-exterieur",IFERROR(INDEX('Paramètres'!$N:$N,MATCH($D4954,'Paramètres'!$M:$M,0))&amp;"",""))),0,IF(OR(IFERROR(INDEX('Paramètres'!$I:$I,MATCH($C4954,'Paramètres'!$D:$D,0))&amp;"","")="Les deux",IFERROR(INDEX('Paramètres'!$I:$I,MATCH($C4954,'Paramètres'!$D:$D,0))&amp;"","")=IF($P4954=1,"Débit",$L4954)),-IF($P4954=1,-$K4954,$K4954),0))))</f>
        <v/>
      </c>
      <c r="U4954" s="6" t="str">
        <f>IF($K4954="","",IF(ISNUMBER(SEARCH("sortie-epargne",IFERROR(INDEX('Paramètres'!$N:$N,MATCH($D4954,'Paramètres'!$M:$M,0))&amp;"",""))),$K4954,0))</f>
        <v/>
      </c>
      <c r="V4954" s="6" t="str">
        <f>IF(AND($A4954&lt;&gt;"",$O4954=1,$L4954="Débit",N($Q4954)&gt;0,$A4954&gt;=Visualisation!$B$1,$A4954&lt;Visualisation!$D$1),MAX($V$1:V4953)+1,"")</f>
        <v/>
      </c>
    </row>
    <row r="4955" spans="1:22" x14ac:dyDescent="0.25">
      <c r="A4955" s="9"/>
      <c r="E4955" s="10"/>
      <c r="K4955" s="11" t="str">
        <f>IF($E4955="","",ROUND($E4955*IF(ISNA(MATCH($C4955,'Paramètres'!$D:$D,0)),1,IF(INDEX('Paramètres'!$J:$J,MATCH($C4955,'Paramètres'!$D:$D,0))="",1,INDEX('Paramètres'!$J:$J,MATCH($C4955,'Paramètres'!$D:$D,0)))),2))</f>
        <v/>
      </c>
      <c r="L4955" s="6" t="str">
        <f>IF($D4955="","",IF($F4955&lt;&gt;"",$F4955,IF(ISNA(MATCH($D4955,'Paramètres'!$M:$M,0)),"⚠ Type inconnu",IFERROR(INDEX('Paramètres'!$P:$P,MATCH($D4955,'Paramètres'!$M:$M,0))&amp;"",""))))</f>
        <v/>
      </c>
      <c r="M4955" s="6" t="str">
        <f>IF($D4955="","",IF(ISNA(MATCH($D4955,'Paramètres'!$M:$M,0)),"⚠ Type inconnu",IF($L4955="Crédit","",IFERROR(INDEX('Paramètres'!$O:$O,MATCH($D4955,'Paramètres'!$M:$M,0))&amp;"",""))))</f>
        <v/>
      </c>
      <c r="N4955" s="6" t="str">
        <f>IF($D4955="","",IFERROR(INDEX('Paramètres'!$Q:$Q,MATCH($D4955,'Paramètres'!$M:$M,0))&amp;"",""))</f>
        <v/>
      </c>
      <c r="O4955" s="6" t="str">
        <f>IF($A4955="","",IF(OR($J4955&lt;&gt;"x",$A4955&lt;=FinReleve),1,0))</f>
        <v/>
      </c>
      <c r="P4955" s="6" t="str">
        <f>IF($D4955="","",IF(AND($L4955="Crédit",OR(IFERROR(INDEX('Paramètres'!$O:$O,MATCH($D4955,'Paramètres'!$M:$M,0))&amp;"","")&lt;&gt;"",ISNUMBER(SEARCH("remboursement",IFERROR(INDEX('Paramètres'!$N:$N,MATCH($D4955,'Paramètres'!$M:$M,0))&amp;"",""))))),1,0))</f>
        <v/>
      </c>
      <c r="Q4955" s="6" t="str">
        <f>IF($K4955="","",IF(ISNUMBER(SEARCH("transfert-interne",IFERROR(INDEX('Paramètres'!$N:$N,MATCH($D4955,'Paramètres'!$M:$M,0))&amp;"",""))),0,IF($L4955="Débit",$K4955,IF($P4955=1,-$K4955,0))))</f>
        <v/>
      </c>
      <c r="R4955" s="6" t="str">
        <f>IF($K4955="","",IF($L4955="Crédit",$K4955,-$K4955))</f>
        <v/>
      </c>
      <c r="S4955" s="6" t="str">
        <f>IF($C4955="","",IFERROR(INDEX('Paramètres'!$H:$H,MATCH($C4955,'Paramètres'!$D:$D,0))&amp;"",""))</f>
        <v/>
      </c>
      <c r="T4955" s="6" t="str">
        <f>IF($K4955="","",IF($S4955="",0,IF(ISNUMBER(SEARCH("apport-exterieur",IFERROR(INDEX('Paramètres'!$N:$N,MATCH($D4955,'Paramètres'!$M:$M,0))&amp;"",""))),0,IF(OR(IFERROR(INDEX('Paramètres'!$I:$I,MATCH($C4955,'Paramètres'!$D:$D,0))&amp;"","")="Les deux",IFERROR(INDEX('Paramètres'!$I:$I,MATCH($C4955,'Paramètres'!$D:$D,0))&amp;"","")=IF($P4955=1,"Débit",$L4955)),-IF($P4955=1,-$K4955,$K4955),0))))</f>
        <v/>
      </c>
      <c r="U4955" s="6" t="str">
        <f>IF($K4955="","",IF(ISNUMBER(SEARCH("sortie-epargne",IFERROR(INDEX('Paramètres'!$N:$N,MATCH($D4955,'Paramètres'!$M:$M,0))&amp;"",""))),$K4955,0))</f>
        <v/>
      </c>
      <c r="V4955" s="6" t="str">
        <f>IF(AND($A4955&lt;&gt;"",$O4955=1,$L4955="Débit",N($Q4955)&gt;0,$A4955&gt;=Visualisation!$B$1,$A4955&lt;Visualisation!$D$1),MAX($V$1:V4954)+1,"")</f>
        <v/>
      </c>
    </row>
    <row r="4956" spans="1:22" x14ac:dyDescent="0.25">
      <c r="A4956" s="9"/>
      <c r="E4956" s="10"/>
      <c r="K4956" s="11" t="str">
        <f>IF($E4956="","",ROUND($E4956*IF(ISNA(MATCH($C4956,'Paramètres'!$D:$D,0)),1,IF(INDEX('Paramètres'!$J:$J,MATCH($C4956,'Paramètres'!$D:$D,0))="",1,INDEX('Paramètres'!$J:$J,MATCH($C4956,'Paramètres'!$D:$D,0)))),2))</f>
        <v/>
      </c>
      <c r="L4956" s="6" t="str">
        <f>IF($D4956="","",IF($F4956&lt;&gt;"",$F4956,IF(ISNA(MATCH($D4956,'Paramètres'!$M:$M,0)),"⚠ Type inconnu",IFERROR(INDEX('Paramètres'!$P:$P,MATCH($D4956,'Paramètres'!$M:$M,0))&amp;"",""))))</f>
        <v/>
      </c>
      <c r="M4956" s="6" t="str">
        <f>IF($D4956="","",IF(ISNA(MATCH($D4956,'Paramètres'!$M:$M,0)),"⚠ Type inconnu",IF($L4956="Crédit","",IFERROR(INDEX('Paramètres'!$O:$O,MATCH($D4956,'Paramètres'!$M:$M,0))&amp;"",""))))</f>
        <v/>
      </c>
      <c r="N4956" s="6" t="str">
        <f>IF($D4956="","",IFERROR(INDEX('Paramètres'!$Q:$Q,MATCH($D4956,'Paramètres'!$M:$M,0))&amp;"",""))</f>
        <v/>
      </c>
      <c r="O4956" s="6" t="str">
        <f>IF($A4956="","",IF(OR($J4956&lt;&gt;"x",$A4956&lt;=FinReleve),1,0))</f>
        <v/>
      </c>
      <c r="P4956" s="6" t="str">
        <f>IF($D4956="","",IF(AND($L4956="Crédit",OR(IFERROR(INDEX('Paramètres'!$O:$O,MATCH($D4956,'Paramètres'!$M:$M,0))&amp;"","")&lt;&gt;"",ISNUMBER(SEARCH("remboursement",IFERROR(INDEX('Paramètres'!$N:$N,MATCH($D4956,'Paramètres'!$M:$M,0))&amp;"",""))))),1,0))</f>
        <v/>
      </c>
      <c r="Q4956" s="6" t="str">
        <f>IF($K4956="","",IF(ISNUMBER(SEARCH("transfert-interne",IFERROR(INDEX('Paramètres'!$N:$N,MATCH($D4956,'Paramètres'!$M:$M,0))&amp;"",""))),0,IF($L4956="Débit",$K4956,IF($P4956=1,-$K4956,0))))</f>
        <v/>
      </c>
      <c r="R4956" s="6" t="str">
        <f>IF($K4956="","",IF($L4956="Crédit",$K4956,-$K4956))</f>
        <v/>
      </c>
      <c r="S4956" s="6" t="str">
        <f>IF($C4956="","",IFERROR(INDEX('Paramètres'!$H:$H,MATCH($C4956,'Paramètres'!$D:$D,0))&amp;"",""))</f>
        <v/>
      </c>
      <c r="T4956" s="6" t="str">
        <f>IF($K4956="","",IF($S4956="",0,IF(ISNUMBER(SEARCH("apport-exterieur",IFERROR(INDEX('Paramètres'!$N:$N,MATCH($D4956,'Paramètres'!$M:$M,0))&amp;"",""))),0,IF(OR(IFERROR(INDEX('Paramètres'!$I:$I,MATCH($C4956,'Paramètres'!$D:$D,0))&amp;"","")="Les deux",IFERROR(INDEX('Paramètres'!$I:$I,MATCH($C4956,'Paramètres'!$D:$D,0))&amp;"","")=IF($P4956=1,"Débit",$L4956)),-IF($P4956=1,-$K4956,$K4956),0))))</f>
        <v/>
      </c>
      <c r="U4956" s="6" t="str">
        <f>IF($K4956="","",IF(ISNUMBER(SEARCH("sortie-epargne",IFERROR(INDEX('Paramètres'!$N:$N,MATCH($D4956,'Paramètres'!$M:$M,0))&amp;"",""))),$K4956,0))</f>
        <v/>
      </c>
      <c r="V4956" s="6" t="str">
        <f>IF(AND($A4956&lt;&gt;"",$O4956=1,$L4956="Débit",N($Q4956)&gt;0,$A4956&gt;=Visualisation!$B$1,$A4956&lt;Visualisation!$D$1),MAX($V$1:V4955)+1,"")</f>
        <v/>
      </c>
    </row>
    <row r="4957" spans="1:22" x14ac:dyDescent="0.25">
      <c r="A4957" s="9"/>
      <c r="E4957" s="10"/>
      <c r="K4957" s="11" t="str">
        <f>IF($E4957="","",ROUND($E4957*IF(ISNA(MATCH($C4957,'Paramètres'!$D:$D,0)),1,IF(INDEX('Paramètres'!$J:$J,MATCH($C4957,'Paramètres'!$D:$D,0))="",1,INDEX('Paramètres'!$J:$J,MATCH($C4957,'Paramètres'!$D:$D,0)))),2))</f>
        <v/>
      </c>
      <c r="L4957" s="6" t="str">
        <f>IF($D4957="","",IF($F4957&lt;&gt;"",$F4957,IF(ISNA(MATCH($D4957,'Paramètres'!$M:$M,0)),"⚠ Type inconnu",IFERROR(INDEX('Paramètres'!$P:$P,MATCH($D4957,'Paramètres'!$M:$M,0))&amp;"",""))))</f>
        <v/>
      </c>
      <c r="M4957" s="6" t="str">
        <f>IF($D4957="","",IF(ISNA(MATCH($D4957,'Paramètres'!$M:$M,0)),"⚠ Type inconnu",IF($L4957="Crédit","",IFERROR(INDEX('Paramètres'!$O:$O,MATCH($D4957,'Paramètres'!$M:$M,0))&amp;"",""))))</f>
        <v/>
      </c>
      <c r="N4957" s="6" t="str">
        <f>IF($D4957="","",IFERROR(INDEX('Paramètres'!$Q:$Q,MATCH($D4957,'Paramètres'!$M:$M,0))&amp;"",""))</f>
        <v/>
      </c>
      <c r="O4957" s="6" t="str">
        <f>IF($A4957="","",IF(OR($J4957&lt;&gt;"x",$A4957&lt;=FinReleve),1,0))</f>
        <v/>
      </c>
      <c r="P4957" s="6" t="str">
        <f>IF($D4957="","",IF(AND($L4957="Crédit",OR(IFERROR(INDEX('Paramètres'!$O:$O,MATCH($D4957,'Paramètres'!$M:$M,0))&amp;"","")&lt;&gt;"",ISNUMBER(SEARCH("remboursement",IFERROR(INDEX('Paramètres'!$N:$N,MATCH($D4957,'Paramètres'!$M:$M,0))&amp;"",""))))),1,0))</f>
        <v/>
      </c>
      <c r="Q4957" s="6" t="str">
        <f>IF($K4957="","",IF(ISNUMBER(SEARCH("transfert-interne",IFERROR(INDEX('Paramètres'!$N:$N,MATCH($D4957,'Paramètres'!$M:$M,0))&amp;"",""))),0,IF($L4957="Débit",$K4957,IF($P4957=1,-$K4957,0))))</f>
        <v/>
      </c>
      <c r="R4957" s="6" t="str">
        <f>IF($K4957="","",IF($L4957="Crédit",$K4957,-$K4957))</f>
        <v/>
      </c>
      <c r="S4957" s="6" t="str">
        <f>IF($C4957="","",IFERROR(INDEX('Paramètres'!$H:$H,MATCH($C4957,'Paramètres'!$D:$D,0))&amp;"",""))</f>
        <v/>
      </c>
      <c r="T4957" s="6" t="str">
        <f>IF($K4957="","",IF($S4957="",0,IF(ISNUMBER(SEARCH("apport-exterieur",IFERROR(INDEX('Paramètres'!$N:$N,MATCH($D4957,'Paramètres'!$M:$M,0))&amp;"",""))),0,IF(OR(IFERROR(INDEX('Paramètres'!$I:$I,MATCH($C4957,'Paramètres'!$D:$D,0))&amp;"","")="Les deux",IFERROR(INDEX('Paramètres'!$I:$I,MATCH($C4957,'Paramètres'!$D:$D,0))&amp;"","")=IF($P4957=1,"Débit",$L4957)),-IF($P4957=1,-$K4957,$K4957),0))))</f>
        <v/>
      </c>
      <c r="U4957" s="6" t="str">
        <f>IF($K4957="","",IF(ISNUMBER(SEARCH("sortie-epargne",IFERROR(INDEX('Paramètres'!$N:$N,MATCH($D4957,'Paramètres'!$M:$M,0))&amp;"",""))),$K4957,0))</f>
        <v/>
      </c>
      <c r="V4957" s="6" t="str">
        <f>IF(AND($A4957&lt;&gt;"",$O4957=1,$L4957="Débit",N($Q4957)&gt;0,$A4957&gt;=Visualisation!$B$1,$A4957&lt;Visualisation!$D$1),MAX($V$1:V4956)+1,"")</f>
        <v/>
      </c>
    </row>
    <row r="4958" spans="1:22" x14ac:dyDescent="0.25">
      <c r="A4958" s="9"/>
      <c r="E4958" s="10"/>
      <c r="K4958" s="11" t="str">
        <f>IF($E4958="","",ROUND($E4958*IF(ISNA(MATCH($C4958,'Paramètres'!$D:$D,0)),1,IF(INDEX('Paramètres'!$J:$J,MATCH($C4958,'Paramètres'!$D:$D,0))="",1,INDEX('Paramètres'!$J:$J,MATCH($C4958,'Paramètres'!$D:$D,0)))),2))</f>
        <v/>
      </c>
      <c r="L4958" s="6" t="str">
        <f>IF($D4958="","",IF($F4958&lt;&gt;"",$F4958,IF(ISNA(MATCH($D4958,'Paramètres'!$M:$M,0)),"⚠ Type inconnu",IFERROR(INDEX('Paramètres'!$P:$P,MATCH($D4958,'Paramètres'!$M:$M,0))&amp;"",""))))</f>
        <v/>
      </c>
      <c r="M4958" s="6" t="str">
        <f>IF($D4958="","",IF(ISNA(MATCH($D4958,'Paramètres'!$M:$M,0)),"⚠ Type inconnu",IF($L4958="Crédit","",IFERROR(INDEX('Paramètres'!$O:$O,MATCH($D4958,'Paramètres'!$M:$M,0))&amp;"",""))))</f>
        <v/>
      </c>
      <c r="N4958" s="6" t="str">
        <f>IF($D4958="","",IFERROR(INDEX('Paramètres'!$Q:$Q,MATCH($D4958,'Paramètres'!$M:$M,0))&amp;"",""))</f>
        <v/>
      </c>
      <c r="O4958" s="6" t="str">
        <f>IF($A4958="","",IF(OR($J4958&lt;&gt;"x",$A4958&lt;=FinReleve),1,0))</f>
        <v/>
      </c>
      <c r="P4958" s="6" t="str">
        <f>IF($D4958="","",IF(AND($L4958="Crédit",OR(IFERROR(INDEX('Paramètres'!$O:$O,MATCH($D4958,'Paramètres'!$M:$M,0))&amp;"","")&lt;&gt;"",ISNUMBER(SEARCH("remboursement",IFERROR(INDEX('Paramètres'!$N:$N,MATCH($D4958,'Paramètres'!$M:$M,0))&amp;"",""))))),1,0))</f>
        <v/>
      </c>
      <c r="Q4958" s="6" t="str">
        <f>IF($K4958="","",IF(ISNUMBER(SEARCH("transfert-interne",IFERROR(INDEX('Paramètres'!$N:$N,MATCH($D4958,'Paramètres'!$M:$M,0))&amp;"",""))),0,IF($L4958="Débit",$K4958,IF($P4958=1,-$K4958,0))))</f>
        <v/>
      </c>
      <c r="R4958" s="6" t="str">
        <f>IF($K4958="","",IF($L4958="Crédit",$K4958,-$K4958))</f>
        <v/>
      </c>
      <c r="S4958" s="6" t="str">
        <f>IF($C4958="","",IFERROR(INDEX('Paramètres'!$H:$H,MATCH($C4958,'Paramètres'!$D:$D,0))&amp;"",""))</f>
        <v/>
      </c>
      <c r="T4958" s="6" t="str">
        <f>IF($K4958="","",IF($S4958="",0,IF(ISNUMBER(SEARCH("apport-exterieur",IFERROR(INDEX('Paramètres'!$N:$N,MATCH($D4958,'Paramètres'!$M:$M,0))&amp;"",""))),0,IF(OR(IFERROR(INDEX('Paramètres'!$I:$I,MATCH($C4958,'Paramètres'!$D:$D,0))&amp;"","")="Les deux",IFERROR(INDEX('Paramètres'!$I:$I,MATCH($C4958,'Paramètres'!$D:$D,0))&amp;"","")=IF($P4958=1,"Débit",$L4958)),-IF($P4958=1,-$K4958,$K4958),0))))</f>
        <v/>
      </c>
      <c r="U4958" s="6" t="str">
        <f>IF($K4958="","",IF(ISNUMBER(SEARCH("sortie-epargne",IFERROR(INDEX('Paramètres'!$N:$N,MATCH($D4958,'Paramètres'!$M:$M,0))&amp;"",""))),$K4958,0))</f>
        <v/>
      </c>
      <c r="V4958" s="6" t="str">
        <f>IF(AND($A4958&lt;&gt;"",$O4958=1,$L4958="Débit",N($Q4958)&gt;0,$A4958&gt;=Visualisation!$B$1,$A4958&lt;Visualisation!$D$1),MAX($V$1:V4957)+1,"")</f>
        <v/>
      </c>
    </row>
    <row r="4959" spans="1:22" x14ac:dyDescent="0.25">
      <c r="A4959" s="9"/>
      <c r="E4959" s="10"/>
      <c r="K4959" s="11" t="str">
        <f>IF($E4959="","",ROUND($E4959*IF(ISNA(MATCH($C4959,'Paramètres'!$D:$D,0)),1,IF(INDEX('Paramètres'!$J:$J,MATCH($C4959,'Paramètres'!$D:$D,0))="",1,INDEX('Paramètres'!$J:$J,MATCH($C4959,'Paramètres'!$D:$D,0)))),2))</f>
        <v/>
      </c>
      <c r="L4959" s="6" t="str">
        <f>IF($D4959="","",IF($F4959&lt;&gt;"",$F4959,IF(ISNA(MATCH($D4959,'Paramètres'!$M:$M,0)),"⚠ Type inconnu",IFERROR(INDEX('Paramètres'!$P:$P,MATCH($D4959,'Paramètres'!$M:$M,0))&amp;"",""))))</f>
        <v/>
      </c>
      <c r="M4959" s="6" t="str">
        <f>IF($D4959="","",IF(ISNA(MATCH($D4959,'Paramètres'!$M:$M,0)),"⚠ Type inconnu",IF($L4959="Crédit","",IFERROR(INDEX('Paramètres'!$O:$O,MATCH($D4959,'Paramètres'!$M:$M,0))&amp;"",""))))</f>
        <v/>
      </c>
      <c r="N4959" s="6" t="str">
        <f>IF($D4959="","",IFERROR(INDEX('Paramètres'!$Q:$Q,MATCH($D4959,'Paramètres'!$M:$M,0))&amp;"",""))</f>
        <v/>
      </c>
      <c r="O4959" s="6" t="str">
        <f>IF($A4959="","",IF(OR($J4959&lt;&gt;"x",$A4959&lt;=FinReleve),1,0))</f>
        <v/>
      </c>
      <c r="P4959" s="6" t="str">
        <f>IF($D4959="","",IF(AND($L4959="Crédit",OR(IFERROR(INDEX('Paramètres'!$O:$O,MATCH($D4959,'Paramètres'!$M:$M,0))&amp;"","")&lt;&gt;"",ISNUMBER(SEARCH("remboursement",IFERROR(INDEX('Paramètres'!$N:$N,MATCH($D4959,'Paramètres'!$M:$M,0))&amp;"",""))))),1,0))</f>
        <v/>
      </c>
      <c r="Q4959" s="6" t="str">
        <f>IF($K4959="","",IF(ISNUMBER(SEARCH("transfert-interne",IFERROR(INDEX('Paramètres'!$N:$N,MATCH($D4959,'Paramètres'!$M:$M,0))&amp;"",""))),0,IF($L4959="Débit",$K4959,IF($P4959=1,-$K4959,0))))</f>
        <v/>
      </c>
      <c r="R4959" s="6" t="str">
        <f>IF($K4959="","",IF($L4959="Crédit",$K4959,-$K4959))</f>
        <v/>
      </c>
      <c r="S4959" s="6" t="str">
        <f>IF($C4959="","",IFERROR(INDEX('Paramètres'!$H:$H,MATCH($C4959,'Paramètres'!$D:$D,0))&amp;"",""))</f>
        <v/>
      </c>
      <c r="T4959" s="6" t="str">
        <f>IF($K4959="","",IF($S4959="",0,IF(ISNUMBER(SEARCH("apport-exterieur",IFERROR(INDEX('Paramètres'!$N:$N,MATCH($D4959,'Paramètres'!$M:$M,0))&amp;"",""))),0,IF(OR(IFERROR(INDEX('Paramètres'!$I:$I,MATCH($C4959,'Paramètres'!$D:$D,0))&amp;"","")="Les deux",IFERROR(INDEX('Paramètres'!$I:$I,MATCH($C4959,'Paramètres'!$D:$D,0))&amp;"","")=IF($P4959=1,"Débit",$L4959)),-IF($P4959=1,-$K4959,$K4959),0))))</f>
        <v/>
      </c>
      <c r="U4959" s="6" t="str">
        <f>IF($K4959="","",IF(ISNUMBER(SEARCH("sortie-epargne",IFERROR(INDEX('Paramètres'!$N:$N,MATCH($D4959,'Paramètres'!$M:$M,0))&amp;"",""))),$K4959,0))</f>
        <v/>
      </c>
      <c r="V4959" s="6" t="str">
        <f>IF(AND($A4959&lt;&gt;"",$O4959=1,$L4959="Débit",N($Q4959)&gt;0,$A4959&gt;=Visualisation!$B$1,$A4959&lt;Visualisation!$D$1),MAX($V$1:V4958)+1,"")</f>
        <v/>
      </c>
    </row>
    <row r="4960" spans="1:22" x14ac:dyDescent="0.25">
      <c r="A4960" s="9"/>
      <c r="E4960" s="10"/>
      <c r="K4960" s="11" t="str">
        <f>IF($E4960="","",ROUND($E4960*IF(ISNA(MATCH($C4960,'Paramètres'!$D:$D,0)),1,IF(INDEX('Paramètres'!$J:$J,MATCH($C4960,'Paramètres'!$D:$D,0))="",1,INDEX('Paramètres'!$J:$J,MATCH($C4960,'Paramètres'!$D:$D,0)))),2))</f>
        <v/>
      </c>
      <c r="L4960" s="6" t="str">
        <f>IF($D4960="","",IF($F4960&lt;&gt;"",$F4960,IF(ISNA(MATCH($D4960,'Paramètres'!$M:$M,0)),"⚠ Type inconnu",IFERROR(INDEX('Paramètres'!$P:$P,MATCH($D4960,'Paramètres'!$M:$M,0))&amp;"",""))))</f>
        <v/>
      </c>
      <c r="M4960" s="6" t="str">
        <f>IF($D4960="","",IF(ISNA(MATCH($D4960,'Paramètres'!$M:$M,0)),"⚠ Type inconnu",IF($L4960="Crédit","",IFERROR(INDEX('Paramètres'!$O:$O,MATCH($D4960,'Paramètres'!$M:$M,0))&amp;"",""))))</f>
        <v/>
      </c>
      <c r="N4960" s="6" t="str">
        <f>IF($D4960="","",IFERROR(INDEX('Paramètres'!$Q:$Q,MATCH($D4960,'Paramètres'!$M:$M,0))&amp;"",""))</f>
        <v/>
      </c>
      <c r="O4960" s="6" t="str">
        <f>IF($A4960="","",IF(OR($J4960&lt;&gt;"x",$A4960&lt;=FinReleve),1,0))</f>
        <v/>
      </c>
      <c r="P4960" s="6" t="str">
        <f>IF($D4960="","",IF(AND($L4960="Crédit",OR(IFERROR(INDEX('Paramètres'!$O:$O,MATCH($D4960,'Paramètres'!$M:$M,0))&amp;"","")&lt;&gt;"",ISNUMBER(SEARCH("remboursement",IFERROR(INDEX('Paramètres'!$N:$N,MATCH($D4960,'Paramètres'!$M:$M,0))&amp;"",""))))),1,0))</f>
        <v/>
      </c>
      <c r="Q4960" s="6" t="str">
        <f>IF($K4960="","",IF(ISNUMBER(SEARCH("transfert-interne",IFERROR(INDEX('Paramètres'!$N:$N,MATCH($D4960,'Paramètres'!$M:$M,0))&amp;"",""))),0,IF($L4960="Débit",$K4960,IF($P4960=1,-$K4960,0))))</f>
        <v/>
      </c>
      <c r="R4960" s="6" t="str">
        <f>IF($K4960="","",IF($L4960="Crédit",$K4960,-$K4960))</f>
        <v/>
      </c>
      <c r="S4960" s="6" t="str">
        <f>IF($C4960="","",IFERROR(INDEX('Paramètres'!$H:$H,MATCH($C4960,'Paramètres'!$D:$D,0))&amp;"",""))</f>
        <v/>
      </c>
      <c r="T4960" s="6" t="str">
        <f>IF($K4960="","",IF($S4960="",0,IF(ISNUMBER(SEARCH("apport-exterieur",IFERROR(INDEX('Paramètres'!$N:$N,MATCH($D4960,'Paramètres'!$M:$M,0))&amp;"",""))),0,IF(OR(IFERROR(INDEX('Paramètres'!$I:$I,MATCH($C4960,'Paramètres'!$D:$D,0))&amp;"","")="Les deux",IFERROR(INDEX('Paramètres'!$I:$I,MATCH($C4960,'Paramètres'!$D:$D,0))&amp;"","")=IF($P4960=1,"Débit",$L4960)),-IF($P4960=1,-$K4960,$K4960),0))))</f>
        <v/>
      </c>
      <c r="U4960" s="6" t="str">
        <f>IF($K4960="","",IF(ISNUMBER(SEARCH("sortie-epargne",IFERROR(INDEX('Paramètres'!$N:$N,MATCH($D4960,'Paramètres'!$M:$M,0))&amp;"",""))),$K4960,0))</f>
        <v/>
      </c>
      <c r="V4960" s="6" t="str">
        <f>IF(AND($A4960&lt;&gt;"",$O4960=1,$L4960="Débit",N($Q4960)&gt;0,$A4960&gt;=Visualisation!$B$1,$A4960&lt;Visualisation!$D$1),MAX($V$1:V4959)+1,"")</f>
        <v/>
      </c>
    </row>
    <row r="4961" spans="1:22" x14ac:dyDescent="0.25">
      <c r="A4961" s="9"/>
      <c r="E4961" s="10"/>
      <c r="K4961" s="11" t="str">
        <f>IF($E4961="","",ROUND($E4961*IF(ISNA(MATCH($C4961,'Paramètres'!$D:$D,0)),1,IF(INDEX('Paramètres'!$J:$J,MATCH($C4961,'Paramètres'!$D:$D,0))="",1,INDEX('Paramètres'!$J:$J,MATCH($C4961,'Paramètres'!$D:$D,0)))),2))</f>
        <v/>
      </c>
      <c r="L4961" s="6" t="str">
        <f>IF($D4961="","",IF($F4961&lt;&gt;"",$F4961,IF(ISNA(MATCH($D4961,'Paramètres'!$M:$M,0)),"⚠ Type inconnu",IFERROR(INDEX('Paramètres'!$P:$P,MATCH($D4961,'Paramètres'!$M:$M,0))&amp;"",""))))</f>
        <v/>
      </c>
      <c r="M4961" s="6" t="str">
        <f>IF($D4961="","",IF(ISNA(MATCH($D4961,'Paramètres'!$M:$M,0)),"⚠ Type inconnu",IF($L4961="Crédit","",IFERROR(INDEX('Paramètres'!$O:$O,MATCH($D4961,'Paramètres'!$M:$M,0))&amp;"",""))))</f>
        <v/>
      </c>
      <c r="N4961" s="6" t="str">
        <f>IF($D4961="","",IFERROR(INDEX('Paramètres'!$Q:$Q,MATCH($D4961,'Paramètres'!$M:$M,0))&amp;"",""))</f>
        <v/>
      </c>
      <c r="O4961" s="6" t="str">
        <f>IF($A4961="","",IF(OR($J4961&lt;&gt;"x",$A4961&lt;=FinReleve),1,0))</f>
        <v/>
      </c>
      <c r="P4961" s="6" t="str">
        <f>IF($D4961="","",IF(AND($L4961="Crédit",OR(IFERROR(INDEX('Paramètres'!$O:$O,MATCH($D4961,'Paramètres'!$M:$M,0))&amp;"","")&lt;&gt;"",ISNUMBER(SEARCH("remboursement",IFERROR(INDEX('Paramètres'!$N:$N,MATCH($D4961,'Paramètres'!$M:$M,0))&amp;"",""))))),1,0))</f>
        <v/>
      </c>
      <c r="Q4961" s="6" t="str">
        <f>IF($K4961="","",IF(ISNUMBER(SEARCH("transfert-interne",IFERROR(INDEX('Paramètres'!$N:$N,MATCH($D4961,'Paramètres'!$M:$M,0))&amp;"",""))),0,IF($L4961="Débit",$K4961,IF($P4961=1,-$K4961,0))))</f>
        <v/>
      </c>
      <c r="R4961" s="6" t="str">
        <f>IF($K4961="","",IF($L4961="Crédit",$K4961,-$K4961))</f>
        <v/>
      </c>
      <c r="S4961" s="6" t="str">
        <f>IF($C4961="","",IFERROR(INDEX('Paramètres'!$H:$H,MATCH($C4961,'Paramètres'!$D:$D,0))&amp;"",""))</f>
        <v/>
      </c>
      <c r="T4961" s="6" t="str">
        <f>IF($K4961="","",IF($S4961="",0,IF(ISNUMBER(SEARCH("apport-exterieur",IFERROR(INDEX('Paramètres'!$N:$N,MATCH($D4961,'Paramètres'!$M:$M,0))&amp;"",""))),0,IF(OR(IFERROR(INDEX('Paramètres'!$I:$I,MATCH($C4961,'Paramètres'!$D:$D,0))&amp;"","")="Les deux",IFERROR(INDEX('Paramètres'!$I:$I,MATCH($C4961,'Paramètres'!$D:$D,0))&amp;"","")=IF($P4961=1,"Débit",$L4961)),-IF($P4961=1,-$K4961,$K4961),0))))</f>
        <v/>
      </c>
      <c r="U4961" s="6" t="str">
        <f>IF($K4961="","",IF(ISNUMBER(SEARCH("sortie-epargne",IFERROR(INDEX('Paramètres'!$N:$N,MATCH($D4961,'Paramètres'!$M:$M,0))&amp;"",""))),$K4961,0))</f>
        <v/>
      </c>
      <c r="V4961" s="6" t="str">
        <f>IF(AND($A4961&lt;&gt;"",$O4961=1,$L4961="Débit",N($Q4961)&gt;0,$A4961&gt;=Visualisation!$B$1,$A4961&lt;Visualisation!$D$1),MAX($V$1:V4960)+1,"")</f>
        <v/>
      </c>
    </row>
    <row r="4962" spans="1:22" x14ac:dyDescent="0.25">
      <c r="A4962" s="9"/>
      <c r="E4962" s="10"/>
      <c r="K4962" s="11" t="str">
        <f>IF($E4962="","",ROUND($E4962*IF(ISNA(MATCH($C4962,'Paramètres'!$D:$D,0)),1,IF(INDEX('Paramètres'!$J:$J,MATCH($C4962,'Paramètres'!$D:$D,0))="",1,INDEX('Paramètres'!$J:$J,MATCH($C4962,'Paramètres'!$D:$D,0)))),2))</f>
        <v/>
      </c>
      <c r="L4962" s="6" t="str">
        <f>IF($D4962="","",IF($F4962&lt;&gt;"",$F4962,IF(ISNA(MATCH($D4962,'Paramètres'!$M:$M,0)),"⚠ Type inconnu",IFERROR(INDEX('Paramètres'!$P:$P,MATCH($D4962,'Paramètres'!$M:$M,0))&amp;"",""))))</f>
        <v/>
      </c>
      <c r="M4962" s="6" t="str">
        <f>IF($D4962="","",IF(ISNA(MATCH($D4962,'Paramètres'!$M:$M,0)),"⚠ Type inconnu",IF($L4962="Crédit","",IFERROR(INDEX('Paramètres'!$O:$O,MATCH($D4962,'Paramètres'!$M:$M,0))&amp;"",""))))</f>
        <v/>
      </c>
      <c r="N4962" s="6" t="str">
        <f>IF($D4962="","",IFERROR(INDEX('Paramètres'!$Q:$Q,MATCH($D4962,'Paramètres'!$M:$M,0))&amp;"",""))</f>
        <v/>
      </c>
      <c r="O4962" s="6" t="str">
        <f>IF($A4962="","",IF(OR($J4962&lt;&gt;"x",$A4962&lt;=FinReleve),1,0))</f>
        <v/>
      </c>
      <c r="P4962" s="6" t="str">
        <f>IF($D4962="","",IF(AND($L4962="Crédit",OR(IFERROR(INDEX('Paramètres'!$O:$O,MATCH($D4962,'Paramètres'!$M:$M,0))&amp;"","")&lt;&gt;"",ISNUMBER(SEARCH("remboursement",IFERROR(INDEX('Paramètres'!$N:$N,MATCH($D4962,'Paramètres'!$M:$M,0))&amp;"",""))))),1,0))</f>
        <v/>
      </c>
      <c r="Q4962" s="6" t="str">
        <f>IF($K4962="","",IF(ISNUMBER(SEARCH("transfert-interne",IFERROR(INDEX('Paramètres'!$N:$N,MATCH($D4962,'Paramètres'!$M:$M,0))&amp;"",""))),0,IF($L4962="Débit",$K4962,IF($P4962=1,-$K4962,0))))</f>
        <v/>
      </c>
      <c r="R4962" s="6" t="str">
        <f>IF($K4962="","",IF($L4962="Crédit",$K4962,-$K4962))</f>
        <v/>
      </c>
      <c r="S4962" s="6" t="str">
        <f>IF($C4962="","",IFERROR(INDEX('Paramètres'!$H:$H,MATCH($C4962,'Paramètres'!$D:$D,0))&amp;"",""))</f>
        <v/>
      </c>
      <c r="T4962" s="6" t="str">
        <f>IF($K4962="","",IF($S4962="",0,IF(ISNUMBER(SEARCH("apport-exterieur",IFERROR(INDEX('Paramètres'!$N:$N,MATCH($D4962,'Paramètres'!$M:$M,0))&amp;"",""))),0,IF(OR(IFERROR(INDEX('Paramètres'!$I:$I,MATCH($C4962,'Paramètres'!$D:$D,0))&amp;"","")="Les deux",IFERROR(INDEX('Paramètres'!$I:$I,MATCH($C4962,'Paramètres'!$D:$D,0))&amp;"","")=IF($P4962=1,"Débit",$L4962)),-IF($P4962=1,-$K4962,$K4962),0))))</f>
        <v/>
      </c>
      <c r="U4962" s="6" t="str">
        <f>IF($K4962="","",IF(ISNUMBER(SEARCH("sortie-epargne",IFERROR(INDEX('Paramètres'!$N:$N,MATCH($D4962,'Paramètres'!$M:$M,0))&amp;"",""))),$K4962,0))</f>
        <v/>
      </c>
      <c r="V4962" s="6" t="str">
        <f>IF(AND($A4962&lt;&gt;"",$O4962=1,$L4962="Débit",N($Q4962)&gt;0,$A4962&gt;=Visualisation!$B$1,$A4962&lt;Visualisation!$D$1),MAX($V$1:V4961)+1,"")</f>
        <v/>
      </c>
    </row>
    <row r="4963" spans="1:22" x14ac:dyDescent="0.25">
      <c r="A4963" s="9"/>
      <c r="E4963" s="10"/>
      <c r="K4963" s="11" t="str">
        <f>IF($E4963="","",ROUND($E4963*IF(ISNA(MATCH($C4963,'Paramètres'!$D:$D,0)),1,IF(INDEX('Paramètres'!$J:$J,MATCH($C4963,'Paramètres'!$D:$D,0))="",1,INDEX('Paramètres'!$J:$J,MATCH($C4963,'Paramètres'!$D:$D,0)))),2))</f>
        <v/>
      </c>
      <c r="L4963" s="6" t="str">
        <f>IF($D4963="","",IF($F4963&lt;&gt;"",$F4963,IF(ISNA(MATCH($D4963,'Paramètres'!$M:$M,0)),"⚠ Type inconnu",IFERROR(INDEX('Paramètres'!$P:$P,MATCH($D4963,'Paramètres'!$M:$M,0))&amp;"",""))))</f>
        <v/>
      </c>
      <c r="M4963" s="6" t="str">
        <f>IF($D4963="","",IF(ISNA(MATCH($D4963,'Paramètres'!$M:$M,0)),"⚠ Type inconnu",IF($L4963="Crédit","",IFERROR(INDEX('Paramètres'!$O:$O,MATCH($D4963,'Paramètres'!$M:$M,0))&amp;"",""))))</f>
        <v/>
      </c>
      <c r="N4963" s="6" t="str">
        <f>IF($D4963="","",IFERROR(INDEX('Paramètres'!$Q:$Q,MATCH($D4963,'Paramètres'!$M:$M,0))&amp;"",""))</f>
        <v/>
      </c>
      <c r="O4963" s="6" t="str">
        <f>IF($A4963="","",IF(OR($J4963&lt;&gt;"x",$A4963&lt;=FinReleve),1,0))</f>
        <v/>
      </c>
      <c r="P4963" s="6" t="str">
        <f>IF($D4963="","",IF(AND($L4963="Crédit",OR(IFERROR(INDEX('Paramètres'!$O:$O,MATCH($D4963,'Paramètres'!$M:$M,0))&amp;"","")&lt;&gt;"",ISNUMBER(SEARCH("remboursement",IFERROR(INDEX('Paramètres'!$N:$N,MATCH($D4963,'Paramètres'!$M:$M,0))&amp;"",""))))),1,0))</f>
        <v/>
      </c>
      <c r="Q4963" s="6" t="str">
        <f>IF($K4963="","",IF(ISNUMBER(SEARCH("transfert-interne",IFERROR(INDEX('Paramètres'!$N:$N,MATCH($D4963,'Paramètres'!$M:$M,0))&amp;"",""))),0,IF($L4963="Débit",$K4963,IF($P4963=1,-$K4963,0))))</f>
        <v/>
      </c>
      <c r="R4963" s="6" t="str">
        <f>IF($K4963="","",IF($L4963="Crédit",$K4963,-$K4963))</f>
        <v/>
      </c>
      <c r="S4963" s="6" t="str">
        <f>IF($C4963="","",IFERROR(INDEX('Paramètres'!$H:$H,MATCH($C4963,'Paramètres'!$D:$D,0))&amp;"",""))</f>
        <v/>
      </c>
      <c r="T4963" s="6" t="str">
        <f>IF($K4963="","",IF($S4963="",0,IF(ISNUMBER(SEARCH("apport-exterieur",IFERROR(INDEX('Paramètres'!$N:$N,MATCH($D4963,'Paramètres'!$M:$M,0))&amp;"",""))),0,IF(OR(IFERROR(INDEX('Paramètres'!$I:$I,MATCH($C4963,'Paramètres'!$D:$D,0))&amp;"","")="Les deux",IFERROR(INDEX('Paramètres'!$I:$I,MATCH($C4963,'Paramètres'!$D:$D,0))&amp;"","")=IF($P4963=1,"Débit",$L4963)),-IF($P4963=1,-$K4963,$K4963),0))))</f>
        <v/>
      </c>
      <c r="U4963" s="6" t="str">
        <f>IF($K4963="","",IF(ISNUMBER(SEARCH("sortie-epargne",IFERROR(INDEX('Paramètres'!$N:$N,MATCH($D4963,'Paramètres'!$M:$M,0))&amp;"",""))),$K4963,0))</f>
        <v/>
      </c>
      <c r="V4963" s="6" t="str">
        <f>IF(AND($A4963&lt;&gt;"",$O4963=1,$L4963="Débit",N($Q4963)&gt;0,$A4963&gt;=Visualisation!$B$1,$A4963&lt;Visualisation!$D$1),MAX($V$1:V4962)+1,"")</f>
        <v/>
      </c>
    </row>
    <row r="4964" spans="1:22" x14ac:dyDescent="0.25">
      <c r="A4964" s="9"/>
      <c r="E4964" s="10"/>
      <c r="K4964" s="11" t="str">
        <f>IF($E4964="","",ROUND($E4964*IF(ISNA(MATCH($C4964,'Paramètres'!$D:$D,0)),1,IF(INDEX('Paramètres'!$J:$J,MATCH($C4964,'Paramètres'!$D:$D,0))="",1,INDEX('Paramètres'!$J:$J,MATCH($C4964,'Paramètres'!$D:$D,0)))),2))</f>
        <v/>
      </c>
      <c r="L4964" s="6" t="str">
        <f>IF($D4964="","",IF($F4964&lt;&gt;"",$F4964,IF(ISNA(MATCH($D4964,'Paramètres'!$M:$M,0)),"⚠ Type inconnu",IFERROR(INDEX('Paramètres'!$P:$P,MATCH($D4964,'Paramètres'!$M:$M,0))&amp;"",""))))</f>
        <v/>
      </c>
      <c r="M4964" s="6" t="str">
        <f>IF($D4964="","",IF(ISNA(MATCH($D4964,'Paramètres'!$M:$M,0)),"⚠ Type inconnu",IF($L4964="Crédit","",IFERROR(INDEX('Paramètres'!$O:$O,MATCH($D4964,'Paramètres'!$M:$M,0))&amp;"",""))))</f>
        <v/>
      </c>
      <c r="N4964" s="6" t="str">
        <f>IF($D4964="","",IFERROR(INDEX('Paramètres'!$Q:$Q,MATCH($D4964,'Paramètres'!$M:$M,0))&amp;"",""))</f>
        <v/>
      </c>
      <c r="O4964" s="6" t="str">
        <f>IF($A4964="","",IF(OR($J4964&lt;&gt;"x",$A4964&lt;=FinReleve),1,0))</f>
        <v/>
      </c>
      <c r="P4964" s="6" t="str">
        <f>IF($D4964="","",IF(AND($L4964="Crédit",OR(IFERROR(INDEX('Paramètres'!$O:$O,MATCH($D4964,'Paramètres'!$M:$M,0))&amp;"","")&lt;&gt;"",ISNUMBER(SEARCH("remboursement",IFERROR(INDEX('Paramètres'!$N:$N,MATCH($D4964,'Paramètres'!$M:$M,0))&amp;"",""))))),1,0))</f>
        <v/>
      </c>
      <c r="Q4964" s="6" t="str">
        <f>IF($K4964="","",IF(ISNUMBER(SEARCH("transfert-interne",IFERROR(INDEX('Paramètres'!$N:$N,MATCH($D4964,'Paramètres'!$M:$M,0))&amp;"",""))),0,IF($L4964="Débit",$K4964,IF($P4964=1,-$K4964,0))))</f>
        <v/>
      </c>
      <c r="R4964" s="6" t="str">
        <f>IF($K4964="","",IF($L4964="Crédit",$K4964,-$K4964))</f>
        <v/>
      </c>
      <c r="S4964" s="6" t="str">
        <f>IF($C4964="","",IFERROR(INDEX('Paramètres'!$H:$H,MATCH($C4964,'Paramètres'!$D:$D,0))&amp;"",""))</f>
        <v/>
      </c>
      <c r="T4964" s="6" t="str">
        <f>IF($K4964="","",IF($S4964="",0,IF(ISNUMBER(SEARCH("apport-exterieur",IFERROR(INDEX('Paramètres'!$N:$N,MATCH($D4964,'Paramètres'!$M:$M,0))&amp;"",""))),0,IF(OR(IFERROR(INDEX('Paramètres'!$I:$I,MATCH($C4964,'Paramètres'!$D:$D,0))&amp;"","")="Les deux",IFERROR(INDEX('Paramètres'!$I:$I,MATCH($C4964,'Paramètres'!$D:$D,0))&amp;"","")=IF($P4964=1,"Débit",$L4964)),-IF($P4964=1,-$K4964,$K4964),0))))</f>
        <v/>
      </c>
      <c r="U4964" s="6" t="str">
        <f>IF($K4964="","",IF(ISNUMBER(SEARCH("sortie-epargne",IFERROR(INDEX('Paramètres'!$N:$N,MATCH($D4964,'Paramètres'!$M:$M,0))&amp;"",""))),$K4964,0))</f>
        <v/>
      </c>
      <c r="V4964" s="6" t="str">
        <f>IF(AND($A4964&lt;&gt;"",$O4964=1,$L4964="Débit",N($Q4964)&gt;0,$A4964&gt;=Visualisation!$B$1,$A4964&lt;Visualisation!$D$1),MAX($V$1:V4963)+1,"")</f>
        <v/>
      </c>
    </row>
    <row r="4965" spans="1:22" x14ac:dyDescent="0.25">
      <c r="A4965" s="9"/>
      <c r="E4965" s="10"/>
      <c r="K4965" s="11" t="str">
        <f>IF($E4965="","",ROUND($E4965*IF(ISNA(MATCH($C4965,'Paramètres'!$D:$D,0)),1,IF(INDEX('Paramètres'!$J:$J,MATCH($C4965,'Paramètres'!$D:$D,0))="",1,INDEX('Paramètres'!$J:$J,MATCH($C4965,'Paramètres'!$D:$D,0)))),2))</f>
        <v/>
      </c>
      <c r="L4965" s="6" t="str">
        <f>IF($D4965="","",IF($F4965&lt;&gt;"",$F4965,IF(ISNA(MATCH($D4965,'Paramètres'!$M:$M,0)),"⚠ Type inconnu",IFERROR(INDEX('Paramètres'!$P:$P,MATCH($D4965,'Paramètres'!$M:$M,0))&amp;"",""))))</f>
        <v/>
      </c>
      <c r="M4965" s="6" t="str">
        <f>IF($D4965="","",IF(ISNA(MATCH($D4965,'Paramètres'!$M:$M,0)),"⚠ Type inconnu",IF($L4965="Crédit","",IFERROR(INDEX('Paramètres'!$O:$O,MATCH($D4965,'Paramètres'!$M:$M,0))&amp;"",""))))</f>
        <v/>
      </c>
      <c r="N4965" s="6" t="str">
        <f>IF($D4965="","",IFERROR(INDEX('Paramètres'!$Q:$Q,MATCH($D4965,'Paramètres'!$M:$M,0))&amp;"",""))</f>
        <v/>
      </c>
      <c r="O4965" s="6" t="str">
        <f>IF($A4965="","",IF(OR($J4965&lt;&gt;"x",$A4965&lt;=FinReleve),1,0))</f>
        <v/>
      </c>
      <c r="P4965" s="6" t="str">
        <f>IF($D4965="","",IF(AND($L4965="Crédit",OR(IFERROR(INDEX('Paramètres'!$O:$O,MATCH($D4965,'Paramètres'!$M:$M,0))&amp;"","")&lt;&gt;"",ISNUMBER(SEARCH("remboursement",IFERROR(INDEX('Paramètres'!$N:$N,MATCH($D4965,'Paramètres'!$M:$M,0))&amp;"",""))))),1,0))</f>
        <v/>
      </c>
      <c r="Q4965" s="6" t="str">
        <f>IF($K4965="","",IF(ISNUMBER(SEARCH("transfert-interne",IFERROR(INDEX('Paramètres'!$N:$N,MATCH($D4965,'Paramètres'!$M:$M,0))&amp;"",""))),0,IF($L4965="Débit",$K4965,IF($P4965=1,-$K4965,0))))</f>
        <v/>
      </c>
      <c r="R4965" s="6" t="str">
        <f>IF($K4965="","",IF($L4965="Crédit",$K4965,-$K4965))</f>
        <v/>
      </c>
      <c r="S4965" s="6" t="str">
        <f>IF($C4965="","",IFERROR(INDEX('Paramètres'!$H:$H,MATCH($C4965,'Paramètres'!$D:$D,0))&amp;"",""))</f>
        <v/>
      </c>
      <c r="T4965" s="6" t="str">
        <f>IF($K4965="","",IF($S4965="",0,IF(ISNUMBER(SEARCH("apport-exterieur",IFERROR(INDEX('Paramètres'!$N:$N,MATCH($D4965,'Paramètres'!$M:$M,0))&amp;"",""))),0,IF(OR(IFERROR(INDEX('Paramètres'!$I:$I,MATCH($C4965,'Paramètres'!$D:$D,0))&amp;"","")="Les deux",IFERROR(INDEX('Paramètres'!$I:$I,MATCH($C4965,'Paramètres'!$D:$D,0))&amp;"","")=IF($P4965=1,"Débit",$L4965)),-IF($P4965=1,-$K4965,$K4965),0))))</f>
        <v/>
      </c>
      <c r="U4965" s="6" t="str">
        <f>IF($K4965="","",IF(ISNUMBER(SEARCH("sortie-epargne",IFERROR(INDEX('Paramètres'!$N:$N,MATCH($D4965,'Paramètres'!$M:$M,0))&amp;"",""))),$K4965,0))</f>
        <v/>
      </c>
      <c r="V4965" s="6" t="str">
        <f>IF(AND($A4965&lt;&gt;"",$O4965=1,$L4965="Débit",N($Q4965)&gt;0,$A4965&gt;=Visualisation!$B$1,$A4965&lt;Visualisation!$D$1),MAX($V$1:V4964)+1,"")</f>
        <v/>
      </c>
    </row>
    <row r="4966" spans="1:22" x14ac:dyDescent="0.25">
      <c r="A4966" s="9"/>
      <c r="E4966" s="10"/>
      <c r="K4966" s="11" t="str">
        <f>IF($E4966="","",ROUND($E4966*IF(ISNA(MATCH($C4966,'Paramètres'!$D:$D,0)),1,IF(INDEX('Paramètres'!$J:$J,MATCH($C4966,'Paramètres'!$D:$D,0))="",1,INDEX('Paramètres'!$J:$J,MATCH($C4966,'Paramètres'!$D:$D,0)))),2))</f>
        <v/>
      </c>
      <c r="L4966" s="6" t="str">
        <f>IF($D4966="","",IF($F4966&lt;&gt;"",$F4966,IF(ISNA(MATCH($D4966,'Paramètres'!$M:$M,0)),"⚠ Type inconnu",IFERROR(INDEX('Paramètres'!$P:$P,MATCH($D4966,'Paramètres'!$M:$M,0))&amp;"",""))))</f>
        <v/>
      </c>
      <c r="M4966" s="6" t="str">
        <f>IF($D4966="","",IF(ISNA(MATCH($D4966,'Paramètres'!$M:$M,0)),"⚠ Type inconnu",IF($L4966="Crédit","",IFERROR(INDEX('Paramètres'!$O:$O,MATCH($D4966,'Paramètres'!$M:$M,0))&amp;"",""))))</f>
        <v/>
      </c>
      <c r="N4966" s="6" t="str">
        <f>IF($D4966="","",IFERROR(INDEX('Paramètres'!$Q:$Q,MATCH($D4966,'Paramètres'!$M:$M,0))&amp;"",""))</f>
        <v/>
      </c>
      <c r="O4966" s="6" t="str">
        <f>IF($A4966="","",IF(OR($J4966&lt;&gt;"x",$A4966&lt;=FinReleve),1,0))</f>
        <v/>
      </c>
      <c r="P4966" s="6" t="str">
        <f>IF($D4966="","",IF(AND($L4966="Crédit",OR(IFERROR(INDEX('Paramètres'!$O:$O,MATCH($D4966,'Paramètres'!$M:$M,0))&amp;"","")&lt;&gt;"",ISNUMBER(SEARCH("remboursement",IFERROR(INDEX('Paramètres'!$N:$N,MATCH($D4966,'Paramètres'!$M:$M,0))&amp;"",""))))),1,0))</f>
        <v/>
      </c>
      <c r="Q4966" s="6" t="str">
        <f>IF($K4966="","",IF(ISNUMBER(SEARCH("transfert-interne",IFERROR(INDEX('Paramètres'!$N:$N,MATCH($D4966,'Paramètres'!$M:$M,0))&amp;"",""))),0,IF($L4966="Débit",$K4966,IF($P4966=1,-$K4966,0))))</f>
        <v/>
      </c>
      <c r="R4966" s="6" t="str">
        <f>IF($K4966="","",IF($L4966="Crédit",$K4966,-$K4966))</f>
        <v/>
      </c>
      <c r="S4966" s="6" t="str">
        <f>IF($C4966="","",IFERROR(INDEX('Paramètres'!$H:$H,MATCH($C4966,'Paramètres'!$D:$D,0))&amp;"",""))</f>
        <v/>
      </c>
      <c r="T4966" s="6" t="str">
        <f>IF($K4966="","",IF($S4966="",0,IF(ISNUMBER(SEARCH("apport-exterieur",IFERROR(INDEX('Paramètres'!$N:$N,MATCH($D4966,'Paramètres'!$M:$M,0))&amp;"",""))),0,IF(OR(IFERROR(INDEX('Paramètres'!$I:$I,MATCH($C4966,'Paramètres'!$D:$D,0))&amp;"","")="Les deux",IFERROR(INDEX('Paramètres'!$I:$I,MATCH($C4966,'Paramètres'!$D:$D,0))&amp;"","")=IF($P4966=1,"Débit",$L4966)),-IF($P4966=1,-$K4966,$K4966),0))))</f>
        <v/>
      </c>
      <c r="U4966" s="6" t="str">
        <f>IF($K4966="","",IF(ISNUMBER(SEARCH("sortie-epargne",IFERROR(INDEX('Paramètres'!$N:$N,MATCH($D4966,'Paramètres'!$M:$M,0))&amp;"",""))),$K4966,0))</f>
        <v/>
      </c>
      <c r="V4966" s="6" t="str">
        <f>IF(AND($A4966&lt;&gt;"",$O4966=1,$L4966="Débit",N($Q4966)&gt;0,$A4966&gt;=Visualisation!$B$1,$A4966&lt;Visualisation!$D$1),MAX($V$1:V4965)+1,"")</f>
        <v/>
      </c>
    </row>
    <row r="4967" spans="1:22" x14ac:dyDescent="0.25">
      <c r="A4967" s="9"/>
      <c r="E4967" s="10"/>
      <c r="K4967" s="11" t="str">
        <f>IF($E4967="","",ROUND($E4967*IF(ISNA(MATCH($C4967,'Paramètres'!$D:$D,0)),1,IF(INDEX('Paramètres'!$J:$J,MATCH($C4967,'Paramètres'!$D:$D,0))="",1,INDEX('Paramètres'!$J:$J,MATCH($C4967,'Paramètres'!$D:$D,0)))),2))</f>
        <v/>
      </c>
      <c r="L4967" s="6" t="str">
        <f>IF($D4967="","",IF($F4967&lt;&gt;"",$F4967,IF(ISNA(MATCH($D4967,'Paramètres'!$M:$M,0)),"⚠ Type inconnu",IFERROR(INDEX('Paramètres'!$P:$P,MATCH($D4967,'Paramètres'!$M:$M,0))&amp;"",""))))</f>
        <v/>
      </c>
      <c r="M4967" s="6" t="str">
        <f>IF($D4967="","",IF(ISNA(MATCH($D4967,'Paramètres'!$M:$M,0)),"⚠ Type inconnu",IF($L4967="Crédit","",IFERROR(INDEX('Paramètres'!$O:$O,MATCH($D4967,'Paramètres'!$M:$M,0))&amp;"",""))))</f>
        <v/>
      </c>
      <c r="N4967" s="6" t="str">
        <f>IF($D4967="","",IFERROR(INDEX('Paramètres'!$Q:$Q,MATCH($D4967,'Paramètres'!$M:$M,0))&amp;"",""))</f>
        <v/>
      </c>
      <c r="O4967" s="6" t="str">
        <f>IF($A4967="","",IF(OR($J4967&lt;&gt;"x",$A4967&lt;=FinReleve),1,0))</f>
        <v/>
      </c>
      <c r="P4967" s="6" t="str">
        <f>IF($D4967="","",IF(AND($L4967="Crédit",OR(IFERROR(INDEX('Paramètres'!$O:$O,MATCH($D4967,'Paramètres'!$M:$M,0))&amp;"","")&lt;&gt;"",ISNUMBER(SEARCH("remboursement",IFERROR(INDEX('Paramètres'!$N:$N,MATCH($D4967,'Paramètres'!$M:$M,0))&amp;"",""))))),1,0))</f>
        <v/>
      </c>
      <c r="Q4967" s="6" t="str">
        <f>IF($K4967="","",IF(ISNUMBER(SEARCH("transfert-interne",IFERROR(INDEX('Paramètres'!$N:$N,MATCH($D4967,'Paramètres'!$M:$M,0))&amp;"",""))),0,IF($L4967="Débit",$K4967,IF($P4967=1,-$K4967,0))))</f>
        <v/>
      </c>
      <c r="R4967" s="6" t="str">
        <f>IF($K4967="","",IF($L4967="Crédit",$K4967,-$K4967))</f>
        <v/>
      </c>
      <c r="S4967" s="6" t="str">
        <f>IF($C4967="","",IFERROR(INDEX('Paramètres'!$H:$H,MATCH($C4967,'Paramètres'!$D:$D,0))&amp;"",""))</f>
        <v/>
      </c>
      <c r="T4967" s="6" t="str">
        <f>IF($K4967="","",IF($S4967="",0,IF(ISNUMBER(SEARCH("apport-exterieur",IFERROR(INDEX('Paramètres'!$N:$N,MATCH($D4967,'Paramètres'!$M:$M,0))&amp;"",""))),0,IF(OR(IFERROR(INDEX('Paramètres'!$I:$I,MATCH($C4967,'Paramètres'!$D:$D,0))&amp;"","")="Les deux",IFERROR(INDEX('Paramètres'!$I:$I,MATCH($C4967,'Paramètres'!$D:$D,0))&amp;"","")=IF($P4967=1,"Débit",$L4967)),-IF($P4967=1,-$K4967,$K4967),0))))</f>
        <v/>
      </c>
      <c r="U4967" s="6" t="str">
        <f>IF($K4967="","",IF(ISNUMBER(SEARCH("sortie-epargne",IFERROR(INDEX('Paramètres'!$N:$N,MATCH($D4967,'Paramètres'!$M:$M,0))&amp;"",""))),$K4967,0))</f>
        <v/>
      </c>
      <c r="V4967" s="6" t="str">
        <f>IF(AND($A4967&lt;&gt;"",$O4967=1,$L4967="Débit",N($Q4967)&gt;0,$A4967&gt;=Visualisation!$B$1,$A4967&lt;Visualisation!$D$1),MAX($V$1:V4966)+1,"")</f>
        <v/>
      </c>
    </row>
    <row r="4968" spans="1:22" x14ac:dyDescent="0.25">
      <c r="A4968" s="9"/>
      <c r="E4968" s="10"/>
      <c r="K4968" s="11" t="str">
        <f>IF($E4968="","",ROUND($E4968*IF(ISNA(MATCH($C4968,'Paramètres'!$D:$D,0)),1,IF(INDEX('Paramètres'!$J:$J,MATCH($C4968,'Paramètres'!$D:$D,0))="",1,INDEX('Paramètres'!$J:$J,MATCH($C4968,'Paramètres'!$D:$D,0)))),2))</f>
        <v/>
      </c>
      <c r="L4968" s="6" t="str">
        <f>IF($D4968="","",IF($F4968&lt;&gt;"",$F4968,IF(ISNA(MATCH($D4968,'Paramètres'!$M:$M,0)),"⚠ Type inconnu",IFERROR(INDEX('Paramètres'!$P:$P,MATCH($D4968,'Paramètres'!$M:$M,0))&amp;"",""))))</f>
        <v/>
      </c>
      <c r="M4968" s="6" t="str">
        <f>IF($D4968="","",IF(ISNA(MATCH($D4968,'Paramètres'!$M:$M,0)),"⚠ Type inconnu",IF($L4968="Crédit","",IFERROR(INDEX('Paramètres'!$O:$O,MATCH($D4968,'Paramètres'!$M:$M,0))&amp;"",""))))</f>
        <v/>
      </c>
      <c r="N4968" s="6" t="str">
        <f>IF($D4968="","",IFERROR(INDEX('Paramètres'!$Q:$Q,MATCH($D4968,'Paramètres'!$M:$M,0))&amp;"",""))</f>
        <v/>
      </c>
      <c r="O4968" s="6" t="str">
        <f>IF($A4968="","",IF(OR($J4968&lt;&gt;"x",$A4968&lt;=FinReleve),1,0))</f>
        <v/>
      </c>
      <c r="P4968" s="6" t="str">
        <f>IF($D4968="","",IF(AND($L4968="Crédit",OR(IFERROR(INDEX('Paramètres'!$O:$O,MATCH($D4968,'Paramètres'!$M:$M,0))&amp;"","")&lt;&gt;"",ISNUMBER(SEARCH("remboursement",IFERROR(INDEX('Paramètres'!$N:$N,MATCH($D4968,'Paramètres'!$M:$M,0))&amp;"",""))))),1,0))</f>
        <v/>
      </c>
      <c r="Q4968" s="6" t="str">
        <f>IF($K4968="","",IF(ISNUMBER(SEARCH("transfert-interne",IFERROR(INDEX('Paramètres'!$N:$N,MATCH($D4968,'Paramètres'!$M:$M,0))&amp;"",""))),0,IF($L4968="Débit",$K4968,IF($P4968=1,-$K4968,0))))</f>
        <v/>
      </c>
      <c r="R4968" s="6" t="str">
        <f>IF($K4968="","",IF($L4968="Crédit",$K4968,-$K4968))</f>
        <v/>
      </c>
      <c r="S4968" s="6" t="str">
        <f>IF($C4968="","",IFERROR(INDEX('Paramètres'!$H:$H,MATCH($C4968,'Paramètres'!$D:$D,0))&amp;"",""))</f>
        <v/>
      </c>
      <c r="T4968" s="6" t="str">
        <f>IF($K4968="","",IF($S4968="",0,IF(ISNUMBER(SEARCH("apport-exterieur",IFERROR(INDEX('Paramètres'!$N:$N,MATCH($D4968,'Paramètres'!$M:$M,0))&amp;"",""))),0,IF(OR(IFERROR(INDEX('Paramètres'!$I:$I,MATCH($C4968,'Paramètres'!$D:$D,0))&amp;"","")="Les deux",IFERROR(INDEX('Paramètres'!$I:$I,MATCH($C4968,'Paramètres'!$D:$D,0))&amp;"","")=IF($P4968=1,"Débit",$L4968)),-IF($P4968=1,-$K4968,$K4968),0))))</f>
        <v/>
      </c>
      <c r="U4968" s="6" t="str">
        <f>IF($K4968="","",IF(ISNUMBER(SEARCH("sortie-epargne",IFERROR(INDEX('Paramètres'!$N:$N,MATCH($D4968,'Paramètres'!$M:$M,0))&amp;"",""))),$K4968,0))</f>
        <v/>
      </c>
      <c r="V4968" s="6" t="str">
        <f>IF(AND($A4968&lt;&gt;"",$O4968=1,$L4968="Débit",N($Q4968)&gt;0,$A4968&gt;=Visualisation!$B$1,$A4968&lt;Visualisation!$D$1),MAX($V$1:V4967)+1,"")</f>
        <v/>
      </c>
    </row>
    <row r="4969" spans="1:22" x14ac:dyDescent="0.25">
      <c r="A4969" s="9"/>
      <c r="E4969" s="10"/>
      <c r="K4969" s="11" t="str">
        <f>IF($E4969="","",ROUND($E4969*IF(ISNA(MATCH($C4969,'Paramètres'!$D:$D,0)),1,IF(INDEX('Paramètres'!$J:$J,MATCH($C4969,'Paramètres'!$D:$D,0))="",1,INDEX('Paramètres'!$J:$J,MATCH($C4969,'Paramètres'!$D:$D,0)))),2))</f>
        <v/>
      </c>
      <c r="L4969" s="6" t="str">
        <f>IF($D4969="","",IF($F4969&lt;&gt;"",$F4969,IF(ISNA(MATCH($D4969,'Paramètres'!$M:$M,0)),"⚠ Type inconnu",IFERROR(INDEX('Paramètres'!$P:$P,MATCH($D4969,'Paramètres'!$M:$M,0))&amp;"",""))))</f>
        <v/>
      </c>
      <c r="M4969" s="6" t="str">
        <f>IF($D4969="","",IF(ISNA(MATCH($D4969,'Paramètres'!$M:$M,0)),"⚠ Type inconnu",IF($L4969="Crédit","",IFERROR(INDEX('Paramètres'!$O:$O,MATCH($D4969,'Paramètres'!$M:$M,0))&amp;"",""))))</f>
        <v/>
      </c>
      <c r="N4969" s="6" t="str">
        <f>IF($D4969="","",IFERROR(INDEX('Paramètres'!$Q:$Q,MATCH($D4969,'Paramètres'!$M:$M,0))&amp;"",""))</f>
        <v/>
      </c>
      <c r="O4969" s="6" t="str">
        <f>IF($A4969="","",IF(OR($J4969&lt;&gt;"x",$A4969&lt;=FinReleve),1,0))</f>
        <v/>
      </c>
      <c r="P4969" s="6" t="str">
        <f>IF($D4969="","",IF(AND($L4969="Crédit",OR(IFERROR(INDEX('Paramètres'!$O:$O,MATCH($D4969,'Paramètres'!$M:$M,0))&amp;"","")&lt;&gt;"",ISNUMBER(SEARCH("remboursement",IFERROR(INDEX('Paramètres'!$N:$N,MATCH($D4969,'Paramètres'!$M:$M,0))&amp;"",""))))),1,0))</f>
        <v/>
      </c>
      <c r="Q4969" s="6" t="str">
        <f>IF($K4969="","",IF(ISNUMBER(SEARCH("transfert-interne",IFERROR(INDEX('Paramètres'!$N:$N,MATCH($D4969,'Paramètres'!$M:$M,0))&amp;"",""))),0,IF($L4969="Débit",$K4969,IF($P4969=1,-$K4969,0))))</f>
        <v/>
      </c>
      <c r="R4969" s="6" t="str">
        <f>IF($K4969="","",IF($L4969="Crédit",$K4969,-$K4969))</f>
        <v/>
      </c>
      <c r="S4969" s="6" t="str">
        <f>IF($C4969="","",IFERROR(INDEX('Paramètres'!$H:$H,MATCH($C4969,'Paramètres'!$D:$D,0))&amp;"",""))</f>
        <v/>
      </c>
      <c r="T4969" s="6" t="str">
        <f>IF($K4969="","",IF($S4969="",0,IF(ISNUMBER(SEARCH("apport-exterieur",IFERROR(INDEX('Paramètres'!$N:$N,MATCH($D4969,'Paramètres'!$M:$M,0))&amp;"",""))),0,IF(OR(IFERROR(INDEX('Paramètres'!$I:$I,MATCH($C4969,'Paramètres'!$D:$D,0))&amp;"","")="Les deux",IFERROR(INDEX('Paramètres'!$I:$I,MATCH($C4969,'Paramètres'!$D:$D,0))&amp;"","")=IF($P4969=1,"Débit",$L4969)),-IF($P4969=1,-$K4969,$K4969),0))))</f>
        <v/>
      </c>
      <c r="U4969" s="6" t="str">
        <f>IF($K4969="","",IF(ISNUMBER(SEARCH("sortie-epargne",IFERROR(INDEX('Paramètres'!$N:$N,MATCH($D4969,'Paramètres'!$M:$M,0))&amp;"",""))),$K4969,0))</f>
        <v/>
      </c>
      <c r="V4969" s="6" t="str">
        <f>IF(AND($A4969&lt;&gt;"",$O4969=1,$L4969="Débit",N($Q4969)&gt;0,$A4969&gt;=Visualisation!$B$1,$A4969&lt;Visualisation!$D$1),MAX($V$1:V4968)+1,"")</f>
        <v/>
      </c>
    </row>
    <row r="4970" spans="1:22" x14ac:dyDescent="0.25">
      <c r="A4970" s="9"/>
      <c r="E4970" s="10"/>
      <c r="K4970" s="11" t="str">
        <f>IF($E4970="","",ROUND($E4970*IF(ISNA(MATCH($C4970,'Paramètres'!$D:$D,0)),1,IF(INDEX('Paramètres'!$J:$J,MATCH($C4970,'Paramètres'!$D:$D,0))="",1,INDEX('Paramètres'!$J:$J,MATCH($C4970,'Paramètres'!$D:$D,0)))),2))</f>
        <v/>
      </c>
      <c r="L4970" s="6" t="str">
        <f>IF($D4970="","",IF($F4970&lt;&gt;"",$F4970,IF(ISNA(MATCH($D4970,'Paramètres'!$M:$M,0)),"⚠ Type inconnu",IFERROR(INDEX('Paramètres'!$P:$P,MATCH($D4970,'Paramètres'!$M:$M,0))&amp;"",""))))</f>
        <v/>
      </c>
      <c r="M4970" s="6" t="str">
        <f>IF($D4970="","",IF(ISNA(MATCH($D4970,'Paramètres'!$M:$M,0)),"⚠ Type inconnu",IF($L4970="Crédit","",IFERROR(INDEX('Paramètres'!$O:$O,MATCH($D4970,'Paramètres'!$M:$M,0))&amp;"",""))))</f>
        <v/>
      </c>
      <c r="N4970" s="6" t="str">
        <f>IF($D4970="","",IFERROR(INDEX('Paramètres'!$Q:$Q,MATCH($D4970,'Paramètres'!$M:$M,0))&amp;"",""))</f>
        <v/>
      </c>
      <c r="O4970" s="6" t="str">
        <f>IF($A4970="","",IF(OR($J4970&lt;&gt;"x",$A4970&lt;=FinReleve),1,0))</f>
        <v/>
      </c>
      <c r="P4970" s="6" t="str">
        <f>IF($D4970="","",IF(AND($L4970="Crédit",OR(IFERROR(INDEX('Paramètres'!$O:$O,MATCH($D4970,'Paramètres'!$M:$M,0))&amp;"","")&lt;&gt;"",ISNUMBER(SEARCH("remboursement",IFERROR(INDEX('Paramètres'!$N:$N,MATCH($D4970,'Paramètres'!$M:$M,0))&amp;"",""))))),1,0))</f>
        <v/>
      </c>
      <c r="Q4970" s="6" t="str">
        <f>IF($K4970="","",IF(ISNUMBER(SEARCH("transfert-interne",IFERROR(INDEX('Paramètres'!$N:$N,MATCH($D4970,'Paramètres'!$M:$M,0))&amp;"",""))),0,IF($L4970="Débit",$K4970,IF($P4970=1,-$K4970,0))))</f>
        <v/>
      </c>
      <c r="R4970" s="6" t="str">
        <f>IF($K4970="","",IF($L4970="Crédit",$K4970,-$K4970))</f>
        <v/>
      </c>
      <c r="S4970" s="6" t="str">
        <f>IF($C4970="","",IFERROR(INDEX('Paramètres'!$H:$H,MATCH($C4970,'Paramètres'!$D:$D,0))&amp;"",""))</f>
        <v/>
      </c>
      <c r="T4970" s="6" t="str">
        <f>IF($K4970="","",IF($S4970="",0,IF(ISNUMBER(SEARCH("apport-exterieur",IFERROR(INDEX('Paramètres'!$N:$N,MATCH($D4970,'Paramètres'!$M:$M,0))&amp;"",""))),0,IF(OR(IFERROR(INDEX('Paramètres'!$I:$I,MATCH($C4970,'Paramètres'!$D:$D,0))&amp;"","")="Les deux",IFERROR(INDEX('Paramètres'!$I:$I,MATCH($C4970,'Paramètres'!$D:$D,0))&amp;"","")=IF($P4970=1,"Débit",$L4970)),-IF($P4970=1,-$K4970,$K4970),0))))</f>
        <v/>
      </c>
      <c r="U4970" s="6" t="str">
        <f>IF($K4970="","",IF(ISNUMBER(SEARCH("sortie-epargne",IFERROR(INDEX('Paramètres'!$N:$N,MATCH($D4970,'Paramètres'!$M:$M,0))&amp;"",""))),$K4970,0))</f>
        <v/>
      </c>
      <c r="V4970" s="6" t="str">
        <f>IF(AND($A4970&lt;&gt;"",$O4970=1,$L4970="Débit",N($Q4970)&gt;0,$A4970&gt;=Visualisation!$B$1,$A4970&lt;Visualisation!$D$1),MAX($V$1:V4969)+1,"")</f>
        <v/>
      </c>
    </row>
    <row r="4971" spans="1:22" x14ac:dyDescent="0.25">
      <c r="A4971" s="9"/>
      <c r="E4971" s="10"/>
      <c r="K4971" s="11" t="str">
        <f>IF($E4971="","",ROUND($E4971*IF(ISNA(MATCH($C4971,'Paramètres'!$D:$D,0)),1,IF(INDEX('Paramètres'!$J:$J,MATCH($C4971,'Paramètres'!$D:$D,0))="",1,INDEX('Paramètres'!$J:$J,MATCH($C4971,'Paramètres'!$D:$D,0)))),2))</f>
        <v/>
      </c>
      <c r="L4971" s="6" t="str">
        <f>IF($D4971="","",IF($F4971&lt;&gt;"",$F4971,IF(ISNA(MATCH($D4971,'Paramètres'!$M:$M,0)),"⚠ Type inconnu",IFERROR(INDEX('Paramètres'!$P:$P,MATCH($D4971,'Paramètres'!$M:$M,0))&amp;"",""))))</f>
        <v/>
      </c>
      <c r="M4971" s="6" t="str">
        <f>IF($D4971="","",IF(ISNA(MATCH($D4971,'Paramètres'!$M:$M,0)),"⚠ Type inconnu",IF($L4971="Crédit","",IFERROR(INDEX('Paramètres'!$O:$O,MATCH($D4971,'Paramètres'!$M:$M,0))&amp;"",""))))</f>
        <v/>
      </c>
      <c r="N4971" s="6" t="str">
        <f>IF($D4971="","",IFERROR(INDEX('Paramètres'!$Q:$Q,MATCH($D4971,'Paramètres'!$M:$M,0))&amp;"",""))</f>
        <v/>
      </c>
      <c r="O4971" s="6" t="str">
        <f>IF($A4971="","",IF(OR($J4971&lt;&gt;"x",$A4971&lt;=FinReleve),1,0))</f>
        <v/>
      </c>
      <c r="P4971" s="6" t="str">
        <f>IF($D4971="","",IF(AND($L4971="Crédit",OR(IFERROR(INDEX('Paramètres'!$O:$O,MATCH($D4971,'Paramètres'!$M:$M,0))&amp;"","")&lt;&gt;"",ISNUMBER(SEARCH("remboursement",IFERROR(INDEX('Paramètres'!$N:$N,MATCH($D4971,'Paramètres'!$M:$M,0))&amp;"",""))))),1,0))</f>
        <v/>
      </c>
      <c r="Q4971" s="6" t="str">
        <f>IF($K4971="","",IF(ISNUMBER(SEARCH("transfert-interne",IFERROR(INDEX('Paramètres'!$N:$N,MATCH($D4971,'Paramètres'!$M:$M,0))&amp;"",""))),0,IF($L4971="Débit",$K4971,IF($P4971=1,-$K4971,0))))</f>
        <v/>
      </c>
      <c r="R4971" s="6" t="str">
        <f>IF($K4971="","",IF($L4971="Crédit",$K4971,-$K4971))</f>
        <v/>
      </c>
      <c r="S4971" s="6" t="str">
        <f>IF($C4971="","",IFERROR(INDEX('Paramètres'!$H:$H,MATCH($C4971,'Paramètres'!$D:$D,0))&amp;"",""))</f>
        <v/>
      </c>
      <c r="T4971" s="6" t="str">
        <f>IF($K4971="","",IF($S4971="",0,IF(ISNUMBER(SEARCH("apport-exterieur",IFERROR(INDEX('Paramètres'!$N:$N,MATCH($D4971,'Paramètres'!$M:$M,0))&amp;"",""))),0,IF(OR(IFERROR(INDEX('Paramètres'!$I:$I,MATCH($C4971,'Paramètres'!$D:$D,0))&amp;"","")="Les deux",IFERROR(INDEX('Paramètres'!$I:$I,MATCH($C4971,'Paramètres'!$D:$D,0))&amp;"","")=IF($P4971=1,"Débit",$L4971)),-IF($P4971=1,-$K4971,$K4971),0))))</f>
        <v/>
      </c>
      <c r="U4971" s="6" t="str">
        <f>IF($K4971="","",IF(ISNUMBER(SEARCH("sortie-epargne",IFERROR(INDEX('Paramètres'!$N:$N,MATCH($D4971,'Paramètres'!$M:$M,0))&amp;"",""))),$K4971,0))</f>
        <v/>
      </c>
      <c r="V4971" s="6" t="str">
        <f>IF(AND($A4971&lt;&gt;"",$O4971=1,$L4971="Débit",N($Q4971)&gt;0,$A4971&gt;=Visualisation!$B$1,$A4971&lt;Visualisation!$D$1),MAX($V$1:V4970)+1,"")</f>
        <v/>
      </c>
    </row>
    <row r="4972" spans="1:22" x14ac:dyDescent="0.25">
      <c r="A4972" s="9"/>
      <c r="E4972" s="10"/>
      <c r="K4972" s="11" t="str">
        <f>IF($E4972="","",ROUND($E4972*IF(ISNA(MATCH($C4972,'Paramètres'!$D:$D,0)),1,IF(INDEX('Paramètres'!$J:$J,MATCH($C4972,'Paramètres'!$D:$D,0))="",1,INDEX('Paramètres'!$J:$J,MATCH($C4972,'Paramètres'!$D:$D,0)))),2))</f>
        <v/>
      </c>
      <c r="L4972" s="6" t="str">
        <f>IF($D4972="","",IF($F4972&lt;&gt;"",$F4972,IF(ISNA(MATCH($D4972,'Paramètres'!$M:$M,0)),"⚠ Type inconnu",IFERROR(INDEX('Paramètres'!$P:$P,MATCH($D4972,'Paramètres'!$M:$M,0))&amp;"",""))))</f>
        <v/>
      </c>
      <c r="M4972" s="6" t="str">
        <f>IF($D4972="","",IF(ISNA(MATCH($D4972,'Paramètres'!$M:$M,0)),"⚠ Type inconnu",IF($L4972="Crédit","",IFERROR(INDEX('Paramètres'!$O:$O,MATCH($D4972,'Paramètres'!$M:$M,0))&amp;"",""))))</f>
        <v/>
      </c>
      <c r="N4972" s="6" t="str">
        <f>IF($D4972="","",IFERROR(INDEX('Paramètres'!$Q:$Q,MATCH($D4972,'Paramètres'!$M:$M,0))&amp;"",""))</f>
        <v/>
      </c>
      <c r="O4972" s="6" t="str">
        <f>IF($A4972="","",IF(OR($J4972&lt;&gt;"x",$A4972&lt;=FinReleve),1,0))</f>
        <v/>
      </c>
      <c r="P4972" s="6" t="str">
        <f>IF($D4972="","",IF(AND($L4972="Crédit",OR(IFERROR(INDEX('Paramètres'!$O:$O,MATCH($D4972,'Paramètres'!$M:$M,0))&amp;"","")&lt;&gt;"",ISNUMBER(SEARCH("remboursement",IFERROR(INDEX('Paramètres'!$N:$N,MATCH($D4972,'Paramètres'!$M:$M,0))&amp;"",""))))),1,0))</f>
        <v/>
      </c>
      <c r="Q4972" s="6" t="str">
        <f>IF($K4972="","",IF(ISNUMBER(SEARCH("transfert-interne",IFERROR(INDEX('Paramètres'!$N:$N,MATCH($D4972,'Paramètres'!$M:$M,0))&amp;"",""))),0,IF($L4972="Débit",$K4972,IF($P4972=1,-$K4972,0))))</f>
        <v/>
      </c>
      <c r="R4972" s="6" t="str">
        <f>IF($K4972="","",IF($L4972="Crédit",$K4972,-$K4972))</f>
        <v/>
      </c>
      <c r="S4972" s="6" t="str">
        <f>IF($C4972="","",IFERROR(INDEX('Paramètres'!$H:$H,MATCH($C4972,'Paramètres'!$D:$D,0))&amp;"",""))</f>
        <v/>
      </c>
      <c r="T4972" s="6" t="str">
        <f>IF($K4972="","",IF($S4972="",0,IF(ISNUMBER(SEARCH("apport-exterieur",IFERROR(INDEX('Paramètres'!$N:$N,MATCH($D4972,'Paramètres'!$M:$M,0))&amp;"",""))),0,IF(OR(IFERROR(INDEX('Paramètres'!$I:$I,MATCH($C4972,'Paramètres'!$D:$D,0))&amp;"","")="Les deux",IFERROR(INDEX('Paramètres'!$I:$I,MATCH($C4972,'Paramètres'!$D:$D,0))&amp;"","")=IF($P4972=1,"Débit",$L4972)),-IF($P4972=1,-$K4972,$K4972),0))))</f>
        <v/>
      </c>
      <c r="U4972" s="6" t="str">
        <f>IF($K4972="","",IF(ISNUMBER(SEARCH("sortie-epargne",IFERROR(INDEX('Paramètres'!$N:$N,MATCH($D4972,'Paramètres'!$M:$M,0))&amp;"",""))),$K4972,0))</f>
        <v/>
      </c>
      <c r="V4972" s="6" t="str">
        <f>IF(AND($A4972&lt;&gt;"",$O4972=1,$L4972="Débit",N($Q4972)&gt;0,$A4972&gt;=Visualisation!$B$1,$A4972&lt;Visualisation!$D$1),MAX($V$1:V4971)+1,"")</f>
        <v/>
      </c>
    </row>
    <row r="4973" spans="1:22" x14ac:dyDescent="0.25">
      <c r="A4973" s="9"/>
      <c r="E4973" s="10"/>
      <c r="K4973" s="11" t="str">
        <f>IF($E4973="","",ROUND($E4973*IF(ISNA(MATCH($C4973,'Paramètres'!$D:$D,0)),1,IF(INDEX('Paramètres'!$J:$J,MATCH($C4973,'Paramètres'!$D:$D,0))="",1,INDEX('Paramètres'!$J:$J,MATCH($C4973,'Paramètres'!$D:$D,0)))),2))</f>
        <v/>
      </c>
      <c r="L4973" s="6" t="str">
        <f>IF($D4973="","",IF($F4973&lt;&gt;"",$F4973,IF(ISNA(MATCH($D4973,'Paramètres'!$M:$M,0)),"⚠ Type inconnu",IFERROR(INDEX('Paramètres'!$P:$P,MATCH($D4973,'Paramètres'!$M:$M,0))&amp;"",""))))</f>
        <v/>
      </c>
      <c r="M4973" s="6" t="str">
        <f>IF($D4973="","",IF(ISNA(MATCH($D4973,'Paramètres'!$M:$M,0)),"⚠ Type inconnu",IF($L4973="Crédit","",IFERROR(INDEX('Paramètres'!$O:$O,MATCH($D4973,'Paramètres'!$M:$M,0))&amp;"",""))))</f>
        <v/>
      </c>
      <c r="N4973" s="6" t="str">
        <f>IF($D4973="","",IFERROR(INDEX('Paramètres'!$Q:$Q,MATCH($D4973,'Paramètres'!$M:$M,0))&amp;"",""))</f>
        <v/>
      </c>
      <c r="O4973" s="6" t="str">
        <f>IF($A4973="","",IF(OR($J4973&lt;&gt;"x",$A4973&lt;=FinReleve),1,0))</f>
        <v/>
      </c>
      <c r="P4973" s="6" t="str">
        <f>IF($D4973="","",IF(AND($L4973="Crédit",OR(IFERROR(INDEX('Paramètres'!$O:$O,MATCH($D4973,'Paramètres'!$M:$M,0))&amp;"","")&lt;&gt;"",ISNUMBER(SEARCH("remboursement",IFERROR(INDEX('Paramètres'!$N:$N,MATCH($D4973,'Paramètres'!$M:$M,0))&amp;"",""))))),1,0))</f>
        <v/>
      </c>
      <c r="Q4973" s="6" t="str">
        <f>IF($K4973="","",IF(ISNUMBER(SEARCH("transfert-interne",IFERROR(INDEX('Paramètres'!$N:$N,MATCH($D4973,'Paramètres'!$M:$M,0))&amp;"",""))),0,IF($L4973="Débit",$K4973,IF($P4973=1,-$K4973,0))))</f>
        <v/>
      </c>
      <c r="R4973" s="6" t="str">
        <f>IF($K4973="","",IF($L4973="Crédit",$K4973,-$K4973))</f>
        <v/>
      </c>
      <c r="S4973" s="6" t="str">
        <f>IF($C4973="","",IFERROR(INDEX('Paramètres'!$H:$H,MATCH($C4973,'Paramètres'!$D:$D,0))&amp;"",""))</f>
        <v/>
      </c>
      <c r="T4973" s="6" t="str">
        <f>IF($K4973="","",IF($S4973="",0,IF(ISNUMBER(SEARCH("apport-exterieur",IFERROR(INDEX('Paramètres'!$N:$N,MATCH($D4973,'Paramètres'!$M:$M,0))&amp;"",""))),0,IF(OR(IFERROR(INDEX('Paramètres'!$I:$I,MATCH($C4973,'Paramètres'!$D:$D,0))&amp;"","")="Les deux",IFERROR(INDEX('Paramètres'!$I:$I,MATCH($C4973,'Paramètres'!$D:$D,0))&amp;"","")=IF($P4973=1,"Débit",$L4973)),-IF($P4973=1,-$K4973,$K4973),0))))</f>
        <v/>
      </c>
      <c r="U4973" s="6" t="str">
        <f>IF($K4973="","",IF(ISNUMBER(SEARCH("sortie-epargne",IFERROR(INDEX('Paramètres'!$N:$N,MATCH($D4973,'Paramètres'!$M:$M,0))&amp;"",""))),$K4973,0))</f>
        <v/>
      </c>
      <c r="V4973" s="6" t="str">
        <f>IF(AND($A4973&lt;&gt;"",$O4973=1,$L4973="Débit",N($Q4973)&gt;0,$A4973&gt;=Visualisation!$B$1,$A4973&lt;Visualisation!$D$1),MAX($V$1:V4972)+1,"")</f>
        <v/>
      </c>
    </row>
    <row r="4974" spans="1:22" x14ac:dyDescent="0.25">
      <c r="A4974" s="9"/>
      <c r="E4974" s="10"/>
      <c r="K4974" s="11" t="str">
        <f>IF($E4974="","",ROUND($E4974*IF(ISNA(MATCH($C4974,'Paramètres'!$D:$D,0)),1,IF(INDEX('Paramètres'!$J:$J,MATCH($C4974,'Paramètres'!$D:$D,0))="",1,INDEX('Paramètres'!$J:$J,MATCH($C4974,'Paramètres'!$D:$D,0)))),2))</f>
        <v/>
      </c>
      <c r="L4974" s="6" t="str">
        <f>IF($D4974="","",IF($F4974&lt;&gt;"",$F4974,IF(ISNA(MATCH($D4974,'Paramètres'!$M:$M,0)),"⚠ Type inconnu",IFERROR(INDEX('Paramètres'!$P:$P,MATCH($D4974,'Paramètres'!$M:$M,0))&amp;"",""))))</f>
        <v/>
      </c>
      <c r="M4974" s="6" t="str">
        <f>IF($D4974="","",IF(ISNA(MATCH($D4974,'Paramètres'!$M:$M,0)),"⚠ Type inconnu",IF($L4974="Crédit","",IFERROR(INDEX('Paramètres'!$O:$O,MATCH($D4974,'Paramètres'!$M:$M,0))&amp;"",""))))</f>
        <v/>
      </c>
      <c r="N4974" s="6" t="str">
        <f>IF($D4974="","",IFERROR(INDEX('Paramètres'!$Q:$Q,MATCH($D4974,'Paramètres'!$M:$M,0))&amp;"",""))</f>
        <v/>
      </c>
      <c r="O4974" s="6" t="str">
        <f>IF($A4974="","",IF(OR($J4974&lt;&gt;"x",$A4974&lt;=FinReleve),1,0))</f>
        <v/>
      </c>
      <c r="P4974" s="6" t="str">
        <f>IF($D4974="","",IF(AND($L4974="Crédit",OR(IFERROR(INDEX('Paramètres'!$O:$O,MATCH($D4974,'Paramètres'!$M:$M,0))&amp;"","")&lt;&gt;"",ISNUMBER(SEARCH("remboursement",IFERROR(INDEX('Paramètres'!$N:$N,MATCH($D4974,'Paramètres'!$M:$M,0))&amp;"",""))))),1,0))</f>
        <v/>
      </c>
      <c r="Q4974" s="6" t="str">
        <f>IF($K4974="","",IF(ISNUMBER(SEARCH("transfert-interne",IFERROR(INDEX('Paramètres'!$N:$N,MATCH($D4974,'Paramètres'!$M:$M,0))&amp;"",""))),0,IF($L4974="Débit",$K4974,IF($P4974=1,-$K4974,0))))</f>
        <v/>
      </c>
      <c r="R4974" s="6" t="str">
        <f>IF($K4974="","",IF($L4974="Crédit",$K4974,-$K4974))</f>
        <v/>
      </c>
      <c r="S4974" s="6" t="str">
        <f>IF($C4974="","",IFERROR(INDEX('Paramètres'!$H:$H,MATCH($C4974,'Paramètres'!$D:$D,0))&amp;"",""))</f>
        <v/>
      </c>
      <c r="T4974" s="6" t="str">
        <f>IF($K4974="","",IF($S4974="",0,IF(ISNUMBER(SEARCH("apport-exterieur",IFERROR(INDEX('Paramètres'!$N:$N,MATCH($D4974,'Paramètres'!$M:$M,0))&amp;"",""))),0,IF(OR(IFERROR(INDEX('Paramètres'!$I:$I,MATCH($C4974,'Paramètres'!$D:$D,0))&amp;"","")="Les deux",IFERROR(INDEX('Paramètres'!$I:$I,MATCH($C4974,'Paramètres'!$D:$D,0))&amp;"","")=IF($P4974=1,"Débit",$L4974)),-IF($P4974=1,-$K4974,$K4974),0))))</f>
        <v/>
      </c>
      <c r="U4974" s="6" t="str">
        <f>IF($K4974="","",IF(ISNUMBER(SEARCH("sortie-epargne",IFERROR(INDEX('Paramètres'!$N:$N,MATCH($D4974,'Paramètres'!$M:$M,0))&amp;"",""))),$K4974,0))</f>
        <v/>
      </c>
      <c r="V4974" s="6" t="str">
        <f>IF(AND($A4974&lt;&gt;"",$O4974=1,$L4974="Débit",N($Q4974)&gt;0,$A4974&gt;=Visualisation!$B$1,$A4974&lt;Visualisation!$D$1),MAX($V$1:V4973)+1,"")</f>
        <v/>
      </c>
    </row>
    <row r="4975" spans="1:22" x14ac:dyDescent="0.25">
      <c r="A4975" s="9"/>
      <c r="E4975" s="10"/>
      <c r="K4975" s="11" t="str">
        <f>IF($E4975="","",ROUND($E4975*IF(ISNA(MATCH($C4975,'Paramètres'!$D:$D,0)),1,IF(INDEX('Paramètres'!$J:$J,MATCH($C4975,'Paramètres'!$D:$D,0))="",1,INDEX('Paramètres'!$J:$J,MATCH($C4975,'Paramètres'!$D:$D,0)))),2))</f>
        <v/>
      </c>
      <c r="L4975" s="6" t="str">
        <f>IF($D4975="","",IF($F4975&lt;&gt;"",$F4975,IF(ISNA(MATCH($D4975,'Paramètres'!$M:$M,0)),"⚠ Type inconnu",IFERROR(INDEX('Paramètres'!$P:$P,MATCH($D4975,'Paramètres'!$M:$M,0))&amp;"",""))))</f>
        <v/>
      </c>
      <c r="M4975" s="6" t="str">
        <f>IF($D4975="","",IF(ISNA(MATCH($D4975,'Paramètres'!$M:$M,0)),"⚠ Type inconnu",IF($L4975="Crédit","",IFERROR(INDEX('Paramètres'!$O:$O,MATCH($D4975,'Paramètres'!$M:$M,0))&amp;"",""))))</f>
        <v/>
      </c>
      <c r="N4975" s="6" t="str">
        <f>IF($D4975="","",IFERROR(INDEX('Paramètres'!$Q:$Q,MATCH($D4975,'Paramètres'!$M:$M,0))&amp;"",""))</f>
        <v/>
      </c>
      <c r="O4975" s="6" t="str">
        <f>IF($A4975="","",IF(OR($J4975&lt;&gt;"x",$A4975&lt;=FinReleve),1,0))</f>
        <v/>
      </c>
      <c r="P4975" s="6" t="str">
        <f>IF($D4975="","",IF(AND($L4975="Crédit",OR(IFERROR(INDEX('Paramètres'!$O:$O,MATCH($D4975,'Paramètres'!$M:$M,0))&amp;"","")&lt;&gt;"",ISNUMBER(SEARCH("remboursement",IFERROR(INDEX('Paramètres'!$N:$N,MATCH($D4975,'Paramètres'!$M:$M,0))&amp;"",""))))),1,0))</f>
        <v/>
      </c>
      <c r="Q4975" s="6" t="str">
        <f>IF($K4975="","",IF(ISNUMBER(SEARCH("transfert-interne",IFERROR(INDEX('Paramètres'!$N:$N,MATCH($D4975,'Paramètres'!$M:$M,0))&amp;"",""))),0,IF($L4975="Débit",$K4975,IF($P4975=1,-$K4975,0))))</f>
        <v/>
      </c>
      <c r="R4975" s="6" t="str">
        <f>IF($K4975="","",IF($L4975="Crédit",$K4975,-$K4975))</f>
        <v/>
      </c>
      <c r="S4975" s="6" t="str">
        <f>IF($C4975="","",IFERROR(INDEX('Paramètres'!$H:$H,MATCH($C4975,'Paramètres'!$D:$D,0))&amp;"",""))</f>
        <v/>
      </c>
      <c r="T4975" s="6" t="str">
        <f>IF($K4975="","",IF($S4975="",0,IF(ISNUMBER(SEARCH("apport-exterieur",IFERROR(INDEX('Paramètres'!$N:$N,MATCH($D4975,'Paramètres'!$M:$M,0))&amp;"",""))),0,IF(OR(IFERROR(INDEX('Paramètres'!$I:$I,MATCH($C4975,'Paramètres'!$D:$D,0))&amp;"","")="Les deux",IFERROR(INDEX('Paramètres'!$I:$I,MATCH($C4975,'Paramètres'!$D:$D,0))&amp;"","")=IF($P4975=1,"Débit",$L4975)),-IF($P4975=1,-$K4975,$K4975),0))))</f>
        <v/>
      </c>
      <c r="U4975" s="6" t="str">
        <f>IF($K4975="","",IF(ISNUMBER(SEARCH("sortie-epargne",IFERROR(INDEX('Paramètres'!$N:$N,MATCH($D4975,'Paramètres'!$M:$M,0))&amp;"",""))),$K4975,0))</f>
        <v/>
      </c>
      <c r="V4975" s="6" t="str">
        <f>IF(AND($A4975&lt;&gt;"",$O4975=1,$L4975="Débit",N($Q4975)&gt;0,$A4975&gt;=Visualisation!$B$1,$A4975&lt;Visualisation!$D$1),MAX($V$1:V4974)+1,"")</f>
        <v/>
      </c>
    </row>
    <row r="4976" spans="1:22" x14ac:dyDescent="0.25">
      <c r="A4976" s="9"/>
      <c r="E4976" s="10"/>
      <c r="K4976" s="11" t="str">
        <f>IF($E4976="","",ROUND($E4976*IF(ISNA(MATCH($C4976,'Paramètres'!$D:$D,0)),1,IF(INDEX('Paramètres'!$J:$J,MATCH($C4976,'Paramètres'!$D:$D,0))="",1,INDEX('Paramètres'!$J:$J,MATCH($C4976,'Paramètres'!$D:$D,0)))),2))</f>
        <v/>
      </c>
      <c r="L4976" s="6" t="str">
        <f>IF($D4976="","",IF($F4976&lt;&gt;"",$F4976,IF(ISNA(MATCH($D4976,'Paramètres'!$M:$M,0)),"⚠ Type inconnu",IFERROR(INDEX('Paramètres'!$P:$P,MATCH($D4976,'Paramètres'!$M:$M,0))&amp;"",""))))</f>
        <v/>
      </c>
      <c r="M4976" s="6" t="str">
        <f>IF($D4976="","",IF(ISNA(MATCH($D4976,'Paramètres'!$M:$M,0)),"⚠ Type inconnu",IF($L4976="Crédit","",IFERROR(INDEX('Paramètres'!$O:$O,MATCH($D4976,'Paramètres'!$M:$M,0))&amp;"",""))))</f>
        <v/>
      </c>
      <c r="N4976" s="6" t="str">
        <f>IF($D4976="","",IFERROR(INDEX('Paramètres'!$Q:$Q,MATCH($D4976,'Paramètres'!$M:$M,0))&amp;"",""))</f>
        <v/>
      </c>
      <c r="O4976" s="6" t="str">
        <f>IF($A4976="","",IF(OR($J4976&lt;&gt;"x",$A4976&lt;=FinReleve),1,0))</f>
        <v/>
      </c>
      <c r="P4976" s="6" t="str">
        <f>IF($D4976="","",IF(AND($L4976="Crédit",OR(IFERROR(INDEX('Paramètres'!$O:$O,MATCH($D4976,'Paramètres'!$M:$M,0))&amp;"","")&lt;&gt;"",ISNUMBER(SEARCH("remboursement",IFERROR(INDEX('Paramètres'!$N:$N,MATCH($D4976,'Paramètres'!$M:$M,0))&amp;"",""))))),1,0))</f>
        <v/>
      </c>
      <c r="Q4976" s="6" t="str">
        <f>IF($K4976="","",IF(ISNUMBER(SEARCH("transfert-interne",IFERROR(INDEX('Paramètres'!$N:$N,MATCH($D4976,'Paramètres'!$M:$M,0))&amp;"",""))),0,IF($L4976="Débit",$K4976,IF($P4976=1,-$K4976,0))))</f>
        <v/>
      </c>
      <c r="R4976" s="6" t="str">
        <f>IF($K4976="","",IF($L4976="Crédit",$K4976,-$K4976))</f>
        <v/>
      </c>
      <c r="S4976" s="6" t="str">
        <f>IF($C4976="","",IFERROR(INDEX('Paramètres'!$H:$H,MATCH($C4976,'Paramètres'!$D:$D,0))&amp;"",""))</f>
        <v/>
      </c>
      <c r="T4976" s="6" t="str">
        <f>IF($K4976="","",IF($S4976="",0,IF(ISNUMBER(SEARCH("apport-exterieur",IFERROR(INDEX('Paramètres'!$N:$N,MATCH($D4976,'Paramètres'!$M:$M,0))&amp;"",""))),0,IF(OR(IFERROR(INDEX('Paramètres'!$I:$I,MATCH($C4976,'Paramètres'!$D:$D,0))&amp;"","")="Les deux",IFERROR(INDEX('Paramètres'!$I:$I,MATCH($C4976,'Paramètres'!$D:$D,0))&amp;"","")=IF($P4976=1,"Débit",$L4976)),-IF($P4976=1,-$K4976,$K4976),0))))</f>
        <v/>
      </c>
      <c r="U4976" s="6" t="str">
        <f>IF($K4976="","",IF(ISNUMBER(SEARCH("sortie-epargne",IFERROR(INDEX('Paramètres'!$N:$N,MATCH($D4976,'Paramètres'!$M:$M,0))&amp;"",""))),$K4976,0))</f>
        <v/>
      </c>
      <c r="V4976" s="6" t="str">
        <f>IF(AND($A4976&lt;&gt;"",$O4976=1,$L4976="Débit",N($Q4976)&gt;0,$A4976&gt;=Visualisation!$B$1,$A4976&lt;Visualisation!$D$1),MAX($V$1:V4975)+1,"")</f>
        <v/>
      </c>
    </row>
    <row r="4977" spans="1:22" x14ac:dyDescent="0.25">
      <c r="A4977" s="9"/>
      <c r="E4977" s="10"/>
      <c r="K4977" s="11" t="str">
        <f>IF($E4977="","",ROUND($E4977*IF(ISNA(MATCH($C4977,'Paramètres'!$D:$D,0)),1,IF(INDEX('Paramètres'!$J:$J,MATCH($C4977,'Paramètres'!$D:$D,0))="",1,INDEX('Paramètres'!$J:$J,MATCH($C4977,'Paramètres'!$D:$D,0)))),2))</f>
        <v/>
      </c>
      <c r="L4977" s="6" t="str">
        <f>IF($D4977="","",IF($F4977&lt;&gt;"",$F4977,IF(ISNA(MATCH($D4977,'Paramètres'!$M:$M,0)),"⚠ Type inconnu",IFERROR(INDEX('Paramètres'!$P:$P,MATCH($D4977,'Paramètres'!$M:$M,0))&amp;"",""))))</f>
        <v/>
      </c>
      <c r="M4977" s="6" t="str">
        <f>IF($D4977="","",IF(ISNA(MATCH($D4977,'Paramètres'!$M:$M,0)),"⚠ Type inconnu",IF($L4977="Crédit","",IFERROR(INDEX('Paramètres'!$O:$O,MATCH($D4977,'Paramètres'!$M:$M,0))&amp;"",""))))</f>
        <v/>
      </c>
      <c r="N4977" s="6" t="str">
        <f>IF($D4977="","",IFERROR(INDEX('Paramètres'!$Q:$Q,MATCH($D4977,'Paramètres'!$M:$M,0))&amp;"",""))</f>
        <v/>
      </c>
      <c r="O4977" s="6" t="str">
        <f>IF($A4977="","",IF(OR($J4977&lt;&gt;"x",$A4977&lt;=FinReleve),1,0))</f>
        <v/>
      </c>
      <c r="P4977" s="6" t="str">
        <f>IF($D4977="","",IF(AND($L4977="Crédit",OR(IFERROR(INDEX('Paramètres'!$O:$O,MATCH($D4977,'Paramètres'!$M:$M,0))&amp;"","")&lt;&gt;"",ISNUMBER(SEARCH("remboursement",IFERROR(INDEX('Paramètres'!$N:$N,MATCH($D4977,'Paramètres'!$M:$M,0))&amp;"",""))))),1,0))</f>
        <v/>
      </c>
      <c r="Q4977" s="6" t="str">
        <f>IF($K4977="","",IF(ISNUMBER(SEARCH("transfert-interne",IFERROR(INDEX('Paramètres'!$N:$N,MATCH($D4977,'Paramètres'!$M:$M,0))&amp;"",""))),0,IF($L4977="Débit",$K4977,IF($P4977=1,-$K4977,0))))</f>
        <v/>
      </c>
      <c r="R4977" s="6" t="str">
        <f>IF($K4977="","",IF($L4977="Crédit",$K4977,-$K4977))</f>
        <v/>
      </c>
      <c r="S4977" s="6" t="str">
        <f>IF($C4977="","",IFERROR(INDEX('Paramètres'!$H:$H,MATCH($C4977,'Paramètres'!$D:$D,0))&amp;"",""))</f>
        <v/>
      </c>
      <c r="T4977" s="6" t="str">
        <f>IF($K4977="","",IF($S4977="",0,IF(ISNUMBER(SEARCH("apport-exterieur",IFERROR(INDEX('Paramètres'!$N:$N,MATCH($D4977,'Paramètres'!$M:$M,0))&amp;"",""))),0,IF(OR(IFERROR(INDEX('Paramètres'!$I:$I,MATCH($C4977,'Paramètres'!$D:$D,0))&amp;"","")="Les deux",IFERROR(INDEX('Paramètres'!$I:$I,MATCH($C4977,'Paramètres'!$D:$D,0))&amp;"","")=IF($P4977=1,"Débit",$L4977)),-IF($P4977=1,-$K4977,$K4977),0))))</f>
        <v/>
      </c>
      <c r="U4977" s="6" t="str">
        <f>IF($K4977="","",IF(ISNUMBER(SEARCH("sortie-epargne",IFERROR(INDEX('Paramètres'!$N:$N,MATCH($D4977,'Paramètres'!$M:$M,0))&amp;"",""))),$K4977,0))</f>
        <v/>
      </c>
      <c r="V4977" s="6" t="str">
        <f>IF(AND($A4977&lt;&gt;"",$O4977=1,$L4977="Débit",N($Q4977)&gt;0,$A4977&gt;=Visualisation!$B$1,$A4977&lt;Visualisation!$D$1),MAX($V$1:V4976)+1,"")</f>
        <v/>
      </c>
    </row>
    <row r="4978" spans="1:22" x14ac:dyDescent="0.25">
      <c r="A4978" s="9"/>
      <c r="E4978" s="10"/>
      <c r="K4978" s="11" t="str">
        <f>IF($E4978="","",ROUND($E4978*IF(ISNA(MATCH($C4978,'Paramètres'!$D:$D,0)),1,IF(INDEX('Paramètres'!$J:$J,MATCH($C4978,'Paramètres'!$D:$D,0))="",1,INDEX('Paramètres'!$J:$J,MATCH($C4978,'Paramètres'!$D:$D,0)))),2))</f>
        <v/>
      </c>
      <c r="L4978" s="6" t="str">
        <f>IF($D4978="","",IF($F4978&lt;&gt;"",$F4978,IF(ISNA(MATCH($D4978,'Paramètres'!$M:$M,0)),"⚠ Type inconnu",IFERROR(INDEX('Paramètres'!$P:$P,MATCH($D4978,'Paramètres'!$M:$M,0))&amp;"",""))))</f>
        <v/>
      </c>
      <c r="M4978" s="6" t="str">
        <f>IF($D4978="","",IF(ISNA(MATCH($D4978,'Paramètres'!$M:$M,0)),"⚠ Type inconnu",IF($L4978="Crédit","",IFERROR(INDEX('Paramètres'!$O:$O,MATCH($D4978,'Paramètres'!$M:$M,0))&amp;"",""))))</f>
        <v/>
      </c>
      <c r="N4978" s="6" t="str">
        <f>IF($D4978="","",IFERROR(INDEX('Paramètres'!$Q:$Q,MATCH($D4978,'Paramètres'!$M:$M,0))&amp;"",""))</f>
        <v/>
      </c>
      <c r="O4978" s="6" t="str">
        <f>IF($A4978="","",IF(OR($J4978&lt;&gt;"x",$A4978&lt;=FinReleve),1,0))</f>
        <v/>
      </c>
      <c r="P4978" s="6" t="str">
        <f>IF($D4978="","",IF(AND($L4978="Crédit",OR(IFERROR(INDEX('Paramètres'!$O:$O,MATCH($D4978,'Paramètres'!$M:$M,0))&amp;"","")&lt;&gt;"",ISNUMBER(SEARCH("remboursement",IFERROR(INDEX('Paramètres'!$N:$N,MATCH($D4978,'Paramètres'!$M:$M,0))&amp;"",""))))),1,0))</f>
        <v/>
      </c>
      <c r="Q4978" s="6" t="str">
        <f>IF($K4978="","",IF(ISNUMBER(SEARCH("transfert-interne",IFERROR(INDEX('Paramètres'!$N:$N,MATCH($D4978,'Paramètres'!$M:$M,0))&amp;"",""))),0,IF($L4978="Débit",$K4978,IF($P4978=1,-$K4978,0))))</f>
        <v/>
      </c>
      <c r="R4978" s="6" t="str">
        <f>IF($K4978="","",IF($L4978="Crédit",$K4978,-$K4978))</f>
        <v/>
      </c>
      <c r="S4978" s="6" t="str">
        <f>IF($C4978="","",IFERROR(INDEX('Paramètres'!$H:$H,MATCH($C4978,'Paramètres'!$D:$D,0))&amp;"",""))</f>
        <v/>
      </c>
      <c r="T4978" s="6" t="str">
        <f>IF($K4978="","",IF($S4978="",0,IF(ISNUMBER(SEARCH("apport-exterieur",IFERROR(INDEX('Paramètres'!$N:$N,MATCH($D4978,'Paramètres'!$M:$M,0))&amp;"",""))),0,IF(OR(IFERROR(INDEX('Paramètres'!$I:$I,MATCH($C4978,'Paramètres'!$D:$D,0))&amp;"","")="Les deux",IFERROR(INDEX('Paramètres'!$I:$I,MATCH($C4978,'Paramètres'!$D:$D,0))&amp;"","")=IF($P4978=1,"Débit",$L4978)),-IF($P4978=1,-$K4978,$K4978),0))))</f>
        <v/>
      </c>
      <c r="U4978" s="6" t="str">
        <f>IF($K4978="","",IF(ISNUMBER(SEARCH("sortie-epargne",IFERROR(INDEX('Paramètres'!$N:$N,MATCH($D4978,'Paramètres'!$M:$M,0))&amp;"",""))),$K4978,0))</f>
        <v/>
      </c>
      <c r="V4978" s="6" t="str">
        <f>IF(AND($A4978&lt;&gt;"",$O4978=1,$L4978="Débit",N($Q4978)&gt;0,$A4978&gt;=Visualisation!$B$1,$A4978&lt;Visualisation!$D$1),MAX($V$1:V4977)+1,"")</f>
        <v/>
      </c>
    </row>
    <row r="4979" spans="1:22" x14ac:dyDescent="0.25">
      <c r="A4979" s="9"/>
      <c r="E4979" s="10"/>
      <c r="K4979" s="11" t="str">
        <f>IF($E4979="","",ROUND($E4979*IF(ISNA(MATCH($C4979,'Paramètres'!$D:$D,0)),1,IF(INDEX('Paramètres'!$J:$J,MATCH($C4979,'Paramètres'!$D:$D,0))="",1,INDEX('Paramètres'!$J:$J,MATCH($C4979,'Paramètres'!$D:$D,0)))),2))</f>
        <v/>
      </c>
      <c r="L4979" s="6" t="str">
        <f>IF($D4979="","",IF($F4979&lt;&gt;"",$F4979,IF(ISNA(MATCH($D4979,'Paramètres'!$M:$M,0)),"⚠ Type inconnu",IFERROR(INDEX('Paramètres'!$P:$P,MATCH($D4979,'Paramètres'!$M:$M,0))&amp;"",""))))</f>
        <v/>
      </c>
      <c r="M4979" s="6" t="str">
        <f>IF($D4979="","",IF(ISNA(MATCH($D4979,'Paramètres'!$M:$M,0)),"⚠ Type inconnu",IF($L4979="Crédit","",IFERROR(INDEX('Paramètres'!$O:$O,MATCH($D4979,'Paramètres'!$M:$M,0))&amp;"",""))))</f>
        <v/>
      </c>
      <c r="N4979" s="6" t="str">
        <f>IF($D4979="","",IFERROR(INDEX('Paramètres'!$Q:$Q,MATCH($D4979,'Paramètres'!$M:$M,0))&amp;"",""))</f>
        <v/>
      </c>
      <c r="O4979" s="6" t="str">
        <f>IF($A4979="","",IF(OR($J4979&lt;&gt;"x",$A4979&lt;=FinReleve),1,0))</f>
        <v/>
      </c>
      <c r="P4979" s="6" t="str">
        <f>IF($D4979="","",IF(AND($L4979="Crédit",OR(IFERROR(INDEX('Paramètres'!$O:$O,MATCH($D4979,'Paramètres'!$M:$M,0))&amp;"","")&lt;&gt;"",ISNUMBER(SEARCH("remboursement",IFERROR(INDEX('Paramètres'!$N:$N,MATCH($D4979,'Paramètres'!$M:$M,0))&amp;"",""))))),1,0))</f>
        <v/>
      </c>
      <c r="Q4979" s="6" t="str">
        <f>IF($K4979="","",IF(ISNUMBER(SEARCH("transfert-interne",IFERROR(INDEX('Paramètres'!$N:$N,MATCH($D4979,'Paramètres'!$M:$M,0))&amp;"",""))),0,IF($L4979="Débit",$K4979,IF($P4979=1,-$K4979,0))))</f>
        <v/>
      </c>
      <c r="R4979" s="6" t="str">
        <f>IF($K4979="","",IF($L4979="Crédit",$K4979,-$K4979))</f>
        <v/>
      </c>
      <c r="S4979" s="6" t="str">
        <f>IF($C4979="","",IFERROR(INDEX('Paramètres'!$H:$H,MATCH($C4979,'Paramètres'!$D:$D,0))&amp;"",""))</f>
        <v/>
      </c>
      <c r="T4979" s="6" t="str">
        <f>IF($K4979="","",IF($S4979="",0,IF(ISNUMBER(SEARCH("apport-exterieur",IFERROR(INDEX('Paramètres'!$N:$N,MATCH($D4979,'Paramètres'!$M:$M,0))&amp;"",""))),0,IF(OR(IFERROR(INDEX('Paramètres'!$I:$I,MATCH($C4979,'Paramètres'!$D:$D,0))&amp;"","")="Les deux",IFERROR(INDEX('Paramètres'!$I:$I,MATCH($C4979,'Paramètres'!$D:$D,0))&amp;"","")=IF($P4979=1,"Débit",$L4979)),-IF($P4979=1,-$K4979,$K4979),0))))</f>
        <v/>
      </c>
      <c r="U4979" s="6" t="str">
        <f>IF($K4979="","",IF(ISNUMBER(SEARCH("sortie-epargne",IFERROR(INDEX('Paramètres'!$N:$N,MATCH($D4979,'Paramètres'!$M:$M,0))&amp;"",""))),$K4979,0))</f>
        <v/>
      </c>
      <c r="V4979" s="6" t="str">
        <f>IF(AND($A4979&lt;&gt;"",$O4979=1,$L4979="Débit",N($Q4979)&gt;0,$A4979&gt;=Visualisation!$B$1,$A4979&lt;Visualisation!$D$1),MAX($V$1:V4978)+1,"")</f>
        <v/>
      </c>
    </row>
    <row r="4980" spans="1:22" x14ac:dyDescent="0.25">
      <c r="A4980" s="9"/>
      <c r="E4980" s="10"/>
      <c r="K4980" s="11" t="str">
        <f>IF($E4980="","",ROUND($E4980*IF(ISNA(MATCH($C4980,'Paramètres'!$D:$D,0)),1,IF(INDEX('Paramètres'!$J:$J,MATCH($C4980,'Paramètres'!$D:$D,0))="",1,INDEX('Paramètres'!$J:$J,MATCH($C4980,'Paramètres'!$D:$D,0)))),2))</f>
        <v/>
      </c>
      <c r="L4980" s="6" t="str">
        <f>IF($D4980="","",IF($F4980&lt;&gt;"",$F4980,IF(ISNA(MATCH($D4980,'Paramètres'!$M:$M,0)),"⚠ Type inconnu",IFERROR(INDEX('Paramètres'!$P:$P,MATCH($D4980,'Paramètres'!$M:$M,0))&amp;"",""))))</f>
        <v/>
      </c>
      <c r="M4980" s="6" t="str">
        <f>IF($D4980="","",IF(ISNA(MATCH($D4980,'Paramètres'!$M:$M,0)),"⚠ Type inconnu",IF($L4980="Crédit","",IFERROR(INDEX('Paramètres'!$O:$O,MATCH($D4980,'Paramètres'!$M:$M,0))&amp;"",""))))</f>
        <v/>
      </c>
      <c r="N4980" s="6" t="str">
        <f>IF($D4980="","",IFERROR(INDEX('Paramètres'!$Q:$Q,MATCH($D4980,'Paramètres'!$M:$M,0))&amp;"",""))</f>
        <v/>
      </c>
      <c r="O4980" s="6" t="str">
        <f>IF($A4980="","",IF(OR($J4980&lt;&gt;"x",$A4980&lt;=FinReleve),1,0))</f>
        <v/>
      </c>
      <c r="P4980" s="6" t="str">
        <f>IF($D4980="","",IF(AND($L4980="Crédit",OR(IFERROR(INDEX('Paramètres'!$O:$O,MATCH($D4980,'Paramètres'!$M:$M,0))&amp;"","")&lt;&gt;"",ISNUMBER(SEARCH("remboursement",IFERROR(INDEX('Paramètres'!$N:$N,MATCH($D4980,'Paramètres'!$M:$M,0))&amp;"",""))))),1,0))</f>
        <v/>
      </c>
      <c r="Q4980" s="6" t="str">
        <f>IF($K4980="","",IF(ISNUMBER(SEARCH("transfert-interne",IFERROR(INDEX('Paramètres'!$N:$N,MATCH($D4980,'Paramètres'!$M:$M,0))&amp;"",""))),0,IF($L4980="Débit",$K4980,IF($P4980=1,-$K4980,0))))</f>
        <v/>
      </c>
      <c r="R4980" s="6" t="str">
        <f>IF($K4980="","",IF($L4980="Crédit",$K4980,-$K4980))</f>
        <v/>
      </c>
      <c r="S4980" s="6" t="str">
        <f>IF($C4980="","",IFERROR(INDEX('Paramètres'!$H:$H,MATCH($C4980,'Paramètres'!$D:$D,0))&amp;"",""))</f>
        <v/>
      </c>
      <c r="T4980" s="6" t="str">
        <f>IF($K4980="","",IF($S4980="",0,IF(ISNUMBER(SEARCH("apport-exterieur",IFERROR(INDEX('Paramètres'!$N:$N,MATCH($D4980,'Paramètres'!$M:$M,0))&amp;"",""))),0,IF(OR(IFERROR(INDEX('Paramètres'!$I:$I,MATCH($C4980,'Paramètres'!$D:$D,0))&amp;"","")="Les deux",IFERROR(INDEX('Paramètres'!$I:$I,MATCH($C4980,'Paramètres'!$D:$D,0))&amp;"","")=IF($P4980=1,"Débit",$L4980)),-IF($P4980=1,-$K4980,$K4980),0))))</f>
        <v/>
      </c>
      <c r="U4980" s="6" t="str">
        <f>IF($K4980="","",IF(ISNUMBER(SEARCH("sortie-epargne",IFERROR(INDEX('Paramètres'!$N:$N,MATCH($D4980,'Paramètres'!$M:$M,0))&amp;"",""))),$K4980,0))</f>
        <v/>
      </c>
      <c r="V4980" s="6" t="str">
        <f>IF(AND($A4980&lt;&gt;"",$O4980=1,$L4980="Débit",N($Q4980)&gt;0,$A4980&gt;=Visualisation!$B$1,$A4980&lt;Visualisation!$D$1),MAX($V$1:V4979)+1,"")</f>
        <v/>
      </c>
    </row>
    <row r="4981" spans="1:22" x14ac:dyDescent="0.25">
      <c r="A4981" s="9"/>
      <c r="E4981" s="10"/>
      <c r="K4981" s="11" t="str">
        <f>IF($E4981="","",ROUND($E4981*IF(ISNA(MATCH($C4981,'Paramètres'!$D:$D,0)),1,IF(INDEX('Paramètres'!$J:$J,MATCH($C4981,'Paramètres'!$D:$D,0))="",1,INDEX('Paramètres'!$J:$J,MATCH($C4981,'Paramètres'!$D:$D,0)))),2))</f>
        <v/>
      </c>
      <c r="L4981" s="6" t="str">
        <f>IF($D4981="","",IF($F4981&lt;&gt;"",$F4981,IF(ISNA(MATCH($D4981,'Paramètres'!$M:$M,0)),"⚠ Type inconnu",IFERROR(INDEX('Paramètres'!$P:$P,MATCH($D4981,'Paramètres'!$M:$M,0))&amp;"",""))))</f>
        <v/>
      </c>
      <c r="M4981" s="6" t="str">
        <f>IF($D4981="","",IF(ISNA(MATCH($D4981,'Paramètres'!$M:$M,0)),"⚠ Type inconnu",IF($L4981="Crédit","",IFERROR(INDEX('Paramètres'!$O:$O,MATCH($D4981,'Paramètres'!$M:$M,0))&amp;"",""))))</f>
        <v/>
      </c>
      <c r="N4981" s="6" t="str">
        <f>IF($D4981="","",IFERROR(INDEX('Paramètres'!$Q:$Q,MATCH($D4981,'Paramètres'!$M:$M,0))&amp;"",""))</f>
        <v/>
      </c>
      <c r="O4981" s="6" t="str">
        <f>IF($A4981="","",IF(OR($J4981&lt;&gt;"x",$A4981&lt;=FinReleve),1,0))</f>
        <v/>
      </c>
      <c r="P4981" s="6" t="str">
        <f>IF($D4981="","",IF(AND($L4981="Crédit",OR(IFERROR(INDEX('Paramètres'!$O:$O,MATCH($D4981,'Paramètres'!$M:$M,0))&amp;"","")&lt;&gt;"",ISNUMBER(SEARCH("remboursement",IFERROR(INDEX('Paramètres'!$N:$N,MATCH($D4981,'Paramètres'!$M:$M,0))&amp;"",""))))),1,0))</f>
        <v/>
      </c>
      <c r="Q4981" s="6" t="str">
        <f>IF($K4981="","",IF(ISNUMBER(SEARCH("transfert-interne",IFERROR(INDEX('Paramètres'!$N:$N,MATCH($D4981,'Paramètres'!$M:$M,0))&amp;"",""))),0,IF($L4981="Débit",$K4981,IF($P4981=1,-$K4981,0))))</f>
        <v/>
      </c>
      <c r="R4981" s="6" t="str">
        <f>IF($K4981="","",IF($L4981="Crédit",$K4981,-$K4981))</f>
        <v/>
      </c>
      <c r="S4981" s="6" t="str">
        <f>IF($C4981="","",IFERROR(INDEX('Paramètres'!$H:$H,MATCH($C4981,'Paramètres'!$D:$D,0))&amp;"",""))</f>
        <v/>
      </c>
      <c r="T4981" s="6" t="str">
        <f>IF($K4981="","",IF($S4981="",0,IF(ISNUMBER(SEARCH("apport-exterieur",IFERROR(INDEX('Paramètres'!$N:$N,MATCH($D4981,'Paramètres'!$M:$M,0))&amp;"",""))),0,IF(OR(IFERROR(INDEX('Paramètres'!$I:$I,MATCH($C4981,'Paramètres'!$D:$D,0))&amp;"","")="Les deux",IFERROR(INDEX('Paramètres'!$I:$I,MATCH($C4981,'Paramètres'!$D:$D,0))&amp;"","")=IF($P4981=1,"Débit",$L4981)),-IF($P4981=1,-$K4981,$K4981),0))))</f>
        <v/>
      </c>
      <c r="U4981" s="6" t="str">
        <f>IF($K4981="","",IF(ISNUMBER(SEARCH("sortie-epargne",IFERROR(INDEX('Paramètres'!$N:$N,MATCH($D4981,'Paramètres'!$M:$M,0))&amp;"",""))),$K4981,0))</f>
        <v/>
      </c>
      <c r="V4981" s="6" t="str">
        <f>IF(AND($A4981&lt;&gt;"",$O4981=1,$L4981="Débit",N($Q4981)&gt;0,$A4981&gt;=Visualisation!$B$1,$A4981&lt;Visualisation!$D$1),MAX($V$1:V4980)+1,"")</f>
        <v/>
      </c>
    </row>
    <row r="4982" spans="1:22" x14ac:dyDescent="0.25">
      <c r="A4982" s="9"/>
      <c r="E4982" s="10"/>
      <c r="K4982" s="11" t="str">
        <f>IF($E4982="","",ROUND($E4982*IF(ISNA(MATCH($C4982,'Paramètres'!$D:$D,0)),1,IF(INDEX('Paramètres'!$J:$J,MATCH($C4982,'Paramètres'!$D:$D,0))="",1,INDEX('Paramètres'!$J:$J,MATCH($C4982,'Paramètres'!$D:$D,0)))),2))</f>
        <v/>
      </c>
      <c r="L4982" s="6" t="str">
        <f>IF($D4982="","",IF($F4982&lt;&gt;"",$F4982,IF(ISNA(MATCH($D4982,'Paramètres'!$M:$M,0)),"⚠ Type inconnu",IFERROR(INDEX('Paramètres'!$P:$P,MATCH($D4982,'Paramètres'!$M:$M,0))&amp;"",""))))</f>
        <v/>
      </c>
      <c r="M4982" s="6" t="str">
        <f>IF($D4982="","",IF(ISNA(MATCH($D4982,'Paramètres'!$M:$M,0)),"⚠ Type inconnu",IF($L4982="Crédit","",IFERROR(INDEX('Paramètres'!$O:$O,MATCH($D4982,'Paramètres'!$M:$M,0))&amp;"",""))))</f>
        <v/>
      </c>
      <c r="N4982" s="6" t="str">
        <f>IF($D4982="","",IFERROR(INDEX('Paramètres'!$Q:$Q,MATCH($D4982,'Paramètres'!$M:$M,0))&amp;"",""))</f>
        <v/>
      </c>
      <c r="O4982" s="6" t="str">
        <f>IF($A4982="","",IF(OR($J4982&lt;&gt;"x",$A4982&lt;=FinReleve),1,0))</f>
        <v/>
      </c>
      <c r="P4982" s="6" t="str">
        <f>IF($D4982="","",IF(AND($L4982="Crédit",OR(IFERROR(INDEX('Paramètres'!$O:$O,MATCH($D4982,'Paramètres'!$M:$M,0))&amp;"","")&lt;&gt;"",ISNUMBER(SEARCH("remboursement",IFERROR(INDEX('Paramètres'!$N:$N,MATCH($D4982,'Paramètres'!$M:$M,0))&amp;"",""))))),1,0))</f>
        <v/>
      </c>
      <c r="Q4982" s="6" t="str">
        <f>IF($K4982="","",IF(ISNUMBER(SEARCH("transfert-interne",IFERROR(INDEX('Paramètres'!$N:$N,MATCH($D4982,'Paramètres'!$M:$M,0))&amp;"",""))),0,IF($L4982="Débit",$K4982,IF($P4982=1,-$K4982,0))))</f>
        <v/>
      </c>
      <c r="R4982" s="6" t="str">
        <f>IF($K4982="","",IF($L4982="Crédit",$K4982,-$K4982))</f>
        <v/>
      </c>
      <c r="S4982" s="6" t="str">
        <f>IF($C4982="","",IFERROR(INDEX('Paramètres'!$H:$H,MATCH($C4982,'Paramètres'!$D:$D,0))&amp;"",""))</f>
        <v/>
      </c>
      <c r="T4982" s="6" t="str">
        <f>IF($K4982="","",IF($S4982="",0,IF(ISNUMBER(SEARCH("apport-exterieur",IFERROR(INDEX('Paramètres'!$N:$N,MATCH($D4982,'Paramètres'!$M:$M,0))&amp;"",""))),0,IF(OR(IFERROR(INDEX('Paramètres'!$I:$I,MATCH($C4982,'Paramètres'!$D:$D,0))&amp;"","")="Les deux",IFERROR(INDEX('Paramètres'!$I:$I,MATCH($C4982,'Paramètres'!$D:$D,0))&amp;"","")=IF($P4982=1,"Débit",$L4982)),-IF($P4982=1,-$K4982,$K4982),0))))</f>
        <v/>
      </c>
      <c r="U4982" s="6" t="str">
        <f>IF($K4982="","",IF(ISNUMBER(SEARCH("sortie-epargne",IFERROR(INDEX('Paramètres'!$N:$N,MATCH($D4982,'Paramètres'!$M:$M,0))&amp;"",""))),$K4982,0))</f>
        <v/>
      </c>
      <c r="V4982" s="6" t="str">
        <f>IF(AND($A4982&lt;&gt;"",$O4982=1,$L4982="Débit",N($Q4982)&gt;0,$A4982&gt;=Visualisation!$B$1,$A4982&lt;Visualisation!$D$1),MAX($V$1:V4981)+1,"")</f>
        <v/>
      </c>
    </row>
    <row r="4983" spans="1:22" x14ac:dyDescent="0.25">
      <c r="A4983" s="9"/>
      <c r="E4983" s="10"/>
      <c r="K4983" s="11" t="str">
        <f>IF($E4983="","",ROUND($E4983*IF(ISNA(MATCH($C4983,'Paramètres'!$D:$D,0)),1,IF(INDEX('Paramètres'!$J:$J,MATCH($C4983,'Paramètres'!$D:$D,0))="",1,INDEX('Paramètres'!$J:$J,MATCH($C4983,'Paramètres'!$D:$D,0)))),2))</f>
        <v/>
      </c>
      <c r="L4983" s="6" t="str">
        <f>IF($D4983="","",IF($F4983&lt;&gt;"",$F4983,IF(ISNA(MATCH($D4983,'Paramètres'!$M:$M,0)),"⚠ Type inconnu",IFERROR(INDEX('Paramètres'!$P:$P,MATCH($D4983,'Paramètres'!$M:$M,0))&amp;"",""))))</f>
        <v/>
      </c>
      <c r="M4983" s="6" t="str">
        <f>IF($D4983="","",IF(ISNA(MATCH($D4983,'Paramètres'!$M:$M,0)),"⚠ Type inconnu",IF($L4983="Crédit","",IFERROR(INDEX('Paramètres'!$O:$O,MATCH($D4983,'Paramètres'!$M:$M,0))&amp;"",""))))</f>
        <v/>
      </c>
      <c r="N4983" s="6" t="str">
        <f>IF($D4983="","",IFERROR(INDEX('Paramètres'!$Q:$Q,MATCH($D4983,'Paramètres'!$M:$M,0))&amp;"",""))</f>
        <v/>
      </c>
      <c r="O4983" s="6" t="str">
        <f>IF($A4983="","",IF(OR($J4983&lt;&gt;"x",$A4983&lt;=FinReleve),1,0))</f>
        <v/>
      </c>
      <c r="P4983" s="6" t="str">
        <f>IF($D4983="","",IF(AND($L4983="Crédit",OR(IFERROR(INDEX('Paramètres'!$O:$O,MATCH($D4983,'Paramètres'!$M:$M,0))&amp;"","")&lt;&gt;"",ISNUMBER(SEARCH("remboursement",IFERROR(INDEX('Paramètres'!$N:$N,MATCH($D4983,'Paramètres'!$M:$M,0))&amp;"",""))))),1,0))</f>
        <v/>
      </c>
      <c r="Q4983" s="6" t="str">
        <f>IF($K4983="","",IF(ISNUMBER(SEARCH("transfert-interne",IFERROR(INDEX('Paramètres'!$N:$N,MATCH($D4983,'Paramètres'!$M:$M,0))&amp;"",""))),0,IF($L4983="Débit",$K4983,IF($P4983=1,-$K4983,0))))</f>
        <v/>
      </c>
      <c r="R4983" s="6" t="str">
        <f>IF($K4983="","",IF($L4983="Crédit",$K4983,-$K4983))</f>
        <v/>
      </c>
      <c r="S4983" s="6" t="str">
        <f>IF($C4983="","",IFERROR(INDEX('Paramètres'!$H:$H,MATCH($C4983,'Paramètres'!$D:$D,0))&amp;"",""))</f>
        <v/>
      </c>
      <c r="T4983" s="6" t="str">
        <f>IF($K4983="","",IF($S4983="",0,IF(ISNUMBER(SEARCH("apport-exterieur",IFERROR(INDEX('Paramètres'!$N:$N,MATCH($D4983,'Paramètres'!$M:$M,0))&amp;"",""))),0,IF(OR(IFERROR(INDEX('Paramètres'!$I:$I,MATCH($C4983,'Paramètres'!$D:$D,0))&amp;"","")="Les deux",IFERROR(INDEX('Paramètres'!$I:$I,MATCH($C4983,'Paramètres'!$D:$D,0))&amp;"","")=IF($P4983=1,"Débit",$L4983)),-IF($P4983=1,-$K4983,$K4983),0))))</f>
        <v/>
      </c>
      <c r="U4983" s="6" t="str">
        <f>IF($K4983="","",IF(ISNUMBER(SEARCH("sortie-epargne",IFERROR(INDEX('Paramètres'!$N:$N,MATCH($D4983,'Paramètres'!$M:$M,0))&amp;"",""))),$K4983,0))</f>
        <v/>
      </c>
      <c r="V4983" s="6" t="str">
        <f>IF(AND($A4983&lt;&gt;"",$O4983=1,$L4983="Débit",N($Q4983)&gt;0,$A4983&gt;=Visualisation!$B$1,$A4983&lt;Visualisation!$D$1),MAX($V$1:V4982)+1,"")</f>
        <v/>
      </c>
    </row>
    <row r="4984" spans="1:22" x14ac:dyDescent="0.25">
      <c r="A4984" s="9"/>
      <c r="E4984" s="10"/>
      <c r="K4984" s="11" t="str">
        <f>IF($E4984="","",ROUND($E4984*IF(ISNA(MATCH($C4984,'Paramètres'!$D:$D,0)),1,IF(INDEX('Paramètres'!$J:$J,MATCH($C4984,'Paramètres'!$D:$D,0))="",1,INDEX('Paramètres'!$J:$J,MATCH($C4984,'Paramètres'!$D:$D,0)))),2))</f>
        <v/>
      </c>
      <c r="L4984" s="6" t="str">
        <f>IF($D4984="","",IF($F4984&lt;&gt;"",$F4984,IF(ISNA(MATCH($D4984,'Paramètres'!$M:$M,0)),"⚠ Type inconnu",IFERROR(INDEX('Paramètres'!$P:$P,MATCH($D4984,'Paramètres'!$M:$M,0))&amp;"",""))))</f>
        <v/>
      </c>
      <c r="M4984" s="6" t="str">
        <f>IF($D4984="","",IF(ISNA(MATCH($D4984,'Paramètres'!$M:$M,0)),"⚠ Type inconnu",IF($L4984="Crédit","",IFERROR(INDEX('Paramètres'!$O:$O,MATCH($D4984,'Paramètres'!$M:$M,0))&amp;"",""))))</f>
        <v/>
      </c>
      <c r="N4984" s="6" t="str">
        <f>IF($D4984="","",IFERROR(INDEX('Paramètres'!$Q:$Q,MATCH($D4984,'Paramètres'!$M:$M,0))&amp;"",""))</f>
        <v/>
      </c>
      <c r="O4984" s="6" t="str">
        <f>IF($A4984="","",IF(OR($J4984&lt;&gt;"x",$A4984&lt;=FinReleve),1,0))</f>
        <v/>
      </c>
      <c r="P4984" s="6" t="str">
        <f>IF($D4984="","",IF(AND($L4984="Crédit",OR(IFERROR(INDEX('Paramètres'!$O:$O,MATCH($D4984,'Paramètres'!$M:$M,0))&amp;"","")&lt;&gt;"",ISNUMBER(SEARCH("remboursement",IFERROR(INDEX('Paramètres'!$N:$N,MATCH($D4984,'Paramètres'!$M:$M,0))&amp;"",""))))),1,0))</f>
        <v/>
      </c>
      <c r="Q4984" s="6" t="str">
        <f>IF($K4984="","",IF(ISNUMBER(SEARCH("transfert-interne",IFERROR(INDEX('Paramètres'!$N:$N,MATCH($D4984,'Paramètres'!$M:$M,0))&amp;"",""))),0,IF($L4984="Débit",$K4984,IF($P4984=1,-$K4984,0))))</f>
        <v/>
      </c>
      <c r="R4984" s="6" t="str">
        <f>IF($K4984="","",IF($L4984="Crédit",$K4984,-$K4984))</f>
        <v/>
      </c>
      <c r="S4984" s="6" t="str">
        <f>IF($C4984="","",IFERROR(INDEX('Paramètres'!$H:$H,MATCH($C4984,'Paramètres'!$D:$D,0))&amp;"",""))</f>
        <v/>
      </c>
      <c r="T4984" s="6" t="str">
        <f>IF($K4984="","",IF($S4984="",0,IF(ISNUMBER(SEARCH("apport-exterieur",IFERROR(INDEX('Paramètres'!$N:$N,MATCH($D4984,'Paramètres'!$M:$M,0))&amp;"",""))),0,IF(OR(IFERROR(INDEX('Paramètres'!$I:$I,MATCH($C4984,'Paramètres'!$D:$D,0))&amp;"","")="Les deux",IFERROR(INDEX('Paramètres'!$I:$I,MATCH($C4984,'Paramètres'!$D:$D,0))&amp;"","")=IF($P4984=1,"Débit",$L4984)),-IF($P4984=1,-$K4984,$K4984),0))))</f>
        <v/>
      </c>
      <c r="U4984" s="6" t="str">
        <f>IF($K4984="","",IF(ISNUMBER(SEARCH("sortie-epargne",IFERROR(INDEX('Paramètres'!$N:$N,MATCH($D4984,'Paramètres'!$M:$M,0))&amp;"",""))),$K4984,0))</f>
        <v/>
      </c>
      <c r="V4984" s="6" t="str">
        <f>IF(AND($A4984&lt;&gt;"",$O4984=1,$L4984="Débit",N($Q4984)&gt;0,$A4984&gt;=Visualisation!$B$1,$A4984&lt;Visualisation!$D$1),MAX($V$1:V4983)+1,"")</f>
        <v/>
      </c>
    </row>
    <row r="4985" spans="1:22" x14ac:dyDescent="0.25">
      <c r="A4985" s="9"/>
      <c r="E4985" s="10"/>
      <c r="K4985" s="11" t="str">
        <f>IF($E4985="","",ROUND($E4985*IF(ISNA(MATCH($C4985,'Paramètres'!$D:$D,0)),1,IF(INDEX('Paramètres'!$J:$J,MATCH($C4985,'Paramètres'!$D:$D,0))="",1,INDEX('Paramètres'!$J:$J,MATCH($C4985,'Paramètres'!$D:$D,0)))),2))</f>
        <v/>
      </c>
      <c r="L4985" s="6" t="str">
        <f>IF($D4985="","",IF($F4985&lt;&gt;"",$F4985,IF(ISNA(MATCH($D4985,'Paramètres'!$M:$M,0)),"⚠ Type inconnu",IFERROR(INDEX('Paramètres'!$P:$P,MATCH($D4985,'Paramètres'!$M:$M,0))&amp;"",""))))</f>
        <v/>
      </c>
      <c r="M4985" s="6" t="str">
        <f>IF($D4985="","",IF(ISNA(MATCH($D4985,'Paramètres'!$M:$M,0)),"⚠ Type inconnu",IF($L4985="Crédit","",IFERROR(INDEX('Paramètres'!$O:$O,MATCH($D4985,'Paramètres'!$M:$M,0))&amp;"",""))))</f>
        <v/>
      </c>
      <c r="N4985" s="6" t="str">
        <f>IF($D4985="","",IFERROR(INDEX('Paramètres'!$Q:$Q,MATCH($D4985,'Paramètres'!$M:$M,0))&amp;"",""))</f>
        <v/>
      </c>
      <c r="O4985" s="6" t="str">
        <f>IF($A4985="","",IF(OR($J4985&lt;&gt;"x",$A4985&lt;=FinReleve),1,0))</f>
        <v/>
      </c>
      <c r="P4985" s="6" t="str">
        <f>IF($D4985="","",IF(AND($L4985="Crédit",OR(IFERROR(INDEX('Paramètres'!$O:$O,MATCH($D4985,'Paramètres'!$M:$M,0))&amp;"","")&lt;&gt;"",ISNUMBER(SEARCH("remboursement",IFERROR(INDEX('Paramètres'!$N:$N,MATCH($D4985,'Paramètres'!$M:$M,0))&amp;"",""))))),1,0))</f>
        <v/>
      </c>
      <c r="Q4985" s="6" t="str">
        <f>IF($K4985="","",IF(ISNUMBER(SEARCH("transfert-interne",IFERROR(INDEX('Paramètres'!$N:$N,MATCH($D4985,'Paramètres'!$M:$M,0))&amp;"",""))),0,IF($L4985="Débit",$K4985,IF($P4985=1,-$K4985,0))))</f>
        <v/>
      </c>
      <c r="R4985" s="6" t="str">
        <f>IF($K4985="","",IF($L4985="Crédit",$K4985,-$K4985))</f>
        <v/>
      </c>
      <c r="S4985" s="6" t="str">
        <f>IF($C4985="","",IFERROR(INDEX('Paramètres'!$H:$H,MATCH($C4985,'Paramètres'!$D:$D,0))&amp;"",""))</f>
        <v/>
      </c>
      <c r="T4985" s="6" t="str">
        <f>IF($K4985="","",IF($S4985="",0,IF(ISNUMBER(SEARCH("apport-exterieur",IFERROR(INDEX('Paramètres'!$N:$N,MATCH($D4985,'Paramètres'!$M:$M,0))&amp;"",""))),0,IF(OR(IFERROR(INDEX('Paramètres'!$I:$I,MATCH($C4985,'Paramètres'!$D:$D,0))&amp;"","")="Les deux",IFERROR(INDEX('Paramètres'!$I:$I,MATCH($C4985,'Paramètres'!$D:$D,0))&amp;"","")=IF($P4985=1,"Débit",$L4985)),-IF($P4985=1,-$K4985,$K4985),0))))</f>
        <v/>
      </c>
      <c r="U4985" s="6" t="str">
        <f>IF($K4985="","",IF(ISNUMBER(SEARCH("sortie-epargne",IFERROR(INDEX('Paramètres'!$N:$N,MATCH($D4985,'Paramètres'!$M:$M,0))&amp;"",""))),$K4985,0))</f>
        <v/>
      </c>
      <c r="V4985" s="6" t="str">
        <f>IF(AND($A4985&lt;&gt;"",$O4985=1,$L4985="Débit",N($Q4985)&gt;0,$A4985&gt;=Visualisation!$B$1,$A4985&lt;Visualisation!$D$1),MAX($V$1:V4984)+1,"")</f>
        <v/>
      </c>
    </row>
    <row r="4986" spans="1:22" x14ac:dyDescent="0.25">
      <c r="A4986" s="9"/>
      <c r="E4986" s="10"/>
      <c r="K4986" s="11" t="str">
        <f>IF($E4986="","",ROUND($E4986*IF(ISNA(MATCH($C4986,'Paramètres'!$D:$D,0)),1,IF(INDEX('Paramètres'!$J:$J,MATCH($C4986,'Paramètres'!$D:$D,0))="",1,INDEX('Paramètres'!$J:$J,MATCH($C4986,'Paramètres'!$D:$D,0)))),2))</f>
        <v/>
      </c>
      <c r="L4986" s="6" t="str">
        <f>IF($D4986="","",IF($F4986&lt;&gt;"",$F4986,IF(ISNA(MATCH($D4986,'Paramètres'!$M:$M,0)),"⚠ Type inconnu",IFERROR(INDEX('Paramètres'!$P:$P,MATCH($D4986,'Paramètres'!$M:$M,0))&amp;"",""))))</f>
        <v/>
      </c>
      <c r="M4986" s="6" t="str">
        <f>IF($D4986="","",IF(ISNA(MATCH($D4986,'Paramètres'!$M:$M,0)),"⚠ Type inconnu",IF($L4986="Crédit","",IFERROR(INDEX('Paramètres'!$O:$O,MATCH($D4986,'Paramètres'!$M:$M,0))&amp;"",""))))</f>
        <v/>
      </c>
      <c r="N4986" s="6" t="str">
        <f>IF($D4986="","",IFERROR(INDEX('Paramètres'!$Q:$Q,MATCH($D4986,'Paramètres'!$M:$M,0))&amp;"",""))</f>
        <v/>
      </c>
      <c r="O4986" s="6" t="str">
        <f>IF($A4986="","",IF(OR($J4986&lt;&gt;"x",$A4986&lt;=FinReleve),1,0))</f>
        <v/>
      </c>
      <c r="P4986" s="6" t="str">
        <f>IF($D4986="","",IF(AND($L4986="Crédit",OR(IFERROR(INDEX('Paramètres'!$O:$O,MATCH($D4986,'Paramètres'!$M:$M,0))&amp;"","")&lt;&gt;"",ISNUMBER(SEARCH("remboursement",IFERROR(INDEX('Paramètres'!$N:$N,MATCH($D4986,'Paramètres'!$M:$M,0))&amp;"",""))))),1,0))</f>
        <v/>
      </c>
      <c r="Q4986" s="6" t="str">
        <f>IF($K4986="","",IF(ISNUMBER(SEARCH("transfert-interne",IFERROR(INDEX('Paramètres'!$N:$N,MATCH($D4986,'Paramètres'!$M:$M,0))&amp;"",""))),0,IF($L4986="Débit",$K4986,IF($P4986=1,-$K4986,0))))</f>
        <v/>
      </c>
      <c r="R4986" s="6" t="str">
        <f>IF($K4986="","",IF($L4986="Crédit",$K4986,-$K4986))</f>
        <v/>
      </c>
      <c r="S4986" s="6" t="str">
        <f>IF($C4986="","",IFERROR(INDEX('Paramètres'!$H:$H,MATCH($C4986,'Paramètres'!$D:$D,0))&amp;"",""))</f>
        <v/>
      </c>
      <c r="T4986" s="6" t="str">
        <f>IF($K4986="","",IF($S4986="",0,IF(ISNUMBER(SEARCH("apport-exterieur",IFERROR(INDEX('Paramètres'!$N:$N,MATCH($D4986,'Paramètres'!$M:$M,0))&amp;"",""))),0,IF(OR(IFERROR(INDEX('Paramètres'!$I:$I,MATCH($C4986,'Paramètres'!$D:$D,0))&amp;"","")="Les deux",IFERROR(INDEX('Paramètres'!$I:$I,MATCH($C4986,'Paramètres'!$D:$D,0))&amp;"","")=IF($P4986=1,"Débit",$L4986)),-IF($P4986=1,-$K4986,$K4986),0))))</f>
        <v/>
      </c>
      <c r="U4986" s="6" t="str">
        <f>IF($K4986="","",IF(ISNUMBER(SEARCH("sortie-epargne",IFERROR(INDEX('Paramètres'!$N:$N,MATCH($D4986,'Paramètres'!$M:$M,0))&amp;"",""))),$K4986,0))</f>
        <v/>
      </c>
      <c r="V4986" s="6" t="str">
        <f>IF(AND($A4986&lt;&gt;"",$O4986=1,$L4986="Débit",N($Q4986)&gt;0,$A4986&gt;=Visualisation!$B$1,$A4986&lt;Visualisation!$D$1),MAX($V$1:V4985)+1,"")</f>
        <v/>
      </c>
    </row>
    <row r="4987" spans="1:22" x14ac:dyDescent="0.25">
      <c r="A4987" s="9"/>
      <c r="E4987" s="10"/>
      <c r="K4987" s="11" t="str">
        <f>IF($E4987="","",ROUND($E4987*IF(ISNA(MATCH($C4987,'Paramètres'!$D:$D,0)),1,IF(INDEX('Paramètres'!$J:$J,MATCH($C4987,'Paramètres'!$D:$D,0))="",1,INDEX('Paramètres'!$J:$J,MATCH($C4987,'Paramètres'!$D:$D,0)))),2))</f>
        <v/>
      </c>
      <c r="L4987" s="6" t="str">
        <f>IF($D4987="","",IF($F4987&lt;&gt;"",$F4987,IF(ISNA(MATCH($D4987,'Paramètres'!$M:$M,0)),"⚠ Type inconnu",IFERROR(INDEX('Paramètres'!$P:$P,MATCH($D4987,'Paramètres'!$M:$M,0))&amp;"",""))))</f>
        <v/>
      </c>
      <c r="M4987" s="6" t="str">
        <f>IF($D4987="","",IF(ISNA(MATCH($D4987,'Paramètres'!$M:$M,0)),"⚠ Type inconnu",IF($L4987="Crédit","",IFERROR(INDEX('Paramètres'!$O:$O,MATCH($D4987,'Paramètres'!$M:$M,0))&amp;"",""))))</f>
        <v/>
      </c>
      <c r="N4987" s="6" t="str">
        <f>IF($D4987="","",IFERROR(INDEX('Paramètres'!$Q:$Q,MATCH($D4987,'Paramètres'!$M:$M,0))&amp;"",""))</f>
        <v/>
      </c>
      <c r="O4987" s="6" t="str">
        <f>IF($A4987="","",IF(OR($J4987&lt;&gt;"x",$A4987&lt;=FinReleve),1,0))</f>
        <v/>
      </c>
      <c r="P4987" s="6" t="str">
        <f>IF($D4987="","",IF(AND($L4987="Crédit",OR(IFERROR(INDEX('Paramètres'!$O:$O,MATCH($D4987,'Paramètres'!$M:$M,0))&amp;"","")&lt;&gt;"",ISNUMBER(SEARCH("remboursement",IFERROR(INDEX('Paramètres'!$N:$N,MATCH($D4987,'Paramètres'!$M:$M,0))&amp;"",""))))),1,0))</f>
        <v/>
      </c>
      <c r="Q4987" s="6" t="str">
        <f>IF($K4987="","",IF(ISNUMBER(SEARCH("transfert-interne",IFERROR(INDEX('Paramètres'!$N:$N,MATCH($D4987,'Paramètres'!$M:$M,0))&amp;"",""))),0,IF($L4987="Débit",$K4987,IF($P4987=1,-$K4987,0))))</f>
        <v/>
      </c>
      <c r="R4987" s="6" t="str">
        <f>IF($K4987="","",IF($L4987="Crédit",$K4987,-$K4987))</f>
        <v/>
      </c>
      <c r="S4987" s="6" t="str">
        <f>IF($C4987="","",IFERROR(INDEX('Paramètres'!$H:$H,MATCH($C4987,'Paramètres'!$D:$D,0))&amp;"",""))</f>
        <v/>
      </c>
      <c r="T4987" s="6" t="str">
        <f>IF($K4987="","",IF($S4987="",0,IF(ISNUMBER(SEARCH("apport-exterieur",IFERROR(INDEX('Paramètres'!$N:$N,MATCH($D4987,'Paramètres'!$M:$M,0))&amp;"",""))),0,IF(OR(IFERROR(INDEX('Paramètres'!$I:$I,MATCH($C4987,'Paramètres'!$D:$D,0))&amp;"","")="Les deux",IFERROR(INDEX('Paramètres'!$I:$I,MATCH($C4987,'Paramètres'!$D:$D,0))&amp;"","")=IF($P4987=1,"Débit",$L4987)),-IF($P4987=1,-$K4987,$K4987),0))))</f>
        <v/>
      </c>
      <c r="U4987" s="6" t="str">
        <f>IF($K4987="","",IF(ISNUMBER(SEARCH("sortie-epargne",IFERROR(INDEX('Paramètres'!$N:$N,MATCH($D4987,'Paramètres'!$M:$M,0))&amp;"",""))),$K4987,0))</f>
        <v/>
      </c>
      <c r="V4987" s="6" t="str">
        <f>IF(AND($A4987&lt;&gt;"",$O4987=1,$L4987="Débit",N($Q4987)&gt;0,$A4987&gt;=Visualisation!$B$1,$A4987&lt;Visualisation!$D$1),MAX($V$1:V4986)+1,"")</f>
        <v/>
      </c>
    </row>
    <row r="4988" spans="1:22" x14ac:dyDescent="0.25">
      <c r="A4988" s="9"/>
      <c r="E4988" s="10"/>
      <c r="K4988" s="11" t="str">
        <f>IF($E4988="","",ROUND($E4988*IF(ISNA(MATCH($C4988,'Paramètres'!$D:$D,0)),1,IF(INDEX('Paramètres'!$J:$J,MATCH($C4988,'Paramètres'!$D:$D,0))="",1,INDEX('Paramètres'!$J:$J,MATCH($C4988,'Paramètres'!$D:$D,0)))),2))</f>
        <v/>
      </c>
      <c r="L4988" s="6" t="str">
        <f>IF($D4988="","",IF($F4988&lt;&gt;"",$F4988,IF(ISNA(MATCH($D4988,'Paramètres'!$M:$M,0)),"⚠ Type inconnu",IFERROR(INDEX('Paramètres'!$P:$P,MATCH($D4988,'Paramètres'!$M:$M,0))&amp;"",""))))</f>
        <v/>
      </c>
      <c r="M4988" s="6" t="str">
        <f>IF($D4988="","",IF(ISNA(MATCH($D4988,'Paramètres'!$M:$M,0)),"⚠ Type inconnu",IF($L4988="Crédit","",IFERROR(INDEX('Paramètres'!$O:$O,MATCH($D4988,'Paramètres'!$M:$M,0))&amp;"",""))))</f>
        <v/>
      </c>
      <c r="N4988" s="6" t="str">
        <f>IF($D4988="","",IFERROR(INDEX('Paramètres'!$Q:$Q,MATCH($D4988,'Paramètres'!$M:$M,0))&amp;"",""))</f>
        <v/>
      </c>
      <c r="O4988" s="6" t="str">
        <f>IF($A4988="","",IF(OR($J4988&lt;&gt;"x",$A4988&lt;=FinReleve),1,0))</f>
        <v/>
      </c>
      <c r="P4988" s="6" t="str">
        <f>IF($D4988="","",IF(AND($L4988="Crédit",OR(IFERROR(INDEX('Paramètres'!$O:$O,MATCH($D4988,'Paramètres'!$M:$M,0))&amp;"","")&lt;&gt;"",ISNUMBER(SEARCH("remboursement",IFERROR(INDEX('Paramètres'!$N:$N,MATCH($D4988,'Paramètres'!$M:$M,0))&amp;"",""))))),1,0))</f>
        <v/>
      </c>
      <c r="Q4988" s="6" t="str">
        <f>IF($K4988="","",IF(ISNUMBER(SEARCH("transfert-interne",IFERROR(INDEX('Paramètres'!$N:$N,MATCH($D4988,'Paramètres'!$M:$M,0))&amp;"",""))),0,IF($L4988="Débit",$K4988,IF($P4988=1,-$K4988,0))))</f>
        <v/>
      </c>
      <c r="R4988" s="6" t="str">
        <f>IF($K4988="","",IF($L4988="Crédit",$K4988,-$K4988))</f>
        <v/>
      </c>
      <c r="S4988" s="6" t="str">
        <f>IF($C4988="","",IFERROR(INDEX('Paramètres'!$H:$H,MATCH($C4988,'Paramètres'!$D:$D,0))&amp;"",""))</f>
        <v/>
      </c>
      <c r="T4988" s="6" t="str">
        <f>IF($K4988="","",IF($S4988="",0,IF(ISNUMBER(SEARCH("apport-exterieur",IFERROR(INDEX('Paramètres'!$N:$N,MATCH($D4988,'Paramètres'!$M:$M,0))&amp;"",""))),0,IF(OR(IFERROR(INDEX('Paramètres'!$I:$I,MATCH($C4988,'Paramètres'!$D:$D,0))&amp;"","")="Les deux",IFERROR(INDEX('Paramètres'!$I:$I,MATCH($C4988,'Paramètres'!$D:$D,0))&amp;"","")=IF($P4988=1,"Débit",$L4988)),-IF($P4988=1,-$K4988,$K4988),0))))</f>
        <v/>
      </c>
      <c r="U4988" s="6" t="str">
        <f>IF($K4988="","",IF(ISNUMBER(SEARCH("sortie-epargne",IFERROR(INDEX('Paramètres'!$N:$N,MATCH($D4988,'Paramètres'!$M:$M,0))&amp;"",""))),$K4988,0))</f>
        <v/>
      </c>
      <c r="V4988" s="6" t="str">
        <f>IF(AND($A4988&lt;&gt;"",$O4988=1,$L4988="Débit",N($Q4988)&gt;0,$A4988&gt;=Visualisation!$B$1,$A4988&lt;Visualisation!$D$1),MAX($V$1:V4987)+1,"")</f>
        <v/>
      </c>
    </row>
    <row r="4989" spans="1:22" x14ac:dyDescent="0.25">
      <c r="A4989" s="9"/>
      <c r="E4989" s="10"/>
      <c r="K4989" s="11" t="str">
        <f>IF($E4989="","",ROUND($E4989*IF(ISNA(MATCH($C4989,'Paramètres'!$D:$D,0)),1,IF(INDEX('Paramètres'!$J:$J,MATCH($C4989,'Paramètres'!$D:$D,0))="",1,INDEX('Paramètres'!$J:$J,MATCH($C4989,'Paramètres'!$D:$D,0)))),2))</f>
        <v/>
      </c>
      <c r="L4989" s="6" t="str">
        <f>IF($D4989="","",IF($F4989&lt;&gt;"",$F4989,IF(ISNA(MATCH($D4989,'Paramètres'!$M:$M,0)),"⚠ Type inconnu",IFERROR(INDEX('Paramètres'!$P:$P,MATCH($D4989,'Paramètres'!$M:$M,0))&amp;"",""))))</f>
        <v/>
      </c>
      <c r="M4989" s="6" t="str">
        <f>IF($D4989="","",IF(ISNA(MATCH($D4989,'Paramètres'!$M:$M,0)),"⚠ Type inconnu",IF($L4989="Crédit","",IFERROR(INDEX('Paramètres'!$O:$O,MATCH($D4989,'Paramètres'!$M:$M,0))&amp;"",""))))</f>
        <v/>
      </c>
      <c r="N4989" s="6" t="str">
        <f>IF($D4989="","",IFERROR(INDEX('Paramètres'!$Q:$Q,MATCH($D4989,'Paramètres'!$M:$M,0))&amp;"",""))</f>
        <v/>
      </c>
      <c r="O4989" s="6" t="str">
        <f>IF($A4989="","",IF(OR($J4989&lt;&gt;"x",$A4989&lt;=FinReleve),1,0))</f>
        <v/>
      </c>
      <c r="P4989" s="6" t="str">
        <f>IF($D4989="","",IF(AND($L4989="Crédit",OR(IFERROR(INDEX('Paramètres'!$O:$O,MATCH($D4989,'Paramètres'!$M:$M,0))&amp;"","")&lt;&gt;"",ISNUMBER(SEARCH("remboursement",IFERROR(INDEX('Paramètres'!$N:$N,MATCH($D4989,'Paramètres'!$M:$M,0))&amp;"",""))))),1,0))</f>
        <v/>
      </c>
      <c r="Q4989" s="6" t="str">
        <f>IF($K4989="","",IF(ISNUMBER(SEARCH("transfert-interne",IFERROR(INDEX('Paramètres'!$N:$N,MATCH($D4989,'Paramètres'!$M:$M,0))&amp;"",""))),0,IF($L4989="Débit",$K4989,IF($P4989=1,-$K4989,0))))</f>
        <v/>
      </c>
      <c r="R4989" s="6" t="str">
        <f>IF($K4989="","",IF($L4989="Crédit",$K4989,-$K4989))</f>
        <v/>
      </c>
      <c r="S4989" s="6" t="str">
        <f>IF($C4989="","",IFERROR(INDEX('Paramètres'!$H:$H,MATCH($C4989,'Paramètres'!$D:$D,0))&amp;"",""))</f>
        <v/>
      </c>
      <c r="T4989" s="6" t="str">
        <f>IF($K4989="","",IF($S4989="",0,IF(ISNUMBER(SEARCH("apport-exterieur",IFERROR(INDEX('Paramètres'!$N:$N,MATCH($D4989,'Paramètres'!$M:$M,0))&amp;"",""))),0,IF(OR(IFERROR(INDEX('Paramètres'!$I:$I,MATCH($C4989,'Paramètres'!$D:$D,0))&amp;"","")="Les deux",IFERROR(INDEX('Paramètres'!$I:$I,MATCH($C4989,'Paramètres'!$D:$D,0))&amp;"","")=IF($P4989=1,"Débit",$L4989)),-IF($P4989=1,-$K4989,$K4989),0))))</f>
        <v/>
      </c>
      <c r="U4989" s="6" t="str">
        <f>IF($K4989="","",IF(ISNUMBER(SEARCH("sortie-epargne",IFERROR(INDEX('Paramètres'!$N:$N,MATCH($D4989,'Paramètres'!$M:$M,0))&amp;"",""))),$K4989,0))</f>
        <v/>
      </c>
      <c r="V4989" s="6" t="str">
        <f>IF(AND($A4989&lt;&gt;"",$O4989=1,$L4989="Débit",N($Q4989)&gt;0,$A4989&gt;=Visualisation!$B$1,$A4989&lt;Visualisation!$D$1),MAX($V$1:V4988)+1,"")</f>
        <v/>
      </c>
    </row>
    <row r="4990" spans="1:22" x14ac:dyDescent="0.25">
      <c r="A4990" s="9"/>
      <c r="E4990" s="10"/>
      <c r="K4990" s="11" t="str">
        <f>IF($E4990="","",ROUND($E4990*IF(ISNA(MATCH($C4990,'Paramètres'!$D:$D,0)),1,IF(INDEX('Paramètres'!$J:$J,MATCH($C4990,'Paramètres'!$D:$D,0))="",1,INDEX('Paramètres'!$J:$J,MATCH($C4990,'Paramètres'!$D:$D,0)))),2))</f>
        <v/>
      </c>
      <c r="L4990" s="6" t="str">
        <f>IF($D4990="","",IF($F4990&lt;&gt;"",$F4990,IF(ISNA(MATCH($D4990,'Paramètres'!$M:$M,0)),"⚠ Type inconnu",IFERROR(INDEX('Paramètres'!$P:$P,MATCH($D4990,'Paramètres'!$M:$M,0))&amp;"",""))))</f>
        <v/>
      </c>
      <c r="M4990" s="6" t="str">
        <f>IF($D4990="","",IF(ISNA(MATCH($D4990,'Paramètres'!$M:$M,0)),"⚠ Type inconnu",IF($L4990="Crédit","",IFERROR(INDEX('Paramètres'!$O:$O,MATCH($D4990,'Paramètres'!$M:$M,0))&amp;"",""))))</f>
        <v/>
      </c>
      <c r="N4990" s="6" t="str">
        <f>IF($D4990="","",IFERROR(INDEX('Paramètres'!$Q:$Q,MATCH($D4990,'Paramètres'!$M:$M,0))&amp;"",""))</f>
        <v/>
      </c>
      <c r="O4990" s="6" t="str">
        <f>IF($A4990="","",IF(OR($J4990&lt;&gt;"x",$A4990&lt;=FinReleve),1,0))</f>
        <v/>
      </c>
      <c r="P4990" s="6" t="str">
        <f>IF($D4990="","",IF(AND($L4990="Crédit",OR(IFERROR(INDEX('Paramètres'!$O:$O,MATCH($D4990,'Paramètres'!$M:$M,0))&amp;"","")&lt;&gt;"",ISNUMBER(SEARCH("remboursement",IFERROR(INDEX('Paramètres'!$N:$N,MATCH($D4990,'Paramètres'!$M:$M,0))&amp;"",""))))),1,0))</f>
        <v/>
      </c>
      <c r="Q4990" s="6" t="str">
        <f>IF($K4990="","",IF(ISNUMBER(SEARCH("transfert-interne",IFERROR(INDEX('Paramètres'!$N:$N,MATCH($D4990,'Paramètres'!$M:$M,0))&amp;"",""))),0,IF($L4990="Débit",$K4990,IF($P4990=1,-$K4990,0))))</f>
        <v/>
      </c>
      <c r="R4990" s="6" t="str">
        <f>IF($K4990="","",IF($L4990="Crédit",$K4990,-$K4990))</f>
        <v/>
      </c>
      <c r="S4990" s="6" t="str">
        <f>IF($C4990="","",IFERROR(INDEX('Paramètres'!$H:$H,MATCH($C4990,'Paramètres'!$D:$D,0))&amp;"",""))</f>
        <v/>
      </c>
      <c r="T4990" s="6" t="str">
        <f>IF($K4990="","",IF($S4990="",0,IF(ISNUMBER(SEARCH("apport-exterieur",IFERROR(INDEX('Paramètres'!$N:$N,MATCH($D4990,'Paramètres'!$M:$M,0))&amp;"",""))),0,IF(OR(IFERROR(INDEX('Paramètres'!$I:$I,MATCH($C4990,'Paramètres'!$D:$D,0))&amp;"","")="Les deux",IFERROR(INDEX('Paramètres'!$I:$I,MATCH($C4990,'Paramètres'!$D:$D,0))&amp;"","")=IF($P4990=1,"Débit",$L4990)),-IF($P4990=1,-$K4990,$K4990),0))))</f>
        <v/>
      </c>
      <c r="U4990" s="6" t="str">
        <f>IF($K4990="","",IF(ISNUMBER(SEARCH("sortie-epargne",IFERROR(INDEX('Paramètres'!$N:$N,MATCH($D4990,'Paramètres'!$M:$M,0))&amp;"",""))),$K4990,0))</f>
        <v/>
      </c>
      <c r="V4990" s="6" t="str">
        <f>IF(AND($A4990&lt;&gt;"",$O4990=1,$L4990="Débit",N($Q4990)&gt;0,$A4990&gt;=Visualisation!$B$1,$A4990&lt;Visualisation!$D$1),MAX($V$1:V4989)+1,"")</f>
        <v/>
      </c>
    </row>
    <row r="4991" spans="1:22" x14ac:dyDescent="0.25">
      <c r="A4991" s="9"/>
      <c r="E4991" s="10"/>
      <c r="K4991" s="11" t="str">
        <f>IF($E4991="","",ROUND($E4991*IF(ISNA(MATCH($C4991,'Paramètres'!$D:$D,0)),1,IF(INDEX('Paramètres'!$J:$J,MATCH($C4991,'Paramètres'!$D:$D,0))="",1,INDEX('Paramètres'!$J:$J,MATCH($C4991,'Paramètres'!$D:$D,0)))),2))</f>
        <v/>
      </c>
      <c r="L4991" s="6" t="str">
        <f>IF($D4991="","",IF($F4991&lt;&gt;"",$F4991,IF(ISNA(MATCH($D4991,'Paramètres'!$M:$M,0)),"⚠ Type inconnu",IFERROR(INDEX('Paramètres'!$P:$P,MATCH($D4991,'Paramètres'!$M:$M,0))&amp;"",""))))</f>
        <v/>
      </c>
      <c r="M4991" s="6" t="str">
        <f>IF($D4991="","",IF(ISNA(MATCH($D4991,'Paramètres'!$M:$M,0)),"⚠ Type inconnu",IF($L4991="Crédit","",IFERROR(INDEX('Paramètres'!$O:$O,MATCH($D4991,'Paramètres'!$M:$M,0))&amp;"",""))))</f>
        <v/>
      </c>
      <c r="N4991" s="6" t="str">
        <f>IF($D4991="","",IFERROR(INDEX('Paramètres'!$Q:$Q,MATCH($D4991,'Paramètres'!$M:$M,0))&amp;"",""))</f>
        <v/>
      </c>
      <c r="O4991" s="6" t="str">
        <f>IF($A4991="","",IF(OR($J4991&lt;&gt;"x",$A4991&lt;=FinReleve),1,0))</f>
        <v/>
      </c>
      <c r="P4991" s="6" t="str">
        <f>IF($D4991="","",IF(AND($L4991="Crédit",OR(IFERROR(INDEX('Paramètres'!$O:$O,MATCH($D4991,'Paramètres'!$M:$M,0))&amp;"","")&lt;&gt;"",ISNUMBER(SEARCH("remboursement",IFERROR(INDEX('Paramètres'!$N:$N,MATCH($D4991,'Paramètres'!$M:$M,0))&amp;"",""))))),1,0))</f>
        <v/>
      </c>
      <c r="Q4991" s="6" t="str">
        <f>IF($K4991="","",IF(ISNUMBER(SEARCH("transfert-interne",IFERROR(INDEX('Paramètres'!$N:$N,MATCH($D4991,'Paramètres'!$M:$M,0))&amp;"",""))),0,IF($L4991="Débit",$K4991,IF($P4991=1,-$K4991,0))))</f>
        <v/>
      </c>
      <c r="R4991" s="6" t="str">
        <f>IF($K4991="","",IF($L4991="Crédit",$K4991,-$K4991))</f>
        <v/>
      </c>
      <c r="S4991" s="6" t="str">
        <f>IF($C4991="","",IFERROR(INDEX('Paramètres'!$H:$H,MATCH($C4991,'Paramètres'!$D:$D,0))&amp;"",""))</f>
        <v/>
      </c>
      <c r="T4991" s="6" t="str">
        <f>IF($K4991="","",IF($S4991="",0,IF(ISNUMBER(SEARCH("apport-exterieur",IFERROR(INDEX('Paramètres'!$N:$N,MATCH($D4991,'Paramètres'!$M:$M,0))&amp;"",""))),0,IF(OR(IFERROR(INDEX('Paramètres'!$I:$I,MATCH($C4991,'Paramètres'!$D:$D,0))&amp;"","")="Les deux",IFERROR(INDEX('Paramètres'!$I:$I,MATCH($C4991,'Paramètres'!$D:$D,0))&amp;"","")=IF($P4991=1,"Débit",$L4991)),-IF($P4991=1,-$K4991,$K4991),0))))</f>
        <v/>
      </c>
      <c r="U4991" s="6" t="str">
        <f>IF($K4991="","",IF(ISNUMBER(SEARCH("sortie-epargne",IFERROR(INDEX('Paramètres'!$N:$N,MATCH($D4991,'Paramètres'!$M:$M,0))&amp;"",""))),$K4991,0))</f>
        <v/>
      </c>
      <c r="V4991" s="6" t="str">
        <f>IF(AND($A4991&lt;&gt;"",$O4991=1,$L4991="Débit",N($Q4991)&gt;0,$A4991&gt;=Visualisation!$B$1,$A4991&lt;Visualisation!$D$1),MAX($V$1:V4990)+1,"")</f>
        <v/>
      </c>
    </row>
    <row r="4992" spans="1:22" x14ac:dyDescent="0.25">
      <c r="A4992" s="9"/>
      <c r="E4992" s="10"/>
      <c r="K4992" s="11" t="str">
        <f>IF($E4992="","",ROUND($E4992*IF(ISNA(MATCH($C4992,'Paramètres'!$D:$D,0)),1,IF(INDEX('Paramètres'!$J:$J,MATCH($C4992,'Paramètres'!$D:$D,0))="",1,INDEX('Paramètres'!$J:$J,MATCH($C4992,'Paramètres'!$D:$D,0)))),2))</f>
        <v/>
      </c>
      <c r="L4992" s="6" t="str">
        <f>IF($D4992="","",IF($F4992&lt;&gt;"",$F4992,IF(ISNA(MATCH($D4992,'Paramètres'!$M:$M,0)),"⚠ Type inconnu",IFERROR(INDEX('Paramètres'!$P:$P,MATCH($D4992,'Paramètres'!$M:$M,0))&amp;"",""))))</f>
        <v/>
      </c>
      <c r="M4992" s="6" t="str">
        <f>IF($D4992="","",IF(ISNA(MATCH($D4992,'Paramètres'!$M:$M,0)),"⚠ Type inconnu",IF($L4992="Crédit","",IFERROR(INDEX('Paramètres'!$O:$O,MATCH($D4992,'Paramètres'!$M:$M,0))&amp;"",""))))</f>
        <v/>
      </c>
      <c r="N4992" s="6" t="str">
        <f>IF($D4992="","",IFERROR(INDEX('Paramètres'!$Q:$Q,MATCH($D4992,'Paramètres'!$M:$M,0))&amp;"",""))</f>
        <v/>
      </c>
      <c r="O4992" s="6" t="str">
        <f>IF($A4992="","",IF(OR($J4992&lt;&gt;"x",$A4992&lt;=FinReleve),1,0))</f>
        <v/>
      </c>
      <c r="P4992" s="6" t="str">
        <f>IF($D4992="","",IF(AND($L4992="Crédit",OR(IFERROR(INDEX('Paramètres'!$O:$O,MATCH($D4992,'Paramètres'!$M:$M,0))&amp;"","")&lt;&gt;"",ISNUMBER(SEARCH("remboursement",IFERROR(INDEX('Paramètres'!$N:$N,MATCH($D4992,'Paramètres'!$M:$M,0))&amp;"",""))))),1,0))</f>
        <v/>
      </c>
      <c r="Q4992" s="6" t="str">
        <f>IF($K4992="","",IF(ISNUMBER(SEARCH("transfert-interne",IFERROR(INDEX('Paramètres'!$N:$N,MATCH($D4992,'Paramètres'!$M:$M,0))&amp;"",""))),0,IF($L4992="Débit",$K4992,IF($P4992=1,-$K4992,0))))</f>
        <v/>
      </c>
      <c r="R4992" s="6" t="str">
        <f>IF($K4992="","",IF($L4992="Crédit",$K4992,-$K4992))</f>
        <v/>
      </c>
      <c r="S4992" s="6" t="str">
        <f>IF($C4992="","",IFERROR(INDEX('Paramètres'!$H:$H,MATCH($C4992,'Paramètres'!$D:$D,0))&amp;"",""))</f>
        <v/>
      </c>
      <c r="T4992" s="6" t="str">
        <f>IF($K4992="","",IF($S4992="",0,IF(ISNUMBER(SEARCH("apport-exterieur",IFERROR(INDEX('Paramètres'!$N:$N,MATCH($D4992,'Paramètres'!$M:$M,0))&amp;"",""))),0,IF(OR(IFERROR(INDEX('Paramètres'!$I:$I,MATCH($C4992,'Paramètres'!$D:$D,0))&amp;"","")="Les deux",IFERROR(INDEX('Paramètres'!$I:$I,MATCH($C4992,'Paramètres'!$D:$D,0))&amp;"","")=IF($P4992=1,"Débit",$L4992)),-IF($P4992=1,-$K4992,$K4992),0))))</f>
        <v/>
      </c>
      <c r="U4992" s="6" t="str">
        <f>IF($K4992="","",IF(ISNUMBER(SEARCH("sortie-epargne",IFERROR(INDEX('Paramètres'!$N:$N,MATCH($D4992,'Paramètres'!$M:$M,0))&amp;"",""))),$K4992,0))</f>
        <v/>
      </c>
      <c r="V4992" s="6" t="str">
        <f>IF(AND($A4992&lt;&gt;"",$O4992=1,$L4992="Débit",N($Q4992)&gt;0,$A4992&gt;=Visualisation!$B$1,$A4992&lt;Visualisation!$D$1),MAX($V$1:V4991)+1,"")</f>
        <v/>
      </c>
    </row>
    <row r="4993" spans="1:22" x14ac:dyDescent="0.25">
      <c r="A4993" s="9"/>
      <c r="E4993" s="10"/>
      <c r="K4993" s="11" t="str">
        <f>IF($E4993="","",ROUND($E4993*IF(ISNA(MATCH($C4993,'Paramètres'!$D:$D,0)),1,IF(INDEX('Paramètres'!$J:$J,MATCH($C4993,'Paramètres'!$D:$D,0))="",1,INDEX('Paramètres'!$J:$J,MATCH($C4993,'Paramètres'!$D:$D,0)))),2))</f>
        <v/>
      </c>
      <c r="L4993" s="6" t="str">
        <f>IF($D4993="","",IF($F4993&lt;&gt;"",$F4993,IF(ISNA(MATCH($D4993,'Paramètres'!$M:$M,0)),"⚠ Type inconnu",IFERROR(INDEX('Paramètres'!$P:$P,MATCH($D4993,'Paramètres'!$M:$M,0))&amp;"",""))))</f>
        <v/>
      </c>
      <c r="M4993" s="6" t="str">
        <f>IF($D4993="","",IF(ISNA(MATCH($D4993,'Paramètres'!$M:$M,0)),"⚠ Type inconnu",IF($L4993="Crédit","",IFERROR(INDEX('Paramètres'!$O:$O,MATCH($D4993,'Paramètres'!$M:$M,0))&amp;"",""))))</f>
        <v/>
      </c>
      <c r="N4993" s="6" t="str">
        <f>IF($D4993="","",IFERROR(INDEX('Paramètres'!$Q:$Q,MATCH($D4993,'Paramètres'!$M:$M,0))&amp;"",""))</f>
        <v/>
      </c>
      <c r="O4993" s="6" t="str">
        <f>IF($A4993="","",IF(OR($J4993&lt;&gt;"x",$A4993&lt;=FinReleve),1,0))</f>
        <v/>
      </c>
      <c r="P4993" s="6" t="str">
        <f>IF($D4993="","",IF(AND($L4993="Crédit",OR(IFERROR(INDEX('Paramètres'!$O:$O,MATCH($D4993,'Paramètres'!$M:$M,0))&amp;"","")&lt;&gt;"",ISNUMBER(SEARCH("remboursement",IFERROR(INDEX('Paramètres'!$N:$N,MATCH($D4993,'Paramètres'!$M:$M,0))&amp;"",""))))),1,0))</f>
        <v/>
      </c>
      <c r="Q4993" s="6" t="str">
        <f>IF($K4993="","",IF(ISNUMBER(SEARCH("transfert-interne",IFERROR(INDEX('Paramètres'!$N:$N,MATCH($D4993,'Paramètres'!$M:$M,0))&amp;"",""))),0,IF($L4993="Débit",$K4993,IF($P4993=1,-$K4993,0))))</f>
        <v/>
      </c>
      <c r="R4993" s="6" t="str">
        <f>IF($K4993="","",IF($L4993="Crédit",$K4993,-$K4993))</f>
        <v/>
      </c>
      <c r="S4993" s="6" t="str">
        <f>IF($C4993="","",IFERROR(INDEX('Paramètres'!$H:$H,MATCH($C4993,'Paramètres'!$D:$D,0))&amp;"",""))</f>
        <v/>
      </c>
      <c r="T4993" s="6" t="str">
        <f>IF($K4993="","",IF($S4993="",0,IF(ISNUMBER(SEARCH("apport-exterieur",IFERROR(INDEX('Paramètres'!$N:$N,MATCH($D4993,'Paramètres'!$M:$M,0))&amp;"",""))),0,IF(OR(IFERROR(INDEX('Paramètres'!$I:$I,MATCH($C4993,'Paramètres'!$D:$D,0))&amp;"","")="Les deux",IFERROR(INDEX('Paramètres'!$I:$I,MATCH($C4993,'Paramètres'!$D:$D,0))&amp;"","")=IF($P4993=1,"Débit",$L4993)),-IF($P4993=1,-$K4993,$K4993),0))))</f>
        <v/>
      </c>
      <c r="U4993" s="6" t="str">
        <f>IF($K4993="","",IF(ISNUMBER(SEARCH("sortie-epargne",IFERROR(INDEX('Paramètres'!$N:$N,MATCH($D4993,'Paramètres'!$M:$M,0))&amp;"",""))),$K4993,0))</f>
        <v/>
      </c>
      <c r="V4993" s="6" t="str">
        <f>IF(AND($A4993&lt;&gt;"",$O4993=1,$L4993="Débit",N($Q4993)&gt;0,$A4993&gt;=Visualisation!$B$1,$A4993&lt;Visualisation!$D$1),MAX($V$1:V4992)+1,"")</f>
        <v/>
      </c>
    </row>
    <row r="4994" spans="1:22" x14ac:dyDescent="0.25">
      <c r="A4994" s="9"/>
      <c r="E4994" s="10"/>
      <c r="K4994" s="11" t="str">
        <f>IF($E4994="","",ROUND($E4994*IF(ISNA(MATCH($C4994,'Paramètres'!$D:$D,0)),1,IF(INDEX('Paramètres'!$J:$J,MATCH($C4994,'Paramètres'!$D:$D,0))="",1,INDEX('Paramètres'!$J:$J,MATCH($C4994,'Paramètres'!$D:$D,0)))),2))</f>
        <v/>
      </c>
      <c r="L4994" s="6" t="str">
        <f>IF($D4994="","",IF($F4994&lt;&gt;"",$F4994,IF(ISNA(MATCH($D4994,'Paramètres'!$M:$M,0)),"⚠ Type inconnu",IFERROR(INDEX('Paramètres'!$P:$P,MATCH($D4994,'Paramètres'!$M:$M,0))&amp;"",""))))</f>
        <v/>
      </c>
      <c r="M4994" s="6" t="str">
        <f>IF($D4994="","",IF(ISNA(MATCH($D4994,'Paramètres'!$M:$M,0)),"⚠ Type inconnu",IF($L4994="Crédit","",IFERROR(INDEX('Paramètres'!$O:$O,MATCH($D4994,'Paramètres'!$M:$M,0))&amp;"",""))))</f>
        <v/>
      </c>
      <c r="N4994" s="6" t="str">
        <f>IF($D4994="","",IFERROR(INDEX('Paramètres'!$Q:$Q,MATCH($D4994,'Paramètres'!$M:$M,0))&amp;"",""))</f>
        <v/>
      </c>
      <c r="O4994" s="6" t="str">
        <f>IF($A4994="","",IF(OR($J4994&lt;&gt;"x",$A4994&lt;=FinReleve),1,0))</f>
        <v/>
      </c>
      <c r="P4994" s="6" t="str">
        <f>IF($D4994="","",IF(AND($L4994="Crédit",OR(IFERROR(INDEX('Paramètres'!$O:$O,MATCH($D4994,'Paramètres'!$M:$M,0))&amp;"","")&lt;&gt;"",ISNUMBER(SEARCH("remboursement",IFERROR(INDEX('Paramètres'!$N:$N,MATCH($D4994,'Paramètres'!$M:$M,0))&amp;"",""))))),1,0))</f>
        <v/>
      </c>
      <c r="Q4994" s="6" t="str">
        <f>IF($K4994="","",IF(ISNUMBER(SEARCH("transfert-interne",IFERROR(INDEX('Paramètres'!$N:$N,MATCH($D4994,'Paramètres'!$M:$M,0))&amp;"",""))),0,IF($L4994="Débit",$K4994,IF($P4994=1,-$K4994,0))))</f>
        <v/>
      </c>
      <c r="R4994" s="6" t="str">
        <f>IF($K4994="","",IF($L4994="Crédit",$K4994,-$K4994))</f>
        <v/>
      </c>
      <c r="S4994" s="6" t="str">
        <f>IF($C4994="","",IFERROR(INDEX('Paramètres'!$H:$H,MATCH($C4994,'Paramètres'!$D:$D,0))&amp;"",""))</f>
        <v/>
      </c>
      <c r="T4994" s="6" t="str">
        <f>IF($K4994="","",IF($S4994="",0,IF(ISNUMBER(SEARCH("apport-exterieur",IFERROR(INDEX('Paramètres'!$N:$N,MATCH($D4994,'Paramètres'!$M:$M,0))&amp;"",""))),0,IF(OR(IFERROR(INDEX('Paramètres'!$I:$I,MATCH($C4994,'Paramètres'!$D:$D,0))&amp;"","")="Les deux",IFERROR(INDEX('Paramètres'!$I:$I,MATCH($C4994,'Paramètres'!$D:$D,0))&amp;"","")=IF($P4994=1,"Débit",$L4994)),-IF($P4994=1,-$K4994,$K4994),0))))</f>
        <v/>
      </c>
      <c r="U4994" s="6" t="str">
        <f>IF($K4994="","",IF(ISNUMBER(SEARCH("sortie-epargne",IFERROR(INDEX('Paramètres'!$N:$N,MATCH($D4994,'Paramètres'!$M:$M,0))&amp;"",""))),$K4994,0))</f>
        <v/>
      </c>
      <c r="V4994" s="6" t="str">
        <f>IF(AND($A4994&lt;&gt;"",$O4994=1,$L4994="Débit",N($Q4994)&gt;0,$A4994&gt;=Visualisation!$B$1,$A4994&lt;Visualisation!$D$1),MAX($V$1:V4993)+1,"")</f>
        <v/>
      </c>
    </row>
    <row r="4995" spans="1:22" x14ac:dyDescent="0.25">
      <c r="A4995" s="9"/>
      <c r="E4995" s="10"/>
      <c r="K4995" s="11" t="str">
        <f>IF($E4995="","",ROUND($E4995*IF(ISNA(MATCH($C4995,'Paramètres'!$D:$D,0)),1,IF(INDEX('Paramètres'!$J:$J,MATCH($C4995,'Paramètres'!$D:$D,0))="",1,INDEX('Paramètres'!$J:$J,MATCH($C4995,'Paramètres'!$D:$D,0)))),2))</f>
        <v/>
      </c>
      <c r="L4995" s="6" t="str">
        <f>IF($D4995="","",IF($F4995&lt;&gt;"",$F4995,IF(ISNA(MATCH($D4995,'Paramètres'!$M:$M,0)),"⚠ Type inconnu",IFERROR(INDEX('Paramètres'!$P:$P,MATCH($D4995,'Paramètres'!$M:$M,0))&amp;"",""))))</f>
        <v/>
      </c>
      <c r="M4995" s="6" t="str">
        <f>IF($D4995="","",IF(ISNA(MATCH($D4995,'Paramètres'!$M:$M,0)),"⚠ Type inconnu",IF($L4995="Crédit","",IFERROR(INDEX('Paramètres'!$O:$O,MATCH($D4995,'Paramètres'!$M:$M,0))&amp;"",""))))</f>
        <v/>
      </c>
      <c r="N4995" s="6" t="str">
        <f>IF($D4995="","",IFERROR(INDEX('Paramètres'!$Q:$Q,MATCH($D4995,'Paramètres'!$M:$M,0))&amp;"",""))</f>
        <v/>
      </c>
      <c r="O4995" s="6" t="str">
        <f>IF($A4995="","",IF(OR($J4995&lt;&gt;"x",$A4995&lt;=FinReleve),1,0))</f>
        <v/>
      </c>
      <c r="P4995" s="6" t="str">
        <f>IF($D4995="","",IF(AND($L4995="Crédit",OR(IFERROR(INDEX('Paramètres'!$O:$O,MATCH($D4995,'Paramètres'!$M:$M,0))&amp;"","")&lt;&gt;"",ISNUMBER(SEARCH("remboursement",IFERROR(INDEX('Paramètres'!$N:$N,MATCH($D4995,'Paramètres'!$M:$M,0))&amp;"",""))))),1,0))</f>
        <v/>
      </c>
      <c r="Q4995" s="6" t="str">
        <f>IF($K4995="","",IF(ISNUMBER(SEARCH("transfert-interne",IFERROR(INDEX('Paramètres'!$N:$N,MATCH($D4995,'Paramètres'!$M:$M,0))&amp;"",""))),0,IF($L4995="Débit",$K4995,IF($P4995=1,-$K4995,0))))</f>
        <v/>
      </c>
      <c r="R4995" s="6" t="str">
        <f>IF($K4995="","",IF($L4995="Crédit",$K4995,-$K4995))</f>
        <v/>
      </c>
      <c r="S4995" s="6" t="str">
        <f>IF($C4995="","",IFERROR(INDEX('Paramètres'!$H:$H,MATCH($C4995,'Paramètres'!$D:$D,0))&amp;"",""))</f>
        <v/>
      </c>
      <c r="T4995" s="6" t="str">
        <f>IF($K4995="","",IF($S4995="",0,IF(ISNUMBER(SEARCH("apport-exterieur",IFERROR(INDEX('Paramètres'!$N:$N,MATCH($D4995,'Paramètres'!$M:$M,0))&amp;"",""))),0,IF(OR(IFERROR(INDEX('Paramètres'!$I:$I,MATCH($C4995,'Paramètres'!$D:$D,0))&amp;"","")="Les deux",IFERROR(INDEX('Paramètres'!$I:$I,MATCH($C4995,'Paramètres'!$D:$D,0))&amp;"","")=IF($P4995=1,"Débit",$L4995)),-IF($P4995=1,-$K4995,$K4995),0))))</f>
        <v/>
      </c>
      <c r="U4995" s="6" t="str">
        <f>IF($K4995="","",IF(ISNUMBER(SEARCH("sortie-epargne",IFERROR(INDEX('Paramètres'!$N:$N,MATCH($D4995,'Paramètres'!$M:$M,0))&amp;"",""))),$K4995,0))</f>
        <v/>
      </c>
      <c r="V4995" s="6" t="str">
        <f>IF(AND($A4995&lt;&gt;"",$O4995=1,$L4995="Débit",N($Q4995)&gt;0,$A4995&gt;=Visualisation!$B$1,$A4995&lt;Visualisation!$D$1),MAX($V$1:V4994)+1,"")</f>
        <v/>
      </c>
    </row>
    <row r="4996" spans="1:22" x14ac:dyDescent="0.25">
      <c r="A4996" s="9"/>
      <c r="E4996" s="10"/>
      <c r="K4996" s="11" t="str">
        <f>IF($E4996="","",ROUND($E4996*IF(ISNA(MATCH($C4996,'Paramètres'!$D:$D,0)),1,IF(INDEX('Paramètres'!$J:$J,MATCH($C4996,'Paramètres'!$D:$D,0))="",1,INDEX('Paramètres'!$J:$J,MATCH($C4996,'Paramètres'!$D:$D,0)))),2))</f>
        <v/>
      </c>
      <c r="L4996" s="6" t="str">
        <f>IF($D4996="","",IF($F4996&lt;&gt;"",$F4996,IF(ISNA(MATCH($D4996,'Paramètres'!$M:$M,0)),"⚠ Type inconnu",IFERROR(INDEX('Paramètres'!$P:$P,MATCH($D4996,'Paramètres'!$M:$M,0))&amp;"",""))))</f>
        <v/>
      </c>
      <c r="M4996" s="6" t="str">
        <f>IF($D4996="","",IF(ISNA(MATCH($D4996,'Paramètres'!$M:$M,0)),"⚠ Type inconnu",IF($L4996="Crédit","",IFERROR(INDEX('Paramètres'!$O:$O,MATCH($D4996,'Paramètres'!$M:$M,0))&amp;"",""))))</f>
        <v/>
      </c>
      <c r="N4996" s="6" t="str">
        <f>IF($D4996="","",IFERROR(INDEX('Paramètres'!$Q:$Q,MATCH($D4996,'Paramètres'!$M:$M,0))&amp;"",""))</f>
        <v/>
      </c>
      <c r="O4996" s="6" t="str">
        <f>IF($A4996="","",IF(OR($J4996&lt;&gt;"x",$A4996&lt;=FinReleve),1,0))</f>
        <v/>
      </c>
      <c r="P4996" s="6" t="str">
        <f>IF($D4996="","",IF(AND($L4996="Crédit",OR(IFERROR(INDEX('Paramètres'!$O:$O,MATCH($D4996,'Paramètres'!$M:$M,0))&amp;"","")&lt;&gt;"",ISNUMBER(SEARCH("remboursement",IFERROR(INDEX('Paramètres'!$N:$N,MATCH($D4996,'Paramètres'!$M:$M,0))&amp;"",""))))),1,0))</f>
        <v/>
      </c>
      <c r="Q4996" s="6" t="str">
        <f>IF($K4996="","",IF(ISNUMBER(SEARCH("transfert-interne",IFERROR(INDEX('Paramètres'!$N:$N,MATCH($D4996,'Paramètres'!$M:$M,0))&amp;"",""))),0,IF($L4996="Débit",$K4996,IF($P4996=1,-$K4996,0))))</f>
        <v/>
      </c>
      <c r="R4996" s="6" t="str">
        <f>IF($K4996="","",IF($L4996="Crédit",$K4996,-$K4996))</f>
        <v/>
      </c>
      <c r="S4996" s="6" t="str">
        <f>IF($C4996="","",IFERROR(INDEX('Paramètres'!$H:$H,MATCH($C4996,'Paramètres'!$D:$D,0))&amp;"",""))</f>
        <v/>
      </c>
      <c r="T4996" s="6" t="str">
        <f>IF($K4996="","",IF($S4996="",0,IF(ISNUMBER(SEARCH("apport-exterieur",IFERROR(INDEX('Paramètres'!$N:$N,MATCH($D4996,'Paramètres'!$M:$M,0))&amp;"",""))),0,IF(OR(IFERROR(INDEX('Paramètres'!$I:$I,MATCH($C4996,'Paramètres'!$D:$D,0))&amp;"","")="Les deux",IFERROR(INDEX('Paramètres'!$I:$I,MATCH($C4996,'Paramètres'!$D:$D,0))&amp;"","")=IF($P4996=1,"Débit",$L4996)),-IF($P4996=1,-$K4996,$K4996),0))))</f>
        <v/>
      </c>
      <c r="U4996" s="6" t="str">
        <f>IF($K4996="","",IF(ISNUMBER(SEARCH("sortie-epargne",IFERROR(INDEX('Paramètres'!$N:$N,MATCH($D4996,'Paramètres'!$M:$M,0))&amp;"",""))),$K4996,0))</f>
        <v/>
      </c>
      <c r="V4996" s="6" t="str">
        <f>IF(AND($A4996&lt;&gt;"",$O4996=1,$L4996="Débit",N($Q4996)&gt;0,$A4996&gt;=Visualisation!$B$1,$A4996&lt;Visualisation!$D$1),MAX($V$1:V4995)+1,"")</f>
        <v/>
      </c>
    </row>
    <row r="4997" spans="1:22" x14ac:dyDescent="0.25">
      <c r="A4997" s="9"/>
      <c r="E4997" s="10"/>
      <c r="K4997" s="11" t="str">
        <f>IF($E4997="","",ROUND($E4997*IF(ISNA(MATCH($C4997,'Paramètres'!$D:$D,0)),1,IF(INDEX('Paramètres'!$J:$J,MATCH($C4997,'Paramètres'!$D:$D,0))="",1,INDEX('Paramètres'!$J:$J,MATCH($C4997,'Paramètres'!$D:$D,0)))),2))</f>
        <v/>
      </c>
      <c r="L4997" s="6" t="str">
        <f>IF($D4997="","",IF($F4997&lt;&gt;"",$F4997,IF(ISNA(MATCH($D4997,'Paramètres'!$M:$M,0)),"⚠ Type inconnu",IFERROR(INDEX('Paramètres'!$P:$P,MATCH($D4997,'Paramètres'!$M:$M,0))&amp;"",""))))</f>
        <v/>
      </c>
      <c r="M4997" s="6" t="str">
        <f>IF($D4997="","",IF(ISNA(MATCH($D4997,'Paramètres'!$M:$M,0)),"⚠ Type inconnu",IF($L4997="Crédit","",IFERROR(INDEX('Paramètres'!$O:$O,MATCH($D4997,'Paramètres'!$M:$M,0))&amp;"",""))))</f>
        <v/>
      </c>
      <c r="N4997" s="6" t="str">
        <f>IF($D4997="","",IFERROR(INDEX('Paramètres'!$Q:$Q,MATCH($D4997,'Paramètres'!$M:$M,0))&amp;"",""))</f>
        <v/>
      </c>
      <c r="O4997" s="6" t="str">
        <f>IF($A4997="","",IF(OR($J4997&lt;&gt;"x",$A4997&lt;=FinReleve),1,0))</f>
        <v/>
      </c>
      <c r="P4997" s="6" t="str">
        <f>IF($D4997="","",IF(AND($L4997="Crédit",OR(IFERROR(INDEX('Paramètres'!$O:$O,MATCH($D4997,'Paramètres'!$M:$M,0))&amp;"","")&lt;&gt;"",ISNUMBER(SEARCH("remboursement",IFERROR(INDEX('Paramètres'!$N:$N,MATCH($D4997,'Paramètres'!$M:$M,0))&amp;"",""))))),1,0))</f>
        <v/>
      </c>
      <c r="Q4997" s="6" t="str">
        <f>IF($K4997="","",IF(ISNUMBER(SEARCH("transfert-interne",IFERROR(INDEX('Paramètres'!$N:$N,MATCH($D4997,'Paramètres'!$M:$M,0))&amp;"",""))),0,IF($L4997="Débit",$K4997,IF($P4997=1,-$K4997,0))))</f>
        <v/>
      </c>
      <c r="R4997" s="6" t="str">
        <f>IF($K4997="","",IF($L4997="Crédit",$K4997,-$K4997))</f>
        <v/>
      </c>
      <c r="S4997" s="6" t="str">
        <f>IF($C4997="","",IFERROR(INDEX('Paramètres'!$H:$H,MATCH($C4997,'Paramètres'!$D:$D,0))&amp;"",""))</f>
        <v/>
      </c>
      <c r="T4997" s="6" t="str">
        <f>IF($K4997="","",IF($S4997="",0,IF(ISNUMBER(SEARCH("apport-exterieur",IFERROR(INDEX('Paramètres'!$N:$N,MATCH($D4997,'Paramètres'!$M:$M,0))&amp;"",""))),0,IF(OR(IFERROR(INDEX('Paramètres'!$I:$I,MATCH($C4997,'Paramètres'!$D:$D,0))&amp;"","")="Les deux",IFERROR(INDEX('Paramètres'!$I:$I,MATCH($C4997,'Paramètres'!$D:$D,0))&amp;"","")=IF($P4997=1,"Débit",$L4997)),-IF($P4997=1,-$K4997,$K4997),0))))</f>
        <v/>
      </c>
      <c r="U4997" s="6" t="str">
        <f>IF($K4997="","",IF(ISNUMBER(SEARCH("sortie-epargne",IFERROR(INDEX('Paramètres'!$N:$N,MATCH($D4997,'Paramètres'!$M:$M,0))&amp;"",""))),$K4997,0))</f>
        <v/>
      </c>
      <c r="V4997" s="6" t="str">
        <f>IF(AND($A4997&lt;&gt;"",$O4997=1,$L4997="Débit",N($Q4997)&gt;0,$A4997&gt;=Visualisation!$B$1,$A4997&lt;Visualisation!$D$1),MAX($V$1:V4996)+1,"")</f>
        <v/>
      </c>
    </row>
    <row r="4998" spans="1:22" x14ac:dyDescent="0.25">
      <c r="A4998" s="9"/>
      <c r="E4998" s="10"/>
      <c r="K4998" s="11" t="str">
        <f>IF($E4998="","",ROUND($E4998*IF(ISNA(MATCH($C4998,'Paramètres'!$D:$D,0)),1,IF(INDEX('Paramètres'!$J:$J,MATCH($C4998,'Paramètres'!$D:$D,0))="",1,INDEX('Paramètres'!$J:$J,MATCH($C4998,'Paramètres'!$D:$D,0)))),2))</f>
        <v/>
      </c>
      <c r="L4998" s="6" t="str">
        <f>IF($D4998="","",IF($F4998&lt;&gt;"",$F4998,IF(ISNA(MATCH($D4998,'Paramètres'!$M:$M,0)),"⚠ Type inconnu",IFERROR(INDEX('Paramètres'!$P:$P,MATCH($D4998,'Paramètres'!$M:$M,0))&amp;"",""))))</f>
        <v/>
      </c>
      <c r="M4998" s="6" t="str">
        <f>IF($D4998="","",IF(ISNA(MATCH($D4998,'Paramètres'!$M:$M,0)),"⚠ Type inconnu",IF($L4998="Crédit","",IFERROR(INDEX('Paramètres'!$O:$O,MATCH($D4998,'Paramètres'!$M:$M,0))&amp;"",""))))</f>
        <v/>
      </c>
      <c r="N4998" s="6" t="str">
        <f>IF($D4998="","",IFERROR(INDEX('Paramètres'!$Q:$Q,MATCH($D4998,'Paramètres'!$M:$M,0))&amp;"",""))</f>
        <v/>
      </c>
      <c r="O4998" s="6" t="str">
        <f>IF($A4998="","",IF(OR($J4998&lt;&gt;"x",$A4998&lt;=FinReleve),1,0))</f>
        <v/>
      </c>
      <c r="P4998" s="6" t="str">
        <f>IF($D4998="","",IF(AND($L4998="Crédit",OR(IFERROR(INDEX('Paramètres'!$O:$O,MATCH($D4998,'Paramètres'!$M:$M,0))&amp;"","")&lt;&gt;"",ISNUMBER(SEARCH("remboursement",IFERROR(INDEX('Paramètres'!$N:$N,MATCH($D4998,'Paramètres'!$M:$M,0))&amp;"",""))))),1,0))</f>
        <v/>
      </c>
      <c r="Q4998" s="6" t="str">
        <f>IF($K4998="","",IF(ISNUMBER(SEARCH("transfert-interne",IFERROR(INDEX('Paramètres'!$N:$N,MATCH($D4998,'Paramètres'!$M:$M,0))&amp;"",""))),0,IF($L4998="Débit",$K4998,IF($P4998=1,-$K4998,0))))</f>
        <v/>
      </c>
      <c r="R4998" s="6" t="str">
        <f>IF($K4998="","",IF($L4998="Crédit",$K4998,-$K4998))</f>
        <v/>
      </c>
      <c r="S4998" s="6" t="str">
        <f>IF($C4998="","",IFERROR(INDEX('Paramètres'!$H:$H,MATCH($C4998,'Paramètres'!$D:$D,0))&amp;"",""))</f>
        <v/>
      </c>
      <c r="T4998" s="6" t="str">
        <f>IF($K4998="","",IF($S4998="",0,IF(ISNUMBER(SEARCH("apport-exterieur",IFERROR(INDEX('Paramètres'!$N:$N,MATCH($D4998,'Paramètres'!$M:$M,0))&amp;"",""))),0,IF(OR(IFERROR(INDEX('Paramètres'!$I:$I,MATCH($C4998,'Paramètres'!$D:$D,0))&amp;"","")="Les deux",IFERROR(INDEX('Paramètres'!$I:$I,MATCH($C4998,'Paramètres'!$D:$D,0))&amp;"","")=IF($P4998=1,"Débit",$L4998)),-IF($P4998=1,-$K4998,$K4998),0))))</f>
        <v/>
      </c>
      <c r="U4998" s="6" t="str">
        <f>IF($K4998="","",IF(ISNUMBER(SEARCH("sortie-epargne",IFERROR(INDEX('Paramètres'!$N:$N,MATCH($D4998,'Paramètres'!$M:$M,0))&amp;"",""))),$K4998,0))</f>
        <v/>
      </c>
      <c r="V4998" s="6" t="str">
        <f>IF(AND($A4998&lt;&gt;"",$O4998=1,$L4998="Débit",N($Q4998)&gt;0,$A4998&gt;=Visualisation!$B$1,$A4998&lt;Visualisation!$D$1),MAX($V$1:V4997)+1,"")</f>
        <v/>
      </c>
    </row>
    <row r="4999" spans="1:22" x14ac:dyDescent="0.25">
      <c r="A4999" s="9"/>
      <c r="E4999" s="10"/>
      <c r="K4999" s="11" t="str">
        <f>IF($E4999="","",ROUND($E4999*IF(ISNA(MATCH($C4999,'Paramètres'!$D:$D,0)),1,IF(INDEX('Paramètres'!$J:$J,MATCH($C4999,'Paramètres'!$D:$D,0))="",1,INDEX('Paramètres'!$J:$J,MATCH($C4999,'Paramètres'!$D:$D,0)))),2))</f>
        <v/>
      </c>
      <c r="L4999" s="6" t="str">
        <f>IF($D4999="","",IF($F4999&lt;&gt;"",$F4999,IF(ISNA(MATCH($D4999,'Paramètres'!$M:$M,0)),"⚠ Type inconnu",IFERROR(INDEX('Paramètres'!$P:$P,MATCH($D4999,'Paramètres'!$M:$M,0))&amp;"",""))))</f>
        <v/>
      </c>
      <c r="M4999" s="6" t="str">
        <f>IF($D4999="","",IF(ISNA(MATCH($D4999,'Paramètres'!$M:$M,0)),"⚠ Type inconnu",IF($L4999="Crédit","",IFERROR(INDEX('Paramètres'!$O:$O,MATCH($D4999,'Paramètres'!$M:$M,0))&amp;"",""))))</f>
        <v/>
      </c>
      <c r="N4999" s="6" t="str">
        <f>IF($D4999="","",IFERROR(INDEX('Paramètres'!$Q:$Q,MATCH($D4999,'Paramètres'!$M:$M,0))&amp;"",""))</f>
        <v/>
      </c>
      <c r="O4999" s="6" t="str">
        <f>IF($A4999="","",IF(OR($J4999&lt;&gt;"x",$A4999&lt;=FinReleve),1,0))</f>
        <v/>
      </c>
      <c r="P4999" s="6" t="str">
        <f>IF($D4999="","",IF(AND($L4999="Crédit",OR(IFERROR(INDEX('Paramètres'!$O:$O,MATCH($D4999,'Paramètres'!$M:$M,0))&amp;"","")&lt;&gt;"",ISNUMBER(SEARCH("remboursement",IFERROR(INDEX('Paramètres'!$N:$N,MATCH($D4999,'Paramètres'!$M:$M,0))&amp;"",""))))),1,0))</f>
        <v/>
      </c>
      <c r="Q4999" s="6" t="str">
        <f>IF($K4999="","",IF(ISNUMBER(SEARCH("transfert-interne",IFERROR(INDEX('Paramètres'!$N:$N,MATCH($D4999,'Paramètres'!$M:$M,0))&amp;"",""))),0,IF($L4999="Débit",$K4999,IF($P4999=1,-$K4999,0))))</f>
        <v/>
      </c>
      <c r="R4999" s="6" t="str">
        <f>IF($K4999="","",IF($L4999="Crédit",$K4999,-$K4999))</f>
        <v/>
      </c>
      <c r="S4999" s="6" t="str">
        <f>IF($C4999="","",IFERROR(INDEX('Paramètres'!$H:$H,MATCH($C4999,'Paramètres'!$D:$D,0))&amp;"",""))</f>
        <v/>
      </c>
      <c r="T4999" s="6" t="str">
        <f>IF($K4999="","",IF($S4999="",0,IF(ISNUMBER(SEARCH("apport-exterieur",IFERROR(INDEX('Paramètres'!$N:$N,MATCH($D4999,'Paramètres'!$M:$M,0))&amp;"",""))),0,IF(OR(IFERROR(INDEX('Paramètres'!$I:$I,MATCH($C4999,'Paramètres'!$D:$D,0))&amp;"","")="Les deux",IFERROR(INDEX('Paramètres'!$I:$I,MATCH($C4999,'Paramètres'!$D:$D,0))&amp;"","")=IF($P4999=1,"Débit",$L4999)),-IF($P4999=1,-$K4999,$K4999),0))))</f>
        <v/>
      </c>
      <c r="U4999" s="6" t="str">
        <f>IF($K4999="","",IF(ISNUMBER(SEARCH("sortie-epargne",IFERROR(INDEX('Paramètres'!$N:$N,MATCH($D4999,'Paramètres'!$M:$M,0))&amp;"",""))),$K4999,0))</f>
        <v/>
      </c>
      <c r="V4999" s="6" t="str">
        <f>IF(AND($A4999&lt;&gt;"",$O4999=1,$L4999="Débit",N($Q4999)&gt;0,$A4999&gt;=Visualisation!$B$1,$A4999&lt;Visualisation!$D$1),MAX($V$1:V4998)+1,"")</f>
        <v/>
      </c>
    </row>
    <row r="5000" spans="1:22" x14ac:dyDescent="0.25">
      <c r="A5000" s="9"/>
      <c r="E5000" s="10"/>
      <c r="K5000" s="11" t="str">
        <f>IF($E5000="","",ROUND($E5000*IF(ISNA(MATCH($C5000,'Paramètres'!$D:$D,0)),1,IF(INDEX('Paramètres'!$J:$J,MATCH($C5000,'Paramètres'!$D:$D,0))="",1,INDEX('Paramètres'!$J:$J,MATCH($C5000,'Paramètres'!$D:$D,0)))),2))</f>
        <v/>
      </c>
      <c r="L5000" s="6" t="str">
        <f>IF($D5000="","",IF($F5000&lt;&gt;"",$F5000,IF(ISNA(MATCH($D5000,'Paramètres'!$M:$M,0)),"⚠ Type inconnu",IFERROR(INDEX('Paramètres'!$P:$P,MATCH($D5000,'Paramètres'!$M:$M,0))&amp;"",""))))</f>
        <v/>
      </c>
      <c r="M5000" s="6" t="str">
        <f>IF($D5000="","",IF(ISNA(MATCH($D5000,'Paramètres'!$M:$M,0)),"⚠ Type inconnu",IF($L5000="Crédit","",IFERROR(INDEX('Paramètres'!$O:$O,MATCH($D5000,'Paramètres'!$M:$M,0))&amp;"",""))))</f>
        <v/>
      </c>
      <c r="N5000" s="6" t="str">
        <f>IF($D5000="","",IFERROR(INDEX('Paramètres'!$Q:$Q,MATCH($D5000,'Paramètres'!$M:$M,0))&amp;"",""))</f>
        <v/>
      </c>
      <c r="O5000" s="6" t="str">
        <f>IF($A5000="","",IF(OR($J5000&lt;&gt;"x",$A5000&lt;=FinReleve),1,0))</f>
        <v/>
      </c>
      <c r="P5000" s="6" t="str">
        <f>IF($D5000="","",IF(AND($L5000="Crédit",OR(IFERROR(INDEX('Paramètres'!$O:$O,MATCH($D5000,'Paramètres'!$M:$M,0))&amp;"","")&lt;&gt;"",ISNUMBER(SEARCH("remboursement",IFERROR(INDEX('Paramètres'!$N:$N,MATCH($D5000,'Paramètres'!$M:$M,0))&amp;"",""))))),1,0))</f>
        <v/>
      </c>
      <c r="Q5000" s="6" t="str">
        <f>IF($K5000="","",IF(ISNUMBER(SEARCH("transfert-interne",IFERROR(INDEX('Paramètres'!$N:$N,MATCH($D5000,'Paramètres'!$M:$M,0))&amp;"",""))),0,IF($L5000="Débit",$K5000,IF($P5000=1,-$K5000,0))))</f>
        <v/>
      </c>
      <c r="R5000" s="6" t="str">
        <f>IF($K5000="","",IF($L5000="Crédit",$K5000,-$K5000))</f>
        <v/>
      </c>
      <c r="S5000" s="6" t="str">
        <f>IF($C5000="","",IFERROR(INDEX('Paramètres'!$H:$H,MATCH($C5000,'Paramètres'!$D:$D,0))&amp;"",""))</f>
        <v/>
      </c>
      <c r="T5000" s="6" t="str">
        <f>IF($K5000="","",IF($S5000="",0,IF(ISNUMBER(SEARCH("apport-exterieur",IFERROR(INDEX('Paramètres'!$N:$N,MATCH($D5000,'Paramètres'!$M:$M,0))&amp;"",""))),0,IF(OR(IFERROR(INDEX('Paramètres'!$I:$I,MATCH($C5000,'Paramètres'!$D:$D,0))&amp;"","")="Les deux",IFERROR(INDEX('Paramètres'!$I:$I,MATCH($C5000,'Paramètres'!$D:$D,0))&amp;"","")=IF($P5000=1,"Débit",$L5000)),-IF($P5000=1,-$K5000,$K5000),0))))</f>
        <v/>
      </c>
      <c r="U5000" s="6" t="str">
        <f>IF($K5000="","",IF(ISNUMBER(SEARCH("sortie-epargne",IFERROR(INDEX('Paramètres'!$N:$N,MATCH($D5000,'Paramètres'!$M:$M,0))&amp;"",""))),$K5000,0))</f>
        <v/>
      </c>
      <c r="V5000" s="6" t="str">
        <f>IF(AND($A5000&lt;&gt;"",$O5000=1,$L5000="Débit",N($Q5000)&gt;0,$A5000&gt;=Visualisation!$B$1,$A5000&lt;Visualisation!$D$1),MAX($V$1:V4999)+1,"")</f>
        <v/>
      </c>
    </row>
  </sheetData>
  <sheetProtection sheet="1" formatColumns="0" formatRows="0" sort="0" autoFilter="0"/>
  <autoFilter ref="A1:J5000"/>
  <dataValidations count="6">
    <dataValidation type="date" allowBlank="1" showErrorMessage="1" errorStyle="stop" errorTitle="Date" error="Une date entre 2000 et 2099, par exemple 14/03/2026." sqref="A2:A5000">
      <formula1>36526</formula1>
      <formula2>73050</formula2>
    </dataValidation>
    <dataValidation type="list" allowBlank="1" showErrorMessage="1" errorStyle="stop" errorTitle="Compte inconnu" error="Choisissez un compte déclaré dans Paramètres, ou déclarez-le d'abord." sqref="C2:C5000">
      <formula1>OFFSET('Paramètres'!$D$10,0,0,MAX(1,COUNTA('Paramètres'!$D$10:$D$49)),1)</formula1>
    </dataValidation>
    <dataValidation type="list" allowBlank="1" showErrorMessage="1" errorStyle="stop" errorTitle="Type inconnu" error="Choisissez un type déclaré dans Paramètres, ou déclarez-le d'abord." sqref="D2:D5000">
      <formula1>OFFSET('Paramètres'!$M$10,0,0,MAX(1,COUNTA('Paramètres'!$M$10:$M$129)),1)</formula1>
    </dataValidation>
    <dataValidation type="decimal" operator="greaterThan" allowBlank="1" showErrorMessage="1" errorStyle="stop" errorTitle="Montant" error="Un montant positif, sans signe : c'est le Sens qui dit Débit ou Crédit." sqref="E2:E5000">
      <formula1>0</formula1>
    </dataValidation>
    <dataValidation type="list" allowBlank="1" showErrorMessage="1" errorStyle="stop" errorTitle="Sens" error="Débit ou Crédit, seulement si la ligne fait exception au sens du type. Sinon, laissez vide." sqref="F2:F5000">
      <formula1>"Débit,Crédit"</formula1>
    </dataValidation>
    <dataValidation type="list" allowBlank="1" showErrorMessage="1" errorStyle="stop" errorTitle="Prévisionnel" error="Un « x » pour une ligne prévue, pas encore passée. Sinon, laissez vide." sqref="J2:J5000">
      <formula1>"x"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4" customWidth="1"/>
    <col min="2" max="2" width="22" style="4" customWidth="1"/>
    <col min="3" max="3" width="12" style="4" customWidth="1"/>
    <col min="4" max="4" width="22" style="4" customWidth="1"/>
    <col min="5" max="5" width="12" style="4" customWidth="1"/>
    <col min="6" max="6" width="16" style="4" customWidth="1"/>
    <col min="7" max="7" width="12" style="6" customWidth="1"/>
    <col min="9" max="9" width="11" customWidth="1"/>
    <col min="10" max="10" width="12" customWidth="1"/>
    <col min="11" max="11" width="26" customWidth="1"/>
  </cols>
  <sheetData>
    <row r="1" spans="1:11" x14ac:dyDescent="0.25">
      <c r="A1" s="7" t="s">
        <v>153</v>
      </c>
      <c r="B1" s="7" t="s">
        <v>154</v>
      </c>
      <c r="C1" s="7" t="s">
        <v>155</v>
      </c>
      <c r="D1" s="7" t="s">
        <v>156</v>
      </c>
      <c r="E1" s="7" t="s">
        <v>157</v>
      </c>
      <c r="F1" s="7" t="s">
        <v>158</v>
      </c>
      <c r="G1" s="8" t="s">
        <v>159</v>
      </c>
      <c r="I1" s="3" t="s">
        <v>56</v>
      </c>
      <c r="J1" s="4" t="s">
        <v>57</v>
      </c>
      <c r="K1" s="6" t="s">
        <v>58</v>
      </c>
    </row>
    <row r="2" spans="1:7" x14ac:dyDescent="0.25">
      <c r="A2" s="12">
        <v>44440</v>
      </c>
      <c r="B2" s="4" t="s">
        <v>160</v>
      </c>
      <c r="C2" s="10">
        <v>2709.28</v>
      </c>
      <c r="D2" s="10">
        <v>516.89</v>
      </c>
      <c r="E2" s="10">
        <v>0</v>
      </c>
      <c r="F2" s="10">
        <v>4.78</v>
      </c>
      <c r="G2" s="11">
        <f>IF(C2="","",ROUND(C2-D2+E2-F2,2))</f>
        <v>2187.61</v>
      </c>
    </row>
    <row r="3" spans="1:7" x14ac:dyDescent="0.25">
      <c r="A3" s="12">
        <v>44470</v>
      </c>
      <c r="B3" s="4" t="s">
        <v>160</v>
      </c>
      <c r="C3" s="10">
        <v>2814.21</v>
      </c>
      <c r="D3" s="10">
        <v>566.51</v>
      </c>
      <c r="E3" s="10">
        <v>0</v>
      </c>
      <c r="F3" s="10">
        <v>35.38</v>
      </c>
      <c r="G3" s="11">
        <f>IF(C3="","",ROUND(C3-D3+E3-F3,2))</f>
        <v>2212.32</v>
      </c>
    </row>
    <row r="4" spans="1:7" x14ac:dyDescent="0.25">
      <c r="A4" s="12">
        <v>44501</v>
      </c>
      <c r="B4" s="4" t="s">
        <v>160</v>
      </c>
      <c r="C4" s="10">
        <v>2790.81</v>
      </c>
      <c r="D4" s="10">
        <v>555.79</v>
      </c>
      <c r="E4" s="10">
        <v>0</v>
      </c>
      <c r="F4" s="10">
        <v>9.81</v>
      </c>
      <c r="G4" s="11">
        <f>IF(C4="","",ROUND(C4-D4+E4-F4,2))</f>
        <v>2225.21</v>
      </c>
    </row>
    <row r="5" spans="1:7" x14ac:dyDescent="0.25">
      <c r="A5" s="12">
        <v>44531</v>
      </c>
      <c r="B5" s="4" t="s">
        <v>160</v>
      </c>
      <c r="C5" s="10">
        <v>2750.29</v>
      </c>
      <c r="D5" s="10">
        <v>552.42</v>
      </c>
      <c r="E5" s="10">
        <v>413.82</v>
      </c>
      <c r="F5" s="10">
        <v>36.27</v>
      </c>
      <c r="G5" s="11">
        <f>IF(C5="","",ROUND(C5-D5+E5-F5,2))</f>
        <v>2575.42</v>
      </c>
    </row>
    <row r="6" spans="1:7" x14ac:dyDescent="0.25">
      <c r="A6" s="12">
        <v>44562</v>
      </c>
      <c r="B6" s="4" t="s">
        <v>160</v>
      </c>
      <c r="C6" s="10">
        <v>2700.17</v>
      </c>
      <c r="D6" s="10">
        <v>514.19</v>
      </c>
      <c r="E6" s="10">
        <v>0</v>
      </c>
      <c r="F6" s="10">
        <v>17.19</v>
      </c>
      <c r="G6" s="11">
        <f>IF(C6="","",ROUND(C6-D6+E6-F6,2))</f>
        <v>2168.79</v>
      </c>
    </row>
    <row r="7" spans="1:7" x14ac:dyDescent="0.25">
      <c r="A7" s="12">
        <v>44593</v>
      </c>
      <c r="B7" s="4" t="s">
        <v>160</v>
      </c>
      <c r="C7" s="10">
        <v>2717.47</v>
      </c>
      <c r="D7" s="10">
        <v>519.78</v>
      </c>
      <c r="E7" s="10">
        <v>0</v>
      </c>
      <c r="F7" s="10">
        <v>12.98</v>
      </c>
      <c r="G7" s="11">
        <f>IF(C7="","",ROUND(C7-D7+E7-F7,2))</f>
        <v>2184.71</v>
      </c>
    </row>
    <row r="8" spans="1:7" x14ac:dyDescent="0.25">
      <c r="A8" s="12">
        <v>44621</v>
      </c>
      <c r="B8" s="4" t="s">
        <v>160</v>
      </c>
      <c r="C8" s="10">
        <v>2779.86</v>
      </c>
      <c r="D8" s="10">
        <v>553.95</v>
      </c>
      <c r="E8" s="10">
        <v>0</v>
      </c>
      <c r="F8" s="10">
        <v>28.94</v>
      </c>
      <c r="G8" s="11">
        <f>IF(C8="","",ROUND(C8-D8+E8-F8,2))</f>
        <v>2196.97</v>
      </c>
    </row>
    <row r="9" spans="1:7" x14ac:dyDescent="0.25">
      <c r="A9" s="12">
        <v>44652</v>
      </c>
      <c r="B9" s="4" t="s">
        <v>160</v>
      </c>
      <c r="C9" s="10">
        <v>2737.82</v>
      </c>
      <c r="D9" s="10">
        <v>529.96</v>
      </c>
      <c r="E9" s="10">
        <v>0</v>
      </c>
      <c r="F9" s="10">
        <v>2.94</v>
      </c>
      <c r="G9" s="11">
        <f>IF(C9="","",ROUND(C9-D9+E9-F9,2))</f>
        <v>2204.92</v>
      </c>
    </row>
    <row r="10" spans="1:7" x14ac:dyDescent="0.25">
      <c r="A10" s="12">
        <v>44682</v>
      </c>
      <c r="B10" s="4" t="s">
        <v>160</v>
      </c>
      <c r="C10" s="10">
        <v>2751.89</v>
      </c>
      <c r="D10" s="10">
        <v>527.61</v>
      </c>
      <c r="E10" s="10">
        <v>0</v>
      </c>
      <c r="F10" s="10">
        <v>27.67</v>
      </c>
      <c r="G10" s="11">
        <f>IF(C10="","",ROUND(C10-D10+E10-F10,2))</f>
        <v>2196.61</v>
      </c>
    </row>
    <row r="11" spans="1:7" x14ac:dyDescent="0.25">
      <c r="A11" s="12">
        <v>44713</v>
      </c>
      <c r="B11" s="4" t="s">
        <v>161</v>
      </c>
      <c r="C11" s="10">
        <v>2968.42</v>
      </c>
      <c r="D11" s="10">
        <v>578.68</v>
      </c>
      <c r="E11" s="10">
        <v>810.84</v>
      </c>
      <c r="F11" s="10">
        <v>14.3</v>
      </c>
      <c r="G11" s="11">
        <f>IF(C11="","",ROUND(C11-D11+E11-F11,2))</f>
        <v>3186.28</v>
      </c>
    </row>
    <row r="12" spans="1:7" x14ac:dyDescent="0.25">
      <c r="A12" s="12">
        <v>44743</v>
      </c>
      <c r="B12" s="4" t="s">
        <v>161</v>
      </c>
      <c r="C12" s="10">
        <v>2918.58</v>
      </c>
      <c r="D12" s="10">
        <v>575.2</v>
      </c>
      <c r="E12" s="10">
        <v>0</v>
      </c>
      <c r="F12" s="10">
        <v>9.96</v>
      </c>
      <c r="G12" s="11">
        <f>IF(C12="","",ROUND(C12-D12+E12-F12,2))</f>
        <v>2333.42</v>
      </c>
    </row>
    <row r="13" spans="1:7" x14ac:dyDescent="0.25">
      <c r="A13" s="12">
        <v>44774</v>
      </c>
      <c r="B13" s="4" t="s">
        <v>161</v>
      </c>
      <c r="C13" s="10">
        <v>2957.89</v>
      </c>
      <c r="D13" s="10">
        <v>574.05</v>
      </c>
      <c r="E13" s="10">
        <v>0</v>
      </c>
      <c r="F13" s="10">
        <v>29.35</v>
      </c>
      <c r="G13" s="11">
        <f>IF(C13="","",ROUND(C13-D13+E13-F13,2))</f>
        <v>2354.49</v>
      </c>
    </row>
    <row r="14" spans="1:7" x14ac:dyDescent="0.25">
      <c r="A14" s="12">
        <v>44805</v>
      </c>
      <c r="B14" s="4" t="s">
        <v>161</v>
      </c>
      <c r="C14" s="10">
        <v>2956.22</v>
      </c>
      <c r="D14" s="10">
        <v>600.36</v>
      </c>
      <c r="E14" s="10">
        <v>0</v>
      </c>
      <c r="F14" s="10">
        <v>33.49</v>
      </c>
      <c r="G14" s="11">
        <f>IF(C14="","",ROUND(C14-D14+E14-F14,2))</f>
        <v>2322.37</v>
      </c>
    </row>
    <row r="15" spans="1:7" x14ac:dyDescent="0.25">
      <c r="A15" s="12">
        <v>44835</v>
      </c>
      <c r="B15" s="4" t="s">
        <v>161</v>
      </c>
      <c r="C15" s="10">
        <v>2960.48</v>
      </c>
      <c r="D15" s="10">
        <v>595.6</v>
      </c>
      <c r="E15" s="10">
        <v>0</v>
      </c>
      <c r="F15" s="10">
        <v>3.12</v>
      </c>
      <c r="G15" s="11">
        <f>IF(C15="","",ROUND(C15-D15+E15-F15,2))</f>
        <v>2361.76</v>
      </c>
    </row>
    <row r="16" spans="1:7" x14ac:dyDescent="0.25">
      <c r="A16" s="12">
        <v>44866</v>
      </c>
      <c r="B16" s="4" t="s">
        <v>161</v>
      </c>
      <c r="C16" s="10">
        <v>2908.84</v>
      </c>
      <c r="D16" s="10">
        <v>562.53</v>
      </c>
      <c r="E16" s="10">
        <v>0</v>
      </c>
      <c r="F16" s="10">
        <v>27.62</v>
      </c>
      <c r="G16" s="11">
        <f>IF(C16="","",ROUND(C16-D16+E16-F16,2))</f>
        <v>2318.69</v>
      </c>
    </row>
    <row r="17" spans="1:7" x14ac:dyDescent="0.25">
      <c r="A17" s="12">
        <v>44896</v>
      </c>
      <c r="B17" s="4" t="s">
        <v>161</v>
      </c>
      <c r="C17" s="10">
        <v>2886.88</v>
      </c>
      <c r="D17" s="10">
        <v>554.53</v>
      </c>
      <c r="E17" s="10">
        <v>789.37</v>
      </c>
      <c r="F17" s="10">
        <v>14.2</v>
      </c>
      <c r="G17" s="11">
        <f>IF(C17="","",ROUND(C17-D17+E17-F17,2))</f>
        <v>3107.52</v>
      </c>
    </row>
    <row r="18" spans="1:7" x14ac:dyDescent="0.25">
      <c r="A18" s="12">
        <v>44927</v>
      </c>
      <c r="B18" s="4" t="s">
        <v>161</v>
      </c>
      <c r="C18" s="10">
        <v>2972.38</v>
      </c>
      <c r="D18" s="10">
        <v>593.44</v>
      </c>
      <c r="E18" s="10">
        <v>0</v>
      </c>
      <c r="F18" s="10">
        <v>8.16</v>
      </c>
      <c r="G18" s="11">
        <f>IF(C18="","",ROUND(C18-D18+E18-F18,2))</f>
        <v>2370.78</v>
      </c>
    </row>
    <row r="19" spans="1:7" x14ac:dyDescent="0.25">
      <c r="A19" s="12">
        <v>44958</v>
      </c>
      <c r="B19" s="4" t="s">
        <v>161</v>
      </c>
      <c r="C19" s="10">
        <v>2906.59</v>
      </c>
      <c r="D19" s="10">
        <v>561.2</v>
      </c>
      <c r="E19" s="10">
        <v>0</v>
      </c>
      <c r="F19" s="10">
        <v>24.22</v>
      </c>
      <c r="G19" s="11">
        <f>IF(C19="","",ROUND(C19-D19+E19-F19,2))</f>
        <v>2321.17</v>
      </c>
    </row>
    <row r="20" spans="1:7" x14ac:dyDescent="0.25">
      <c r="A20" s="12">
        <v>44986</v>
      </c>
      <c r="B20" s="4" t="s">
        <v>161</v>
      </c>
      <c r="C20" s="10">
        <v>2928.73</v>
      </c>
      <c r="D20" s="10">
        <v>576.74</v>
      </c>
      <c r="E20" s="10">
        <v>0</v>
      </c>
      <c r="F20" s="10">
        <v>37.07</v>
      </c>
      <c r="G20" s="11">
        <f>IF(C20="","",ROUND(C20-D20+E20-F20,2))</f>
        <v>2314.92</v>
      </c>
    </row>
    <row r="21" spans="1:7" x14ac:dyDescent="0.25">
      <c r="A21" s="12">
        <v>45017</v>
      </c>
      <c r="B21" s="4" t="s">
        <v>162</v>
      </c>
      <c r="C21" s="10">
        <v>3135.99</v>
      </c>
      <c r="D21" s="10">
        <v>626.46</v>
      </c>
      <c r="E21" s="10">
        <v>0</v>
      </c>
      <c r="F21" s="10">
        <v>10.23</v>
      </c>
      <c r="G21" s="11">
        <f>IF(C21="","",ROUND(C21-D21+E21-F21,2))</f>
        <v>2499.3</v>
      </c>
    </row>
    <row r="22" spans="1:7" x14ac:dyDescent="0.25">
      <c r="A22" s="12">
        <v>45047</v>
      </c>
      <c r="B22" s="4" t="s">
        <v>162</v>
      </c>
      <c r="C22" s="10">
        <v>3228.28</v>
      </c>
      <c r="D22" s="10">
        <v>622.56</v>
      </c>
      <c r="E22" s="10">
        <v>0</v>
      </c>
      <c r="F22" s="10">
        <v>5.29</v>
      </c>
      <c r="G22" s="11">
        <f>IF(C22="","",ROUND(C22-D22+E22-F22,2))</f>
        <v>2600.43</v>
      </c>
    </row>
    <row r="23" spans="1:7" x14ac:dyDescent="0.25">
      <c r="A23" s="12">
        <v>45078</v>
      </c>
      <c r="B23" s="4" t="s">
        <v>162</v>
      </c>
      <c r="C23" s="10">
        <v>3102.36</v>
      </c>
      <c r="D23" s="10">
        <v>619.56</v>
      </c>
      <c r="E23" s="10">
        <v>757.85</v>
      </c>
      <c r="F23" s="10">
        <v>1.27</v>
      </c>
      <c r="G23" s="11">
        <f>IF(C23="","",ROUND(C23-D23+E23-F23,2))</f>
        <v>3239.38</v>
      </c>
    </row>
    <row r="24" spans="1:7" x14ac:dyDescent="0.25">
      <c r="A24" s="12">
        <v>45108</v>
      </c>
      <c r="B24" s="4" t="s">
        <v>162</v>
      </c>
      <c r="C24" s="10">
        <v>3111.81</v>
      </c>
      <c r="D24" s="10">
        <v>612.4</v>
      </c>
      <c r="E24" s="10">
        <v>0</v>
      </c>
      <c r="F24" s="10">
        <v>20.26</v>
      </c>
      <c r="G24" s="11">
        <f>IF(C24="","",ROUND(C24-D24+E24-F24,2))</f>
        <v>2479.15</v>
      </c>
    </row>
    <row r="25" spans="1:7" x14ac:dyDescent="0.25">
      <c r="A25" s="12">
        <v>45139</v>
      </c>
      <c r="B25" s="4" t="s">
        <v>162</v>
      </c>
      <c r="C25" s="10">
        <v>3226.01</v>
      </c>
      <c r="D25" s="10">
        <v>631.28</v>
      </c>
      <c r="E25" s="10">
        <v>0</v>
      </c>
      <c r="F25" s="10">
        <v>13.85</v>
      </c>
      <c r="G25" s="11">
        <f>IF(C25="","",ROUND(C25-D25+E25-F25,2))</f>
        <v>2580.88</v>
      </c>
    </row>
    <row r="26" spans="1:7" x14ac:dyDescent="0.25">
      <c r="A26" s="12">
        <v>45170</v>
      </c>
      <c r="B26" s="4" t="s">
        <v>162</v>
      </c>
      <c r="C26" s="10">
        <v>3204.54</v>
      </c>
      <c r="D26" s="10">
        <v>646.38</v>
      </c>
      <c r="E26" s="10">
        <v>0</v>
      </c>
      <c r="F26" s="10">
        <v>22.73</v>
      </c>
      <c r="G26" s="11">
        <f>IF(C26="","",ROUND(C26-D26+E26-F26,2))</f>
        <v>2535.43</v>
      </c>
    </row>
    <row r="27" spans="1:7" x14ac:dyDescent="0.25">
      <c r="A27" s="12">
        <v>45200</v>
      </c>
      <c r="B27" s="4" t="s">
        <v>162</v>
      </c>
      <c r="C27" s="10">
        <v>3204.94</v>
      </c>
      <c r="D27" s="10">
        <v>621.54</v>
      </c>
      <c r="E27" s="10">
        <v>0</v>
      </c>
      <c r="F27" s="10">
        <v>30.87</v>
      </c>
      <c r="G27" s="11">
        <f>IF(C27="","",ROUND(C27-D27+E27-F27,2))</f>
        <v>2552.53</v>
      </c>
    </row>
    <row r="28" spans="1:7" x14ac:dyDescent="0.25">
      <c r="A28" s="12">
        <v>45231</v>
      </c>
      <c r="B28" s="4" t="s">
        <v>162</v>
      </c>
      <c r="C28" s="10">
        <v>3224.65</v>
      </c>
      <c r="D28" s="10">
        <v>636.39</v>
      </c>
      <c r="E28" s="10">
        <v>0</v>
      </c>
      <c r="F28" s="10">
        <v>36.8</v>
      </c>
      <c r="G28" s="11">
        <f>IF(C28="","",ROUND(C28-D28+E28-F28,2))</f>
        <v>2551.46</v>
      </c>
    </row>
    <row r="29" spans="1:7" x14ac:dyDescent="0.25">
      <c r="A29" s="12">
        <v>45261</v>
      </c>
      <c r="B29" s="4" t="s">
        <v>162</v>
      </c>
      <c r="C29" s="10">
        <v>3073.61</v>
      </c>
      <c r="D29" s="10">
        <v>590.78</v>
      </c>
      <c r="E29" s="10">
        <v>843.83</v>
      </c>
      <c r="F29" s="10">
        <v>1.78</v>
      </c>
      <c r="G29" s="11">
        <f>IF(C29="","",ROUND(C29-D29+E29-F29,2))</f>
        <v>3324.88</v>
      </c>
    </row>
    <row r="30" spans="1:7" x14ac:dyDescent="0.25">
      <c r="A30" s="12">
        <v>45292</v>
      </c>
      <c r="B30" s="4" t="s">
        <v>162</v>
      </c>
      <c r="C30" s="10">
        <v>3107.03</v>
      </c>
      <c r="D30" s="10">
        <v>598.02</v>
      </c>
      <c r="E30" s="10">
        <v>0</v>
      </c>
      <c r="F30" s="10">
        <v>32.54</v>
      </c>
      <c r="G30" s="11">
        <f>IF(C30="","",ROUND(C30-D30+E30-F30,2))</f>
        <v>2476.47</v>
      </c>
    </row>
    <row r="31" spans="1:7" x14ac:dyDescent="0.25">
      <c r="A31" s="12">
        <v>45323</v>
      </c>
      <c r="B31" s="4" t="s">
        <v>162</v>
      </c>
      <c r="C31" s="10">
        <v>3089.27</v>
      </c>
      <c r="D31" s="10">
        <v>591.89</v>
      </c>
      <c r="E31" s="10">
        <v>0</v>
      </c>
      <c r="F31" s="10">
        <v>12.6</v>
      </c>
      <c r="G31" s="11">
        <f>IF(C31="","",ROUND(C31-D31+E31-F31,2))</f>
        <v>2484.78</v>
      </c>
    </row>
    <row r="32" spans="1:7" x14ac:dyDescent="0.25">
      <c r="A32" s="12">
        <v>45352</v>
      </c>
      <c r="B32" s="4" t="s">
        <v>162</v>
      </c>
      <c r="C32" s="10">
        <v>3230.87</v>
      </c>
      <c r="D32" s="10">
        <v>644.59</v>
      </c>
      <c r="E32" s="10">
        <v>0</v>
      </c>
      <c r="F32" s="10">
        <v>39.81</v>
      </c>
      <c r="G32" s="11">
        <f>IF(C32="","",ROUND(C32-D32+E32-F32,2))</f>
        <v>2546.47</v>
      </c>
    </row>
    <row r="33" spans="1:7" x14ac:dyDescent="0.25">
      <c r="A33" s="12">
        <v>45383</v>
      </c>
      <c r="B33" s="4" t="s">
        <v>162</v>
      </c>
      <c r="C33" s="10">
        <v>3240.43</v>
      </c>
      <c r="D33" s="10">
        <v>638.9</v>
      </c>
      <c r="E33" s="10">
        <v>0</v>
      </c>
      <c r="F33" s="10">
        <v>14.36</v>
      </c>
      <c r="G33" s="11">
        <f>IF(C33="","",ROUND(C33-D33+E33-F33,2))</f>
        <v>2587.17</v>
      </c>
    </row>
    <row r="34" spans="1:7" x14ac:dyDescent="0.25">
      <c r="A34" s="12">
        <v>45413</v>
      </c>
      <c r="B34" s="4" t="s">
        <v>163</v>
      </c>
      <c r="C34" s="10">
        <v>3350.32</v>
      </c>
      <c r="D34" s="10">
        <v>649.3</v>
      </c>
      <c r="E34" s="10">
        <v>0</v>
      </c>
      <c r="F34" s="10">
        <v>33.01</v>
      </c>
      <c r="G34" s="11">
        <f>IF(C34="","",ROUND(C34-D34+E34-F34,2))</f>
        <v>2668.01</v>
      </c>
    </row>
    <row r="35" spans="1:7" x14ac:dyDescent="0.25">
      <c r="A35" s="12">
        <v>45444</v>
      </c>
      <c r="B35" s="4" t="s">
        <v>163</v>
      </c>
      <c r="C35" s="10">
        <v>3401.82</v>
      </c>
      <c r="D35" s="10">
        <v>681.94</v>
      </c>
      <c r="E35" s="10">
        <v>622.27</v>
      </c>
      <c r="F35" s="10">
        <v>33.65</v>
      </c>
      <c r="G35" s="11">
        <f>IF(C35="","",ROUND(C35-D35+E35-F35,2))</f>
        <v>3308.5</v>
      </c>
    </row>
    <row r="36" spans="1:7" x14ac:dyDescent="0.25">
      <c r="A36" s="12">
        <v>45474</v>
      </c>
      <c r="B36" s="4" t="s">
        <v>163</v>
      </c>
      <c r="C36" s="10">
        <v>3349.83</v>
      </c>
      <c r="D36" s="10">
        <v>637.66</v>
      </c>
      <c r="E36" s="10">
        <v>0</v>
      </c>
      <c r="F36" s="10">
        <v>27.3</v>
      </c>
      <c r="G36" s="11">
        <f>IF(C36="","",ROUND(C36-D36+E36-F36,2))</f>
        <v>2684.87</v>
      </c>
    </row>
    <row r="37" spans="1:7" x14ac:dyDescent="0.25">
      <c r="A37" s="12">
        <v>45505</v>
      </c>
      <c r="B37" s="4" t="s">
        <v>163</v>
      </c>
      <c r="C37" s="10">
        <v>3363.21</v>
      </c>
      <c r="D37" s="10">
        <v>650.44</v>
      </c>
      <c r="E37" s="10">
        <v>0</v>
      </c>
      <c r="F37" s="10">
        <v>25.64</v>
      </c>
      <c r="G37" s="11">
        <f>IF(C37="","",ROUND(C37-D37+E37-F37,2))</f>
        <v>2687.13</v>
      </c>
    </row>
    <row r="38" spans="1:7" x14ac:dyDescent="0.25">
      <c r="A38" s="12">
        <v>45536</v>
      </c>
      <c r="B38" s="4" t="s">
        <v>163</v>
      </c>
      <c r="C38" s="10">
        <v>3486.25</v>
      </c>
      <c r="D38" s="10">
        <v>682.39</v>
      </c>
      <c r="E38" s="10">
        <v>0</v>
      </c>
      <c r="F38" s="10">
        <v>26.64</v>
      </c>
      <c r="G38" s="11">
        <f>IF(C38="","",ROUND(C38-D38+E38-F38,2))</f>
        <v>2777.22</v>
      </c>
    </row>
    <row r="39" spans="1:7" x14ac:dyDescent="0.25">
      <c r="A39" s="12">
        <v>45566</v>
      </c>
      <c r="B39" s="4" t="s">
        <v>163</v>
      </c>
      <c r="C39" s="10">
        <v>3417.93</v>
      </c>
      <c r="D39" s="10">
        <v>683.67</v>
      </c>
      <c r="E39" s="10">
        <v>0</v>
      </c>
      <c r="F39" s="10">
        <v>24.08</v>
      </c>
      <c r="G39" s="11">
        <f>IF(C39="","",ROUND(C39-D39+E39-F39,2))</f>
        <v>2710.18</v>
      </c>
    </row>
    <row r="40" spans="1:7" x14ac:dyDescent="0.25">
      <c r="A40" s="12">
        <v>45597</v>
      </c>
      <c r="B40" s="4" t="s">
        <v>163</v>
      </c>
      <c r="C40" s="10">
        <v>3523.93</v>
      </c>
      <c r="D40" s="10">
        <v>709.26</v>
      </c>
      <c r="E40" s="10">
        <v>0</v>
      </c>
      <c r="F40" s="10">
        <v>23.72</v>
      </c>
      <c r="G40" s="11">
        <f>IF(C40="","",ROUND(C40-D40+E40-F40,2))</f>
        <v>2790.95</v>
      </c>
    </row>
    <row r="41" spans="1:7" x14ac:dyDescent="0.25">
      <c r="A41" s="12">
        <v>45627</v>
      </c>
      <c r="B41" s="4" t="s">
        <v>163</v>
      </c>
      <c r="C41" s="10">
        <v>3489.73</v>
      </c>
      <c r="D41" s="10">
        <v>672.17</v>
      </c>
      <c r="E41" s="10">
        <v>844.55</v>
      </c>
      <c r="F41" s="10">
        <v>19.66</v>
      </c>
      <c r="G41" s="11">
        <f>IF(C41="","",ROUND(C41-D41+E41-F41,2))</f>
        <v>3642.45</v>
      </c>
    </row>
    <row r="42" spans="1:7" x14ac:dyDescent="0.25">
      <c r="A42" s="12">
        <v>45658</v>
      </c>
      <c r="B42" s="4" t="s">
        <v>163</v>
      </c>
      <c r="C42" s="10">
        <v>3455.09</v>
      </c>
      <c r="D42" s="10">
        <v>686.58</v>
      </c>
      <c r="E42" s="10">
        <v>0</v>
      </c>
      <c r="F42" s="10">
        <v>4.97</v>
      </c>
      <c r="G42" s="11">
        <f>IF(C42="","",ROUND(C42-D42+E42-F42,2))</f>
        <v>2763.54</v>
      </c>
    </row>
    <row r="43" spans="1:7" x14ac:dyDescent="0.25">
      <c r="A43" s="12">
        <v>45689</v>
      </c>
      <c r="B43" s="4" t="s">
        <v>163</v>
      </c>
      <c r="C43" s="10">
        <v>3389.76</v>
      </c>
      <c r="D43" s="10">
        <v>671.6</v>
      </c>
      <c r="E43" s="10">
        <v>0</v>
      </c>
      <c r="F43" s="10">
        <v>37.9</v>
      </c>
      <c r="G43" s="11">
        <f>IF(C43="","",ROUND(C43-D43+E43-F43,2))</f>
        <v>2680.26</v>
      </c>
    </row>
    <row r="44" spans="1:7" x14ac:dyDescent="0.25">
      <c r="A44" s="12">
        <v>45717</v>
      </c>
      <c r="B44" s="4" t="s">
        <v>163</v>
      </c>
      <c r="C44" s="10">
        <v>3447.51</v>
      </c>
      <c r="D44" s="10">
        <v>672.21</v>
      </c>
      <c r="E44" s="10">
        <v>0</v>
      </c>
      <c r="F44" s="10">
        <v>4.72</v>
      </c>
      <c r="G44" s="11">
        <f>IF(C44="","",ROUND(C44-D44+E44-F44,2))</f>
        <v>2770.58</v>
      </c>
    </row>
    <row r="45" spans="1:7" x14ac:dyDescent="0.25">
      <c r="A45" s="12">
        <v>45748</v>
      </c>
      <c r="B45" s="4" t="s">
        <v>163</v>
      </c>
      <c r="C45" s="10">
        <v>3490.34</v>
      </c>
      <c r="D45" s="10">
        <v>675.32</v>
      </c>
      <c r="E45" s="10">
        <v>0</v>
      </c>
      <c r="F45" s="10">
        <v>23.83</v>
      </c>
      <c r="G45" s="11">
        <f>IF(C45="","",ROUND(C45-D45+E45-F45,2))</f>
        <v>2791.19</v>
      </c>
    </row>
    <row r="46" spans="1:7" x14ac:dyDescent="0.25">
      <c r="A46" s="12">
        <v>45778</v>
      </c>
      <c r="B46" s="4" t="s">
        <v>163</v>
      </c>
      <c r="C46" s="10">
        <v>3384.88</v>
      </c>
      <c r="D46" s="10">
        <v>683.74</v>
      </c>
      <c r="E46" s="10">
        <v>0</v>
      </c>
      <c r="F46" s="10">
        <v>18.45</v>
      </c>
      <c r="G46" s="11">
        <f>IF(C46="","",ROUND(C46-D46+E46-F46,2))</f>
        <v>2682.69</v>
      </c>
    </row>
    <row r="47" spans="1:7" x14ac:dyDescent="0.25">
      <c r="A47" s="12">
        <v>45809</v>
      </c>
      <c r="B47" s="4" t="s">
        <v>164</v>
      </c>
      <c r="C47" s="10">
        <v>3691.9</v>
      </c>
      <c r="D47" s="10">
        <v>721.35</v>
      </c>
      <c r="E47" s="10">
        <v>537.99</v>
      </c>
      <c r="F47" s="10">
        <v>2.2</v>
      </c>
      <c r="G47" s="11">
        <f>IF(C47="","",ROUND(C47-D47+E47-F47,2))</f>
        <v>3506.34</v>
      </c>
    </row>
    <row r="48" spans="1:7" x14ac:dyDescent="0.25">
      <c r="A48" s="12">
        <v>45839</v>
      </c>
      <c r="B48" s="4" t="s">
        <v>164</v>
      </c>
      <c r="C48" s="10">
        <v>3568.85</v>
      </c>
      <c r="D48" s="10">
        <v>700.41</v>
      </c>
      <c r="E48" s="10">
        <v>0</v>
      </c>
      <c r="F48" s="10">
        <v>5.89</v>
      </c>
      <c r="G48" s="11">
        <f>IF(C48="","",ROUND(C48-D48+E48-F48,2))</f>
        <v>2862.55</v>
      </c>
    </row>
    <row r="49" spans="1:7" x14ac:dyDescent="0.25">
      <c r="A49" s="12">
        <v>45870</v>
      </c>
      <c r="B49" s="4" t="s">
        <v>164</v>
      </c>
      <c r="C49" s="10">
        <v>3684.95</v>
      </c>
      <c r="D49" s="10">
        <v>746.09</v>
      </c>
      <c r="E49" s="10">
        <v>0</v>
      </c>
      <c r="F49" s="10">
        <v>10.98</v>
      </c>
      <c r="G49" s="11">
        <f>IF(C49="","",ROUND(C49-D49+E49-F49,2))</f>
        <v>2927.88</v>
      </c>
    </row>
    <row r="50" spans="1:7" x14ac:dyDescent="0.25">
      <c r="A50" s="12">
        <v>45901</v>
      </c>
      <c r="B50" s="4" t="s">
        <v>164</v>
      </c>
      <c r="C50" s="10">
        <v>3598.83</v>
      </c>
      <c r="D50" s="10">
        <v>711.75</v>
      </c>
      <c r="E50" s="10">
        <v>0</v>
      </c>
      <c r="F50" s="10">
        <v>2.67</v>
      </c>
      <c r="G50" s="11">
        <f>IF(C50="","",ROUND(C50-D50+E50-F50,2))</f>
        <v>2884.41</v>
      </c>
    </row>
    <row r="51" spans="1:7" x14ac:dyDescent="0.25">
      <c r="A51" s="12">
        <v>45931</v>
      </c>
      <c r="B51" s="4" t="s">
        <v>164</v>
      </c>
      <c r="C51" s="10">
        <v>3646.84</v>
      </c>
      <c r="D51" s="10">
        <v>704.83</v>
      </c>
      <c r="E51" s="10">
        <v>0</v>
      </c>
      <c r="F51" s="10">
        <v>14.58</v>
      </c>
      <c r="G51" s="11">
        <f>IF(C51="","",ROUND(C51-D51+E51-F51,2))</f>
        <v>2927.43</v>
      </c>
    </row>
    <row r="52" spans="1:7" x14ac:dyDescent="0.25">
      <c r="A52" s="12">
        <v>45962</v>
      </c>
      <c r="B52" s="4" t="s">
        <v>164</v>
      </c>
      <c r="C52" s="10">
        <v>3620.78</v>
      </c>
      <c r="D52" s="10">
        <v>707.59</v>
      </c>
      <c r="E52" s="10">
        <v>0</v>
      </c>
      <c r="F52" s="10">
        <v>5.36</v>
      </c>
      <c r="G52" s="11">
        <f>IF(C52="","",ROUND(C52-D52+E52-F52,2))</f>
        <v>2907.83</v>
      </c>
    </row>
    <row r="53" spans="1:7" x14ac:dyDescent="0.25">
      <c r="A53" s="12">
        <v>45992</v>
      </c>
      <c r="B53" s="4" t="s">
        <v>164</v>
      </c>
      <c r="C53" s="10">
        <v>3552.88</v>
      </c>
      <c r="D53" s="10">
        <v>691.13</v>
      </c>
      <c r="E53" s="10">
        <v>554.02</v>
      </c>
      <c r="F53" s="10">
        <v>5.16</v>
      </c>
      <c r="G53" s="11">
        <f>IF(C53="","",ROUND(C53-D53+E53-F53,2))</f>
        <v>3410.61</v>
      </c>
    </row>
    <row r="54" spans="1:7" x14ac:dyDescent="0.25">
      <c r="A54" s="12">
        <v>46023</v>
      </c>
      <c r="B54" s="4" t="s">
        <v>164</v>
      </c>
      <c r="C54" s="10">
        <v>3686.14</v>
      </c>
      <c r="D54" s="10">
        <v>739.41</v>
      </c>
      <c r="E54" s="10">
        <v>0</v>
      </c>
      <c r="F54" s="10">
        <v>11.04</v>
      </c>
      <c r="G54" s="11">
        <f>IF(C54="","",ROUND(C54-D54+E54-F54,2))</f>
        <v>2935.69</v>
      </c>
    </row>
    <row r="55" spans="1:7" x14ac:dyDescent="0.25">
      <c r="A55" s="12">
        <v>46054</v>
      </c>
      <c r="B55" s="4" t="s">
        <v>164</v>
      </c>
      <c r="C55" s="10">
        <v>3590.68</v>
      </c>
      <c r="D55" s="10">
        <v>727.7</v>
      </c>
      <c r="E55" s="10">
        <v>0</v>
      </c>
      <c r="F55" s="10">
        <v>36.61</v>
      </c>
      <c r="G55" s="11">
        <f>IF(C55="","",ROUND(C55-D55+E55-F55,2))</f>
        <v>2826.37</v>
      </c>
    </row>
    <row r="56" spans="1:7" x14ac:dyDescent="0.25">
      <c r="A56" s="12">
        <v>46082</v>
      </c>
      <c r="B56" s="4" t="s">
        <v>164</v>
      </c>
      <c r="C56" s="10">
        <v>3565.38</v>
      </c>
      <c r="D56" s="10">
        <v>693.28</v>
      </c>
      <c r="E56" s="10">
        <v>0</v>
      </c>
      <c r="F56" s="10">
        <v>3.74</v>
      </c>
      <c r="G56" s="11">
        <f>IF(C56="","",ROUND(C56-D56+E56-F56,2))</f>
        <v>2868.36</v>
      </c>
    </row>
    <row r="57" spans="1:7" x14ac:dyDescent="0.25">
      <c r="A57" s="12">
        <v>46113</v>
      </c>
      <c r="B57" s="4" t="s">
        <v>164</v>
      </c>
      <c r="C57" s="10">
        <v>3619.61</v>
      </c>
      <c r="D57" s="10">
        <v>696.32</v>
      </c>
      <c r="E57" s="10">
        <v>0</v>
      </c>
      <c r="F57" s="10">
        <v>35.73</v>
      </c>
      <c r="G57" s="11">
        <f>IF(C57="","",ROUND(C57-D57+E57-F57,2))</f>
        <v>2887.56</v>
      </c>
    </row>
    <row r="58" spans="1:7" x14ac:dyDescent="0.25">
      <c r="A58" s="12">
        <v>46143</v>
      </c>
      <c r="B58" s="4" t="s">
        <v>164</v>
      </c>
      <c r="C58" s="10">
        <v>3571.03</v>
      </c>
      <c r="D58" s="10">
        <v>699.33</v>
      </c>
      <c r="E58" s="10">
        <v>0</v>
      </c>
      <c r="F58" s="10">
        <v>21.89</v>
      </c>
      <c r="G58" s="11">
        <f>IF(C58="","",ROUND(C58-D58+E58-F58,2))</f>
        <v>2849.81</v>
      </c>
    </row>
    <row r="59" spans="1:7" x14ac:dyDescent="0.25">
      <c r="A59" s="12">
        <v>46174</v>
      </c>
      <c r="B59" s="4" t="s">
        <v>164</v>
      </c>
      <c r="C59" s="10">
        <v>3649.21</v>
      </c>
      <c r="D59" s="10">
        <v>712.63</v>
      </c>
      <c r="E59" s="10">
        <v>602.3</v>
      </c>
      <c r="F59" s="10">
        <v>24.74</v>
      </c>
      <c r="G59" s="11">
        <f>IF(C59="","",ROUND(C59-D59+E59-F59,2))</f>
        <v>3514.14</v>
      </c>
    </row>
    <row r="60" spans="1:7" x14ac:dyDescent="0.25">
      <c r="A60" s="12">
        <v>46204</v>
      </c>
      <c r="B60" s="4" t="s">
        <v>164</v>
      </c>
      <c r="C60" s="10">
        <v>3630.17</v>
      </c>
      <c r="D60" s="10">
        <v>736.84</v>
      </c>
      <c r="E60" s="10">
        <v>0</v>
      </c>
      <c r="F60" s="10">
        <v>27.66</v>
      </c>
      <c r="G60" s="11">
        <f>IF(C60="","",ROUND(C60-D60+E60-F60,2))</f>
        <v>2865.67</v>
      </c>
    </row>
    <row r="61" spans="1:7" x14ac:dyDescent="0.25">
      <c r="A61" s="12">
        <v>46235</v>
      </c>
      <c r="B61" s="4" t="s">
        <v>164</v>
      </c>
      <c r="C61" s="10">
        <v>3722.93</v>
      </c>
      <c r="D61" s="10">
        <v>752.86</v>
      </c>
      <c r="E61" s="10">
        <v>0</v>
      </c>
      <c r="F61" s="10">
        <v>25.68</v>
      </c>
      <c r="G61" s="11">
        <f>IF(C61="","",ROUND(C61-D61+E61-F61,2))</f>
        <v>2944.39</v>
      </c>
    </row>
    <row r="62" spans="1:7" x14ac:dyDescent="0.25">
      <c r="A62" s="12"/>
      <c r="C62" s="10"/>
      <c r="D62" s="10"/>
      <c r="E62" s="10"/>
      <c r="F62" s="10"/>
      <c r="G62" s="11" t="str">
        <f>IF(C62="","",ROUND(C62-D62+E62-F62,2))</f>
        <v/>
      </c>
    </row>
    <row r="63" spans="1:7" x14ac:dyDescent="0.25">
      <c r="A63" s="12"/>
      <c r="C63" s="10"/>
      <c r="D63" s="10"/>
      <c r="E63" s="10"/>
      <c r="F63" s="10"/>
      <c r="G63" s="11" t="str">
        <f>IF(C63="","",ROUND(C63-D63+E63-F63,2))</f>
        <v/>
      </c>
    </row>
    <row r="64" spans="1:7" x14ac:dyDescent="0.25">
      <c r="A64" s="12"/>
      <c r="C64" s="10"/>
      <c r="D64" s="10"/>
      <c r="E64" s="10"/>
      <c r="F64" s="10"/>
      <c r="G64" s="11" t="str">
        <f>IF(C64="","",ROUND(C64-D64+E64-F64,2))</f>
        <v/>
      </c>
    </row>
    <row r="65" spans="1:7" x14ac:dyDescent="0.25">
      <c r="A65" s="12"/>
      <c r="C65" s="10"/>
      <c r="D65" s="10"/>
      <c r="E65" s="10"/>
      <c r="F65" s="10"/>
      <c r="G65" s="11" t="str">
        <f>IF(C65="","",ROUND(C65-D65+E65-F65,2))</f>
        <v/>
      </c>
    </row>
    <row r="66" spans="1:7" x14ac:dyDescent="0.25">
      <c r="A66" s="12"/>
      <c r="C66" s="10"/>
      <c r="D66" s="10"/>
      <c r="E66" s="10"/>
      <c r="F66" s="10"/>
      <c r="G66" s="11" t="str">
        <f>IF(C66="","",ROUND(C66-D66+E66-F66,2))</f>
        <v/>
      </c>
    </row>
    <row r="67" spans="1:7" x14ac:dyDescent="0.25">
      <c r="A67" s="12"/>
      <c r="C67" s="10"/>
      <c r="D67" s="10"/>
      <c r="E67" s="10"/>
      <c r="F67" s="10"/>
      <c r="G67" s="11" t="str">
        <f>IF(C67="","",ROUND(C67-D67+E67-F67,2))</f>
        <v/>
      </c>
    </row>
    <row r="68" spans="1:7" x14ac:dyDescent="0.25">
      <c r="A68" s="12"/>
      <c r="C68" s="10"/>
      <c r="D68" s="10"/>
      <c r="E68" s="10"/>
      <c r="F68" s="10"/>
      <c r="G68" s="11" t="str">
        <f>IF(C68="","",ROUND(C68-D68+E68-F68,2))</f>
        <v/>
      </c>
    </row>
    <row r="69" spans="1:7" x14ac:dyDescent="0.25">
      <c r="A69" s="12"/>
      <c r="C69" s="10"/>
      <c r="D69" s="10"/>
      <c r="E69" s="10"/>
      <c r="F69" s="10"/>
      <c r="G69" s="11" t="str">
        <f>IF(C69="","",ROUND(C69-D69+E69-F69,2))</f>
        <v/>
      </c>
    </row>
    <row r="70" spans="1:7" x14ac:dyDescent="0.25">
      <c r="A70" s="12"/>
      <c r="C70" s="10"/>
      <c r="D70" s="10"/>
      <c r="E70" s="10"/>
      <c r="F70" s="10"/>
      <c r="G70" s="11" t="str">
        <f>IF(C70="","",ROUND(C70-D70+E70-F70,2))</f>
        <v/>
      </c>
    </row>
    <row r="71" spans="1:7" x14ac:dyDescent="0.25">
      <c r="A71" s="12"/>
      <c r="C71" s="10"/>
      <c r="D71" s="10"/>
      <c r="E71" s="10"/>
      <c r="F71" s="10"/>
      <c r="G71" s="11" t="str">
        <f>IF(C71="","",ROUND(C71-D71+E71-F71,2))</f>
        <v/>
      </c>
    </row>
    <row r="72" spans="1:7" x14ac:dyDescent="0.25">
      <c r="A72" s="12"/>
      <c r="C72" s="10"/>
      <c r="D72" s="10"/>
      <c r="E72" s="10"/>
      <c r="F72" s="10"/>
      <c r="G72" s="11" t="str">
        <f>IF(C72="","",ROUND(C72-D72+E72-F72,2))</f>
        <v/>
      </c>
    </row>
    <row r="73" spans="1:7" x14ac:dyDescent="0.25">
      <c r="A73" s="12"/>
      <c r="C73" s="10"/>
      <c r="D73" s="10"/>
      <c r="E73" s="10"/>
      <c r="F73" s="10"/>
      <c r="G73" s="11" t="str">
        <f>IF(C73="","",ROUND(C73-D73+E73-F73,2))</f>
        <v/>
      </c>
    </row>
    <row r="74" spans="1:7" x14ac:dyDescent="0.25">
      <c r="A74" s="12"/>
      <c r="C74" s="10"/>
      <c r="D74" s="10"/>
      <c r="E74" s="10"/>
      <c r="F74" s="10"/>
      <c r="G74" s="11" t="str">
        <f>IF(C74="","",ROUND(C74-D74+E74-F74,2))</f>
        <v/>
      </c>
    </row>
    <row r="75" spans="1:7" x14ac:dyDescent="0.25">
      <c r="A75" s="12"/>
      <c r="C75" s="10"/>
      <c r="D75" s="10"/>
      <c r="E75" s="10"/>
      <c r="F75" s="10"/>
      <c r="G75" s="11" t="str">
        <f>IF(C75="","",ROUND(C75-D75+E75-F75,2))</f>
        <v/>
      </c>
    </row>
    <row r="76" spans="1:7" x14ac:dyDescent="0.25">
      <c r="A76" s="12"/>
      <c r="C76" s="10"/>
      <c r="D76" s="10"/>
      <c r="E76" s="10"/>
      <c r="F76" s="10"/>
      <c r="G76" s="11" t="str">
        <f>IF(C76="","",ROUND(C76-D76+E76-F76,2))</f>
        <v/>
      </c>
    </row>
    <row r="77" spans="1:7" x14ac:dyDescent="0.25">
      <c r="A77" s="12"/>
      <c r="C77" s="10"/>
      <c r="D77" s="10"/>
      <c r="E77" s="10"/>
      <c r="F77" s="10"/>
      <c r="G77" s="11" t="str">
        <f>IF(C77="","",ROUND(C77-D77+E77-F77,2))</f>
        <v/>
      </c>
    </row>
    <row r="78" spans="1:7" x14ac:dyDescent="0.25">
      <c r="A78" s="12"/>
      <c r="C78" s="10"/>
      <c r="D78" s="10"/>
      <c r="E78" s="10"/>
      <c r="F78" s="10"/>
      <c r="G78" s="11" t="str">
        <f>IF(C78="","",ROUND(C78-D78+E78-F78,2))</f>
        <v/>
      </c>
    </row>
    <row r="79" spans="1:7" x14ac:dyDescent="0.25">
      <c r="A79" s="12"/>
      <c r="C79" s="10"/>
      <c r="D79" s="10"/>
      <c r="E79" s="10"/>
      <c r="F79" s="10"/>
      <c r="G79" s="11" t="str">
        <f>IF(C79="","",ROUND(C79-D79+E79-F79,2))</f>
        <v/>
      </c>
    </row>
    <row r="80" spans="1:7" x14ac:dyDescent="0.25">
      <c r="A80" s="12"/>
      <c r="C80" s="10"/>
      <c r="D80" s="10"/>
      <c r="E80" s="10"/>
      <c r="F80" s="10"/>
      <c r="G80" s="11" t="str">
        <f>IF(C80="","",ROUND(C80-D80+E80-F80,2))</f>
        <v/>
      </c>
    </row>
    <row r="81" spans="1:7" x14ac:dyDescent="0.25">
      <c r="A81" s="12"/>
      <c r="C81" s="10"/>
      <c r="D81" s="10"/>
      <c r="E81" s="10"/>
      <c r="F81" s="10"/>
      <c r="G81" s="11" t="str">
        <f>IF(C81="","",ROUND(C81-D81+E81-F81,2))</f>
        <v/>
      </c>
    </row>
    <row r="82" spans="1:7" x14ac:dyDescent="0.25">
      <c r="A82" s="12"/>
      <c r="C82" s="10"/>
      <c r="D82" s="10"/>
      <c r="E82" s="10"/>
      <c r="F82" s="10"/>
      <c r="G82" s="11" t="str">
        <f>IF(C82="","",ROUND(C82-D82+E82-F82,2))</f>
        <v/>
      </c>
    </row>
    <row r="83" spans="1:7" x14ac:dyDescent="0.25">
      <c r="A83" s="12"/>
      <c r="C83" s="10"/>
      <c r="D83" s="10"/>
      <c r="E83" s="10"/>
      <c r="F83" s="10"/>
      <c r="G83" s="11" t="str">
        <f>IF(C83="","",ROUND(C83-D83+E83-F83,2))</f>
        <v/>
      </c>
    </row>
    <row r="84" spans="1:7" x14ac:dyDescent="0.25">
      <c r="A84" s="12"/>
      <c r="C84" s="10"/>
      <c r="D84" s="10"/>
      <c r="E84" s="10"/>
      <c r="F84" s="10"/>
      <c r="G84" s="11" t="str">
        <f>IF(C84="","",ROUND(C84-D84+E84-F84,2))</f>
        <v/>
      </c>
    </row>
    <row r="85" spans="1:7" x14ac:dyDescent="0.25">
      <c r="A85" s="12"/>
      <c r="C85" s="10"/>
      <c r="D85" s="10"/>
      <c r="E85" s="10"/>
      <c r="F85" s="10"/>
      <c r="G85" s="11" t="str">
        <f>IF(C85="","",ROUND(C85-D85+E85-F85,2))</f>
        <v/>
      </c>
    </row>
    <row r="86" spans="1:7" x14ac:dyDescent="0.25">
      <c r="A86" s="12"/>
      <c r="C86" s="10"/>
      <c r="D86" s="10"/>
      <c r="E86" s="10"/>
      <c r="F86" s="10"/>
      <c r="G86" s="11" t="str">
        <f>IF(C86="","",ROUND(C86-D86+E86-F86,2))</f>
        <v/>
      </c>
    </row>
    <row r="87" spans="1:7" x14ac:dyDescent="0.25">
      <c r="A87" s="12"/>
      <c r="C87" s="10"/>
      <c r="D87" s="10"/>
      <c r="E87" s="10"/>
      <c r="F87" s="10"/>
      <c r="G87" s="11" t="str">
        <f>IF(C87="","",ROUND(C87-D87+E87-F87,2))</f>
        <v/>
      </c>
    </row>
    <row r="88" spans="1:7" x14ac:dyDescent="0.25">
      <c r="A88" s="12"/>
      <c r="C88" s="10"/>
      <c r="D88" s="10"/>
      <c r="E88" s="10"/>
      <c r="F88" s="10"/>
      <c r="G88" s="11" t="str">
        <f>IF(C88="","",ROUND(C88-D88+E88-F88,2))</f>
        <v/>
      </c>
    </row>
    <row r="89" spans="1:7" x14ac:dyDescent="0.25">
      <c r="A89" s="12"/>
      <c r="C89" s="10"/>
      <c r="D89" s="10"/>
      <c r="E89" s="10"/>
      <c r="F89" s="10"/>
      <c r="G89" s="11" t="str">
        <f>IF(C89="","",ROUND(C89-D89+E89-F89,2))</f>
        <v/>
      </c>
    </row>
    <row r="90" spans="1:7" x14ac:dyDescent="0.25">
      <c r="A90" s="12"/>
      <c r="C90" s="10"/>
      <c r="D90" s="10"/>
      <c r="E90" s="10"/>
      <c r="F90" s="10"/>
      <c r="G90" s="11" t="str">
        <f>IF(C90="","",ROUND(C90-D90+E90-F90,2))</f>
        <v/>
      </c>
    </row>
    <row r="91" spans="1:7" x14ac:dyDescent="0.25">
      <c r="A91" s="12"/>
      <c r="C91" s="10"/>
      <c r="D91" s="10"/>
      <c r="E91" s="10"/>
      <c r="F91" s="10"/>
      <c r="G91" s="11" t="str">
        <f>IF(C91="","",ROUND(C91-D91+E91-F91,2))</f>
        <v/>
      </c>
    </row>
    <row r="92" spans="1:7" x14ac:dyDescent="0.25">
      <c r="A92" s="12"/>
      <c r="C92" s="10"/>
      <c r="D92" s="10"/>
      <c r="E92" s="10"/>
      <c r="F92" s="10"/>
      <c r="G92" s="11" t="str">
        <f>IF(C92="","",ROUND(C92-D92+E92-F92,2))</f>
        <v/>
      </c>
    </row>
    <row r="93" spans="1:7" x14ac:dyDescent="0.25">
      <c r="A93" s="12"/>
      <c r="C93" s="10"/>
      <c r="D93" s="10"/>
      <c r="E93" s="10"/>
      <c r="F93" s="10"/>
      <c r="G93" s="11" t="str">
        <f>IF(C93="","",ROUND(C93-D93+E93-F93,2))</f>
        <v/>
      </c>
    </row>
    <row r="94" spans="1:7" x14ac:dyDescent="0.25">
      <c r="A94" s="12"/>
      <c r="C94" s="10"/>
      <c r="D94" s="10"/>
      <c r="E94" s="10"/>
      <c r="F94" s="10"/>
      <c r="G94" s="11" t="str">
        <f>IF(C94="","",ROUND(C94-D94+E94-F94,2))</f>
        <v/>
      </c>
    </row>
    <row r="95" spans="1:7" x14ac:dyDescent="0.25">
      <c r="A95" s="12"/>
      <c r="C95" s="10"/>
      <c r="D95" s="10"/>
      <c r="E95" s="10"/>
      <c r="F95" s="10"/>
      <c r="G95" s="11" t="str">
        <f>IF(C95="","",ROUND(C95-D95+E95-F95,2))</f>
        <v/>
      </c>
    </row>
    <row r="96" spans="1:7" x14ac:dyDescent="0.25">
      <c r="A96" s="12"/>
      <c r="C96" s="10"/>
      <c r="D96" s="10"/>
      <c r="E96" s="10"/>
      <c r="F96" s="10"/>
      <c r="G96" s="11" t="str">
        <f>IF(C96="","",ROUND(C96-D96+E96-F96,2))</f>
        <v/>
      </c>
    </row>
    <row r="97" spans="1:7" x14ac:dyDescent="0.25">
      <c r="A97" s="12"/>
      <c r="C97" s="10"/>
      <c r="D97" s="10"/>
      <c r="E97" s="10"/>
      <c r="F97" s="10"/>
      <c r="G97" s="11" t="str">
        <f>IF(C97="","",ROUND(C97-D97+E97-F97,2))</f>
        <v/>
      </c>
    </row>
    <row r="98" spans="1:7" x14ac:dyDescent="0.25">
      <c r="A98" s="12"/>
      <c r="C98" s="10"/>
      <c r="D98" s="10"/>
      <c r="E98" s="10"/>
      <c r="F98" s="10"/>
      <c r="G98" s="11" t="str">
        <f>IF(C98="","",ROUND(C98-D98+E98-F98,2))</f>
        <v/>
      </c>
    </row>
    <row r="99" spans="1:7" x14ac:dyDescent="0.25">
      <c r="A99" s="12"/>
      <c r="C99" s="10"/>
      <c r="D99" s="10"/>
      <c r="E99" s="10"/>
      <c r="F99" s="10"/>
      <c r="G99" s="11" t="str">
        <f>IF(C99="","",ROUND(C99-D99+E99-F99,2))</f>
        <v/>
      </c>
    </row>
    <row r="100" spans="1:7" x14ac:dyDescent="0.25">
      <c r="A100" s="12"/>
      <c r="C100" s="10"/>
      <c r="D100" s="10"/>
      <c r="E100" s="10"/>
      <c r="F100" s="10"/>
      <c r="G100" s="11" t="str">
        <f>IF(C100="","",ROUND(C100-D100+E100-F100,2))</f>
        <v/>
      </c>
    </row>
    <row r="101" spans="1:7" x14ac:dyDescent="0.25">
      <c r="A101" s="12"/>
      <c r="C101" s="10"/>
      <c r="D101" s="10"/>
      <c r="E101" s="10"/>
      <c r="F101" s="10"/>
      <c r="G101" s="11" t="str">
        <f>IF(C101="","",ROUND(C101-D101+E101-F101,2))</f>
        <v/>
      </c>
    </row>
    <row r="102" spans="1:7" x14ac:dyDescent="0.25">
      <c r="A102" s="12"/>
      <c r="C102" s="10"/>
      <c r="D102" s="10"/>
      <c r="E102" s="10"/>
      <c r="F102" s="10"/>
      <c r="G102" s="11" t="str">
        <f>IF(C102="","",ROUND(C102-D102+E102-F102,2))</f>
        <v/>
      </c>
    </row>
    <row r="103" spans="1:7" x14ac:dyDescent="0.25">
      <c r="A103" s="12"/>
      <c r="C103" s="10"/>
      <c r="D103" s="10"/>
      <c r="E103" s="10"/>
      <c r="F103" s="10"/>
      <c r="G103" s="11" t="str">
        <f>IF(C103="","",ROUND(C103-D103+E103-F103,2))</f>
        <v/>
      </c>
    </row>
    <row r="104" spans="1:7" x14ac:dyDescent="0.25">
      <c r="A104" s="12"/>
      <c r="C104" s="10"/>
      <c r="D104" s="10"/>
      <c r="E104" s="10"/>
      <c r="F104" s="10"/>
      <c r="G104" s="11" t="str">
        <f>IF(C104="","",ROUND(C104-D104+E104-F104,2))</f>
        <v/>
      </c>
    </row>
    <row r="105" spans="1:7" x14ac:dyDescent="0.25">
      <c r="A105" s="12"/>
      <c r="C105" s="10"/>
      <c r="D105" s="10"/>
      <c r="E105" s="10"/>
      <c r="F105" s="10"/>
      <c r="G105" s="11" t="str">
        <f>IF(C105="","",ROUND(C105-D105+E105-F105,2))</f>
        <v/>
      </c>
    </row>
    <row r="106" spans="1:7" x14ac:dyDescent="0.25">
      <c r="A106" s="12"/>
      <c r="C106" s="10"/>
      <c r="D106" s="10"/>
      <c r="E106" s="10"/>
      <c r="F106" s="10"/>
      <c r="G106" s="11" t="str">
        <f>IF(C106="","",ROUND(C106-D106+E106-F106,2))</f>
        <v/>
      </c>
    </row>
    <row r="107" spans="1:7" x14ac:dyDescent="0.25">
      <c r="A107" s="12"/>
      <c r="C107" s="10"/>
      <c r="D107" s="10"/>
      <c r="E107" s="10"/>
      <c r="F107" s="10"/>
      <c r="G107" s="11" t="str">
        <f>IF(C107="","",ROUND(C107-D107+E107-F107,2))</f>
        <v/>
      </c>
    </row>
    <row r="108" spans="1:7" x14ac:dyDescent="0.25">
      <c r="A108" s="12"/>
      <c r="C108" s="10"/>
      <c r="D108" s="10"/>
      <c r="E108" s="10"/>
      <c r="F108" s="10"/>
      <c r="G108" s="11" t="str">
        <f>IF(C108="","",ROUND(C108-D108+E108-F108,2))</f>
        <v/>
      </c>
    </row>
    <row r="109" spans="1:7" x14ac:dyDescent="0.25">
      <c r="A109" s="12"/>
      <c r="C109" s="10"/>
      <c r="D109" s="10"/>
      <c r="E109" s="10"/>
      <c r="F109" s="10"/>
      <c r="G109" s="11" t="str">
        <f>IF(C109="","",ROUND(C109-D109+E109-F109,2))</f>
        <v/>
      </c>
    </row>
    <row r="110" spans="1:7" x14ac:dyDescent="0.25">
      <c r="A110" s="12"/>
      <c r="C110" s="10"/>
      <c r="D110" s="10"/>
      <c r="E110" s="10"/>
      <c r="F110" s="10"/>
      <c r="G110" s="11" t="str">
        <f>IF(C110="","",ROUND(C110-D110+E110-F110,2))</f>
        <v/>
      </c>
    </row>
    <row r="111" spans="1:7" x14ac:dyDescent="0.25">
      <c r="A111" s="12"/>
      <c r="C111" s="10"/>
      <c r="D111" s="10"/>
      <c r="E111" s="10"/>
      <c r="F111" s="10"/>
      <c r="G111" s="11" t="str">
        <f>IF(C111="","",ROUND(C111-D111+E111-F111,2))</f>
        <v/>
      </c>
    </row>
    <row r="112" spans="1:7" x14ac:dyDescent="0.25">
      <c r="A112" s="12"/>
      <c r="C112" s="10"/>
      <c r="D112" s="10"/>
      <c r="E112" s="10"/>
      <c r="F112" s="10"/>
      <c r="G112" s="11" t="str">
        <f>IF(C112="","",ROUND(C112-D112+E112-F112,2))</f>
        <v/>
      </c>
    </row>
    <row r="113" spans="1:7" x14ac:dyDescent="0.25">
      <c r="A113" s="12"/>
      <c r="C113" s="10"/>
      <c r="D113" s="10"/>
      <c r="E113" s="10"/>
      <c r="F113" s="10"/>
      <c r="G113" s="11" t="str">
        <f>IF(C113="","",ROUND(C113-D113+E113-F113,2))</f>
        <v/>
      </c>
    </row>
    <row r="114" spans="1:7" x14ac:dyDescent="0.25">
      <c r="A114" s="12"/>
      <c r="C114" s="10"/>
      <c r="D114" s="10"/>
      <c r="E114" s="10"/>
      <c r="F114" s="10"/>
      <c r="G114" s="11" t="str">
        <f>IF(C114="","",ROUND(C114-D114+E114-F114,2))</f>
        <v/>
      </c>
    </row>
    <row r="115" spans="1:7" x14ac:dyDescent="0.25">
      <c r="A115" s="12"/>
      <c r="C115" s="10"/>
      <c r="D115" s="10"/>
      <c r="E115" s="10"/>
      <c r="F115" s="10"/>
      <c r="G115" s="11" t="str">
        <f>IF(C115="","",ROUND(C115-D115+E115-F115,2))</f>
        <v/>
      </c>
    </row>
    <row r="116" spans="1:7" x14ac:dyDescent="0.25">
      <c r="A116" s="12"/>
      <c r="C116" s="10"/>
      <c r="D116" s="10"/>
      <c r="E116" s="10"/>
      <c r="F116" s="10"/>
      <c r="G116" s="11" t="str">
        <f>IF(C116="","",ROUND(C116-D116+E116-F116,2))</f>
        <v/>
      </c>
    </row>
    <row r="117" spans="1:7" x14ac:dyDescent="0.25">
      <c r="A117" s="12"/>
      <c r="C117" s="10"/>
      <c r="D117" s="10"/>
      <c r="E117" s="10"/>
      <c r="F117" s="10"/>
      <c r="G117" s="11" t="str">
        <f>IF(C117="","",ROUND(C117-D117+E117-F117,2))</f>
        <v/>
      </c>
    </row>
    <row r="118" spans="1:7" x14ac:dyDescent="0.25">
      <c r="A118" s="12"/>
      <c r="C118" s="10"/>
      <c r="D118" s="10"/>
      <c r="E118" s="10"/>
      <c r="F118" s="10"/>
      <c r="G118" s="11" t="str">
        <f>IF(C118="","",ROUND(C118-D118+E118-F118,2))</f>
        <v/>
      </c>
    </row>
    <row r="119" spans="1:7" x14ac:dyDescent="0.25">
      <c r="A119" s="12"/>
      <c r="C119" s="10"/>
      <c r="D119" s="10"/>
      <c r="E119" s="10"/>
      <c r="F119" s="10"/>
      <c r="G119" s="11" t="str">
        <f>IF(C119="","",ROUND(C119-D119+E119-F119,2))</f>
        <v/>
      </c>
    </row>
    <row r="120" spans="1:7" x14ac:dyDescent="0.25">
      <c r="A120" s="12"/>
      <c r="C120" s="10"/>
      <c r="D120" s="10"/>
      <c r="E120" s="10"/>
      <c r="F120" s="10"/>
      <c r="G120" s="11" t="str">
        <f>IF(C120="","",ROUND(C120-D120+E120-F120,2))</f>
        <v/>
      </c>
    </row>
    <row r="121" spans="1:7" x14ac:dyDescent="0.25">
      <c r="A121" s="12"/>
      <c r="C121" s="10"/>
      <c r="D121" s="10"/>
      <c r="E121" s="10"/>
      <c r="F121" s="10"/>
      <c r="G121" s="11" t="str">
        <f>IF(C121="","",ROUND(C121-D121+E121-F121,2))</f>
        <v/>
      </c>
    </row>
    <row r="122" spans="1:7" x14ac:dyDescent="0.25">
      <c r="A122" s="12"/>
      <c r="C122" s="10"/>
      <c r="D122" s="10"/>
      <c r="E122" s="10"/>
      <c r="F122" s="10"/>
      <c r="G122" s="11" t="str">
        <f>IF(C122="","",ROUND(C122-D122+E122-F122,2))</f>
        <v/>
      </c>
    </row>
    <row r="123" spans="1:7" x14ac:dyDescent="0.25">
      <c r="A123" s="12"/>
      <c r="C123" s="10"/>
      <c r="D123" s="10"/>
      <c r="E123" s="10"/>
      <c r="F123" s="10"/>
      <c r="G123" s="11" t="str">
        <f>IF(C123="","",ROUND(C123-D123+E123-F123,2))</f>
        <v/>
      </c>
    </row>
    <row r="124" spans="1:7" x14ac:dyDescent="0.25">
      <c r="A124" s="12"/>
      <c r="C124" s="10"/>
      <c r="D124" s="10"/>
      <c r="E124" s="10"/>
      <c r="F124" s="10"/>
      <c r="G124" s="11" t="str">
        <f>IF(C124="","",ROUND(C124-D124+E124-F124,2))</f>
        <v/>
      </c>
    </row>
    <row r="125" spans="1:7" x14ac:dyDescent="0.25">
      <c r="A125" s="12"/>
      <c r="C125" s="10"/>
      <c r="D125" s="10"/>
      <c r="E125" s="10"/>
      <c r="F125" s="10"/>
      <c r="G125" s="11" t="str">
        <f>IF(C125="","",ROUND(C125-D125+E125-F125,2))</f>
        <v/>
      </c>
    </row>
    <row r="126" spans="1:7" x14ac:dyDescent="0.25">
      <c r="A126" s="12"/>
      <c r="C126" s="10"/>
      <c r="D126" s="10"/>
      <c r="E126" s="10"/>
      <c r="F126" s="10"/>
      <c r="G126" s="11" t="str">
        <f>IF(C126="","",ROUND(C126-D126+E126-F126,2))</f>
        <v/>
      </c>
    </row>
    <row r="127" spans="1:7" x14ac:dyDescent="0.25">
      <c r="A127" s="12"/>
      <c r="C127" s="10"/>
      <c r="D127" s="10"/>
      <c r="E127" s="10"/>
      <c r="F127" s="10"/>
      <c r="G127" s="11" t="str">
        <f>IF(C127="","",ROUND(C127-D127+E127-F127,2))</f>
        <v/>
      </c>
    </row>
    <row r="128" spans="1:7" x14ac:dyDescent="0.25">
      <c r="A128" s="12"/>
      <c r="C128" s="10"/>
      <c r="D128" s="10"/>
      <c r="E128" s="10"/>
      <c r="F128" s="10"/>
      <c r="G128" s="11" t="str">
        <f>IF(C128="","",ROUND(C128-D128+E128-F128,2))</f>
        <v/>
      </c>
    </row>
    <row r="129" spans="1:7" x14ac:dyDescent="0.25">
      <c r="A129" s="12"/>
      <c r="C129" s="10"/>
      <c r="D129" s="10"/>
      <c r="E129" s="10"/>
      <c r="F129" s="10"/>
      <c r="G129" s="11" t="str">
        <f>IF(C129="","",ROUND(C129-D129+E129-F129,2))</f>
        <v/>
      </c>
    </row>
    <row r="130" spans="1:7" x14ac:dyDescent="0.25">
      <c r="A130" s="12"/>
      <c r="C130" s="10"/>
      <c r="D130" s="10"/>
      <c r="E130" s="10"/>
      <c r="F130" s="10"/>
      <c r="G130" s="11" t="str">
        <f>IF(C130="","",ROUND(C130-D130+E130-F130,2))</f>
        <v/>
      </c>
    </row>
    <row r="131" spans="1:7" x14ac:dyDescent="0.25">
      <c r="A131" s="12"/>
      <c r="C131" s="10"/>
      <c r="D131" s="10"/>
      <c r="E131" s="10"/>
      <c r="F131" s="10"/>
      <c r="G131" s="11" t="str">
        <f>IF(C131="","",ROUND(C131-D131+E131-F131,2))</f>
        <v/>
      </c>
    </row>
    <row r="132" spans="1:7" x14ac:dyDescent="0.25">
      <c r="A132" s="12"/>
      <c r="C132" s="10"/>
      <c r="D132" s="10"/>
      <c r="E132" s="10"/>
      <c r="F132" s="10"/>
      <c r="G132" s="11" t="str">
        <f>IF(C132="","",ROUND(C132-D132+E132-F132,2))</f>
        <v/>
      </c>
    </row>
    <row r="133" spans="1:7" x14ac:dyDescent="0.25">
      <c r="A133" s="12"/>
      <c r="C133" s="10"/>
      <c r="D133" s="10"/>
      <c r="E133" s="10"/>
      <c r="F133" s="10"/>
      <c r="G133" s="11" t="str">
        <f>IF(C133="","",ROUND(C133-D133+E133-F133,2))</f>
        <v/>
      </c>
    </row>
    <row r="134" spans="1:7" x14ac:dyDescent="0.25">
      <c r="A134" s="12"/>
      <c r="C134" s="10"/>
      <c r="D134" s="10"/>
      <c r="E134" s="10"/>
      <c r="F134" s="10"/>
      <c r="G134" s="11" t="str">
        <f>IF(C134="","",ROUND(C134-D134+E134-F134,2))</f>
        <v/>
      </c>
    </row>
    <row r="135" spans="1:7" x14ac:dyDescent="0.25">
      <c r="A135" s="12"/>
      <c r="C135" s="10"/>
      <c r="D135" s="10"/>
      <c r="E135" s="10"/>
      <c r="F135" s="10"/>
      <c r="G135" s="11" t="str">
        <f>IF(C135="","",ROUND(C135-D135+E135-F135,2))</f>
        <v/>
      </c>
    </row>
    <row r="136" spans="1:7" x14ac:dyDescent="0.25">
      <c r="A136" s="12"/>
      <c r="C136" s="10"/>
      <c r="D136" s="10"/>
      <c r="E136" s="10"/>
      <c r="F136" s="10"/>
      <c r="G136" s="11" t="str">
        <f>IF(C136="","",ROUND(C136-D136+E136-F136,2))</f>
        <v/>
      </c>
    </row>
    <row r="137" spans="1:7" x14ac:dyDescent="0.25">
      <c r="A137" s="12"/>
      <c r="C137" s="10"/>
      <c r="D137" s="10"/>
      <c r="E137" s="10"/>
      <c r="F137" s="10"/>
      <c r="G137" s="11" t="str">
        <f>IF(C137="","",ROUND(C137-D137+E137-F137,2))</f>
        <v/>
      </c>
    </row>
    <row r="138" spans="1:7" x14ac:dyDescent="0.25">
      <c r="A138" s="12"/>
      <c r="C138" s="10"/>
      <c r="D138" s="10"/>
      <c r="E138" s="10"/>
      <c r="F138" s="10"/>
      <c r="G138" s="11" t="str">
        <f>IF(C138="","",ROUND(C138-D138+E138-F138,2))</f>
        <v/>
      </c>
    </row>
    <row r="139" spans="1:7" x14ac:dyDescent="0.25">
      <c r="A139" s="12"/>
      <c r="C139" s="10"/>
      <c r="D139" s="10"/>
      <c r="E139" s="10"/>
      <c r="F139" s="10"/>
      <c r="G139" s="11" t="str">
        <f>IF(C139="","",ROUND(C139-D139+E139-F139,2))</f>
        <v/>
      </c>
    </row>
    <row r="140" spans="1:7" x14ac:dyDescent="0.25">
      <c r="A140" s="12"/>
      <c r="C140" s="10"/>
      <c r="D140" s="10"/>
      <c r="E140" s="10"/>
      <c r="F140" s="10"/>
      <c r="G140" s="11" t="str">
        <f>IF(C140="","",ROUND(C140-D140+E140-F140,2))</f>
        <v/>
      </c>
    </row>
    <row r="141" spans="1:7" x14ac:dyDescent="0.25">
      <c r="A141" s="12"/>
      <c r="C141" s="10"/>
      <c r="D141" s="10"/>
      <c r="E141" s="10"/>
      <c r="F141" s="10"/>
      <c r="G141" s="11" t="str">
        <f>IF(C141="","",ROUND(C141-D141+E141-F141,2))</f>
        <v/>
      </c>
    </row>
    <row r="142" spans="1:7" x14ac:dyDescent="0.25">
      <c r="A142" s="12"/>
      <c r="C142" s="10"/>
      <c r="D142" s="10"/>
      <c r="E142" s="10"/>
      <c r="F142" s="10"/>
      <c r="G142" s="11" t="str">
        <f>IF(C142="","",ROUND(C142-D142+E142-F142,2))</f>
        <v/>
      </c>
    </row>
    <row r="143" spans="1:7" x14ac:dyDescent="0.25">
      <c r="A143" s="12"/>
      <c r="C143" s="10"/>
      <c r="D143" s="10"/>
      <c r="E143" s="10"/>
      <c r="F143" s="10"/>
      <c r="G143" s="11" t="str">
        <f>IF(C143="","",ROUND(C143-D143+E143-F143,2))</f>
        <v/>
      </c>
    </row>
    <row r="144" spans="1:7" x14ac:dyDescent="0.25">
      <c r="A144" s="12"/>
      <c r="C144" s="10"/>
      <c r="D144" s="10"/>
      <c r="E144" s="10"/>
      <c r="F144" s="10"/>
      <c r="G144" s="11" t="str">
        <f>IF(C144="","",ROUND(C144-D144+E144-F144,2))</f>
        <v/>
      </c>
    </row>
    <row r="145" spans="1:7" x14ac:dyDescent="0.25">
      <c r="A145" s="12"/>
      <c r="C145" s="10"/>
      <c r="D145" s="10"/>
      <c r="E145" s="10"/>
      <c r="F145" s="10"/>
      <c r="G145" s="11" t="str">
        <f>IF(C145="","",ROUND(C145-D145+E145-F145,2))</f>
        <v/>
      </c>
    </row>
    <row r="146" spans="1:7" x14ac:dyDescent="0.25">
      <c r="A146" s="12"/>
      <c r="C146" s="10"/>
      <c r="D146" s="10"/>
      <c r="E146" s="10"/>
      <c r="F146" s="10"/>
      <c r="G146" s="11" t="str">
        <f>IF(C146="","",ROUND(C146-D146+E146-F146,2))</f>
        <v/>
      </c>
    </row>
    <row r="147" spans="1:7" x14ac:dyDescent="0.25">
      <c r="A147" s="12"/>
      <c r="C147" s="10"/>
      <c r="D147" s="10"/>
      <c r="E147" s="10"/>
      <c r="F147" s="10"/>
      <c r="G147" s="11" t="str">
        <f>IF(C147="","",ROUND(C147-D147+E147-F147,2))</f>
        <v/>
      </c>
    </row>
    <row r="148" spans="1:7" x14ac:dyDescent="0.25">
      <c r="A148" s="12"/>
      <c r="C148" s="10"/>
      <c r="D148" s="10"/>
      <c r="E148" s="10"/>
      <c r="F148" s="10"/>
      <c r="G148" s="11" t="str">
        <f>IF(C148="","",ROUND(C148-D148+E148-F148,2))</f>
        <v/>
      </c>
    </row>
    <row r="149" spans="1:7" x14ac:dyDescent="0.25">
      <c r="A149" s="12"/>
      <c r="C149" s="10"/>
      <c r="D149" s="10"/>
      <c r="E149" s="10"/>
      <c r="F149" s="10"/>
      <c r="G149" s="11" t="str">
        <f>IF(C149="","",ROUND(C149-D149+E149-F149,2))</f>
        <v/>
      </c>
    </row>
    <row r="150" spans="1:7" x14ac:dyDescent="0.25">
      <c r="A150" s="12"/>
      <c r="C150" s="10"/>
      <c r="D150" s="10"/>
      <c r="E150" s="10"/>
      <c r="F150" s="10"/>
      <c r="G150" s="11" t="str">
        <f>IF(C150="","",ROUND(C150-D150+E150-F150,2))</f>
        <v/>
      </c>
    </row>
    <row r="151" spans="1:7" x14ac:dyDescent="0.25">
      <c r="A151" s="12"/>
      <c r="C151" s="10"/>
      <c r="D151" s="10"/>
      <c r="E151" s="10"/>
      <c r="F151" s="10"/>
      <c r="G151" s="11" t="str">
        <f>IF(C151="","",ROUND(C151-D151+E151-F151,2))</f>
        <v/>
      </c>
    </row>
    <row r="152" spans="1:7" x14ac:dyDescent="0.25">
      <c r="A152" s="12"/>
      <c r="C152" s="10"/>
      <c r="D152" s="10"/>
      <c r="E152" s="10"/>
      <c r="F152" s="10"/>
      <c r="G152" s="11" t="str">
        <f>IF(C152="","",ROUND(C152-D152+E152-F152,2))</f>
        <v/>
      </c>
    </row>
    <row r="153" spans="1:7" x14ac:dyDescent="0.25">
      <c r="A153" s="12"/>
      <c r="C153" s="10"/>
      <c r="D153" s="10"/>
      <c r="E153" s="10"/>
      <c r="F153" s="10"/>
      <c r="G153" s="11" t="str">
        <f>IF(C153="","",ROUND(C153-D153+E153-F153,2))</f>
        <v/>
      </c>
    </row>
    <row r="154" spans="1:7" x14ac:dyDescent="0.25">
      <c r="A154" s="12"/>
      <c r="C154" s="10"/>
      <c r="D154" s="10"/>
      <c r="E154" s="10"/>
      <c r="F154" s="10"/>
      <c r="G154" s="11" t="str">
        <f>IF(C154="","",ROUND(C154-D154+E154-F154,2))</f>
        <v/>
      </c>
    </row>
    <row r="155" spans="1:7" x14ac:dyDescent="0.25">
      <c r="A155" s="12"/>
      <c r="C155" s="10"/>
      <c r="D155" s="10"/>
      <c r="E155" s="10"/>
      <c r="F155" s="10"/>
      <c r="G155" s="11" t="str">
        <f>IF(C155="","",ROUND(C155-D155+E155-F155,2))</f>
        <v/>
      </c>
    </row>
    <row r="156" spans="1:7" x14ac:dyDescent="0.25">
      <c r="A156" s="12"/>
      <c r="C156" s="10"/>
      <c r="D156" s="10"/>
      <c r="E156" s="10"/>
      <c r="F156" s="10"/>
      <c r="G156" s="11" t="str">
        <f>IF(C156="","",ROUND(C156-D156+E156-F156,2))</f>
        <v/>
      </c>
    </row>
    <row r="157" spans="1:7" x14ac:dyDescent="0.25">
      <c r="A157" s="12"/>
      <c r="C157" s="10"/>
      <c r="D157" s="10"/>
      <c r="E157" s="10"/>
      <c r="F157" s="10"/>
      <c r="G157" s="11" t="str">
        <f>IF(C157="","",ROUND(C157-D157+E157-F157,2))</f>
        <v/>
      </c>
    </row>
    <row r="158" spans="1:7" x14ac:dyDescent="0.25">
      <c r="A158" s="12"/>
      <c r="C158" s="10"/>
      <c r="D158" s="10"/>
      <c r="E158" s="10"/>
      <c r="F158" s="10"/>
      <c r="G158" s="11" t="str">
        <f>IF(C158="","",ROUND(C158-D158+E158-F158,2))</f>
        <v/>
      </c>
    </row>
    <row r="159" spans="1:7" x14ac:dyDescent="0.25">
      <c r="A159" s="12"/>
      <c r="C159" s="10"/>
      <c r="D159" s="10"/>
      <c r="E159" s="10"/>
      <c r="F159" s="10"/>
      <c r="G159" s="11" t="str">
        <f>IF(C159="","",ROUND(C159-D159+E159-F159,2))</f>
        <v/>
      </c>
    </row>
    <row r="160" spans="1:7" x14ac:dyDescent="0.25">
      <c r="A160" s="12"/>
      <c r="C160" s="10"/>
      <c r="D160" s="10"/>
      <c r="E160" s="10"/>
      <c r="F160" s="10"/>
      <c r="G160" s="11" t="str">
        <f>IF(C160="","",ROUND(C160-D160+E160-F160,2))</f>
        <v/>
      </c>
    </row>
    <row r="161" spans="1:7" x14ac:dyDescent="0.25">
      <c r="A161" s="12"/>
      <c r="C161" s="10"/>
      <c r="D161" s="10"/>
      <c r="E161" s="10"/>
      <c r="F161" s="10"/>
      <c r="G161" s="11" t="str">
        <f>IF(C161="","",ROUND(C161-D161+E161-F161,2))</f>
        <v/>
      </c>
    </row>
    <row r="162" spans="1:7" x14ac:dyDescent="0.25">
      <c r="A162" s="12"/>
      <c r="C162" s="10"/>
      <c r="D162" s="10"/>
      <c r="E162" s="10"/>
      <c r="F162" s="10"/>
      <c r="G162" s="11" t="str">
        <f>IF(C162="","",ROUND(C162-D162+E162-F162,2))</f>
        <v/>
      </c>
    </row>
    <row r="163" spans="1:7" x14ac:dyDescent="0.25">
      <c r="A163" s="12"/>
      <c r="C163" s="10"/>
      <c r="D163" s="10"/>
      <c r="E163" s="10"/>
      <c r="F163" s="10"/>
      <c r="G163" s="11" t="str">
        <f>IF(C163="","",ROUND(C163-D163+E163-F163,2))</f>
        <v/>
      </c>
    </row>
    <row r="164" spans="1:7" x14ac:dyDescent="0.25">
      <c r="A164" s="12"/>
      <c r="C164" s="10"/>
      <c r="D164" s="10"/>
      <c r="E164" s="10"/>
      <c r="F164" s="10"/>
      <c r="G164" s="11" t="str">
        <f>IF(C164="","",ROUND(C164-D164+E164-F164,2))</f>
        <v/>
      </c>
    </row>
    <row r="165" spans="1:7" x14ac:dyDescent="0.25">
      <c r="A165" s="12"/>
      <c r="C165" s="10"/>
      <c r="D165" s="10"/>
      <c r="E165" s="10"/>
      <c r="F165" s="10"/>
      <c r="G165" s="11" t="str">
        <f>IF(C165="","",ROUND(C165-D165+E165-F165,2))</f>
        <v/>
      </c>
    </row>
    <row r="166" spans="1:7" x14ac:dyDescent="0.25">
      <c r="A166" s="12"/>
      <c r="C166" s="10"/>
      <c r="D166" s="10"/>
      <c r="E166" s="10"/>
      <c r="F166" s="10"/>
      <c r="G166" s="11" t="str">
        <f>IF(C166="","",ROUND(C166-D166+E166-F166,2))</f>
        <v/>
      </c>
    </row>
    <row r="167" spans="1:7" x14ac:dyDescent="0.25">
      <c r="A167" s="12"/>
      <c r="C167" s="10"/>
      <c r="D167" s="10"/>
      <c r="E167" s="10"/>
      <c r="F167" s="10"/>
      <c r="G167" s="11" t="str">
        <f>IF(C167="","",ROUND(C167-D167+E167-F167,2))</f>
        <v/>
      </c>
    </row>
    <row r="168" spans="1:7" x14ac:dyDescent="0.25">
      <c r="A168" s="12"/>
      <c r="C168" s="10"/>
      <c r="D168" s="10"/>
      <c r="E168" s="10"/>
      <c r="F168" s="10"/>
      <c r="G168" s="11" t="str">
        <f>IF(C168="","",ROUND(C168-D168+E168-F168,2))</f>
        <v/>
      </c>
    </row>
    <row r="169" spans="1:7" x14ac:dyDescent="0.25">
      <c r="A169" s="12"/>
      <c r="C169" s="10"/>
      <c r="D169" s="10"/>
      <c r="E169" s="10"/>
      <c r="F169" s="10"/>
      <c r="G169" s="11" t="str">
        <f>IF(C169="","",ROUND(C169-D169+E169-F169,2))</f>
        <v/>
      </c>
    </row>
    <row r="170" spans="1:7" x14ac:dyDescent="0.25">
      <c r="A170" s="12"/>
      <c r="C170" s="10"/>
      <c r="D170" s="10"/>
      <c r="E170" s="10"/>
      <c r="F170" s="10"/>
      <c r="G170" s="11" t="str">
        <f>IF(C170="","",ROUND(C170-D170+E170-F170,2))</f>
        <v/>
      </c>
    </row>
    <row r="171" spans="1:7" x14ac:dyDescent="0.25">
      <c r="A171" s="12"/>
      <c r="C171" s="10"/>
      <c r="D171" s="10"/>
      <c r="E171" s="10"/>
      <c r="F171" s="10"/>
      <c r="G171" s="11" t="str">
        <f>IF(C171="","",ROUND(C171-D171+E171-F171,2))</f>
        <v/>
      </c>
    </row>
    <row r="172" spans="1:7" x14ac:dyDescent="0.25">
      <c r="A172" s="12"/>
      <c r="C172" s="10"/>
      <c r="D172" s="10"/>
      <c r="E172" s="10"/>
      <c r="F172" s="10"/>
      <c r="G172" s="11" t="str">
        <f>IF(C172="","",ROUND(C172-D172+E172-F172,2))</f>
        <v/>
      </c>
    </row>
    <row r="173" spans="1:7" x14ac:dyDescent="0.25">
      <c r="A173" s="12"/>
      <c r="C173" s="10"/>
      <c r="D173" s="10"/>
      <c r="E173" s="10"/>
      <c r="F173" s="10"/>
      <c r="G173" s="11" t="str">
        <f>IF(C173="","",ROUND(C173-D173+E173-F173,2))</f>
        <v/>
      </c>
    </row>
    <row r="174" spans="1:7" x14ac:dyDescent="0.25">
      <c r="A174" s="12"/>
      <c r="C174" s="10"/>
      <c r="D174" s="10"/>
      <c r="E174" s="10"/>
      <c r="F174" s="10"/>
      <c r="G174" s="11" t="str">
        <f>IF(C174="","",ROUND(C174-D174+E174-F174,2))</f>
        <v/>
      </c>
    </row>
    <row r="175" spans="1:7" x14ac:dyDescent="0.25">
      <c r="A175" s="12"/>
      <c r="C175" s="10"/>
      <c r="D175" s="10"/>
      <c r="E175" s="10"/>
      <c r="F175" s="10"/>
      <c r="G175" s="11" t="str">
        <f>IF(C175="","",ROUND(C175-D175+E175-F175,2))</f>
        <v/>
      </c>
    </row>
    <row r="176" spans="1:7" x14ac:dyDescent="0.25">
      <c r="A176" s="12"/>
      <c r="C176" s="10"/>
      <c r="D176" s="10"/>
      <c r="E176" s="10"/>
      <c r="F176" s="10"/>
      <c r="G176" s="11" t="str">
        <f>IF(C176="","",ROUND(C176-D176+E176-F176,2))</f>
        <v/>
      </c>
    </row>
    <row r="177" spans="1:7" x14ac:dyDescent="0.25">
      <c r="A177" s="12"/>
      <c r="C177" s="10"/>
      <c r="D177" s="10"/>
      <c r="E177" s="10"/>
      <c r="F177" s="10"/>
      <c r="G177" s="11" t="str">
        <f>IF(C177="","",ROUND(C177-D177+E177-F177,2))</f>
        <v/>
      </c>
    </row>
    <row r="178" spans="1:7" x14ac:dyDescent="0.25">
      <c r="A178" s="12"/>
      <c r="C178" s="10"/>
      <c r="D178" s="10"/>
      <c r="E178" s="10"/>
      <c r="F178" s="10"/>
      <c r="G178" s="11" t="str">
        <f>IF(C178="","",ROUND(C178-D178+E178-F178,2))</f>
        <v/>
      </c>
    </row>
    <row r="179" spans="1:7" x14ac:dyDescent="0.25">
      <c r="A179" s="12"/>
      <c r="C179" s="10"/>
      <c r="D179" s="10"/>
      <c r="E179" s="10"/>
      <c r="F179" s="10"/>
      <c r="G179" s="11" t="str">
        <f>IF(C179="","",ROUND(C179-D179+E179-F179,2))</f>
        <v/>
      </c>
    </row>
    <row r="180" spans="1:7" x14ac:dyDescent="0.25">
      <c r="A180" s="12"/>
      <c r="C180" s="10"/>
      <c r="D180" s="10"/>
      <c r="E180" s="10"/>
      <c r="F180" s="10"/>
      <c r="G180" s="11" t="str">
        <f>IF(C180="","",ROUND(C180-D180+E180-F180,2))</f>
        <v/>
      </c>
    </row>
    <row r="181" spans="1:7" x14ac:dyDescent="0.25">
      <c r="A181" s="12"/>
      <c r="C181" s="10"/>
      <c r="D181" s="10"/>
      <c r="E181" s="10"/>
      <c r="F181" s="10"/>
      <c r="G181" s="11" t="str">
        <f>IF(C181="","",ROUND(C181-D181+E181-F181,2))</f>
        <v/>
      </c>
    </row>
    <row r="182" spans="1:7" x14ac:dyDescent="0.25">
      <c r="A182" s="12"/>
      <c r="C182" s="10"/>
      <c r="D182" s="10"/>
      <c r="E182" s="10"/>
      <c r="F182" s="10"/>
      <c r="G182" s="11" t="str">
        <f>IF(C182="","",ROUND(C182-D182+E182-F182,2))</f>
        <v/>
      </c>
    </row>
    <row r="183" spans="1:7" x14ac:dyDescent="0.25">
      <c r="A183" s="12"/>
      <c r="C183" s="10"/>
      <c r="D183" s="10"/>
      <c r="E183" s="10"/>
      <c r="F183" s="10"/>
      <c r="G183" s="11" t="str">
        <f>IF(C183="","",ROUND(C183-D183+E183-F183,2))</f>
        <v/>
      </c>
    </row>
    <row r="184" spans="1:7" x14ac:dyDescent="0.25">
      <c r="A184" s="12"/>
      <c r="C184" s="10"/>
      <c r="D184" s="10"/>
      <c r="E184" s="10"/>
      <c r="F184" s="10"/>
      <c r="G184" s="11" t="str">
        <f>IF(C184="","",ROUND(C184-D184+E184-F184,2))</f>
        <v/>
      </c>
    </row>
    <row r="185" spans="1:7" x14ac:dyDescent="0.25">
      <c r="A185" s="12"/>
      <c r="C185" s="10"/>
      <c r="D185" s="10"/>
      <c r="E185" s="10"/>
      <c r="F185" s="10"/>
      <c r="G185" s="11" t="str">
        <f>IF(C185="","",ROUND(C185-D185+E185-F185,2))</f>
        <v/>
      </c>
    </row>
    <row r="186" spans="1:7" x14ac:dyDescent="0.25">
      <c r="A186" s="12"/>
      <c r="C186" s="10"/>
      <c r="D186" s="10"/>
      <c r="E186" s="10"/>
      <c r="F186" s="10"/>
      <c r="G186" s="11" t="str">
        <f>IF(C186="","",ROUND(C186-D186+E186-F186,2))</f>
        <v/>
      </c>
    </row>
    <row r="187" spans="1:7" x14ac:dyDescent="0.25">
      <c r="A187" s="12"/>
      <c r="C187" s="10"/>
      <c r="D187" s="10"/>
      <c r="E187" s="10"/>
      <c r="F187" s="10"/>
      <c r="G187" s="11" t="str">
        <f>IF(C187="","",ROUND(C187-D187+E187-F187,2))</f>
        <v/>
      </c>
    </row>
    <row r="188" spans="1:7" x14ac:dyDescent="0.25">
      <c r="A188" s="12"/>
      <c r="C188" s="10"/>
      <c r="D188" s="10"/>
      <c r="E188" s="10"/>
      <c r="F188" s="10"/>
      <c r="G188" s="11" t="str">
        <f>IF(C188="","",ROUND(C188-D188+E188-F188,2))</f>
        <v/>
      </c>
    </row>
    <row r="189" spans="1:7" x14ac:dyDescent="0.25">
      <c r="A189" s="12"/>
      <c r="C189" s="10"/>
      <c r="D189" s="10"/>
      <c r="E189" s="10"/>
      <c r="F189" s="10"/>
      <c r="G189" s="11" t="str">
        <f>IF(C189="","",ROUND(C189-D189+E189-F189,2))</f>
        <v/>
      </c>
    </row>
    <row r="190" spans="1:7" x14ac:dyDescent="0.25">
      <c r="A190" s="12"/>
      <c r="C190" s="10"/>
      <c r="D190" s="10"/>
      <c r="E190" s="10"/>
      <c r="F190" s="10"/>
      <c r="G190" s="11" t="str">
        <f>IF(C190="","",ROUND(C190-D190+E190-F190,2))</f>
        <v/>
      </c>
    </row>
    <row r="191" spans="1:7" x14ac:dyDescent="0.25">
      <c r="A191" s="12"/>
      <c r="C191" s="10"/>
      <c r="D191" s="10"/>
      <c r="E191" s="10"/>
      <c r="F191" s="10"/>
      <c r="G191" s="11" t="str">
        <f>IF(C191="","",ROUND(C191-D191+E191-F191,2))</f>
        <v/>
      </c>
    </row>
    <row r="192" spans="1:7" x14ac:dyDescent="0.25">
      <c r="A192" s="12"/>
      <c r="C192" s="10"/>
      <c r="D192" s="10"/>
      <c r="E192" s="10"/>
      <c r="F192" s="10"/>
      <c r="G192" s="11" t="str">
        <f>IF(C192="","",ROUND(C192-D192+E192-F192,2))</f>
        <v/>
      </c>
    </row>
    <row r="193" spans="1:7" x14ac:dyDescent="0.25">
      <c r="A193" s="12"/>
      <c r="C193" s="10"/>
      <c r="D193" s="10"/>
      <c r="E193" s="10"/>
      <c r="F193" s="10"/>
      <c r="G193" s="11" t="str">
        <f>IF(C193="","",ROUND(C193-D193+E193-F193,2))</f>
        <v/>
      </c>
    </row>
    <row r="194" spans="1:7" x14ac:dyDescent="0.25">
      <c r="A194" s="12"/>
      <c r="C194" s="10"/>
      <c r="D194" s="10"/>
      <c r="E194" s="10"/>
      <c r="F194" s="10"/>
      <c r="G194" s="11" t="str">
        <f>IF(C194="","",ROUND(C194-D194+E194-F194,2))</f>
        <v/>
      </c>
    </row>
    <row r="195" spans="1:7" x14ac:dyDescent="0.25">
      <c r="A195" s="12"/>
      <c r="C195" s="10"/>
      <c r="D195" s="10"/>
      <c r="E195" s="10"/>
      <c r="F195" s="10"/>
      <c r="G195" s="11" t="str">
        <f>IF(C195="","",ROUND(C195-D195+E195-F195,2))</f>
        <v/>
      </c>
    </row>
    <row r="196" spans="1:7" x14ac:dyDescent="0.25">
      <c r="A196" s="12"/>
      <c r="C196" s="10"/>
      <c r="D196" s="10"/>
      <c r="E196" s="10"/>
      <c r="F196" s="10"/>
      <c r="G196" s="11" t="str">
        <f>IF(C196="","",ROUND(C196-D196+E196-F196,2))</f>
        <v/>
      </c>
    </row>
    <row r="197" spans="1:7" x14ac:dyDescent="0.25">
      <c r="A197" s="12"/>
      <c r="C197" s="10"/>
      <c r="D197" s="10"/>
      <c r="E197" s="10"/>
      <c r="F197" s="10"/>
      <c r="G197" s="11" t="str">
        <f>IF(C197="","",ROUND(C197-D197+E197-F197,2))</f>
        <v/>
      </c>
    </row>
    <row r="198" spans="1:7" x14ac:dyDescent="0.25">
      <c r="A198" s="12"/>
      <c r="C198" s="10"/>
      <c r="D198" s="10"/>
      <c r="E198" s="10"/>
      <c r="F198" s="10"/>
      <c r="G198" s="11" t="str">
        <f>IF(C198="","",ROUND(C198-D198+E198-F198,2))</f>
        <v/>
      </c>
    </row>
    <row r="199" spans="1:7" x14ac:dyDescent="0.25">
      <c r="A199" s="12"/>
      <c r="C199" s="10"/>
      <c r="D199" s="10"/>
      <c r="E199" s="10"/>
      <c r="F199" s="10"/>
      <c r="G199" s="11" t="str">
        <f>IF(C199="","",ROUND(C199-D199+E199-F199,2))</f>
        <v/>
      </c>
    </row>
    <row r="200" spans="1:7" x14ac:dyDescent="0.25">
      <c r="A200" s="12"/>
      <c r="C200" s="10"/>
      <c r="D200" s="10"/>
      <c r="E200" s="10"/>
      <c r="F200" s="10"/>
      <c r="G200" s="11" t="str">
        <f>IF(C200="","",ROUND(C200-D200+E200-F200,2))</f>
        <v/>
      </c>
    </row>
    <row r="201" spans="1:7" x14ac:dyDescent="0.25">
      <c r="A201" s="12"/>
      <c r="C201" s="10"/>
      <c r="D201" s="10"/>
      <c r="E201" s="10"/>
      <c r="F201" s="10"/>
      <c r="G201" s="11" t="str">
        <f>IF(C201="","",ROUND(C201-D201+E201-F201,2))</f>
        <v/>
      </c>
    </row>
    <row r="202" spans="1:7" x14ac:dyDescent="0.25">
      <c r="A202" s="12"/>
      <c r="C202" s="10"/>
      <c r="D202" s="10"/>
      <c r="E202" s="10"/>
      <c r="F202" s="10"/>
      <c r="G202" s="11" t="str">
        <f>IF(C202="","",ROUND(C202-D202+E202-F202,2))</f>
        <v/>
      </c>
    </row>
    <row r="203" spans="1:7" x14ac:dyDescent="0.25">
      <c r="A203" s="12"/>
      <c r="C203" s="10"/>
      <c r="D203" s="10"/>
      <c r="E203" s="10"/>
      <c r="F203" s="10"/>
      <c r="G203" s="11" t="str">
        <f>IF(C203="","",ROUND(C203-D203+E203-F203,2))</f>
        <v/>
      </c>
    </row>
    <row r="204" spans="1:7" x14ac:dyDescent="0.25">
      <c r="A204" s="12"/>
      <c r="C204" s="10"/>
      <c r="D204" s="10"/>
      <c r="E204" s="10"/>
      <c r="F204" s="10"/>
      <c r="G204" s="11" t="str">
        <f>IF(C204="","",ROUND(C204-D204+E204-F204,2))</f>
        <v/>
      </c>
    </row>
    <row r="205" spans="1:7" x14ac:dyDescent="0.25">
      <c r="A205" s="12"/>
      <c r="C205" s="10"/>
      <c r="D205" s="10"/>
      <c r="E205" s="10"/>
      <c r="F205" s="10"/>
      <c r="G205" s="11" t="str">
        <f>IF(C205="","",ROUND(C205-D205+E205-F205,2))</f>
        <v/>
      </c>
    </row>
    <row r="206" spans="1:7" x14ac:dyDescent="0.25">
      <c r="A206" s="12"/>
      <c r="C206" s="10"/>
      <c r="D206" s="10"/>
      <c r="E206" s="10"/>
      <c r="F206" s="10"/>
      <c r="G206" s="11" t="str">
        <f>IF(C206="","",ROUND(C206-D206+E206-F206,2))</f>
        <v/>
      </c>
    </row>
    <row r="207" spans="1:7" x14ac:dyDescent="0.25">
      <c r="A207" s="12"/>
      <c r="C207" s="10"/>
      <c r="D207" s="10"/>
      <c r="E207" s="10"/>
      <c r="F207" s="10"/>
      <c r="G207" s="11" t="str">
        <f>IF(C207="","",ROUND(C207-D207+E207-F207,2))</f>
        <v/>
      </c>
    </row>
    <row r="208" spans="1:7" x14ac:dyDescent="0.25">
      <c r="A208" s="12"/>
      <c r="C208" s="10"/>
      <c r="D208" s="10"/>
      <c r="E208" s="10"/>
      <c r="F208" s="10"/>
      <c r="G208" s="11" t="str">
        <f>IF(C208="","",ROUND(C208-D208+E208-F208,2))</f>
        <v/>
      </c>
    </row>
    <row r="209" spans="1:7" x14ac:dyDescent="0.25">
      <c r="A209" s="12"/>
      <c r="C209" s="10"/>
      <c r="D209" s="10"/>
      <c r="E209" s="10"/>
      <c r="F209" s="10"/>
      <c r="G209" s="11" t="str">
        <f>IF(C209="","",ROUND(C209-D209+E209-F209,2))</f>
        <v/>
      </c>
    </row>
    <row r="210" spans="1:7" x14ac:dyDescent="0.25">
      <c r="A210" s="12"/>
      <c r="C210" s="10"/>
      <c r="D210" s="10"/>
      <c r="E210" s="10"/>
      <c r="F210" s="10"/>
      <c r="G210" s="11" t="str">
        <f>IF(C210="","",ROUND(C210-D210+E210-F210,2))</f>
        <v/>
      </c>
    </row>
    <row r="211" spans="1:7" x14ac:dyDescent="0.25">
      <c r="A211" s="12"/>
      <c r="C211" s="10"/>
      <c r="D211" s="10"/>
      <c r="E211" s="10"/>
      <c r="F211" s="10"/>
      <c r="G211" s="11" t="str">
        <f>IF(C211="","",ROUND(C211-D211+E211-F211,2))</f>
        <v/>
      </c>
    </row>
    <row r="212" spans="1:7" x14ac:dyDescent="0.25">
      <c r="A212" s="12"/>
      <c r="C212" s="10"/>
      <c r="D212" s="10"/>
      <c r="E212" s="10"/>
      <c r="F212" s="10"/>
      <c r="G212" s="11" t="str">
        <f>IF(C212="","",ROUND(C212-D212+E212-F212,2))</f>
        <v/>
      </c>
    </row>
    <row r="213" spans="1:7" x14ac:dyDescent="0.25">
      <c r="A213" s="12"/>
      <c r="C213" s="10"/>
      <c r="D213" s="10"/>
      <c r="E213" s="10"/>
      <c r="F213" s="10"/>
      <c r="G213" s="11" t="str">
        <f>IF(C213="","",ROUND(C213-D213+E213-F213,2))</f>
        <v/>
      </c>
    </row>
    <row r="214" spans="1:7" x14ac:dyDescent="0.25">
      <c r="A214" s="12"/>
      <c r="C214" s="10"/>
      <c r="D214" s="10"/>
      <c r="E214" s="10"/>
      <c r="F214" s="10"/>
      <c r="G214" s="11" t="str">
        <f>IF(C214="","",ROUND(C214-D214+E214-F214,2))</f>
        <v/>
      </c>
    </row>
    <row r="215" spans="1:7" x14ac:dyDescent="0.25">
      <c r="A215" s="12"/>
      <c r="C215" s="10"/>
      <c r="D215" s="10"/>
      <c r="E215" s="10"/>
      <c r="F215" s="10"/>
      <c r="G215" s="11" t="str">
        <f>IF(C215="","",ROUND(C215-D215+E215-F215,2))</f>
        <v/>
      </c>
    </row>
    <row r="216" spans="1:7" x14ac:dyDescent="0.25">
      <c r="A216" s="12"/>
      <c r="C216" s="10"/>
      <c r="D216" s="10"/>
      <c r="E216" s="10"/>
      <c r="F216" s="10"/>
      <c r="G216" s="11" t="str">
        <f>IF(C216="","",ROUND(C216-D216+E216-F216,2))</f>
        <v/>
      </c>
    </row>
    <row r="217" spans="1:7" x14ac:dyDescent="0.25">
      <c r="A217" s="12"/>
      <c r="C217" s="10"/>
      <c r="D217" s="10"/>
      <c r="E217" s="10"/>
      <c r="F217" s="10"/>
      <c r="G217" s="11" t="str">
        <f>IF(C217="","",ROUND(C217-D217+E217-F217,2))</f>
        <v/>
      </c>
    </row>
    <row r="218" spans="1:7" x14ac:dyDescent="0.25">
      <c r="A218" s="12"/>
      <c r="C218" s="10"/>
      <c r="D218" s="10"/>
      <c r="E218" s="10"/>
      <c r="F218" s="10"/>
      <c r="G218" s="11" t="str">
        <f>IF(C218="","",ROUND(C218-D218+E218-F218,2))</f>
        <v/>
      </c>
    </row>
    <row r="219" spans="1:7" x14ac:dyDescent="0.25">
      <c r="A219" s="12"/>
      <c r="C219" s="10"/>
      <c r="D219" s="10"/>
      <c r="E219" s="10"/>
      <c r="F219" s="10"/>
      <c r="G219" s="11" t="str">
        <f>IF(C219="","",ROUND(C219-D219+E219-F219,2))</f>
        <v/>
      </c>
    </row>
    <row r="220" spans="1:7" x14ac:dyDescent="0.25">
      <c r="A220" s="12"/>
      <c r="C220" s="10"/>
      <c r="D220" s="10"/>
      <c r="E220" s="10"/>
      <c r="F220" s="10"/>
      <c r="G220" s="11" t="str">
        <f>IF(C220="","",ROUND(C220-D220+E220-F220,2))</f>
        <v/>
      </c>
    </row>
    <row r="221" spans="1:7" x14ac:dyDescent="0.25">
      <c r="A221" s="12"/>
      <c r="C221" s="10"/>
      <c r="D221" s="10"/>
      <c r="E221" s="10"/>
      <c r="F221" s="10"/>
      <c r="G221" s="11" t="str">
        <f>IF(C221="","",ROUND(C221-D221+E221-F221,2))</f>
        <v/>
      </c>
    </row>
    <row r="222" spans="1:7" x14ac:dyDescent="0.25">
      <c r="A222" s="12"/>
      <c r="C222" s="10"/>
      <c r="D222" s="10"/>
      <c r="E222" s="10"/>
      <c r="F222" s="10"/>
      <c r="G222" s="11" t="str">
        <f>IF(C222="","",ROUND(C222-D222+E222-F222,2))</f>
        <v/>
      </c>
    </row>
    <row r="223" spans="1:7" x14ac:dyDescent="0.25">
      <c r="A223" s="12"/>
      <c r="C223" s="10"/>
      <c r="D223" s="10"/>
      <c r="E223" s="10"/>
      <c r="F223" s="10"/>
      <c r="G223" s="11" t="str">
        <f>IF(C223="","",ROUND(C223-D223+E223-F223,2))</f>
        <v/>
      </c>
    </row>
    <row r="224" spans="1:7" x14ac:dyDescent="0.25">
      <c r="A224" s="12"/>
      <c r="C224" s="10"/>
      <c r="D224" s="10"/>
      <c r="E224" s="10"/>
      <c r="F224" s="10"/>
      <c r="G224" s="11" t="str">
        <f>IF(C224="","",ROUND(C224-D224+E224-F224,2))</f>
        <v/>
      </c>
    </row>
    <row r="225" spans="1:7" x14ac:dyDescent="0.25">
      <c r="A225" s="12"/>
      <c r="C225" s="10"/>
      <c r="D225" s="10"/>
      <c r="E225" s="10"/>
      <c r="F225" s="10"/>
      <c r="G225" s="11" t="str">
        <f>IF(C225="","",ROUND(C225-D225+E225-F225,2))</f>
        <v/>
      </c>
    </row>
    <row r="226" spans="1:7" x14ac:dyDescent="0.25">
      <c r="A226" s="12"/>
      <c r="C226" s="10"/>
      <c r="D226" s="10"/>
      <c r="E226" s="10"/>
      <c r="F226" s="10"/>
      <c r="G226" s="11" t="str">
        <f>IF(C226="","",ROUND(C226-D226+E226-F226,2))</f>
        <v/>
      </c>
    </row>
    <row r="227" spans="1:7" x14ac:dyDescent="0.25">
      <c r="A227" s="12"/>
      <c r="C227" s="10"/>
      <c r="D227" s="10"/>
      <c r="E227" s="10"/>
      <c r="F227" s="10"/>
      <c r="G227" s="11" t="str">
        <f>IF(C227="","",ROUND(C227-D227+E227-F227,2))</f>
        <v/>
      </c>
    </row>
    <row r="228" spans="1:7" x14ac:dyDescent="0.25">
      <c r="A228" s="12"/>
      <c r="C228" s="10"/>
      <c r="D228" s="10"/>
      <c r="E228" s="10"/>
      <c r="F228" s="10"/>
      <c r="G228" s="11" t="str">
        <f>IF(C228="","",ROUND(C228-D228+E228-F228,2))</f>
        <v/>
      </c>
    </row>
    <row r="229" spans="1:7" x14ac:dyDescent="0.25">
      <c r="A229" s="12"/>
      <c r="C229" s="10"/>
      <c r="D229" s="10"/>
      <c r="E229" s="10"/>
      <c r="F229" s="10"/>
      <c r="G229" s="11" t="str">
        <f>IF(C229="","",ROUND(C229-D229+E229-F229,2))</f>
        <v/>
      </c>
    </row>
    <row r="230" spans="1:7" x14ac:dyDescent="0.25">
      <c r="A230" s="12"/>
      <c r="C230" s="10"/>
      <c r="D230" s="10"/>
      <c r="E230" s="10"/>
      <c r="F230" s="10"/>
      <c r="G230" s="11" t="str">
        <f>IF(C230="","",ROUND(C230-D230+E230-F230,2))</f>
        <v/>
      </c>
    </row>
    <row r="231" spans="1:7" x14ac:dyDescent="0.25">
      <c r="A231" s="12"/>
      <c r="C231" s="10"/>
      <c r="D231" s="10"/>
      <c r="E231" s="10"/>
      <c r="F231" s="10"/>
      <c r="G231" s="11" t="str">
        <f>IF(C231="","",ROUND(C231-D231+E231-F231,2))</f>
        <v/>
      </c>
    </row>
    <row r="232" spans="1:7" x14ac:dyDescent="0.25">
      <c r="A232" s="12"/>
      <c r="C232" s="10"/>
      <c r="D232" s="10"/>
      <c r="E232" s="10"/>
      <c r="F232" s="10"/>
      <c r="G232" s="11" t="str">
        <f>IF(C232="","",ROUND(C232-D232+E232-F232,2))</f>
        <v/>
      </c>
    </row>
    <row r="233" spans="1:7" x14ac:dyDescent="0.25">
      <c r="A233" s="12"/>
      <c r="C233" s="10"/>
      <c r="D233" s="10"/>
      <c r="E233" s="10"/>
      <c r="F233" s="10"/>
      <c r="G233" s="11" t="str">
        <f>IF(C233="","",ROUND(C233-D233+E233-F233,2))</f>
        <v/>
      </c>
    </row>
    <row r="234" spans="1:7" x14ac:dyDescent="0.25">
      <c r="A234" s="12"/>
      <c r="C234" s="10"/>
      <c r="D234" s="10"/>
      <c r="E234" s="10"/>
      <c r="F234" s="10"/>
      <c r="G234" s="11" t="str">
        <f>IF(C234="","",ROUND(C234-D234+E234-F234,2))</f>
        <v/>
      </c>
    </row>
    <row r="235" spans="1:7" x14ac:dyDescent="0.25">
      <c r="A235" s="12"/>
      <c r="C235" s="10"/>
      <c r="D235" s="10"/>
      <c r="E235" s="10"/>
      <c r="F235" s="10"/>
      <c r="G235" s="11" t="str">
        <f>IF(C235="","",ROUND(C235-D235+E235-F235,2))</f>
        <v/>
      </c>
    </row>
    <row r="236" spans="1:7" x14ac:dyDescent="0.25">
      <c r="A236" s="12"/>
      <c r="C236" s="10"/>
      <c r="D236" s="10"/>
      <c r="E236" s="10"/>
      <c r="F236" s="10"/>
      <c r="G236" s="11" t="str">
        <f>IF(C236="","",ROUND(C236-D236+E236-F236,2))</f>
        <v/>
      </c>
    </row>
    <row r="237" spans="1:7" x14ac:dyDescent="0.25">
      <c r="A237" s="12"/>
      <c r="C237" s="10"/>
      <c r="D237" s="10"/>
      <c r="E237" s="10"/>
      <c r="F237" s="10"/>
      <c r="G237" s="11" t="str">
        <f>IF(C237="","",ROUND(C237-D237+E237-F237,2))</f>
        <v/>
      </c>
    </row>
    <row r="238" spans="1:7" x14ac:dyDescent="0.25">
      <c r="A238" s="12"/>
      <c r="C238" s="10"/>
      <c r="D238" s="10"/>
      <c r="E238" s="10"/>
      <c r="F238" s="10"/>
      <c r="G238" s="11" t="str">
        <f>IF(C238="","",ROUND(C238-D238+E238-F238,2))</f>
        <v/>
      </c>
    </row>
    <row r="239" spans="1:7" x14ac:dyDescent="0.25">
      <c r="A239" s="12"/>
      <c r="C239" s="10"/>
      <c r="D239" s="10"/>
      <c r="E239" s="10"/>
      <c r="F239" s="10"/>
      <c r="G239" s="11" t="str">
        <f>IF(C239="","",ROUND(C239-D239+E239-F239,2))</f>
        <v/>
      </c>
    </row>
    <row r="240" spans="1:7" x14ac:dyDescent="0.25">
      <c r="A240" s="12"/>
      <c r="C240" s="10"/>
      <c r="D240" s="10"/>
      <c r="E240" s="10"/>
      <c r="F240" s="10"/>
      <c r="G240" s="11" t="str">
        <f>IF(C240="","",ROUND(C240-D240+E240-F240,2))</f>
        <v/>
      </c>
    </row>
    <row r="241" spans="1:7" x14ac:dyDescent="0.25">
      <c r="A241" s="12"/>
      <c r="C241" s="10"/>
      <c r="D241" s="10"/>
      <c r="E241" s="10"/>
      <c r="F241" s="10"/>
      <c r="G241" s="11" t="str">
        <f>IF(C241="","",ROUND(C241-D241+E241-F241,2))</f>
        <v/>
      </c>
    </row>
    <row r="242" spans="1:7" x14ac:dyDescent="0.25">
      <c r="A242" s="12"/>
      <c r="C242" s="10"/>
      <c r="D242" s="10"/>
      <c r="E242" s="10"/>
      <c r="F242" s="10"/>
      <c r="G242" s="11" t="str">
        <f>IF(C242="","",ROUND(C242-D242+E242-F242,2))</f>
        <v/>
      </c>
    </row>
    <row r="243" spans="1:7" x14ac:dyDescent="0.25">
      <c r="A243" s="12"/>
      <c r="C243" s="10"/>
      <c r="D243" s="10"/>
      <c r="E243" s="10"/>
      <c r="F243" s="10"/>
      <c r="G243" s="11" t="str">
        <f>IF(C243="","",ROUND(C243-D243+E243-F243,2))</f>
        <v/>
      </c>
    </row>
    <row r="244" spans="1:7" x14ac:dyDescent="0.25">
      <c r="A244" s="12"/>
      <c r="C244" s="10"/>
      <c r="D244" s="10"/>
      <c r="E244" s="10"/>
      <c r="F244" s="10"/>
      <c r="G244" s="11" t="str">
        <f>IF(C244="","",ROUND(C244-D244+E244-F244,2))</f>
        <v/>
      </c>
    </row>
    <row r="245" spans="1:7" x14ac:dyDescent="0.25">
      <c r="A245" s="12"/>
      <c r="C245" s="10"/>
      <c r="D245" s="10"/>
      <c r="E245" s="10"/>
      <c r="F245" s="10"/>
      <c r="G245" s="11" t="str">
        <f>IF(C245="","",ROUND(C245-D245+E245-F245,2))</f>
        <v/>
      </c>
    </row>
    <row r="246" spans="1:7" x14ac:dyDescent="0.25">
      <c r="A246" s="12"/>
      <c r="C246" s="10"/>
      <c r="D246" s="10"/>
      <c r="E246" s="10"/>
      <c r="F246" s="10"/>
      <c r="G246" s="11" t="str">
        <f>IF(C246="","",ROUND(C246-D246+E246-F246,2))</f>
        <v/>
      </c>
    </row>
    <row r="247" spans="1:7" x14ac:dyDescent="0.25">
      <c r="A247" s="12"/>
      <c r="C247" s="10"/>
      <c r="D247" s="10"/>
      <c r="E247" s="10"/>
      <c r="F247" s="10"/>
      <c r="G247" s="11" t="str">
        <f>IF(C247="","",ROUND(C247-D247+E247-F247,2))</f>
        <v/>
      </c>
    </row>
    <row r="248" spans="1:7" x14ac:dyDescent="0.25">
      <c r="A248" s="12"/>
      <c r="C248" s="10"/>
      <c r="D248" s="10"/>
      <c r="E248" s="10"/>
      <c r="F248" s="10"/>
      <c r="G248" s="11" t="str">
        <f>IF(C248="","",ROUND(C248-D248+E248-F248,2))</f>
        <v/>
      </c>
    </row>
    <row r="249" spans="1:7" x14ac:dyDescent="0.25">
      <c r="A249" s="12"/>
      <c r="C249" s="10"/>
      <c r="D249" s="10"/>
      <c r="E249" s="10"/>
      <c r="F249" s="10"/>
      <c r="G249" s="11" t="str">
        <f>IF(C249="","",ROUND(C249-D249+E249-F249,2))</f>
        <v/>
      </c>
    </row>
    <row r="250" spans="1:7" x14ac:dyDescent="0.25">
      <c r="A250" s="12"/>
      <c r="C250" s="10"/>
      <c r="D250" s="10"/>
      <c r="E250" s="10"/>
      <c r="F250" s="10"/>
      <c r="G250" s="11" t="str">
        <f>IF(C250="","",ROUND(C250-D250+E250-F250,2))</f>
        <v/>
      </c>
    </row>
    <row r="251" spans="1:7" x14ac:dyDescent="0.25">
      <c r="A251" s="12"/>
      <c r="C251" s="10"/>
      <c r="D251" s="10"/>
      <c r="E251" s="10"/>
      <c r="F251" s="10"/>
      <c r="G251" s="11" t="str">
        <f>IF(C251="","",ROUND(C251-D251+E251-F251,2))</f>
        <v/>
      </c>
    </row>
    <row r="252" spans="1:7" x14ac:dyDescent="0.25">
      <c r="A252" s="12"/>
      <c r="C252" s="10"/>
      <c r="D252" s="10"/>
      <c r="E252" s="10"/>
      <c r="F252" s="10"/>
      <c r="G252" s="11" t="str">
        <f>IF(C252="","",ROUND(C252-D252+E252-F252,2))</f>
        <v/>
      </c>
    </row>
    <row r="253" spans="1:7" x14ac:dyDescent="0.25">
      <c r="A253" s="12"/>
      <c r="C253" s="10"/>
      <c r="D253" s="10"/>
      <c r="E253" s="10"/>
      <c r="F253" s="10"/>
      <c r="G253" s="11" t="str">
        <f>IF(C253="","",ROUND(C253-D253+E253-F253,2))</f>
        <v/>
      </c>
    </row>
    <row r="254" spans="1:7" x14ac:dyDescent="0.25">
      <c r="A254" s="12"/>
      <c r="C254" s="10"/>
      <c r="D254" s="10"/>
      <c r="E254" s="10"/>
      <c r="F254" s="10"/>
      <c r="G254" s="11" t="str">
        <f>IF(C254="","",ROUND(C254-D254+E254-F254,2))</f>
        <v/>
      </c>
    </row>
    <row r="255" spans="1:7" x14ac:dyDescent="0.25">
      <c r="A255" s="12"/>
      <c r="C255" s="10"/>
      <c r="D255" s="10"/>
      <c r="E255" s="10"/>
      <c r="F255" s="10"/>
      <c r="G255" s="11" t="str">
        <f>IF(C255="","",ROUND(C255-D255+E255-F255,2))</f>
        <v/>
      </c>
    </row>
    <row r="256" spans="1:7" x14ac:dyDescent="0.25">
      <c r="A256" s="12"/>
      <c r="C256" s="10"/>
      <c r="D256" s="10"/>
      <c r="E256" s="10"/>
      <c r="F256" s="10"/>
      <c r="G256" s="11" t="str">
        <f>IF(C256="","",ROUND(C256-D256+E256-F256,2))</f>
        <v/>
      </c>
    </row>
    <row r="257" spans="1:7" x14ac:dyDescent="0.25">
      <c r="A257" s="12"/>
      <c r="C257" s="10"/>
      <c r="D257" s="10"/>
      <c r="E257" s="10"/>
      <c r="F257" s="10"/>
      <c r="G257" s="11" t="str">
        <f>IF(C257="","",ROUND(C257-D257+E257-F257,2))</f>
        <v/>
      </c>
    </row>
    <row r="258" spans="1:7" x14ac:dyDescent="0.25">
      <c r="A258" s="12"/>
      <c r="C258" s="10"/>
      <c r="D258" s="10"/>
      <c r="E258" s="10"/>
      <c r="F258" s="10"/>
      <c r="G258" s="11" t="str">
        <f>IF(C258="","",ROUND(C258-D258+E258-F258,2))</f>
        <v/>
      </c>
    </row>
    <row r="259" spans="1:7" x14ac:dyDescent="0.25">
      <c r="A259" s="12"/>
      <c r="C259" s="10"/>
      <c r="D259" s="10"/>
      <c r="E259" s="10"/>
      <c r="F259" s="10"/>
      <c r="G259" s="11" t="str">
        <f>IF(C259="","",ROUND(C259-D259+E259-F259,2))</f>
        <v/>
      </c>
    </row>
    <row r="260" spans="1:7" x14ac:dyDescent="0.25">
      <c r="A260" s="12"/>
      <c r="C260" s="10"/>
      <c r="D260" s="10"/>
      <c r="E260" s="10"/>
      <c r="F260" s="10"/>
      <c r="G260" s="11" t="str">
        <f>IF(C260="","",ROUND(C260-D260+E260-F260,2))</f>
        <v/>
      </c>
    </row>
    <row r="261" spans="1:7" x14ac:dyDescent="0.25">
      <c r="A261" s="12"/>
      <c r="C261" s="10"/>
      <c r="D261" s="10"/>
      <c r="E261" s="10"/>
      <c r="F261" s="10"/>
      <c r="G261" s="11" t="str">
        <f>IF(C261="","",ROUND(C261-D261+E261-F261,2))</f>
        <v/>
      </c>
    </row>
    <row r="262" spans="1:7" x14ac:dyDescent="0.25">
      <c r="A262" s="12"/>
      <c r="C262" s="10"/>
      <c r="D262" s="10"/>
      <c r="E262" s="10"/>
      <c r="F262" s="10"/>
      <c r="G262" s="11" t="str">
        <f>IF(C262="","",ROUND(C262-D262+E262-F262,2))</f>
        <v/>
      </c>
    </row>
    <row r="263" spans="1:7" x14ac:dyDescent="0.25">
      <c r="A263" s="12"/>
      <c r="C263" s="10"/>
      <c r="D263" s="10"/>
      <c r="E263" s="10"/>
      <c r="F263" s="10"/>
      <c r="G263" s="11" t="str">
        <f>IF(C263="","",ROUND(C263-D263+E263-F263,2))</f>
        <v/>
      </c>
    </row>
    <row r="264" spans="1:7" x14ac:dyDescent="0.25">
      <c r="A264" s="12"/>
      <c r="C264" s="10"/>
      <c r="D264" s="10"/>
      <c r="E264" s="10"/>
      <c r="F264" s="10"/>
      <c r="G264" s="11" t="str">
        <f>IF(C264="","",ROUND(C264-D264+E264-F264,2))</f>
        <v/>
      </c>
    </row>
    <row r="265" spans="1:7" x14ac:dyDescent="0.25">
      <c r="A265" s="12"/>
      <c r="C265" s="10"/>
      <c r="D265" s="10"/>
      <c r="E265" s="10"/>
      <c r="F265" s="10"/>
      <c r="G265" s="11" t="str">
        <f>IF(C265="","",ROUND(C265-D265+E265-F265,2))</f>
        <v/>
      </c>
    </row>
    <row r="266" spans="1:7" x14ac:dyDescent="0.25">
      <c r="A266" s="12"/>
      <c r="C266" s="10"/>
      <c r="D266" s="10"/>
      <c r="E266" s="10"/>
      <c r="F266" s="10"/>
      <c r="G266" s="11" t="str">
        <f>IF(C266="","",ROUND(C266-D266+E266-F266,2))</f>
        <v/>
      </c>
    </row>
    <row r="267" spans="1:7" x14ac:dyDescent="0.25">
      <c r="A267" s="12"/>
      <c r="C267" s="10"/>
      <c r="D267" s="10"/>
      <c r="E267" s="10"/>
      <c r="F267" s="10"/>
      <c r="G267" s="11" t="str">
        <f>IF(C267="","",ROUND(C267-D267+E267-F267,2))</f>
        <v/>
      </c>
    </row>
    <row r="268" spans="1:7" x14ac:dyDescent="0.25">
      <c r="A268" s="12"/>
      <c r="C268" s="10"/>
      <c r="D268" s="10"/>
      <c r="E268" s="10"/>
      <c r="F268" s="10"/>
      <c r="G268" s="11" t="str">
        <f>IF(C268="","",ROUND(C268-D268+E268-F268,2))</f>
        <v/>
      </c>
    </row>
    <row r="269" spans="1:7" x14ac:dyDescent="0.25">
      <c r="A269" s="12"/>
      <c r="C269" s="10"/>
      <c r="D269" s="10"/>
      <c r="E269" s="10"/>
      <c r="F269" s="10"/>
      <c r="G269" s="11" t="str">
        <f>IF(C269="","",ROUND(C269-D269+E269-F269,2))</f>
        <v/>
      </c>
    </row>
    <row r="270" spans="1:7" x14ac:dyDescent="0.25">
      <c r="A270" s="12"/>
      <c r="C270" s="10"/>
      <c r="D270" s="10"/>
      <c r="E270" s="10"/>
      <c r="F270" s="10"/>
      <c r="G270" s="11" t="str">
        <f>IF(C270="","",ROUND(C270-D270+E270-F270,2))</f>
        <v/>
      </c>
    </row>
    <row r="271" spans="1:7" x14ac:dyDescent="0.25">
      <c r="A271" s="12"/>
      <c r="C271" s="10"/>
      <c r="D271" s="10"/>
      <c r="E271" s="10"/>
      <c r="F271" s="10"/>
      <c r="G271" s="11" t="str">
        <f>IF(C271="","",ROUND(C271-D271+E271-F271,2))</f>
        <v/>
      </c>
    </row>
    <row r="272" spans="1:7" x14ac:dyDescent="0.25">
      <c r="A272" s="12"/>
      <c r="C272" s="10"/>
      <c r="D272" s="10"/>
      <c r="E272" s="10"/>
      <c r="F272" s="10"/>
      <c r="G272" s="11" t="str">
        <f>IF(C272="","",ROUND(C272-D272+E272-F272,2))</f>
        <v/>
      </c>
    </row>
    <row r="273" spans="1:7" x14ac:dyDescent="0.25">
      <c r="A273" s="12"/>
      <c r="C273" s="10"/>
      <c r="D273" s="10"/>
      <c r="E273" s="10"/>
      <c r="F273" s="10"/>
      <c r="G273" s="11" t="str">
        <f>IF(C273="","",ROUND(C273-D273+E273-F273,2))</f>
        <v/>
      </c>
    </row>
    <row r="274" spans="1:7" x14ac:dyDescent="0.25">
      <c r="A274" s="12"/>
      <c r="C274" s="10"/>
      <c r="D274" s="10"/>
      <c r="E274" s="10"/>
      <c r="F274" s="10"/>
      <c r="G274" s="11" t="str">
        <f>IF(C274="","",ROUND(C274-D274+E274-F274,2))</f>
        <v/>
      </c>
    </row>
    <row r="275" spans="1:7" x14ac:dyDescent="0.25">
      <c r="A275" s="12"/>
      <c r="C275" s="10"/>
      <c r="D275" s="10"/>
      <c r="E275" s="10"/>
      <c r="F275" s="10"/>
      <c r="G275" s="11" t="str">
        <f>IF(C275="","",ROUND(C275-D275+E275-F275,2))</f>
        <v/>
      </c>
    </row>
    <row r="276" spans="1:7" x14ac:dyDescent="0.25">
      <c r="A276" s="12"/>
      <c r="C276" s="10"/>
      <c r="D276" s="10"/>
      <c r="E276" s="10"/>
      <c r="F276" s="10"/>
      <c r="G276" s="11" t="str">
        <f>IF(C276="","",ROUND(C276-D276+E276-F276,2))</f>
        <v/>
      </c>
    </row>
    <row r="277" spans="1:7" x14ac:dyDescent="0.25">
      <c r="A277" s="12"/>
      <c r="C277" s="10"/>
      <c r="D277" s="10"/>
      <c r="E277" s="10"/>
      <c r="F277" s="10"/>
      <c r="G277" s="11" t="str">
        <f>IF(C277="","",ROUND(C277-D277+E277-F277,2))</f>
        <v/>
      </c>
    </row>
    <row r="278" spans="1:7" x14ac:dyDescent="0.25">
      <c r="A278" s="12"/>
      <c r="C278" s="10"/>
      <c r="D278" s="10"/>
      <c r="E278" s="10"/>
      <c r="F278" s="10"/>
      <c r="G278" s="11" t="str">
        <f>IF(C278="","",ROUND(C278-D278+E278-F278,2))</f>
        <v/>
      </c>
    </row>
    <row r="279" spans="1:7" x14ac:dyDescent="0.25">
      <c r="A279" s="12"/>
      <c r="C279" s="10"/>
      <c r="D279" s="10"/>
      <c r="E279" s="10"/>
      <c r="F279" s="10"/>
      <c r="G279" s="11" t="str">
        <f>IF(C279="","",ROUND(C279-D279+E279-F279,2))</f>
        <v/>
      </c>
    </row>
    <row r="280" spans="1:7" x14ac:dyDescent="0.25">
      <c r="A280" s="12"/>
      <c r="C280" s="10"/>
      <c r="D280" s="10"/>
      <c r="E280" s="10"/>
      <c r="F280" s="10"/>
      <c r="G280" s="11" t="str">
        <f>IF(C280="","",ROUND(C280-D280+E280-F280,2))</f>
        <v/>
      </c>
    </row>
    <row r="281" spans="1:7" x14ac:dyDescent="0.25">
      <c r="A281" s="12"/>
      <c r="C281" s="10"/>
      <c r="D281" s="10"/>
      <c r="E281" s="10"/>
      <c r="F281" s="10"/>
      <c r="G281" s="11" t="str">
        <f>IF(C281="","",ROUND(C281-D281+E281-F281,2))</f>
        <v/>
      </c>
    </row>
    <row r="282" spans="1:7" x14ac:dyDescent="0.25">
      <c r="A282" s="12"/>
      <c r="C282" s="10"/>
      <c r="D282" s="10"/>
      <c r="E282" s="10"/>
      <c r="F282" s="10"/>
      <c r="G282" s="11" t="str">
        <f>IF(C282="","",ROUND(C282-D282+E282-F282,2))</f>
        <v/>
      </c>
    </row>
    <row r="283" spans="1:7" x14ac:dyDescent="0.25">
      <c r="A283" s="12"/>
      <c r="C283" s="10"/>
      <c r="D283" s="10"/>
      <c r="E283" s="10"/>
      <c r="F283" s="10"/>
      <c r="G283" s="11" t="str">
        <f>IF(C283="","",ROUND(C283-D283+E283-F283,2))</f>
        <v/>
      </c>
    </row>
    <row r="284" spans="1:7" x14ac:dyDescent="0.25">
      <c r="A284" s="12"/>
      <c r="C284" s="10"/>
      <c r="D284" s="10"/>
      <c r="E284" s="10"/>
      <c r="F284" s="10"/>
      <c r="G284" s="11" t="str">
        <f>IF(C284="","",ROUND(C284-D284+E284-F284,2))</f>
        <v/>
      </c>
    </row>
    <row r="285" spans="1:7" x14ac:dyDescent="0.25">
      <c r="A285" s="12"/>
      <c r="C285" s="10"/>
      <c r="D285" s="10"/>
      <c r="E285" s="10"/>
      <c r="F285" s="10"/>
      <c r="G285" s="11" t="str">
        <f>IF(C285="","",ROUND(C285-D285+E285-F285,2))</f>
        <v/>
      </c>
    </row>
    <row r="286" spans="1:7" x14ac:dyDescent="0.25">
      <c r="A286" s="12"/>
      <c r="C286" s="10"/>
      <c r="D286" s="10"/>
      <c r="E286" s="10"/>
      <c r="F286" s="10"/>
      <c r="G286" s="11" t="str">
        <f>IF(C286="","",ROUND(C286-D286+E286-F286,2))</f>
        <v/>
      </c>
    </row>
    <row r="287" spans="1:7" x14ac:dyDescent="0.25">
      <c r="A287" s="12"/>
      <c r="C287" s="10"/>
      <c r="D287" s="10"/>
      <c r="E287" s="10"/>
      <c r="F287" s="10"/>
      <c r="G287" s="11" t="str">
        <f>IF(C287="","",ROUND(C287-D287+E287-F287,2))</f>
        <v/>
      </c>
    </row>
    <row r="288" spans="1:7" x14ac:dyDescent="0.25">
      <c r="A288" s="12"/>
      <c r="C288" s="10"/>
      <c r="D288" s="10"/>
      <c r="E288" s="10"/>
      <c r="F288" s="10"/>
      <c r="G288" s="11" t="str">
        <f>IF(C288="","",ROUND(C288-D288+E288-F288,2))</f>
        <v/>
      </c>
    </row>
    <row r="289" spans="1:7" x14ac:dyDescent="0.25">
      <c r="A289" s="12"/>
      <c r="C289" s="10"/>
      <c r="D289" s="10"/>
      <c r="E289" s="10"/>
      <c r="F289" s="10"/>
      <c r="G289" s="11" t="str">
        <f>IF(C289="","",ROUND(C289-D289+E289-F289,2))</f>
        <v/>
      </c>
    </row>
    <row r="290" spans="1:7" x14ac:dyDescent="0.25">
      <c r="A290" s="12"/>
      <c r="C290" s="10"/>
      <c r="D290" s="10"/>
      <c r="E290" s="10"/>
      <c r="F290" s="10"/>
      <c r="G290" s="11" t="str">
        <f>IF(C290="","",ROUND(C290-D290+E290-F290,2))</f>
        <v/>
      </c>
    </row>
    <row r="291" spans="1:7" x14ac:dyDescent="0.25">
      <c r="A291" s="12"/>
      <c r="C291" s="10"/>
      <c r="D291" s="10"/>
      <c r="E291" s="10"/>
      <c r="F291" s="10"/>
      <c r="G291" s="11" t="str">
        <f>IF(C291="","",ROUND(C291-D291+E291-F291,2))</f>
        <v/>
      </c>
    </row>
    <row r="292" spans="1:7" x14ac:dyDescent="0.25">
      <c r="A292" s="12"/>
      <c r="C292" s="10"/>
      <c r="D292" s="10"/>
      <c r="E292" s="10"/>
      <c r="F292" s="10"/>
      <c r="G292" s="11" t="str">
        <f>IF(C292="","",ROUND(C292-D292+E292-F292,2))</f>
        <v/>
      </c>
    </row>
    <row r="293" spans="1:7" x14ac:dyDescent="0.25">
      <c r="A293" s="12"/>
      <c r="C293" s="10"/>
      <c r="D293" s="10"/>
      <c r="E293" s="10"/>
      <c r="F293" s="10"/>
      <c r="G293" s="11" t="str">
        <f>IF(C293="","",ROUND(C293-D293+E293-F293,2))</f>
        <v/>
      </c>
    </row>
    <row r="294" spans="1:7" x14ac:dyDescent="0.25">
      <c r="A294" s="12"/>
      <c r="C294" s="10"/>
      <c r="D294" s="10"/>
      <c r="E294" s="10"/>
      <c r="F294" s="10"/>
      <c r="G294" s="11" t="str">
        <f>IF(C294="","",ROUND(C294-D294+E294-F294,2))</f>
        <v/>
      </c>
    </row>
    <row r="295" spans="1:7" x14ac:dyDescent="0.25">
      <c r="A295" s="12"/>
      <c r="C295" s="10"/>
      <c r="D295" s="10"/>
      <c r="E295" s="10"/>
      <c r="F295" s="10"/>
      <c r="G295" s="11" t="str">
        <f>IF(C295="","",ROUND(C295-D295+E295-F295,2))</f>
        <v/>
      </c>
    </row>
    <row r="296" spans="1:7" x14ac:dyDescent="0.25">
      <c r="A296" s="12"/>
      <c r="C296" s="10"/>
      <c r="D296" s="10"/>
      <c r="E296" s="10"/>
      <c r="F296" s="10"/>
      <c r="G296" s="11" t="str">
        <f>IF(C296="","",ROUND(C296-D296+E296-F296,2))</f>
        <v/>
      </c>
    </row>
    <row r="297" spans="1:7" x14ac:dyDescent="0.25">
      <c r="A297" s="12"/>
      <c r="C297" s="10"/>
      <c r="D297" s="10"/>
      <c r="E297" s="10"/>
      <c r="F297" s="10"/>
      <c r="G297" s="11" t="str">
        <f>IF(C297="","",ROUND(C297-D297+E297-F297,2))</f>
        <v/>
      </c>
    </row>
    <row r="298" spans="1:7" x14ac:dyDescent="0.25">
      <c r="A298" s="12"/>
      <c r="C298" s="10"/>
      <c r="D298" s="10"/>
      <c r="E298" s="10"/>
      <c r="F298" s="10"/>
      <c r="G298" s="11" t="str">
        <f>IF(C298="","",ROUND(C298-D298+E298-F298,2))</f>
        <v/>
      </c>
    </row>
    <row r="299" spans="1:7" x14ac:dyDescent="0.25">
      <c r="A299" s="12"/>
      <c r="C299" s="10"/>
      <c r="D299" s="10"/>
      <c r="E299" s="10"/>
      <c r="F299" s="10"/>
      <c r="G299" s="11" t="str">
        <f>IF(C299="","",ROUND(C299-D299+E299-F299,2))</f>
        <v/>
      </c>
    </row>
    <row r="300" spans="1:7" x14ac:dyDescent="0.25">
      <c r="A300" s="12"/>
      <c r="C300" s="10"/>
      <c r="D300" s="10"/>
      <c r="E300" s="10"/>
      <c r="F300" s="10"/>
      <c r="G300" s="11" t="str">
        <f>IF(C300="","",ROUND(C300-D300+E300-F300,2))</f>
        <v/>
      </c>
    </row>
    <row r="301" spans="1:7" x14ac:dyDescent="0.25">
      <c r="A301" s="12"/>
      <c r="C301" s="10"/>
      <c r="D301" s="10"/>
      <c r="E301" s="10"/>
      <c r="F301" s="10"/>
      <c r="G301" s="11" t="str">
        <f>IF(C301="","",ROUND(C301-D301+E301-F301,2))</f>
        <v/>
      </c>
    </row>
  </sheetData>
  <sheetProtection sheet="1" formatColumns="0" formatRows="0" sort="0" autoFilter="0"/>
  <autoFilter ref="A1:F301"/>
  <dataValidations count="6">
    <dataValidation type="list" allowBlank="1" showErrorMessage="1" errorStyle="stop" errorTitle="Mois" error="Choisissez le mois dans la liste. Elle couvre les 10 ans qui finissent à la Fin de relevé (Paramètres)." sqref="A2:A301">
      <formula1>ListeMoisPaie</formula1>
    </dataValidation>
    <dataValidation type="list" allowBlank="1" showErrorMessage="1" errorStyle="warning" errorTitle="Employeur non déclaré" error="Cet employeur n'est pas dans le tableau Employeur de Paramètres. Il sera lu quand même ; déclarez-le pour le retrouver dans la liste." sqref="B2:B301">
      <formula1>OFFSET('Paramètres'!$V$10,0,0,MAX(1,COUNTA('Paramètres'!$V$10:$V$49)),1)</formula1>
    </dataValidation>
    <dataValidation type="decimal" operator="greaterThanOrEqual" allowBlank="1" showErrorMessage="1" errorStyle="stop" errorTitle="Brut" error="Un montant positif ou nul, sans signe. Le Net se calcule : brut − cotisations + indemnités − autres retenues." sqref="C2:C301">
      <formula1>0</formula1>
    </dataValidation>
    <dataValidation type="decimal" operator="greaterThanOrEqual" allowBlank="1" showErrorMessage="1" errorStyle="stop" errorTitle="Cotisations salariales" error="Un montant positif ou nul, sans signe. Le Net se calcule : brut − cotisations + indemnités − autres retenues." sqref="D2:D301">
      <formula1>0</formula1>
    </dataValidation>
    <dataValidation type="decimal" operator="greaterThanOrEqual" allowBlank="1" showErrorMessage="1" errorStyle="stop" errorTitle="Indemnités" error="Un montant positif ou nul, sans signe. Le Net se calcule : brut − cotisations + indemnités − autres retenues." sqref="E2:E301">
      <formula1>0</formula1>
    </dataValidation>
    <dataValidation type="decimal" operator="greaterThanOrEqual" allowBlank="1" showErrorMessage="1" errorStyle="stop" errorTitle="Autres retenues" error="Un montant positif ou nul, sans signe. Le Net se calcule : brut − cotisations + indemnités − autres retenues." sqref="F2:F30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style="4" customWidth="1"/>
    <col min="2" max="2" width="34" style="4" customWidth="1"/>
    <col min="3" max="3" width="18" style="4" customWidth="1"/>
    <col min="4" max="4" width="16" style="4" customWidth="1"/>
    <col min="5" max="5" width="12" style="4" customWidth="1"/>
    <col min="6" max="6" width="14" style="4" customWidth="1"/>
    <col min="8" max="8" width="11" customWidth="1"/>
    <col min="9" max="9" width="12" customWidth="1"/>
    <col min="10" max="10" width="26" customWidth="1"/>
  </cols>
  <sheetData>
    <row r="1" spans="1:10" x14ac:dyDescent="0.25">
      <c r="A1" s="13" t="s">
        <v>165</v>
      </c>
      <c r="B1" s="13" t="s">
        <v>166</v>
      </c>
      <c r="C1" s="13" t="s">
        <v>167</v>
      </c>
      <c r="D1" s="13" t="s">
        <v>168</v>
      </c>
      <c r="E1" s="13" t="s">
        <v>34</v>
      </c>
      <c r="F1" s="13" t="s">
        <v>44</v>
      </c>
      <c r="H1" s="3" t="s">
        <v>56</v>
      </c>
      <c r="I1" s="4" t="s">
        <v>57</v>
      </c>
      <c r="J1" s="6" t="s">
        <v>58</v>
      </c>
    </row>
    <row r="2" spans="1:6" x14ac:dyDescent="0.25">
      <c r="A2" s="4">
        <v>1</v>
      </c>
      <c r="B2" s="4" t="s">
        <v>169</v>
      </c>
      <c r="C2" s="4" t="s">
        <v>170</v>
      </c>
      <c r="D2" s="4" t="s">
        <v>171</v>
      </c>
      <c r="E2" s="9">
        <v>46203</v>
      </c>
      <c r="F2" s="10">
        <v>1850</v>
      </c>
    </row>
    <row r="3" spans="1:6" x14ac:dyDescent="0.25">
      <c r="A3" s="4">
        <v>2</v>
      </c>
      <c r="B3" s="4" t="s">
        <v>172</v>
      </c>
      <c r="C3" s="4" t="s">
        <v>173</v>
      </c>
      <c r="D3" s="4" t="s">
        <v>171</v>
      </c>
      <c r="E3" s="9">
        <v>46203</v>
      </c>
      <c r="F3" s="10">
        <v>6000</v>
      </c>
    </row>
    <row r="4" spans="1:6" x14ac:dyDescent="0.25">
      <c r="A4" s="4">
        <v>3</v>
      </c>
      <c r="B4" s="4" t="s">
        <v>174</v>
      </c>
      <c r="C4" s="4" t="s">
        <v>173</v>
      </c>
      <c r="D4" s="4" t="s">
        <v>175</v>
      </c>
      <c r="E4" s="9">
        <v>46203</v>
      </c>
      <c r="F4" s="10">
        <v>12400</v>
      </c>
    </row>
    <row r="5" spans="1:6" x14ac:dyDescent="0.25">
      <c r="A5" s="4">
        <v>4</v>
      </c>
      <c r="B5" s="4" t="s">
        <v>176</v>
      </c>
      <c r="C5" s="4" t="s">
        <v>177</v>
      </c>
      <c r="D5" s="4" t="s">
        <v>177</v>
      </c>
      <c r="E5" s="9">
        <v>46203</v>
      </c>
      <c r="F5" s="10">
        <v>38000</v>
      </c>
    </row>
    <row r="6" spans="1:6" x14ac:dyDescent="0.25">
      <c r="A6" s="4">
        <v>1</v>
      </c>
      <c r="B6" s="4" t="s">
        <v>169</v>
      </c>
      <c r="C6" s="4" t="s">
        <v>170</v>
      </c>
      <c r="D6" s="4" t="s">
        <v>171</v>
      </c>
      <c r="E6" s="9">
        <v>46234</v>
      </c>
      <c r="F6" s="10">
        <v>2120.4</v>
      </c>
    </row>
    <row r="7" spans="1:6" x14ac:dyDescent="0.25">
      <c r="A7" s="4">
        <v>2</v>
      </c>
      <c r="B7" s="4" t="s">
        <v>172</v>
      </c>
      <c r="C7" s="4" t="s">
        <v>173</v>
      </c>
      <c r="D7" s="4" t="s">
        <v>171</v>
      </c>
      <c r="E7" s="9">
        <v>46234</v>
      </c>
      <c r="F7" s="10">
        <v>6150</v>
      </c>
    </row>
    <row r="8" spans="1:6" x14ac:dyDescent="0.25">
      <c r="A8" s="4">
        <v>3</v>
      </c>
      <c r="B8" s="4" t="s">
        <v>174</v>
      </c>
      <c r="C8" s="4" t="s">
        <v>173</v>
      </c>
      <c r="D8" s="4" t="s">
        <v>175</v>
      </c>
      <c r="E8" s="9">
        <v>46234</v>
      </c>
      <c r="F8" s="10">
        <v>12480.55</v>
      </c>
    </row>
    <row r="9" spans="1:6" x14ac:dyDescent="0.25">
      <c r="A9" s="4">
        <v>4</v>
      </c>
      <c r="B9" s="4" t="s">
        <v>176</v>
      </c>
      <c r="C9" s="4" t="s">
        <v>177</v>
      </c>
      <c r="D9" s="4" t="s">
        <v>177</v>
      </c>
      <c r="E9" s="9">
        <v>46234</v>
      </c>
      <c r="F9" s="10">
        <v>38620</v>
      </c>
    </row>
    <row r="10" spans="1:6" x14ac:dyDescent="0.25">
      <c r="A10" s="4">
        <v>1</v>
      </c>
      <c r="B10" s="4" t="s">
        <v>169</v>
      </c>
      <c r="C10" s="4" t="s">
        <v>170</v>
      </c>
      <c r="D10" s="4" t="s">
        <v>171</v>
      </c>
      <c r="E10" s="9">
        <v>46265</v>
      </c>
      <c r="F10" s="10">
        <v>1640.75</v>
      </c>
    </row>
    <row r="11" spans="1:6" x14ac:dyDescent="0.25">
      <c r="A11" s="4">
        <v>2</v>
      </c>
      <c r="B11" s="4" t="s">
        <v>172</v>
      </c>
      <c r="C11" s="4" t="s">
        <v>173</v>
      </c>
      <c r="D11" s="4" t="s">
        <v>171</v>
      </c>
      <c r="E11" s="9">
        <v>46265</v>
      </c>
      <c r="F11" s="10">
        <v>6300</v>
      </c>
    </row>
    <row r="12" spans="1:6" x14ac:dyDescent="0.25">
      <c r="A12" s="4">
        <v>3</v>
      </c>
      <c r="B12" s="4" t="s">
        <v>174</v>
      </c>
      <c r="C12" s="4" t="s">
        <v>173</v>
      </c>
      <c r="D12" s="4" t="s">
        <v>175</v>
      </c>
      <c r="E12" s="9">
        <v>46265</v>
      </c>
      <c r="F12" s="10">
        <v>12530.1</v>
      </c>
    </row>
    <row r="13" spans="1:6" x14ac:dyDescent="0.25">
      <c r="A13" s="4">
        <v>4</v>
      </c>
      <c r="B13" s="4" t="s">
        <v>176</v>
      </c>
      <c r="C13" s="4" t="s">
        <v>177</v>
      </c>
      <c r="D13" s="4" t="s">
        <v>177</v>
      </c>
      <c r="E13" s="9">
        <v>46265</v>
      </c>
      <c r="F13" s="10">
        <v>39245</v>
      </c>
    </row>
    <row r="14" spans="1:6" x14ac:dyDescent="0.25">
      <c r="A14" s="4">
        <v>1</v>
      </c>
      <c r="B14" s="4" t="s">
        <v>169</v>
      </c>
      <c r="C14" s="4" t="s">
        <v>170</v>
      </c>
      <c r="D14" s="4" t="s">
        <v>171</v>
      </c>
      <c r="E14" s="9">
        <v>46295</v>
      </c>
      <c r="F14" s="10"/>
    </row>
    <row r="15" spans="1:6" x14ac:dyDescent="0.25">
      <c r="A15" s="4">
        <v>2</v>
      </c>
      <c r="B15" s="4" t="s">
        <v>172</v>
      </c>
      <c r="C15" s="4" t="s">
        <v>173</v>
      </c>
      <c r="D15" s="4" t="s">
        <v>171</v>
      </c>
      <c r="E15" s="9">
        <v>46295</v>
      </c>
      <c r="F15" s="10"/>
    </row>
    <row r="16" spans="1:6" x14ac:dyDescent="0.25">
      <c r="A16" s="4">
        <v>3</v>
      </c>
      <c r="B16" s="4" t="s">
        <v>174</v>
      </c>
      <c r="C16" s="4" t="s">
        <v>173</v>
      </c>
      <c r="D16" s="4" t="s">
        <v>175</v>
      </c>
      <c r="E16" s="9">
        <v>46295</v>
      </c>
      <c r="F16" s="10"/>
    </row>
    <row r="17" spans="1:6" x14ac:dyDescent="0.25">
      <c r="A17" s="4">
        <v>4</v>
      </c>
      <c r="B17" s="4" t="s">
        <v>176</v>
      </c>
      <c r="C17" s="4" t="s">
        <v>177</v>
      </c>
      <c r="D17" s="4" t="s">
        <v>177</v>
      </c>
      <c r="E17" s="9">
        <v>46295</v>
      </c>
      <c r="F17" s="10">
        <v>39870</v>
      </c>
    </row>
    <row r="18" spans="1:6" x14ac:dyDescent="0.25">
      <c r="A18" s="4">
        <v>4</v>
      </c>
      <c r="B18" s="4" t="s">
        <v>176</v>
      </c>
      <c r="C18" s="4" t="s">
        <v>177</v>
      </c>
      <c r="D18" s="4" t="s">
        <v>177</v>
      </c>
      <c r="E18" s="9">
        <v>46326</v>
      </c>
      <c r="F18" s="10">
        <v>40495</v>
      </c>
    </row>
    <row r="19" spans="1:6" x14ac:dyDescent="0.25">
      <c r="A19" s="4">
        <v>4</v>
      </c>
      <c r="B19" s="4" t="s">
        <v>176</v>
      </c>
      <c r="C19" s="4" t="s">
        <v>177</v>
      </c>
      <c r="D19" s="4" t="s">
        <v>177</v>
      </c>
      <c r="E19" s="9">
        <v>46356</v>
      </c>
      <c r="F19" s="10">
        <v>41120</v>
      </c>
    </row>
    <row r="20" spans="1:6" x14ac:dyDescent="0.25">
      <c r="A20" s="4">
        <v>4</v>
      </c>
      <c r="B20" s="4" t="s">
        <v>176</v>
      </c>
      <c r="C20" s="4" t="s">
        <v>177</v>
      </c>
      <c r="D20" s="4" t="s">
        <v>177</v>
      </c>
      <c r="E20" s="9">
        <v>46387</v>
      </c>
      <c r="F20" s="10">
        <v>41745</v>
      </c>
    </row>
    <row r="21" spans="1:6" x14ac:dyDescent="0.25">
      <c r="A21" s="4">
        <v>4</v>
      </c>
      <c r="B21" s="4" t="s">
        <v>176</v>
      </c>
      <c r="C21" s="4" t="s">
        <v>177</v>
      </c>
      <c r="D21" s="4" t="s">
        <v>177</v>
      </c>
      <c r="E21" s="9">
        <v>46418</v>
      </c>
      <c r="F21" s="10">
        <v>42370</v>
      </c>
    </row>
    <row r="22" spans="1:6" x14ac:dyDescent="0.25">
      <c r="A22" s="4">
        <v>4</v>
      </c>
      <c r="B22" s="4" t="s">
        <v>176</v>
      </c>
      <c r="C22" s="4" t="s">
        <v>177</v>
      </c>
      <c r="D22" s="4" t="s">
        <v>177</v>
      </c>
      <c r="E22" s="9">
        <v>46446</v>
      </c>
      <c r="F22" s="10">
        <v>42995</v>
      </c>
    </row>
    <row r="23" spans="1:6" x14ac:dyDescent="0.25">
      <c r="A23" s="4">
        <v>4</v>
      </c>
      <c r="B23" s="4" t="s">
        <v>176</v>
      </c>
      <c r="C23" s="4" t="s">
        <v>177</v>
      </c>
      <c r="D23" s="4" t="s">
        <v>177</v>
      </c>
      <c r="E23" s="9">
        <v>46477</v>
      </c>
      <c r="F23" s="10">
        <v>43620</v>
      </c>
    </row>
    <row r="24" spans="1:6" x14ac:dyDescent="0.25">
      <c r="A24" s="4">
        <v>4</v>
      </c>
      <c r="B24" s="4" t="s">
        <v>176</v>
      </c>
      <c r="C24" s="4" t="s">
        <v>177</v>
      </c>
      <c r="D24" s="4" t="s">
        <v>177</v>
      </c>
      <c r="E24" s="9">
        <v>46507</v>
      </c>
      <c r="F24" s="10">
        <v>44245</v>
      </c>
    </row>
    <row r="25" spans="1:6" x14ac:dyDescent="0.25">
      <c r="A25" s="4">
        <v>4</v>
      </c>
      <c r="B25" s="4" t="s">
        <v>176</v>
      </c>
      <c r="C25" s="4" t="s">
        <v>177</v>
      </c>
      <c r="D25" s="4" t="s">
        <v>177</v>
      </c>
      <c r="E25" s="9">
        <v>46538</v>
      </c>
      <c r="F25" s="10">
        <v>44870</v>
      </c>
    </row>
    <row r="26" spans="1:6" x14ac:dyDescent="0.25">
      <c r="A26" s="4">
        <v>4</v>
      </c>
      <c r="B26" s="4" t="s">
        <v>176</v>
      </c>
      <c r="C26" s="4" t="s">
        <v>177</v>
      </c>
      <c r="D26" s="4" t="s">
        <v>177</v>
      </c>
      <c r="E26" s="9">
        <v>46568</v>
      </c>
      <c r="F26" s="10">
        <v>45495</v>
      </c>
    </row>
    <row r="27" spans="1:6" x14ac:dyDescent="0.25">
      <c r="A27" s="4">
        <v>4</v>
      </c>
      <c r="B27" s="4" t="s">
        <v>176</v>
      </c>
      <c r="C27" s="4" t="s">
        <v>177</v>
      </c>
      <c r="D27" s="4" t="s">
        <v>177</v>
      </c>
      <c r="E27" s="9">
        <v>46599</v>
      </c>
      <c r="F27" s="10">
        <v>46120</v>
      </c>
    </row>
    <row r="28" spans="1:6" x14ac:dyDescent="0.25">
      <c r="A28" s="4">
        <v>4</v>
      </c>
      <c r="B28" s="4" t="s">
        <v>176</v>
      </c>
      <c r="C28" s="4" t="s">
        <v>177</v>
      </c>
      <c r="D28" s="4" t="s">
        <v>177</v>
      </c>
      <c r="E28" s="9">
        <v>46630</v>
      </c>
      <c r="F28" s="10">
        <v>46745</v>
      </c>
    </row>
    <row r="29" spans="1:6" x14ac:dyDescent="0.25">
      <c r="A29" s="4">
        <v>4</v>
      </c>
      <c r="B29" s="4" t="s">
        <v>176</v>
      </c>
      <c r="C29" s="4" t="s">
        <v>177</v>
      </c>
      <c r="D29" s="4" t="s">
        <v>177</v>
      </c>
      <c r="E29" s="9">
        <v>46660</v>
      </c>
      <c r="F29" s="10">
        <v>47370</v>
      </c>
    </row>
    <row r="30" spans="1:6" x14ac:dyDescent="0.25">
      <c r="A30" s="4">
        <v>4</v>
      </c>
      <c r="B30" s="4" t="s">
        <v>176</v>
      </c>
      <c r="C30" s="4" t="s">
        <v>177</v>
      </c>
      <c r="D30" s="4" t="s">
        <v>177</v>
      </c>
      <c r="E30" s="9">
        <v>46691</v>
      </c>
      <c r="F30" s="10">
        <v>47995</v>
      </c>
    </row>
    <row r="31" spans="1:6" x14ac:dyDescent="0.25">
      <c r="A31" s="4">
        <v>4</v>
      </c>
      <c r="B31" s="4" t="s">
        <v>176</v>
      </c>
      <c r="C31" s="4" t="s">
        <v>177</v>
      </c>
      <c r="D31" s="4" t="s">
        <v>177</v>
      </c>
      <c r="E31" s="9">
        <v>46721</v>
      </c>
      <c r="F31" s="10">
        <v>48620</v>
      </c>
    </row>
    <row r="32" spans="1:6" x14ac:dyDescent="0.25">
      <c r="A32" s="4">
        <v>4</v>
      </c>
      <c r="B32" s="4" t="s">
        <v>176</v>
      </c>
      <c r="C32" s="4" t="s">
        <v>177</v>
      </c>
      <c r="D32" s="4" t="s">
        <v>177</v>
      </c>
      <c r="E32" s="9">
        <v>46752</v>
      </c>
      <c r="F32" s="10">
        <v>49245</v>
      </c>
    </row>
    <row r="33" spans="5:6" x14ac:dyDescent="0.25">
      <c r="E33" s="9"/>
      <c r="F33" s="10"/>
    </row>
    <row r="34" spans="5:6" x14ac:dyDescent="0.25">
      <c r="E34" s="9"/>
      <c r="F34" s="10"/>
    </row>
    <row r="35" spans="5:6" x14ac:dyDescent="0.25">
      <c r="E35" s="9"/>
      <c r="F35" s="10"/>
    </row>
    <row r="36" spans="5:6" x14ac:dyDescent="0.25">
      <c r="E36" s="9"/>
      <c r="F36" s="10"/>
    </row>
    <row r="37" spans="5:6" x14ac:dyDescent="0.25">
      <c r="E37" s="9"/>
      <c r="F37" s="10"/>
    </row>
    <row r="38" spans="5:6" x14ac:dyDescent="0.25">
      <c r="E38" s="9"/>
      <c r="F38" s="10"/>
    </row>
    <row r="39" spans="5:6" x14ac:dyDescent="0.25">
      <c r="E39" s="9"/>
      <c r="F39" s="10"/>
    </row>
    <row r="40" spans="5:6" x14ac:dyDescent="0.25">
      <c r="E40" s="9"/>
      <c r="F40" s="10"/>
    </row>
    <row r="41" spans="5:6" x14ac:dyDescent="0.25">
      <c r="E41" s="9"/>
      <c r="F41" s="10"/>
    </row>
    <row r="42" spans="5:6" x14ac:dyDescent="0.25">
      <c r="E42" s="9"/>
      <c r="F42" s="10"/>
    </row>
    <row r="43" spans="5:6" x14ac:dyDescent="0.25">
      <c r="E43" s="9"/>
      <c r="F43" s="10"/>
    </row>
    <row r="44" spans="5:6" x14ac:dyDescent="0.25">
      <c r="E44" s="9"/>
      <c r="F44" s="10"/>
    </row>
    <row r="45" spans="5:6" x14ac:dyDescent="0.25">
      <c r="E45" s="9"/>
      <c r="F45" s="10"/>
    </row>
    <row r="46" spans="5:6" x14ac:dyDescent="0.25">
      <c r="E46" s="9"/>
      <c r="F46" s="10"/>
    </row>
    <row r="47" spans="5:6" x14ac:dyDescent="0.25">
      <c r="E47" s="9"/>
      <c r="F47" s="10"/>
    </row>
    <row r="48" spans="5:6" x14ac:dyDescent="0.25">
      <c r="E48" s="9"/>
      <c r="F48" s="10"/>
    </row>
    <row r="49" spans="5:6" x14ac:dyDescent="0.25">
      <c r="E49" s="9"/>
      <c r="F49" s="10"/>
    </row>
    <row r="50" spans="5:6" x14ac:dyDescent="0.25">
      <c r="E50" s="9"/>
      <c r="F50" s="10"/>
    </row>
    <row r="51" spans="5:6" x14ac:dyDescent="0.25">
      <c r="E51" s="9"/>
      <c r="F51" s="10"/>
    </row>
    <row r="52" spans="5:6" x14ac:dyDescent="0.25">
      <c r="E52" s="9"/>
      <c r="F52" s="10"/>
    </row>
    <row r="53" spans="5:6" x14ac:dyDescent="0.25">
      <c r="E53" s="9"/>
      <c r="F53" s="10"/>
    </row>
    <row r="54" spans="5:6" x14ac:dyDescent="0.25">
      <c r="E54" s="9"/>
      <c r="F54" s="10"/>
    </row>
    <row r="55" spans="5:6" x14ac:dyDescent="0.25">
      <c r="E55" s="9"/>
      <c r="F55" s="10"/>
    </row>
    <row r="56" spans="5:6" x14ac:dyDescent="0.25">
      <c r="E56" s="9"/>
      <c r="F56" s="10"/>
    </row>
    <row r="57" spans="5:6" x14ac:dyDescent="0.25">
      <c r="E57" s="9"/>
      <c r="F57" s="10"/>
    </row>
    <row r="58" spans="5:6" x14ac:dyDescent="0.25">
      <c r="E58" s="9"/>
      <c r="F58" s="10"/>
    </row>
    <row r="59" spans="5:6" x14ac:dyDescent="0.25">
      <c r="E59" s="9"/>
      <c r="F59" s="10"/>
    </row>
    <row r="60" spans="5:6" x14ac:dyDescent="0.25">
      <c r="E60" s="9"/>
      <c r="F60" s="10"/>
    </row>
    <row r="61" spans="5:6" x14ac:dyDescent="0.25">
      <c r="E61" s="9"/>
      <c r="F61" s="10"/>
    </row>
    <row r="62" spans="5:6" x14ac:dyDescent="0.25">
      <c r="E62" s="9"/>
      <c r="F62" s="10"/>
    </row>
    <row r="63" spans="5:6" x14ac:dyDescent="0.25">
      <c r="E63" s="9"/>
      <c r="F63" s="10"/>
    </row>
    <row r="64" spans="5:6" x14ac:dyDescent="0.25">
      <c r="E64" s="9"/>
      <c r="F64" s="10"/>
    </row>
    <row r="65" spans="5:6" x14ac:dyDescent="0.25">
      <c r="E65" s="9"/>
      <c r="F65" s="10"/>
    </row>
    <row r="66" spans="5:6" x14ac:dyDescent="0.25">
      <c r="E66" s="9"/>
      <c r="F66" s="10"/>
    </row>
    <row r="67" spans="5:6" x14ac:dyDescent="0.25">
      <c r="E67" s="9"/>
      <c r="F67" s="10"/>
    </row>
    <row r="68" spans="5:6" x14ac:dyDescent="0.25">
      <c r="E68" s="9"/>
      <c r="F68" s="10"/>
    </row>
    <row r="69" spans="5:6" x14ac:dyDescent="0.25">
      <c r="E69" s="9"/>
      <c r="F69" s="10"/>
    </row>
    <row r="70" spans="5:6" x14ac:dyDescent="0.25">
      <c r="E70" s="9"/>
      <c r="F70" s="10"/>
    </row>
    <row r="71" spans="5:6" x14ac:dyDescent="0.25">
      <c r="E71" s="9"/>
      <c r="F71" s="10"/>
    </row>
    <row r="72" spans="5:6" x14ac:dyDescent="0.25">
      <c r="E72" s="9"/>
      <c r="F72" s="10"/>
    </row>
    <row r="73" spans="5:6" x14ac:dyDescent="0.25">
      <c r="E73" s="9"/>
      <c r="F73" s="10"/>
    </row>
    <row r="74" spans="5:6" x14ac:dyDescent="0.25">
      <c r="E74" s="9"/>
      <c r="F74" s="10"/>
    </row>
    <row r="75" spans="5:6" x14ac:dyDescent="0.25">
      <c r="E75" s="9"/>
      <c r="F75" s="10"/>
    </row>
    <row r="76" spans="5:6" x14ac:dyDescent="0.25">
      <c r="E76" s="9"/>
      <c r="F76" s="10"/>
    </row>
    <row r="77" spans="5:6" x14ac:dyDescent="0.25">
      <c r="E77" s="9"/>
      <c r="F77" s="10"/>
    </row>
    <row r="78" spans="5:6" x14ac:dyDescent="0.25">
      <c r="E78" s="9"/>
      <c r="F78" s="10"/>
    </row>
    <row r="79" spans="5:6" x14ac:dyDescent="0.25">
      <c r="E79" s="9"/>
      <c r="F79" s="10"/>
    </row>
    <row r="80" spans="5:6" x14ac:dyDescent="0.25">
      <c r="E80" s="9"/>
      <c r="F80" s="10"/>
    </row>
    <row r="81" spans="5:6" x14ac:dyDescent="0.25">
      <c r="E81" s="9"/>
      <c r="F81" s="10"/>
    </row>
    <row r="82" spans="5:6" x14ac:dyDescent="0.25">
      <c r="E82" s="9"/>
      <c r="F82" s="10"/>
    </row>
    <row r="83" spans="5:6" x14ac:dyDescent="0.25">
      <c r="E83" s="9"/>
      <c r="F83" s="10"/>
    </row>
    <row r="84" spans="5:6" x14ac:dyDescent="0.25">
      <c r="E84" s="9"/>
      <c r="F84" s="10"/>
    </row>
    <row r="85" spans="5:6" x14ac:dyDescent="0.25">
      <c r="E85" s="9"/>
      <c r="F85" s="10"/>
    </row>
    <row r="86" spans="5:6" x14ac:dyDescent="0.25">
      <c r="E86" s="9"/>
      <c r="F86" s="10"/>
    </row>
    <row r="87" spans="5:6" x14ac:dyDescent="0.25">
      <c r="E87" s="9"/>
      <c r="F87" s="10"/>
    </row>
    <row r="88" spans="5:6" x14ac:dyDescent="0.25">
      <c r="E88" s="9"/>
      <c r="F88" s="10"/>
    </row>
    <row r="89" spans="5:6" x14ac:dyDescent="0.25">
      <c r="E89" s="9"/>
      <c r="F89" s="10"/>
    </row>
    <row r="90" spans="5:6" x14ac:dyDescent="0.25">
      <c r="E90" s="9"/>
      <c r="F90" s="10"/>
    </row>
    <row r="91" spans="5:6" x14ac:dyDescent="0.25">
      <c r="E91" s="9"/>
      <c r="F91" s="10"/>
    </row>
    <row r="92" spans="5:6" x14ac:dyDescent="0.25">
      <c r="E92" s="9"/>
      <c r="F92" s="10"/>
    </row>
    <row r="93" spans="5:6" x14ac:dyDescent="0.25">
      <c r="E93" s="9"/>
      <c r="F93" s="10"/>
    </row>
    <row r="94" spans="5:6" x14ac:dyDescent="0.25">
      <c r="E94" s="9"/>
      <c r="F94" s="10"/>
    </row>
    <row r="95" spans="5:6" x14ac:dyDescent="0.25">
      <c r="E95" s="9"/>
      <c r="F95" s="10"/>
    </row>
    <row r="96" spans="5:6" x14ac:dyDescent="0.25">
      <c r="E96" s="9"/>
      <c r="F96" s="10"/>
    </row>
    <row r="97" spans="5:6" x14ac:dyDescent="0.25">
      <c r="E97" s="9"/>
      <c r="F97" s="10"/>
    </row>
    <row r="98" spans="5:6" x14ac:dyDescent="0.25">
      <c r="E98" s="9"/>
      <c r="F98" s="10"/>
    </row>
    <row r="99" spans="5:6" x14ac:dyDescent="0.25">
      <c r="E99" s="9"/>
      <c r="F99" s="10"/>
    </row>
    <row r="100" spans="5:6" x14ac:dyDescent="0.25">
      <c r="E100" s="9"/>
      <c r="F100" s="10"/>
    </row>
    <row r="101" spans="5:6" x14ac:dyDescent="0.25">
      <c r="E101" s="9"/>
      <c r="F101" s="10"/>
    </row>
    <row r="102" spans="5:6" x14ac:dyDescent="0.25">
      <c r="E102" s="9"/>
      <c r="F102" s="10"/>
    </row>
    <row r="103" spans="5:6" x14ac:dyDescent="0.25">
      <c r="E103" s="9"/>
      <c r="F103" s="10"/>
    </row>
    <row r="104" spans="5:6" x14ac:dyDescent="0.25">
      <c r="E104" s="9"/>
      <c r="F104" s="10"/>
    </row>
    <row r="105" spans="5:6" x14ac:dyDescent="0.25">
      <c r="E105" s="9"/>
      <c r="F105" s="10"/>
    </row>
    <row r="106" spans="5:6" x14ac:dyDescent="0.25">
      <c r="E106" s="9"/>
      <c r="F106" s="10"/>
    </row>
    <row r="107" spans="5:6" x14ac:dyDescent="0.25">
      <c r="E107" s="9"/>
      <c r="F107" s="10"/>
    </row>
    <row r="108" spans="5:6" x14ac:dyDescent="0.25">
      <c r="E108" s="9"/>
      <c r="F108" s="10"/>
    </row>
    <row r="109" spans="5:6" x14ac:dyDescent="0.25">
      <c r="E109" s="9"/>
      <c r="F109" s="10"/>
    </row>
    <row r="110" spans="5:6" x14ac:dyDescent="0.25">
      <c r="E110" s="9"/>
      <c r="F110" s="10"/>
    </row>
    <row r="111" spans="5:6" x14ac:dyDescent="0.25">
      <c r="E111" s="9"/>
      <c r="F111" s="10"/>
    </row>
    <row r="112" spans="5:6" x14ac:dyDescent="0.25">
      <c r="E112" s="9"/>
      <c r="F112" s="10"/>
    </row>
    <row r="113" spans="5:6" x14ac:dyDescent="0.25">
      <c r="E113" s="9"/>
      <c r="F113" s="10"/>
    </row>
    <row r="114" spans="5:6" x14ac:dyDescent="0.25">
      <c r="E114" s="9"/>
      <c r="F114" s="10"/>
    </row>
    <row r="115" spans="5:6" x14ac:dyDescent="0.25">
      <c r="E115" s="9"/>
      <c r="F115" s="10"/>
    </row>
    <row r="116" spans="5:6" x14ac:dyDescent="0.25">
      <c r="E116" s="9"/>
      <c r="F116" s="10"/>
    </row>
    <row r="117" spans="5:6" x14ac:dyDescent="0.25">
      <c r="E117" s="9"/>
      <c r="F117" s="10"/>
    </row>
    <row r="118" spans="5:6" x14ac:dyDescent="0.25">
      <c r="E118" s="9"/>
      <c r="F118" s="10"/>
    </row>
    <row r="119" spans="5:6" x14ac:dyDescent="0.25">
      <c r="E119" s="9"/>
      <c r="F119" s="10"/>
    </row>
    <row r="120" spans="5:6" x14ac:dyDescent="0.25">
      <c r="E120" s="9"/>
      <c r="F120" s="10"/>
    </row>
    <row r="121" spans="5:6" x14ac:dyDescent="0.25">
      <c r="E121" s="9"/>
      <c r="F121" s="10"/>
    </row>
    <row r="122" spans="5:6" x14ac:dyDescent="0.25">
      <c r="E122" s="9"/>
      <c r="F122" s="10"/>
    </row>
    <row r="123" spans="5:6" x14ac:dyDescent="0.25">
      <c r="E123" s="9"/>
      <c r="F123" s="10"/>
    </row>
    <row r="124" spans="5:6" x14ac:dyDescent="0.25">
      <c r="E124" s="9"/>
      <c r="F124" s="10"/>
    </row>
    <row r="125" spans="5:6" x14ac:dyDescent="0.25">
      <c r="E125" s="9"/>
      <c r="F125" s="10"/>
    </row>
    <row r="126" spans="5:6" x14ac:dyDescent="0.25">
      <c r="E126" s="9"/>
      <c r="F126" s="10"/>
    </row>
    <row r="127" spans="5:6" x14ac:dyDescent="0.25">
      <c r="E127" s="9"/>
      <c r="F127" s="10"/>
    </row>
    <row r="128" spans="5:6" x14ac:dyDescent="0.25">
      <c r="E128" s="9"/>
      <c r="F128" s="10"/>
    </row>
    <row r="129" spans="5:6" x14ac:dyDescent="0.25">
      <c r="E129" s="9"/>
      <c r="F129" s="10"/>
    </row>
    <row r="130" spans="5:6" x14ac:dyDescent="0.25">
      <c r="E130" s="9"/>
      <c r="F130" s="10"/>
    </row>
    <row r="131" spans="5:6" x14ac:dyDescent="0.25">
      <c r="E131" s="9"/>
      <c r="F131" s="10"/>
    </row>
    <row r="132" spans="5:6" x14ac:dyDescent="0.25">
      <c r="E132" s="9"/>
      <c r="F132" s="10"/>
    </row>
    <row r="133" spans="5:6" x14ac:dyDescent="0.25">
      <c r="E133" s="9"/>
      <c r="F133" s="10"/>
    </row>
    <row r="134" spans="5:6" x14ac:dyDescent="0.25">
      <c r="E134" s="9"/>
      <c r="F134" s="10"/>
    </row>
    <row r="135" spans="5:6" x14ac:dyDescent="0.25">
      <c r="E135" s="9"/>
      <c r="F135" s="10"/>
    </row>
    <row r="136" spans="5:6" x14ac:dyDescent="0.25">
      <c r="E136" s="9"/>
      <c r="F136" s="10"/>
    </row>
    <row r="137" spans="5:6" x14ac:dyDescent="0.25">
      <c r="E137" s="9"/>
      <c r="F137" s="10"/>
    </row>
    <row r="138" spans="5:6" x14ac:dyDescent="0.25">
      <c r="E138" s="9"/>
      <c r="F138" s="10"/>
    </row>
    <row r="139" spans="5:6" x14ac:dyDescent="0.25">
      <c r="E139" s="9"/>
      <c r="F139" s="10"/>
    </row>
    <row r="140" spans="5:6" x14ac:dyDescent="0.25">
      <c r="E140" s="9"/>
      <c r="F140" s="10"/>
    </row>
    <row r="141" spans="5:6" x14ac:dyDescent="0.25">
      <c r="E141" s="9"/>
      <c r="F141" s="10"/>
    </row>
    <row r="142" spans="5:6" x14ac:dyDescent="0.25">
      <c r="E142" s="9"/>
      <c r="F142" s="10"/>
    </row>
    <row r="143" spans="5:6" x14ac:dyDescent="0.25">
      <c r="E143" s="9"/>
      <c r="F143" s="10"/>
    </row>
    <row r="144" spans="5:6" x14ac:dyDescent="0.25">
      <c r="E144" s="9"/>
      <c r="F144" s="10"/>
    </row>
    <row r="145" spans="5:6" x14ac:dyDescent="0.25">
      <c r="E145" s="9"/>
      <c r="F145" s="10"/>
    </row>
    <row r="146" spans="5:6" x14ac:dyDescent="0.25">
      <c r="E146" s="9"/>
      <c r="F146" s="10"/>
    </row>
    <row r="147" spans="5:6" x14ac:dyDescent="0.25">
      <c r="E147" s="9"/>
      <c r="F147" s="10"/>
    </row>
    <row r="148" spans="5:6" x14ac:dyDescent="0.25">
      <c r="E148" s="9"/>
      <c r="F148" s="10"/>
    </row>
    <row r="149" spans="5:6" x14ac:dyDescent="0.25">
      <c r="E149" s="9"/>
      <c r="F149" s="10"/>
    </row>
    <row r="150" spans="5:6" x14ac:dyDescent="0.25">
      <c r="E150" s="9"/>
      <c r="F150" s="10"/>
    </row>
    <row r="151" spans="5:6" x14ac:dyDescent="0.25">
      <c r="E151" s="9"/>
      <c r="F151" s="10"/>
    </row>
    <row r="152" spans="5:6" x14ac:dyDescent="0.25">
      <c r="E152" s="9"/>
      <c r="F152" s="10"/>
    </row>
    <row r="153" spans="5:6" x14ac:dyDescent="0.25">
      <c r="E153" s="9"/>
      <c r="F153" s="10"/>
    </row>
    <row r="154" spans="5:6" x14ac:dyDescent="0.25">
      <c r="E154" s="9"/>
      <c r="F154" s="10"/>
    </row>
    <row r="155" spans="5:6" x14ac:dyDescent="0.25">
      <c r="E155" s="9"/>
      <c r="F155" s="10"/>
    </row>
    <row r="156" spans="5:6" x14ac:dyDescent="0.25">
      <c r="E156" s="9"/>
      <c r="F156" s="10"/>
    </row>
    <row r="157" spans="5:6" x14ac:dyDescent="0.25">
      <c r="E157" s="9"/>
      <c r="F157" s="10"/>
    </row>
    <row r="158" spans="5:6" x14ac:dyDescent="0.25">
      <c r="E158" s="9"/>
      <c r="F158" s="10"/>
    </row>
    <row r="159" spans="5:6" x14ac:dyDescent="0.25">
      <c r="E159" s="9"/>
      <c r="F159" s="10"/>
    </row>
    <row r="160" spans="5:6" x14ac:dyDescent="0.25">
      <c r="E160" s="9"/>
      <c r="F160" s="10"/>
    </row>
    <row r="161" spans="5:6" x14ac:dyDescent="0.25">
      <c r="E161" s="9"/>
      <c r="F161" s="10"/>
    </row>
    <row r="162" spans="5:6" x14ac:dyDescent="0.25">
      <c r="E162" s="9"/>
      <c r="F162" s="10"/>
    </row>
    <row r="163" spans="5:6" x14ac:dyDescent="0.25">
      <c r="E163" s="9"/>
      <c r="F163" s="10"/>
    </row>
    <row r="164" spans="5:6" x14ac:dyDescent="0.25">
      <c r="E164" s="9"/>
      <c r="F164" s="10"/>
    </row>
    <row r="165" spans="5:6" x14ac:dyDescent="0.25">
      <c r="E165" s="9"/>
      <c r="F165" s="10"/>
    </row>
    <row r="166" spans="5:6" x14ac:dyDescent="0.25">
      <c r="E166" s="9"/>
      <c r="F166" s="10"/>
    </row>
    <row r="167" spans="5:6" x14ac:dyDescent="0.25">
      <c r="E167" s="9"/>
      <c r="F167" s="10"/>
    </row>
    <row r="168" spans="5:6" x14ac:dyDescent="0.25">
      <c r="E168" s="9"/>
      <c r="F168" s="10"/>
    </row>
    <row r="169" spans="5:6" x14ac:dyDescent="0.25">
      <c r="E169" s="9"/>
      <c r="F169" s="10"/>
    </row>
    <row r="170" spans="5:6" x14ac:dyDescent="0.25">
      <c r="E170" s="9"/>
      <c r="F170" s="10"/>
    </row>
    <row r="171" spans="5:6" x14ac:dyDescent="0.25">
      <c r="E171" s="9"/>
      <c r="F171" s="10"/>
    </row>
    <row r="172" spans="5:6" x14ac:dyDescent="0.25">
      <c r="E172" s="9"/>
      <c r="F172" s="10"/>
    </row>
    <row r="173" spans="5:6" x14ac:dyDescent="0.25">
      <c r="E173" s="9"/>
      <c r="F173" s="10"/>
    </row>
    <row r="174" spans="5:6" x14ac:dyDescent="0.25">
      <c r="E174" s="9"/>
      <c r="F174" s="10"/>
    </row>
    <row r="175" spans="5:6" x14ac:dyDescent="0.25">
      <c r="E175" s="9"/>
      <c r="F175" s="10"/>
    </row>
    <row r="176" spans="5:6" x14ac:dyDescent="0.25">
      <c r="E176" s="9"/>
      <c r="F176" s="10"/>
    </row>
    <row r="177" spans="5:6" x14ac:dyDescent="0.25">
      <c r="E177" s="9"/>
      <c r="F177" s="10"/>
    </row>
    <row r="178" spans="5:6" x14ac:dyDescent="0.25">
      <c r="E178" s="9"/>
      <c r="F178" s="10"/>
    </row>
    <row r="179" spans="5:6" x14ac:dyDescent="0.25">
      <c r="E179" s="9"/>
      <c r="F179" s="10"/>
    </row>
    <row r="180" spans="5:6" x14ac:dyDescent="0.25">
      <c r="E180" s="9"/>
      <c r="F180" s="10"/>
    </row>
    <row r="181" spans="5:6" x14ac:dyDescent="0.25">
      <c r="E181" s="9"/>
      <c r="F181" s="10"/>
    </row>
    <row r="182" spans="5:6" x14ac:dyDescent="0.25">
      <c r="E182" s="9"/>
      <c r="F182" s="10"/>
    </row>
    <row r="183" spans="5:6" x14ac:dyDescent="0.25">
      <c r="E183" s="9"/>
      <c r="F183" s="10"/>
    </row>
    <row r="184" spans="5:6" x14ac:dyDescent="0.25">
      <c r="E184" s="9"/>
      <c r="F184" s="10"/>
    </row>
    <row r="185" spans="5:6" x14ac:dyDescent="0.25">
      <c r="E185" s="9"/>
      <c r="F185" s="10"/>
    </row>
    <row r="186" spans="5:6" x14ac:dyDescent="0.25">
      <c r="E186" s="9"/>
      <c r="F186" s="10"/>
    </row>
    <row r="187" spans="5:6" x14ac:dyDescent="0.25">
      <c r="E187" s="9"/>
      <c r="F187" s="10"/>
    </row>
    <row r="188" spans="5:6" x14ac:dyDescent="0.25">
      <c r="E188" s="9"/>
      <c r="F188" s="10"/>
    </row>
    <row r="189" spans="5:6" x14ac:dyDescent="0.25">
      <c r="E189" s="9"/>
      <c r="F189" s="10"/>
    </row>
    <row r="190" spans="5:6" x14ac:dyDescent="0.25">
      <c r="E190" s="9"/>
      <c r="F190" s="10"/>
    </row>
    <row r="191" spans="5:6" x14ac:dyDescent="0.25">
      <c r="E191" s="9"/>
      <c r="F191" s="10"/>
    </row>
    <row r="192" spans="5:6" x14ac:dyDescent="0.25">
      <c r="E192" s="9"/>
      <c r="F192" s="10"/>
    </row>
    <row r="193" spans="5:6" x14ac:dyDescent="0.25">
      <c r="E193" s="9"/>
      <c r="F193" s="10"/>
    </row>
    <row r="194" spans="5:6" x14ac:dyDescent="0.25">
      <c r="E194" s="9"/>
      <c r="F194" s="10"/>
    </row>
    <row r="195" spans="5:6" x14ac:dyDescent="0.25">
      <c r="E195" s="9"/>
      <c r="F195" s="10"/>
    </row>
    <row r="196" spans="5:6" x14ac:dyDescent="0.25">
      <c r="E196" s="9"/>
      <c r="F196" s="10"/>
    </row>
    <row r="197" spans="5:6" x14ac:dyDescent="0.25">
      <c r="E197" s="9"/>
      <c r="F197" s="10"/>
    </row>
    <row r="198" spans="5:6" x14ac:dyDescent="0.25">
      <c r="E198" s="9"/>
      <c r="F198" s="10"/>
    </row>
    <row r="199" spans="5:6" x14ac:dyDescent="0.25">
      <c r="E199" s="9"/>
      <c r="F199" s="10"/>
    </row>
    <row r="200" spans="5:6" x14ac:dyDescent="0.25">
      <c r="E200" s="9"/>
      <c r="F200" s="10"/>
    </row>
    <row r="201" spans="5:6" x14ac:dyDescent="0.25">
      <c r="E201" s="9"/>
      <c r="F201" s="10"/>
    </row>
    <row r="202" spans="5:6" x14ac:dyDescent="0.25">
      <c r="E202" s="9"/>
      <c r="F202" s="10"/>
    </row>
    <row r="203" spans="5:6" x14ac:dyDescent="0.25">
      <c r="E203" s="9"/>
      <c r="F203" s="10"/>
    </row>
    <row r="204" spans="5:6" x14ac:dyDescent="0.25">
      <c r="E204" s="9"/>
      <c r="F204" s="10"/>
    </row>
    <row r="205" spans="5:6" x14ac:dyDescent="0.25">
      <c r="E205" s="9"/>
      <c r="F205" s="10"/>
    </row>
    <row r="206" spans="5:6" x14ac:dyDescent="0.25">
      <c r="E206" s="9"/>
      <c r="F206" s="10"/>
    </row>
    <row r="207" spans="5:6" x14ac:dyDescent="0.25">
      <c r="E207" s="9"/>
      <c r="F207" s="10"/>
    </row>
    <row r="208" spans="5:6" x14ac:dyDescent="0.25">
      <c r="E208" s="9"/>
      <c r="F208" s="10"/>
    </row>
    <row r="209" spans="5:6" x14ac:dyDescent="0.25">
      <c r="E209" s="9"/>
      <c r="F209" s="10"/>
    </row>
    <row r="210" spans="5:6" x14ac:dyDescent="0.25">
      <c r="E210" s="9"/>
      <c r="F210" s="10"/>
    </row>
    <row r="211" spans="5:6" x14ac:dyDescent="0.25">
      <c r="E211" s="9"/>
      <c r="F211" s="10"/>
    </row>
    <row r="212" spans="5:6" x14ac:dyDescent="0.25">
      <c r="E212" s="9"/>
      <c r="F212" s="10"/>
    </row>
    <row r="213" spans="5:6" x14ac:dyDescent="0.25">
      <c r="E213" s="9"/>
      <c r="F213" s="10"/>
    </row>
    <row r="214" spans="5:6" x14ac:dyDescent="0.25">
      <c r="E214" s="9"/>
      <c r="F214" s="10"/>
    </row>
    <row r="215" spans="5:6" x14ac:dyDescent="0.25">
      <c r="E215" s="9"/>
      <c r="F215" s="10"/>
    </row>
    <row r="216" spans="5:6" x14ac:dyDescent="0.25">
      <c r="E216" s="9"/>
      <c r="F216" s="10"/>
    </row>
    <row r="217" spans="5:6" x14ac:dyDescent="0.25">
      <c r="E217" s="9"/>
      <c r="F217" s="10"/>
    </row>
    <row r="218" spans="5:6" x14ac:dyDescent="0.25">
      <c r="E218" s="9"/>
      <c r="F218" s="10"/>
    </row>
    <row r="219" spans="5:6" x14ac:dyDescent="0.25">
      <c r="E219" s="9"/>
      <c r="F219" s="10"/>
    </row>
    <row r="220" spans="5:6" x14ac:dyDescent="0.25">
      <c r="E220" s="9"/>
      <c r="F220" s="10"/>
    </row>
    <row r="221" spans="5:6" x14ac:dyDescent="0.25">
      <c r="E221" s="9"/>
      <c r="F221" s="10"/>
    </row>
    <row r="222" spans="5:6" x14ac:dyDescent="0.25">
      <c r="E222" s="9"/>
      <c r="F222" s="10"/>
    </row>
    <row r="223" spans="5:6" x14ac:dyDescent="0.25">
      <c r="E223" s="9"/>
      <c r="F223" s="10"/>
    </row>
    <row r="224" spans="5:6" x14ac:dyDescent="0.25">
      <c r="E224" s="9"/>
      <c r="F224" s="10"/>
    </row>
    <row r="225" spans="5:6" x14ac:dyDescent="0.25">
      <c r="E225" s="9"/>
      <c r="F225" s="10"/>
    </row>
    <row r="226" spans="5:6" x14ac:dyDescent="0.25">
      <c r="E226" s="9"/>
      <c r="F226" s="10"/>
    </row>
    <row r="227" spans="5:6" x14ac:dyDescent="0.25">
      <c r="E227" s="9"/>
      <c r="F227" s="10"/>
    </row>
    <row r="228" spans="5:6" x14ac:dyDescent="0.25">
      <c r="E228" s="9"/>
      <c r="F228" s="10"/>
    </row>
    <row r="229" spans="5:6" x14ac:dyDescent="0.25">
      <c r="E229" s="9"/>
      <c r="F229" s="10"/>
    </row>
    <row r="230" spans="5:6" x14ac:dyDescent="0.25">
      <c r="E230" s="9"/>
      <c r="F230" s="10"/>
    </row>
    <row r="231" spans="5:6" x14ac:dyDescent="0.25">
      <c r="E231" s="9"/>
      <c r="F231" s="10"/>
    </row>
    <row r="232" spans="5:6" x14ac:dyDescent="0.25">
      <c r="E232" s="9"/>
      <c r="F232" s="10"/>
    </row>
    <row r="233" spans="5:6" x14ac:dyDescent="0.25">
      <c r="E233" s="9"/>
      <c r="F233" s="10"/>
    </row>
    <row r="234" spans="5:6" x14ac:dyDescent="0.25">
      <c r="E234" s="9"/>
      <c r="F234" s="10"/>
    </row>
    <row r="235" spans="5:6" x14ac:dyDescent="0.25">
      <c r="E235" s="9"/>
      <c r="F235" s="10"/>
    </row>
    <row r="236" spans="5:6" x14ac:dyDescent="0.25">
      <c r="E236" s="9"/>
      <c r="F236" s="10"/>
    </row>
    <row r="237" spans="5:6" x14ac:dyDescent="0.25">
      <c r="E237" s="9"/>
      <c r="F237" s="10"/>
    </row>
    <row r="238" spans="5:6" x14ac:dyDescent="0.25">
      <c r="E238" s="9"/>
      <c r="F238" s="10"/>
    </row>
    <row r="239" spans="5:6" x14ac:dyDescent="0.25">
      <c r="E239" s="9"/>
      <c r="F239" s="10"/>
    </row>
    <row r="240" spans="5:6" x14ac:dyDescent="0.25">
      <c r="E240" s="9"/>
      <c r="F240" s="10"/>
    </row>
    <row r="241" spans="5:6" x14ac:dyDescent="0.25">
      <c r="E241" s="9"/>
      <c r="F241" s="10"/>
    </row>
    <row r="242" spans="5:6" x14ac:dyDescent="0.25">
      <c r="E242" s="9"/>
      <c r="F242" s="10"/>
    </row>
    <row r="243" spans="5:6" x14ac:dyDescent="0.25">
      <c r="E243" s="9"/>
      <c r="F243" s="10"/>
    </row>
    <row r="244" spans="5:6" x14ac:dyDescent="0.25">
      <c r="E244" s="9"/>
      <c r="F244" s="10"/>
    </row>
    <row r="245" spans="5:6" x14ac:dyDescent="0.25">
      <c r="E245" s="9"/>
      <c r="F245" s="10"/>
    </row>
    <row r="246" spans="5:6" x14ac:dyDescent="0.25">
      <c r="E246" s="9"/>
      <c r="F246" s="10"/>
    </row>
    <row r="247" spans="5:6" x14ac:dyDescent="0.25">
      <c r="E247" s="9"/>
      <c r="F247" s="10"/>
    </row>
    <row r="248" spans="5:6" x14ac:dyDescent="0.25">
      <c r="E248" s="9"/>
      <c r="F248" s="10"/>
    </row>
    <row r="249" spans="5:6" x14ac:dyDescent="0.25">
      <c r="E249" s="9"/>
      <c r="F249" s="10"/>
    </row>
    <row r="250" spans="5:6" x14ac:dyDescent="0.25">
      <c r="E250" s="9"/>
      <c r="F250" s="10"/>
    </row>
    <row r="251" spans="5:6" x14ac:dyDescent="0.25">
      <c r="E251" s="9"/>
      <c r="F251" s="10"/>
    </row>
    <row r="252" spans="5:6" x14ac:dyDescent="0.25">
      <c r="E252" s="9"/>
      <c r="F252" s="10"/>
    </row>
    <row r="253" spans="5:6" x14ac:dyDescent="0.25">
      <c r="E253" s="9"/>
      <c r="F253" s="10"/>
    </row>
    <row r="254" spans="5:6" x14ac:dyDescent="0.25">
      <c r="E254" s="9"/>
      <c r="F254" s="10"/>
    </row>
    <row r="255" spans="5:6" x14ac:dyDescent="0.25">
      <c r="E255" s="9"/>
      <c r="F255" s="10"/>
    </row>
    <row r="256" spans="5:6" x14ac:dyDescent="0.25">
      <c r="E256" s="9"/>
      <c r="F256" s="10"/>
    </row>
    <row r="257" spans="5:6" x14ac:dyDescent="0.25">
      <c r="E257" s="9"/>
      <c r="F257" s="10"/>
    </row>
    <row r="258" spans="5:6" x14ac:dyDescent="0.25">
      <c r="E258" s="9"/>
      <c r="F258" s="10"/>
    </row>
    <row r="259" spans="5:6" x14ac:dyDescent="0.25">
      <c r="E259" s="9"/>
      <c r="F259" s="10"/>
    </row>
    <row r="260" spans="5:6" x14ac:dyDescent="0.25">
      <c r="E260" s="9"/>
      <c r="F260" s="10"/>
    </row>
    <row r="261" spans="5:6" x14ac:dyDescent="0.25">
      <c r="E261" s="9"/>
      <c r="F261" s="10"/>
    </row>
    <row r="262" spans="5:6" x14ac:dyDescent="0.25">
      <c r="E262" s="9"/>
      <c r="F262" s="10"/>
    </row>
    <row r="263" spans="5:6" x14ac:dyDescent="0.25">
      <c r="E263" s="9"/>
      <c r="F263" s="10"/>
    </row>
    <row r="264" spans="5:6" x14ac:dyDescent="0.25">
      <c r="E264" s="9"/>
      <c r="F264" s="10"/>
    </row>
    <row r="265" spans="5:6" x14ac:dyDescent="0.25">
      <c r="E265" s="9"/>
      <c r="F265" s="10"/>
    </row>
    <row r="266" spans="5:6" x14ac:dyDescent="0.25">
      <c r="E266" s="9"/>
      <c r="F266" s="10"/>
    </row>
    <row r="267" spans="5:6" x14ac:dyDescent="0.25">
      <c r="E267" s="9"/>
      <c r="F267" s="10"/>
    </row>
    <row r="268" spans="5:6" x14ac:dyDescent="0.25">
      <c r="E268" s="9"/>
      <c r="F268" s="10"/>
    </row>
    <row r="269" spans="5:6" x14ac:dyDescent="0.25">
      <c r="E269" s="9"/>
      <c r="F269" s="10"/>
    </row>
    <row r="270" spans="5:6" x14ac:dyDescent="0.25">
      <c r="E270" s="9"/>
      <c r="F270" s="10"/>
    </row>
    <row r="271" spans="5:6" x14ac:dyDescent="0.25">
      <c r="E271" s="9"/>
      <c r="F271" s="10"/>
    </row>
    <row r="272" spans="5:6" x14ac:dyDescent="0.25">
      <c r="E272" s="9"/>
      <c r="F272" s="10"/>
    </row>
    <row r="273" spans="5:6" x14ac:dyDescent="0.25">
      <c r="E273" s="9"/>
      <c r="F273" s="10"/>
    </row>
    <row r="274" spans="5:6" x14ac:dyDescent="0.25">
      <c r="E274" s="9"/>
      <c r="F274" s="10"/>
    </row>
    <row r="275" spans="5:6" x14ac:dyDescent="0.25">
      <c r="E275" s="9"/>
      <c r="F275" s="10"/>
    </row>
    <row r="276" spans="5:6" x14ac:dyDescent="0.25">
      <c r="E276" s="9"/>
      <c r="F276" s="10"/>
    </row>
    <row r="277" spans="5:6" x14ac:dyDescent="0.25">
      <c r="E277" s="9"/>
      <c r="F277" s="10"/>
    </row>
    <row r="278" spans="5:6" x14ac:dyDescent="0.25">
      <c r="E278" s="9"/>
      <c r="F278" s="10"/>
    </row>
    <row r="279" spans="5:6" x14ac:dyDescent="0.25">
      <c r="E279" s="9"/>
      <c r="F279" s="10"/>
    </row>
    <row r="280" spans="5:6" x14ac:dyDescent="0.25">
      <c r="E280" s="9"/>
      <c r="F280" s="10"/>
    </row>
    <row r="281" spans="5:6" x14ac:dyDescent="0.25">
      <c r="E281" s="9"/>
      <c r="F281" s="10"/>
    </row>
    <row r="282" spans="5:6" x14ac:dyDescent="0.25">
      <c r="E282" s="9"/>
      <c r="F282" s="10"/>
    </row>
    <row r="283" spans="5:6" x14ac:dyDescent="0.25">
      <c r="E283" s="9"/>
      <c r="F283" s="10"/>
    </row>
    <row r="284" spans="5:6" x14ac:dyDescent="0.25">
      <c r="E284" s="9"/>
      <c r="F284" s="10"/>
    </row>
    <row r="285" spans="5:6" x14ac:dyDescent="0.25">
      <c r="E285" s="9"/>
      <c r="F285" s="10"/>
    </row>
    <row r="286" spans="5:6" x14ac:dyDescent="0.25">
      <c r="E286" s="9"/>
      <c r="F286" s="10"/>
    </row>
    <row r="287" spans="5:6" x14ac:dyDescent="0.25">
      <c r="E287" s="9"/>
      <c r="F287" s="10"/>
    </row>
    <row r="288" spans="5:6" x14ac:dyDescent="0.25">
      <c r="E288" s="9"/>
      <c r="F288" s="10"/>
    </row>
    <row r="289" spans="5:6" x14ac:dyDescent="0.25">
      <c r="E289" s="9"/>
      <c r="F289" s="10"/>
    </row>
    <row r="290" spans="5:6" x14ac:dyDescent="0.25">
      <c r="E290" s="9"/>
      <c r="F290" s="10"/>
    </row>
    <row r="291" spans="5:6" x14ac:dyDescent="0.25">
      <c r="E291" s="9"/>
      <c r="F291" s="10"/>
    </row>
    <row r="292" spans="5:6" x14ac:dyDescent="0.25">
      <c r="E292" s="9"/>
      <c r="F292" s="10"/>
    </row>
    <row r="293" spans="5:6" x14ac:dyDescent="0.25">
      <c r="E293" s="9"/>
      <c r="F293" s="10"/>
    </row>
    <row r="294" spans="5:6" x14ac:dyDescent="0.25">
      <c r="E294" s="9"/>
      <c r="F294" s="10"/>
    </row>
    <row r="295" spans="5:6" x14ac:dyDescent="0.25">
      <c r="E295" s="9"/>
      <c r="F295" s="10"/>
    </row>
    <row r="296" spans="5:6" x14ac:dyDescent="0.25">
      <c r="E296" s="9"/>
      <c r="F296" s="10"/>
    </row>
    <row r="297" spans="5:6" x14ac:dyDescent="0.25">
      <c r="E297" s="9"/>
      <c r="F297" s="10"/>
    </row>
    <row r="298" spans="5:6" x14ac:dyDescent="0.25">
      <c r="E298" s="9"/>
      <c r="F298" s="10"/>
    </row>
    <row r="299" spans="5:6" x14ac:dyDescent="0.25">
      <c r="E299" s="9"/>
      <c r="F299" s="10"/>
    </row>
    <row r="300" spans="5:6" x14ac:dyDescent="0.25">
      <c r="E300" s="9"/>
      <c r="F300" s="10"/>
    </row>
    <row r="301" spans="5:6" x14ac:dyDescent="0.25">
      <c r="E301" s="9"/>
      <c r="F301" s="10"/>
    </row>
    <row r="302" spans="5:6" x14ac:dyDescent="0.25">
      <c r="E302" s="9"/>
      <c r="F302" s="10"/>
    </row>
    <row r="303" spans="5:6" x14ac:dyDescent="0.25">
      <c r="E303" s="9"/>
      <c r="F303" s="10"/>
    </row>
    <row r="304" spans="5:6" x14ac:dyDescent="0.25">
      <c r="E304" s="9"/>
      <c r="F304" s="10"/>
    </row>
    <row r="305" spans="5:6" x14ac:dyDescent="0.25">
      <c r="E305" s="9"/>
      <c r="F305" s="10"/>
    </row>
    <row r="306" spans="5:6" x14ac:dyDescent="0.25">
      <c r="E306" s="9"/>
      <c r="F306" s="10"/>
    </row>
    <row r="307" spans="5:6" x14ac:dyDescent="0.25">
      <c r="E307" s="9"/>
      <c r="F307" s="10"/>
    </row>
    <row r="308" spans="5:6" x14ac:dyDescent="0.25">
      <c r="E308" s="9"/>
      <c r="F308" s="10"/>
    </row>
    <row r="309" spans="5:6" x14ac:dyDescent="0.25">
      <c r="E309" s="9"/>
      <c r="F309" s="10"/>
    </row>
    <row r="310" spans="5:6" x14ac:dyDescent="0.25">
      <c r="E310" s="9"/>
      <c r="F310" s="10"/>
    </row>
    <row r="311" spans="5:6" x14ac:dyDescent="0.25">
      <c r="E311" s="9"/>
      <c r="F311" s="10"/>
    </row>
    <row r="312" spans="5:6" x14ac:dyDescent="0.25">
      <c r="E312" s="9"/>
      <c r="F312" s="10"/>
    </row>
    <row r="313" spans="5:6" x14ac:dyDescent="0.25">
      <c r="E313" s="9"/>
      <c r="F313" s="10"/>
    </row>
    <row r="314" spans="5:6" x14ac:dyDescent="0.25">
      <c r="E314" s="9"/>
      <c r="F314" s="10"/>
    </row>
    <row r="315" spans="5:6" x14ac:dyDescent="0.25">
      <c r="E315" s="9"/>
      <c r="F315" s="10"/>
    </row>
    <row r="316" spans="5:6" x14ac:dyDescent="0.25">
      <c r="E316" s="9"/>
      <c r="F316" s="10"/>
    </row>
    <row r="317" spans="5:6" x14ac:dyDescent="0.25">
      <c r="E317" s="9"/>
      <c r="F317" s="10"/>
    </row>
    <row r="318" spans="5:6" x14ac:dyDescent="0.25">
      <c r="E318" s="9"/>
      <c r="F318" s="10"/>
    </row>
    <row r="319" spans="5:6" x14ac:dyDescent="0.25">
      <c r="E319" s="9"/>
      <c r="F319" s="10"/>
    </row>
    <row r="320" spans="5:6" x14ac:dyDescent="0.25">
      <c r="E320" s="9"/>
      <c r="F320" s="10"/>
    </row>
    <row r="321" spans="5:6" x14ac:dyDescent="0.25">
      <c r="E321" s="9"/>
      <c r="F321" s="10"/>
    </row>
    <row r="322" spans="5:6" x14ac:dyDescent="0.25">
      <c r="E322" s="9"/>
      <c r="F322" s="10"/>
    </row>
    <row r="323" spans="5:6" x14ac:dyDescent="0.25">
      <c r="E323" s="9"/>
      <c r="F323" s="10"/>
    </row>
    <row r="324" spans="5:6" x14ac:dyDescent="0.25">
      <c r="E324" s="9"/>
      <c r="F324" s="10"/>
    </row>
    <row r="325" spans="5:6" x14ac:dyDescent="0.25">
      <c r="E325" s="9"/>
      <c r="F325" s="10"/>
    </row>
    <row r="326" spans="5:6" x14ac:dyDescent="0.25">
      <c r="E326" s="9"/>
      <c r="F326" s="10"/>
    </row>
    <row r="327" spans="5:6" x14ac:dyDescent="0.25">
      <c r="E327" s="9"/>
      <c r="F327" s="10"/>
    </row>
    <row r="328" spans="5:6" x14ac:dyDescent="0.25">
      <c r="E328" s="9"/>
      <c r="F328" s="10"/>
    </row>
    <row r="329" spans="5:6" x14ac:dyDescent="0.25">
      <c r="E329" s="9"/>
      <c r="F329" s="10"/>
    </row>
    <row r="330" spans="5:6" x14ac:dyDescent="0.25">
      <c r="E330" s="9"/>
      <c r="F330" s="10"/>
    </row>
    <row r="331" spans="5:6" x14ac:dyDescent="0.25">
      <c r="E331" s="9"/>
      <c r="F331" s="10"/>
    </row>
    <row r="332" spans="5:6" x14ac:dyDescent="0.25">
      <c r="E332" s="9"/>
      <c r="F332" s="10"/>
    </row>
    <row r="333" spans="5:6" x14ac:dyDescent="0.25">
      <c r="E333" s="9"/>
      <c r="F333" s="10"/>
    </row>
    <row r="334" spans="5:6" x14ac:dyDescent="0.25">
      <c r="E334" s="9"/>
      <c r="F334" s="10"/>
    </row>
    <row r="335" spans="5:6" x14ac:dyDescent="0.25">
      <c r="E335" s="9"/>
      <c r="F335" s="10"/>
    </row>
    <row r="336" spans="5:6" x14ac:dyDescent="0.25">
      <c r="E336" s="9"/>
      <c r="F336" s="10"/>
    </row>
    <row r="337" spans="5:6" x14ac:dyDescent="0.25">
      <c r="E337" s="9"/>
      <c r="F337" s="10"/>
    </row>
    <row r="338" spans="5:6" x14ac:dyDescent="0.25">
      <c r="E338" s="9"/>
      <c r="F338" s="10"/>
    </row>
    <row r="339" spans="5:6" x14ac:dyDescent="0.25">
      <c r="E339" s="9"/>
      <c r="F339" s="10"/>
    </row>
    <row r="340" spans="5:6" x14ac:dyDescent="0.25">
      <c r="E340" s="9"/>
      <c r="F340" s="10"/>
    </row>
    <row r="341" spans="5:6" x14ac:dyDescent="0.25">
      <c r="E341" s="9"/>
      <c r="F341" s="10"/>
    </row>
    <row r="342" spans="5:6" x14ac:dyDescent="0.25">
      <c r="E342" s="9"/>
      <c r="F342" s="10"/>
    </row>
    <row r="343" spans="5:6" x14ac:dyDescent="0.25">
      <c r="E343" s="9"/>
      <c r="F343" s="10"/>
    </row>
    <row r="344" spans="5:6" x14ac:dyDescent="0.25">
      <c r="E344" s="9"/>
      <c r="F344" s="10"/>
    </row>
    <row r="345" spans="5:6" x14ac:dyDescent="0.25">
      <c r="E345" s="9"/>
      <c r="F345" s="10"/>
    </row>
    <row r="346" spans="5:6" x14ac:dyDescent="0.25">
      <c r="E346" s="9"/>
      <c r="F346" s="10"/>
    </row>
    <row r="347" spans="5:6" x14ac:dyDescent="0.25">
      <c r="E347" s="9"/>
      <c r="F347" s="10"/>
    </row>
    <row r="348" spans="5:6" x14ac:dyDescent="0.25">
      <c r="E348" s="9"/>
      <c r="F348" s="10"/>
    </row>
    <row r="349" spans="5:6" x14ac:dyDescent="0.25">
      <c r="E349" s="9"/>
      <c r="F349" s="10"/>
    </row>
    <row r="350" spans="5:6" x14ac:dyDescent="0.25">
      <c r="E350" s="9"/>
      <c r="F350" s="10"/>
    </row>
    <row r="351" spans="5:6" x14ac:dyDescent="0.25">
      <c r="E351" s="9"/>
      <c r="F351" s="10"/>
    </row>
    <row r="352" spans="5:6" x14ac:dyDescent="0.25">
      <c r="E352" s="9"/>
      <c r="F352" s="10"/>
    </row>
    <row r="353" spans="5:6" x14ac:dyDescent="0.25">
      <c r="E353" s="9"/>
      <c r="F353" s="10"/>
    </row>
    <row r="354" spans="5:6" x14ac:dyDescent="0.25">
      <c r="E354" s="9"/>
      <c r="F354" s="10"/>
    </row>
    <row r="355" spans="5:6" x14ac:dyDescent="0.25">
      <c r="E355" s="9"/>
      <c r="F355" s="10"/>
    </row>
    <row r="356" spans="5:6" x14ac:dyDescent="0.25">
      <c r="E356" s="9"/>
      <c r="F356" s="10"/>
    </row>
    <row r="357" spans="5:6" x14ac:dyDescent="0.25">
      <c r="E357" s="9"/>
      <c r="F357" s="10"/>
    </row>
    <row r="358" spans="5:6" x14ac:dyDescent="0.25">
      <c r="E358" s="9"/>
      <c r="F358" s="10"/>
    </row>
    <row r="359" spans="5:6" x14ac:dyDescent="0.25">
      <c r="E359" s="9"/>
      <c r="F359" s="10"/>
    </row>
    <row r="360" spans="5:6" x14ac:dyDescent="0.25">
      <c r="E360" s="9"/>
      <c r="F360" s="10"/>
    </row>
    <row r="361" spans="5:6" x14ac:dyDescent="0.25">
      <c r="E361" s="9"/>
      <c r="F361" s="10"/>
    </row>
    <row r="362" spans="5:6" x14ac:dyDescent="0.25">
      <c r="E362" s="9"/>
      <c r="F362" s="10"/>
    </row>
    <row r="363" spans="5:6" x14ac:dyDescent="0.25">
      <c r="E363" s="9"/>
      <c r="F363" s="10"/>
    </row>
    <row r="364" spans="5:6" x14ac:dyDescent="0.25">
      <c r="E364" s="9"/>
      <c r="F364" s="10"/>
    </row>
    <row r="365" spans="5:6" x14ac:dyDescent="0.25">
      <c r="E365" s="9"/>
      <c r="F365" s="10"/>
    </row>
    <row r="366" spans="5:6" x14ac:dyDescent="0.25">
      <c r="E366" s="9"/>
      <c r="F366" s="10"/>
    </row>
    <row r="367" spans="5:6" x14ac:dyDescent="0.25">
      <c r="E367" s="9"/>
      <c r="F367" s="10"/>
    </row>
    <row r="368" spans="5:6" x14ac:dyDescent="0.25">
      <c r="E368" s="9"/>
      <c r="F368" s="10"/>
    </row>
    <row r="369" spans="5:6" x14ac:dyDescent="0.25">
      <c r="E369" s="9"/>
      <c r="F369" s="10"/>
    </row>
    <row r="370" spans="5:6" x14ac:dyDescent="0.25">
      <c r="E370" s="9"/>
      <c r="F370" s="10"/>
    </row>
    <row r="371" spans="5:6" x14ac:dyDescent="0.25">
      <c r="E371" s="9"/>
      <c r="F371" s="10"/>
    </row>
    <row r="372" spans="5:6" x14ac:dyDescent="0.25">
      <c r="E372" s="9"/>
      <c r="F372" s="10"/>
    </row>
    <row r="373" spans="5:6" x14ac:dyDescent="0.25">
      <c r="E373" s="9"/>
      <c r="F373" s="10"/>
    </row>
    <row r="374" spans="5:6" x14ac:dyDescent="0.25">
      <c r="E374" s="9"/>
      <c r="F374" s="10"/>
    </row>
    <row r="375" spans="5:6" x14ac:dyDescent="0.25">
      <c r="E375" s="9"/>
      <c r="F375" s="10"/>
    </row>
    <row r="376" spans="5:6" x14ac:dyDescent="0.25">
      <c r="E376" s="9"/>
      <c r="F376" s="10"/>
    </row>
    <row r="377" spans="5:6" x14ac:dyDescent="0.25">
      <c r="E377" s="9"/>
      <c r="F377" s="10"/>
    </row>
    <row r="378" spans="5:6" x14ac:dyDescent="0.25">
      <c r="E378" s="9"/>
      <c r="F378" s="10"/>
    </row>
    <row r="379" spans="5:6" x14ac:dyDescent="0.25">
      <c r="E379" s="9"/>
      <c r="F379" s="10"/>
    </row>
    <row r="380" spans="5:6" x14ac:dyDescent="0.25">
      <c r="E380" s="9"/>
      <c r="F380" s="10"/>
    </row>
    <row r="381" spans="5:6" x14ac:dyDescent="0.25">
      <c r="E381" s="9"/>
      <c r="F381" s="10"/>
    </row>
    <row r="382" spans="5:6" x14ac:dyDescent="0.25">
      <c r="E382" s="9"/>
      <c r="F382" s="10"/>
    </row>
    <row r="383" spans="5:6" x14ac:dyDescent="0.25">
      <c r="E383" s="9"/>
      <c r="F383" s="10"/>
    </row>
    <row r="384" spans="5:6" x14ac:dyDescent="0.25">
      <c r="E384" s="9"/>
      <c r="F384" s="10"/>
    </row>
    <row r="385" spans="5:6" x14ac:dyDescent="0.25">
      <c r="E385" s="9"/>
      <c r="F385" s="10"/>
    </row>
    <row r="386" spans="5:6" x14ac:dyDescent="0.25">
      <c r="E386" s="9"/>
      <c r="F386" s="10"/>
    </row>
    <row r="387" spans="5:6" x14ac:dyDescent="0.25">
      <c r="E387" s="9"/>
      <c r="F387" s="10"/>
    </row>
    <row r="388" spans="5:6" x14ac:dyDescent="0.25">
      <c r="E388" s="9"/>
      <c r="F388" s="10"/>
    </row>
    <row r="389" spans="5:6" x14ac:dyDescent="0.25">
      <c r="E389" s="9"/>
      <c r="F389" s="10"/>
    </row>
    <row r="390" spans="5:6" x14ac:dyDescent="0.25">
      <c r="E390" s="9"/>
      <c r="F390" s="10"/>
    </row>
    <row r="391" spans="5:6" x14ac:dyDescent="0.25">
      <c r="E391" s="9"/>
      <c r="F391" s="10"/>
    </row>
    <row r="392" spans="5:6" x14ac:dyDescent="0.25">
      <c r="E392" s="9"/>
      <c r="F392" s="10"/>
    </row>
    <row r="393" spans="5:6" x14ac:dyDescent="0.25">
      <c r="E393" s="9"/>
      <c r="F393" s="10"/>
    </row>
    <row r="394" spans="5:6" x14ac:dyDescent="0.25">
      <c r="E394" s="9"/>
      <c r="F394" s="10"/>
    </row>
    <row r="395" spans="5:6" x14ac:dyDescent="0.25">
      <c r="E395" s="9"/>
      <c r="F395" s="10"/>
    </row>
    <row r="396" spans="5:6" x14ac:dyDescent="0.25">
      <c r="E396" s="9"/>
      <c r="F396" s="10"/>
    </row>
    <row r="397" spans="5:6" x14ac:dyDescent="0.25">
      <c r="E397" s="9"/>
      <c r="F397" s="10"/>
    </row>
    <row r="398" spans="5:6" x14ac:dyDescent="0.25">
      <c r="E398" s="9"/>
      <c r="F398" s="10"/>
    </row>
    <row r="399" spans="5:6" x14ac:dyDescent="0.25">
      <c r="E399" s="9"/>
      <c r="F399" s="10"/>
    </row>
    <row r="400" spans="5:6" x14ac:dyDescent="0.25">
      <c r="E400" s="9"/>
      <c r="F400" s="10"/>
    </row>
    <row r="401" spans="5:6" x14ac:dyDescent="0.25">
      <c r="E401" s="9"/>
      <c r="F401" s="10"/>
    </row>
    <row r="402" spans="5:6" x14ac:dyDescent="0.25">
      <c r="E402" s="9"/>
      <c r="F402" s="10"/>
    </row>
    <row r="403" spans="5:6" x14ac:dyDescent="0.25">
      <c r="E403" s="9"/>
      <c r="F403" s="10"/>
    </row>
    <row r="404" spans="5:6" x14ac:dyDescent="0.25">
      <c r="E404" s="9"/>
      <c r="F404" s="10"/>
    </row>
    <row r="405" spans="5:6" x14ac:dyDescent="0.25">
      <c r="E405" s="9"/>
      <c r="F405" s="10"/>
    </row>
    <row r="406" spans="5:6" x14ac:dyDescent="0.25">
      <c r="E406" s="9"/>
      <c r="F406" s="10"/>
    </row>
    <row r="407" spans="5:6" x14ac:dyDescent="0.25">
      <c r="E407" s="9"/>
      <c r="F407" s="10"/>
    </row>
    <row r="408" spans="5:6" x14ac:dyDescent="0.25">
      <c r="E408" s="9"/>
      <c r="F408" s="10"/>
    </row>
    <row r="409" spans="5:6" x14ac:dyDescent="0.25">
      <c r="E409" s="9"/>
      <c r="F409" s="10"/>
    </row>
    <row r="410" spans="5:6" x14ac:dyDescent="0.25">
      <c r="E410" s="9"/>
      <c r="F410" s="10"/>
    </row>
    <row r="411" spans="5:6" x14ac:dyDescent="0.25">
      <c r="E411" s="9"/>
      <c r="F411" s="10"/>
    </row>
    <row r="412" spans="5:6" x14ac:dyDescent="0.25">
      <c r="E412" s="9"/>
      <c r="F412" s="10"/>
    </row>
    <row r="413" spans="5:6" x14ac:dyDescent="0.25">
      <c r="E413" s="9"/>
      <c r="F413" s="10"/>
    </row>
    <row r="414" spans="5:6" x14ac:dyDescent="0.25">
      <c r="E414" s="9"/>
      <c r="F414" s="10"/>
    </row>
    <row r="415" spans="5:6" x14ac:dyDescent="0.25">
      <c r="E415" s="9"/>
      <c r="F415" s="10"/>
    </row>
    <row r="416" spans="5:6" x14ac:dyDescent="0.25">
      <c r="E416" s="9"/>
      <c r="F416" s="10"/>
    </row>
    <row r="417" spans="5:6" x14ac:dyDescent="0.25">
      <c r="E417" s="9"/>
      <c r="F417" s="10"/>
    </row>
    <row r="418" spans="5:6" x14ac:dyDescent="0.25">
      <c r="E418" s="9"/>
      <c r="F418" s="10"/>
    </row>
    <row r="419" spans="5:6" x14ac:dyDescent="0.25">
      <c r="E419" s="9"/>
      <c r="F419" s="10"/>
    </row>
    <row r="420" spans="5:6" x14ac:dyDescent="0.25">
      <c r="E420" s="9"/>
      <c r="F420" s="10"/>
    </row>
    <row r="421" spans="5:6" x14ac:dyDescent="0.25">
      <c r="E421" s="9"/>
      <c r="F421" s="10"/>
    </row>
    <row r="422" spans="5:6" x14ac:dyDescent="0.25">
      <c r="E422" s="9"/>
      <c r="F422" s="10"/>
    </row>
    <row r="423" spans="5:6" x14ac:dyDescent="0.25">
      <c r="E423" s="9"/>
      <c r="F423" s="10"/>
    </row>
    <row r="424" spans="5:6" x14ac:dyDescent="0.25">
      <c r="E424" s="9"/>
      <c r="F424" s="10"/>
    </row>
    <row r="425" spans="5:6" x14ac:dyDescent="0.25">
      <c r="E425" s="9"/>
      <c r="F425" s="10"/>
    </row>
    <row r="426" spans="5:6" x14ac:dyDescent="0.25">
      <c r="E426" s="9"/>
      <c r="F426" s="10"/>
    </row>
    <row r="427" spans="5:6" x14ac:dyDescent="0.25">
      <c r="E427" s="9"/>
      <c r="F427" s="10"/>
    </row>
    <row r="428" spans="5:6" x14ac:dyDescent="0.25">
      <c r="E428" s="9"/>
      <c r="F428" s="10"/>
    </row>
    <row r="429" spans="5:6" x14ac:dyDescent="0.25">
      <c r="E429" s="9"/>
      <c r="F429" s="10"/>
    </row>
    <row r="430" spans="5:6" x14ac:dyDescent="0.25">
      <c r="E430" s="9"/>
      <c r="F430" s="10"/>
    </row>
    <row r="431" spans="5:6" x14ac:dyDescent="0.25">
      <c r="E431" s="9"/>
      <c r="F431" s="10"/>
    </row>
    <row r="432" spans="5:6" x14ac:dyDescent="0.25">
      <c r="E432" s="9"/>
      <c r="F432" s="10"/>
    </row>
    <row r="433" spans="5:6" x14ac:dyDescent="0.25">
      <c r="E433" s="9"/>
      <c r="F433" s="10"/>
    </row>
    <row r="434" spans="5:6" x14ac:dyDescent="0.25">
      <c r="E434" s="9"/>
      <c r="F434" s="10"/>
    </row>
    <row r="435" spans="5:6" x14ac:dyDescent="0.25">
      <c r="E435" s="9"/>
      <c r="F435" s="10"/>
    </row>
    <row r="436" spans="5:6" x14ac:dyDescent="0.25">
      <c r="E436" s="9"/>
      <c r="F436" s="10"/>
    </row>
    <row r="437" spans="5:6" x14ac:dyDescent="0.25">
      <c r="E437" s="9"/>
      <c r="F437" s="10"/>
    </row>
    <row r="438" spans="5:6" x14ac:dyDescent="0.25">
      <c r="E438" s="9"/>
      <c r="F438" s="10"/>
    </row>
    <row r="439" spans="5:6" x14ac:dyDescent="0.25">
      <c r="E439" s="9"/>
      <c r="F439" s="10"/>
    </row>
    <row r="440" spans="5:6" x14ac:dyDescent="0.25">
      <c r="E440" s="9"/>
      <c r="F440" s="10"/>
    </row>
    <row r="441" spans="5:6" x14ac:dyDescent="0.25">
      <c r="E441" s="9"/>
      <c r="F441" s="10"/>
    </row>
    <row r="442" spans="5:6" x14ac:dyDescent="0.25">
      <c r="E442" s="9"/>
      <c r="F442" s="10"/>
    </row>
    <row r="443" spans="5:6" x14ac:dyDescent="0.25">
      <c r="E443" s="9"/>
      <c r="F443" s="10"/>
    </row>
    <row r="444" spans="5:6" x14ac:dyDescent="0.25">
      <c r="E444" s="9"/>
      <c r="F444" s="10"/>
    </row>
    <row r="445" spans="5:6" x14ac:dyDescent="0.25">
      <c r="E445" s="9"/>
      <c r="F445" s="10"/>
    </row>
    <row r="446" spans="5:6" x14ac:dyDescent="0.25">
      <c r="E446" s="9"/>
      <c r="F446" s="10"/>
    </row>
    <row r="447" spans="5:6" x14ac:dyDescent="0.25">
      <c r="E447" s="9"/>
      <c r="F447" s="10"/>
    </row>
    <row r="448" spans="5:6" x14ac:dyDescent="0.25">
      <c r="E448" s="9"/>
      <c r="F448" s="10"/>
    </row>
    <row r="449" spans="5:6" x14ac:dyDescent="0.25">
      <c r="E449" s="9"/>
      <c r="F449" s="10"/>
    </row>
    <row r="450" spans="5:6" x14ac:dyDescent="0.25">
      <c r="E450" s="9"/>
      <c r="F450" s="10"/>
    </row>
    <row r="451" spans="5:6" x14ac:dyDescent="0.25">
      <c r="E451" s="9"/>
      <c r="F451" s="10"/>
    </row>
    <row r="452" spans="5:6" x14ac:dyDescent="0.25">
      <c r="E452" s="9"/>
      <c r="F452" s="10"/>
    </row>
    <row r="453" spans="5:6" x14ac:dyDescent="0.25">
      <c r="E453" s="9"/>
      <c r="F453" s="10"/>
    </row>
    <row r="454" spans="5:6" x14ac:dyDescent="0.25">
      <c r="E454" s="9"/>
      <c r="F454" s="10"/>
    </row>
    <row r="455" spans="5:6" x14ac:dyDescent="0.25">
      <c r="E455" s="9"/>
      <c r="F455" s="10"/>
    </row>
    <row r="456" spans="5:6" x14ac:dyDescent="0.25">
      <c r="E456" s="9"/>
      <c r="F456" s="10"/>
    </row>
    <row r="457" spans="5:6" x14ac:dyDescent="0.25">
      <c r="E457" s="9"/>
      <c r="F457" s="10"/>
    </row>
    <row r="458" spans="5:6" x14ac:dyDescent="0.25">
      <c r="E458" s="9"/>
      <c r="F458" s="10"/>
    </row>
    <row r="459" spans="5:6" x14ac:dyDescent="0.25">
      <c r="E459" s="9"/>
      <c r="F459" s="10"/>
    </row>
    <row r="460" spans="5:6" x14ac:dyDescent="0.25">
      <c r="E460" s="9"/>
      <c r="F460" s="10"/>
    </row>
    <row r="461" spans="5:6" x14ac:dyDescent="0.25">
      <c r="E461" s="9"/>
      <c r="F461" s="10"/>
    </row>
    <row r="462" spans="5:6" x14ac:dyDescent="0.25">
      <c r="E462" s="9"/>
      <c r="F462" s="10"/>
    </row>
    <row r="463" spans="5:6" x14ac:dyDescent="0.25">
      <c r="E463" s="9"/>
      <c r="F463" s="10"/>
    </row>
    <row r="464" spans="5:6" x14ac:dyDescent="0.25">
      <c r="E464" s="9"/>
      <c r="F464" s="10"/>
    </row>
    <row r="465" spans="5:6" x14ac:dyDescent="0.25">
      <c r="E465" s="9"/>
      <c r="F465" s="10"/>
    </row>
    <row r="466" spans="5:6" x14ac:dyDescent="0.25">
      <c r="E466" s="9"/>
      <c r="F466" s="10"/>
    </row>
    <row r="467" spans="5:6" x14ac:dyDescent="0.25">
      <c r="E467" s="9"/>
      <c r="F467" s="10"/>
    </row>
    <row r="468" spans="5:6" x14ac:dyDescent="0.25">
      <c r="E468" s="9"/>
      <c r="F468" s="10"/>
    </row>
    <row r="469" spans="5:6" x14ac:dyDescent="0.25">
      <c r="E469" s="9"/>
      <c r="F469" s="10"/>
    </row>
    <row r="470" spans="5:6" x14ac:dyDescent="0.25">
      <c r="E470" s="9"/>
      <c r="F470" s="10"/>
    </row>
    <row r="471" spans="5:6" x14ac:dyDescent="0.25">
      <c r="E471" s="9"/>
      <c r="F471" s="10"/>
    </row>
    <row r="472" spans="5:6" x14ac:dyDescent="0.25">
      <c r="E472" s="9"/>
      <c r="F472" s="10"/>
    </row>
    <row r="473" spans="5:6" x14ac:dyDescent="0.25">
      <c r="E473" s="9"/>
      <c r="F473" s="10"/>
    </row>
    <row r="474" spans="5:6" x14ac:dyDescent="0.25">
      <c r="E474" s="9"/>
      <c r="F474" s="10"/>
    </row>
    <row r="475" spans="5:6" x14ac:dyDescent="0.25">
      <c r="E475" s="9"/>
      <c r="F475" s="10"/>
    </row>
    <row r="476" spans="5:6" x14ac:dyDescent="0.25">
      <c r="E476" s="9"/>
      <c r="F476" s="10"/>
    </row>
    <row r="477" spans="5:6" x14ac:dyDescent="0.25">
      <c r="E477" s="9"/>
      <c r="F477" s="10"/>
    </row>
    <row r="478" spans="5:6" x14ac:dyDescent="0.25">
      <c r="E478" s="9"/>
      <c r="F478" s="10"/>
    </row>
    <row r="479" spans="5:6" x14ac:dyDescent="0.25">
      <c r="E479" s="9"/>
      <c r="F479" s="10"/>
    </row>
    <row r="480" spans="5:6" x14ac:dyDescent="0.25">
      <c r="E480" s="9"/>
      <c r="F480" s="10"/>
    </row>
    <row r="481" spans="5:6" x14ac:dyDescent="0.25">
      <c r="E481" s="9"/>
      <c r="F481" s="10"/>
    </row>
    <row r="482" spans="5:6" x14ac:dyDescent="0.25">
      <c r="E482" s="9"/>
      <c r="F482" s="10"/>
    </row>
    <row r="483" spans="5:6" x14ac:dyDescent="0.25">
      <c r="E483" s="9"/>
      <c r="F483" s="10"/>
    </row>
    <row r="484" spans="5:6" x14ac:dyDescent="0.25">
      <c r="E484" s="9"/>
      <c r="F484" s="10"/>
    </row>
    <row r="485" spans="5:6" x14ac:dyDescent="0.25">
      <c r="E485" s="9"/>
      <c r="F485" s="10"/>
    </row>
    <row r="486" spans="5:6" x14ac:dyDescent="0.25">
      <c r="E486" s="9"/>
      <c r="F486" s="10"/>
    </row>
    <row r="487" spans="5:6" x14ac:dyDescent="0.25">
      <c r="E487" s="9"/>
      <c r="F487" s="10"/>
    </row>
    <row r="488" spans="5:6" x14ac:dyDescent="0.25">
      <c r="E488" s="9"/>
      <c r="F488" s="10"/>
    </row>
    <row r="489" spans="5:6" x14ac:dyDescent="0.25">
      <c r="E489" s="9"/>
      <c r="F489" s="10"/>
    </row>
    <row r="490" spans="5:6" x14ac:dyDescent="0.25">
      <c r="E490" s="9"/>
      <c r="F490" s="10"/>
    </row>
    <row r="491" spans="5:6" x14ac:dyDescent="0.25">
      <c r="E491" s="9"/>
      <c r="F491" s="10"/>
    </row>
    <row r="492" spans="5:6" x14ac:dyDescent="0.25">
      <c r="E492" s="9"/>
      <c r="F492" s="10"/>
    </row>
    <row r="493" spans="5:6" x14ac:dyDescent="0.25">
      <c r="E493" s="9"/>
      <c r="F493" s="10"/>
    </row>
    <row r="494" spans="5:6" x14ac:dyDescent="0.25">
      <c r="E494" s="9"/>
      <c r="F494" s="10"/>
    </row>
    <row r="495" spans="5:6" x14ac:dyDescent="0.25">
      <c r="E495" s="9"/>
      <c r="F495" s="10"/>
    </row>
    <row r="496" spans="5:6" x14ac:dyDescent="0.25">
      <c r="E496" s="9"/>
      <c r="F496" s="10"/>
    </row>
    <row r="497" spans="5:6" x14ac:dyDescent="0.25">
      <c r="E497" s="9"/>
      <c r="F497" s="10"/>
    </row>
    <row r="498" spans="5:6" x14ac:dyDescent="0.25">
      <c r="E498" s="9"/>
      <c r="F498" s="10"/>
    </row>
    <row r="499" spans="5:6" x14ac:dyDescent="0.25">
      <c r="E499" s="9"/>
      <c r="F499" s="10"/>
    </row>
    <row r="500" spans="5:6" x14ac:dyDescent="0.25">
      <c r="E500" s="9"/>
      <c r="F500" s="10"/>
    </row>
    <row r="501" spans="5:6" x14ac:dyDescent="0.25">
      <c r="E501" s="9"/>
      <c r="F501" s="10"/>
    </row>
    <row r="502" spans="5:6" x14ac:dyDescent="0.25">
      <c r="E502" s="9"/>
      <c r="F502" s="10"/>
    </row>
    <row r="503" spans="5:6" x14ac:dyDescent="0.25">
      <c r="E503" s="9"/>
      <c r="F503" s="10"/>
    </row>
    <row r="504" spans="5:6" x14ac:dyDescent="0.25">
      <c r="E504" s="9"/>
      <c r="F504" s="10"/>
    </row>
    <row r="505" spans="5:6" x14ac:dyDescent="0.25">
      <c r="E505" s="9"/>
      <c r="F505" s="10"/>
    </row>
    <row r="506" spans="5:6" x14ac:dyDescent="0.25">
      <c r="E506" s="9"/>
      <c r="F506" s="10"/>
    </row>
    <row r="507" spans="5:6" x14ac:dyDescent="0.25">
      <c r="E507" s="9"/>
      <c r="F507" s="10"/>
    </row>
    <row r="508" spans="5:6" x14ac:dyDescent="0.25">
      <c r="E508" s="9"/>
      <c r="F508" s="10"/>
    </row>
    <row r="509" spans="5:6" x14ac:dyDescent="0.25">
      <c r="E509" s="9"/>
      <c r="F509" s="10"/>
    </row>
    <row r="510" spans="5:6" x14ac:dyDescent="0.25">
      <c r="E510" s="9"/>
      <c r="F510" s="10"/>
    </row>
    <row r="511" spans="5:6" x14ac:dyDescent="0.25">
      <c r="E511" s="9"/>
      <c r="F511" s="10"/>
    </row>
    <row r="512" spans="5:6" x14ac:dyDescent="0.25">
      <c r="E512" s="9"/>
      <c r="F512" s="10"/>
    </row>
    <row r="513" spans="5:6" x14ac:dyDescent="0.25">
      <c r="E513" s="9"/>
      <c r="F513" s="10"/>
    </row>
    <row r="514" spans="5:6" x14ac:dyDescent="0.25">
      <c r="E514" s="9"/>
      <c r="F514" s="10"/>
    </row>
    <row r="515" spans="5:6" x14ac:dyDescent="0.25">
      <c r="E515" s="9"/>
      <c r="F515" s="10"/>
    </row>
    <row r="516" spans="5:6" x14ac:dyDescent="0.25">
      <c r="E516" s="9"/>
      <c r="F516" s="10"/>
    </row>
    <row r="517" spans="5:6" x14ac:dyDescent="0.25">
      <c r="E517" s="9"/>
      <c r="F517" s="10"/>
    </row>
    <row r="518" spans="5:6" x14ac:dyDescent="0.25">
      <c r="E518" s="9"/>
      <c r="F518" s="10"/>
    </row>
    <row r="519" spans="5:6" x14ac:dyDescent="0.25">
      <c r="E519" s="9"/>
      <c r="F519" s="10"/>
    </row>
    <row r="520" spans="5:6" x14ac:dyDescent="0.25">
      <c r="E520" s="9"/>
      <c r="F520" s="10"/>
    </row>
    <row r="521" spans="5:6" x14ac:dyDescent="0.25">
      <c r="E521" s="9"/>
      <c r="F521" s="10"/>
    </row>
    <row r="522" spans="5:6" x14ac:dyDescent="0.25">
      <c r="E522" s="9"/>
      <c r="F522" s="10"/>
    </row>
    <row r="523" spans="5:6" x14ac:dyDescent="0.25">
      <c r="E523" s="9"/>
      <c r="F523" s="10"/>
    </row>
    <row r="524" spans="5:6" x14ac:dyDescent="0.25">
      <c r="E524" s="9"/>
      <c r="F524" s="10"/>
    </row>
    <row r="525" spans="5:6" x14ac:dyDescent="0.25">
      <c r="E525" s="9"/>
      <c r="F525" s="10"/>
    </row>
    <row r="526" spans="5:6" x14ac:dyDescent="0.25">
      <c r="E526" s="9"/>
      <c r="F526" s="10"/>
    </row>
    <row r="527" spans="5:6" x14ac:dyDescent="0.25">
      <c r="E527" s="9"/>
      <c r="F527" s="10"/>
    </row>
    <row r="528" spans="5:6" x14ac:dyDescent="0.25">
      <c r="E528" s="9"/>
      <c r="F528" s="10"/>
    </row>
    <row r="529" spans="5:6" x14ac:dyDescent="0.25">
      <c r="E529" s="9"/>
      <c r="F529" s="10"/>
    </row>
    <row r="530" spans="5:6" x14ac:dyDescent="0.25">
      <c r="E530" s="9"/>
      <c r="F530" s="10"/>
    </row>
    <row r="531" spans="5:6" x14ac:dyDescent="0.25">
      <c r="E531" s="9"/>
      <c r="F531" s="10"/>
    </row>
    <row r="532" spans="5:6" x14ac:dyDescent="0.25">
      <c r="E532" s="9"/>
      <c r="F532" s="10"/>
    </row>
    <row r="533" spans="5:6" x14ac:dyDescent="0.25">
      <c r="E533" s="9"/>
      <c r="F533" s="10"/>
    </row>
    <row r="534" spans="5:6" x14ac:dyDescent="0.25">
      <c r="E534" s="9"/>
      <c r="F534" s="10"/>
    </row>
    <row r="535" spans="5:6" x14ac:dyDescent="0.25">
      <c r="E535" s="9"/>
      <c r="F535" s="10"/>
    </row>
    <row r="536" spans="5:6" x14ac:dyDescent="0.25">
      <c r="E536" s="9"/>
      <c r="F536" s="10"/>
    </row>
    <row r="537" spans="5:6" x14ac:dyDescent="0.25">
      <c r="E537" s="9"/>
      <c r="F537" s="10"/>
    </row>
    <row r="538" spans="5:6" x14ac:dyDescent="0.25">
      <c r="E538" s="9"/>
      <c r="F538" s="10"/>
    </row>
    <row r="539" spans="5:6" x14ac:dyDescent="0.25">
      <c r="E539" s="9"/>
      <c r="F539" s="10"/>
    </row>
    <row r="540" spans="5:6" x14ac:dyDescent="0.25">
      <c r="E540" s="9"/>
      <c r="F540" s="10"/>
    </row>
    <row r="541" spans="5:6" x14ac:dyDescent="0.25">
      <c r="E541" s="9"/>
      <c r="F541" s="10"/>
    </row>
    <row r="542" spans="5:6" x14ac:dyDescent="0.25">
      <c r="E542" s="9"/>
      <c r="F542" s="10"/>
    </row>
    <row r="543" spans="5:6" x14ac:dyDescent="0.25">
      <c r="E543" s="9"/>
      <c r="F543" s="10"/>
    </row>
    <row r="544" spans="5:6" x14ac:dyDescent="0.25">
      <c r="E544" s="9"/>
      <c r="F544" s="10"/>
    </row>
    <row r="545" spans="5:6" x14ac:dyDescent="0.25">
      <c r="E545" s="9"/>
      <c r="F545" s="10"/>
    </row>
    <row r="546" spans="5:6" x14ac:dyDescent="0.25">
      <c r="E546" s="9"/>
      <c r="F546" s="10"/>
    </row>
    <row r="547" spans="5:6" x14ac:dyDescent="0.25">
      <c r="E547" s="9"/>
      <c r="F547" s="10"/>
    </row>
    <row r="548" spans="5:6" x14ac:dyDescent="0.25">
      <c r="E548" s="9"/>
      <c r="F548" s="10"/>
    </row>
    <row r="549" spans="5:6" x14ac:dyDescent="0.25">
      <c r="E549" s="9"/>
      <c r="F549" s="10"/>
    </row>
    <row r="550" spans="5:6" x14ac:dyDescent="0.25">
      <c r="E550" s="9"/>
      <c r="F550" s="10"/>
    </row>
    <row r="551" spans="5:6" x14ac:dyDescent="0.25">
      <c r="E551" s="9"/>
      <c r="F551" s="10"/>
    </row>
    <row r="552" spans="5:6" x14ac:dyDescent="0.25">
      <c r="E552" s="9"/>
      <c r="F552" s="10"/>
    </row>
    <row r="553" spans="5:6" x14ac:dyDescent="0.25">
      <c r="E553" s="9"/>
      <c r="F553" s="10"/>
    </row>
    <row r="554" spans="5:6" x14ac:dyDescent="0.25">
      <c r="E554" s="9"/>
      <c r="F554" s="10"/>
    </row>
    <row r="555" spans="5:6" x14ac:dyDescent="0.25">
      <c r="E555" s="9"/>
      <c r="F555" s="10"/>
    </row>
    <row r="556" spans="5:6" x14ac:dyDescent="0.25">
      <c r="E556" s="9"/>
      <c r="F556" s="10"/>
    </row>
    <row r="557" spans="5:6" x14ac:dyDescent="0.25">
      <c r="E557" s="9"/>
      <c r="F557" s="10"/>
    </row>
    <row r="558" spans="5:6" x14ac:dyDescent="0.25">
      <c r="E558" s="9"/>
      <c r="F558" s="10"/>
    </row>
    <row r="559" spans="5:6" x14ac:dyDescent="0.25">
      <c r="E559" s="9"/>
      <c r="F559" s="10"/>
    </row>
    <row r="560" spans="5:6" x14ac:dyDescent="0.25">
      <c r="E560" s="9"/>
      <c r="F560" s="10"/>
    </row>
    <row r="561" spans="5:6" x14ac:dyDescent="0.25">
      <c r="E561" s="9"/>
      <c r="F561" s="10"/>
    </row>
    <row r="562" spans="5:6" x14ac:dyDescent="0.25">
      <c r="E562" s="9"/>
      <c r="F562" s="10"/>
    </row>
    <row r="563" spans="5:6" x14ac:dyDescent="0.25">
      <c r="E563" s="9"/>
      <c r="F563" s="10"/>
    </row>
    <row r="564" spans="5:6" x14ac:dyDescent="0.25">
      <c r="E564" s="9"/>
      <c r="F564" s="10"/>
    </row>
    <row r="565" spans="5:6" x14ac:dyDescent="0.25">
      <c r="E565" s="9"/>
      <c r="F565" s="10"/>
    </row>
    <row r="566" spans="5:6" x14ac:dyDescent="0.25">
      <c r="E566" s="9"/>
      <c r="F566" s="10"/>
    </row>
    <row r="567" spans="5:6" x14ac:dyDescent="0.25">
      <c r="E567" s="9"/>
      <c r="F567" s="10"/>
    </row>
    <row r="568" spans="5:6" x14ac:dyDescent="0.25">
      <c r="E568" s="9"/>
      <c r="F568" s="10"/>
    </row>
    <row r="569" spans="5:6" x14ac:dyDescent="0.25">
      <c r="E569" s="9"/>
      <c r="F569" s="10"/>
    </row>
    <row r="570" spans="5:6" x14ac:dyDescent="0.25">
      <c r="E570" s="9"/>
      <c r="F570" s="10"/>
    </row>
    <row r="571" spans="5:6" x14ac:dyDescent="0.25">
      <c r="E571" s="9"/>
      <c r="F571" s="10"/>
    </row>
    <row r="572" spans="5:6" x14ac:dyDescent="0.25">
      <c r="E572" s="9"/>
      <c r="F572" s="10"/>
    </row>
    <row r="573" spans="5:6" x14ac:dyDescent="0.25">
      <c r="E573" s="9"/>
      <c r="F573" s="10"/>
    </row>
    <row r="574" spans="5:6" x14ac:dyDescent="0.25">
      <c r="E574" s="9"/>
      <c r="F574" s="10"/>
    </row>
    <row r="575" spans="5:6" x14ac:dyDescent="0.25">
      <c r="E575" s="9"/>
      <c r="F575" s="10"/>
    </row>
    <row r="576" spans="5:6" x14ac:dyDescent="0.25">
      <c r="E576" s="9"/>
      <c r="F576" s="10"/>
    </row>
    <row r="577" spans="5:6" x14ac:dyDescent="0.25">
      <c r="E577" s="9"/>
      <c r="F577" s="10"/>
    </row>
    <row r="578" spans="5:6" x14ac:dyDescent="0.25">
      <c r="E578" s="9"/>
      <c r="F578" s="10"/>
    </row>
    <row r="579" spans="5:6" x14ac:dyDescent="0.25">
      <c r="E579" s="9"/>
      <c r="F579" s="10"/>
    </row>
    <row r="580" spans="5:6" x14ac:dyDescent="0.25">
      <c r="E580" s="9"/>
      <c r="F580" s="10"/>
    </row>
    <row r="581" spans="5:6" x14ac:dyDescent="0.25">
      <c r="E581" s="9"/>
      <c r="F581" s="10"/>
    </row>
    <row r="582" spans="5:6" x14ac:dyDescent="0.25">
      <c r="E582" s="9"/>
      <c r="F582" s="10"/>
    </row>
    <row r="583" spans="5:6" x14ac:dyDescent="0.25">
      <c r="E583" s="9"/>
      <c r="F583" s="10"/>
    </row>
    <row r="584" spans="5:6" x14ac:dyDescent="0.25">
      <c r="E584" s="9"/>
      <c r="F584" s="10"/>
    </row>
    <row r="585" spans="5:6" x14ac:dyDescent="0.25">
      <c r="E585" s="9"/>
      <c r="F585" s="10"/>
    </row>
    <row r="586" spans="5:6" x14ac:dyDescent="0.25">
      <c r="E586" s="9"/>
      <c r="F586" s="10"/>
    </row>
    <row r="587" spans="5:6" x14ac:dyDescent="0.25">
      <c r="E587" s="9"/>
      <c r="F587" s="10"/>
    </row>
    <row r="588" spans="5:6" x14ac:dyDescent="0.25">
      <c r="E588" s="9"/>
      <c r="F588" s="10"/>
    </row>
    <row r="589" spans="5:6" x14ac:dyDescent="0.25">
      <c r="E589" s="9"/>
      <c r="F589" s="10"/>
    </row>
    <row r="590" spans="5:6" x14ac:dyDescent="0.25">
      <c r="E590" s="9"/>
      <c r="F590" s="10"/>
    </row>
    <row r="591" spans="5:6" x14ac:dyDescent="0.25">
      <c r="E591" s="9"/>
      <c r="F591" s="10"/>
    </row>
    <row r="592" spans="5:6" x14ac:dyDescent="0.25">
      <c r="E592" s="9"/>
      <c r="F592" s="10"/>
    </row>
    <row r="593" spans="5:6" x14ac:dyDescent="0.25">
      <c r="E593" s="9"/>
      <c r="F593" s="10"/>
    </row>
    <row r="594" spans="5:6" x14ac:dyDescent="0.25">
      <c r="E594" s="9"/>
      <c r="F594" s="10"/>
    </row>
    <row r="595" spans="5:6" x14ac:dyDescent="0.25">
      <c r="E595" s="9"/>
      <c r="F595" s="10"/>
    </row>
    <row r="596" spans="5:6" x14ac:dyDescent="0.25">
      <c r="E596" s="9"/>
      <c r="F596" s="10"/>
    </row>
    <row r="597" spans="5:6" x14ac:dyDescent="0.25">
      <c r="E597" s="9"/>
      <c r="F597" s="10"/>
    </row>
    <row r="598" spans="5:6" x14ac:dyDescent="0.25">
      <c r="E598" s="9"/>
      <c r="F598" s="10"/>
    </row>
    <row r="599" spans="5:6" x14ac:dyDescent="0.25">
      <c r="E599" s="9"/>
      <c r="F599" s="10"/>
    </row>
    <row r="600" spans="5:6" x14ac:dyDescent="0.25">
      <c r="E600" s="9"/>
      <c r="F600" s="10"/>
    </row>
    <row r="601" spans="5:6" x14ac:dyDescent="0.25">
      <c r="E601" s="9"/>
      <c r="F601" s="10"/>
    </row>
    <row r="602" spans="5:6" x14ac:dyDescent="0.25">
      <c r="E602" s="9"/>
      <c r="F602" s="10"/>
    </row>
    <row r="603" spans="5:6" x14ac:dyDescent="0.25">
      <c r="E603" s="9"/>
      <c r="F603" s="10"/>
    </row>
    <row r="604" spans="5:6" x14ac:dyDescent="0.25">
      <c r="E604" s="9"/>
      <c r="F604" s="10"/>
    </row>
    <row r="605" spans="5:6" x14ac:dyDescent="0.25">
      <c r="E605" s="9"/>
      <c r="F605" s="10"/>
    </row>
    <row r="606" spans="5:6" x14ac:dyDescent="0.25">
      <c r="E606" s="9"/>
      <c r="F606" s="10"/>
    </row>
    <row r="607" spans="5:6" x14ac:dyDescent="0.25">
      <c r="E607" s="9"/>
      <c r="F607" s="10"/>
    </row>
    <row r="608" spans="5:6" x14ac:dyDescent="0.25">
      <c r="E608" s="9"/>
      <c r="F608" s="10"/>
    </row>
    <row r="609" spans="5:6" x14ac:dyDescent="0.25">
      <c r="E609" s="9"/>
      <c r="F609" s="10"/>
    </row>
    <row r="610" spans="5:6" x14ac:dyDescent="0.25">
      <c r="E610" s="9"/>
      <c r="F610" s="10"/>
    </row>
    <row r="611" spans="5:6" x14ac:dyDescent="0.25">
      <c r="E611" s="9"/>
      <c r="F611" s="10"/>
    </row>
    <row r="612" spans="5:6" x14ac:dyDescent="0.25">
      <c r="E612" s="9"/>
      <c r="F612" s="10"/>
    </row>
    <row r="613" spans="5:6" x14ac:dyDescent="0.25">
      <c r="E613" s="9"/>
      <c r="F613" s="10"/>
    </row>
    <row r="614" spans="5:6" x14ac:dyDescent="0.25">
      <c r="E614" s="9"/>
      <c r="F614" s="10"/>
    </row>
    <row r="615" spans="5:6" x14ac:dyDescent="0.25">
      <c r="E615" s="9"/>
      <c r="F615" s="10"/>
    </row>
    <row r="616" spans="5:6" x14ac:dyDescent="0.25">
      <c r="E616" s="9"/>
      <c r="F616" s="10"/>
    </row>
    <row r="617" spans="5:6" x14ac:dyDescent="0.25">
      <c r="E617" s="9"/>
      <c r="F617" s="10"/>
    </row>
    <row r="618" spans="5:6" x14ac:dyDescent="0.25">
      <c r="E618" s="9"/>
      <c r="F618" s="10"/>
    </row>
    <row r="619" spans="5:6" x14ac:dyDescent="0.25">
      <c r="E619" s="9"/>
      <c r="F619" s="10"/>
    </row>
    <row r="620" spans="5:6" x14ac:dyDescent="0.25">
      <c r="E620" s="9"/>
      <c r="F620" s="10"/>
    </row>
    <row r="621" spans="5:6" x14ac:dyDescent="0.25">
      <c r="E621" s="9"/>
      <c r="F621" s="10"/>
    </row>
    <row r="622" spans="5:6" x14ac:dyDescent="0.25">
      <c r="E622" s="9"/>
      <c r="F622" s="10"/>
    </row>
    <row r="623" spans="5:6" x14ac:dyDescent="0.25">
      <c r="E623" s="9"/>
      <c r="F623" s="10"/>
    </row>
    <row r="624" spans="5:6" x14ac:dyDescent="0.25">
      <c r="E624" s="9"/>
      <c r="F624" s="10"/>
    </row>
    <row r="625" spans="5:6" x14ac:dyDescent="0.25">
      <c r="E625" s="9"/>
      <c r="F625" s="10"/>
    </row>
    <row r="626" spans="5:6" x14ac:dyDescent="0.25">
      <c r="E626" s="9"/>
      <c r="F626" s="10"/>
    </row>
    <row r="627" spans="5:6" x14ac:dyDescent="0.25">
      <c r="E627" s="9"/>
      <c r="F627" s="10"/>
    </row>
    <row r="628" spans="5:6" x14ac:dyDescent="0.25">
      <c r="E628" s="9"/>
      <c r="F628" s="10"/>
    </row>
    <row r="629" spans="5:6" x14ac:dyDescent="0.25">
      <c r="E629" s="9"/>
      <c r="F629" s="10"/>
    </row>
    <row r="630" spans="5:6" x14ac:dyDescent="0.25">
      <c r="E630" s="9"/>
      <c r="F630" s="10"/>
    </row>
    <row r="631" spans="5:6" x14ac:dyDescent="0.25">
      <c r="E631" s="9"/>
      <c r="F631" s="10"/>
    </row>
    <row r="632" spans="5:6" x14ac:dyDescent="0.25">
      <c r="E632" s="9"/>
      <c r="F632" s="10"/>
    </row>
    <row r="633" spans="5:6" x14ac:dyDescent="0.25">
      <c r="E633" s="9"/>
      <c r="F633" s="10"/>
    </row>
    <row r="634" spans="5:6" x14ac:dyDescent="0.25">
      <c r="E634" s="9"/>
      <c r="F634" s="10"/>
    </row>
    <row r="635" spans="5:6" x14ac:dyDescent="0.25">
      <c r="E635" s="9"/>
      <c r="F635" s="10"/>
    </row>
    <row r="636" spans="5:6" x14ac:dyDescent="0.25">
      <c r="E636" s="9"/>
      <c r="F636" s="10"/>
    </row>
    <row r="637" spans="5:6" x14ac:dyDescent="0.25">
      <c r="E637" s="9"/>
      <c r="F637" s="10"/>
    </row>
    <row r="638" spans="5:6" x14ac:dyDescent="0.25">
      <c r="E638" s="9"/>
      <c r="F638" s="10"/>
    </row>
    <row r="639" spans="5:6" x14ac:dyDescent="0.25">
      <c r="E639" s="9"/>
      <c r="F639" s="10"/>
    </row>
    <row r="640" spans="5:6" x14ac:dyDescent="0.25">
      <c r="E640" s="9"/>
      <c r="F640" s="10"/>
    </row>
    <row r="641" spans="5:6" x14ac:dyDescent="0.25">
      <c r="E641" s="9"/>
      <c r="F641" s="10"/>
    </row>
    <row r="642" spans="5:6" x14ac:dyDescent="0.25">
      <c r="E642" s="9"/>
      <c r="F642" s="10"/>
    </row>
    <row r="643" spans="5:6" x14ac:dyDescent="0.25">
      <c r="E643" s="9"/>
      <c r="F643" s="10"/>
    </row>
    <row r="644" spans="5:6" x14ac:dyDescent="0.25">
      <c r="E644" s="9"/>
      <c r="F644" s="10"/>
    </row>
    <row r="645" spans="5:6" x14ac:dyDescent="0.25">
      <c r="E645" s="9"/>
      <c r="F645" s="10"/>
    </row>
    <row r="646" spans="5:6" x14ac:dyDescent="0.25">
      <c r="E646" s="9"/>
      <c r="F646" s="10"/>
    </row>
    <row r="647" spans="5:6" x14ac:dyDescent="0.25">
      <c r="E647" s="9"/>
      <c r="F647" s="10"/>
    </row>
    <row r="648" spans="5:6" x14ac:dyDescent="0.25">
      <c r="E648" s="9"/>
      <c r="F648" s="10"/>
    </row>
    <row r="649" spans="5:6" x14ac:dyDescent="0.25">
      <c r="E649" s="9"/>
      <c r="F649" s="10"/>
    </row>
    <row r="650" spans="5:6" x14ac:dyDescent="0.25">
      <c r="E650" s="9"/>
      <c r="F650" s="10"/>
    </row>
    <row r="651" spans="5:6" x14ac:dyDescent="0.25">
      <c r="E651" s="9"/>
      <c r="F651" s="10"/>
    </row>
    <row r="652" spans="5:6" x14ac:dyDescent="0.25">
      <c r="E652" s="9"/>
      <c r="F652" s="10"/>
    </row>
    <row r="653" spans="5:6" x14ac:dyDescent="0.25">
      <c r="E653" s="9"/>
      <c r="F653" s="10"/>
    </row>
    <row r="654" spans="5:6" x14ac:dyDescent="0.25">
      <c r="E654" s="9"/>
      <c r="F654" s="10"/>
    </row>
    <row r="655" spans="5:6" x14ac:dyDescent="0.25">
      <c r="E655" s="9"/>
      <c r="F655" s="10"/>
    </row>
    <row r="656" spans="5:6" x14ac:dyDescent="0.25">
      <c r="E656" s="9"/>
      <c r="F656" s="10"/>
    </row>
    <row r="657" spans="5:6" x14ac:dyDescent="0.25">
      <c r="E657" s="9"/>
      <c r="F657" s="10"/>
    </row>
    <row r="658" spans="5:6" x14ac:dyDescent="0.25">
      <c r="E658" s="9"/>
      <c r="F658" s="10"/>
    </row>
    <row r="659" spans="5:6" x14ac:dyDescent="0.25">
      <c r="E659" s="9"/>
      <c r="F659" s="10"/>
    </row>
    <row r="660" spans="5:6" x14ac:dyDescent="0.25">
      <c r="E660" s="9"/>
      <c r="F660" s="10"/>
    </row>
    <row r="661" spans="5:6" x14ac:dyDescent="0.25">
      <c r="E661" s="9"/>
      <c r="F661" s="10"/>
    </row>
    <row r="662" spans="5:6" x14ac:dyDescent="0.25">
      <c r="E662" s="9"/>
      <c r="F662" s="10"/>
    </row>
    <row r="663" spans="5:6" x14ac:dyDescent="0.25">
      <c r="E663" s="9"/>
      <c r="F663" s="10"/>
    </row>
    <row r="664" spans="5:6" x14ac:dyDescent="0.25">
      <c r="E664" s="9"/>
      <c r="F664" s="10"/>
    </row>
    <row r="665" spans="5:6" x14ac:dyDescent="0.25">
      <c r="E665" s="9"/>
      <c r="F665" s="10"/>
    </row>
    <row r="666" spans="5:6" x14ac:dyDescent="0.25">
      <c r="E666" s="9"/>
      <c r="F666" s="10"/>
    </row>
    <row r="667" spans="5:6" x14ac:dyDescent="0.25">
      <c r="E667" s="9"/>
      <c r="F667" s="10"/>
    </row>
    <row r="668" spans="5:6" x14ac:dyDescent="0.25">
      <c r="E668" s="9"/>
      <c r="F668" s="10"/>
    </row>
    <row r="669" spans="5:6" x14ac:dyDescent="0.25">
      <c r="E669" s="9"/>
      <c r="F669" s="10"/>
    </row>
    <row r="670" spans="5:6" x14ac:dyDescent="0.25">
      <c r="E670" s="9"/>
      <c r="F670" s="10"/>
    </row>
    <row r="671" spans="5:6" x14ac:dyDescent="0.25">
      <c r="E671" s="9"/>
      <c r="F671" s="10"/>
    </row>
    <row r="672" spans="5:6" x14ac:dyDescent="0.25">
      <c r="E672" s="9"/>
      <c r="F672" s="10"/>
    </row>
    <row r="673" spans="5:6" x14ac:dyDescent="0.25">
      <c r="E673" s="9"/>
      <c r="F673" s="10"/>
    </row>
    <row r="674" spans="5:6" x14ac:dyDescent="0.25">
      <c r="E674" s="9"/>
      <c r="F674" s="10"/>
    </row>
    <row r="675" spans="5:6" x14ac:dyDescent="0.25">
      <c r="E675" s="9"/>
      <c r="F675" s="10"/>
    </row>
    <row r="676" spans="5:6" x14ac:dyDescent="0.25">
      <c r="E676" s="9"/>
      <c r="F676" s="10"/>
    </row>
    <row r="677" spans="5:6" x14ac:dyDescent="0.25">
      <c r="E677" s="9"/>
      <c r="F677" s="10"/>
    </row>
    <row r="678" spans="5:6" x14ac:dyDescent="0.25">
      <c r="E678" s="9"/>
      <c r="F678" s="10"/>
    </row>
    <row r="679" spans="5:6" x14ac:dyDescent="0.25">
      <c r="E679" s="9"/>
      <c r="F679" s="10"/>
    </row>
    <row r="680" spans="5:6" x14ac:dyDescent="0.25">
      <c r="E680" s="9"/>
      <c r="F680" s="10"/>
    </row>
    <row r="681" spans="5:6" x14ac:dyDescent="0.25">
      <c r="E681" s="9"/>
      <c r="F681" s="10"/>
    </row>
    <row r="682" spans="5:6" x14ac:dyDescent="0.25">
      <c r="E682" s="9"/>
      <c r="F682" s="10"/>
    </row>
    <row r="683" spans="5:6" x14ac:dyDescent="0.25">
      <c r="E683" s="9"/>
      <c r="F683" s="10"/>
    </row>
    <row r="684" spans="5:6" x14ac:dyDescent="0.25">
      <c r="E684" s="9"/>
      <c r="F684" s="10"/>
    </row>
    <row r="685" spans="5:6" x14ac:dyDescent="0.25">
      <c r="E685" s="9"/>
      <c r="F685" s="10"/>
    </row>
    <row r="686" spans="5:6" x14ac:dyDescent="0.25">
      <c r="E686" s="9"/>
      <c r="F686" s="10"/>
    </row>
    <row r="687" spans="5:6" x14ac:dyDescent="0.25">
      <c r="E687" s="9"/>
      <c r="F687" s="10"/>
    </row>
    <row r="688" spans="5:6" x14ac:dyDescent="0.25">
      <c r="E688" s="9"/>
      <c r="F688" s="10"/>
    </row>
    <row r="689" spans="5:6" x14ac:dyDescent="0.25">
      <c r="E689" s="9"/>
      <c r="F689" s="10"/>
    </row>
    <row r="690" spans="5:6" x14ac:dyDescent="0.25">
      <c r="E690" s="9"/>
      <c r="F690" s="10"/>
    </row>
    <row r="691" spans="5:6" x14ac:dyDescent="0.25">
      <c r="E691" s="9"/>
      <c r="F691" s="10"/>
    </row>
    <row r="692" spans="5:6" x14ac:dyDescent="0.25">
      <c r="E692" s="9"/>
      <c r="F692" s="10"/>
    </row>
    <row r="693" spans="5:6" x14ac:dyDescent="0.25">
      <c r="E693" s="9"/>
      <c r="F693" s="10"/>
    </row>
    <row r="694" spans="5:6" x14ac:dyDescent="0.25">
      <c r="E694" s="9"/>
      <c r="F694" s="10"/>
    </row>
    <row r="695" spans="5:6" x14ac:dyDescent="0.25">
      <c r="E695" s="9"/>
      <c r="F695" s="10"/>
    </row>
    <row r="696" spans="5:6" x14ac:dyDescent="0.25">
      <c r="E696" s="9"/>
      <c r="F696" s="10"/>
    </row>
    <row r="697" spans="5:6" x14ac:dyDescent="0.25">
      <c r="E697" s="9"/>
      <c r="F697" s="10"/>
    </row>
    <row r="698" spans="5:6" x14ac:dyDescent="0.25">
      <c r="E698" s="9"/>
      <c r="F698" s="10"/>
    </row>
    <row r="699" spans="5:6" x14ac:dyDescent="0.25">
      <c r="E699" s="9"/>
      <c r="F699" s="10"/>
    </row>
    <row r="700" spans="5:6" x14ac:dyDescent="0.25">
      <c r="E700" s="9"/>
      <c r="F700" s="10"/>
    </row>
    <row r="701" spans="5:6" x14ac:dyDescent="0.25">
      <c r="E701" s="9"/>
      <c r="F701" s="10"/>
    </row>
    <row r="702" spans="5:6" x14ac:dyDescent="0.25">
      <c r="E702" s="9"/>
      <c r="F702" s="10"/>
    </row>
    <row r="703" spans="5:6" x14ac:dyDescent="0.25">
      <c r="E703" s="9"/>
      <c r="F703" s="10"/>
    </row>
    <row r="704" spans="5:6" x14ac:dyDescent="0.25">
      <c r="E704" s="9"/>
      <c r="F704" s="10"/>
    </row>
    <row r="705" spans="5:6" x14ac:dyDescent="0.25">
      <c r="E705" s="9"/>
      <c r="F705" s="10"/>
    </row>
    <row r="706" spans="5:6" x14ac:dyDescent="0.25">
      <c r="E706" s="9"/>
      <c r="F706" s="10"/>
    </row>
    <row r="707" spans="5:6" x14ac:dyDescent="0.25">
      <c r="E707" s="9"/>
      <c r="F707" s="10"/>
    </row>
    <row r="708" spans="5:6" x14ac:dyDescent="0.25">
      <c r="E708" s="9"/>
      <c r="F708" s="10"/>
    </row>
    <row r="709" spans="5:6" x14ac:dyDescent="0.25">
      <c r="E709" s="9"/>
      <c r="F709" s="10"/>
    </row>
    <row r="710" spans="5:6" x14ac:dyDescent="0.25">
      <c r="E710" s="9"/>
      <c r="F710" s="10"/>
    </row>
    <row r="711" spans="5:6" x14ac:dyDescent="0.25">
      <c r="E711" s="9"/>
      <c r="F711" s="10"/>
    </row>
    <row r="712" spans="5:6" x14ac:dyDescent="0.25">
      <c r="E712" s="9"/>
      <c r="F712" s="10"/>
    </row>
    <row r="713" spans="5:6" x14ac:dyDescent="0.25">
      <c r="E713" s="9"/>
      <c r="F713" s="10"/>
    </row>
    <row r="714" spans="5:6" x14ac:dyDescent="0.25">
      <c r="E714" s="9"/>
      <c r="F714" s="10"/>
    </row>
    <row r="715" spans="5:6" x14ac:dyDescent="0.25">
      <c r="E715" s="9"/>
      <c r="F715" s="10"/>
    </row>
    <row r="716" spans="5:6" x14ac:dyDescent="0.25">
      <c r="E716" s="9"/>
      <c r="F716" s="10"/>
    </row>
    <row r="717" spans="5:6" x14ac:dyDescent="0.25">
      <c r="E717" s="9"/>
      <c r="F717" s="10"/>
    </row>
    <row r="718" spans="5:6" x14ac:dyDescent="0.25">
      <c r="E718" s="9"/>
      <c r="F718" s="10"/>
    </row>
    <row r="719" spans="5:6" x14ac:dyDescent="0.25">
      <c r="E719" s="9"/>
      <c r="F719" s="10"/>
    </row>
    <row r="720" spans="5:6" x14ac:dyDescent="0.25">
      <c r="E720" s="9"/>
      <c r="F720" s="10"/>
    </row>
    <row r="721" spans="5:6" x14ac:dyDescent="0.25">
      <c r="E721" s="9"/>
      <c r="F721" s="10"/>
    </row>
    <row r="722" spans="5:6" x14ac:dyDescent="0.25">
      <c r="E722" s="9"/>
      <c r="F722" s="10"/>
    </row>
    <row r="723" spans="5:6" x14ac:dyDescent="0.25">
      <c r="E723" s="9"/>
      <c r="F723" s="10"/>
    </row>
    <row r="724" spans="5:6" x14ac:dyDescent="0.25">
      <c r="E724" s="9"/>
      <c r="F724" s="10"/>
    </row>
    <row r="725" spans="5:6" x14ac:dyDescent="0.25">
      <c r="E725" s="9"/>
      <c r="F725" s="10"/>
    </row>
    <row r="726" spans="5:6" x14ac:dyDescent="0.25">
      <c r="E726" s="9"/>
      <c r="F726" s="10"/>
    </row>
    <row r="727" spans="5:6" x14ac:dyDescent="0.25">
      <c r="E727" s="9"/>
      <c r="F727" s="10"/>
    </row>
    <row r="728" spans="5:6" x14ac:dyDescent="0.25">
      <c r="E728" s="9"/>
      <c r="F728" s="10"/>
    </row>
    <row r="729" spans="5:6" x14ac:dyDescent="0.25">
      <c r="E729" s="9"/>
      <c r="F729" s="10"/>
    </row>
    <row r="730" spans="5:6" x14ac:dyDescent="0.25">
      <c r="E730" s="9"/>
      <c r="F730" s="10"/>
    </row>
    <row r="731" spans="5:6" x14ac:dyDescent="0.25">
      <c r="E731" s="9"/>
      <c r="F731" s="10"/>
    </row>
    <row r="732" spans="5:6" x14ac:dyDescent="0.25">
      <c r="E732" s="9"/>
      <c r="F732" s="10"/>
    </row>
    <row r="733" spans="5:6" x14ac:dyDescent="0.25">
      <c r="E733" s="9"/>
      <c r="F733" s="10"/>
    </row>
    <row r="734" spans="5:6" x14ac:dyDescent="0.25">
      <c r="E734" s="9"/>
      <c r="F734" s="10"/>
    </row>
    <row r="735" spans="5:6" x14ac:dyDescent="0.25">
      <c r="E735" s="9"/>
      <c r="F735" s="10"/>
    </row>
    <row r="736" spans="5:6" x14ac:dyDescent="0.25">
      <c r="E736" s="9"/>
      <c r="F736" s="10"/>
    </row>
    <row r="737" spans="5:6" x14ac:dyDescent="0.25">
      <c r="E737" s="9"/>
      <c r="F737" s="10"/>
    </row>
    <row r="738" spans="5:6" x14ac:dyDescent="0.25">
      <c r="E738" s="9"/>
      <c r="F738" s="10"/>
    </row>
    <row r="739" spans="5:6" x14ac:dyDescent="0.25">
      <c r="E739" s="9"/>
      <c r="F739" s="10"/>
    </row>
    <row r="740" spans="5:6" x14ac:dyDescent="0.25">
      <c r="E740" s="9"/>
      <c r="F740" s="10"/>
    </row>
    <row r="741" spans="5:6" x14ac:dyDescent="0.25">
      <c r="E741" s="9"/>
      <c r="F741" s="10"/>
    </row>
    <row r="742" spans="5:6" x14ac:dyDescent="0.25">
      <c r="E742" s="9"/>
      <c r="F742" s="10"/>
    </row>
    <row r="743" spans="5:6" x14ac:dyDescent="0.25">
      <c r="E743" s="9"/>
      <c r="F743" s="10"/>
    </row>
    <row r="744" spans="5:6" x14ac:dyDescent="0.25">
      <c r="E744" s="9"/>
      <c r="F744" s="10"/>
    </row>
    <row r="745" spans="5:6" x14ac:dyDescent="0.25">
      <c r="E745" s="9"/>
      <c r="F745" s="10"/>
    </row>
    <row r="746" spans="5:6" x14ac:dyDescent="0.25">
      <c r="E746" s="9"/>
      <c r="F746" s="10"/>
    </row>
    <row r="747" spans="5:6" x14ac:dyDescent="0.25">
      <c r="E747" s="9"/>
      <c r="F747" s="10"/>
    </row>
    <row r="748" spans="5:6" x14ac:dyDescent="0.25">
      <c r="E748" s="9"/>
      <c r="F748" s="10"/>
    </row>
    <row r="749" spans="5:6" x14ac:dyDescent="0.25">
      <c r="E749" s="9"/>
      <c r="F749" s="10"/>
    </row>
    <row r="750" spans="5:6" x14ac:dyDescent="0.25">
      <c r="E750" s="9"/>
      <c r="F750" s="10"/>
    </row>
    <row r="751" spans="5:6" x14ac:dyDescent="0.25">
      <c r="E751" s="9"/>
      <c r="F751" s="10"/>
    </row>
    <row r="752" spans="5:6" x14ac:dyDescent="0.25">
      <c r="E752" s="9"/>
      <c r="F752" s="10"/>
    </row>
    <row r="753" spans="5:6" x14ac:dyDescent="0.25">
      <c r="E753" s="9"/>
      <c r="F753" s="10"/>
    </row>
    <row r="754" spans="5:6" x14ac:dyDescent="0.25">
      <c r="E754" s="9"/>
      <c r="F754" s="10"/>
    </row>
    <row r="755" spans="5:6" x14ac:dyDescent="0.25">
      <c r="E755" s="9"/>
      <c r="F755" s="10"/>
    </row>
    <row r="756" spans="5:6" x14ac:dyDescent="0.25">
      <c r="E756" s="9"/>
      <c r="F756" s="10"/>
    </row>
    <row r="757" spans="5:6" x14ac:dyDescent="0.25">
      <c r="E757" s="9"/>
      <c r="F757" s="10"/>
    </row>
    <row r="758" spans="5:6" x14ac:dyDescent="0.25">
      <c r="E758" s="9"/>
      <c r="F758" s="10"/>
    </row>
    <row r="759" spans="5:6" x14ac:dyDescent="0.25">
      <c r="E759" s="9"/>
      <c r="F759" s="10"/>
    </row>
    <row r="760" spans="5:6" x14ac:dyDescent="0.25">
      <c r="E760" s="9"/>
      <c r="F760" s="10"/>
    </row>
    <row r="761" spans="5:6" x14ac:dyDescent="0.25">
      <c r="E761" s="9"/>
      <c r="F761" s="10"/>
    </row>
    <row r="762" spans="5:6" x14ac:dyDescent="0.25">
      <c r="E762" s="9"/>
      <c r="F762" s="10"/>
    </row>
    <row r="763" spans="5:6" x14ac:dyDescent="0.25">
      <c r="E763" s="9"/>
      <c r="F763" s="10"/>
    </row>
    <row r="764" spans="5:6" x14ac:dyDescent="0.25">
      <c r="E764" s="9"/>
      <c r="F764" s="10"/>
    </row>
    <row r="765" spans="5:6" x14ac:dyDescent="0.25">
      <c r="E765" s="9"/>
      <c r="F765" s="10"/>
    </row>
    <row r="766" spans="5:6" x14ac:dyDescent="0.25">
      <c r="E766" s="9"/>
      <c r="F766" s="10"/>
    </row>
    <row r="767" spans="5:6" x14ac:dyDescent="0.25">
      <c r="E767" s="9"/>
      <c r="F767" s="10"/>
    </row>
    <row r="768" spans="5:6" x14ac:dyDescent="0.25">
      <c r="E768" s="9"/>
      <c r="F768" s="10"/>
    </row>
    <row r="769" spans="5:6" x14ac:dyDescent="0.25">
      <c r="E769" s="9"/>
      <c r="F769" s="10"/>
    </row>
    <row r="770" spans="5:6" x14ac:dyDescent="0.25">
      <c r="E770" s="9"/>
      <c r="F770" s="10"/>
    </row>
    <row r="771" spans="5:6" x14ac:dyDescent="0.25">
      <c r="E771" s="9"/>
      <c r="F771" s="10"/>
    </row>
    <row r="772" spans="5:6" x14ac:dyDescent="0.25">
      <c r="E772" s="9"/>
      <c r="F772" s="10"/>
    </row>
    <row r="773" spans="5:6" x14ac:dyDescent="0.25">
      <c r="E773" s="9"/>
      <c r="F773" s="10"/>
    </row>
    <row r="774" spans="5:6" x14ac:dyDescent="0.25">
      <c r="E774" s="9"/>
      <c r="F774" s="10"/>
    </row>
    <row r="775" spans="5:6" x14ac:dyDescent="0.25">
      <c r="E775" s="9"/>
      <c r="F775" s="10"/>
    </row>
    <row r="776" spans="5:6" x14ac:dyDescent="0.25">
      <c r="E776" s="9"/>
      <c r="F776" s="10"/>
    </row>
    <row r="777" spans="5:6" x14ac:dyDescent="0.25">
      <c r="E777" s="9"/>
      <c r="F777" s="10"/>
    </row>
    <row r="778" spans="5:6" x14ac:dyDescent="0.25">
      <c r="E778" s="9"/>
      <c r="F778" s="10"/>
    </row>
    <row r="779" spans="5:6" x14ac:dyDescent="0.25">
      <c r="E779" s="9"/>
      <c r="F779" s="10"/>
    </row>
    <row r="780" spans="5:6" x14ac:dyDescent="0.25">
      <c r="E780" s="9"/>
      <c r="F780" s="10"/>
    </row>
    <row r="781" spans="5:6" x14ac:dyDescent="0.25">
      <c r="E781" s="9"/>
      <c r="F781" s="10"/>
    </row>
    <row r="782" spans="5:6" x14ac:dyDescent="0.25">
      <c r="E782" s="9"/>
      <c r="F782" s="10"/>
    </row>
    <row r="783" spans="5:6" x14ac:dyDescent="0.25">
      <c r="E783" s="9"/>
      <c r="F783" s="10"/>
    </row>
    <row r="784" spans="5:6" x14ac:dyDescent="0.25">
      <c r="E784" s="9"/>
      <c r="F784" s="10"/>
    </row>
    <row r="785" spans="5:6" x14ac:dyDescent="0.25">
      <c r="E785" s="9"/>
      <c r="F785" s="10"/>
    </row>
    <row r="786" spans="5:6" x14ac:dyDescent="0.25">
      <c r="E786" s="9"/>
      <c r="F786" s="10"/>
    </row>
    <row r="787" spans="5:6" x14ac:dyDescent="0.25">
      <c r="E787" s="9"/>
      <c r="F787" s="10"/>
    </row>
    <row r="788" spans="5:6" x14ac:dyDescent="0.25">
      <c r="E788" s="9"/>
      <c r="F788" s="10"/>
    </row>
    <row r="789" spans="5:6" x14ac:dyDescent="0.25">
      <c r="E789" s="9"/>
      <c r="F789" s="10"/>
    </row>
    <row r="790" spans="5:6" x14ac:dyDescent="0.25">
      <c r="E790" s="9"/>
      <c r="F790" s="10"/>
    </row>
    <row r="791" spans="5:6" x14ac:dyDescent="0.25">
      <c r="E791" s="9"/>
      <c r="F791" s="10"/>
    </row>
    <row r="792" spans="5:6" x14ac:dyDescent="0.25">
      <c r="E792" s="9"/>
      <c r="F792" s="10"/>
    </row>
    <row r="793" spans="5:6" x14ac:dyDescent="0.25">
      <c r="E793" s="9"/>
      <c r="F793" s="10"/>
    </row>
    <row r="794" spans="5:6" x14ac:dyDescent="0.25">
      <c r="E794" s="9"/>
      <c r="F794" s="10"/>
    </row>
    <row r="795" spans="5:6" x14ac:dyDescent="0.25">
      <c r="E795" s="9"/>
      <c r="F795" s="10"/>
    </row>
    <row r="796" spans="5:6" x14ac:dyDescent="0.25">
      <c r="E796" s="9"/>
      <c r="F796" s="10"/>
    </row>
    <row r="797" spans="5:6" x14ac:dyDescent="0.25">
      <c r="E797" s="9"/>
      <c r="F797" s="10"/>
    </row>
    <row r="798" spans="5:6" x14ac:dyDescent="0.25">
      <c r="E798" s="9"/>
      <c r="F798" s="10"/>
    </row>
    <row r="799" spans="5:6" x14ac:dyDescent="0.25">
      <c r="E799" s="9"/>
      <c r="F799" s="10"/>
    </row>
    <row r="800" spans="5:6" x14ac:dyDescent="0.25">
      <c r="E800" s="9"/>
      <c r="F800" s="10"/>
    </row>
    <row r="801" spans="5:6" x14ac:dyDescent="0.25">
      <c r="E801" s="9"/>
      <c r="F801" s="10"/>
    </row>
    <row r="802" spans="5:6" x14ac:dyDescent="0.25">
      <c r="E802" s="9"/>
      <c r="F802" s="10"/>
    </row>
    <row r="803" spans="5:6" x14ac:dyDescent="0.25">
      <c r="E803" s="9"/>
      <c r="F803" s="10"/>
    </row>
    <row r="804" spans="5:6" x14ac:dyDescent="0.25">
      <c r="E804" s="9"/>
      <c r="F804" s="10"/>
    </row>
    <row r="805" spans="5:6" x14ac:dyDescent="0.25">
      <c r="E805" s="9"/>
      <c r="F805" s="10"/>
    </row>
    <row r="806" spans="5:6" x14ac:dyDescent="0.25">
      <c r="E806" s="9"/>
      <c r="F806" s="10"/>
    </row>
    <row r="807" spans="5:6" x14ac:dyDescent="0.25">
      <c r="E807" s="9"/>
      <c r="F807" s="10"/>
    </row>
    <row r="808" spans="5:6" x14ac:dyDescent="0.25">
      <c r="E808" s="9"/>
      <c r="F808" s="10"/>
    </row>
    <row r="809" spans="5:6" x14ac:dyDescent="0.25">
      <c r="E809" s="9"/>
      <c r="F809" s="10"/>
    </row>
    <row r="810" spans="5:6" x14ac:dyDescent="0.25">
      <c r="E810" s="9"/>
      <c r="F810" s="10"/>
    </row>
    <row r="811" spans="5:6" x14ac:dyDescent="0.25">
      <c r="E811" s="9"/>
      <c r="F811" s="10"/>
    </row>
    <row r="812" spans="5:6" x14ac:dyDescent="0.25">
      <c r="E812" s="9"/>
      <c r="F812" s="10"/>
    </row>
    <row r="813" spans="5:6" x14ac:dyDescent="0.25">
      <c r="E813" s="9"/>
      <c r="F813" s="10"/>
    </row>
    <row r="814" spans="5:6" x14ac:dyDescent="0.25">
      <c r="E814" s="9"/>
      <c r="F814" s="10"/>
    </row>
    <row r="815" spans="5:6" x14ac:dyDescent="0.25">
      <c r="E815" s="9"/>
      <c r="F815" s="10"/>
    </row>
    <row r="816" spans="5:6" x14ac:dyDescent="0.25">
      <c r="E816" s="9"/>
      <c r="F816" s="10"/>
    </row>
    <row r="817" spans="5:6" x14ac:dyDescent="0.25">
      <c r="E817" s="9"/>
      <c r="F817" s="10"/>
    </row>
    <row r="818" spans="5:6" x14ac:dyDescent="0.25">
      <c r="E818" s="9"/>
      <c r="F818" s="10"/>
    </row>
    <row r="819" spans="5:6" x14ac:dyDescent="0.25">
      <c r="E819" s="9"/>
      <c r="F819" s="10"/>
    </row>
    <row r="820" spans="5:6" x14ac:dyDescent="0.25">
      <c r="E820" s="9"/>
      <c r="F820" s="10"/>
    </row>
    <row r="821" spans="5:6" x14ac:dyDescent="0.25">
      <c r="E821" s="9"/>
      <c r="F821" s="10"/>
    </row>
    <row r="822" spans="5:6" x14ac:dyDescent="0.25">
      <c r="E822" s="9"/>
      <c r="F822" s="10"/>
    </row>
    <row r="823" spans="5:6" x14ac:dyDescent="0.25">
      <c r="E823" s="9"/>
      <c r="F823" s="10"/>
    </row>
    <row r="824" spans="5:6" x14ac:dyDescent="0.25">
      <c r="E824" s="9"/>
      <c r="F824" s="10"/>
    </row>
    <row r="825" spans="5:6" x14ac:dyDescent="0.25">
      <c r="E825" s="9"/>
      <c r="F825" s="10"/>
    </row>
    <row r="826" spans="5:6" x14ac:dyDescent="0.25">
      <c r="E826" s="9"/>
      <c r="F826" s="10"/>
    </row>
    <row r="827" spans="5:6" x14ac:dyDescent="0.25">
      <c r="E827" s="9"/>
      <c r="F827" s="10"/>
    </row>
    <row r="828" spans="5:6" x14ac:dyDescent="0.25">
      <c r="E828" s="9"/>
      <c r="F828" s="10"/>
    </row>
    <row r="829" spans="5:6" x14ac:dyDescent="0.25">
      <c r="E829" s="9"/>
      <c r="F829" s="10"/>
    </row>
    <row r="830" spans="5:6" x14ac:dyDescent="0.25">
      <c r="E830" s="9"/>
      <c r="F830" s="10"/>
    </row>
    <row r="831" spans="5:6" x14ac:dyDescent="0.25">
      <c r="E831" s="9"/>
      <c r="F831" s="10"/>
    </row>
    <row r="832" spans="5:6" x14ac:dyDescent="0.25">
      <c r="E832" s="9"/>
      <c r="F832" s="10"/>
    </row>
    <row r="833" spans="5:6" x14ac:dyDescent="0.25">
      <c r="E833" s="9"/>
      <c r="F833" s="10"/>
    </row>
    <row r="834" spans="5:6" x14ac:dyDescent="0.25">
      <c r="E834" s="9"/>
      <c r="F834" s="10"/>
    </row>
    <row r="835" spans="5:6" x14ac:dyDescent="0.25">
      <c r="E835" s="9"/>
      <c r="F835" s="10"/>
    </row>
    <row r="836" spans="5:6" x14ac:dyDescent="0.25">
      <c r="E836" s="9"/>
      <c r="F836" s="10"/>
    </row>
    <row r="837" spans="5:6" x14ac:dyDescent="0.25">
      <c r="E837" s="9"/>
      <c r="F837" s="10"/>
    </row>
    <row r="838" spans="5:6" x14ac:dyDescent="0.25">
      <c r="E838" s="9"/>
      <c r="F838" s="10"/>
    </row>
    <row r="839" spans="5:6" x14ac:dyDescent="0.25">
      <c r="E839" s="9"/>
      <c r="F839" s="10"/>
    </row>
    <row r="840" spans="5:6" x14ac:dyDescent="0.25">
      <c r="E840" s="9"/>
      <c r="F840" s="10"/>
    </row>
    <row r="841" spans="5:6" x14ac:dyDescent="0.25">
      <c r="E841" s="9"/>
      <c r="F841" s="10"/>
    </row>
    <row r="842" spans="5:6" x14ac:dyDescent="0.25">
      <c r="E842" s="9"/>
      <c r="F842" s="10"/>
    </row>
    <row r="843" spans="5:6" x14ac:dyDescent="0.25">
      <c r="E843" s="9"/>
      <c r="F843" s="10"/>
    </row>
    <row r="844" spans="5:6" x14ac:dyDescent="0.25">
      <c r="E844" s="9"/>
      <c r="F844" s="10"/>
    </row>
    <row r="845" spans="5:6" x14ac:dyDescent="0.25">
      <c r="E845" s="9"/>
      <c r="F845" s="10"/>
    </row>
    <row r="846" spans="5:6" x14ac:dyDescent="0.25">
      <c r="E846" s="9"/>
      <c r="F846" s="10"/>
    </row>
    <row r="847" spans="5:6" x14ac:dyDescent="0.25">
      <c r="E847" s="9"/>
      <c r="F847" s="10"/>
    </row>
    <row r="848" spans="5:6" x14ac:dyDescent="0.25">
      <c r="E848" s="9"/>
      <c r="F848" s="10"/>
    </row>
    <row r="849" spans="5:6" x14ac:dyDescent="0.25">
      <c r="E849" s="9"/>
      <c r="F849" s="10"/>
    </row>
    <row r="850" spans="5:6" x14ac:dyDescent="0.25">
      <c r="E850" s="9"/>
      <c r="F850" s="10"/>
    </row>
    <row r="851" spans="5:6" x14ac:dyDescent="0.25">
      <c r="E851" s="9"/>
      <c r="F851" s="10"/>
    </row>
    <row r="852" spans="5:6" x14ac:dyDescent="0.25">
      <c r="E852" s="9"/>
      <c r="F852" s="10"/>
    </row>
    <row r="853" spans="5:6" x14ac:dyDescent="0.25">
      <c r="E853" s="9"/>
      <c r="F853" s="10"/>
    </row>
    <row r="854" spans="5:6" x14ac:dyDescent="0.25">
      <c r="E854" s="9"/>
      <c r="F854" s="10"/>
    </row>
    <row r="855" spans="5:6" x14ac:dyDescent="0.25">
      <c r="E855" s="9"/>
      <c r="F855" s="10"/>
    </row>
    <row r="856" spans="5:6" x14ac:dyDescent="0.25">
      <c r="E856" s="9"/>
      <c r="F856" s="10"/>
    </row>
    <row r="857" spans="5:6" x14ac:dyDescent="0.25">
      <c r="E857" s="9"/>
      <c r="F857" s="10"/>
    </row>
    <row r="858" spans="5:6" x14ac:dyDescent="0.25">
      <c r="E858" s="9"/>
      <c r="F858" s="10"/>
    </row>
    <row r="859" spans="5:6" x14ac:dyDescent="0.25">
      <c r="E859" s="9"/>
      <c r="F859" s="10"/>
    </row>
    <row r="860" spans="5:6" x14ac:dyDescent="0.25">
      <c r="E860" s="9"/>
      <c r="F860" s="10"/>
    </row>
    <row r="861" spans="5:6" x14ac:dyDescent="0.25">
      <c r="E861" s="9"/>
      <c r="F861" s="10"/>
    </row>
    <row r="862" spans="5:6" x14ac:dyDescent="0.25">
      <c r="E862" s="9"/>
      <c r="F862" s="10"/>
    </row>
    <row r="863" spans="5:6" x14ac:dyDescent="0.25">
      <c r="E863" s="9"/>
      <c r="F863" s="10"/>
    </row>
    <row r="864" spans="5:6" x14ac:dyDescent="0.25">
      <c r="E864" s="9"/>
      <c r="F864" s="10"/>
    </row>
    <row r="865" spans="5:6" x14ac:dyDescent="0.25">
      <c r="E865" s="9"/>
      <c r="F865" s="10"/>
    </row>
    <row r="866" spans="5:6" x14ac:dyDescent="0.25">
      <c r="E866" s="9"/>
      <c r="F866" s="10"/>
    </row>
    <row r="867" spans="5:6" x14ac:dyDescent="0.25">
      <c r="E867" s="9"/>
      <c r="F867" s="10"/>
    </row>
    <row r="868" spans="5:6" x14ac:dyDescent="0.25">
      <c r="E868" s="9"/>
      <c r="F868" s="10"/>
    </row>
    <row r="869" spans="5:6" x14ac:dyDescent="0.25">
      <c r="E869" s="9"/>
      <c r="F869" s="10"/>
    </row>
    <row r="870" spans="5:6" x14ac:dyDescent="0.25">
      <c r="E870" s="9"/>
      <c r="F870" s="10"/>
    </row>
    <row r="871" spans="5:6" x14ac:dyDescent="0.25">
      <c r="E871" s="9"/>
      <c r="F871" s="10"/>
    </row>
    <row r="872" spans="5:6" x14ac:dyDescent="0.25">
      <c r="E872" s="9"/>
      <c r="F872" s="10"/>
    </row>
    <row r="873" spans="5:6" x14ac:dyDescent="0.25">
      <c r="E873" s="9"/>
      <c r="F873" s="10"/>
    </row>
    <row r="874" spans="5:6" x14ac:dyDescent="0.25">
      <c r="E874" s="9"/>
      <c r="F874" s="10"/>
    </row>
    <row r="875" spans="5:6" x14ac:dyDescent="0.25">
      <c r="E875" s="9"/>
      <c r="F875" s="10"/>
    </row>
    <row r="876" spans="5:6" x14ac:dyDescent="0.25">
      <c r="E876" s="9"/>
      <c r="F876" s="10"/>
    </row>
    <row r="877" spans="5:6" x14ac:dyDescent="0.25">
      <c r="E877" s="9"/>
      <c r="F877" s="10"/>
    </row>
    <row r="878" spans="5:6" x14ac:dyDescent="0.25">
      <c r="E878" s="9"/>
      <c r="F878" s="10"/>
    </row>
    <row r="879" spans="5:6" x14ac:dyDescent="0.25">
      <c r="E879" s="9"/>
      <c r="F879" s="10"/>
    </row>
    <row r="880" spans="5:6" x14ac:dyDescent="0.25">
      <c r="E880" s="9"/>
      <c r="F880" s="10"/>
    </row>
    <row r="881" spans="5:6" x14ac:dyDescent="0.25">
      <c r="E881" s="9"/>
      <c r="F881" s="10"/>
    </row>
    <row r="882" spans="5:6" x14ac:dyDescent="0.25">
      <c r="E882" s="9"/>
      <c r="F882" s="10"/>
    </row>
    <row r="883" spans="5:6" x14ac:dyDescent="0.25">
      <c r="E883" s="9"/>
      <c r="F883" s="10"/>
    </row>
    <row r="884" spans="5:6" x14ac:dyDescent="0.25">
      <c r="E884" s="9"/>
      <c r="F884" s="10"/>
    </row>
    <row r="885" spans="5:6" x14ac:dyDescent="0.25">
      <c r="E885" s="9"/>
      <c r="F885" s="10"/>
    </row>
    <row r="886" spans="5:6" x14ac:dyDescent="0.25">
      <c r="E886" s="9"/>
      <c r="F886" s="10"/>
    </row>
    <row r="887" spans="5:6" x14ac:dyDescent="0.25">
      <c r="E887" s="9"/>
      <c r="F887" s="10"/>
    </row>
    <row r="888" spans="5:6" x14ac:dyDescent="0.25">
      <c r="E888" s="9"/>
      <c r="F888" s="10"/>
    </row>
    <row r="889" spans="5:6" x14ac:dyDescent="0.25">
      <c r="E889" s="9"/>
      <c r="F889" s="10"/>
    </row>
    <row r="890" spans="5:6" x14ac:dyDescent="0.25">
      <c r="E890" s="9"/>
      <c r="F890" s="10"/>
    </row>
    <row r="891" spans="5:6" x14ac:dyDescent="0.25">
      <c r="E891" s="9"/>
      <c r="F891" s="10"/>
    </row>
    <row r="892" spans="5:6" x14ac:dyDescent="0.25">
      <c r="E892" s="9"/>
      <c r="F892" s="10"/>
    </row>
    <row r="893" spans="5:6" x14ac:dyDescent="0.25">
      <c r="E893" s="9"/>
      <c r="F893" s="10"/>
    </row>
    <row r="894" spans="5:6" x14ac:dyDescent="0.25">
      <c r="E894" s="9"/>
      <c r="F894" s="10"/>
    </row>
    <row r="895" spans="5:6" x14ac:dyDescent="0.25">
      <c r="E895" s="9"/>
      <c r="F895" s="10"/>
    </row>
    <row r="896" spans="5:6" x14ac:dyDescent="0.25">
      <c r="E896" s="9"/>
      <c r="F896" s="10"/>
    </row>
    <row r="897" spans="5:6" x14ac:dyDescent="0.25">
      <c r="E897" s="9"/>
      <c r="F897" s="10"/>
    </row>
    <row r="898" spans="5:6" x14ac:dyDescent="0.25">
      <c r="E898" s="9"/>
      <c r="F898" s="10"/>
    </row>
    <row r="899" spans="5:6" x14ac:dyDescent="0.25">
      <c r="E899" s="9"/>
      <c r="F899" s="10"/>
    </row>
    <row r="900" spans="5:6" x14ac:dyDescent="0.25">
      <c r="E900" s="9"/>
      <c r="F900" s="10"/>
    </row>
    <row r="901" spans="5:6" x14ac:dyDescent="0.25">
      <c r="E901" s="9"/>
      <c r="F901" s="10"/>
    </row>
    <row r="902" spans="5:6" x14ac:dyDescent="0.25">
      <c r="E902" s="9"/>
      <c r="F902" s="10"/>
    </row>
    <row r="903" spans="5:6" x14ac:dyDescent="0.25">
      <c r="E903" s="9"/>
      <c r="F903" s="10"/>
    </row>
    <row r="904" spans="5:6" x14ac:dyDescent="0.25">
      <c r="E904" s="9"/>
      <c r="F904" s="10"/>
    </row>
    <row r="905" spans="5:6" x14ac:dyDescent="0.25">
      <c r="E905" s="9"/>
      <c r="F905" s="10"/>
    </row>
    <row r="906" spans="5:6" x14ac:dyDescent="0.25">
      <c r="E906" s="9"/>
      <c r="F906" s="10"/>
    </row>
    <row r="907" spans="5:6" x14ac:dyDescent="0.25">
      <c r="E907" s="9"/>
      <c r="F907" s="10"/>
    </row>
    <row r="908" spans="5:6" x14ac:dyDescent="0.25">
      <c r="E908" s="9"/>
      <c r="F908" s="10"/>
    </row>
    <row r="909" spans="5:6" x14ac:dyDescent="0.25">
      <c r="E909" s="9"/>
      <c r="F909" s="10"/>
    </row>
    <row r="910" spans="5:6" x14ac:dyDescent="0.25">
      <c r="E910" s="9"/>
      <c r="F910" s="10"/>
    </row>
    <row r="911" spans="5:6" x14ac:dyDescent="0.25">
      <c r="E911" s="9"/>
      <c r="F911" s="10"/>
    </row>
    <row r="912" spans="5:6" x14ac:dyDescent="0.25">
      <c r="E912" s="9"/>
      <c r="F912" s="10"/>
    </row>
    <row r="913" spans="5:6" x14ac:dyDescent="0.25">
      <c r="E913" s="9"/>
      <c r="F913" s="10"/>
    </row>
    <row r="914" spans="5:6" x14ac:dyDescent="0.25">
      <c r="E914" s="9"/>
      <c r="F914" s="10"/>
    </row>
    <row r="915" spans="5:6" x14ac:dyDescent="0.25">
      <c r="E915" s="9"/>
      <c r="F915" s="10"/>
    </row>
    <row r="916" spans="5:6" x14ac:dyDescent="0.25">
      <c r="E916" s="9"/>
      <c r="F916" s="10"/>
    </row>
    <row r="917" spans="5:6" x14ac:dyDescent="0.25">
      <c r="E917" s="9"/>
      <c r="F917" s="10"/>
    </row>
    <row r="918" spans="5:6" x14ac:dyDescent="0.25">
      <c r="E918" s="9"/>
      <c r="F918" s="10"/>
    </row>
    <row r="919" spans="5:6" x14ac:dyDescent="0.25">
      <c r="E919" s="9"/>
      <c r="F919" s="10"/>
    </row>
    <row r="920" spans="5:6" x14ac:dyDescent="0.25">
      <c r="E920" s="9"/>
      <c r="F920" s="10"/>
    </row>
    <row r="921" spans="5:6" x14ac:dyDescent="0.25">
      <c r="E921" s="9"/>
      <c r="F921" s="10"/>
    </row>
    <row r="922" spans="5:6" x14ac:dyDescent="0.25">
      <c r="E922" s="9"/>
      <c r="F922" s="10"/>
    </row>
    <row r="923" spans="5:6" x14ac:dyDescent="0.25">
      <c r="E923" s="9"/>
      <c r="F923" s="10"/>
    </row>
    <row r="924" spans="5:6" x14ac:dyDescent="0.25">
      <c r="E924" s="9"/>
      <c r="F924" s="10"/>
    </row>
    <row r="925" spans="5:6" x14ac:dyDescent="0.25">
      <c r="E925" s="9"/>
      <c r="F925" s="10"/>
    </row>
    <row r="926" spans="5:6" x14ac:dyDescent="0.25">
      <c r="E926" s="9"/>
      <c r="F926" s="10"/>
    </row>
    <row r="927" spans="5:6" x14ac:dyDescent="0.25">
      <c r="E927" s="9"/>
      <c r="F927" s="10"/>
    </row>
    <row r="928" spans="5:6" x14ac:dyDescent="0.25">
      <c r="E928" s="9"/>
      <c r="F928" s="10"/>
    </row>
    <row r="929" spans="5:6" x14ac:dyDescent="0.25">
      <c r="E929" s="9"/>
      <c r="F929" s="10"/>
    </row>
    <row r="930" spans="5:6" x14ac:dyDescent="0.25">
      <c r="E930" s="9"/>
      <c r="F930" s="10"/>
    </row>
    <row r="931" spans="5:6" x14ac:dyDescent="0.25">
      <c r="E931" s="9"/>
      <c r="F931" s="10"/>
    </row>
    <row r="932" spans="5:6" x14ac:dyDescent="0.25">
      <c r="E932" s="9"/>
      <c r="F932" s="10"/>
    </row>
    <row r="933" spans="5:6" x14ac:dyDescent="0.25">
      <c r="E933" s="9"/>
      <c r="F933" s="10"/>
    </row>
    <row r="934" spans="5:6" x14ac:dyDescent="0.25">
      <c r="E934" s="9"/>
      <c r="F934" s="10"/>
    </row>
    <row r="935" spans="5:6" x14ac:dyDescent="0.25">
      <c r="E935" s="9"/>
      <c r="F935" s="10"/>
    </row>
    <row r="936" spans="5:6" x14ac:dyDescent="0.25">
      <c r="E936" s="9"/>
      <c r="F936" s="10"/>
    </row>
    <row r="937" spans="5:6" x14ac:dyDescent="0.25">
      <c r="E937" s="9"/>
      <c r="F937" s="10"/>
    </row>
    <row r="938" spans="5:6" x14ac:dyDescent="0.25">
      <c r="E938" s="9"/>
      <c r="F938" s="10"/>
    </row>
    <row r="939" spans="5:6" x14ac:dyDescent="0.25">
      <c r="E939" s="9"/>
      <c r="F939" s="10"/>
    </row>
    <row r="940" spans="5:6" x14ac:dyDescent="0.25">
      <c r="E940" s="9"/>
      <c r="F940" s="10"/>
    </row>
    <row r="941" spans="5:6" x14ac:dyDescent="0.25">
      <c r="E941" s="9"/>
      <c r="F941" s="10"/>
    </row>
    <row r="942" spans="5:6" x14ac:dyDescent="0.25">
      <c r="E942" s="9"/>
      <c r="F942" s="10"/>
    </row>
    <row r="943" spans="5:6" x14ac:dyDescent="0.25">
      <c r="E943" s="9"/>
      <c r="F943" s="10"/>
    </row>
    <row r="944" spans="5:6" x14ac:dyDescent="0.25">
      <c r="E944" s="9"/>
      <c r="F944" s="10"/>
    </row>
    <row r="945" spans="5:6" x14ac:dyDescent="0.25">
      <c r="E945" s="9"/>
      <c r="F945" s="10"/>
    </row>
    <row r="946" spans="5:6" x14ac:dyDescent="0.25">
      <c r="E946" s="9"/>
      <c r="F946" s="10"/>
    </row>
    <row r="947" spans="5:6" x14ac:dyDescent="0.25">
      <c r="E947" s="9"/>
      <c r="F947" s="10"/>
    </row>
    <row r="948" spans="5:6" x14ac:dyDescent="0.25">
      <c r="E948" s="9"/>
      <c r="F948" s="10"/>
    </row>
    <row r="949" spans="5:6" x14ac:dyDescent="0.25">
      <c r="E949" s="9"/>
      <c r="F949" s="10"/>
    </row>
    <row r="950" spans="5:6" x14ac:dyDescent="0.25">
      <c r="E950" s="9"/>
      <c r="F950" s="10"/>
    </row>
    <row r="951" spans="5:6" x14ac:dyDescent="0.25">
      <c r="E951" s="9"/>
      <c r="F951" s="10"/>
    </row>
    <row r="952" spans="5:6" x14ac:dyDescent="0.25">
      <c r="E952" s="9"/>
      <c r="F952" s="10"/>
    </row>
    <row r="953" spans="5:6" x14ac:dyDescent="0.25">
      <c r="E953" s="9"/>
      <c r="F953" s="10"/>
    </row>
    <row r="954" spans="5:6" x14ac:dyDescent="0.25">
      <c r="E954" s="9"/>
      <c r="F954" s="10"/>
    </row>
    <row r="955" spans="5:6" x14ac:dyDescent="0.25">
      <c r="E955" s="9"/>
      <c r="F955" s="10"/>
    </row>
    <row r="956" spans="5:6" x14ac:dyDescent="0.25">
      <c r="E956" s="9"/>
      <c r="F956" s="10"/>
    </row>
    <row r="957" spans="5:6" x14ac:dyDescent="0.25">
      <c r="E957" s="9"/>
      <c r="F957" s="10"/>
    </row>
    <row r="958" spans="5:6" x14ac:dyDescent="0.25">
      <c r="E958" s="9"/>
      <c r="F958" s="10"/>
    </row>
    <row r="959" spans="5:6" x14ac:dyDescent="0.25">
      <c r="E959" s="9"/>
      <c r="F959" s="10"/>
    </row>
    <row r="960" spans="5:6" x14ac:dyDescent="0.25">
      <c r="E960" s="9"/>
      <c r="F960" s="10"/>
    </row>
    <row r="961" spans="5:6" x14ac:dyDescent="0.25">
      <c r="E961" s="9"/>
      <c r="F961" s="10"/>
    </row>
    <row r="962" spans="5:6" x14ac:dyDescent="0.25">
      <c r="E962" s="9"/>
      <c r="F962" s="10"/>
    </row>
    <row r="963" spans="5:6" x14ac:dyDescent="0.25">
      <c r="E963" s="9"/>
      <c r="F963" s="10"/>
    </row>
    <row r="964" spans="5:6" x14ac:dyDescent="0.25">
      <c r="E964" s="9"/>
      <c r="F964" s="10"/>
    </row>
    <row r="965" spans="5:6" x14ac:dyDescent="0.25">
      <c r="E965" s="9"/>
      <c r="F965" s="10"/>
    </row>
    <row r="966" spans="5:6" x14ac:dyDescent="0.25">
      <c r="E966" s="9"/>
      <c r="F966" s="10"/>
    </row>
    <row r="967" spans="5:6" x14ac:dyDescent="0.25">
      <c r="E967" s="9"/>
      <c r="F967" s="10"/>
    </row>
    <row r="968" spans="5:6" x14ac:dyDescent="0.25">
      <c r="E968" s="9"/>
      <c r="F968" s="10"/>
    </row>
    <row r="969" spans="5:6" x14ac:dyDescent="0.25">
      <c r="E969" s="9"/>
      <c r="F969" s="10"/>
    </row>
    <row r="970" spans="5:6" x14ac:dyDescent="0.25">
      <c r="E970" s="9"/>
      <c r="F970" s="10"/>
    </row>
    <row r="971" spans="5:6" x14ac:dyDescent="0.25">
      <c r="E971" s="9"/>
      <c r="F971" s="10"/>
    </row>
    <row r="972" spans="5:6" x14ac:dyDescent="0.25">
      <c r="E972" s="9"/>
      <c r="F972" s="10"/>
    </row>
    <row r="973" spans="5:6" x14ac:dyDescent="0.25">
      <c r="E973" s="9"/>
      <c r="F973" s="10"/>
    </row>
    <row r="974" spans="5:6" x14ac:dyDescent="0.25">
      <c r="E974" s="9"/>
      <c r="F974" s="10"/>
    </row>
    <row r="975" spans="5:6" x14ac:dyDescent="0.25">
      <c r="E975" s="9"/>
      <c r="F975" s="10"/>
    </row>
    <row r="976" spans="5:6" x14ac:dyDescent="0.25">
      <c r="E976" s="9"/>
      <c r="F976" s="10"/>
    </row>
    <row r="977" spans="5:6" x14ac:dyDescent="0.25">
      <c r="E977" s="9"/>
      <c r="F977" s="10"/>
    </row>
    <row r="978" spans="5:6" x14ac:dyDescent="0.25">
      <c r="E978" s="9"/>
      <c r="F978" s="10"/>
    </row>
    <row r="979" spans="5:6" x14ac:dyDescent="0.25">
      <c r="E979" s="9"/>
      <c r="F979" s="10"/>
    </row>
    <row r="980" spans="5:6" x14ac:dyDescent="0.25">
      <c r="E980" s="9"/>
      <c r="F980" s="10"/>
    </row>
    <row r="981" spans="5:6" x14ac:dyDescent="0.25">
      <c r="E981" s="9"/>
      <c r="F981" s="10"/>
    </row>
    <row r="982" spans="5:6" x14ac:dyDescent="0.25">
      <c r="E982" s="9"/>
      <c r="F982" s="10"/>
    </row>
    <row r="983" spans="5:6" x14ac:dyDescent="0.25">
      <c r="E983" s="9"/>
      <c r="F983" s="10"/>
    </row>
    <row r="984" spans="5:6" x14ac:dyDescent="0.25">
      <c r="E984" s="9"/>
      <c r="F984" s="10"/>
    </row>
    <row r="985" spans="5:6" x14ac:dyDescent="0.25">
      <c r="E985" s="9"/>
      <c r="F985" s="10"/>
    </row>
    <row r="986" spans="5:6" x14ac:dyDescent="0.25">
      <c r="E986" s="9"/>
      <c r="F986" s="10"/>
    </row>
    <row r="987" spans="5:6" x14ac:dyDescent="0.25">
      <c r="E987" s="9"/>
      <c r="F987" s="10"/>
    </row>
    <row r="988" spans="5:6" x14ac:dyDescent="0.25">
      <c r="E988" s="9"/>
      <c r="F988" s="10"/>
    </row>
    <row r="989" spans="5:6" x14ac:dyDescent="0.25">
      <c r="E989" s="9"/>
      <c r="F989" s="10"/>
    </row>
    <row r="990" spans="5:6" x14ac:dyDescent="0.25">
      <c r="E990" s="9"/>
      <c r="F990" s="10"/>
    </row>
    <row r="991" spans="5:6" x14ac:dyDescent="0.25">
      <c r="E991" s="9"/>
      <c r="F991" s="10"/>
    </row>
    <row r="992" spans="5:6" x14ac:dyDescent="0.25">
      <c r="E992" s="9"/>
      <c r="F992" s="10"/>
    </row>
    <row r="993" spans="5:6" x14ac:dyDescent="0.25">
      <c r="E993" s="9"/>
      <c r="F993" s="10"/>
    </row>
    <row r="994" spans="5:6" x14ac:dyDescent="0.25">
      <c r="E994" s="9"/>
      <c r="F994" s="10"/>
    </row>
    <row r="995" spans="5:6" x14ac:dyDescent="0.25">
      <c r="E995" s="9"/>
      <c r="F995" s="10"/>
    </row>
    <row r="996" spans="5:6" x14ac:dyDescent="0.25">
      <c r="E996" s="9"/>
      <c r="F996" s="10"/>
    </row>
    <row r="997" spans="5:6" x14ac:dyDescent="0.25">
      <c r="E997" s="9"/>
      <c r="F997" s="10"/>
    </row>
    <row r="998" spans="5:6" x14ac:dyDescent="0.25">
      <c r="E998" s="9"/>
      <c r="F998" s="10"/>
    </row>
    <row r="999" spans="5:6" x14ac:dyDescent="0.25">
      <c r="E999" s="9"/>
      <c r="F999" s="10"/>
    </row>
    <row r="1000" spans="5:6" x14ac:dyDescent="0.25">
      <c r="E1000" s="9"/>
      <c r="F1000" s="10"/>
    </row>
    <row r="1001" spans="5:6" x14ac:dyDescent="0.25">
      <c r="E1001" s="9"/>
      <c r="F1001" s="10"/>
    </row>
    <row r="1002" spans="5:6" x14ac:dyDescent="0.25">
      <c r="E1002" s="9"/>
      <c r="F1002" s="10"/>
    </row>
    <row r="1003" spans="5:6" x14ac:dyDescent="0.25">
      <c r="E1003" s="9"/>
      <c r="F1003" s="10"/>
    </row>
    <row r="1004" spans="5:6" x14ac:dyDescent="0.25">
      <c r="E1004" s="9"/>
      <c r="F1004" s="10"/>
    </row>
    <row r="1005" spans="5:6" x14ac:dyDescent="0.25">
      <c r="E1005" s="9"/>
      <c r="F1005" s="10"/>
    </row>
    <row r="1006" spans="5:6" x14ac:dyDescent="0.25">
      <c r="E1006" s="9"/>
      <c r="F1006" s="10"/>
    </row>
    <row r="1007" spans="5:6" x14ac:dyDescent="0.25">
      <c r="E1007" s="9"/>
      <c r="F1007" s="10"/>
    </row>
    <row r="1008" spans="5:6" x14ac:dyDescent="0.25">
      <c r="E1008" s="9"/>
      <c r="F1008" s="10"/>
    </row>
    <row r="1009" spans="5:6" x14ac:dyDescent="0.25">
      <c r="E1009" s="9"/>
      <c r="F1009" s="10"/>
    </row>
    <row r="1010" spans="5:6" x14ac:dyDescent="0.25">
      <c r="E1010" s="9"/>
      <c r="F1010" s="10"/>
    </row>
    <row r="1011" spans="5:6" x14ac:dyDescent="0.25">
      <c r="E1011" s="9"/>
      <c r="F1011" s="10"/>
    </row>
    <row r="1012" spans="5:6" x14ac:dyDescent="0.25">
      <c r="E1012" s="9"/>
      <c r="F1012" s="10"/>
    </row>
    <row r="1013" spans="5:6" x14ac:dyDescent="0.25">
      <c r="E1013" s="9"/>
      <c r="F1013" s="10"/>
    </row>
    <row r="1014" spans="5:6" x14ac:dyDescent="0.25">
      <c r="E1014" s="9"/>
      <c r="F1014" s="10"/>
    </row>
    <row r="1015" spans="5:6" x14ac:dyDescent="0.25">
      <c r="E1015" s="9"/>
      <c r="F1015" s="10"/>
    </row>
    <row r="1016" spans="5:6" x14ac:dyDescent="0.25">
      <c r="E1016" s="9"/>
      <c r="F1016" s="10"/>
    </row>
    <row r="1017" spans="5:6" x14ac:dyDescent="0.25">
      <c r="E1017" s="9"/>
      <c r="F1017" s="10"/>
    </row>
    <row r="1018" spans="5:6" x14ac:dyDescent="0.25">
      <c r="E1018" s="9"/>
      <c r="F1018" s="10"/>
    </row>
    <row r="1019" spans="5:6" x14ac:dyDescent="0.25">
      <c r="E1019" s="9"/>
      <c r="F1019" s="10"/>
    </row>
    <row r="1020" spans="5:6" x14ac:dyDescent="0.25">
      <c r="E1020" s="9"/>
      <c r="F1020" s="10"/>
    </row>
    <row r="1021" spans="5:6" x14ac:dyDescent="0.25">
      <c r="E1021" s="9"/>
      <c r="F1021" s="10"/>
    </row>
    <row r="1022" spans="5:6" x14ac:dyDescent="0.25">
      <c r="E1022" s="9"/>
      <c r="F1022" s="10"/>
    </row>
    <row r="1023" spans="5:6" x14ac:dyDescent="0.25">
      <c r="E1023" s="9"/>
      <c r="F1023" s="10"/>
    </row>
    <row r="1024" spans="5:6" x14ac:dyDescent="0.25">
      <c r="E1024" s="9"/>
      <c r="F1024" s="10"/>
    </row>
    <row r="1025" spans="5:6" x14ac:dyDescent="0.25">
      <c r="E1025" s="9"/>
      <c r="F1025" s="10"/>
    </row>
    <row r="1026" spans="5:6" x14ac:dyDescent="0.25">
      <c r="E1026" s="9"/>
      <c r="F1026" s="10"/>
    </row>
    <row r="1027" spans="5:6" x14ac:dyDescent="0.25">
      <c r="E1027" s="9"/>
      <c r="F1027" s="10"/>
    </row>
    <row r="1028" spans="5:6" x14ac:dyDescent="0.25">
      <c r="E1028" s="9"/>
      <c r="F1028" s="10"/>
    </row>
    <row r="1029" spans="5:6" x14ac:dyDescent="0.25">
      <c r="E1029" s="9"/>
      <c r="F1029" s="10"/>
    </row>
    <row r="1030" spans="5:6" x14ac:dyDescent="0.25">
      <c r="E1030" s="9"/>
      <c r="F1030" s="10"/>
    </row>
    <row r="1031" spans="5:6" x14ac:dyDescent="0.25">
      <c r="E1031" s="9"/>
      <c r="F1031" s="10"/>
    </row>
    <row r="1032" spans="5:6" x14ac:dyDescent="0.25">
      <c r="E1032" s="9"/>
      <c r="F1032" s="10"/>
    </row>
    <row r="1033" spans="5:6" x14ac:dyDescent="0.25">
      <c r="E1033" s="9"/>
      <c r="F1033" s="10"/>
    </row>
    <row r="1034" spans="5:6" x14ac:dyDescent="0.25">
      <c r="E1034" s="9"/>
      <c r="F1034" s="10"/>
    </row>
    <row r="1035" spans="5:6" x14ac:dyDescent="0.25">
      <c r="E1035" s="9"/>
      <c r="F1035" s="10"/>
    </row>
    <row r="1036" spans="5:6" x14ac:dyDescent="0.25">
      <c r="E1036" s="9"/>
      <c r="F1036" s="10"/>
    </row>
    <row r="1037" spans="5:6" x14ac:dyDescent="0.25">
      <c r="E1037" s="9"/>
      <c r="F1037" s="10"/>
    </row>
    <row r="1038" spans="5:6" x14ac:dyDescent="0.25">
      <c r="E1038" s="9"/>
      <c r="F1038" s="10"/>
    </row>
    <row r="1039" spans="5:6" x14ac:dyDescent="0.25">
      <c r="E1039" s="9"/>
      <c r="F1039" s="10"/>
    </row>
    <row r="1040" spans="5:6" x14ac:dyDescent="0.25">
      <c r="E1040" s="9"/>
      <c r="F1040" s="10"/>
    </row>
    <row r="1041" spans="5:6" x14ac:dyDescent="0.25">
      <c r="E1041" s="9"/>
      <c r="F1041" s="10"/>
    </row>
    <row r="1042" spans="5:6" x14ac:dyDescent="0.25">
      <c r="E1042" s="9"/>
      <c r="F1042" s="10"/>
    </row>
    <row r="1043" spans="5:6" x14ac:dyDescent="0.25">
      <c r="E1043" s="9"/>
      <c r="F1043" s="10"/>
    </row>
    <row r="1044" spans="5:6" x14ac:dyDescent="0.25">
      <c r="E1044" s="9"/>
      <c r="F1044" s="10"/>
    </row>
    <row r="1045" spans="5:6" x14ac:dyDescent="0.25">
      <c r="E1045" s="9"/>
      <c r="F1045" s="10"/>
    </row>
    <row r="1046" spans="5:6" x14ac:dyDescent="0.25">
      <c r="E1046" s="9"/>
      <c r="F1046" s="10"/>
    </row>
    <row r="1047" spans="5:6" x14ac:dyDescent="0.25">
      <c r="E1047" s="9"/>
      <c r="F1047" s="10"/>
    </row>
    <row r="1048" spans="5:6" x14ac:dyDescent="0.25">
      <c r="E1048" s="9"/>
      <c r="F1048" s="10"/>
    </row>
    <row r="1049" spans="5:6" x14ac:dyDescent="0.25">
      <c r="E1049" s="9"/>
      <c r="F1049" s="10"/>
    </row>
    <row r="1050" spans="5:6" x14ac:dyDescent="0.25">
      <c r="E1050" s="9"/>
      <c r="F1050" s="10"/>
    </row>
    <row r="1051" spans="5:6" x14ac:dyDescent="0.25">
      <c r="E1051" s="9"/>
      <c r="F1051" s="10"/>
    </row>
    <row r="1052" spans="5:6" x14ac:dyDescent="0.25">
      <c r="E1052" s="9"/>
      <c r="F1052" s="10"/>
    </row>
    <row r="1053" spans="5:6" x14ac:dyDescent="0.25">
      <c r="E1053" s="9"/>
      <c r="F1053" s="10"/>
    </row>
    <row r="1054" spans="5:6" x14ac:dyDescent="0.25">
      <c r="E1054" s="9"/>
      <c r="F1054" s="10"/>
    </row>
    <row r="1055" spans="5:6" x14ac:dyDescent="0.25">
      <c r="E1055" s="9"/>
      <c r="F1055" s="10"/>
    </row>
    <row r="1056" spans="5:6" x14ac:dyDescent="0.25">
      <c r="E1056" s="9"/>
      <c r="F1056" s="10"/>
    </row>
    <row r="1057" spans="5:6" x14ac:dyDescent="0.25">
      <c r="E1057" s="9"/>
      <c r="F1057" s="10"/>
    </row>
    <row r="1058" spans="5:6" x14ac:dyDescent="0.25">
      <c r="E1058" s="9"/>
      <c r="F1058" s="10"/>
    </row>
    <row r="1059" spans="5:6" x14ac:dyDescent="0.25">
      <c r="E1059" s="9"/>
      <c r="F1059" s="10"/>
    </row>
    <row r="1060" spans="5:6" x14ac:dyDescent="0.25">
      <c r="E1060" s="9"/>
      <c r="F1060" s="10"/>
    </row>
    <row r="1061" spans="5:6" x14ac:dyDescent="0.25">
      <c r="E1061" s="9"/>
      <c r="F1061" s="10"/>
    </row>
    <row r="1062" spans="5:6" x14ac:dyDescent="0.25">
      <c r="E1062" s="9"/>
      <c r="F1062" s="10"/>
    </row>
    <row r="1063" spans="5:6" x14ac:dyDescent="0.25">
      <c r="E1063" s="9"/>
      <c r="F1063" s="10"/>
    </row>
    <row r="1064" spans="5:6" x14ac:dyDescent="0.25">
      <c r="E1064" s="9"/>
      <c r="F1064" s="10"/>
    </row>
    <row r="1065" spans="5:6" x14ac:dyDescent="0.25">
      <c r="E1065" s="9"/>
      <c r="F1065" s="10"/>
    </row>
    <row r="1066" spans="5:6" x14ac:dyDescent="0.25">
      <c r="E1066" s="9"/>
      <c r="F1066" s="10"/>
    </row>
    <row r="1067" spans="5:6" x14ac:dyDescent="0.25">
      <c r="E1067" s="9"/>
      <c r="F1067" s="10"/>
    </row>
    <row r="1068" spans="5:6" x14ac:dyDescent="0.25">
      <c r="E1068" s="9"/>
      <c r="F1068" s="10"/>
    </row>
    <row r="1069" spans="5:6" x14ac:dyDescent="0.25">
      <c r="E1069" s="9"/>
      <c r="F1069" s="10"/>
    </row>
    <row r="1070" spans="5:6" x14ac:dyDescent="0.25">
      <c r="E1070" s="9"/>
      <c r="F1070" s="10"/>
    </row>
    <row r="1071" spans="5:6" x14ac:dyDescent="0.25">
      <c r="E1071" s="9"/>
      <c r="F1071" s="10"/>
    </row>
    <row r="1072" spans="5:6" x14ac:dyDescent="0.25">
      <c r="E1072" s="9"/>
      <c r="F1072" s="10"/>
    </row>
    <row r="1073" spans="5:6" x14ac:dyDescent="0.25">
      <c r="E1073" s="9"/>
      <c r="F1073" s="10"/>
    </row>
    <row r="1074" spans="5:6" x14ac:dyDescent="0.25">
      <c r="E1074" s="9"/>
      <c r="F1074" s="10"/>
    </row>
    <row r="1075" spans="5:6" x14ac:dyDescent="0.25">
      <c r="E1075" s="9"/>
      <c r="F1075" s="10"/>
    </row>
    <row r="1076" spans="5:6" x14ac:dyDescent="0.25">
      <c r="E1076" s="9"/>
      <c r="F1076" s="10"/>
    </row>
    <row r="1077" spans="5:6" x14ac:dyDescent="0.25">
      <c r="E1077" s="9"/>
      <c r="F1077" s="10"/>
    </row>
    <row r="1078" spans="5:6" x14ac:dyDescent="0.25">
      <c r="E1078" s="9"/>
      <c r="F1078" s="10"/>
    </row>
    <row r="1079" spans="5:6" x14ac:dyDescent="0.25">
      <c r="E1079" s="9"/>
      <c r="F1079" s="10"/>
    </row>
    <row r="1080" spans="5:6" x14ac:dyDescent="0.25">
      <c r="E1080" s="9"/>
      <c r="F1080" s="10"/>
    </row>
    <row r="1081" spans="5:6" x14ac:dyDescent="0.25">
      <c r="E1081" s="9"/>
      <c r="F1081" s="10"/>
    </row>
    <row r="1082" spans="5:6" x14ac:dyDescent="0.25">
      <c r="E1082" s="9"/>
      <c r="F1082" s="10"/>
    </row>
    <row r="1083" spans="5:6" x14ac:dyDescent="0.25">
      <c r="E1083" s="9"/>
      <c r="F1083" s="10"/>
    </row>
    <row r="1084" spans="5:6" x14ac:dyDescent="0.25">
      <c r="E1084" s="9"/>
      <c r="F1084" s="10"/>
    </row>
    <row r="1085" spans="5:6" x14ac:dyDescent="0.25">
      <c r="E1085" s="9"/>
      <c r="F1085" s="10"/>
    </row>
    <row r="1086" spans="5:6" x14ac:dyDescent="0.25">
      <c r="E1086" s="9"/>
      <c r="F1086" s="10"/>
    </row>
    <row r="1087" spans="5:6" x14ac:dyDescent="0.25">
      <c r="E1087" s="9"/>
      <c r="F1087" s="10"/>
    </row>
    <row r="1088" spans="5:6" x14ac:dyDescent="0.25">
      <c r="E1088" s="9"/>
      <c r="F1088" s="10"/>
    </row>
    <row r="1089" spans="5:6" x14ac:dyDescent="0.25">
      <c r="E1089" s="9"/>
      <c r="F1089" s="10"/>
    </row>
    <row r="1090" spans="5:6" x14ac:dyDescent="0.25">
      <c r="E1090" s="9"/>
      <c r="F1090" s="10"/>
    </row>
    <row r="1091" spans="5:6" x14ac:dyDescent="0.25">
      <c r="E1091" s="9"/>
      <c r="F1091" s="10"/>
    </row>
    <row r="1092" spans="5:6" x14ac:dyDescent="0.25">
      <c r="E1092" s="9"/>
      <c r="F1092" s="10"/>
    </row>
    <row r="1093" spans="5:6" x14ac:dyDescent="0.25">
      <c r="E1093" s="9"/>
      <c r="F1093" s="10"/>
    </row>
    <row r="1094" spans="5:6" x14ac:dyDescent="0.25">
      <c r="E1094" s="9"/>
      <c r="F1094" s="10"/>
    </row>
    <row r="1095" spans="5:6" x14ac:dyDescent="0.25">
      <c r="E1095" s="9"/>
      <c r="F1095" s="10"/>
    </row>
    <row r="1096" spans="5:6" x14ac:dyDescent="0.25">
      <c r="E1096" s="9"/>
      <c r="F1096" s="10"/>
    </row>
    <row r="1097" spans="5:6" x14ac:dyDescent="0.25">
      <c r="E1097" s="9"/>
      <c r="F1097" s="10"/>
    </row>
    <row r="1098" spans="5:6" x14ac:dyDescent="0.25">
      <c r="E1098" s="9"/>
      <c r="F1098" s="10"/>
    </row>
    <row r="1099" spans="5:6" x14ac:dyDescent="0.25">
      <c r="E1099" s="9"/>
      <c r="F1099" s="10"/>
    </row>
    <row r="1100" spans="5:6" x14ac:dyDescent="0.25">
      <c r="E1100" s="9"/>
      <c r="F1100" s="10"/>
    </row>
    <row r="1101" spans="5:6" x14ac:dyDescent="0.25">
      <c r="E1101" s="9"/>
      <c r="F1101" s="10"/>
    </row>
    <row r="1102" spans="5:6" x14ac:dyDescent="0.25">
      <c r="E1102" s="9"/>
      <c r="F1102" s="10"/>
    </row>
    <row r="1103" spans="5:6" x14ac:dyDescent="0.25">
      <c r="E1103" s="9"/>
      <c r="F1103" s="10"/>
    </row>
    <row r="1104" spans="5:6" x14ac:dyDescent="0.25">
      <c r="E1104" s="9"/>
      <c r="F1104" s="10"/>
    </row>
    <row r="1105" spans="5:6" x14ac:dyDescent="0.25">
      <c r="E1105" s="9"/>
      <c r="F1105" s="10"/>
    </row>
    <row r="1106" spans="5:6" x14ac:dyDescent="0.25">
      <c r="E1106" s="9"/>
      <c r="F1106" s="10"/>
    </row>
    <row r="1107" spans="5:6" x14ac:dyDescent="0.25">
      <c r="E1107" s="9"/>
      <c r="F1107" s="10"/>
    </row>
    <row r="1108" spans="5:6" x14ac:dyDescent="0.25">
      <c r="E1108" s="9"/>
      <c r="F1108" s="10"/>
    </row>
    <row r="1109" spans="5:6" x14ac:dyDescent="0.25">
      <c r="E1109" s="9"/>
      <c r="F1109" s="10"/>
    </row>
    <row r="1110" spans="5:6" x14ac:dyDescent="0.25">
      <c r="E1110" s="9"/>
      <c r="F1110" s="10"/>
    </row>
    <row r="1111" spans="5:6" x14ac:dyDescent="0.25">
      <c r="E1111" s="9"/>
      <c r="F1111" s="10"/>
    </row>
    <row r="1112" spans="5:6" x14ac:dyDescent="0.25">
      <c r="E1112" s="9"/>
      <c r="F1112" s="10"/>
    </row>
    <row r="1113" spans="5:6" x14ac:dyDescent="0.25">
      <c r="E1113" s="9"/>
      <c r="F1113" s="10"/>
    </row>
    <row r="1114" spans="5:6" x14ac:dyDescent="0.25">
      <c r="E1114" s="9"/>
      <c r="F1114" s="10"/>
    </row>
    <row r="1115" spans="5:6" x14ac:dyDescent="0.25">
      <c r="E1115" s="9"/>
      <c r="F1115" s="10"/>
    </row>
    <row r="1116" spans="5:6" x14ac:dyDescent="0.25">
      <c r="E1116" s="9"/>
      <c r="F1116" s="10"/>
    </row>
    <row r="1117" spans="5:6" x14ac:dyDescent="0.25">
      <c r="E1117" s="9"/>
      <c r="F1117" s="10"/>
    </row>
    <row r="1118" spans="5:6" x14ac:dyDescent="0.25">
      <c r="E1118" s="9"/>
      <c r="F1118" s="10"/>
    </row>
    <row r="1119" spans="5:6" x14ac:dyDescent="0.25">
      <c r="E1119" s="9"/>
      <c r="F1119" s="10"/>
    </row>
    <row r="1120" spans="5:6" x14ac:dyDescent="0.25">
      <c r="E1120" s="9"/>
      <c r="F1120" s="10"/>
    </row>
    <row r="1121" spans="5:6" x14ac:dyDescent="0.25">
      <c r="E1121" s="9"/>
      <c r="F1121" s="10"/>
    </row>
    <row r="1122" spans="5:6" x14ac:dyDescent="0.25">
      <c r="E1122" s="9"/>
      <c r="F1122" s="10"/>
    </row>
    <row r="1123" spans="5:6" x14ac:dyDescent="0.25">
      <c r="E1123" s="9"/>
      <c r="F1123" s="10"/>
    </row>
    <row r="1124" spans="5:6" x14ac:dyDescent="0.25">
      <c r="E1124" s="9"/>
      <c r="F1124" s="10"/>
    </row>
    <row r="1125" spans="5:6" x14ac:dyDescent="0.25">
      <c r="E1125" s="9"/>
      <c r="F1125" s="10"/>
    </row>
    <row r="1126" spans="5:6" x14ac:dyDescent="0.25">
      <c r="E1126" s="9"/>
      <c r="F1126" s="10"/>
    </row>
    <row r="1127" spans="5:6" x14ac:dyDescent="0.25">
      <c r="E1127" s="9"/>
      <c r="F1127" s="10"/>
    </row>
    <row r="1128" spans="5:6" x14ac:dyDescent="0.25">
      <c r="E1128" s="9"/>
      <c r="F1128" s="10"/>
    </row>
    <row r="1129" spans="5:6" x14ac:dyDescent="0.25">
      <c r="E1129" s="9"/>
      <c r="F1129" s="10"/>
    </row>
    <row r="1130" spans="5:6" x14ac:dyDescent="0.25">
      <c r="E1130" s="9"/>
      <c r="F1130" s="10"/>
    </row>
    <row r="1131" spans="5:6" x14ac:dyDescent="0.25">
      <c r="E1131" s="9"/>
      <c r="F1131" s="10"/>
    </row>
    <row r="1132" spans="5:6" x14ac:dyDescent="0.25">
      <c r="E1132" s="9"/>
      <c r="F1132" s="10"/>
    </row>
    <row r="1133" spans="5:6" x14ac:dyDescent="0.25">
      <c r="E1133" s="9"/>
      <c r="F1133" s="10"/>
    </row>
    <row r="1134" spans="5:6" x14ac:dyDescent="0.25">
      <c r="E1134" s="9"/>
      <c r="F1134" s="10"/>
    </row>
    <row r="1135" spans="5:6" x14ac:dyDescent="0.25">
      <c r="E1135" s="9"/>
      <c r="F1135" s="10"/>
    </row>
    <row r="1136" spans="5:6" x14ac:dyDescent="0.25">
      <c r="E1136" s="9"/>
      <c r="F1136" s="10"/>
    </row>
    <row r="1137" spans="5:6" x14ac:dyDescent="0.25">
      <c r="E1137" s="9"/>
      <c r="F1137" s="10"/>
    </row>
    <row r="1138" spans="5:6" x14ac:dyDescent="0.25">
      <c r="E1138" s="9"/>
      <c r="F1138" s="10"/>
    </row>
    <row r="1139" spans="5:6" x14ac:dyDescent="0.25">
      <c r="E1139" s="9"/>
      <c r="F1139" s="10"/>
    </row>
    <row r="1140" spans="5:6" x14ac:dyDescent="0.25">
      <c r="E1140" s="9"/>
      <c r="F1140" s="10"/>
    </row>
    <row r="1141" spans="5:6" x14ac:dyDescent="0.25">
      <c r="E1141" s="9"/>
      <c r="F1141" s="10"/>
    </row>
    <row r="1142" spans="5:6" x14ac:dyDescent="0.25">
      <c r="E1142" s="9"/>
      <c r="F1142" s="10"/>
    </row>
    <row r="1143" spans="5:6" x14ac:dyDescent="0.25">
      <c r="E1143" s="9"/>
      <c r="F1143" s="10"/>
    </row>
    <row r="1144" spans="5:6" x14ac:dyDescent="0.25">
      <c r="E1144" s="9"/>
      <c r="F1144" s="10"/>
    </row>
    <row r="1145" spans="5:6" x14ac:dyDescent="0.25">
      <c r="E1145" s="9"/>
      <c r="F1145" s="10"/>
    </row>
    <row r="1146" spans="5:6" x14ac:dyDescent="0.25">
      <c r="E1146" s="9"/>
      <c r="F1146" s="10"/>
    </row>
    <row r="1147" spans="5:6" x14ac:dyDescent="0.25">
      <c r="E1147" s="9"/>
      <c r="F1147" s="10"/>
    </row>
    <row r="1148" spans="5:6" x14ac:dyDescent="0.25">
      <c r="E1148" s="9"/>
      <c r="F1148" s="10"/>
    </row>
    <row r="1149" spans="5:6" x14ac:dyDescent="0.25">
      <c r="E1149" s="9"/>
      <c r="F1149" s="10"/>
    </row>
    <row r="1150" spans="5:6" x14ac:dyDescent="0.25">
      <c r="E1150" s="9"/>
      <c r="F1150" s="10"/>
    </row>
    <row r="1151" spans="5:6" x14ac:dyDescent="0.25">
      <c r="E1151" s="9"/>
      <c r="F1151" s="10"/>
    </row>
    <row r="1152" spans="5:6" x14ac:dyDescent="0.25">
      <c r="E1152" s="9"/>
      <c r="F1152" s="10"/>
    </row>
    <row r="1153" spans="5:6" x14ac:dyDescent="0.25">
      <c r="E1153" s="9"/>
      <c r="F1153" s="10"/>
    </row>
    <row r="1154" spans="5:6" x14ac:dyDescent="0.25">
      <c r="E1154" s="9"/>
      <c r="F1154" s="10"/>
    </row>
    <row r="1155" spans="5:6" x14ac:dyDescent="0.25">
      <c r="E1155" s="9"/>
      <c r="F1155" s="10"/>
    </row>
    <row r="1156" spans="5:6" x14ac:dyDescent="0.25">
      <c r="E1156" s="9"/>
      <c r="F1156" s="10"/>
    </row>
    <row r="1157" spans="5:6" x14ac:dyDescent="0.25">
      <c r="E1157" s="9"/>
      <c r="F1157" s="10"/>
    </row>
    <row r="1158" spans="5:6" x14ac:dyDescent="0.25">
      <c r="E1158" s="9"/>
      <c r="F1158" s="10"/>
    </row>
    <row r="1159" spans="5:6" x14ac:dyDescent="0.25">
      <c r="E1159" s="9"/>
      <c r="F1159" s="10"/>
    </row>
    <row r="1160" spans="5:6" x14ac:dyDescent="0.25">
      <c r="E1160" s="9"/>
      <c r="F1160" s="10"/>
    </row>
    <row r="1161" spans="5:6" x14ac:dyDescent="0.25">
      <c r="E1161" s="9"/>
      <c r="F1161" s="10"/>
    </row>
    <row r="1162" spans="5:6" x14ac:dyDescent="0.25">
      <c r="E1162" s="9"/>
      <c r="F1162" s="10"/>
    </row>
    <row r="1163" spans="5:6" x14ac:dyDescent="0.25">
      <c r="E1163" s="9"/>
      <c r="F1163" s="10"/>
    </row>
    <row r="1164" spans="5:6" x14ac:dyDescent="0.25">
      <c r="E1164" s="9"/>
      <c r="F1164" s="10"/>
    </row>
    <row r="1165" spans="5:6" x14ac:dyDescent="0.25">
      <c r="E1165" s="9"/>
      <c r="F1165" s="10"/>
    </row>
    <row r="1166" spans="5:6" x14ac:dyDescent="0.25">
      <c r="E1166" s="9"/>
      <c r="F1166" s="10"/>
    </row>
    <row r="1167" spans="5:6" x14ac:dyDescent="0.25">
      <c r="E1167" s="9"/>
      <c r="F1167" s="10"/>
    </row>
    <row r="1168" spans="5:6" x14ac:dyDescent="0.25">
      <c r="E1168" s="9"/>
      <c r="F1168" s="10"/>
    </row>
    <row r="1169" spans="5:6" x14ac:dyDescent="0.25">
      <c r="E1169" s="9"/>
      <c r="F1169" s="10"/>
    </row>
    <row r="1170" spans="5:6" x14ac:dyDescent="0.25">
      <c r="E1170" s="9"/>
      <c r="F1170" s="10"/>
    </row>
    <row r="1171" spans="5:6" x14ac:dyDescent="0.25">
      <c r="E1171" s="9"/>
      <c r="F1171" s="10"/>
    </row>
    <row r="1172" spans="5:6" x14ac:dyDescent="0.25">
      <c r="E1172" s="9"/>
      <c r="F1172" s="10"/>
    </row>
    <row r="1173" spans="5:6" x14ac:dyDescent="0.25">
      <c r="E1173" s="9"/>
      <c r="F1173" s="10"/>
    </row>
    <row r="1174" spans="5:6" x14ac:dyDescent="0.25">
      <c r="E1174" s="9"/>
      <c r="F1174" s="10"/>
    </row>
    <row r="1175" spans="5:6" x14ac:dyDescent="0.25">
      <c r="E1175" s="9"/>
      <c r="F1175" s="10"/>
    </row>
    <row r="1176" spans="5:6" x14ac:dyDescent="0.25">
      <c r="E1176" s="9"/>
      <c r="F1176" s="10"/>
    </row>
    <row r="1177" spans="5:6" x14ac:dyDescent="0.25">
      <c r="E1177" s="9"/>
      <c r="F1177" s="10"/>
    </row>
    <row r="1178" spans="5:6" x14ac:dyDescent="0.25">
      <c r="E1178" s="9"/>
      <c r="F1178" s="10"/>
    </row>
    <row r="1179" spans="5:6" x14ac:dyDescent="0.25">
      <c r="E1179" s="9"/>
      <c r="F1179" s="10"/>
    </row>
    <row r="1180" spans="5:6" x14ac:dyDescent="0.25">
      <c r="E1180" s="9"/>
      <c r="F1180" s="10"/>
    </row>
    <row r="1181" spans="5:6" x14ac:dyDescent="0.25">
      <c r="E1181" s="9"/>
      <c r="F1181" s="10"/>
    </row>
    <row r="1182" spans="5:6" x14ac:dyDescent="0.25">
      <c r="E1182" s="9"/>
      <c r="F1182" s="10"/>
    </row>
    <row r="1183" spans="5:6" x14ac:dyDescent="0.25">
      <c r="E1183" s="9"/>
      <c r="F1183" s="10"/>
    </row>
    <row r="1184" spans="5:6" x14ac:dyDescent="0.25">
      <c r="E1184" s="9"/>
      <c r="F1184" s="10"/>
    </row>
    <row r="1185" spans="5:6" x14ac:dyDescent="0.25">
      <c r="E1185" s="9"/>
      <c r="F1185" s="10"/>
    </row>
    <row r="1186" spans="5:6" x14ac:dyDescent="0.25">
      <c r="E1186" s="9"/>
      <c r="F1186" s="10"/>
    </row>
    <row r="1187" spans="5:6" x14ac:dyDescent="0.25">
      <c r="E1187" s="9"/>
      <c r="F1187" s="10"/>
    </row>
    <row r="1188" spans="5:6" x14ac:dyDescent="0.25">
      <c r="E1188" s="9"/>
      <c r="F1188" s="10"/>
    </row>
    <row r="1189" spans="5:6" x14ac:dyDescent="0.25">
      <c r="E1189" s="9"/>
      <c r="F1189" s="10"/>
    </row>
    <row r="1190" spans="5:6" x14ac:dyDescent="0.25">
      <c r="E1190" s="9"/>
      <c r="F1190" s="10"/>
    </row>
    <row r="1191" spans="5:6" x14ac:dyDescent="0.25">
      <c r="E1191" s="9"/>
      <c r="F1191" s="10"/>
    </row>
    <row r="1192" spans="5:6" x14ac:dyDescent="0.25">
      <c r="E1192" s="9"/>
      <c r="F1192" s="10"/>
    </row>
    <row r="1193" spans="5:6" x14ac:dyDescent="0.25">
      <c r="E1193" s="9"/>
      <c r="F1193" s="10"/>
    </row>
    <row r="1194" spans="5:6" x14ac:dyDescent="0.25">
      <c r="E1194" s="9"/>
      <c r="F1194" s="10"/>
    </row>
    <row r="1195" spans="5:6" x14ac:dyDescent="0.25">
      <c r="E1195" s="9"/>
      <c r="F1195" s="10"/>
    </row>
    <row r="1196" spans="5:6" x14ac:dyDescent="0.25">
      <c r="E1196" s="9"/>
      <c r="F1196" s="10"/>
    </row>
    <row r="1197" spans="5:6" x14ac:dyDescent="0.25">
      <c r="E1197" s="9"/>
      <c r="F1197" s="10"/>
    </row>
    <row r="1198" spans="5:6" x14ac:dyDescent="0.25">
      <c r="E1198" s="9"/>
      <c r="F1198" s="10"/>
    </row>
    <row r="1199" spans="5:6" x14ac:dyDescent="0.25">
      <c r="E1199" s="9"/>
      <c r="F1199" s="10"/>
    </row>
    <row r="1200" spans="5:6" x14ac:dyDescent="0.25">
      <c r="E1200" s="9"/>
      <c r="F1200" s="10"/>
    </row>
    <row r="1201" spans="5:6" x14ac:dyDescent="0.25">
      <c r="E1201" s="9"/>
      <c r="F1201" s="10"/>
    </row>
    <row r="1202" spans="5:6" x14ac:dyDescent="0.25">
      <c r="E1202" s="9"/>
      <c r="F1202" s="10"/>
    </row>
    <row r="1203" spans="5:6" x14ac:dyDescent="0.25">
      <c r="E1203" s="9"/>
      <c r="F1203" s="10"/>
    </row>
    <row r="1204" spans="5:6" x14ac:dyDescent="0.25">
      <c r="E1204" s="9"/>
      <c r="F1204" s="10"/>
    </row>
    <row r="1205" spans="5:6" x14ac:dyDescent="0.25">
      <c r="E1205" s="9"/>
      <c r="F1205" s="10"/>
    </row>
    <row r="1206" spans="5:6" x14ac:dyDescent="0.25">
      <c r="E1206" s="9"/>
      <c r="F1206" s="10"/>
    </row>
    <row r="1207" spans="5:6" x14ac:dyDescent="0.25">
      <c r="E1207" s="9"/>
      <c r="F1207" s="10"/>
    </row>
    <row r="1208" spans="5:6" x14ac:dyDescent="0.25">
      <c r="E1208" s="9"/>
      <c r="F1208" s="10"/>
    </row>
    <row r="1209" spans="5:6" x14ac:dyDescent="0.25">
      <c r="E1209" s="9"/>
      <c r="F1209" s="10"/>
    </row>
    <row r="1210" spans="5:6" x14ac:dyDescent="0.25">
      <c r="E1210" s="9"/>
      <c r="F1210" s="10"/>
    </row>
    <row r="1211" spans="5:6" x14ac:dyDescent="0.25">
      <c r="E1211" s="9"/>
      <c r="F1211" s="10"/>
    </row>
    <row r="1212" spans="5:6" x14ac:dyDescent="0.25">
      <c r="E1212" s="9"/>
      <c r="F1212" s="10"/>
    </row>
    <row r="1213" spans="5:6" x14ac:dyDescent="0.25">
      <c r="E1213" s="9"/>
      <c r="F1213" s="10"/>
    </row>
    <row r="1214" spans="5:6" x14ac:dyDescent="0.25">
      <c r="E1214" s="9"/>
      <c r="F1214" s="10"/>
    </row>
    <row r="1215" spans="5:6" x14ac:dyDescent="0.25">
      <c r="E1215" s="9"/>
      <c r="F1215" s="10"/>
    </row>
    <row r="1216" spans="5:6" x14ac:dyDescent="0.25">
      <c r="E1216" s="9"/>
      <c r="F1216" s="10"/>
    </row>
    <row r="1217" spans="5:6" x14ac:dyDescent="0.25">
      <c r="E1217" s="9"/>
      <c r="F1217" s="10"/>
    </row>
    <row r="1218" spans="5:6" x14ac:dyDescent="0.25">
      <c r="E1218" s="9"/>
      <c r="F1218" s="10"/>
    </row>
    <row r="1219" spans="5:6" x14ac:dyDescent="0.25">
      <c r="E1219" s="9"/>
      <c r="F1219" s="10"/>
    </row>
    <row r="1220" spans="5:6" x14ac:dyDescent="0.25">
      <c r="E1220" s="9"/>
      <c r="F1220" s="10"/>
    </row>
    <row r="1221" spans="5:6" x14ac:dyDescent="0.25">
      <c r="E1221" s="9"/>
      <c r="F1221" s="10"/>
    </row>
    <row r="1222" spans="5:6" x14ac:dyDescent="0.25">
      <c r="E1222" s="9"/>
      <c r="F1222" s="10"/>
    </row>
    <row r="1223" spans="5:6" x14ac:dyDescent="0.25">
      <c r="E1223" s="9"/>
      <c r="F1223" s="10"/>
    </row>
    <row r="1224" spans="5:6" x14ac:dyDescent="0.25">
      <c r="E1224" s="9"/>
      <c r="F1224" s="10"/>
    </row>
    <row r="1225" spans="5:6" x14ac:dyDescent="0.25">
      <c r="E1225" s="9"/>
      <c r="F1225" s="10"/>
    </row>
    <row r="1226" spans="5:6" x14ac:dyDescent="0.25">
      <c r="E1226" s="9"/>
      <c r="F1226" s="10"/>
    </row>
    <row r="1227" spans="5:6" x14ac:dyDescent="0.25">
      <c r="E1227" s="9"/>
      <c r="F1227" s="10"/>
    </row>
    <row r="1228" spans="5:6" x14ac:dyDescent="0.25">
      <c r="E1228" s="9"/>
      <c r="F1228" s="10"/>
    </row>
    <row r="1229" spans="5:6" x14ac:dyDescent="0.25">
      <c r="E1229" s="9"/>
      <c r="F1229" s="10"/>
    </row>
    <row r="1230" spans="5:6" x14ac:dyDescent="0.25">
      <c r="E1230" s="9"/>
      <c r="F1230" s="10"/>
    </row>
    <row r="1231" spans="5:6" x14ac:dyDescent="0.25">
      <c r="E1231" s="9"/>
      <c r="F1231" s="10"/>
    </row>
    <row r="1232" spans="5:6" x14ac:dyDescent="0.25">
      <c r="E1232" s="9"/>
      <c r="F1232" s="10"/>
    </row>
    <row r="1233" spans="5:6" x14ac:dyDescent="0.25">
      <c r="E1233" s="9"/>
      <c r="F1233" s="10"/>
    </row>
    <row r="1234" spans="5:6" x14ac:dyDescent="0.25">
      <c r="E1234" s="9"/>
      <c r="F1234" s="10"/>
    </row>
    <row r="1235" spans="5:6" x14ac:dyDescent="0.25">
      <c r="E1235" s="9"/>
      <c r="F1235" s="10"/>
    </row>
    <row r="1236" spans="5:6" x14ac:dyDescent="0.25">
      <c r="E1236" s="9"/>
      <c r="F1236" s="10"/>
    </row>
    <row r="1237" spans="5:6" x14ac:dyDescent="0.25">
      <c r="E1237" s="9"/>
      <c r="F1237" s="10"/>
    </row>
    <row r="1238" spans="5:6" x14ac:dyDescent="0.25">
      <c r="E1238" s="9"/>
      <c r="F1238" s="10"/>
    </row>
    <row r="1239" spans="5:6" x14ac:dyDescent="0.25">
      <c r="E1239" s="9"/>
      <c r="F1239" s="10"/>
    </row>
    <row r="1240" spans="5:6" x14ac:dyDescent="0.25">
      <c r="E1240" s="9"/>
      <c r="F1240" s="10"/>
    </row>
    <row r="1241" spans="5:6" x14ac:dyDescent="0.25">
      <c r="E1241" s="9"/>
      <c r="F1241" s="10"/>
    </row>
    <row r="1242" spans="5:6" x14ac:dyDescent="0.25">
      <c r="E1242" s="9"/>
      <c r="F1242" s="10"/>
    </row>
    <row r="1243" spans="5:6" x14ac:dyDescent="0.25">
      <c r="E1243" s="9"/>
      <c r="F1243" s="10"/>
    </row>
    <row r="1244" spans="5:6" x14ac:dyDescent="0.25">
      <c r="E1244" s="9"/>
      <c r="F1244" s="10"/>
    </row>
    <row r="1245" spans="5:6" x14ac:dyDescent="0.25">
      <c r="E1245" s="9"/>
      <c r="F1245" s="10"/>
    </row>
    <row r="1246" spans="5:6" x14ac:dyDescent="0.25">
      <c r="E1246" s="9"/>
      <c r="F1246" s="10"/>
    </row>
    <row r="1247" spans="5:6" x14ac:dyDescent="0.25">
      <c r="E1247" s="9"/>
      <c r="F1247" s="10"/>
    </row>
    <row r="1248" spans="5:6" x14ac:dyDescent="0.25">
      <c r="E1248" s="9"/>
      <c r="F1248" s="10"/>
    </row>
    <row r="1249" spans="5:6" x14ac:dyDescent="0.25">
      <c r="E1249" s="9"/>
      <c r="F1249" s="10"/>
    </row>
    <row r="1250" spans="5:6" x14ac:dyDescent="0.25">
      <c r="E1250" s="9"/>
      <c r="F1250" s="10"/>
    </row>
    <row r="1251" spans="5:6" x14ac:dyDescent="0.25">
      <c r="E1251" s="9"/>
      <c r="F1251" s="10"/>
    </row>
    <row r="1252" spans="5:6" x14ac:dyDescent="0.25">
      <c r="E1252" s="9"/>
      <c r="F1252" s="10"/>
    </row>
    <row r="1253" spans="5:6" x14ac:dyDescent="0.25">
      <c r="E1253" s="9"/>
      <c r="F1253" s="10"/>
    </row>
    <row r="1254" spans="5:6" x14ac:dyDescent="0.25">
      <c r="E1254" s="9"/>
      <c r="F1254" s="10"/>
    </row>
    <row r="1255" spans="5:6" x14ac:dyDescent="0.25">
      <c r="E1255" s="9"/>
      <c r="F1255" s="10"/>
    </row>
    <row r="1256" spans="5:6" x14ac:dyDescent="0.25">
      <c r="E1256" s="9"/>
      <c r="F1256" s="10"/>
    </row>
    <row r="1257" spans="5:6" x14ac:dyDescent="0.25">
      <c r="E1257" s="9"/>
      <c r="F1257" s="10"/>
    </row>
    <row r="1258" spans="5:6" x14ac:dyDescent="0.25">
      <c r="E1258" s="9"/>
      <c r="F1258" s="10"/>
    </row>
    <row r="1259" spans="5:6" x14ac:dyDescent="0.25">
      <c r="E1259" s="9"/>
      <c r="F1259" s="10"/>
    </row>
    <row r="1260" spans="5:6" x14ac:dyDescent="0.25">
      <c r="E1260" s="9"/>
      <c r="F1260" s="10"/>
    </row>
    <row r="1261" spans="5:6" x14ac:dyDescent="0.25">
      <c r="E1261" s="9"/>
      <c r="F1261" s="10"/>
    </row>
    <row r="1262" spans="5:6" x14ac:dyDescent="0.25">
      <c r="E1262" s="9"/>
      <c r="F1262" s="10"/>
    </row>
    <row r="1263" spans="5:6" x14ac:dyDescent="0.25">
      <c r="E1263" s="9"/>
      <c r="F1263" s="10"/>
    </row>
    <row r="1264" spans="5:6" x14ac:dyDescent="0.25">
      <c r="E1264" s="9"/>
      <c r="F1264" s="10"/>
    </row>
    <row r="1265" spans="5:6" x14ac:dyDescent="0.25">
      <c r="E1265" s="9"/>
      <c r="F1265" s="10"/>
    </row>
    <row r="1266" spans="5:6" x14ac:dyDescent="0.25">
      <c r="E1266" s="9"/>
      <c r="F1266" s="10"/>
    </row>
    <row r="1267" spans="5:6" x14ac:dyDescent="0.25">
      <c r="E1267" s="9"/>
      <c r="F1267" s="10"/>
    </row>
    <row r="1268" spans="5:6" x14ac:dyDescent="0.25">
      <c r="E1268" s="9"/>
      <c r="F1268" s="10"/>
    </row>
    <row r="1269" spans="5:6" x14ac:dyDescent="0.25">
      <c r="E1269" s="9"/>
      <c r="F1269" s="10"/>
    </row>
    <row r="1270" spans="5:6" x14ac:dyDescent="0.25">
      <c r="E1270" s="9"/>
      <c r="F1270" s="10"/>
    </row>
    <row r="1271" spans="5:6" x14ac:dyDescent="0.25">
      <c r="E1271" s="9"/>
      <c r="F1271" s="10"/>
    </row>
    <row r="1272" spans="5:6" x14ac:dyDescent="0.25">
      <c r="E1272" s="9"/>
      <c r="F1272" s="10"/>
    </row>
    <row r="1273" spans="5:6" x14ac:dyDescent="0.25">
      <c r="E1273" s="9"/>
      <c r="F1273" s="10"/>
    </row>
    <row r="1274" spans="5:6" x14ac:dyDescent="0.25">
      <c r="E1274" s="9"/>
      <c r="F1274" s="10"/>
    </row>
    <row r="1275" spans="5:6" x14ac:dyDescent="0.25">
      <c r="E1275" s="9"/>
      <c r="F1275" s="10"/>
    </row>
    <row r="1276" spans="5:6" x14ac:dyDescent="0.25">
      <c r="E1276" s="9"/>
      <c r="F1276" s="10"/>
    </row>
    <row r="1277" spans="5:6" x14ac:dyDescent="0.25">
      <c r="E1277" s="9"/>
      <c r="F1277" s="10"/>
    </row>
    <row r="1278" spans="5:6" x14ac:dyDescent="0.25">
      <c r="E1278" s="9"/>
      <c r="F1278" s="10"/>
    </row>
    <row r="1279" spans="5:6" x14ac:dyDescent="0.25">
      <c r="E1279" s="9"/>
      <c r="F1279" s="10"/>
    </row>
    <row r="1280" spans="5:6" x14ac:dyDescent="0.25">
      <c r="E1280" s="9"/>
      <c r="F1280" s="10"/>
    </row>
    <row r="1281" spans="5:6" x14ac:dyDescent="0.25">
      <c r="E1281" s="9"/>
      <c r="F1281" s="10"/>
    </row>
    <row r="1282" spans="5:6" x14ac:dyDescent="0.25">
      <c r="E1282" s="9"/>
      <c r="F1282" s="10"/>
    </row>
    <row r="1283" spans="5:6" x14ac:dyDescent="0.25">
      <c r="E1283" s="9"/>
      <c r="F1283" s="10"/>
    </row>
    <row r="1284" spans="5:6" x14ac:dyDescent="0.25">
      <c r="E1284" s="9"/>
      <c r="F1284" s="10"/>
    </row>
    <row r="1285" spans="5:6" x14ac:dyDescent="0.25">
      <c r="E1285" s="9"/>
      <c r="F1285" s="10"/>
    </row>
    <row r="1286" spans="5:6" x14ac:dyDescent="0.25">
      <c r="E1286" s="9"/>
      <c r="F1286" s="10"/>
    </row>
    <row r="1287" spans="5:6" x14ac:dyDescent="0.25">
      <c r="E1287" s="9"/>
      <c r="F1287" s="10"/>
    </row>
    <row r="1288" spans="5:6" x14ac:dyDescent="0.25">
      <c r="E1288" s="9"/>
      <c r="F1288" s="10"/>
    </row>
    <row r="1289" spans="5:6" x14ac:dyDescent="0.25">
      <c r="E1289" s="9"/>
      <c r="F1289" s="10"/>
    </row>
    <row r="1290" spans="5:6" x14ac:dyDescent="0.25">
      <c r="E1290" s="9"/>
      <c r="F1290" s="10"/>
    </row>
    <row r="1291" spans="5:6" x14ac:dyDescent="0.25">
      <c r="E1291" s="9"/>
      <c r="F1291" s="10"/>
    </row>
    <row r="1292" spans="5:6" x14ac:dyDescent="0.25">
      <c r="E1292" s="9"/>
      <c r="F1292" s="10"/>
    </row>
    <row r="1293" spans="5:6" x14ac:dyDescent="0.25">
      <c r="E1293" s="9"/>
      <c r="F1293" s="10"/>
    </row>
    <row r="1294" spans="5:6" x14ac:dyDescent="0.25">
      <c r="E1294" s="9"/>
      <c r="F1294" s="10"/>
    </row>
    <row r="1295" spans="5:6" x14ac:dyDescent="0.25">
      <c r="E1295" s="9"/>
      <c r="F1295" s="10"/>
    </row>
    <row r="1296" spans="5:6" x14ac:dyDescent="0.25">
      <c r="E1296" s="9"/>
      <c r="F1296" s="10"/>
    </row>
    <row r="1297" spans="5:6" x14ac:dyDescent="0.25">
      <c r="E1297" s="9"/>
      <c r="F1297" s="10"/>
    </row>
    <row r="1298" spans="5:6" x14ac:dyDescent="0.25">
      <c r="E1298" s="9"/>
      <c r="F1298" s="10"/>
    </row>
    <row r="1299" spans="5:6" x14ac:dyDescent="0.25">
      <c r="E1299" s="9"/>
      <c r="F1299" s="10"/>
    </row>
    <row r="1300" spans="5:6" x14ac:dyDescent="0.25">
      <c r="E1300" s="9"/>
      <c r="F1300" s="10"/>
    </row>
    <row r="1301" spans="5:6" x14ac:dyDescent="0.25">
      <c r="E1301" s="9"/>
      <c r="F1301" s="10"/>
    </row>
    <row r="1302" spans="5:6" x14ac:dyDescent="0.25">
      <c r="E1302" s="9"/>
      <c r="F1302" s="10"/>
    </row>
    <row r="1303" spans="5:6" x14ac:dyDescent="0.25">
      <c r="E1303" s="9"/>
      <c r="F1303" s="10"/>
    </row>
    <row r="1304" spans="5:6" x14ac:dyDescent="0.25">
      <c r="E1304" s="9"/>
      <c r="F1304" s="10"/>
    </row>
    <row r="1305" spans="5:6" x14ac:dyDescent="0.25">
      <c r="E1305" s="9"/>
      <c r="F1305" s="10"/>
    </row>
    <row r="1306" spans="5:6" x14ac:dyDescent="0.25">
      <c r="E1306" s="9"/>
      <c r="F1306" s="10"/>
    </row>
    <row r="1307" spans="5:6" x14ac:dyDescent="0.25">
      <c r="E1307" s="9"/>
      <c r="F1307" s="10"/>
    </row>
    <row r="1308" spans="5:6" x14ac:dyDescent="0.25">
      <c r="E1308" s="9"/>
      <c r="F1308" s="10"/>
    </row>
    <row r="1309" spans="5:6" x14ac:dyDescent="0.25">
      <c r="E1309" s="9"/>
      <c r="F1309" s="10"/>
    </row>
    <row r="1310" spans="5:6" x14ac:dyDescent="0.25">
      <c r="E1310" s="9"/>
      <c r="F1310" s="10"/>
    </row>
    <row r="1311" spans="5:6" x14ac:dyDescent="0.25">
      <c r="E1311" s="9"/>
      <c r="F1311" s="10"/>
    </row>
    <row r="1312" spans="5:6" x14ac:dyDescent="0.25">
      <c r="E1312" s="9"/>
      <c r="F1312" s="10"/>
    </row>
    <row r="1313" spans="5:6" x14ac:dyDescent="0.25">
      <c r="E1313" s="9"/>
      <c r="F1313" s="10"/>
    </row>
    <row r="1314" spans="5:6" x14ac:dyDescent="0.25">
      <c r="E1314" s="9"/>
      <c r="F1314" s="10"/>
    </row>
    <row r="1315" spans="5:6" x14ac:dyDescent="0.25">
      <c r="E1315" s="9"/>
      <c r="F1315" s="10"/>
    </row>
    <row r="1316" spans="5:6" x14ac:dyDescent="0.25">
      <c r="E1316" s="9"/>
      <c r="F1316" s="10"/>
    </row>
    <row r="1317" spans="5:6" x14ac:dyDescent="0.25">
      <c r="E1317" s="9"/>
      <c r="F1317" s="10"/>
    </row>
    <row r="1318" spans="5:6" x14ac:dyDescent="0.25">
      <c r="E1318" s="9"/>
      <c r="F1318" s="10"/>
    </row>
    <row r="1319" spans="5:6" x14ac:dyDescent="0.25">
      <c r="E1319" s="9"/>
      <c r="F1319" s="10"/>
    </row>
    <row r="1320" spans="5:6" x14ac:dyDescent="0.25">
      <c r="E1320" s="9"/>
      <c r="F1320" s="10"/>
    </row>
    <row r="1321" spans="5:6" x14ac:dyDescent="0.25">
      <c r="E1321" s="9"/>
      <c r="F1321" s="10"/>
    </row>
    <row r="1322" spans="5:6" x14ac:dyDescent="0.25">
      <c r="E1322" s="9"/>
      <c r="F1322" s="10"/>
    </row>
    <row r="1323" spans="5:6" x14ac:dyDescent="0.25">
      <c r="E1323" s="9"/>
      <c r="F1323" s="10"/>
    </row>
    <row r="1324" spans="5:6" x14ac:dyDescent="0.25">
      <c r="E1324" s="9"/>
      <c r="F1324" s="10"/>
    </row>
    <row r="1325" spans="5:6" x14ac:dyDescent="0.25">
      <c r="E1325" s="9"/>
      <c r="F1325" s="10"/>
    </row>
    <row r="1326" spans="5:6" x14ac:dyDescent="0.25">
      <c r="E1326" s="9"/>
      <c r="F1326" s="10"/>
    </row>
    <row r="1327" spans="5:6" x14ac:dyDescent="0.25">
      <c r="E1327" s="9"/>
      <c r="F1327" s="10"/>
    </row>
    <row r="1328" spans="5:6" x14ac:dyDescent="0.25">
      <c r="E1328" s="9"/>
      <c r="F1328" s="10"/>
    </row>
    <row r="1329" spans="5:6" x14ac:dyDescent="0.25">
      <c r="E1329" s="9"/>
      <c r="F1329" s="10"/>
    </row>
    <row r="1330" spans="5:6" x14ac:dyDescent="0.25">
      <c r="E1330" s="9"/>
      <c r="F1330" s="10"/>
    </row>
    <row r="1331" spans="5:6" x14ac:dyDescent="0.25">
      <c r="E1331" s="9"/>
      <c r="F1331" s="10"/>
    </row>
    <row r="1332" spans="5:6" x14ac:dyDescent="0.25">
      <c r="E1332" s="9"/>
      <c r="F1332" s="10"/>
    </row>
    <row r="1333" spans="5:6" x14ac:dyDescent="0.25">
      <c r="E1333" s="9"/>
      <c r="F1333" s="10"/>
    </row>
    <row r="1334" spans="5:6" x14ac:dyDescent="0.25">
      <c r="E1334" s="9"/>
      <c r="F1334" s="10"/>
    </row>
    <row r="1335" spans="5:6" x14ac:dyDescent="0.25">
      <c r="E1335" s="9"/>
      <c r="F1335" s="10"/>
    </row>
    <row r="1336" spans="5:6" x14ac:dyDescent="0.25">
      <c r="E1336" s="9"/>
      <c r="F1336" s="10"/>
    </row>
    <row r="1337" spans="5:6" x14ac:dyDescent="0.25">
      <c r="E1337" s="9"/>
      <c r="F1337" s="10"/>
    </row>
    <row r="1338" spans="5:6" x14ac:dyDescent="0.25">
      <c r="E1338" s="9"/>
      <c r="F1338" s="10"/>
    </row>
    <row r="1339" spans="5:6" x14ac:dyDescent="0.25">
      <c r="E1339" s="9"/>
      <c r="F1339" s="10"/>
    </row>
    <row r="1340" spans="5:6" x14ac:dyDescent="0.25">
      <c r="E1340" s="9"/>
      <c r="F1340" s="10"/>
    </row>
    <row r="1341" spans="5:6" x14ac:dyDescent="0.25">
      <c r="E1341" s="9"/>
      <c r="F1341" s="10"/>
    </row>
    <row r="1342" spans="5:6" x14ac:dyDescent="0.25">
      <c r="E1342" s="9"/>
      <c r="F1342" s="10"/>
    </row>
    <row r="1343" spans="5:6" x14ac:dyDescent="0.25">
      <c r="E1343" s="9"/>
      <c r="F1343" s="10"/>
    </row>
    <row r="1344" spans="5:6" x14ac:dyDescent="0.25">
      <c r="E1344" s="9"/>
      <c r="F1344" s="10"/>
    </row>
    <row r="1345" spans="5:6" x14ac:dyDescent="0.25">
      <c r="E1345" s="9"/>
      <c r="F1345" s="10"/>
    </row>
    <row r="1346" spans="5:6" x14ac:dyDescent="0.25">
      <c r="E1346" s="9"/>
      <c r="F1346" s="10"/>
    </row>
    <row r="1347" spans="5:6" x14ac:dyDescent="0.25">
      <c r="E1347" s="9"/>
      <c r="F1347" s="10"/>
    </row>
    <row r="1348" spans="5:6" x14ac:dyDescent="0.25">
      <c r="E1348" s="9"/>
      <c r="F1348" s="10"/>
    </row>
    <row r="1349" spans="5:6" x14ac:dyDescent="0.25">
      <c r="E1349" s="9"/>
      <c r="F1349" s="10"/>
    </row>
    <row r="1350" spans="5:6" x14ac:dyDescent="0.25">
      <c r="E1350" s="9"/>
      <c r="F1350" s="10"/>
    </row>
    <row r="1351" spans="5:6" x14ac:dyDescent="0.25">
      <c r="E1351" s="9"/>
      <c r="F1351" s="10"/>
    </row>
    <row r="1352" spans="5:6" x14ac:dyDescent="0.25">
      <c r="E1352" s="9"/>
      <c r="F1352" s="10"/>
    </row>
    <row r="1353" spans="5:6" x14ac:dyDescent="0.25">
      <c r="E1353" s="9"/>
      <c r="F1353" s="10"/>
    </row>
    <row r="1354" spans="5:6" x14ac:dyDescent="0.25">
      <c r="E1354" s="9"/>
      <c r="F1354" s="10"/>
    </row>
    <row r="1355" spans="5:6" x14ac:dyDescent="0.25">
      <c r="E1355" s="9"/>
      <c r="F1355" s="10"/>
    </row>
    <row r="1356" spans="5:6" x14ac:dyDescent="0.25">
      <c r="E1356" s="9"/>
      <c r="F1356" s="10"/>
    </row>
    <row r="1357" spans="5:6" x14ac:dyDescent="0.25">
      <c r="E1357" s="9"/>
      <c r="F1357" s="10"/>
    </row>
    <row r="1358" spans="5:6" x14ac:dyDescent="0.25">
      <c r="E1358" s="9"/>
      <c r="F1358" s="10"/>
    </row>
    <row r="1359" spans="5:6" x14ac:dyDescent="0.25">
      <c r="E1359" s="9"/>
      <c r="F1359" s="10"/>
    </row>
    <row r="1360" spans="5:6" x14ac:dyDescent="0.25">
      <c r="E1360" s="9"/>
      <c r="F1360" s="10"/>
    </row>
    <row r="1361" spans="5:6" x14ac:dyDescent="0.25">
      <c r="E1361" s="9"/>
      <c r="F1361" s="10"/>
    </row>
    <row r="1362" spans="5:6" x14ac:dyDescent="0.25">
      <c r="E1362" s="9"/>
      <c r="F1362" s="10"/>
    </row>
    <row r="1363" spans="5:6" x14ac:dyDescent="0.25">
      <c r="E1363" s="9"/>
      <c r="F1363" s="10"/>
    </row>
    <row r="1364" spans="5:6" x14ac:dyDescent="0.25">
      <c r="E1364" s="9"/>
      <c r="F1364" s="10"/>
    </row>
    <row r="1365" spans="5:6" x14ac:dyDescent="0.25">
      <c r="E1365" s="9"/>
      <c r="F1365" s="10"/>
    </row>
    <row r="1366" spans="5:6" x14ac:dyDescent="0.25">
      <c r="E1366" s="9"/>
      <c r="F1366" s="10"/>
    </row>
    <row r="1367" spans="5:6" x14ac:dyDescent="0.25">
      <c r="E1367" s="9"/>
      <c r="F1367" s="10"/>
    </row>
    <row r="1368" spans="5:6" x14ac:dyDescent="0.25">
      <c r="E1368" s="9"/>
      <c r="F1368" s="10"/>
    </row>
    <row r="1369" spans="5:6" x14ac:dyDescent="0.25">
      <c r="E1369" s="9"/>
      <c r="F1369" s="10"/>
    </row>
    <row r="1370" spans="5:6" x14ac:dyDescent="0.25">
      <c r="E1370" s="9"/>
      <c r="F1370" s="10"/>
    </row>
    <row r="1371" spans="5:6" x14ac:dyDescent="0.25">
      <c r="E1371" s="9"/>
      <c r="F1371" s="10"/>
    </row>
    <row r="1372" spans="5:6" x14ac:dyDescent="0.25">
      <c r="E1372" s="9"/>
      <c r="F1372" s="10"/>
    </row>
    <row r="1373" spans="5:6" x14ac:dyDescent="0.25">
      <c r="E1373" s="9"/>
      <c r="F1373" s="10"/>
    </row>
    <row r="1374" spans="5:6" x14ac:dyDescent="0.25">
      <c r="E1374" s="9"/>
      <c r="F1374" s="10"/>
    </row>
    <row r="1375" spans="5:6" x14ac:dyDescent="0.25">
      <c r="E1375" s="9"/>
      <c r="F1375" s="10"/>
    </row>
    <row r="1376" spans="5:6" x14ac:dyDescent="0.25">
      <c r="E1376" s="9"/>
      <c r="F1376" s="10"/>
    </row>
    <row r="1377" spans="5:6" x14ac:dyDescent="0.25">
      <c r="E1377" s="9"/>
      <c r="F1377" s="10"/>
    </row>
    <row r="1378" spans="5:6" x14ac:dyDescent="0.25">
      <c r="E1378" s="9"/>
      <c r="F1378" s="10"/>
    </row>
    <row r="1379" spans="5:6" x14ac:dyDescent="0.25">
      <c r="E1379" s="9"/>
      <c r="F1379" s="10"/>
    </row>
    <row r="1380" spans="5:6" x14ac:dyDescent="0.25">
      <c r="E1380" s="9"/>
      <c r="F1380" s="10"/>
    </row>
    <row r="1381" spans="5:6" x14ac:dyDescent="0.25">
      <c r="E1381" s="9"/>
      <c r="F1381" s="10"/>
    </row>
    <row r="1382" spans="5:6" x14ac:dyDescent="0.25">
      <c r="E1382" s="9"/>
      <c r="F1382" s="10"/>
    </row>
    <row r="1383" spans="5:6" x14ac:dyDescent="0.25">
      <c r="E1383" s="9"/>
      <c r="F1383" s="10"/>
    </row>
    <row r="1384" spans="5:6" x14ac:dyDescent="0.25">
      <c r="E1384" s="9"/>
      <c r="F1384" s="10"/>
    </row>
    <row r="1385" spans="5:6" x14ac:dyDescent="0.25">
      <c r="E1385" s="9"/>
      <c r="F1385" s="10"/>
    </row>
    <row r="1386" spans="5:6" x14ac:dyDescent="0.25">
      <c r="E1386" s="9"/>
      <c r="F1386" s="10"/>
    </row>
    <row r="1387" spans="5:6" x14ac:dyDescent="0.25">
      <c r="E1387" s="9"/>
      <c r="F1387" s="10"/>
    </row>
    <row r="1388" spans="5:6" x14ac:dyDescent="0.25">
      <c r="E1388" s="9"/>
      <c r="F1388" s="10"/>
    </row>
    <row r="1389" spans="5:6" x14ac:dyDescent="0.25">
      <c r="E1389" s="9"/>
      <c r="F1389" s="10"/>
    </row>
    <row r="1390" spans="5:6" x14ac:dyDescent="0.25">
      <c r="E1390" s="9"/>
      <c r="F1390" s="10"/>
    </row>
    <row r="1391" spans="5:6" x14ac:dyDescent="0.25">
      <c r="E1391" s="9"/>
      <c r="F1391" s="10"/>
    </row>
    <row r="1392" spans="5:6" x14ac:dyDescent="0.25">
      <c r="E1392" s="9"/>
      <c r="F1392" s="10"/>
    </row>
    <row r="1393" spans="5:6" x14ac:dyDescent="0.25">
      <c r="E1393" s="9"/>
      <c r="F1393" s="10"/>
    </row>
    <row r="1394" spans="5:6" x14ac:dyDescent="0.25">
      <c r="E1394" s="9"/>
      <c r="F1394" s="10"/>
    </row>
    <row r="1395" spans="5:6" x14ac:dyDescent="0.25">
      <c r="E1395" s="9"/>
      <c r="F1395" s="10"/>
    </row>
    <row r="1396" spans="5:6" x14ac:dyDescent="0.25">
      <c r="E1396" s="9"/>
      <c r="F1396" s="10"/>
    </row>
    <row r="1397" spans="5:6" x14ac:dyDescent="0.25">
      <c r="E1397" s="9"/>
      <c r="F1397" s="10"/>
    </row>
    <row r="1398" spans="5:6" x14ac:dyDescent="0.25">
      <c r="E1398" s="9"/>
      <c r="F1398" s="10"/>
    </row>
    <row r="1399" spans="5:6" x14ac:dyDescent="0.25">
      <c r="E1399" s="9"/>
      <c r="F1399" s="10"/>
    </row>
    <row r="1400" spans="5:6" x14ac:dyDescent="0.25">
      <c r="E1400" s="9"/>
      <c r="F1400" s="10"/>
    </row>
    <row r="1401" spans="5:6" x14ac:dyDescent="0.25">
      <c r="E1401" s="9"/>
      <c r="F1401" s="10"/>
    </row>
    <row r="1402" spans="5:6" x14ac:dyDescent="0.25">
      <c r="E1402" s="9"/>
      <c r="F1402" s="10"/>
    </row>
    <row r="1403" spans="5:6" x14ac:dyDescent="0.25">
      <c r="E1403" s="9"/>
      <c r="F1403" s="10"/>
    </row>
    <row r="1404" spans="5:6" x14ac:dyDescent="0.25">
      <c r="E1404" s="9"/>
      <c r="F1404" s="10"/>
    </row>
    <row r="1405" spans="5:6" x14ac:dyDescent="0.25">
      <c r="E1405" s="9"/>
      <c r="F1405" s="10"/>
    </row>
    <row r="1406" spans="5:6" x14ac:dyDescent="0.25">
      <c r="E1406" s="9"/>
      <c r="F1406" s="10"/>
    </row>
    <row r="1407" spans="5:6" x14ac:dyDescent="0.25">
      <c r="E1407" s="9"/>
      <c r="F1407" s="10"/>
    </row>
    <row r="1408" spans="5:6" x14ac:dyDescent="0.25">
      <c r="E1408" s="9"/>
      <c r="F1408" s="10"/>
    </row>
    <row r="1409" spans="5:6" x14ac:dyDescent="0.25">
      <c r="E1409" s="9"/>
      <c r="F1409" s="10"/>
    </row>
    <row r="1410" spans="5:6" x14ac:dyDescent="0.25">
      <c r="E1410" s="9"/>
      <c r="F1410" s="10"/>
    </row>
    <row r="1411" spans="5:6" x14ac:dyDescent="0.25">
      <c r="E1411" s="9"/>
      <c r="F1411" s="10"/>
    </row>
    <row r="1412" spans="5:6" x14ac:dyDescent="0.25">
      <c r="E1412" s="9"/>
      <c r="F1412" s="10"/>
    </row>
    <row r="1413" spans="5:6" x14ac:dyDescent="0.25">
      <c r="E1413" s="9"/>
      <c r="F1413" s="10"/>
    </row>
    <row r="1414" spans="5:6" x14ac:dyDescent="0.25">
      <c r="E1414" s="9"/>
      <c r="F1414" s="10"/>
    </row>
    <row r="1415" spans="5:6" x14ac:dyDescent="0.25">
      <c r="E1415" s="9"/>
      <c r="F1415" s="10"/>
    </row>
    <row r="1416" spans="5:6" x14ac:dyDescent="0.25">
      <c r="E1416" s="9"/>
      <c r="F1416" s="10"/>
    </row>
    <row r="1417" spans="5:6" x14ac:dyDescent="0.25">
      <c r="E1417" s="9"/>
      <c r="F1417" s="10"/>
    </row>
    <row r="1418" spans="5:6" x14ac:dyDescent="0.25">
      <c r="E1418" s="9"/>
      <c r="F1418" s="10"/>
    </row>
    <row r="1419" spans="5:6" x14ac:dyDescent="0.25">
      <c r="E1419" s="9"/>
      <c r="F1419" s="10"/>
    </row>
    <row r="1420" spans="5:6" x14ac:dyDescent="0.25">
      <c r="E1420" s="9"/>
      <c r="F1420" s="10"/>
    </row>
    <row r="1421" spans="5:6" x14ac:dyDescent="0.25">
      <c r="E1421" s="9"/>
      <c r="F1421" s="10"/>
    </row>
    <row r="1422" spans="5:6" x14ac:dyDescent="0.25">
      <c r="E1422" s="9"/>
      <c r="F1422" s="10"/>
    </row>
    <row r="1423" spans="5:6" x14ac:dyDescent="0.25">
      <c r="E1423" s="9"/>
      <c r="F1423" s="10"/>
    </row>
    <row r="1424" spans="5:6" x14ac:dyDescent="0.25">
      <c r="E1424" s="9"/>
      <c r="F1424" s="10"/>
    </row>
    <row r="1425" spans="5:6" x14ac:dyDescent="0.25">
      <c r="E1425" s="9"/>
      <c r="F1425" s="10"/>
    </row>
    <row r="1426" spans="5:6" x14ac:dyDescent="0.25">
      <c r="E1426" s="9"/>
      <c r="F1426" s="10"/>
    </row>
    <row r="1427" spans="5:6" x14ac:dyDescent="0.25">
      <c r="E1427" s="9"/>
      <c r="F1427" s="10"/>
    </row>
    <row r="1428" spans="5:6" x14ac:dyDescent="0.25">
      <c r="E1428" s="9"/>
      <c r="F1428" s="10"/>
    </row>
    <row r="1429" spans="5:6" x14ac:dyDescent="0.25">
      <c r="E1429" s="9"/>
      <c r="F1429" s="10"/>
    </row>
    <row r="1430" spans="5:6" x14ac:dyDescent="0.25">
      <c r="E1430" s="9"/>
      <c r="F1430" s="10"/>
    </row>
    <row r="1431" spans="5:6" x14ac:dyDescent="0.25">
      <c r="E1431" s="9"/>
      <c r="F1431" s="10"/>
    </row>
    <row r="1432" spans="5:6" x14ac:dyDescent="0.25">
      <c r="E1432" s="9"/>
      <c r="F1432" s="10"/>
    </row>
    <row r="1433" spans="5:6" x14ac:dyDescent="0.25">
      <c r="E1433" s="9"/>
      <c r="F1433" s="10"/>
    </row>
    <row r="1434" spans="5:6" x14ac:dyDescent="0.25">
      <c r="E1434" s="9"/>
      <c r="F1434" s="10"/>
    </row>
    <row r="1435" spans="5:6" x14ac:dyDescent="0.25">
      <c r="E1435" s="9"/>
      <c r="F1435" s="10"/>
    </row>
    <row r="1436" spans="5:6" x14ac:dyDescent="0.25">
      <c r="E1436" s="9"/>
      <c r="F1436" s="10"/>
    </row>
    <row r="1437" spans="5:6" x14ac:dyDescent="0.25">
      <c r="E1437" s="9"/>
      <c r="F1437" s="10"/>
    </row>
    <row r="1438" spans="5:6" x14ac:dyDescent="0.25">
      <c r="E1438" s="9"/>
      <c r="F1438" s="10"/>
    </row>
    <row r="1439" spans="5:6" x14ac:dyDescent="0.25">
      <c r="E1439" s="9"/>
      <c r="F1439" s="10"/>
    </row>
    <row r="1440" spans="5:6" x14ac:dyDescent="0.25">
      <c r="E1440" s="9"/>
      <c r="F1440" s="10"/>
    </row>
    <row r="1441" spans="5:6" x14ac:dyDescent="0.25">
      <c r="E1441" s="9"/>
      <c r="F1441" s="10"/>
    </row>
    <row r="1442" spans="5:6" x14ac:dyDescent="0.25">
      <c r="E1442" s="9"/>
      <c r="F1442" s="10"/>
    </row>
    <row r="1443" spans="5:6" x14ac:dyDescent="0.25">
      <c r="E1443" s="9"/>
      <c r="F1443" s="10"/>
    </row>
    <row r="1444" spans="5:6" x14ac:dyDescent="0.25">
      <c r="E1444" s="9"/>
      <c r="F1444" s="10"/>
    </row>
    <row r="1445" spans="5:6" x14ac:dyDescent="0.25">
      <c r="E1445" s="9"/>
      <c r="F1445" s="10"/>
    </row>
    <row r="1446" spans="5:6" x14ac:dyDescent="0.25">
      <c r="E1446" s="9"/>
      <c r="F1446" s="10"/>
    </row>
    <row r="1447" spans="5:6" x14ac:dyDescent="0.25">
      <c r="E1447" s="9"/>
      <c r="F1447" s="10"/>
    </row>
    <row r="1448" spans="5:6" x14ac:dyDescent="0.25">
      <c r="E1448" s="9"/>
      <c r="F1448" s="10"/>
    </row>
    <row r="1449" spans="5:6" x14ac:dyDescent="0.25">
      <c r="E1449" s="9"/>
      <c r="F1449" s="10"/>
    </row>
    <row r="1450" spans="5:6" x14ac:dyDescent="0.25">
      <c r="E1450" s="9"/>
      <c r="F1450" s="10"/>
    </row>
    <row r="1451" spans="5:6" x14ac:dyDescent="0.25">
      <c r="E1451" s="9"/>
      <c r="F1451" s="10"/>
    </row>
    <row r="1452" spans="5:6" x14ac:dyDescent="0.25">
      <c r="E1452" s="9"/>
      <c r="F1452" s="10"/>
    </row>
    <row r="1453" spans="5:6" x14ac:dyDescent="0.25">
      <c r="E1453" s="9"/>
      <c r="F1453" s="10"/>
    </row>
    <row r="1454" spans="5:6" x14ac:dyDescent="0.25">
      <c r="E1454" s="9"/>
      <c r="F1454" s="10"/>
    </row>
    <row r="1455" spans="5:6" x14ac:dyDescent="0.25">
      <c r="E1455" s="9"/>
      <c r="F1455" s="10"/>
    </row>
    <row r="1456" spans="5:6" x14ac:dyDescent="0.25">
      <c r="E1456" s="9"/>
      <c r="F1456" s="10"/>
    </row>
    <row r="1457" spans="5:6" x14ac:dyDescent="0.25">
      <c r="E1457" s="9"/>
      <c r="F1457" s="10"/>
    </row>
    <row r="1458" spans="5:6" x14ac:dyDescent="0.25">
      <c r="E1458" s="9"/>
      <c r="F1458" s="10"/>
    </row>
    <row r="1459" spans="5:6" x14ac:dyDescent="0.25">
      <c r="E1459" s="9"/>
      <c r="F1459" s="10"/>
    </row>
    <row r="1460" spans="5:6" x14ac:dyDescent="0.25">
      <c r="E1460" s="9"/>
      <c r="F1460" s="10"/>
    </row>
    <row r="1461" spans="5:6" x14ac:dyDescent="0.25">
      <c r="E1461" s="9"/>
      <c r="F1461" s="10"/>
    </row>
    <row r="1462" spans="5:6" x14ac:dyDescent="0.25">
      <c r="E1462" s="9"/>
      <c r="F1462" s="10"/>
    </row>
    <row r="1463" spans="5:6" x14ac:dyDescent="0.25">
      <c r="E1463" s="9"/>
      <c r="F1463" s="10"/>
    </row>
    <row r="1464" spans="5:6" x14ac:dyDescent="0.25">
      <c r="E1464" s="9"/>
      <c r="F1464" s="10"/>
    </row>
    <row r="1465" spans="5:6" x14ac:dyDescent="0.25">
      <c r="E1465" s="9"/>
      <c r="F1465" s="10"/>
    </row>
    <row r="1466" spans="5:6" x14ac:dyDescent="0.25">
      <c r="E1466" s="9"/>
      <c r="F1466" s="10"/>
    </row>
    <row r="1467" spans="5:6" x14ac:dyDescent="0.25">
      <c r="E1467" s="9"/>
      <c r="F1467" s="10"/>
    </row>
    <row r="1468" spans="5:6" x14ac:dyDescent="0.25">
      <c r="E1468" s="9"/>
      <c r="F1468" s="10"/>
    </row>
    <row r="1469" spans="5:6" x14ac:dyDescent="0.25">
      <c r="E1469" s="9"/>
      <c r="F1469" s="10"/>
    </row>
    <row r="1470" spans="5:6" x14ac:dyDescent="0.25">
      <c r="E1470" s="9"/>
      <c r="F1470" s="10"/>
    </row>
    <row r="1471" spans="5:6" x14ac:dyDescent="0.25">
      <c r="E1471" s="9"/>
      <c r="F1471" s="10"/>
    </row>
    <row r="1472" spans="5:6" x14ac:dyDescent="0.25">
      <c r="E1472" s="9"/>
      <c r="F1472" s="10"/>
    </row>
    <row r="1473" spans="5:6" x14ac:dyDescent="0.25">
      <c r="E1473" s="9"/>
      <c r="F1473" s="10"/>
    </row>
    <row r="1474" spans="5:6" x14ac:dyDescent="0.25">
      <c r="E1474" s="9"/>
      <c r="F1474" s="10"/>
    </row>
    <row r="1475" spans="5:6" x14ac:dyDescent="0.25">
      <c r="E1475" s="9"/>
      <c r="F1475" s="10"/>
    </row>
    <row r="1476" spans="5:6" x14ac:dyDescent="0.25">
      <c r="E1476" s="9"/>
      <c r="F1476" s="10"/>
    </row>
    <row r="1477" spans="5:6" x14ac:dyDescent="0.25">
      <c r="E1477" s="9"/>
      <c r="F1477" s="10"/>
    </row>
    <row r="1478" spans="5:6" x14ac:dyDescent="0.25">
      <c r="E1478" s="9"/>
      <c r="F1478" s="10"/>
    </row>
    <row r="1479" spans="5:6" x14ac:dyDescent="0.25">
      <c r="E1479" s="9"/>
      <c r="F1479" s="10"/>
    </row>
    <row r="1480" spans="5:6" x14ac:dyDescent="0.25">
      <c r="E1480" s="9"/>
      <c r="F1480" s="10"/>
    </row>
    <row r="1481" spans="5:6" x14ac:dyDescent="0.25">
      <c r="E1481" s="9"/>
      <c r="F1481" s="10"/>
    </row>
    <row r="1482" spans="5:6" x14ac:dyDescent="0.25">
      <c r="E1482" s="9"/>
      <c r="F1482" s="10"/>
    </row>
    <row r="1483" spans="5:6" x14ac:dyDescent="0.25">
      <c r="E1483" s="9"/>
      <c r="F1483" s="10"/>
    </row>
    <row r="1484" spans="5:6" x14ac:dyDescent="0.25">
      <c r="E1484" s="9"/>
      <c r="F1484" s="10"/>
    </row>
    <row r="1485" spans="5:6" x14ac:dyDescent="0.25">
      <c r="E1485" s="9"/>
      <c r="F1485" s="10"/>
    </row>
    <row r="1486" spans="5:6" x14ac:dyDescent="0.25">
      <c r="E1486" s="9"/>
      <c r="F1486" s="10"/>
    </row>
    <row r="1487" spans="5:6" x14ac:dyDescent="0.25">
      <c r="E1487" s="9"/>
      <c r="F1487" s="10"/>
    </row>
    <row r="1488" spans="5:6" x14ac:dyDescent="0.25">
      <c r="E1488" s="9"/>
      <c r="F1488" s="10"/>
    </row>
    <row r="1489" spans="5:6" x14ac:dyDescent="0.25">
      <c r="E1489" s="9"/>
      <c r="F1489" s="10"/>
    </row>
    <row r="1490" spans="5:6" x14ac:dyDescent="0.25">
      <c r="E1490" s="9"/>
      <c r="F1490" s="10"/>
    </row>
    <row r="1491" spans="5:6" x14ac:dyDescent="0.25">
      <c r="E1491" s="9"/>
      <c r="F1491" s="10"/>
    </row>
    <row r="1492" spans="5:6" x14ac:dyDescent="0.25">
      <c r="E1492" s="9"/>
      <c r="F1492" s="10"/>
    </row>
    <row r="1493" spans="5:6" x14ac:dyDescent="0.25">
      <c r="E1493" s="9"/>
      <c r="F1493" s="10"/>
    </row>
    <row r="1494" spans="5:6" x14ac:dyDescent="0.25">
      <c r="E1494" s="9"/>
      <c r="F1494" s="10"/>
    </row>
    <row r="1495" spans="5:6" x14ac:dyDescent="0.25">
      <c r="E1495" s="9"/>
      <c r="F1495" s="10"/>
    </row>
    <row r="1496" spans="5:6" x14ac:dyDescent="0.25">
      <c r="E1496" s="9"/>
      <c r="F1496" s="10"/>
    </row>
    <row r="1497" spans="5:6" x14ac:dyDescent="0.25">
      <c r="E1497" s="9"/>
      <c r="F1497" s="10"/>
    </row>
    <row r="1498" spans="5:6" x14ac:dyDescent="0.25">
      <c r="E1498" s="9"/>
      <c r="F1498" s="10"/>
    </row>
    <row r="1499" spans="5:6" x14ac:dyDescent="0.25">
      <c r="E1499" s="9"/>
      <c r="F1499" s="10"/>
    </row>
    <row r="1500" spans="5:6" x14ac:dyDescent="0.25">
      <c r="E1500" s="9"/>
      <c r="F1500" s="10"/>
    </row>
    <row r="1501" spans="5:6" x14ac:dyDescent="0.25">
      <c r="E1501" s="9"/>
      <c r="F1501" s="10"/>
    </row>
    <row r="1502" spans="5:6" x14ac:dyDescent="0.25">
      <c r="E1502" s="9"/>
      <c r="F1502" s="10"/>
    </row>
    <row r="1503" spans="5:6" x14ac:dyDescent="0.25">
      <c r="E1503" s="9"/>
      <c r="F1503" s="10"/>
    </row>
    <row r="1504" spans="5:6" x14ac:dyDescent="0.25">
      <c r="E1504" s="9"/>
      <c r="F1504" s="10"/>
    </row>
    <row r="1505" spans="5:6" x14ac:dyDescent="0.25">
      <c r="E1505" s="9"/>
      <c r="F1505" s="10"/>
    </row>
    <row r="1506" spans="5:6" x14ac:dyDescent="0.25">
      <c r="E1506" s="9"/>
      <c r="F1506" s="10"/>
    </row>
    <row r="1507" spans="5:6" x14ac:dyDescent="0.25">
      <c r="E1507" s="9"/>
      <c r="F1507" s="10"/>
    </row>
    <row r="1508" spans="5:6" x14ac:dyDescent="0.25">
      <c r="E1508" s="9"/>
      <c r="F1508" s="10"/>
    </row>
    <row r="1509" spans="5:6" x14ac:dyDescent="0.25">
      <c r="E1509" s="9"/>
      <c r="F1509" s="10"/>
    </row>
    <row r="1510" spans="5:6" x14ac:dyDescent="0.25">
      <c r="E1510" s="9"/>
      <c r="F1510" s="10"/>
    </row>
    <row r="1511" spans="5:6" x14ac:dyDescent="0.25">
      <c r="E1511" s="9"/>
      <c r="F1511" s="10"/>
    </row>
    <row r="1512" spans="5:6" x14ac:dyDescent="0.25">
      <c r="E1512" s="9"/>
      <c r="F1512" s="10"/>
    </row>
    <row r="1513" spans="5:6" x14ac:dyDescent="0.25">
      <c r="E1513" s="9"/>
      <c r="F1513" s="10"/>
    </row>
    <row r="1514" spans="5:6" x14ac:dyDescent="0.25">
      <c r="E1514" s="9"/>
      <c r="F1514" s="10"/>
    </row>
    <row r="1515" spans="5:6" x14ac:dyDescent="0.25">
      <c r="E1515" s="9"/>
      <c r="F1515" s="10"/>
    </row>
    <row r="1516" spans="5:6" x14ac:dyDescent="0.25">
      <c r="E1516" s="9"/>
      <c r="F1516" s="10"/>
    </row>
    <row r="1517" spans="5:6" x14ac:dyDescent="0.25">
      <c r="E1517" s="9"/>
      <c r="F1517" s="10"/>
    </row>
    <row r="1518" spans="5:6" x14ac:dyDescent="0.25">
      <c r="E1518" s="9"/>
      <c r="F1518" s="10"/>
    </row>
    <row r="1519" spans="5:6" x14ac:dyDescent="0.25">
      <c r="E1519" s="9"/>
      <c r="F1519" s="10"/>
    </row>
    <row r="1520" spans="5:6" x14ac:dyDescent="0.25">
      <c r="E1520" s="9"/>
      <c r="F1520" s="10"/>
    </row>
    <row r="1521" spans="5:6" x14ac:dyDescent="0.25">
      <c r="E1521" s="9"/>
      <c r="F1521" s="10"/>
    </row>
    <row r="1522" spans="5:6" x14ac:dyDescent="0.25">
      <c r="E1522" s="9"/>
      <c r="F1522" s="10"/>
    </row>
    <row r="1523" spans="5:6" x14ac:dyDescent="0.25">
      <c r="E1523" s="9"/>
      <c r="F1523" s="10"/>
    </row>
    <row r="1524" spans="5:6" x14ac:dyDescent="0.25">
      <c r="E1524" s="9"/>
      <c r="F1524" s="10"/>
    </row>
    <row r="1525" spans="5:6" x14ac:dyDescent="0.25">
      <c r="E1525" s="9"/>
      <c r="F1525" s="10"/>
    </row>
    <row r="1526" spans="5:6" x14ac:dyDescent="0.25">
      <c r="E1526" s="9"/>
      <c r="F1526" s="10"/>
    </row>
    <row r="1527" spans="5:6" x14ac:dyDescent="0.25">
      <c r="E1527" s="9"/>
      <c r="F1527" s="10"/>
    </row>
    <row r="1528" spans="5:6" x14ac:dyDescent="0.25">
      <c r="E1528" s="9"/>
      <c r="F1528" s="10"/>
    </row>
    <row r="1529" spans="5:6" x14ac:dyDescent="0.25">
      <c r="E1529" s="9"/>
      <c r="F1529" s="10"/>
    </row>
    <row r="1530" spans="5:6" x14ac:dyDescent="0.25">
      <c r="E1530" s="9"/>
      <c r="F1530" s="10"/>
    </row>
    <row r="1531" spans="5:6" x14ac:dyDescent="0.25">
      <c r="E1531" s="9"/>
      <c r="F1531" s="10"/>
    </row>
    <row r="1532" spans="5:6" x14ac:dyDescent="0.25">
      <c r="E1532" s="9"/>
      <c r="F1532" s="10"/>
    </row>
    <row r="1533" spans="5:6" x14ac:dyDescent="0.25">
      <c r="E1533" s="9"/>
      <c r="F1533" s="10"/>
    </row>
    <row r="1534" spans="5:6" x14ac:dyDescent="0.25">
      <c r="E1534" s="9"/>
      <c r="F1534" s="10"/>
    </row>
    <row r="1535" spans="5:6" x14ac:dyDescent="0.25">
      <c r="E1535" s="9"/>
      <c r="F1535" s="10"/>
    </row>
    <row r="1536" spans="5:6" x14ac:dyDescent="0.25">
      <c r="E1536" s="9"/>
      <c r="F1536" s="10"/>
    </row>
    <row r="1537" spans="5:6" x14ac:dyDescent="0.25">
      <c r="E1537" s="9"/>
      <c r="F1537" s="10"/>
    </row>
    <row r="1538" spans="5:6" x14ac:dyDescent="0.25">
      <c r="E1538" s="9"/>
      <c r="F1538" s="10"/>
    </row>
    <row r="1539" spans="5:6" x14ac:dyDescent="0.25">
      <c r="E1539" s="9"/>
      <c r="F1539" s="10"/>
    </row>
    <row r="1540" spans="5:6" x14ac:dyDescent="0.25">
      <c r="E1540" s="9"/>
      <c r="F1540" s="10"/>
    </row>
    <row r="1541" spans="5:6" x14ac:dyDescent="0.25">
      <c r="E1541" s="9"/>
      <c r="F1541" s="10"/>
    </row>
    <row r="1542" spans="5:6" x14ac:dyDescent="0.25">
      <c r="E1542" s="9"/>
      <c r="F1542" s="10"/>
    </row>
    <row r="1543" spans="5:6" x14ac:dyDescent="0.25">
      <c r="E1543" s="9"/>
      <c r="F1543" s="10"/>
    </row>
    <row r="1544" spans="5:6" x14ac:dyDescent="0.25">
      <c r="E1544" s="9"/>
      <c r="F1544" s="10"/>
    </row>
    <row r="1545" spans="5:6" x14ac:dyDescent="0.25">
      <c r="E1545" s="9"/>
      <c r="F1545" s="10"/>
    </row>
    <row r="1546" spans="5:6" x14ac:dyDescent="0.25">
      <c r="E1546" s="9"/>
      <c r="F1546" s="10"/>
    </row>
    <row r="1547" spans="5:6" x14ac:dyDescent="0.25">
      <c r="E1547" s="9"/>
      <c r="F1547" s="10"/>
    </row>
    <row r="1548" spans="5:6" x14ac:dyDescent="0.25">
      <c r="E1548" s="9"/>
      <c r="F1548" s="10"/>
    </row>
    <row r="1549" spans="5:6" x14ac:dyDescent="0.25">
      <c r="E1549" s="9"/>
      <c r="F1549" s="10"/>
    </row>
    <row r="1550" spans="5:6" x14ac:dyDescent="0.25">
      <c r="E1550" s="9"/>
      <c r="F1550" s="10"/>
    </row>
    <row r="1551" spans="5:6" x14ac:dyDescent="0.25">
      <c r="E1551" s="9"/>
      <c r="F1551" s="10"/>
    </row>
    <row r="1552" spans="5:6" x14ac:dyDescent="0.25">
      <c r="E1552" s="9"/>
      <c r="F1552" s="10"/>
    </row>
    <row r="1553" spans="5:6" x14ac:dyDescent="0.25">
      <c r="E1553" s="9"/>
      <c r="F1553" s="10"/>
    </row>
    <row r="1554" spans="5:6" x14ac:dyDescent="0.25">
      <c r="E1554" s="9"/>
      <c r="F1554" s="10"/>
    </row>
    <row r="1555" spans="5:6" x14ac:dyDescent="0.25">
      <c r="E1555" s="9"/>
      <c r="F1555" s="10"/>
    </row>
    <row r="1556" spans="5:6" x14ac:dyDescent="0.25">
      <c r="E1556" s="9"/>
      <c r="F1556" s="10"/>
    </row>
    <row r="1557" spans="5:6" x14ac:dyDescent="0.25">
      <c r="E1557" s="9"/>
      <c r="F1557" s="10"/>
    </row>
    <row r="1558" spans="5:6" x14ac:dyDescent="0.25">
      <c r="E1558" s="9"/>
      <c r="F1558" s="10"/>
    </row>
    <row r="1559" spans="5:6" x14ac:dyDescent="0.25">
      <c r="E1559" s="9"/>
      <c r="F1559" s="10"/>
    </row>
    <row r="1560" spans="5:6" x14ac:dyDescent="0.25">
      <c r="E1560" s="9"/>
      <c r="F1560" s="10"/>
    </row>
    <row r="1561" spans="5:6" x14ac:dyDescent="0.25">
      <c r="E1561" s="9"/>
      <c r="F1561" s="10"/>
    </row>
    <row r="1562" spans="5:6" x14ac:dyDescent="0.25">
      <c r="E1562" s="9"/>
      <c r="F1562" s="10"/>
    </row>
    <row r="1563" spans="5:6" x14ac:dyDescent="0.25">
      <c r="E1563" s="9"/>
      <c r="F1563" s="10"/>
    </row>
    <row r="1564" spans="5:6" x14ac:dyDescent="0.25">
      <c r="E1564" s="9"/>
      <c r="F1564" s="10"/>
    </row>
    <row r="1565" spans="5:6" x14ac:dyDescent="0.25">
      <c r="E1565" s="9"/>
      <c r="F1565" s="10"/>
    </row>
    <row r="1566" spans="5:6" x14ac:dyDescent="0.25">
      <c r="E1566" s="9"/>
      <c r="F1566" s="10"/>
    </row>
    <row r="1567" spans="5:6" x14ac:dyDescent="0.25">
      <c r="E1567" s="9"/>
      <c r="F1567" s="10"/>
    </row>
    <row r="1568" spans="5:6" x14ac:dyDescent="0.25">
      <c r="E1568" s="9"/>
      <c r="F1568" s="10"/>
    </row>
    <row r="1569" spans="5:6" x14ac:dyDescent="0.25">
      <c r="E1569" s="9"/>
      <c r="F1569" s="10"/>
    </row>
    <row r="1570" spans="5:6" x14ac:dyDescent="0.25">
      <c r="E1570" s="9"/>
      <c r="F1570" s="10"/>
    </row>
    <row r="1571" spans="5:6" x14ac:dyDescent="0.25">
      <c r="E1571" s="9"/>
      <c r="F1571" s="10"/>
    </row>
    <row r="1572" spans="5:6" x14ac:dyDescent="0.25">
      <c r="E1572" s="9"/>
      <c r="F1572" s="10"/>
    </row>
    <row r="1573" spans="5:6" x14ac:dyDescent="0.25">
      <c r="E1573" s="9"/>
      <c r="F1573" s="10"/>
    </row>
    <row r="1574" spans="5:6" x14ac:dyDescent="0.25">
      <c r="E1574" s="9"/>
      <c r="F1574" s="10"/>
    </row>
    <row r="1575" spans="5:6" x14ac:dyDescent="0.25">
      <c r="E1575" s="9"/>
      <c r="F1575" s="10"/>
    </row>
    <row r="1576" spans="5:6" x14ac:dyDescent="0.25">
      <c r="E1576" s="9"/>
      <c r="F1576" s="10"/>
    </row>
    <row r="1577" spans="5:6" x14ac:dyDescent="0.25">
      <c r="E1577" s="9"/>
      <c r="F1577" s="10"/>
    </row>
    <row r="1578" spans="5:6" x14ac:dyDescent="0.25">
      <c r="E1578" s="9"/>
      <c r="F1578" s="10"/>
    </row>
    <row r="1579" spans="5:6" x14ac:dyDescent="0.25">
      <c r="E1579" s="9"/>
      <c r="F1579" s="10"/>
    </row>
    <row r="1580" spans="5:6" x14ac:dyDescent="0.25">
      <c r="E1580" s="9"/>
      <c r="F1580" s="10"/>
    </row>
    <row r="1581" spans="5:6" x14ac:dyDescent="0.25">
      <c r="E1581" s="9"/>
      <c r="F1581" s="10"/>
    </row>
    <row r="1582" spans="5:6" x14ac:dyDescent="0.25">
      <c r="E1582" s="9"/>
      <c r="F1582" s="10"/>
    </row>
    <row r="1583" spans="5:6" x14ac:dyDescent="0.25">
      <c r="E1583" s="9"/>
      <c r="F1583" s="10"/>
    </row>
    <row r="1584" spans="5:6" x14ac:dyDescent="0.25">
      <c r="E1584" s="9"/>
      <c r="F1584" s="10"/>
    </row>
    <row r="1585" spans="5:6" x14ac:dyDescent="0.25">
      <c r="E1585" s="9"/>
      <c r="F1585" s="10"/>
    </row>
    <row r="1586" spans="5:6" x14ac:dyDescent="0.25">
      <c r="E1586" s="9"/>
      <c r="F1586" s="10"/>
    </row>
    <row r="1587" spans="5:6" x14ac:dyDescent="0.25">
      <c r="E1587" s="9"/>
      <c r="F1587" s="10"/>
    </row>
    <row r="1588" spans="5:6" x14ac:dyDescent="0.25">
      <c r="E1588" s="9"/>
      <c r="F1588" s="10"/>
    </row>
    <row r="1589" spans="5:6" x14ac:dyDescent="0.25">
      <c r="E1589" s="9"/>
      <c r="F1589" s="10"/>
    </row>
    <row r="1590" spans="5:6" x14ac:dyDescent="0.25">
      <c r="E1590" s="9"/>
      <c r="F1590" s="10"/>
    </row>
    <row r="1591" spans="5:6" x14ac:dyDescent="0.25">
      <c r="E1591" s="9"/>
      <c r="F1591" s="10"/>
    </row>
    <row r="1592" spans="5:6" x14ac:dyDescent="0.25">
      <c r="E1592" s="9"/>
      <c r="F1592" s="10"/>
    </row>
    <row r="1593" spans="5:6" x14ac:dyDescent="0.25">
      <c r="E1593" s="9"/>
      <c r="F1593" s="10"/>
    </row>
    <row r="1594" spans="5:6" x14ac:dyDescent="0.25">
      <c r="E1594" s="9"/>
      <c r="F1594" s="10"/>
    </row>
    <row r="1595" spans="5:6" x14ac:dyDescent="0.25">
      <c r="E1595" s="9"/>
      <c r="F1595" s="10"/>
    </row>
    <row r="1596" spans="5:6" x14ac:dyDescent="0.25">
      <c r="E1596" s="9"/>
      <c r="F1596" s="10"/>
    </row>
    <row r="1597" spans="5:6" x14ac:dyDescent="0.25">
      <c r="E1597" s="9"/>
      <c r="F1597" s="10"/>
    </row>
    <row r="1598" spans="5:6" x14ac:dyDescent="0.25">
      <c r="E1598" s="9"/>
      <c r="F1598" s="10"/>
    </row>
    <row r="1599" spans="5:6" x14ac:dyDescent="0.25">
      <c r="E1599" s="9"/>
      <c r="F1599" s="10"/>
    </row>
    <row r="1600" spans="5:6" x14ac:dyDescent="0.25">
      <c r="E1600" s="9"/>
      <c r="F1600" s="10"/>
    </row>
    <row r="1601" spans="5:6" x14ac:dyDescent="0.25">
      <c r="E1601" s="9"/>
      <c r="F1601" s="10"/>
    </row>
    <row r="1602" spans="5:6" x14ac:dyDescent="0.25">
      <c r="E1602" s="9"/>
      <c r="F1602" s="10"/>
    </row>
    <row r="1603" spans="5:6" x14ac:dyDescent="0.25">
      <c r="E1603" s="9"/>
      <c r="F1603" s="10"/>
    </row>
    <row r="1604" spans="5:6" x14ac:dyDescent="0.25">
      <c r="E1604" s="9"/>
      <c r="F1604" s="10"/>
    </row>
    <row r="1605" spans="5:6" x14ac:dyDescent="0.25">
      <c r="E1605" s="9"/>
      <c r="F1605" s="10"/>
    </row>
    <row r="1606" spans="5:6" x14ac:dyDescent="0.25">
      <c r="E1606" s="9"/>
      <c r="F1606" s="10"/>
    </row>
    <row r="1607" spans="5:6" x14ac:dyDescent="0.25">
      <c r="E1607" s="9"/>
      <c r="F1607" s="10"/>
    </row>
    <row r="1608" spans="5:6" x14ac:dyDescent="0.25">
      <c r="E1608" s="9"/>
      <c r="F1608" s="10"/>
    </row>
    <row r="1609" spans="5:6" x14ac:dyDescent="0.25">
      <c r="E1609" s="9"/>
      <c r="F1609" s="10"/>
    </row>
    <row r="1610" spans="5:6" x14ac:dyDescent="0.25">
      <c r="E1610" s="9"/>
      <c r="F1610" s="10"/>
    </row>
    <row r="1611" spans="5:6" x14ac:dyDescent="0.25">
      <c r="E1611" s="9"/>
      <c r="F1611" s="10"/>
    </row>
    <row r="1612" spans="5:6" x14ac:dyDescent="0.25">
      <c r="E1612" s="9"/>
      <c r="F1612" s="10"/>
    </row>
    <row r="1613" spans="5:6" x14ac:dyDescent="0.25">
      <c r="E1613" s="9"/>
      <c r="F1613" s="10"/>
    </row>
    <row r="1614" spans="5:6" x14ac:dyDescent="0.25">
      <c r="E1614" s="9"/>
      <c r="F1614" s="10"/>
    </row>
    <row r="1615" spans="5:6" x14ac:dyDescent="0.25">
      <c r="E1615" s="9"/>
      <c r="F1615" s="10"/>
    </row>
    <row r="1616" spans="5:6" x14ac:dyDescent="0.25">
      <c r="E1616" s="9"/>
      <c r="F1616" s="10"/>
    </row>
    <row r="1617" spans="5:6" x14ac:dyDescent="0.25">
      <c r="E1617" s="9"/>
      <c r="F1617" s="10"/>
    </row>
    <row r="1618" spans="5:6" x14ac:dyDescent="0.25">
      <c r="E1618" s="9"/>
      <c r="F1618" s="10"/>
    </row>
    <row r="1619" spans="5:6" x14ac:dyDescent="0.25">
      <c r="E1619" s="9"/>
      <c r="F1619" s="10"/>
    </row>
    <row r="1620" spans="5:6" x14ac:dyDescent="0.25">
      <c r="E1620" s="9"/>
      <c r="F1620" s="10"/>
    </row>
    <row r="1621" spans="5:6" x14ac:dyDescent="0.25">
      <c r="E1621" s="9"/>
      <c r="F1621" s="10"/>
    </row>
    <row r="1622" spans="5:6" x14ac:dyDescent="0.25">
      <c r="E1622" s="9"/>
      <c r="F1622" s="10"/>
    </row>
    <row r="1623" spans="5:6" x14ac:dyDescent="0.25">
      <c r="E1623" s="9"/>
      <c r="F1623" s="10"/>
    </row>
    <row r="1624" spans="5:6" x14ac:dyDescent="0.25">
      <c r="E1624" s="9"/>
      <c r="F1624" s="10"/>
    </row>
    <row r="1625" spans="5:6" x14ac:dyDescent="0.25">
      <c r="E1625" s="9"/>
      <c r="F1625" s="10"/>
    </row>
    <row r="1626" spans="5:6" x14ac:dyDescent="0.25">
      <c r="E1626" s="9"/>
      <c r="F1626" s="10"/>
    </row>
    <row r="1627" spans="5:6" x14ac:dyDescent="0.25">
      <c r="E1627" s="9"/>
      <c r="F1627" s="10"/>
    </row>
    <row r="1628" spans="5:6" x14ac:dyDescent="0.25">
      <c r="E1628" s="9"/>
      <c r="F1628" s="10"/>
    </row>
    <row r="1629" spans="5:6" x14ac:dyDescent="0.25">
      <c r="E1629" s="9"/>
      <c r="F1629" s="10"/>
    </row>
    <row r="1630" spans="5:6" x14ac:dyDescent="0.25">
      <c r="E1630" s="9"/>
      <c r="F1630" s="10"/>
    </row>
    <row r="1631" spans="5:6" x14ac:dyDescent="0.25">
      <c r="E1631" s="9"/>
      <c r="F1631" s="10"/>
    </row>
    <row r="1632" spans="5:6" x14ac:dyDescent="0.25">
      <c r="E1632" s="9"/>
      <c r="F1632" s="10"/>
    </row>
    <row r="1633" spans="5:6" x14ac:dyDescent="0.25">
      <c r="E1633" s="9"/>
      <c r="F1633" s="10"/>
    </row>
    <row r="1634" spans="5:6" x14ac:dyDescent="0.25">
      <c r="E1634" s="9"/>
      <c r="F1634" s="10"/>
    </row>
    <row r="1635" spans="5:6" x14ac:dyDescent="0.25">
      <c r="E1635" s="9"/>
      <c r="F1635" s="10"/>
    </row>
    <row r="1636" spans="5:6" x14ac:dyDescent="0.25">
      <c r="E1636" s="9"/>
      <c r="F1636" s="10"/>
    </row>
    <row r="1637" spans="5:6" x14ac:dyDescent="0.25">
      <c r="E1637" s="9"/>
      <c r="F1637" s="10"/>
    </row>
    <row r="1638" spans="5:6" x14ac:dyDescent="0.25">
      <c r="E1638" s="9"/>
      <c r="F1638" s="10"/>
    </row>
    <row r="1639" spans="5:6" x14ac:dyDescent="0.25">
      <c r="E1639" s="9"/>
      <c r="F1639" s="10"/>
    </row>
    <row r="1640" spans="5:6" x14ac:dyDescent="0.25">
      <c r="E1640" s="9"/>
      <c r="F1640" s="10"/>
    </row>
    <row r="1641" spans="5:6" x14ac:dyDescent="0.25">
      <c r="E1641" s="9"/>
      <c r="F1641" s="10"/>
    </row>
    <row r="1642" spans="5:6" x14ac:dyDescent="0.25">
      <c r="E1642" s="9"/>
      <c r="F1642" s="10"/>
    </row>
    <row r="1643" spans="5:6" x14ac:dyDescent="0.25">
      <c r="E1643" s="9"/>
      <c r="F1643" s="10"/>
    </row>
    <row r="1644" spans="5:6" x14ac:dyDescent="0.25">
      <c r="E1644" s="9"/>
      <c r="F1644" s="10"/>
    </row>
    <row r="1645" spans="5:6" x14ac:dyDescent="0.25">
      <c r="E1645" s="9"/>
      <c r="F1645" s="10"/>
    </row>
    <row r="1646" spans="5:6" x14ac:dyDescent="0.25">
      <c r="E1646" s="9"/>
      <c r="F1646" s="10"/>
    </row>
    <row r="1647" spans="5:6" x14ac:dyDescent="0.25">
      <c r="E1647" s="9"/>
      <c r="F1647" s="10"/>
    </row>
    <row r="1648" spans="5:6" x14ac:dyDescent="0.25">
      <c r="E1648" s="9"/>
      <c r="F1648" s="10"/>
    </row>
    <row r="1649" spans="5:6" x14ac:dyDescent="0.25">
      <c r="E1649" s="9"/>
      <c r="F1649" s="10"/>
    </row>
    <row r="1650" spans="5:6" x14ac:dyDescent="0.25">
      <c r="E1650" s="9"/>
      <c r="F1650" s="10"/>
    </row>
    <row r="1651" spans="5:6" x14ac:dyDescent="0.25">
      <c r="E1651" s="9"/>
      <c r="F1651" s="10"/>
    </row>
    <row r="1652" spans="5:6" x14ac:dyDescent="0.25">
      <c r="E1652" s="9"/>
      <c r="F1652" s="10"/>
    </row>
    <row r="1653" spans="5:6" x14ac:dyDescent="0.25">
      <c r="E1653" s="9"/>
      <c r="F1653" s="10"/>
    </row>
    <row r="1654" spans="5:6" x14ac:dyDescent="0.25">
      <c r="E1654" s="9"/>
      <c r="F1654" s="10"/>
    </row>
    <row r="1655" spans="5:6" x14ac:dyDescent="0.25">
      <c r="E1655" s="9"/>
      <c r="F1655" s="10"/>
    </row>
    <row r="1656" spans="5:6" x14ac:dyDescent="0.25">
      <c r="E1656" s="9"/>
      <c r="F1656" s="10"/>
    </row>
    <row r="1657" spans="5:6" x14ac:dyDescent="0.25">
      <c r="E1657" s="9"/>
      <c r="F1657" s="10"/>
    </row>
    <row r="1658" spans="5:6" x14ac:dyDescent="0.25">
      <c r="E1658" s="9"/>
      <c r="F1658" s="10"/>
    </row>
    <row r="1659" spans="5:6" x14ac:dyDescent="0.25">
      <c r="E1659" s="9"/>
      <c r="F1659" s="10"/>
    </row>
    <row r="1660" spans="5:6" x14ac:dyDescent="0.25">
      <c r="E1660" s="9"/>
      <c r="F1660" s="10"/>
    </row>
    <row r="1661" spans="5:6" x14ac:dyDescent="0.25">
      <c r="E1661" s="9"/>
      <c r="F1661" s="10"/>
    </row>
    <row r="1662" spans="5:6" x14ac:dyDescent="0.25">
      <c r="E1662" s="9"/>
      <c r="F1662" s="10"/>
    </row>
    <row r="1663" spans="5:6" x14ac:dyDescent="0.25">
      <c r="E1663" s="9"/>
      <c r="F1663" s="10"/>
    </row>
    <row r="1664" spans="5:6" x14ac:dyDescent="0.25">
      <c r="E1664" s="9"/>
      <c r="F1664" s="10"/>
    </row>
    <row r="1665" spans="5:6" x14ac:dyDescent="0.25">
      <c r="E1665" s="9"/>
      <c r="F1665" s="10"/>
    </row>
    <row r="1666" spans="5:6" x14ac:dyDescent="0.25">
      <c r="E1666" s="9"/>
      <c r="F1666" s="10"/>
    </row>
    <row r="1667" spans="5:6" x14ac:dyDescent="0.25">
      <c r="E1667" s="9"/>
      <c r="F1667" s="10"/>
    </row>
    <row r="1668" spans="5:6" x14ac:dyDescent="0.25">
      <c r="E1668" s="9"/>
      <c r="F1668" s="10"/>
    </row>
    <row r="1669" spans="5:6" x14ac:dyDescent="0.25">
      <c r="E1669" s="9"/>
      <c r="F1669" s="10"/>
    </row>
    <row r="1670" spans="5:6" x14ac:dyDescent="0.25">
      <c r="E1670" s="9"/>
      <c r="F1670" s="10"/>
    </row>
    <row r="1671" spans="5:6" x14ac:dyDescent="0.25">
      <c r="E1671" s="9"/>
      <c r="F1671" s="10"/>
    </row>
    <row r="1672" spans="5:6" x14ac:dyDescent="0.25">
      <c r="E1672" s="9"/>
      <c r="F1672" s="10"/>
    </row>
    <row r="1673" spans="5:6" x14ac:dyDescent="0.25">
      <c r="E1673" s="9"/>
      <c r="F1673" s="10"/>
    </row>
    <row r="1674" spans="5:6" x14ac:dyDescent="0.25">
      <c r="E1674" s="9"/>
      <c r="F1674" s="10"/>
    </row>
    <row r="1675" spans="5:6" x14ac:dyDescent="0.25">
      <c r="E1675" s="9"/>
      <c r="F1675" s="10"/>
    </row>
    <row r="1676" spans="5:6" x14ac:dyDescent="0.25">
      <c r="E1676" s="9"/>
      <c r="F1676" s="10"/>
    </row>
    <row r="1677" spans="5:6" x14ac:dyDescent="0.25">
      <c r="E1677" s="9"/>
      <c r="F1677" s="10"/>
    </row>
    <row r="1678" spans="5:6" x14ac:dyDescent="0.25">
      <c r="E1678" s="9"/>
      <c r="F1678" s="10"/>
    </row>
    <row r="1679" spans="5:6" x14ac:dyDescent="0.25">
      <c r="E1679" s="9"/>
      <c r="F1679" s="10"/>
    </row>
    <row r="1680" spans="5:6" x14ac:dyDescent="0.25">
      <c r="E1680" s="9"/>
      <c r="F1680" s="10"/>
    </row>
    <row r="1681" spans="5:6" x14ac:dyDescent="0.25">
      <c r="E1681" s="9"/>
      <c r="F1681" s="10"/>
    </row>
    <row r="1682" spans="5:6" x14ac:dyDescent="0.25">
      <c r="E1682" s="9"/>
      <c r="F1682" s="10"/>
    </row>
    <row r="1683" spans="5:6" x14ac:dyDescent="0.25">
      <c r="E1683" s="9"/>
      <c r="F1683" s="10"/>
    </row>
    <row r="1684" spans="5:6" x14ac:dyDescent="0.25">
      <c r="E1684" s="9"/>
      <c r="F1684" s="10"/>
    </row>
    <row r="1685" spans="5:6" x14ac:dyDescent="0.25">
      <c r="E1685" s="9"/>
      <c r="F1685" s="10"/>
    </row>
    <row r="1686" spans="5:6" x14ac:dyDescent="0.25">
      <c r="E1686" s="9"/>
      <c r="F1686" s="10"/>
    </row>
    <row r="1687" spans="5:6" x14ac:dyDescent="0.25">
      <c r="E1687" s="9"/>
      <c r="F1687" s="10"/>
    </row>
    <row r="1688" spans="5:6" x14ac:dyDescent="0.25">
      <c r="E1688" s="9"/>
      <c r="F1688" s="10"/>
    </row>
    <row r="1689" spans="5:6" x14ac:dyDescent="0.25">
      <c r="E1689" s="9"/>
      <c r="F1689" s="10"/>
    </row>
    <row r="1690" spans="5:6" x14ac:dyDescent="0.25">
      <c r="E1690" s="9"/>
      <c r="F1690" s="10"/>
    </row>
    <row r="1691" spans="5:6" x14ac:dyDescent="0.25">
      <c r="E1691" s="9"/>
      <c r="F1691" s="10"/>
    </row>
    <row r="1692" spans="5:6" x14ac:dyDescent="0.25">
      <c r="E1692" s="9"/>
      <c r="F1692" s="10"/>
    </row>
    <row r="1693" spans="5:6" x14ac:dyDescent="0.25">
      <c r="E1693" s="9"/>
      <c r="F1693" s="10"/>
    </row>
    <row r="1694" spans="5:6" x14ac:dyDescent="0.25">
      <c r="E1694" s="9"/>
      <c r="F1694" s="10"/>
    </row>
    <row r="1695" spans="5:6" x14ac:dyDescent="0.25">
      <c r="E1695" s="9"/>
      <c r="F1695" s="10"/>
    </row>
    <row r="1696" spans="5:6" x14ac:dyDescent="0.25">
      <c r="E1696" s="9"/>
      <c r="F1696" s="10"/>
    </row>
    <row r="1697" spans="5:6" x14ac:dyDescent="0.25">
      <c r="E1697" s="9"/>
      <c r="F1697" s="10"/>
    </row>
    <row r="1698" spans="5:6" x14ac:dyDescent="0.25">
      <c r="E1698" s="9"/>
      <c r="F1698" s="10"/>
    </row>
    <row r="1699" spans="5:6" x14ac:dyDescent="0.25">
      <c r="E1699" s="9"/>
      <c r="F1699" s="10"/>
    </row>
    <row r="1700" spans="5:6" x14ac:dyDescent="0.25">
      <c r="E1700" s="9"/>
      <c r="F1700" s="10"/>
    </row>
    <row r="1701" spans="5:6" x14ac:dyDescent="0.25">
      <c r="E1701" s="9"/>
      <c r="F1701" s="10"/>
    </row>
    <row r="1702" spans="5:6" x14ac:dyDescent="0.25">
      <c r="E1702" s="9"/>
      <c r="F1702" s="10"/>
    </row>
    <row r="1703" spans="5:6" x14ac:dyDescent="0.25">
      <c r="E1703" s="9"/>
      <c r="F1703" s="10"/>
    </row>
    <row r="1704" spans="5:6" x14ac:dyDescent="0.25">
      <c r="E1704" s="9"/>
      <c r="F1704" s="10"/>
    </row>
    <row r="1705" spans="5:6" x14ac:dyDescent="0.25">
      <c r="E1705" s="9"/>
      <c r="F1705" s="10"/>
    </row>
    <row r="1706" spans="5:6" x14ac:dyDescent="0.25">
      <c r="E1706" s="9"/>
      <c r="F1706" s="10"/>
    </row>
    <row r="1707" spans="5:6" x14ac:dyDescent="0.25">
      <c r="E1707" s="9"/>
      <c r="F1707" s="10"/>
    </row>
    <row r="1708" spans="5:6" x14ac:dyDescent="0.25">
      <c r="E1708" s="9"/>
      <c r="F1708" s="10"/>
    </row>
    <row r="1709" spans="5:6" x14ac:dyDescent="0.25">
      <c r="E1709" s="9"/>
      <c r="F1709" s="10"/>
    </row>
    <row r="1710" spans="5:6" x14ac:dyDescent="0.25">
      <c r="E1710" s="9"/>
      <c r="F1710" s="10"/>
    </row>
    <row r="1711" spans="5:6" x14ac:dyDescent="0.25">
      <c r="E1711" s="9"/>
      <c r="F1711" s="10"/>
    </row>
    <row r="1712" spans="5:6" x14ac:dyDescent="0.25">
      <c r="E1712" s="9"/>
      <c r="F1712" s="10"/>
    </row>
    <row r="1713" spans="5:6" x14ac:dyDescent="0.25">
      <c r="E1713" s="9"/>
      <c r="F1713" s="10"/>
    </row>
    <row r="1714" spans="5:6" x14ac:dyDescent="0.25">
      <c r="E1714" s="9"/>
      <c r="F1714" s="10"/>
    </row>
    <row r="1715" spans="5:6" x14ac:dyDescent="0.25">
      <c r="E1715" s="9"/>
      <c r="F1715" s="10"/>
    </row>
    <row r="1716" spans="5:6" x14ac:dyDescent="0.25">
      <c r="E1716" s="9"/>
      <c r="F1716" s="10"/>
    </row>
    <row r="1717" spans="5:6" x14ac:dyDescent="0.25">
      <c r="E1717" s="9"/>
      <c r="F1717" s="10"/>
    </row>
    <row r="1718" spans="5:6" x14ac:dyDescent="0.25">
      <c r="E1718" s="9"/>
      <c r="F1718" s="10"/>
    </row>
    <row r="1719" spans="5:6" x14ac:dyDescent="0.25">
      <c r="E1719" s="9"/>
      <c r="F1719" s="10"/>
    </row>
    <row r="1720" spans="5:6" x14ac:dyDescent="0.25">
      <c r="E1720" s="9"/>
      <c r="F1720" s="10"/>
    </row>
    <row r="1721" spans="5:6" x14ac:dyDescent="0.25">
      <c r="E1721" s="9"/>
      <c r="F1721" s="10"/>
    </row>
    <row r="1722" spans="5:6" x14ac:dyDescent="0.25">
      <c r="E1722" s="9"/>
      <c r="F1722" s="10"/>
    </row>
    <row r="1723" spans="5:6" x14ac:dyDescent="0.25">
      <c r="E1723" s="9"/>
      <c r="F1723" s="10"/>
    </row>
    <row r="1724" spans="5:6" x14ac:dyDescent="0.25">
      <c r="E1724" s="9"/>
      <c r="F1724" s="10"/>
    </row>
    <row r="1725" spans="5:6" x14ac:dyDescent="0.25">
      <c r="E1725" s="9"/>
      <c r="F1725" s="10"/>
    </row>
    <row r="1726" spans="5:6" x14ac:dyDescent="0.25">
      <c r="E1726" s="9"/>
      <c r="F1726" s="10"/>
    </row>
    <row r="1727" spans="5:6" x14ac:dyDescent="0.25">
      <c r="E1727" s="9"/>
      <c r="F1727" s="10"/>
    </row>
    <row r="1728" spans="5:6" x14ac:dyDescent="0.25">
      <c r="E1728" s="9"/>
      <c r="F1728" s="10"/>
    </row>
    <row r="1729" spans="5:6" x14ac:dyDescent="0.25">
      <c r="E1729" s="9"/>
      <c r="F1729" s="10"/>
    </row>
    <row r="1730" spans="5:6" x14ac:dyDescent="0.25">
      <c r="E1730" s="9"/>
      <c r="F1730" s="10"/>
    </row>
    <row r="1731" spans="5:6" x14ac:dyDescent="0.25">
      <c r="E1731" s="9"/>
      <c r="F1731" s="10"/>
    </row>
    <row r="1732" spans="5:6" x14ac:dyDescent="0.25">
      <c r="E1732" s="9"/>
      <c r="F1732" s="10"/>
    </row>
    <row r="1733" spans="5:6" x14ac:dyDescent="0.25">
      <c r="E1733" s="9"/>
      <c r="F1733" s="10"/>
    </row>
    <row r="1734" spans="5:6" x14ac:dyDescent="0.25">
      <c r="E1734" s="9"/>
      <c r="F1734" s="10"/>
    </row>
    <row r="1735" spans="5:6" x14ac:dyDescent="0.25">
      <c r="E1735" s="9"/>
      <c r="F1735" s="10"/>
    </row>
    <row r="1736" spans="5:6" x14ac:dyDescent="0.25">
      <c r="E1736" s="9"/>
      <c r="F1736" s="10"/>
    </row>
    <row r="1737" spans="5:6" x14ac:dyDescent="0.25">
      <c r="E1737" s="9"/>
      <c r="F1737" s="10"/>
    </row>
    <row r="1738" spans="5:6" x14ac:dyDescent="0.25">
      <c r="E1738" s="9"/>
      <c r="F1738" s="10"/>
    </row>
    <row r="1739" spans="5:6" x14ac:dyDescent="0.25">
      <c r="E1739" s="9"/>
      <c r="F1739" s="10"/>
    </row>
    <row r="1740" spans="5:6" x14ac:dyDescent="0.25">
      <c r="E1740" s="9"/>
      <c r="F1740" s="10"/>
    </row>
    <row r="1741" spans="5:6" x14ac:dyDescent="0.25">
      <c r="E1741" s="9"/>
      <c r="F1741" s="10"/>
    </row>
    <row r="1742" spans="5:6" x14ac:dyDescent="0.25">
      <c r="E1742" s="9"/>
      <c r="F1742" s="10"/>
    </row>
    <row r="1743" spans="5:6" x14ac:dyDescent="0.25">
      <c r="E1743" s="9"/>
      <c r="F1743" s="10"/>
    </row>
    <row r="1744" spans="5:6" x14ac:dyDescent="0.25">
      <c r="E1744" s="9"/>
      <c r="F1744" s="10"/>
    </row>
    <row r="1745" spans="5:6" x14ac:dyDescent="0.25">
      <c r="E1745" s="9"/>
      <c r="F1745" s="10"/>
    </row>
    <row r="1746" spans="5:6" x14ac:dyDescent="0.25">
      <c r="E1746" s="9"/>
      <c r="F1746" s="10"/>
    </row>
    <row r="1747" spans="5:6" x14ac:dyDescent="0.25">
      <c r="E1747" s="9"/>
      <c r="F1747" s="10"/>
    </row>
    <row r="1748" spans="5:6" x14ac:dyDescent="0.25">
      <c r="E1748" s="9"/>
      <c r="F1748" s="10"/>
    </row>
    <row r="1749" spans="5:6" x14ac:dyDescent="0.25">
      <c r="E1749" s="9"/>
      <c r="F1749" s="10"/>
    </row>
    <row r="1750" spans="5:6" x14ac:dyDescent="0.25">
      <c r="E1750" s="9"/>
      <c r="F1750" s="10"/>
    </row>
    <row r="1751" spans="5:6" x14ac:dyDescent="0.25">
      <c r="E1751" s="9"/>
      <c r="F1751" s="10"/>
    </row>
    <row r="1752" spans="5:6" x14ac:dyDescent="0.25">
      <c r="E1752" s="9"/>
      <c r="F1752" s="10"/>
    </row>
    <row r="1753" spans="5:6" x14ac:dyDescent="0.25">
      <c r="E1753" s="9"/>
      <c r="F1753" s="10"/>
    </row>
    <row r="1754" spans="5:6" x14ac:dyDescent="0.25">
      <c r="E1754" s="9"/>
      <c r="F1754" s="10"/>
    </row>
    <row r="1755" spans="5:6" x14ac:dyDescent="0.25">
      <c r="E1755" s="9"/>
      <c r="F1755" s="10"/>
    </row>
    <row r="1756" spans="5:6" x14ac:dyDescent="0.25">
      <c r="E1756" s="9"/>
      <c r="F1756" s="10"/>
    </row>
    <row r="1757" spans="5:6" x14ac:dyDescent="0.25">
      <c r="E1757" s="9"/>
      <c r="F1757" s="10"/>
    </row>
    <row r="1758" spans="5:6" x14ac:dyDescent="0.25">
      <c r="E1758" s="9"/>
      <c r="F1758" s="10"/>
    </row>
    <row r="1759" spans="5:6" x14ac:dyDescent="0.25">
      <c r="E1759" s="9"/>
      <c r="F1759" s="10"/>
    </row>
    <row r="1760" spans="5:6" x14ac:dyDescent="0.25">
      <c r="E1760" s="9"/>
      <c r="F1760" s="10"/>
    </row>
    <row r="1761" spans="5:6" x14ac:dyDescent="0.25">
      <c r="E1761" s="9"/>
      <c r="F1761" s="10"/>
    </row>
    <row r="1762" spans="5:6" x14ac:dyDescent="0.25">
      <c r="E1762" s="9"/>
      <c r="F1762" s="10"/>
    </row>
    <row r="1763" spans="5:6" x14ac:dyDescent="0.25">
      <c r="E1763" s="9"/>
      <c r="F1763" s="10"/>
    </row>
    <row r="1764" spans="5:6" x14ac:dyDescent="0.25">
      <c r="E1764" s="9"/>
      <c r="F1764" s="10"/>
    </row>
    <row r="1765" spans="5:6" x14ac:dyDescent="0.25">
      <c r="E1765" s="9"/>
      <c r="F1765" s="10"/>
    </row>
    <row r="1766" spans="5:6" x14ac:dyDescent="0.25">
      <c r="E1766" s="9"/>
      <c r="F1766" s="10"/>
    </row>
    <row r="1767" spans="5:6" x14ac:dyDescent="0.25">
      <c r="E1767" s="9"/>
      <c r="F1767" s="10"/>
    </row>
    <row r="1768" spans="5:6" x14ac:dyDescent="0.25">
      <c r="E1768" s="9"/>
      <c r="F1768" s="10"/>
    </row>
    <row r="1769" spans="5:6" x14ac:dyDescent="0.25">
      <c r="E1769" s="9"/>
      <c r="F1769" s="10"/>
    </row>
    <row r="1770" spans="5:6" x14ac:dyDescent="0.25">
      <c r="E1770" s="9"/>
      <c r="F1770" s="10"/>
    </row>
    <row r="1771" spans="5:6" x14ac:dyDescent="0.25">
      <c r="E1771" s="9"/>
      <c r="F1771" s="10"/>
    </row>
    <row r="1772" spans="5:6" x14ac:dyDescent="0.25">
      <c r="E1772" s="9"/>
      <c r="F1772" s="10"/>
    </row>
    <row r="1773" spans="5:6" x14ac:dyDescent="0.25">
      <c r="E1773" s="9"/>
      <c r="F1773" s="10"/>
    </row>
    <row r="1774" spans="5:6" x14ac:dyDescent="0.25">
      <c r="E1774" s="9"/>
      <c r="F1774" s="10"/>
    </row>
    <row r="1775" spans="5:6" x14ac:dyDescent="0.25">
      <c r="E1775" s="9"/>
      <c r="F1775" s="10"/>
    </row>
    <row r="1776" spans="5:6" x14ac:dyDescent="0.25">
      <c r="E1776" s="9"/>
      <c r="F1776" s="10"/>
    </row>
    <row r="1777" spans="5:6" x14ac:dyDescent="0.25">
      <c r="E1777" s="9"/>
      <c r="F1777" s="10"/>
    </row>
    <row r="1778" spans="5:6" x14ac:dyDescent="0.25">
      <c r="E1778" s="9"/>
      <c r="F1778" s="10"/>
    </row>
    <row r="1779" spans="5:6" x14ac:dyDescent="0.25">
      <c r="E1779" s="9"/>
      <c r="F1779" s="10"/>
    </row>
    <row r="1780" spans="5:6" x14ac:dyDescent="0.25">
      <c r="E1780" s="9"/>
      <c r="F1780" s="10"/>
    </row>
    <row r="1781" spans="5:6" x14ac:dyDescent="0.25">
      <c r="E1781" s="9"/>
      <c r="F1781" s="10"/>
    </row>
    <row r="1782" spans="5:6" x14ac:dyDescent="0.25">
      <c r="E1782" s="9"/>
      <c r="F1782" s="10"/>
    </row>
    <row r="1783" spans="5:6" x14ac:dyDescent="0.25">
      <c r="E1783" s="9"/>
      <c r="F1783" s="10"/>
    </row>
    <row r="1784" spans="5:6" x14ac:dyDescent="0.25">
      <c r="E1784" s="9"/>
      <c r="F1784" s="10"/>
    </row>
    <row r="1785" spans="5:6" x14ac:dyDescent="0.25">
      <c r="E1785" s="9"/>
      <c r="F1785" s="10"/>
    </row>
    <row r="1786" spans="5:6" x14ac:dyDescent="0.25">
      <c r="E1786" s="9"/>
      <c r="F1786" s="10"/>
    </row>
    <row r="1787" spans="5:6" x14ac:dyDescent="0.25">
      <c r="E1787" s="9"/>
      <c r="F1787" s="10"/>
    </row>
    <row r="1788" spans="5:6" x14ac:dyDescent="0.25">
      <c r="E1788" s="9"/>
      <c r="F1788" s="10"/>
    </row>
    <row r="1789" spans="5:6" x14ac:dyDescent="0.25">
      <c r="E1789" s="9"/>
      <c r="F1789" s="10"/>
    </row>
    <row r="1790" spans="5:6" x14ac:dyDescent="0.25">
      <c r="E1790" s="9"/>
      <c r="F1790" s="10"/>
    </row>
    <row r="1791" spans="5:6" x14ac:dyDescent="0.25">
      <c r="E1791" s="9"/>
      <c r="F1791" s="10"/>
    </row>
    <row r="1792" spans="5:6" x14ac:dyDescent="0.25">
      <c r="E1792" s="9"/>
      <c r="F1792" s="10"/>
    </row>
    <row r="1793" spans="5:6" x14ac:dyDescent="0.25">
      <c r="E1793" s="9"/>
      <c r="F1793" s="10"/>
    </row>
    <row r="1794" spans="5:6" x14ac:dyDescent="0.25">
      <c r="E1794" s="9"/>
      <c r="F1794" s="10"/>
    </row>
    <row r="1795" spans="5:6" x14ac:dyDescent="0.25">
      <c r="E1795" s="9"/>
      <c r="F1795" s="10"/>
    </row>
    <row r="1796" spans="5:6" x14ac:dyDescent="0.25">
      <c r="E1796" s="9"/>
      <c r="F1796" s="10"/>
    </row>
    <row r="1797" spans="5:6" x14ac:dyDescent="0.25">
      <c r="E1797" s="9"/>
      <c r="F1797" s="10"/>
    </row>
    <row r="1798" spans="5:6" x14ac:dyDescent="0.25">
      <c r="E1798" s="9"/>
      <c r="F1798" s="10"/>
    </row>
    <row r="1799" spans="5:6" x14ac:dyDescent="0.25">
      <c r="E1799" s="9"/>
      <c r="F1799" s="10"/>
    </row>
    <row r="1800" spans="5:6" x14ac:dyDescent="0.25">
      <c r="E1800" s="9"/>
      <c r="F1800" s="10"/>
    </row>
    <row r="1801" spans="5:6" x14ac:dyDescent="0.25">
      <c r="E1801" s="9"/>
      <c r="F1801" s="10"/>
    </row>
    <row r="1802" spans="5:6" x14ac:dyDescent="0.25">
      <c r="E1802" s="9"/>
      <c r="F1802" s="10"/>
    </row>
    <row r="1803" spans="5:6" x14ac:dyDescent="0.25">
      <c r="E1803" s="9"/>
      <c r="F1803" s="10"/>
    </row>
    <row r="1804" spans="5:6" x14ac:dyDescent="0.25">
      <c r="E1804" s="9"/>
      <c r="F1804" s="10"/>
    </row>
    <row r="1805" spans="5:6" x14ac:dyDescent="0.25">
      <c r="E1805" s="9"/>
      <c r="F1805" s="10"/>
    </row>
    <row r="1806" spans="5:6" x14ac:dyDescent="0.25">
      <c r="E1806" s="9"/>
      <c r="F1806" s="10"/>
    </row>
    <row r="1807" spans="5:6" x14ac:dyDescent="0.25">
      <c r="E1807" s="9"/>
      <c r="F1807" s="10"/>
    </row>
    <row r="1808" spans="5:6" x14ac:dyDescent="0.25">
      <c r="E1808" s="9"/>
      <c r="F1808" s="10"/>
    </row>
    <row r="1809" spans="5:6" x14ac:dyDescent="0.25">
      <c r="E1809" s="9"/>
      <c r="F1809" s="10"/>
    </row>
    <row r="1810" spans="5:6" x14ac:dyDescent="0.25">
      <c r="E1810" s="9"/>
      <c r="F1810" s="10"/>
    </row>
    <row r="1811" spans="5:6" x14ac:dyDescent="0.25">
      <c r="E1811" s="9"/>
      <c r="F1811" s="10"/>
    </row>
    <row r="1812" spans="5:6" x14ac:dyDescent="0.25">
      <c r="E1812" s="9"/>
      <c r="F1812" s="10"/>
    </row>
    <row r="1813" spans="5:6" x14ac:dyDescent="0.25">
      <c r="E1813" s="9"/>
      <c r="F1813" s="10"/>
    </row>
    <row r="1814" spans="5:6" x14ac:dyDescent="0.25">
      <c r="E1814" s="9"/>
      <c r="F1814" s="10"/>
    </row>
    <row r="1815" spans="5:6" x14ac:dyDescent="0.25">
      <c r="E1815" s="9"/>
      <c r="F1815" s="10"/>
    </row>
    <row r="1816" spans="5:6" x14ac:dyDescent="0.25">
      <c r="E1816" s="9"/>
      <c r="F1816" s="10"/>
    </row>
    <row r="1817" spans="5:6" x14ac:dyDescent="0.25">
      <c r="E1817" s="9"/>
      <c r="F1817" s="10"/>
    </row>
    <row r="1818" spans="5:6" x14ac:dyDescent="0.25">
      <c r="E1818" s="9"/>
      <c r="F1818" s="10"/>
    </row>
    <row r="1819" spans="5:6" x14ac:dyDescent="0.25">
      <c r="E1819" s="9"/>
      <c r="F1819" s="10"/>
    </row>
    <row r="1820" spans="5:6" x14ac:dyDescent="0.25">
      <c r="E1820" s="9"/>
      <c r="F1820" s="10"/>
    </row>
    <row r="1821" spans="5:6" x14ac:dyDescent="0.25">
      <c r="E1821" s="9"/>
      <c r="F1821" s="10"/>
    </row>
    <row r="1822" spans="5:6" x14ac:dyDescent="0.25">
      <c r="E1822" s="9"/>
      <c r="F1822" s="10"/>
    </row>
    <row r="1823" spans="5:6" x14ac:dyDescent="0.25">
      <c r="E1823" s="9"/>
      <c r="F1823" s="10"/>
    </row>
    <row r="1824" spans="5:6" x14ac:dyDescent="0.25">
      <c r="E1824" s="9"/>
      <c r="F1824" s="10"/>
    </row>
    <row r="1825" spans="5:6" x14ac:dyDescent="0.25">
      <c r="E1825" s="9"/>
      <c r="F1825" s="10"/>
    </row>
    <row r="1826" spans="5:6" x14ac:dyDescent="0.25">
      <c r="E1826" s="9"/>
      <c r="F1826" s="10"/>
    </row>
    <row r="1827" spans="5:6" x14ac:dyDescent="0.25">
      <c r="E1827" s="9"/>
      <c r="F1827" s="10"/>
    </row>
    <row r="1828" spans="5:6" x14ac:dyDescent="0.25">
      <c r="E1828" s="9"/>
      <c r="F1828" s="10"/>
    </row>
    <row r="1829" spans="5:6" x14ac:dyDescent="0.25">
      <c r="E1829" s="9"/>
      <c r="F1829" s="10"/>
    </row>
    <row r="1830" spans="5:6" x14ac:dyDescent="0.25">
      <c r="E1830" s="9"/>
      <c r="F1830" s="10"/>
    </row>
    <row r="1831" spans="5:6" x14ac:dyDescent="0.25">
      <c r="E1831" s="9"/>
      <c r="F1831" s="10"/>
    </row>
    <row r="1832" spans="5:6" x14ac:dyDescent="0.25">
      <c r="E1832" s="9"/>
      <c r="F1832" s="10"/>
    </row>
    <row r="1833" spans="5:6" x14ac:dyDescent="0.25">
      <c r="E1833" s="9"/>
      <c r="F1833" s="10"/>
    </row>
    <row r="1834" spans="5:6" x14ac:dyDescent="0.25">
      <c r="E1834" s="9"/>
      <c r="F1834" s="10"/>
    </row>
    <row r="1835" spans="5:6" x14ac:dyDescent="0.25">
      <c r="E1835" s="9"/>
      <c r="F1835" s="10"/>
    </row>
    <row r="1836" spans="5:6" x14ac:dyDescent="0.25">
      <c r="E1836" s="9"/>
      <c r="F1836" s="10"/>
    </row>
    <row r="1837" spans="5:6" x14ac:dyDescent="0.25">
      <c r="E1837" s="9"/>
      <c r="F1837" s="10"/>
    </row>
    <row r="1838" spans="5:6" x14ac:dyDescent="0.25">
      <c r="E1838" s="9"/>
      <c r="F1838" s="10"/>
    </row>
    <row r="1839" spans="5:6" x14ac:dyDescent="0.25">
      <c r="E1839" s="9"/>
      <c r="F1839" s="10"/>
    </row>
    <row r="1840" spans="5:6" x14ac:dyDescent="0.25">
      <c r="E1840" s="9"/>
      <c r="F1840" s="10"/>
    </row>
    <row r="1841" spans="5:6" x14ac:dyDescent="0.25">
      <c r="E1841" s="9"/>
      <c r="F1841" s="10"/>
    </row>
    <row r="1842" spans="5:6" x14ac:dyDescent="0.25">
      <c r="E1842" s="9"/>
      <c r="F1842" s="10"/>
    </row>
    <row r="1843" spans="5:6" x14ac:dyDescent="0.25">
      <c r="E1843" s="9"/>
      <c r="F1843" s="10"/>
    </row>
    <row r="1844" spans="5:6" x14ac:dyDescent="0.25">
      <c r="E1844" s="9"/>
      <c r="F1844" s="10"/>
    </row>
    <row r="1845" spans="5:6" x14ac:dyDescent="0.25">
      <c r="E1845" s="9"/>
      <c r="F1845" s="10"/>
    </row>
    <row r="1846" spans="5:6" x14ac:dyDescent="0.25">
      <c r="E1846" s="9"/>
      <c r="F1846" s="10"/>
    </row>
    <row r="1847" spans="5:6" x14ac:dyDescent="0.25">
      <c r="E1847" s="9"/>
      <c r="F1847" s="10"/>
    </row>
    <row r="1848" spans="5:6" x14ac:dyDescent="0.25">
      <c r="E1848" s="9"/>
      <c r="F1848" s="10"/>
    </row>
    <row r="1849" spans="5:6" x14ac:dyDescent="0.25">
      <c r="E1849" s="9"/>
      <c r="F1849" s="10"/>
    </row>
    <row r="1850" spans="5:6" x14ac:dyDescent="0.25">
      <c r="E1850" s="9"/>
      <c r="F1850" s="10"/>
    </row>
    <row r="1851" spans="5:6" x14ac:dyDescent="0.25">
      <c r="E1851" s="9"/>
      <c r="F1851" s="10"/>
    </row>
    <row r="1852" spans="5:6" x14ac:dyDescent="0.25">
      <c r="E1852" s="9"/>
      <c r="F1852" s="10"/>
    </row>
    <row r="1853" spans="5:6" x14ac:dyDescent="0.25">
      <c r="E1853" s="9"/>
      <c r="F1853" s="10"/>
    </row>
    <row r="1854" spans="5:6" x14ac:dyDescent="0.25">
      <c r="E1854" s="9"/>
      <c r="F1854" s="10"/>
    </row>
    <row r="1855" spans="5:6" x14ac:dyDescent="0.25">
      <c r="E1855" s="9"/>
      <c r="F1855" s="10"/>
    </row>
    <row r="1856" spans="5:6" x14ac:dyDescent="0.25">
      <c r="E1856" s="9"/>
      <c r="F1856" s="10"/>
    </row>
    <row r="1857" spans="5:6" x14ac:dyDescent="0.25">
      <c r="E1857" s="9"/>
      <c r="F1857" s="10"/>
    </row>
    <row r="1858" spans="5:6" x14ac:dyDescent="0.25">
      <c r="E1858" s="9"/>
      <c r="F1858" s="10"/>
    </row>
    <row r="1859" spans="5:6" x14ac:dyDescent="0.25">
      <c r="E1859" s="9"/>
      <c r="F1859" s="10"/>
    </row>
    <row r="1860" spans="5:6" x14ac:dyDescent="0.25">
      <c r="E1860" s="9"/>
      <c r="F1860" s="10"/>
    </row>
    <row r="1861" spans="5:6" x14ac:dyDescent="0.25">
      <c r="E1861" s="9"/>
      <c r="F1861" s="10"/>
    </row>
    <row r="1862" spans="5:6" x14ac:dyDescent="0.25">
      <c r="E1862" s="9"/>
      <c r="F1862" s="10"/>
    </row>
    <row r="1863" spans="5:6" x14ac:dyDescent="0.25">
      <c r="E1863" s="9"/>
      <c r="F1863" s="10"/>
    </row>
    <row r="1864" spans="5:6" x14ac:dyDescent="0.25">
      <c r="E1864" s="9"/>
      <c r="F1864" s="10"/>
    </row>
    <row r="1865" spans="5:6" x14ac:dyDescent="0.25">
      <c r="E1865" s="9"/>
      <c r="F1865" s="10"/>
    </row>
    <row r="1866" spans="5:6" x14ac:dyDescent="0.25">
      <c r="E1866" s="9"/>
      <c r="F1866" s="10"/>
    </row>
    <row r="1867" spans="5:6" x14ac:dyDescent="0.25">
      <c r="E1867" s="9"/>
      <c r="F1867" s="10"/>
    </row>
    <row r="1868" spans="5:6" x14ac:dyDescent="0.25">
      <c r="E1868" s="9"/>
      <c r="F1868" s="10"/>
    </row>
    <row r="1869" spans="5:6" x14ac:dyDescent="0.25">
      <c r="E1869" s="9"/>
      <c r="F1869" s="10"/>
    </row>
    <row r="1870" spans="5:6" x14ac:dyDescent="0.25">
      <c r="E1870" s="9"/>
      <c r="F1870" s="10"/>
    </row>
    <row r="1871" spans="5:6" x14ac:dyDescent="0.25">
      <c r="E1871" s="9"/>
      <c r="F1871" s="10"/>
    </row>
    <row r="1872" spans="5:6" x14ac:dyDescent="0.25">
      <c r="E1872" s="9"/>
      <c r="F1872" s="10"/>
    </row>
    <row r="1873" spans="5:6" x14ac:dyDescent="0.25">
      <c r="E1873" s="9"/>
      <c r="F1873" s="10"/>
    </row>
    <row r="1874" spans="5:6" x14ac:dyDescent="0.25">
      <c r="E1874" s="9"/>
      <c r="F1874" s="10"/>
    </row>
    <row r="1875" spans="5:6" x14ac:dyDescent="0.25">
      <c r="E1875" s="9"/>
      <c r="F1875" s="10"/>
    </row>
    <row r="1876" spans="5:6" x14ac:dyDescent="0.25">
      <c r="E1876" s="9"/>
      <c r="F1876" s="10"/>
    </row>
    <row r="1877" spans="5:6" x14ac:dyDescent="0.25">
      <c r="E1877" s="9"/>
      <c r="F1877" s="10"/>
    </row>
    <row r="1878" spans="5:6" x14ac:dyDescent="0.25">
      <c r="E1878" s="9"/>
      <c r="F1878" s="10"/>
    </row>
    <row r="1879" spans="5:6" x14ac:dyDescent="0.25">
      <c r="E1879" s="9"/>
      <c r="F1879" s="10"/>
    </row>
    <row r="1880" spans="5:6" x14ac:dyDescent="0.25">
      <c r="E1880" s="9"/>
      <c r="F1880" s="10"/>
    </row>
    <row r="1881" spans="5:6" x14ac:dyDescent="0.25">
      <c r="E1881" s="9"/>
      <c r="F1881" s="10"/>
    </row>
    <row r="1882" spans="5:6" x14ac:dyDescent="0.25">
      <c r="E1882" s="9"/>
      <c r="F1882" s="10"/>
    </row>
    <row r="1883" spans="5:6" x14ac:dyDescent="0.25">
      <c r="E1883" s="9"/>
      <c r="F1883" s="10"/>
    </row>
    <row r="1884" spans="5:6" x14ac:dyDescent="0.25">
      <c r="E1884" s="9"/>
      <c r="F1884" s="10"/>
    </row>
    <row r="1885" spans="5:6" x14ac:dyDescent="0.25">
      <c r="E1885" s="9"/>
      <c r="F1885" s="10"/>
    </row>
    <row r="1886" spans="5:6" x14ac:dyDescent="0.25">
      <c r="E1886" s="9"/>
      <c r="F1886" s="10"/>
    </row>
    <row r="1887" spans="5:6" x14ac:dyDescent="0.25">
      <c r="E1887" s="9"/>
      <c r="F1887" s="10"/>
    </row>
    <row r="1888" spans="5:6" x14ac:dyDescent="0.25">
      <c r="E1888" s="9"/>
      <c r="F1888" s="10"/>
    </row>
    <row r="1889" spans="5:6" x14ac:dyDescent="0.25">
      <c r="E1889" s="9"/>
      <c r="F1889" s="10"/>
    </row>
    <row r="1890" spans="5:6" x14ac:dyDescent="0.25">
      <c r="E1890" s="9"/>
      <c r="F1890" s="10"/>
    </row>
    <row r="1891" spans="5:6" x14ac:dyDescent="0.25">
      <c r="E1891" s="9"/>
      <c r="F1891" s="10"/>
    </row>
    <row r="1892" spans="5:6" x14ac:dyDescent="0.25">
      <c r="E1892" s="9"/>
      <c r="F1892" s="10"/>
    </row>
    <row r="1893" spans="5:6" x14ac:dyDescent="0.25">
      <c r="E1893" s="9"/>
      <c r="F1893" s="10"/>
    </row>
    <row r="1894" spans="5:6" x14ac:dyDescent="0.25">
      <c r="E1894" s="9"/>
      <c r="F1894" s="10"/>
    </row>
    <row r="1895" spans="5:6" x14ac:dyDescent="0.25">
      <c r="E1895" s="9"/>
      <c r="F1895" s="10"/>
    </row>
    <row r="1896" spans="5:6" x14ac:dyDescent="0.25">
      <c r="E1896" s="9"/>
      <c r="F1896" s="10"/>
    </row>
    <row r="1897" spans="5:6" x14ac:dyDescent="0.25">
      <c r="E1897" s="9"/>
      <c r="F1897" s="10"/>
    </row>
    <row r="1898" spans="5:6" x14ac:dyDescent="0.25">
      <c r="E1898" s="9"/>
      <c r="F1898" s="10"/>
    </row>
    <row r="1899" spans="5:6" x14ac:dyDescent="0.25">
      <c r="E1899" s="9"/>
      <c r="F1899" s="10"/>
    </row>
    <row r="1900" spans="5:6" x14ac:dyDescent="0.25">
      <c r="E1900" s="9"/>
      <c r="F1900" s="10"/>
    </row>
    <row r="1901" spans="5:6" x14ac:dyDescent="0.25">
      <c r="E1901" s="9"/>
      <c r="F1901" s="10"/>
    </row>
    <row r="1902" spans="5:6" x14ac:dyDescent="0.25">
      <c r="E1902" s="9"/>
      <c r="F1902" s="10"/>
    </row>
    <row r="1903" spans="5:6" x14ac:dyDescent="0.25">
      <c r="E1903" s="9"/>
      <c r="F1903" s="10"/>
    </row>
    <row r="1904" spans="5:6" x14ac:dyDescent="0.25">
      <c r="E1904" s="9"/>
      <c r="F1904" s="10"/>
    </row>
    <row r="1905" spans="5:6" x14ac:dyDescent="0.25">
      <c r="E1905" s="9"/>
      <c r="F1905" s="10"/>
    </row>
    <row r="1906" spans="5:6" x14ac:dyDescent="0.25">
      <c r="E1906" s="9"/>
      <c r="F1906" s="10"/>
    </row>
    <row r="1907" spans="5:6" x14ac:dyDescent="0.25">
      <c r="E1907" s="9"/>
      <c r="F1907" s="10"/>
    </row>
    <row r="1908" spans="5:6" x14ac:dyDescent="0.25">
      <c r="E1908" s="9"/>
      <c r="F1908" s="10"/>
    </row>
    <row r="1909" spans="5:6" x14ac:dyDescent="0.25">
      <c r="E1909" s="9"/>
      <c r="F1909" s="10"/>
    </row>
    <row r="1910" spans="5:6" x14ac:dyDescent="0.25">
      <c r="E1910" s="9"/>
      <c r="F1910" s="10"/>
    </row>
    <row r="1911" spans="5:6" x14ac:dyDescent="0.25">
      <c r="E1911" s="9"/>
      <c r="F1911" s="10"/>
    </row>
    <row r="1912" spans="5:6" x14ac:dyDescent="0.25">
      <c r="E1912" s="9"/>
      <c r="F1912" s="10"/>
    </row>
    <row r="1913" spans="5:6" x14ac:dyDescent="0.25">
      <c r="E1913" s="9"/>
      <c r="F1913" s="10"/>
    </row>
    <row r="1914" spans="5:6" x14ac:dyDescent="0.25">
      <c r="E1914" s="9"/>
      <c r="F1914" s="10"/>
    </row>
    <row r="1915" spans="5:6" x14ac:dyDescent="0.25">
      <c r="E1915" s="9"/>
      <c r="F1915" s="10"/>
    </row>
    <row r="1916" spans="5:6" x14ac:dyDescent="0.25">
      <c r="E1916" s="9"/>
      <c r="F1916" s="10"/>
    </row>
    <row r="1917" spans="5:6" x14ac:dyDescent="0.25">
      <c r="E1917" s="9"/>
      <c r="F1917" s="10"/>
    </row>
    <row r="1918" spans="5:6" x14ac:dyDescent="0.25">
      <c r="E1918" s="9"/>
      <c r="F1918" s="10"/>
    </row>
    <row r="1919" spans="5:6" x14ac:dyDescent="0.25">
      <c r="E1919" s="9"/>
      <c r="F1919" s="10"/>
    </row>
    <row r="1920" spans="5:6" x14ac:dyDescent="0.25">
      <c r="E1920" s="9"/>
      <c r="F1920" s="10"/>
    </row>
    <row r="1921" spans="5:6" x14ac:dyDescent="0.25">
      <c r="E1921" s="9"/>
      <c r="F1921" s="10"/>
    </row>
    <row r="1922" spans="5:6" x14ac:dyDescent="0.25">
      <c r="E1922" s="9"/>
      <c r="F1922" s="10"/>
    </row>
    <row r="1923" spans="5:6" x14ac:dyDescent="0.25">
      <c r="E1923" s="9"/>
      <c r="F1923" s="10"/>
    </row>
    <row r="1924" spans="5:6" x14ac:dyDescent="0.25">
      <c r="E1924" s="9"/>
      <c r="F1924" s="10"/>
    </row>
    <row r="1925" spans="5:6" x14ac:dyDescent="0.25">
      <c r="E1925" s="9"/>
      <c r="F1925" s="10"/>
    </row>
    <row r="1926" spans="5:6" x14ac:dyDescent="0.25">
      <c r="E1926" s="9"/>
      <c r="F1926" s="10"/>
    </row>
    <row r="1927" spans="5:6" x14ac:dyDescent="0.25">
      <c r="E1927" s="9"/>
      <c r="F1927" s="10"/>
    </row>
    <row r="1928" spans="5:6" x14ac:dyDescent="0.25">
      <c r="E1928" s="9"/>
      <c r="F1928" s="10"/>
    </row>
    <row r="1929" spans="5:6" x14ac:dyDescent="0.25">
      <c r="E1929" s="9"/>
      <c r="F1929" s="10"/>
    </row>
    <row r="1930" spans="5:6" x14ac:dyDescent="0.25">
      <c r="E1930" s="9"/>
      <c r="F1930" s="10"/>
    </row>
    <row r="1931" spans="5:6" x14ac:dyDescent="0.25">
      <c r="E1931" s="9"/>
      <c r="F1931" s="10"/>
    </row>
    <row r="1932" spans="5:6" x14ac:dyDescent="0.25">
      <c r="E1932" s="9"/>
      <c r="F1932" s="10"/>
    </row>
    <row r="1933" spans="5:6" x14ac:dyDescent="0.25">
      <c r="E1933" s="9"/>
      <c r="F1933" s="10"/>
    </row>
    <row r="1934" spans="5:6" x14ac:dyDescent="0.25">
      <c r="E1934" s="9"/>
      <c r="F1934" s="10"/>
    </row>
    <row r="1935" spans="5:6" x14ac:dyDescent="0.25">
      <c r="E1935" s="9"/>
      <c r="F1935" s="10"/>
    </row>
    <row r="1936" spans="5:6" x14ac:dyDescent="0.25">
      <c r="E1936" s="9"/>
      <c r="F1936" s="10"/>
    </row>
    <row r="1937" spans="5:6" x14ac:dyDescent="0.25">
      <c r="E1937" s="9"/>
      <c r="F1937" s="10"/>
    </row>
    <row r="1938" spans="5:6" x14ac:dyDescent="0.25">
      <c r="E1938" s="9"/>
      <c r="F1938" s="10"/>
    </row>
    <row r="1939" spans="5:6" x14ac:dyDescent="0.25">
      <c r="E1939" s="9"/>
      <c r="F1939" s="10"/>
    </row>
    <row r="1940" spans="5:6" x14ac:dyDescent="0.25">
      <c r="E1940" s="9"/>
      <c r="F1940" s="10"/>
    </row>
    <row r="1941" spans="5:6" x14ac:dyDescent="0.25">
      <c r="E1941" s="9"/>
      <c r="F1941" s="10"/>
    </row>
    <row r="1942" spans="5:6" x14ac:dyDescent="0.25">
      <c r="E1942" s="9"/>
      <c r="F1942" s="10"/>
    </row>
    <row r="1943" spans="5:6" x14ac:dyDescent="0.25">
      <c r="E1943" s="9"/>
      <c r="F1943" s="10"/>
    </row>
    <row r="1944" spans="5:6" x14ac:dyDescent="0.25">
      <c r="E1944" s="9"/>
      <c r="F1944" s="10"/>
    </row>
    <row r="1945" spans="5:6" x14ac:dyDescent="0.25">
      <c r="E1945" s="9"/>
      <c r="F1945" s="10"/>
    </row>
    <row r="1946" spans="5:6" x14ac:dyDescent="0.25">
      <c r="E1946" s="9"/>
      <c r="F1946" s="10"/>
    </row>
    <row r="1947" spans="5:6" x14ac:dyDescent="0.25">
      <c r="E1947" s="9"/>
      <c r="F1947" s="10"/>
    </row>
    <row r="1948" spans="5:6" x14ac:dyDescent="0.25">
      <c r="E1948" s="9"/>
      <c r="F1948" s="10"/>
    </row>
    <row r="1949" spans="5:6" x14ac:dyDescent="0.25">
      <c r="E1949" s="9"/>
      <c r="F1949" s="10"/>
    </row>
    <row r="1950" spans="5:6" x14ac:dyDescent="0.25">
      <c r="E1950" s="9"/>
      <c r="F1950" s="10"/>
    </row>
    <row r="1951" spans="5:6" x14ac:dyDescent="0.25">
      <c r="E1951" s="9"/>
      <c r="F1951" s="10"/>
    </row>
    <row r="1952" spans="5:6" x14ac:dyDescent="0.25">
      <c r="E1952" s="9"/>
      <c r="F1952" s="10"/>
    </row>
    <row r="1953" spans="5:6" x14ac:dyDescent="0.25">
      <c r="E1953" s="9"/>
      <c r="F1953" s="10"/>
    </row>
    <row r="1954" spans="5:6" x14ac:dyDescent="0.25">
      <c r="E1954" s="9"/>
      <c r="F1954" s="10"/>
    </row>
    <row r="1955" spans="5:6" x14ac:dyDescent="0.25">
      <c r="E1955" s="9"/>
      <c r="F1955" s="10"/>
    </row>
    <row r="1956" spans="5:6" x14ac:dyDescent="0.25">
      <c r="E1956" s="9"/>
      <c r="F1956" s="10"/>
    </row>
    <row r="1957" spans="5:6" x14ac:dyDescent="0.25">
      <c r="E1957" s="9"/>
      <c r="F1957" s="10"/>
    </row>
    <row r="1958" spans="5:6" x14ac:dyDescent="0.25">
      <c r="E1958" s="9"/>
      <c r="F1958" s="10"/>
    </row>
    <row r="1959" spans="5:6" x14ac:dyDescent="0.25">
      <c r="E1959" s="9"/>
      <c r="F1959" s="10"/>
    </row>
    <row r="1960" spans="5:6" x14ac:dyDescent="0.25">
      <c r="E1960" s="9"/>
      <c r="F1960" s="10"/>
    </row>
    <row r="1961" spans="5:6" x14ac:dyDescent="0.25">
      <c r="E1961" s="9"/>
      <c r="F1961" s="10"/>
    </row>
    <row r="1962" spans="5:6" x14ac:dyDescent="0.25">
      <c r="E1962" s="9"/>
      <c r="F1962" s="10"/>
    </row>
    <row r="1963" spans="5:6" x14ac:dyDescent="0.25">
      <c r="E1963" s="9"/>
      <c r="F1963" s="10"/>
    </row>
    <row r="1964" spans="5:6" x14ac:dyDescent="0.25">
      <c r="E1964" s="9"/>
      <c r="F1964" s="10"/>
    </row>
    <row r="1965" spans="5:6" x14ac:dyDescent="0.25">
      <c r="E1965" s="9"/>
      <c r="F1965" s="10"/>
    </row>
    <row r="1966" spans="5:6" x14ac:dyDescent="0.25">
      <c r="E1966" s="9"/>
      <c r="F1966" s="10"/>
    </row>
    <row r="1967" spans="5:6" x14ac:dyDescent="0.25">
      <c r="E1967" s="9"/>
      <c r="F1967" s="10"/>
    </row>
    <row r="1968" spans="5:6" x14ac:dyDescent="0.25">
      <c r="E1968" s="9"/>
      <c r="F1968" s="10"/>
    </row>
    <row r="1969" spans="5:6" x14ac:dyDescent="0.25">
      <c r="E1969" s="9"/>
      <c r="F1969" s="10"/>
    </row>
    <row r="1970" spans="5:6" x14ac:dyDescent="0.25">
      <c r="E1970" s="9"/>
      <c r="F1970" s="10"/>
    </row>
    <row r="1971" spans="5:6" x14ac:dyDescent="0.25">
      <c r="E1971" s="9"/>
      <c r="F1971" s="10"/>
    </row>
    <row r="1972" spans="5:6" x14ac:dyDescent="0.25">
      <c r="E1972" s="9"/>
      <c r="F1972" s="10"/>
    </row>
    <row r="1973" spans="5:6" x14ac:dyDescent="0.25">
      <c r="E1973" s="9"/>
      <c r="F1973" s="10"/>
    </row>
    <row r="1974" spans="5:6" x14ac:dyDescent="0.25">
      <c r="E1974" s="9"/>
      <c r="F1974" s="10"/>
    </row>
    <row r="1975" spans="5:6" x14ac:dyDescent="0.25">
      <c r="E1975" s="9"/>
      <c r="F1975" s="10"/>
    </row>
    <row r="1976" spans="5:6" x14ac:dyDescent="0.25">
      <c r="E1976" s="9"/>
      <c r="F1976" s="10"/>
    </row>
    <row r="1977" spans="5:6" x14ac:dyDescent="0.25">
      <c r="E1977" s="9"/>
      <c r="F1977" s="10"/>
    </row>
    <row r="1978" spans="5:6" x14ac:dyDescent="0.25">
      <c r="E1978" s="9"/>
      <c r="F1978" s="10"/>
    </row>
    <row r="1979" spans="5:6" x14ac:dyDescent="0.25">
      <c r="E1979" s="9"/>
      <c r="F1979" s="10"/>
    </row>
    <row r="1980" spans="5:6" x14ac:dyDescent="0.25">
      <c r="E1980" s="9"/>
      <c r="F1980" s="10"/>
    </row>
    <row r="1981" spans="5:6" x14ac:dyDescent="0.25">
      <c r="E1981" s="9"/>
      <c r="F1981" s="10"/>
    </row>
    <row r="1982" spans="5:6" x14ac:dyDescent="0.25">
      <c r="E1982" s="9"/>
      <c r="F1982" s="10"/>
    </row>
    <row r="1983" spans="5:6" x14ac:dyDescent="0.25">
      <c r="E1983" s="9"/>
      <c r="F1983" s="10"/>
    </row>
    <row r="1984" spans="5:6" x14ac:dyDescent="0.25">
      <c r="E1984" s="9"/>
      <c r="F1984" s="10"/>
    </row>
    <row r="1985" spans="5:6" x14ac:dyDescent="0.25">
      <c r="E1985" s="9"/>
      <c r="F1985" s="10"/>
    </row>
    <row r="1986" spans="5:6" x14ac:dyDescent="0.25">
      <c r="E1986" s="9"/>
      <c r="F1986" s="10"/>
    </row>
    <row r="1987" spans="5:6" x14ac:dyDescent="0.25">
      <c r="E1987" s="9"/>
      <c r="F1987" s="10"/>
    </row>
    <row r="1988" spans="5:6" x14ac:dyDescent="0.25">
      <c r="E1988" s="9"/>
      <c r="F1988" s="10"/>
    </row>
    <row r="1989" spans="5:6" x14ac:dyDescent="0.25">
      <c r="E1989" s="9"/>
      <c r="F1989" s="10"/>
    </row>
    <row r="1990" spans="5:6" x14ac:dyDescent="0.25">
      <c r="E1990" s="9"/>
      <c r="F1990" s="10"/>
    </row>
    <row r="1991" spans="5:6" x14ac:dyDescent="0.25">
      <c r="E1991" s="9"/>
      <c r="F1991" s="10"/>
    </row>
    <row r="1992" spans="5:6" x14ac:dyDescent="0.25">
      <c r="E1992" s="9"/>
      <c r="F1992" s="10"/>
    </row>
    <row r="1993" spans="5:6" x14ac:dyDescent="0.25">
      <c r="E1993" s="9"/>
      <c r="F1993" s="10"/>
    </row>
    <row r="1994" spans="5:6" x14ac:dyDescent="0.25">
      <c r="E1994" s="9"/>
      <c r="F1994" s="10"/>
    </row>
    <row r="1995" spans="5:6" x14ac:dyDescent="0.25">
      <c r="E1995" s="9"/>
      <c r="F1995" s="10"/>
    </row>
    <row r="1996" spans="5:6" x14ac:dyDescent="0.25">
      <c r="E1996" s="9"/>
      <c r="F1996" s="10"/>
    </row>
    <row r="1997" spans="5:6" x14ac:dyDescent="0.25">
      <c r="E1997" s="9"/>
      <c r="F1997" s="10"/>
    </row>
    <row r="1998" spans="5:6" x14ac:dyDescent="0.25">
      <c r="E1998" s="9"/>
      <c r="F1998" s="10"/>
    </row>
    <row r="1999" spans="5:6" x14ac:dyDescent="0.25">
      <c r="E1999" s="9"/>
      <c r="F1999" s="10"/>
    </row>
    <row r="2000" spans="5:6" x14ac:dyDescent="0.25">
      <c r="E2000" s="9"/>
      <c r="F2000" s="10"/>
    </row>
    <row r="2001" spans="5:6" x14ac:dyDescent="0.25">
      <c r="E2001" s="9"/>
      <c r="F2001" s="10"/>
    </row>
  </sheetData>
  <sheetProtection sheet="1" formatColumns="0" formatRows="0" autoFilter="0"/>
  <autoFilter ref="A1:F2001"/>
  <dataValidations count="4">
    <dataValidation type="decimal" operator="greaterThanOrEqual" allowBlank="1" showErrorMessage="1" errorStyle="stop" errorTitle="Ordre" error="Un nombre positif ou nul, par exemple 1, 2 ou 4.1. Il sert seulement à l'ordre d'affichage." sqref="A2:A2001">
      <formula1>0</formula1>
    </dataValidation>
    <dataValidation type="list" allowBlank="1" showErrorMessage="1" errorStyle="stop" errorTitle="Nature" error="Choisissez Epargne, Liquidité ou Immobilier." sqref="C2:C2001">
      <formula1>"Epargne,Liquidité,Immobilier"</formula1>
    </dataValidation>
    <dataValidation type="date" allowBlank="1" showErrorMessage="1" errorStyle="stop" errorTitle="Date" error="Une date entre 2000 et 2099, en fin de mois, par exemple 31/03/2026." sqref="E2:E2001">
      <formula1>36526</formula1>
      <formula2>73050</formula2>
    </dataValidation>
    <dataValidation type="decimal" allowBlank="1" showErrorMessage="1" errorStyle="stop" errorTitle="Montant" error="Un nombre, par exemple 1520,40. Négatif possible (découvert). Laissez vide si le solde n'est pas encore connu." sqref="F2:F2001">
      <formula1>-1000000000</formula1>
      <formula2>1000000000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9"/>
  <sheetFormatPr defaultRowHeight="15" outlineLevelRow="0" outlineLevelCol="0" x14ac:dyDescent="55"/>
  <cols>
    <col min="1" max="1" width="40" customWidth="1"/>
    <col min="2" max="2" width="16" customWidth="1"/>
    <col min="3" max="3" width="3" customWidth="1"/>
    <col min="4" max="4" width="32" customWidth="1"/>
    <col min="5" max="5" width="18" customWidth="1"/>
    <col min="6" max="6" width="16" customWidth="1"/>
    <col min="7" max="7" width="15" customWidth="1"/>
    <col min="8" max="8" width="32" customWidth="1"/>
    <col min="9" max="9" width="16" customWidth="1"/>
    <col min="10" max="10" width="13" customWidth="1"/>
    <col min="11" max="11" width="10" customWidth="1"/>
    <col min="12" max="12" width="3" customWidth="1"/>
    <col min="13" max="14" width="30" customWidth="1"/>
    <col min="15" max="15" width="22" customWidth="1"/>
    <col min="16" max="16" width="15" customWidth="1"/>
    <col min="17" max="17" width="20" customWidth="1"/>
    <col min="18" max="18" width="3" customWidth="1"/>
    <col min="19" max="19" width="20" customWidth="1"/>
    <col min="20" max="20" width="10" customWidth="1"/>
    <col min="21" max="21" width="3" customWidth="1"/>
    <col min="22" max="22" width="22" customWidth="1"/>
    <col min="24" max="24" width="11" customWidth="1"/>
    <col min="25" max="25" width="12" customWidth="1"/>
    <col min="26" max="26" width="26" customWidth="1"/>
  </cols>
  <sheetData>
    <row r="1" spans="1:22" x14ac:dyDescent="0.25">
      <c r="A1" s="14" t="s">
        <v>178</v>
      </c>
      <c r="B1" s="14"/>
      <c r="D1" s="14" t="s">
        <v>179</v>
      </c>
      <c r="E1" s="14"/>
      <c r="F1" s="14"/>
      <c r="G1" s="14"/>
      <c r="H1" s="14"/>
      <c r="I1" s="14"/>
      <c r="J1" s="14"/>
      <c r="K1" s="14"/>
      <c r="M1" s="14" t="s">
        <v>180</v>
      </c>
      <c r="N1" s="14"/>
      <c r="O1" s="14"/>
      <c r="P1" s="14"/>
      <c r="Q1" s="14"/>
      <c r="S1" s="14" t="s">
        <v>181</v>
      </c>
      <c r="T1" s="14"/>
      <c r="U1" s="14"/>
      <c r="V1" s="14"/>
    </row>
    <row r="2" ht="20" customHeight="1" spans="1:22" x14ac:dyDescent="0.25">
      <c r="A2" s="15" t="s">
        <v>182</v>
      </c>
      <c r="B2" s="15"/>
      <c r="D2" s="15" t="s">
        <v>183</v>
      </c>
      <c r="E2" s="15"/>
      <c r="F2" s="15"/>
      <c r="G2" s="15"/>
      <c r="H2" s="15"/>
      <c r="I2" s="15"/>
      <c r="J2" s="15"/>
      <c r="K2" s="15"/>
      <c r="M2" s="15" t="s">
        <v>184</v>
      </c>
      <c r="N2" s="15"/>
      <c r="O2" s="15"/>
      <c r="P2" s="15"/>
      <c r="Q2" s="15"/>
      <c r="S2" s="15" t="s">
        <v>185</v>
      </c>
      <c r="T2" s="15"/>
      <c r="U2" s="15"/>
      <c r="V2" s="15"/>
    </row>
    <row r="3" ht="20" customHeight="1" spans="1:22" x14ac:dyDescent="0.25">
      <c r="A3" s="15"/>
      <c r="B3" s="15"/>
      <c r="D3" s="15"/>
      <c r="E3" s="15"/>
      <c r="F3" s="15"/>
      <c r="G3" s="15"/>
      <c r="H3" s="15"/>
      <c r="I3" s="15"/>
      <c r="J3" s="15"/>
      <c r="K3" s="15"/>
      <c r="M3" s="15"/>
      <c r="N3" s="15"/>
      <c r="O3" s="15"/>
      <c r="P3" s="15"/>
      <c r="Q3" s="15"/>
      <c r="S3" s="15"/>
      <c r="T3" s="15"/>
      <c r="U3" s="15"/>
      <c r="V3" s="15"/>
    </row>
    <row r="4" ht="20" customHeight="1" spans="1:22" x14ac:dyDescent="0.25">
      <c r="A4" s="15"/>
      <c r="B4" s="15"/>
      <c r="D4" s="15"/>
      <c r="E4" s="15"/>
      <c r="F4" s="15"/>
      <c r="G4" s="15"/>
      <c r="H4" s="15"/>
      <c r="I4" s="15"/>
      <c r="J4" s="15"/>
      <c r="K4" s="15"/>
      <c r="M4" s="15"/>
      <c r="N4" s="15"/>
      <c r="O4" s="15"/>
      <c r="P4" s="15"/>
      <c r="Q4" s="15"/>
      <c r="S4" s="15"/>
      <c r="T4" s="15"/>
      <c r="U4" s="15"/>
      <c r="V4" s="15"/>
    </row>
    <row r="5" ht="20" customHeight="1" spans="1:22" x14ac:dyDescent="0.25">
      <c r="A5" s="15"/>
      <c r="B5" s="15"/>
      <c r="D5" s="15"/>
      <c r="E5" s="15"/>
      <c r="F5" s="15"/>
      <c r="G5" s="15"/>
      <c r="H5" s="15"/>
      <c r="I5" s="15"/>
      <c r="J5" s="15"/>
      <c r="K5" s="15"/>
      <c r="M5" s="15"/>
      <c r="N5" s="15"/>
      <c r="O5" s="15"/>
      <c r="P5" s="15"/>
      <c r="Q5" s="15"/>
      <c r="S5" s="15"/>
      <c r="T5" s="15"/>
      <c r="U5" s="15"/>
      <c r="V5" s="15"/>
    </row>
    <row r="6" ht="20" customHeight="1" spans="1:22" x14ac:dyDescent="0.25">
      <c r="A6" s="15"/>
      <c r="B6" s="15"/>
      <c r="D6" s="15"/>
      <c r="E6" s="15"/>
      <c r="F6" s="15"/>
      <c r="G6" s="15"/>
      <c r="H6" s="15"/>
      <c r="I6" s="15"/>
      <c r="J6" s="15"/>
      <c r="K6" s="15"/>
      <c r="M6" s="15"/>
      <c r="N6" s="15"/>
      <c r="O6" s="15"/>
      <c r="P6" s="15"/>
      <c r="Q6" s="15"/>
      <c r="S6" s="15"/>
      <c r="T6" s="15"/>
      <c r="U6" s="15"/>
      <c r="V6" s="15"/>
    </row>
    <row r="7" ht="20" customHeight="1" spans="1:22" x14ac:dyDescent="0.25">
      <c r="A7" s="15"/>
      <c r="B7" s="15"/>
      <c r="D7" s="15"/>
      <c r="E7" s="15"/>
      <c r="F7" s="15"/>
      <c r="G7" s="15"/>
      <c r="H7" s="15"/>
      <c r="I7" s="15"/>
      <c r="J7" s="15"/>
      <c r="K7" s="15"/>
      <c r="M7" s="15"/>
      <c r="N7" s="15"/>
      <c r="O7" s="15"/>
      <c r="P7" s="15"/>
      <c r="Q7" s="15"/>
      <c r="S7" s="15"/>
      <c r="T7" s="15"/>
      <c r="U7" s="15"/>
      <c r="V7" s="15"/>
    </row>
    <row r="9" spans="1:26" x14ac:dyDescent="0.25">
      <c r="A9" s="16" t="s">
        <v>186</v>
      </c>
      <c r="B9" s="16" t="s">
        <v>187</v>
      </c>
      <c r="D9" s="16" t="s">
        <v>36</v>
      </c>
      <c r="E9" s="16" t="s">
        <v>188</v>
      </c>
      <c r="F9" s="16" t="s">
        <v>189</v>
      </c>
      <c r="G9" s="16" t="s">
        <v>190</v>
      </c>
      <c r="H9" s="16" t="s">
        <v>52</v>
      </c>
      <c r="I9" s="16" t="s">
        <v>191</v>
      </c>
      <c r="J9" s="16" t="s">
        <v>192</v>
      </c>
      <c r="K9" s="16" t="s">
        <v>193</v>
      </c>
      <c r="M9" s="16" t="s">
        <v>37</v>
      </c>
      <c r="N9" s="16" t="s">
        <v>194</v>
      </c>
      <c r="O9" s="16" t="s">
        <v>195</v>
      </c>
      <c r="P9" s="16" t="s">
        <v>196</v>
      </c>
      <c r="Q9" s="16" t="s">
        <v>197</v>
      </c>
      <c r="S9" s="16" t="s">
        <v>47</v>
      </c>
      <c r="T9" s="16" t="s">
        <v>193</v>
      </c>
      <c r="V9" s="16" t="s">
        <v>154</v>
      </c>
      <c r="X9" s="3" t="s">
        <v>56</v>
      </c>
      <c r="Y9" s="4" t="s">
        <v>57</v>
      </c>
      <c r="Z9" s="6" t="s">
        <v>58</v>
      </c>
    </row>
    <row r="10" spans="1:22" x14ac:dyDescent="0.25">
      <c r="A10" s="4" t="s">
        <v>198</v>
      </c>
      <c r="B10" s="4">
        <v>2.2</v>
      </c>
      <c r="D10" s="4" t="s">
        <v>75</v>
      </c>
      <c r="E10" s="4" t="s">
        <v>171</v>
      </c>
      <c r="F10" s="10">
        <v>4200</v>
      </c>
      <c r="G10" s="4" t="s">
        <v>199</v>
      </c>
      <c r="H10" s="4"/>
      <c r="I10" s="4"/>
      <c r="J10" s="17">
        <v>1</v>
      </c>
      <c r="K10" s="4" t="s">
        <v>200</v>
      </c>
      <c r="M10" s="4" t="s">
        <v>74</v>
      </c>
      <c r="N10" s="4"/>
      <c r="O10" s="4" t="s">
        <v>201</v>
      </c>
      <c r="P10" s="4" t="s">
        <v>202</v>
      </c>
      <c r="Q10" s="4" t="s">
        <v>203</v>
      </c>
      <c r="S10" s="4" t="s">
        <v>204</v>
      </c>
      <c r="T10" s="4" t="s">
        <v>205</v>
      </c>
      <c r="V10" s="4" t="s">
        <v>160</v>
      </c>
    </row>
    <row r="11" spans="1:22" x14ac:dyDescent="0.25">
      <c r="A11" s="4" t="s">
        <v>206</v>
      </c>
      <c r="B11" s="9">
        <v>45536</v>
      </c>
      <c r="D11" s="4" t="s">
        <v>60</v>
      </c>
      <c r="E11" s="4" t="s">
        <v>171</v>
      </c>
      <c r="F11" s="10"/>
      <c r="G11" s="4" t="s">
        <v>207</v>
      </c>
      <c r="H11" s="4" t="s">
        <v>75</v>
      </c>
      <c r="I11" s="4" t="s">
        <v>202</v>
      </c>
      <c r="J11" s="17">
        <v>0.5</v>
      </c>
      <c r="K11" s="4" t="s">
        <v>208</v>
      </c>
      <c r="M11" s="4" t="s">
        <v>97</v>
      </c>
      <c r="N11" s="4"/>
      <c r="O11" s="4" t="s">
        <v>201</v>
      </c>
      <c r="P11" s="4" t="s">
        <v>202</v>
      </c>
      <c r="Q11" s="4" t="s">
        <v>209</v>
      </c>
      <c r="S11" s="4" t="s">
        <v>209</v>
      </c>
      <c r="T11" s="4" t="s">
        <v>210</v>
      </c>
      <c r="V11" s="4" t="s">
        <v>161</v>
      </c>
    </row>
    <row r="12" spans="1:22" x14ac:dyDescent="0.25">
      <c r="A12" s="4" t="s">
        <v>211</v>
      </c>
      <c r="B12" s="9">
        <v>46280</v>
      </c>
      <c r="D12" s="4" t="s">
        <v>126</v>
      </c>
      <c r="E12" s="4" t="s">
        <v>171</v>
      </c>
      <c r="F12" s="10"/>
      <c r="G12" s="4" t="s">
        <v>207</v>
      </c>
      <c r="H12" s="4" t="s">
        <v>75</v>
      </c>
      <c r="I12" s="4" t="s">
        <v>202</v>
      </c>
      <c r="J12" s="17">
        <v>0.5</v>
      </c>
      <c r="K12" s="4" t="s">
        <v>212</v>
      </c>
      <c r="M12" s="4" t="s">
        <v>96</v>
      </c>
      <c r="N12" s="4"/>
      <c r="O12" s="4" t="s">
        <v>201</v>
      </c>
      <c r="P12" s="4" t="s">
        <v>202</v>
      </c>
      <c r="Q12" s="4" t="s">
        <v>209</v>
      </c>
      <c r="S12" s="4" t="s">
        <v>213</v>
      </c>
      <c r="T12" s="4" t="s">
        <v>214</v>
      </c>
      <c r="V12" s="4" t="s">
        <v>162</v>
      </c>
    </row>
    <row r="13" spans="1:22" x14ac:dyDescent="0.25">
      <c r="A13" s="4" t="s">
        <v>215</v>
      </c>
      <c r="B13" s="4" t="s">
        <v>75</v>
      </c>
      <c r="D13" s="4" t="s">
        <v>107</v>
      </c>
      <c r="E13" s="4" t="s">
        <v>175</v>
      </c>
      <c r="F13" s="10">
        <v>2600</v>
      </c>
      <c r="G13" s="4" t="s">
        <v>199</v>
      </c>
      <c r="H13" s="4"/>
      <c r="I13" s="4"/>
      <c r="J13" s="17">
        <v>1</v>
      </c>
      <c r="K13" s="4" t="s">
        <v>216</v>
      </c>
      <c r="M13" s="4" t="s">
        <v>88</v>
      </c>
      <c r="N13" s="4"/>
      <c r="O13" s="4" t="s">
        <v>201</v>
      </c>
      <c r="P13" s="4" t="s">
        <v>202</v>
      </c>
      <c r="Q13" s="4" t="s">
        <v>209</v>
      </c>
      <c r="S13" s="4" t="s">
        <v>168</v>
      </c>
      <c r="T13" s="4" t="s">
        <v>217</v>
      </c>
      <c r="V13" s="4" t="s">
        <v>163</v>
      </c>
    </row>
    <row r="14" spans="1:22" x14ac:dyDescent="0.25">
      <c r="A14" s="4" t="s">
        <v>218</v>
      </c>
      <c r="B14" s="10">
        <v>180000</v>
      </c>
      <c r="D14" s="4" t="s">
        <v>67</v>
      </c>
      <c r="E14" s="4" t="s">
        <v>175</v>
      </c>
      <c r="F14" s="10">
        <v>1350</v>
      </c>
      <c r="G14" s="4" t="s">
        <v>199</v>
      </c>
      <c r="H14" s="4" t="s">
        <v>75</v>
      </c>
      <c r="I14" s="4" t="s">
        <v>219</v>
      </c>
      <c r="J14" s="17">
        <v>0.5</v>
      </c>
      <c r="K14" s="4" t="s">
        <v>220</v>
      </c>
      <c r="M14" s="4" t="s">
        <v>113</v>
      </c>
      <c r="N14" s="4" t="s">
        <v>221</v>
      </c>
      <c r="O14" s="4"/>
      <c r="P14" s="4" t="s">
        <v>202</v>
      </c>
      <c r="Q14" s="4" t="s">
        <v>222</v>
      </c>
      <c r="S14" s="4" t="s">
        <v>222</v>
      </c>
      <c r="T14" s="4" t="s">
        <v>223</v>
      </c>
      <c r="V14" s="4" t="s">
        <v>164</v>
      </c>
    </row>
    <row r="15" spans="1:22" x14ac:dyDescent="0.25">
      <c r="A15" s="4" t="s">
        <v>224</v>
      </c>
      <c r="B15" s="4" t="s">
        <v>225</v>
      </c>
      <c r="D15" s="4" t="s">
        <v>65</v>
      </c>
      <c r="E15" s="4" t="s">
        <v>226</v>
      </c>
      <c r="F15" s="10">
        <v>980</v>
      </c>
      <c r="G15" s="4" t="s">
        <v>199</v>
      </c>
      <c r="H15" s="4" t="s">
        <v>75</v>
      </c>
      <c r="I15" s="4" t="s">
        <v>219</v>
      </c>
      <c r="J15" s="17">
        <v>1</v>
      </c>
      <c r="K15" s="4" t="s">
        <v>227</v>
      </c>
      <c r="M15" s="4" t="s">
        <v>121</v>
      </c>
      <c r="N15" s="4"/>
      <c r="O15" s="4" t="s">
        <v>228</v>
      </c>
      <c r="P15" s="4" t="s">
        <v>202</v>
      </c>
      <c r="Q15" s="4" t="s">
        <v>213</v>
      </c>
      <c r="S15" s="4" t="s">
        <v>123</v>
      </c>
      <c r="T15" s="4" t="s">
        <v>229</v>
      </c>
      <c r="V15" s="4"/>
    </row>
    <row r="16" spans="1:22" x14ac:dyDescent="0.25">
      <c r="A16" s="4" t="s">
        <v>230</v>
      </c>
      <c r="B16" s="18">
        <v>0.018</v>
      </c>
      <c r="D16" s="4" t="s">
        <v>70</v>
      </c>
      <c r="E16" s="4" t="s">
        <v>70</v>
      </c>
      <c r="F16" s="10">
        <v>145</v>
      </c>
      <c r="G16" s="4" t="s">
        <v>199</v>
      </c>
      <c r="H16" s="4"/>
      <c r="I16" s="4"/>
      <c r="J16" s="17">
        <v>1</v>
      </c>
      <c r="K16" s="4" t="s">
        <v>231</v>
      </c>
      <c r="M16" s="4" t="s">
        <v>130</v>
      </c>
      <c r="N16" s="4" t="s">
        <v>221</v>
      </c>
      <c r="O16" s="4"/>
      <c r="P16" s="4" t="s">
        <v>202</v>
      </c>
      <c r="Q16" s="4" t="s">
        <v>222</v>
      </c>
      <c r="S16" s="4" t="s">
        <v>177</v>
      </c>
      <c r="T16" s="4" t="s">
        <v>232</v>
      </c>
      <c r="V16" s="4"/>
    </row>
    <row r="17" spans="1:22" x14ac:dyDescent="0.25">
      <c r="A17" s="4" t="s">
        <v>233</v>
      </c>
      <c r="B17" s="4">
        <v>240</v>
      </c>
      <c r="D17" s="4" t="s">
        <v>151</v>
      </c>
      <c r="E17" s="4"/>
      <c r="F17" s="10"/>
      <c r="G17" s="4" t="s">
        <v>207</v>
      </c>
      <c r="H17" s="4"/>
      <c r="I17" s="4"/>
      <c r="J17" s="17">
        <v>1</v>
      </c>
      <c r="K17" s="4" t="s">
        <v>234</v>
      </c>
      <c r="M17" s="4" t="s">
        <v>71</v>
      </c>
      <c r="N17" s="4"/>
      <c r="O17" s="4" t="s">
        <v>235</v>
      </c>
      <c r="P17" s="4" t="s">
        <v>202</v>
      </c>
      <c r="Q17" s="4" t="s">
        <v>204</v>
      </c>
      <c r="S17" s="4" t="s">
        <v>236</v>
      </c>
      <c r="T17" s="4" t="s">
        <v>237</v>
      </c>
      <c r="V17" s="4"/>
    </row>
    <row r="18" spans="1:22" x14ac:dyDescent="0.25">
      <c r="A18" s="4"/>
      <c r="B18" s="4"/>
      <c r="D18" s="4"/>
      <c r="E18" s="4"/>
      <c r="F18" s="4"/>
      <c r="G18" s="4"/>
      <c r="H18" s="4"/>
      <c r="I18" s="4"/>
      <c r="J18" s="4"/>
      <c r="K18" s="4"/>
      <c r="M18" s="4" t="s">
        <v>108</v>
      </c>
      <c r="N18" s="4"/>
      <c r="O18" s="4" t="s">
        <v>228</v>
      </c>
      <c r="P18" s="4" t="s">
        <v>202</v>
      </c>
      <c r="Q18" s="4" t="s">
        <v>213</v>
      </c>
      <c r="S18" s="4" t="s">
        <v>238</v>
      </c>
      <c r="T18" s="4" t="s">
        <v>239</v>
      </c>
      <c r="V18" s="4"/>
    </row>
    <row r="19" spans="1:22" x14ac:dyDescent="0.25">
      <c r="A19" s="4"/>
      <c r="B19" s="4"/>
      <c r="D19" s="4"/>
      <c r="E19" s="4"/>
      <c r="F19" s="4"/>
      <c r="G19" s="4"/>
      <c r="H19" s="4"/>
      <c r="I19" s="4"/>
      <c r="J19" s="4"/>
      <c r="K19" s="4"/>
      <c r="M19" s="4" t="s">
        <v>77</v>
      </c>
      <c r="N19" s="4"/>
      <c r="O19" s="4" t="s">
        <v>235</v>
      </c>
      <c r="P19" s="4" t="s">
        <v>202</v>
      </c>
      <c r="Q19" s="4" t="s">
        <v>204</v>
      </c>
      <c r="S19" s="4" t="s">
        <v>131</v>
      </c>
      <c r="T19" s="4" t="s">
        <v>240</v>
      </c>
      <c r="V19" s="4"/>
    </row>
    <row r="20" spans="1:22" x14ac:dyDescent="0.25">
      <c r="A20" s="4"/>
      <c r="B20" s="4"/>
      <c r="D20" s="4"/>
      <c r="E20" s="4"/>
      <c r="F20" s="4"/>
      <c r="G20" s="4"/>
      <c r="H20" s="4"/>
      <c r="I20" s="4"/>
      <c r="J20" s="4"/>
      <c r="K20" s="4"/>
      <c r="M20" s="4" t="s">
        <v>83</v>
      </c>
      <c r="N20" s="4" t="s">
        <v>241</v>
      </c>
      <c r="O20" s="4"/>
      <c r="P20" s="4" t="s">
        <v>202</v>
      </c>
      <c r="Q20" s="4" t="s">
        <v>177</v>
      </c>
      <c r="S20" s="4" t="s">
        <v>203</v>
      </c>
      <c r="T20" s="4" t="s">
        <v>242</v>
      </c>
      <c r="V20" s="4"/>
    </row>
    <row r="21" spans="1:22" x14ac:dyDescent="0.25">
      <c r="A21" s="4"/>
      <c r="B21" s="4"/>
      <c r="D21" s="4"/>
      <c r="E21" s="4"/>
      <c r="F21" s="4"/>
      <c r="G21" s="4"/>
      <c r="H21" s="4"/>
      <c r="I21" s="4"/>
      <c r="J21" s="4"/>
      <c r="K21" s="4"/>
      <c r="M21" s="4" t="s">
        <v>100</v>
      </c>
      <c r="N21" s="4"/>
      <c r="O21" s="4" t="s">
        <v>201</v>
      </c>
      <c r="P21" s="4" t="s">
        <v>202</v>
      </c>
      <c r="Q21" s="4" t="s">
        <v>177</v>
      </c>
      <c r="S21" s="4"/>
      <c r="T21" s="4"/>
      <c r="V21" s="4"/>
    </row>
    <row r="22" spans="1:22" x14ac:dyDescent="0.25">
      <c r="A22" s="4"/>
      <c r="B22" s="4"/>
      <c r="D22" s="4"/>
      <c r="E22" s="4"/>
      <c r="F22" s="4"/>
      <c r="G22" s="4"/>
      <c r="H22" s="4"/>
      <c r="I22" s="4"/>
      <c r="J22" s="4"/>
      <c r="K22" s="4"/>
      <c r="M22" s="4" t="s">
        <v>110</v>
      </c>
      <c r="N22" s="4" t="s">
        <v>243</v>
      </c>
      <c r="O22" s="4"/>
      <c r="P22" s="4" t="s">
        <v>202</v>
      </c>
      <c r="Q22" s="4" t="s">
        <v>222</v>
      </c>
      <c r="S22" s="4"/>
      <c r="T22" s="4"/>
      <c r="V22" s="4"/>
    </row>
    <row r="23" spans="1:22" x14ac:dyDescent="0.25">
      <c r="A23" s="4"/>
      <c r="B23" s="4"/>
      <c r="D23" s="4"/>
      <c r="E23" s="4"/>
      <c r="F23" s="4"/>
      <c r="G23" s="4"/>
      <c r="H23" s="4"/>
      <c r="I23" s="4"/>
      <c r="J23" s="4"/>
      <c r="K23" s="4"/>
      <c r="M23" s="4" t="s">
        <v>106</v>
      </c>
      <c r="N23" s="4" t="s">
        <v>221</v>
      </c>
      <c r="O23" s="4"/>
      <c r="P23" s="4" t="s">
        <v>202</v>
      </c>
      <c r="Q23" s="4" t="s">
        <v>222</v>
      </c>
      <c r="S23" s="4"/>
      <c r="T23" s="4"/>
      <c r="V23" s="4"/>
    </row>
    <row r="24" spans="1:22" x14ac:dyDescent="0.25">
      <c r="A24" s="4"/>
      <c r="B24" s="4"/>
      <c r="D24" s="4"/>
      <c r="E24" s="4"/>
      <c r="F24" s="4"/>
      <c r="G24" s="4"/>
      <c r="H24" s="4"/>
      <c r="I24" s="4"/>
      <c r="J24" s="4"/>
      <c r="K24" s="4"/>
      <c r="M24" s="4" t="s">
        <v>111</v>
      </c>
      <c r="N24" s="4" t="s">
        <v>221</v>
      </c>
      <c r="O24" s="4"/>
      <c r="P24" s="4" t="s">
        <v>202</v>
      </c>
      <c r="Q24" s="4" t="s">
        <v>222</v>
      </c>
      <c r="S24" s="4"/>
      <c r="T24" s="4"/>
      <c r="V24" s="4"/>
    </row>
    <row r="25" spans="1:22" x14ac:dyDescent="0.25">
      <c r="A25" s="4"/>
      <c r="B25" s="4"/>
      <c r="D25" s="4"/>
      <c r="E25" s="4"/>
      <c r="F25" s="4"/>
      <c r="G25" s="4"/>
      <c r="H25" s="4"/>
      <c r="I25" s="4"/>
      <c r="J25" s="4"/>
      <c r="K25" s="4"/>
      <c r="M25" s="4" t="s">
        <v>116</v>
      </c>
      <c r="N25" s="4"/>
      <c r="O25" s="4" t="s">
        <v>228</v>
      </c>
      <c r="P25" s="4" t="s">
        <v>202</v>
      </c>
      <c r="Q25" s="4" t="s">
        <v>213</v>
      </c>
      <c r="S25" s="4"/>
      <c r="T25" s="4"/>
      <c r="V25" s="4"/>
    </row>
    <row r="26" spans="1:22" x14ac:dyDescent="0.25">
      <c r="A26" s="4"/>
      <c r="B26" s="4"/>
      <c r="D26" s="4"/>
      <c r="E26" s="4"/>
      <c r="F26" s="4"/>
      <c r="G26" s="4"/>
      <c r="H26" s="4"/>
      <c r="I26" s="4"/>
      <c r="J26" s="4"/>
      <c r="K26" s="4"/>
      <c r="M26" s="4" t="s">
        <v>91</v>
      </c>
      <c r="N26" s="4"/>
      <c r="O26" s="4" t="s">
        <v>235</v>
      </c>
      <c r="P26" s="4" t="s">
        <v>202</v>
      </c>
      <c r="Q26" s="4" t="s">
        <v>203</v>
      </c>
      <c r="S26" s="4"/>
      <c r="T26" s="4"/>
      <c r="V26" s="4"/>
    </row>
    <row r="27" spans="1:22" x14ac:dyDescent="0.25">
      <c r="A27" s="4"/>
      <c r="B27" s="4"/>
      <c r="D27" s="4"/>
      <c r="E27" s="4"/>
      <c r="F27" s="4"/>
      <c r="G27" s="4"/>
      <c r="H27" s="4"/>
      <c r="I27" s="4"/>
      <c r="J27" s="4"/>
      <c r="K27" s="4"/>
      <c r="M27" s="4" t="s">
        <v>118</v>
      </c>
      <c r="N27" s="4"/>
      <c r="O27" s="4" t="s">
        <v>201</v>
      </c>
      <c r="P27" s="4" t="s">
        <v>202</v>
      </c>
      <c r="Q27" s="4" t="s">
        <v>168</v>
      </c>
      <c r="S27" s="4"/>
      <c r="T27" s="4"/>
      <c r="V27" s="4"/>
    </row>
    <row r="28" spans="1:22" x14ac:dyDescent="0.25">
      <c r="A28" s="4"/>
      <c r="B28" s="4"/>
      <c r="D28" s="4"/>
      <c r="E28" s="4"/>
      <c r="F28" s="4"/>
      <c r="G28" s="4"/>
      <c r="H28" s="4"/>
      <c r="I28" s="4"/>
      <c r="J28" s="4"/>
      <c r="K28" s="4"/>
      <c r="M28" s="4" t="s">
        <v>94</v>
      </c>
      <c r="N28" s="4"/>
      <c r="O28" s="4" t="s">
        <v>201</v>
      </c>
      <c r="P28" s="4" t="s">
        <v>202</v>
      </c>
      <c r="Q28" s="4" t="s">
        <v>177</v>
      </c>
      <c r="S28" s="4"/>
      <c r="T28" s="4"/>
      <c r="V28" s="4"/>
    </row>
    <row r="29" spans="1:22" x14ac:dyDescent="0.25">
      <c r="A29" s="4"/>
      <c r="B29" s="4"/>
      <c r="D29" s="4"/>
      <c r="E29" s="4"/>
      <c r="F29" s="4"/>
      <c r="G29" s="4"/>
      <c r="H29" s="4"/>
      <c r="I29" s="4"/>
      <c r="J29" s="4"/>
      <c r="K29" s="4"/>
      <c r="M29" s="4" t="s">
        <v>103</v>
      </c>
      <c r="N29" s="4"/>
      <c r="O29" s="4" t="s">
        <v>201</v>
      </c>
      <c r="P29" s="4" t="s">
        <v>202</v>
      </c>
      <c r="Q29" s="4" t="s">
        <v>236</v>
      </c>
      <c r="S29" s="4"/>
      <c r="T29" s="4"/>
      <c r="V29" s="4"/>
    </row>
    <row r="30" spans="1:22" x14ac:dyDescent="0.25">
      <c r="A30" s="4"/>
      <c r="B30" s="4"/>
      <c r="D30" s="4"/>
      <c r="E30" s="4"/>
      <c r="F30" s="4"/>
      <c r="G30" s="4"/>
      <c r="H30" s="4"/>
      <c r="I30" s="4"/>
      <c r="J30" s="4"/>
      <c r="K30" s="4"/>
      <c r="M30" s="4" t="s">
        <v>86</v>
      </c>
      <c r="N30" s="4" t="s">
        <v>244</v>
      </c>
      <c r="O30" s="4" t="s">
        <v>201</v>
      </c>
      <c r="P30" s="4" t="s">
        <v>202</v>
      </c>
      <c r="Q30" s="4" t="s">
        <v>177</v>
      </c>
      <c r="S30" s="4"/>
      <c r="T30" s="4"/>
      <c r="V30" s="4"/>
    </row>
    <row r="31" spans="1:22" x14ac:dyDescent="0.25">
      <c r="A31" s="4"/>
      <c r="B31" s="4"/>
      <c r="D31" s="4"/>
      <c r="E31" s="4"/>
      <c r="F31" s="4"/>
      <c r="G31" s="4"/>
      <c r="H31" s="4"/>
      <c r="I31" s="4"/>
      <c r="J31" s="4"/>
      <c r="K31" s="4"/>
      <c r="M31" s="4" t="s">
        <v>89</v>
      </c>
      <c r="N31" s="4"/>
      <c r="O31" s="4" t="s">
        <v>201</v>
      </c>
      <c r="P31" s="4" t="s">
        <v>202</v>
      </c>
      <c r="Q31" s="4" t="s">
        <v>213</v>
      </c>
      <c r="S31" s="4"/>
      <c r="T31" s="4"/>
      <c r="V31" s="4"/>
    </row>
    <row r="32" spans="1:22" x14ac:dyDescent="0.25">
      <c r="A32" s="4"/>
      <c r="B32" s="4"/>
      <c r="D32" s="4"/>
      <c r="E32" s="4"/>
      <c r="F32" s="4"/>
      <c r="G32" s="4"/>
      <c r="H32" s="4"/>
      <c r="I32" s="4"/>
      <c r="J32" s="4"/>
      <c r="K32" s="4"/>
      <c r="M32" s="4" t="s">
        <v>59</v>
      </c>
      <c r="N32" s="4"/>
      <c r="O32" s="4" t="s">
        <v>228</v>
      </c>
      <c r="P32" s="4" t="s">
        <v>202</v>
      </c>
      <c r="Q32" s="4" t="s">
        <v>238</v>
      </c>
      <c r="S32" s="4"/>
      <c r="T32" s="4"/>
      <c r="V32" s="4"/>
    </row>
    <row r="33" spans="1:22" x14ac:dyDescent="0.25">
      <c r="A33" s="4"/>
      <c r="B33" s="4"/>
      <c r="D33" s="4"/>
      <c r="E33" s="4"/>
      <c r="F33" s="4"/>
      <c r="G33" s="4"/>
      <c r="H33" s="4"/>
      <c r="I33" s="4"/>
      <c r="J33" s="4"/>
      <c r="K33" s="4"/>
      <c r="M33" s="4" t="s">
        <v>132</v>
      </c>
      <c r="N33" s="4"/>
      <c r="O33" s="4" t="s">
        <v>235</v>
      </c>
      <c r="P33" s="4" t="s">
        <v>202</v>
      </c>
      <c r="Q33" s="4" t="s">
        <v>131</v>
      </c>
      <c r="S33" s="4"/>
      <c r="T33" s="4"/>
      <c r="V33" s="4"/>
    </row>
    <row r="34" spans="1:22" x14ac:dyDescent="0.25">
      <c r="A34" s="4"/>
      <c r="B34" s="4"/>
      <c r="D34" s="4"/>
      <c r="E34" s="4"/>
      <c r="F34" s="4"/>
      <c r="G34" s="4"/>
      <c r="H34" s="4"/>
      <c r="I34" s="4"/>
      <c r="J34" s="4"/>
      <c r="K34" s="4"/>
      <c r="M34" s="4" t="s">
        <v>143</v>
      </c>
      <c r="N34" s="4"/>
      <c r="O34" s="4" t="s">
        <v>235</v>
      </c>
      <c r="P34" s="4" t="s">
        <v>202</v>
      </c>
      <c r="Q34" s="4" t="s">
        <v>131</v>
      </c>
      <c r="S34" s="4"/>
      <c r="T34" s="4"/>
      <c r="V34" s="4"/>
    </row>
    <row r="35" spans="1:22" x14ac:dyDescent="0.25">
      <c r="A35" s="4"/>
      <c r="B35" s="4"/>
      <c r="D35" s="4"/>
      <c r="E35" s="4"/>
      <c r="F35" s="4"/>
      <c r="G35" s="4"/>
      <c r="H35" s="4"/>
      <c r="I35" s="4"/>
      <c r="J35" s="4"/>
      <c r="K35" s="4"/>
      <c r="M35" s="4" t="s">
        <v>119</v>
      </c>
      <c r="N35" s="4"/>
      <c r="O35" s="4" t="s">
        <v>228</v>
      </c>
      <c r="P35" s="4" t="s">
        <v>202</v>
      </c>
      <c r="Q35" s="4" t="s">
        <v>204</v>
      </c>
      <c r="S35" s="4"/>
      <c r="T35" s="4"/>
      <c r="V35" s="4"/>
    </row>
    <row r="36" spans="1:22" x14ac:dyDescent="0.25">
      <c r="A36" s="4"/>
      <c r="B36" s="4"/>
      <c r="D36" s="4"/>
      <c r="E36" s="4"/>
      <c r="F36" s="4"/>
      <c r="G36" s="4"/>
      <c r="H36" s="4"/>
      <c r="I36" s="4"/>
      <c r="J36" s="4"/>
      <c r="K36" s="4"/>
      <c r="M36" s="4" t="s">
        <v>115</v>
      </c>
      <c r="N36" s="4"/>
      <c r="O36" s="4"/>
      <c r="P36" s="4" t="s">
        <v>219</v>
      </c>
      <c r="Q36" s="4"/>
      <c r="S36" s="4"/>
      <c r="T36" s="4"/>
      <c r="V36" s="4"/>
    </row>
    <row r="37" spans="1:22" x14ac:dyDescent="0.25">
      <c r="A37" s="4"/>
      <c r="B37" s="4"/>
      <c r="D37" s="4"/>
      <c r="E37" s="4"/>
      <c r="F37" s="4"/>
      <c r="G37" s="4"/>
      <c r="H37" s="4"/>
      <c r="I37" s="4"/>
      <c r="J37" s="4"/>
      <c r="K37" s="4"/>
      <c r="M37" s="4" t="s">
        <v>152</v>
      </c>
      <c r="N37" s="4" t="s">
        <v>245</v>
      </c>
      <c r="O37" s="4"/>
      <c r="P37" s="4" t="s">
        <v>219</v>
      </c>
      <c r="Q37" s="4" t="s">
        <v>222</v>
      </c>
      <c r="S37" s="4"/>
      <c r="T37" s="4"/>
      <c r="V37" s="4"/>
    </row>
    <row r="38" spans="1:22" x14ac:dyDescent="0.25">
      <c r="A38" s="4"/>
      <c r="B38" s="4"/>
      <c r="D38" s="4"/>
      <c r="E38" s="4"/>
      <c r="F38" s="4"/>
      <c r="G38" s="4"/>
      <c r="H38" s="4"/>
      <c r="I38" s="4"/>
      <c r="J38" s="4"/>
      <c r="K38" s="4"/>
      <c r="M38" s="4" t="s">
        <v>81</v>
      </c>
      <c r="N38" s="4"/>
      <c r="O38" s="4"/>
      <c r="P38" s="4" t="s">
        <v>219</v>
      </c>
      <c r="Q38" s="4" t="s">
        <v>222</v>
      </c>
      <c r="S38" s="4"/>
      <c r="T38" s="4"/>
      <c r="V38" s="4"/>
    </row>
    <row r="39" spans="1:22" x14ac:dyDescent="0.25">
      <c r="A39" s="4"/>
      <c r="B39" s="4"/>
      <c r="D39" s="4"/>
      <c r="E39" s="4"/>
      <c r="F39" s="4"/>
      <c r="G39" s="4"/>
      <c r="H39" s="4"/>
      <c r="I39" s="4"/>
      <c r="J39" s="4"/>
      <c r="K39" s="4"/>
      <c r="M39" s="4" t="s">
        <v>68</v>
      </c>
      <c r="N39" s="4" t="s">
        <v>246</v>
      </c>
      <c r="O39" s="4"/>
      <c r="P39" s="4" t="s">
        <v>219</v>
      </c>
      <c r="Q39" s="4" t="s">
        <v>222</v>
      </c>
      <c r="S39" s="4"/>
      <c r="T39" s="4"/>
      <c r="V39" s="4"/>
    </row>
    <row r="40" spans="1:22" x14ac:dyDescent="0.25">
      <c r="A40" s="4"/>
      <c r="B40" s="4"/>
      <c r="D40" s="4"/>
      <c r="E40" s="4"/>
      <c r="F40" s="4"/>
      <c r="G40" s="4"/>
      <c r="H40" s="4"/>
      <c r="I40" s="4"/>
      <c r="J40" s="4"/>
      <c r="K40" s="4"/>
      <c r="M40" s="4" t="s">
        <v>66</v>
      </c>
      <c r="N40" s="4" t="s">
        <v>246</v>
      </c>
      <c r="O40" s="4"/>
      <c r="P40" s="4" t="s">
        <v>219</v>
      </c>
      <c r="Q40" s="4" t="s">
        <v>222</v>
      </c>
      <c r="S40" s="4"/>
      <c r="T40" s="4"/>
      <c r="V40" s="4"/>
    </row>
    <row r="41" spans="1:22" x14ac:dyDescent="0.25">
      <c r="A41" s="4"/>
      <c r="B41" s="4"/>
      <c r="D41" s="4"/>
      <c r="E41" s="4"/>
      <c r="F41" s="4"/>
      <c r="G41" s="4"/>
      <c r="H41" s="4"/>
      <c r="I41" s="4"/>
      <c r="J41" s="4"/>
      <c r="K41" s="4"/>
      <c r="M41" s="4" t="s">
        <v>124</v>
      </c>
      <c r="N41" s="4"/>
      <c r="O41" s="4" t="s">
        <v>235</v>
      </c>
      <c r="P41" s="4" t="s">
        <v>202</v>
      </c>
      <c r="Q41" s="4" t="s">
        <v>123</v>
      </c>
      <c r="S41" s="4"/>
      <c r="T41" s="4"/>
      <c r="V41" s="4"/>
    </row>
    <row r="42" spans="1:22" x14ac:dyDescent="0.25">
      <c r="A42" s="4"/>
      <c r="B42" s="4"/>
      <c r="D42" s="4"/>
      <c r="E42" s="4"/>
      <c r="F42" s="4"/>
      <c r="G42" s="4"/>
      <c r="H42" s="4"/>
      <c r="I42" s="4"/>
      <c r="J42" s="4"/>
      <c r="K42" s="4"/>
      <c r="M42" s="4" t="s">
        <v>101</v>
      </c>
      <c r="N42" s="4" t="s">
        <v>247</v>
      </c>
      <c r="O42" s="4"/>
      <c r="P42" s="4" t="s">
        <v>219</v>
      </c>
      <c r="Q42" s="4" t="s">
        <v>222</v>
      </c>
      <c r="S42" s="4"/>
      <c r="T42" s="4"/>
      <c r="V42" s="4"/>
    </row>
    <row r="43" spans="1:22" x14ac:dyDescent="0.25">
      <c r="A43" s="4"/>
      <c r="B43" s="4"/>
      <c r="D43" s="4"/>
      <c r="E43" s="4"/>
      <c r="F43" s="4"/>
      <c r="G43" s="4"/>
      <c r="H43" s="4"/>
      <c r="I43" s="4"/>
      <c r="J43" s="4"/>
      <c r="K43" s="4"/>
      <c r="M43" s="4"/>
      <c r="N43" s="4"/>
      <c r="O43" s="4"/>
      <c r="P43" s="4"/>
      <c r="Q43" s="4"/>
      <c r="S43" s="4"/>
      <c r="T43" s="4"/>
      <c r="V43" s="4"/>
    </row>
    <row r="44" spans="1:22" x14ac:dyDescent="0.25">
      <c r="A44" s="4"/>
      <c r="B44" s="4"/>
      <c r="D44" s="4"/>
      <c r="E44" s="4"/>
      <c r="F44" s="4"/>
      <c r="G44" s="4"/>
      <c r="H44" s="4"/>
      <c r="I44" s="4"/>
      <c r="J44" s="4"/>
      <c r="K44" s="4"/>
      <c r="M44" s="4"/>
      <c r="N44" s="4"/>
      <c r="O44" s="4"/>
      <c r="P44" s="4"/>
      <c r="Q44" s="4"/>
      <c r="S44" s="4"/>
      <c r="T44" s="4"/>
      <c r="V44" s="4"/>
    </row>
    <row r="45" spans="1:22" x14ac:dyDescent="0.25">
      <c r="A45" s="4"/>
      <c r="B45" s="4"/>
      <c r="D45" s="4"/>
      <c r="E45" s="4"/>
      <c r="F45" s="4"/>
      <c r="G45" s="4"/>
      <c r="H45" s="4"/>
      <c r="I45" s="4"/>
      <c r="J45" s="4"/>
      <c r="K45" s="4"/>
      <c r="M45" s="4"/>
      <c r="N45" s="4"/>
      <c r="O45" s="4"/>
      <c r="P45" s="4"/>
      <c r="Q45" s="4"/>
      <c r="S45" s="4"/>
      <c r="T45" s="4"/>
      <c r="V45" s="4"/>
    </row>
    <row r="46" spans="1:22" x14ac:dyDescent="0.25">
      <c r="A46" s="4"/>
      <c r="B46" s="4"/>
      <c r="D46" s="4"/>
      <c r="E46" s="4"/>
      <c r="F46" s="4"/>
      <c r="G46" s="4"/>
      <c r="H46" s="4"/>
      <c r="I46" s="4"/>
      <c r="J46" s="4"/>
      <c r="K46" s="4"/>
      <c r="M46" s="4"/>
      <c r="N46" s="4"/>
      <c r="O46" s="4"/>
      <c r="P46" s="4"/>
      <c r="Q46" s="4"/>
      <c r="S46" s="4"/>
      <c r="T46" s="4"/>
      <c r="V46" s="4"/>
    </row>
    <row r="47" spans="1:22" x14ac:dyDescent="0.25">
      <c r="A47" s="4"/>
      <c r="B47" s="4"/>
      <c r="D47" s="4"/>
      <c r="E47" s="4"/>
      <c r="F47" s="4"/>
      <c r="G47" s="4"/>
      <c r="H47" s="4"/>
      <c r="I47" s="4"/>
      <c r="J47" s="4"/>
      <c r="K47" s="4"/>
      <c r="M47" s="4"/>
      <c r="N47" s="4"/>
      <c r="O47" s="4"/>
      <c r="P47" s="4"/>
      <c r="Q47" s="4"/>
      <c r="S47" s="4"/>
      <c r="T47" s="4"/>
      <c r="V47" s="4"/>
    </row>
    <row r="48" spans="1:22" x14ac:dyDescent="0.25">
      <c r="A48" s="4"/>
      <c r="B48" s="4"/>
      <c r="D48" s="4"/>
      <c r="E48" s="4"/>
      <c r="F48" s="4"/>
      <c r="G48" s="4"/>
      <c r="H48" s="4"/>
      <c r="I48" s="4"/>
      <c r="J48" s="4"/>
      <c r="K48" s="4"/>
      <c r="M48" s="4"/>
      <c r="N48" s="4"/>
      <c r="O48" s="4"/>
      <c r="P48" s="4"/>
      <c r="Q48" s="4"/>
      <c r="S48" s="4"/>
      <c r="T48" s="4"/>
      <c r="V48" s="4"/>
    </row>
    <row r="49" spans="1:22" x14ac:dyDescent="0.25">
      <c r="A49" s="4"/>
      <c r="B49" s="4"/>
      <c r="D49" s="4"/>
      <c r="E49" s="4"/>
      <c r="F49" s="4"/>
      <c r="G49" s="4"/>
      <c r="H49" s="4"/>
      <c r="I49" s="4"/>
      <c r="J49" s="4"/>
      <c r="K49" s="4"/>
      <c r="M49" s="4"/>
      <c r="N49" s="4"/>
      <c r="O49" s="4"/>
      <c r="P49" s="4"/>
      <c r="Q49" s="4"/>
      <c r="S49" s="4"/>
      <c r="T49" s="4"/>
      <c r="V49" s="4"/>
    </row>
    <row r="50" spans="13:17" x14ac:dyDescent="0.25">
      <c r="M50" s="4"/>
      <c r="N50" s="4"/>
      <c r="O50" s="4"/>
      <c r="P50" s="4"/>
      <c r="Q50" s="4"/>
    </row>
    <row r="51" spans="13:17" x14ac:dyDescent="0.25">
      <c r="M51" s="4"/>
      <c r="N51" s="4"/>
      <c r="O51" s="4"/>
      <c r="P51" s="4"/>
      <c r="Q51" s="4"/>
    </row>
    <row r="52" spans="13:17" x14ac:dyDescent="0.25">
      <c r="M52" s="4"/>
      <c r="N52" s="4"/>
      <c r="O52" s="4"/>
      <c r="P52" s="4"/>
      <c r="Q52" s="4"/>
    </row>
    <row r="53" spans="13:17" x14ac:dyDescent="0.25">
      <c r="M53" s="4"/>
      <c r="N53" s="4"/>
      <c r="O53" s="4"/>
      <c r="P53" s="4"/>
      <c r="Q53" s="4"/>
    </row>
    <row r="54" spans="13:17" x14ac:dyDescent="0.25">
      <c r="M54" s="4"/>
      <c r="N54" s="4"/>
      <c r="O54" s="4"/>
      <c r="P54" s="4"/>
      <c r="Q54" s="4"/>
    </row>
    <row r="55" spans="13:17" x14ac:dyDescent="0.25">
      <c r="M55" s="4"/>
      <c r="N55" s="4"/>
      <c r="O55" s="4"/>
      <c r="P55" s="4"/>
      <c r="Q55" s="4"/>
    </row>
    <row r="56" spans="13:17" x14ac:dyDescent="0.25">
      <c r="M56" s="4"/>
      <c r="N56" s="4"/>
      <c r="O56" s="4"/>
      <c r="P56" s="4"/>
      <c r="Q56" s="4"/>
    </row>
    <row r="57" spans="13:17" x14ac:dyDescent="0.25">
      <c r="M57" s="4"/>
      <c r="N57" s="4"/>
      <c r="O57" s="4"/>
      <c r="P57" s="4"/>
      <c r="Q57" s="4"/>
    </row>
    <row r="58" spans="13:17" x14ac:dyDescent="0.25">
      <c r="M58" s="4"/>
      <c r="N58" s="4"/>
      <c r="O58" s="4"/>
      <c r="P58" s="4"/>
      <c r="Q58" s="4"/>
    </row>
    <row r="59" spans="13:17" x14ac:dyDescent="0.25">
      <c r="M59" s="4"/>
      <c r="N59" s="4"/>
      <c r="O59" s="4"/>
      <c r="P59" s="4"/>
      <c r="Q59" s="4"/>
    </row>
    <row r="60" spans="13:17" x14ac:dyDescent="0.25">
      <c r="M60" s="4"/>
      <c r="N60" s="4"/>
      <c r="O60" s="4"/>
      <c r="P60" s="4"/>
      <c r="Q60" s="4"/>
    </row>
    <row r="61" spans="13:17" x14ac:dyDescent="0.25">
      <c r="M61" s="4"/>
      <c r="N61" s="4"/>
      <c r="O61" s="4"/>
      <c r="P61" s="4"/>
      <c r="Q61" s="4"/>
    </row>
    <row r="62" spans="13:17" x14ac:dyDescent="0.25">
      <c r="M62" s="4"/>
      <c r="N62" s="4"/>
      <c r="O62" s="4"/>
      <c r="P62" s="4"/>
      <c r="Q62" s="4"/>
    </row>
    <row r="63" spans="13:17" x14ac:dyDescent="0.25">
      <c r="M63" s="4"/>
      <c r="N63" s="4"/>
      <c r="O63" s="4"/>
      <c r="P63" s="4"/>
      <c r="Q63" s="4"/>
    </row>
    <row r="64" spans="13:17" x14ac:dyDescent="0.25">
      <c r="M64" s="4"/>
      <c r="N64" s="4"/>
      <c r="O64" s="4"/>
      <c r="P64" s="4"/>
      <c r="Q64" s="4"/>
    </row>
    <row r="65" spans="13:17" x14ac:dyDescent="0.25">
      <c r="M65" s="4"/>
      <c r="N65" s="4"/>
      <c r="O65" s="4"/>
      <c r="P65" s="4"/>
      <c r="Q65" s="4"/>
    </row>
    <row r="66" spans="13:17" x14ac:dyDescent="0.25">
      <c r="M66" s="4"/>
      <c r="N66" s="4"/>
      <c r="O66" s="4"/>
      <c r="P66" s="4"/>
      <c r="Q66" s="4"/>
    </row>
    <row r="67" spans="13:17" x14ac:dyDescent="0.25">
      <c r="M67" s="4"/>
      <c r="N67" s="4"/>
      <c r="O67" s="4"/>
      <c r="P67" s="4"/>
      <c r="Q67" s="4"/>
    </row>
    <row r="68" spans="13:17" x14ac:dyDescent="0.25">
      <c r="M68" s="4"/>
      <c r="N68" s="4"/>
      <c r="O68" s="4"/>
      <c r="P68" s="4"/>
      <c r="Q68" s="4"/>
    </row>
    <row r="69" spans="13:17" x14ac:dyDescent="0.25">
      <c r="M69" s="4"/>
      <c r="N69" s="4"/>
      <c r="O69" s="4"/>
      <c r="P69" s="4"/>
      <c r="Q69" s="4"/>
    </row>
    <row r="70" spans="13:17" x14ac:dyDescent="0.25">
      <c r="M70" s="4"/>
      <c r="N70" s="4"/>
      <c r="O70" s="4"/>
      <c r="P70" s="4"/>
      <c r="Q70" s="4"/>
    </row>
    <row r="71" spans="13:17" x14ac:dyDescent="0.25">
      <c r="M71" s="4"/>
      <c r="N71" s="4"/>
      <c r="O71" s="4"/>
      <c r="P71" s="4"/>
      <c r="Q71" s="4"/>
    </row>
    <row r="72" spans="13:17" x14ac:dyDescent="0.25">
      <c r="M72" s="4"/>
      <c r="N72" s="4"/>
      <c r="O72" s="4"/>
      <c r="P72" s="4"/>
      <c r="Q72" s="4"/>
    </row>
    <row r="73" spans="13:17" x14ac:dyDescent="0.25">
      <c r="M73" s="4"/>
      <c r="N73" s="4"/>
      <c r="O73" s="4"/>
      <c r="P73" s="4"/>
      <c r="Q73" s="4"/>
    </row>
    <row r="74" spans="13:17" x14ac:dyDescent="0.25">
      <c r="M74" s="4"/>
      <c r="N74" s="4"/>
      <c r="O74" s="4"/>
      <c r="P74" s="4"/>
      <c r="Q74" s="4"/>
    </row>
    <row r="75" spans="13:17" x14ac:dyDescent="0.25">
      <c r="M75" s="4"/>
      <c r="N75" s="4"/>
      <c r="O75" s="4"/>
      <c r="P75" s="4"/>
      <c r="Q75" s="4"/>
    </row>
    <row r="76" spans="13:17" x14ac:dyDescent="0.25">
      <c r="M76" s="4"/>
      <c r="N76" s="4"/>
      <c r="O76" s="4"/>
      <c r="P76" s="4"/>
      <c r="Q76" s="4"/>
    </row>
    <row r="77" spans="13:17" x14ac:dyDescent="0.25">
      <c r="M77" s="4"/>
      <c r="N77" s="4"/>
      <c r="O77" s="4"/>
      <c r="P77" s="4"/>
      <c r="Q77" s="4"/>
    </row>
    <row r="78" spans="13:17" x14ac:dyDescent="0.25">
      <c r="M78" s="4"/>
      <c r="N78" s="4"/>
      <c r="O78" s="4"/>
      <c r="P78" s="4"/>
      <c r="Q78" s="4"/>
    </row>
    <row r="79" spans="13:17" x14ac:dyDescent="0.25">
      <c r="M79" s="4"/>
      <c r="N79" s="4"/>
      <c r="O79" s="4"/>
      <c r="P79" s="4"/>
      <c r="Q79" s="4"/>
    </row>
    <row r="80" spans="13:17" x14ac:dyDescent="0.25">
      <c r="M80" s="4"/>
      <c r="N80" s="4"/>
      <c r="O80" s="4"/>
      <c r="P80" s="4"/>
      <c r="Q80" s="4"/>
    </row>
    <row r="81" spans="13:17" x14ac:dyDescent="0.25">
      <c r="M81" s="4"/>
      <c r="N81" s="4"/>
      <c r="O81" s="4"/>
      <c r="P81" s="4"/>
      <c r="Q81" s="4"/>
    </row>
    <row r="82" spans="13:17" x14ac:dyDescent="0.25">
      <c r="M82" s="4"/>
      <c r="N82" s="4"/>
      <c r="O82" s="4"/>
      <c r="P82" s="4"/>
      <c r="Q82" s="4"/>
    </row>
    <row r="83" spans="13:17" x14ac:dyDescent="0.25">
      <c r="M83" s="4"/>
      <c r="N83" s="4"/>
      <c r="O83" s="4"/>
      <c r="P83" s="4"/>
      <c r="Q83" s="4"/>
    </row>
    <row r="84" spans="13:17" x14ac:dyDescent="0.25">
      <c r="M84" s="4"/>
      <c r="N84" s="4"/>
      <c r="O84" s="4"/>
      <c r="P84" s="4"/>
      <c r="Q84" s="4"/>
    </row>
    <row r="85" spans="13:17" x14ac:dyDescent="0.25">
      <c r="M85" s="4"/>
      <c r="N85" s="4"/>
      <c r="O85" s="4"/>
      <c r="P85" s="4"/>
      <c r="Q85" s="4"/>
    </row>
    <row r="86" spans="13:17" x14ac:dyDescent="0.25">
      <c r="M86" s="4"/>
      <c r="N86" s="4"/>
      <c r="O86" s="4"/>
      <c r="P86" s="4"/>
      <c r="Q86" s="4"/>
    </row>
    <row r="87" spans="13:17" x14ac:dyDescent="0.25">
      <c r="M87" s="4"/>
      <c r="N87" s="4"/>
      <c r="O87" s="4"/>
      <c r="P87" s="4"/>
      <c r="Q87" s="4"/>
    </row>
    <row r="88" spans="13:17" x14ac:dyDescent="0.25">
      <c r="M88" s="4"/>
      <c r="N88" s="4"/>
      <c r="O88" s="4"/>
      <c r="P88" s="4"/>
      <c r="Q88" s="4"/>
    </row>
    <row r="89" spans="13:17" x14ac:dyDescent="0.25">
      <c r="M89" s="4"/>
      <c r="N89" s="4"/>
      <c r="O89" s="4"/>
      <c r="P89" s="4"/>
      <c r="Q89" s="4"/>
    </row>
    <row r="90" spans="13:17" x14ac:dyDescent="0.25">
      <c r="M90" s="4"/>
      <c r="N90" s="4"/>
      <c r="O90" s="4"/>
      <c r="P90" s="4"/>
      <c r="Q90" s="4"/>
    </row>
    <row r="91" spans="13:17" x14ac:dyDescent="0.25">
      <c r="M91" s="4"/>
      <c r="N91" s="4"/>
      <c r="O91" s="4"/>
      <c r="P91" s="4"/>
      <c r="Q91" s="4"/>
    </row>
    <row r="92" spans="13:17" x14ac:dyDescent="0.25">
      <c r="M92" s="4"/>
      <c r="N92" s="4"/>
      <c r="O92" s="4"/>
      <c r="P92" s="4"/>
      <c r="Q92" s="4"/>
    </row>
    <row r="93" spans="13:17" x14ac:dyDescent="0.25">
      <c r="M93" s="4"/>
      <c r="N93" s="4"/>
      <c r="O93" s="4"/>
      <c r="P93" s="4"/>
      <c r="Q93" s="4"/>
    </row>
    <row r="94" spans="13:17" x14ac:dyDescent="0.25">
      <c r="M94" s="4"/>
      <c r="N94" s="4"/>
      <c r="O94" s="4"/>
      <c r="P94" s="4"/>
      <c r="Q94" s="4"/>
    </row>
    <row r="95" spans="13:17" x14ac:dyDescent="0.25">
      <c r="M95" s="4"/>
      <c r="N95" s="4"/>
      <c r="O95" s="4"/>
      <c r="P95" s="4"/>
      <c r="Q95" s="4"/>
    </row>
    <row r="96" spans="13:17" x14ac:dyDescent="0.25">
      <c r="M96" s="4"/>
      <c r="N96" s="4"/>
      <c r="O96" s="4"/>
      <c r="P96" s="4"/>
      <c r="Q96" s="4"/>
    </row>
    <row r="97" spans="13:17" x14ac:dyDescent="0.25">
      <c r="M97" s="4"/>
      <c r="N97" s="4"/>
      <c r="O97" s="4"/>
      <c r="P97" s="4"/>
      <c r="Q97" s="4"/>
    </row>
    <row r="98" spans="13:17" x14ac:dyDescent="0.25">
      <c r="M98" s="4"/>
      <c r="N98" s="4"/>
      <c r="O98" s="4"/>
      <c r="P98" s="4"/>
      <c r="Q98" s="4"/>
    </row>
    <row r="99" spans="13:17" x14ac:dyDescent="0.25">
      <c r="M99" s="4"/>
      <c r="N99" s="4"/>
      <c r="O99" s="4"/>
      <c r="P99" s="4"/>
      <c r="Q99" s="4"/>
    </row>
    <row r="100" spans="13:17" x14ac:dyDescent="0.25">
      <c r="M100" s="4"/>
      <c r="N100" s="4"/>
      <c r="O100" s="4"/>
      <c r="P100" s="4"/>
      <c r="Q100" s="4"/>
    </row>
    <row r="101" spans="13:17" x14ac:dyDescent="0.25">
      <c r="M101" s="4"/>
      <c r="N101" s="4"/>
      <c r="O101" s="4"/>
      <c r="P101" s="4"/>
      <c r="Q101" s="4"/>
    </row>
    <row r="102" spans="13:17" x14ac:dyDescent="0.25">
      <c r="M102" s="4"/>
      <c r="N102" s="4"/>
      <c r="O102" s="4"/>
      <c r="P102" s="4"/>
      <c r="Q102" s="4"/>
    </row>
    <row r="103" spans="13:17" x14ac:dyDescent="0.25">
      <c r="M103" s="4"/>
      <c r="N103" s="4"/>
      <c r="O103" s="4"/>
      <c r="P103" s="4"/>
      <c r="Q103" s="4"/>
    </row>
    <row r="104" spans="13:17" x14ac:dyDescent="0.25">
      <c r="M104" s="4"/>
      <c r="N104" s="4"/>
      <c r="O104" s="4"/>
      <c r="P104" s="4"/>
      <c r="Q104" s="4"/>
    </row>
    <row r="105" spans="13:17" x14ac:dyDescent="0.25">
      <c r="M105" s="4"/>
      <c r="N105" s="4"/>
      <c r="O105" s="4"/>
      <c r="P105" s="4"/>
      <c r="Q105" s="4"/>
    </row>
    <row r="106" spans="13:17" x14ac:dyDescent="0.25">
      <c r="M106" s="4"/>
      <c r="N106" s="4"/>
      <c r="O106" s="4"/>
      <c r="P106" s="4"/>
      <c r="Q106" s="4"/>
    </row>
    <row r="107" spans="13:17" x14ac:dyDescent="0.25">
      <c r="M107" s="4"/>
      <c r="N107" s="4"/>
      <c r="O107" s="4"/>
      <c r="P107" s="4"/>
      <c r="Q107" s="4"/>
    </row>
    <row r="108" spans="13:17" x14ac:dyDescent="0.25">
      <c r="M108" s="4"/>
      <c r="N108" s="4"/>
      <c r="O108" s="4"/>
      <c r="P108" s="4"/>
      <c r="Q108" s="4"/>
    </row>
    <row r="109" spans="13:17" x14ac:dyDescent="0.25">
      <c r="M109" s="4"/>
      <c r="N109" s="4"/>
      <c r="O109" s="4"/>
      <c r="P109" s="4"/>
      <c r="Q109" s="4"/>
    </row>
    <row r="110" spans="13:17" x14ac:dyDescent="0.25">
      <c r="M110" s="4"/>
      <c r="N110" s="4"/>
      <c r="O110" s="4"/>
      <c r="P110" s="4"/>
      <c r="Q110" s="4"/>
    </row>
    <row r="111" spans="13:17" x14ac:dyDescent="0.25">
      <c r="M111" s="4"/>
      <c r="N111" s="4"/>
      <c r="O111" s="4"/>
      <c r="P111" s="4"/>
      <c r="Q111" s="4"/>
    </row>
    <row r="112" spans="13:17" x14ac:dyDescent="0.25">
      <c r="M112" s="4"/>
      <c r="N112" s="4"/>
      <c r="O112" s="4"/>
      <c r="P112" s="4"/>
      <c r="Q112" s="4"/>
    </row>
    <row r="113" spans="13:17" x14ac:dyDescent="0.25">
      <c r="M113" s="4"/>
      <c r="N113" s="4"/>
      <c r="O113" s="4"/>
      <c r="P113" s="4"/>
      <c r="Q113" s="4"/>
    </row>
    <row r="114" spans="13:17" x14ac:dyDescent="0.25">
      <c r="M114" s="4"/>
      <c r="N114" s="4"/>
      <c r="O114" s="4"/>
      <c r="P114" s="4"/>
      <c r="Q114" s="4"/>
    </row>
    <row r="115" spans="13:17" x14ac:dyDescent="0.25">
      <c r="M115" s="4"/>
      <c r="N115" s="4"/>
      <c r="O115" s="4"/>
      <c r="P115" s="4"/>
      <c r="Q115" s="4"/>
    </row>
    <row r="116" spans="13:17" x14ac:dyDescent="0.25">
      <c r="M116" s="4"/>
      <c r="N116" s="4"/>
      <c r="O116" s="4"/>
      <c r="P116" s="4"/>
      <c r="Q116" s="4"/>
    </row>
    <row r="117" spans="13:17" x14ac:dyDescent="0.25">
      <c r="M117" s="4"/>
      <c r="N117" s="4"/>
      <c r="O117" s="4"/>
      <c r="P117" s="4"/>
      <c r="Q117" s="4"/>
    </row>
    <row r="118" spans="13:17" x14ac:dyDescent="0.25">
      <c r="M118" s="4"/>
      <c r="N118" s="4"/>
      <c r="O118" s="4"/>
      <c r="P118" s="4"/>
      <c r="Q118" s="4"/>
    </row>
    <row r="119" spans="13:17" x14ac:dyDescent="0.25">
      <c r="M119" s="4"/>
      <c r="N119" s="4"/>
      <c r="O119" s="4"/>
      <c r="P119" s="4"/>
      <c r="Q119" s="4"/>
    </row>
    <row r="120" spans="13:17" x14ac:dyDescent="0.25">
      <c r="M120" s="4"/>
      <c r="N120" s="4"/>
      <c r="O120" s="4"/>
      <c r="P120" s="4"/>
      <c r="Q120" s="4"/>
    </row>
    <row r="121" spans="13:17" x14ac:dyDescent="0.25">
      <c r="M121" s="4"/>
      <c r="N121" s="4"/>
      <c r="O121" s="4"/>
      <c r="P121" s="4"/>
      <c r="Q121" s="4"/>
    </row>
    <row r="122" spans="13:17" x14ac:dyDescent="0.25">
      <c r="M122" s="4"/>
      <c r="N122" s="4"/>
      <c r="O122" s="4"/>
      <c r="P122" s="4"/>
      <c r="Q122" s="4"/>
    </row>
    <row r="123" spans="13:17" x14ac:dyDescent="0.25">
      <c r="M123" s="4"/>
      <c r="N123" s="4"/>
      <c r="O123" s="4"/>
      <c r="P123" s="4"/>
      <c r="Q123" s="4"/>
    </row>
    <row r="124" spans="13:17" x14ac:dyDescent="0.25">
      <c r="M124" s="4"/>
      <c r="N124" s="4"/>
      <c r="O124" s="4"/>
      <c r="P124" s="4"/>
      <c r="Q124" s="4"/>
    </row>
    <row r="125" spans="13:17" x14ac:dyDescent="0.25">
      <c r="M125" s="4"/>
      <c r="N125" s="4"/>
      <c r="O125" s="4"/>
      <c r="P125" s="4"/>
      <c r="Q125" s="4"/>
    </row>
    <row r="126" spans="13:17" x14ac:dyDescent="0.25">
      <c r="M126" s="4"/>
      <c r="N126" s="4"/>
      <c r="O126" s="4"/>
      <c r="P126" s="4"/>
      <c r="Q126" s="4"/>
    </row>
    <row r="127" spans="13:17" x14ac:dyDescent="0.25">
      <c r="M127" s="4"/>
      <c r="N127" s="4"/>
      <c r="O127" s="4"/>
      <c r="P127" s="4"/>
      <c r="Q127" s="4"/>
    </row>
    <row r="128" spans="13:17" x14ac:dyDescent="0.25">
      <c r="M128" s="4"/>
      <c r="N128" s="4"/>
      <c r="O128" s="4"/>
      <c r="P128" s="4"/>
      <c r="Q128" s="4"/>
    </row>
    <row r="129" spans="13:17" x14ac:dyDescent="0.25">
      <c r="M129" s="4"/>
      <c r="N129" s="4"/>
      <c r="O129" s="4"/>
      <c r="P129" s="4"/>
      <c r="Q129" s="4"/>
    </row>
  </sheetData>
  <sheetProtection sheet="1" formatColumns="0" formatRows="0" autoFilter="0"/>
  <mergeCells count="8">
    <mergeCell ref="A1:B1"/>
    <mergeCell ref="D1:K1"/>
    <mergeCell ref="M1:Q1"/>
    <mergeCell ref="S1:V1"/>
    <mergeCell ref="A2:B7"/>
    <mergeCell ref="D2:K7"/>
    <mergeCell ref="M2:Q7"/>
    <mergeCell ref="S2:V7"/>
  </mergeCells>
  <dataValidations count="13">
    <dataValidation type="date" allowBlank="1" showErrorMessage="1" errorStyle="stop" errorTitle="Date de relevé" error="Une date entre 2000 et 2099, par exemple 14/03/2026." sqref="B11:B12">
      <formula1>36526</formula1>
      <formula2>73050</formula2>
    </dataValidation>
    <dataValidation type="list" allowBlank="1" showErrorMessage="1" errorStyle="stop" errorTitle="Compte inconnu" error="Choisissez un compte déclaré dans le tableau Compte, à droite." sqref="B13">
      <formula1>OFFSET('Paramètres'!$D$10,0,0,MAX(1,COUNTA('Paramètres'!$D$10:$D$49)),1)</formula1>
    </dataValidation>
    <dataValidation type="decimal" allowBlank="1" showErrorMessage="1" errorStyle="stop" errorTitle="Solde de départ" error="Un nombre, sans texte. Vide : le compte reste « non initialisé », jamais 0." sqref="F10:F49">
      <formula1>-1000000000</formula1>
      <formula2>1000000000</formula2>
    </dataValidation>
    <dataValidation type="list" allowBlank="1" showErrorMessage="1" errorStyle="stop" errorTitle="Porte un solde" error="oui ou non. Vide : oui." sqref="G10:G49">
      <formula1>"oui,non"</formula1>
    </dataValidation>
    <dataValidation type="list" allowBlank="1" showErrorMessage="1" errorStyle="stop" errorTitle="Compte lié inconnu" error="Choisissez un compte déclaré dans ce même tableau." sqref="H10:H49">
      <formula1>OFFSET('Paramètres'!$D$10,0,0,MAX(1,COUNTA('Paramètres'!$D$10:$D$49)),1)</formula1>
    </dataValidation>
    <dataValidation type="list" allowBlank="1" showErrorMessage="1" errorStyle="stop" errorTitle="Sens répercuté" error="Débit, Crédit ou Les deux : ce qui est reporté sur le compte lié." sqref="I10:I49">
      <formula1>"Débit,Crédit,Les deux"</formula1>
    </dataValidation>
    <dataValidation type="decimal" allowBlank="1" showErrorMessage="1" errorStyle="stop" errorTitle="Participation" error="Un taux entre 0 % et 100 %, par exemple 50 %. Vide : 100 %." sqref="J10:J49">
      <formula1>0</formula1>
      <formula2>1</formula2>
    </dataValidation>
    <dataValidation type="custom" allowBlank="1" showErrorMessage="1" errorStyle="stop" errorTitle="Couleur" error="Une couleur au format #RRGGBB, par exemple #2563eb. Vide : une couleur stable est choisie pour vous." sqref="K10:K49">
      <formula1>OR(K10="",AND(LEFT(K10,1)="#",LEN(K10)=7))</formula1>
    </dataValidation>
    <dataValidation type="list" allowBlank="1" showErrorMessage="1" errorStyle="warning" errorTitle="Nature hors liste" error="Cette combinaison n'est pas dans la liste. L'import la vérifiera : une nature inconnue ou un couple contradictoire y sera refusé, avec la raison." sqref="N10:N129">
      <formula1>ListeNatures</formula1>
    </dataValidation>
    <dataValidation type="list" allowBlank="1" showErrorMessage="1" errorStyle="stop" errorTitle="Classe" error="Dépense Fixe, Dépense Courante ou Dépense Occasionnelle. Vide pour un type qui n'est pas une dépense." sqref="O10:O129">
      <formula1>"Dépense Fixe,Dépense Courante,Dépense Occasionnelle"</formula1>
    </dataValidation>
    <dataValidation type="list" allowBlank="1" showErrorMessage="1" errorStyle="stop" errorTitle="Sens par défaut" error="Débit ou Crédit : le sens de ce type dans la plupart des lignes." sqref="P10:P129">
      <formula1>"Débit,Crédit"</formula1>
    </dataValidation>
    <dataValidation type="list" allowBlank="1" showErrorMessage="1" errorStyle="warning" errorTitle="Catégorie non déclarée" error="Cette catégorie n'est pas dans le tableau Catégorie. Elle fonctionnera, avec une couleur choisie pour vous." sqref="Q10:Q129">
      <formula1>OFFSET('Paramètres'!$S$10,0,0,MAX(1,COUNTA('Paramètres'!$S$10:$S$49)),1)</formula1>
    </dataValidation>
    <dataValidation type="custom" allowBlank="1" showErrorMessage="1" errorStyle="stop" errorTitle="Couleur" error="Une couleur au format #RRGGBB, par exemple #2563eb. Vide : une couleur stable est choisie pour vous." sqref="T10:T49">
      <formula1>OR(T10="",AND(LEFT(T10,1)="#",LEN(T10)=7))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90" customWidth="1"/>
    <col min="5" max="8" width="16" customWidth="1"/>
    <col min="9" max="9" width="11" customWidth="1"/>
    <col min="10" max="10" width="12" customWidth="1"/>
    <col min="11" max="11" width="26" customWidth="1"/>
    <col min="12" max="12" width="16" customWidth="1"/>
    <col min="13" max="13" width="36" customWidth="1"/>
  </cols>
  <sheetData>
    <row r="1" spans="1:13" x14ac:dyDescent="0.25">
      <c r="A1" s="8" t="s">
        <v>248</v>
      </c>
      <c r="B1" s="8" t="s">
        <v>249</v>
      </c>
      <c r="C1" s="19" t="s">
        <v>250</v>
      </c>
      <c r="E1" s="20" t="s">
        <v>251</v>
      </c>
      <c r="F1" s="20" t="s">
        <v>252</v>
      </c>
      <c r="G1" s="20" t="s">
        <v>253</v>
      </c>
      <c r="H1" s="20" t="s">
        <v>254</v>
      </c>
      <c r="I1" s="3" t="s">
        <v>56</v>
      </c>
      <c r="J1" s="4" t="s">
        <v>57</v>
      </c>
      <c r="K1" s="6" t="s">
        <v>58</v>
      </c>
      <c r="L1" s="20" t="s">
        <v>255</v>
      </c>
      <c r="M1" s="20" t="s">
        <v>256</v>
      </c>
    </row>
    <row r="2" spans="1:13" x14ac:dyDescent="0.25">
      <c r="A2" s="21">
        <f>DATE(YEAR(MIN(Transactions!$A$2:$A$5000)),MONTH(MIN(Transactions!$A$2:$A$5000)),1)</f>
        <v>45536</v>
      </c>
      <c r="B2" s="21">
        <f>IF(FinReleve="","",EDATE(DATE(YEAR(FinReleve),MONTH(FinReleve),1),-119))</f>
        <v>42644</v>
      </c>
      <c r="C2" s="22" t="s">
        <v>257</v>
      </c>
      <c r="E2" s="6">
        <f>IF(AND('Paramètres'!D10&lt;&gt;"",'Paramètres'!G10&lt;&gt;"non"),MAX(E$1:E1)+1,"")</f>
        <v>1</v>
      </c>
      <c r="F2" s="6" t="str">
        <f>IF(AND('Paramètres'!M10&lt;&gt;"",'Paramètres'!P10="Crédit",ISERROR(SEARCH("transfert-interne",'Paramètres'!N10))),MAX(F$1:F1)+1,"")</f>
        <v/>
      </c>
      <c r="G2" s="6" t="str">
        <f>IF(AND('Paramètres'!M10&lt;&gt;"",ISNUMBER(SEARCH(",epargne,",","&amp;SUBSTITUTE('Paramètres'!N10," ","")&amp;","))),MAX(G$1:G1)+1,"")</f>
        <v/>
      </c>
      <c r="H2" s="6">
        <f>IF('Paramètres'!D10&lt;&gt;"",MAX(H$1:H1)+1,"")</f>
        <v>1</v>
      </c>
      <c r="L2" s="6">
        <f>IF(AND('Paramètres'!M10&lt;&gt;"",'Paramètres'!P10="Débit",ISERROR(SEARCH("transfert-interne",'Paramètres'!N10))),MAX(L$1:L1)+1,"")</f>
        <v>1</v>
      </c>
      <c r="M2" s="2" t="s">
        <v>221</v>
      </c>
    </row>
    <row r="3" spans="1:13" x14ac:dyDescent="0.25">
      <c r="A3" s="21">
        <f>EDATE(A2,1)</f>
        <v>45566</v>
      </c>
      <c r="B3" s="21">
        <f>IF(B2="","",EDATE(B2,1))</f>
        <v>42675</v>
      </c>
      <c r="C3" s="22" t="s">
        <v>258</v>
      </c>
      <c r="E3" s="6" t="str">
        <f>IF(AND('Paramètres'!D11&lt;&gt;"",'Paramètres'!G11&lt;&gt;"non"),MAX(E$1:E2)+1,"")</f>
        <v/>
      </c>
      <c r="F3" s="6" t="str">
        <f>IF(AND('Paramètres'!M11&lt;&gt;"",'Paramètres'!P11="Crédit",ISERROR(SEARCH("transfert-interne",'Paramètres'!N11))),MAX(F$1:F2)+1,"")</f>
        <v/>
      </c>
      <c r="G3" s="6" t="str">
        <f>IF(AND('Paramètres'!M11&lt;&gt;"",ISNUMBER(SEARCH(",epargne,",","&amp;SUBSTITUTE('Paramètres'!N11," ","")&amp;","))),MAX(G$1:G2)+1,"")</f>
        <v/>
      </c>
      <c r="H3" s="6">
        <f>IF('Paramètres'!D11&lt;&gt;"",MAX(H$1:H2)+1,"")</f>
        <v>2</v>
      </c>
      <c r="L3" s="6">
        <f>IF(AND('Paramètres'!M11&lt;&gt;"",'Paramètres'!P11="Débit",ISERROR(SEARCH("transfert-interne",'Paramètres'!N11))),MAX(L$1:L2)+1,"")</f>
        <v>2</v>
      </c>
      <c r="M3" s="2" t="s">
        <v>246</v>
      </c>
    </row>
    <row r="4" spans="1:13" x14ac:dyDescent="0.25">
      <c r="A4" s="21">
        <f>EDATE(A3,1)</f>
        <v>45597</v>
      </c>
      <c r="B4" s="21">
        <f>IF(B3="","",EDATE(B3,1))</f>
        <v>42705</v>
      </c>
      <c r="C4" s="22" t="s">
        <v>259</v>
      </c>
      <c r="E4" s="6" t="str">
        <f>IF(AND('Paramètres'!D12&lt;&gt;"",'Paramètres'!G12&lt;&gt;"non"),MAX(E$1:E3)+1,"")</f>
        <v/>
      </c>
      <c r="F4" s="6" t="str">
        <f>IF(AND('Paramètres'!M12&lt;&gt;"",'Paramètres'!P12="Crédit",ISERROR(SEARCH("transfert-interne",'Paramètres'!N12))),MAX(F$1:F3)+1,"")</f>
        <v/>
      </c>
      <c r="G4" s="6" t="str">
        <f>IF(AND('Paramètres'!M12&lt;&gt;"",ISNUMBER(SEARCH(",epargne,",","&amp;SUBSTITUTE('Paramètres'!N12," ","")&amp;","))),MAX(G$1:G3)+1,"")</f>
        <v/>
      </c>
      <c r="H4" s="6">
        <f>IF('Paramètres'!D12&lt;&gt;"",MAX(H$1:H3)+1,"")</f>
        <v>3</v>
      </c>
      <c r="L4" s="6">
        <f>IF(AND('Paramètres'!M12&lt;&gt;"",'Paramètres'!P12="Débit",ISERROR(SEARCH("transfert-interne",'Paramètres'!N12))),MAX(L$1:L3)+1,"")</f>
        <v>3</v>
      </c>
      <c r="M4" s="2" t="s">
        <v>260</v>
      </c>
    </row>
    <row r="5" spans="1:13" x14ac:dyDescent="0.25">
      <c r="A5" s="21">
        <f>EDATE(A4,1)</f>
        <v>45627</v>
      </c>
      <c r="B5" s="21">
        <f>IF(B4="","",EDATE(B4,1))</f>
        <v>42736</v>
      </c>
      <c r="C5" s="22" t="s">
        <v>261</v>
      </c>
      <c r="E5" s="6">
        <f>IF(AND('Paramètres'!D13&lt;&gt;"",'Paramètres'!G13&lt;&gt;"non"),MAX(E$1:E4)+1,"")</f>
        <v>2</v>
      </c>
      <c r="F5" s="6" t="str">
        <f>IF(AND('Paramètres'!M13&lt;&gt;"",'Paramètres'!P13="Crédit",ISERROR(SEARCH("transfert-interne",'Paramètres'!N13))),MAX(F$1:F4)+1,"")</f>
        <v/>
      </c>
      <c r="G5" s="6" t="str">
        <f>IF(AND('Paramètres'!M13&lt;&gt;"",ISNUMBER(SEARCH(",epargne,",","&amp;SUBSTITUTE('Paramètres'!N13," ","")&amp;","))),MAX(G$1:G4)+1,"")</f>
        <v/>
      </c>
      <c r="H5" s="6">
        <f>IF('Paramètres'!D13&lt;&gt;"",MAX(H$1:H4)+1,"")</f>
        <v>4</v>
      </c>
      <c r="L5" s="6">
        <f>IF(AND('Paramètres'!M13&lt;&gt;"",'Paramètres'!P13="Débit",ISERROR(SEARCH("transfert-interne",'Paramètres'!N13))),MAX(L$1:L4)+1,"")</f>
        <v>4</v>
      </c>
      <c r="M5" s="2" t="s">
        <v>247</v>
      </c>
    </row>
    <row r="6" spans="1:13" x14ac:dyDescent="0.25">
      <c r="A6" s="21">
        <f>EDATE(A5,1)</f>
        <v>45658</v>
      </c>
      <c r="B6" s="21">
        <f>IF(B5="","",EDATE(B5,1))</f>
        <v>42767</v>
      </c>
      <c r="C6" s="22" t="s">
        <v>262</v>
      </c>
      <c r="E6" s="6">
        <f>IF(AND('Paramètres'!D14&lt;&gt;"",'Paramètres'!G14&lt;&gt;"non"),MAX(E$1:E5)+1,"")</f>
        <v>3</v>
      </c>
      <c r="F6" s="6" t="str">
        <f>IF(AND('Paramètres'!M14&lt;&gt;"",'Paramètres'!P14="Crédit",ISERROR(SEARCH("transfert-interne",'Paramètres'!N14))),MAX(F$1:F5)+1,"")</f>
        <v/>
      </c>
      <c r="G6" s="6">
        <f>IF(AND('Paramètres'!M14&lt;&gt;"",ISNUMBER(SEARCH(",epargne,",","&amp;SUBSTITUTE('Paramètres'!N14," ","")&amp;","))),MAX(G$1:G5)+1,"")</f>
        <v>1</v>
      </c>
      <c r="H6" s="6">
        <f>IF('Paramètres'!D14&lt;&gt;"",MAX(H$1:H5)+1,"")</f>
        <v>5</v>
      </c>
      <c r="L6" s="6">
        <f>IF(AND('Paramètres'!M14&lt;&gt;"",'Paramètres'!P14="Débit",ISERROR(SEARCH("transfert-interne",'Paramètres'!N14))),MAX(L$1:L5)+1,"")</f>
        <v>5</v>
      </c>
      <c r="M6" s="2" t="s">
        <v>263</v>
      </c>
    </row>
    <row r="7" spans="1:13" x14ac:dyDescent="0.25">
      <c r="A7" s="21">
        <f>EDATE(A6,1)</f>
        <v>45689</v>
      </c>
      <c r="B7" s="21">
        <f>IF(B6="","",EDATE(B6,1))</f>
        <v>42795</v>
      </c>
      <c r="E7" s="6">
        <f>IF(AND('Paramètres'!D15&lt;&gt;"",'Paramètres'!G15&lt;&gt;"non"),MAX(E$1:E6)+1,"")</f>
        <v>4</v>
      </c>
      <c r="F7" s="6" t="str">
        <f>IF(AND('Paramètres'!M15&lt;&gt;"",'Paramètres'!P15="Crédit",ISERROR(SEARCH("transfert-interne",'Paramètres'!N15))),MAX(F$1:F6)+1,"")</f>
        <v/>
      </c>
      <c r="G7" s="6" t="str">
        <f>IF(AND('Paramètres'!M15&lt;&gt;"",ISNUMBER(SEARCH(",epargne,",","&amp;SUBSTITUTE('Paramètres'!N15," ","")&amp;","))),MAX(G$1:G6)+1,"")</f>
        <v/>
      </c>
      <c r="H7" s="6">
        <f>IF('Paramètres'!D15&lt;&gt;"",MAX(H$1:H6)+1,"")</f>
        <v>6</v>
      </c>
      <c r="L7" s="6">
        <f>IF(AND('Paramètres'!M15&lt;&gt;"",'Paramètres'!P15="Débit",ISERROR(SEARCH("transfert-interne",'Paramètres'!N15))),MAX(L$1:L6)+1,"")</f>
        <v>6</v>
      </c>
      <c r="M7" s="2" t="s">
        <v>244</v>
      </c>
    </row>
    <row r="8" spans="1:13" x14ac:dyDescent="0.25">
      <c r="A8" s="21">
        <f>EDATE(A7,1)</f>
        <v>45717</v>
      </c>
      <c r="B8" s="21">
        <f>IF(B7="","",EDATE(B7,1))</f>
        <v>42826</v>
      </c>
      <c r="E8" s="6">
        <f>IF(AND('Paramètres'!D16&lt;&gt;"",'Paramètres'!G16&lt;&gt;"non"),MAX(E$1:E7)+1,"")</f>
        <v>5</v>
      </c>
      <c r="F8" s="6" t="str">
        <f>IF(AND('Paramètres'!M16&lt;&gt;"",'Paramètres'!P16="Crédit",ISERROR(SEARCH("transfert-interne",'Paramètres'!N16))),MAX(F$1:F7)+1,"")</f>
        <v/>
      </c>
      <c r="G8" s="6">
        <f>IF(AND('Paramètres'!M16&lt;&gt;"",ISNUMBER(SEARCH(",epargne,",","&amp;SUBSTITUTE('Paramètres'!N16," ","")&amp;","))),MAX(G$1:G7)+1,"")</f>
        <v>2</v>
      </c>
      <c r="H8" s="6">
        <f>IF('Paramètres'!D16&lt;&gt;"",MAX(H$1:H7)+1,"")</f>
        <v>7</v>
      </c>
      <c r="L8" s="6">
        <f>IF(AND('Paramètres'!M16&lt;&gt;"",'Paramètres'!P16="Débit",ISERROR(SEARCH("transfert-interne",'Paramètres'!N16))),MAX(L$1:L7)+1,"")</f>
        <v>7</v>
      </c>
      <c r="M8" s="2" t="s">
        <v>264</v>
      </c>
    </row>
    <row r="9" spans="1:13" x14ac:dyDescent="0.25">
      <c r="A9" s="21">
        <f>EDATE(A8,1)</f>
        <v>45748</v>
      </c>
      <c r="B9" s="21">
        <f>IF(B8="","",EDATE(B8,1))</f>
        <v>42856</v>
      </c>
      <c r="E9" s="6" t="str">
        <f>IF(AND('Paramètres'!D17&lt;&gt;"",'Paramètres'!G17&lt;&gt;"non"),MAX(E$1:E8)+1,"")</f>
        <v/>
      </c>
      <c r="F9" s="6" t="str">
        <f>IF(AND('Paramètres'!M17&lt;&gt;"",'Paramètres'!P17="Crédit",ISERROR(SEARCH("transfert-interne",'Paramètres'!N17))),MAX(F$1:F8)+1,"")</f>
        <v/>
      </c>
      <c r="G9" s="6" t="str">
        <f>IF(AND('Paramètres'!M17&lt;&gt;"",ISNUMBER(SEARCH(",epargne,",","&amp;SUBSTITUTE('Paramètres'!N17," ","")&amp;","))),MAX(G$1:G8)+1,"")</f>
        <v/>
      </c>
      <c r="H9" s="6">
        <f>IF('Paramètres'!D17&lt;&gt;"",MAX(H$1:H8)+1,"")</f>
        <v>8</v>
      </c>
      <c r="L9" s="6">
        <f>IF(AND('Paramètres'!M17&lt;&gt;"",'Paramètres'!P17="Débit",ISERROR(SEARCH("transfert-interne",'Paramètres'!N17))),MAX(L$1:L8)+1,"")</f>
        <v>8</v>
      </c>
      <c r="M9" s="2" t="s">
        <v>243</v>
      </c>
    </row>
    <row r="10" spans="1:13" x14ac:dyDescent="0.25">
      <c r="A10" s="21">
        <f>EDATE(A9,1)</f>
        <v>45778</v>
      </c>
      <c r="B10" s="21">
        <f>IF(B9="","",EDATE(B9,1))</f>
        <v>42887</v>
      </c>
      <c r="E10" s="6" t="str">
        <f>IF(AND('Paramètres'!D18&lt;&gt;"",'Paramètres'!G18&lt;&gt;"non"),MAX(E$1:E9)+1,"")</f>
        <v/>
      </c>
      <c r="F10" s="6" t="str">
        <f>IF(AND('Paramètres'!M18&lt;&gt;"",'Paramètres'!P18="Crédit",ISERROR(SEARCH("transfert-interne",'Paramètres'!N18))),MAX(F$1:F9)+1,"")</f>
        <v/>
      </c>
      <c r="G10" s="6" t="str">
        <f>IF(AND('Paramètres'!M18&lt;&gt;"",ISNUMBER(SEARCH(",epargne,",","&amp;SUBSTITUTE('Paramètres'!N18," ","")&amp;","))),MAX(G$1:G9)+1,"")</f>
        <v/>
      </c>
      <c r="H10" s="6" t="str">
        <f>IF('Paramètres'!D18&lt;&gt;"",MAX(H$1:H9)+1,"")</f>
        <v/>
      </c>
      <c r="L10" s="6">
        <f>IF(AND('Paramètres'!M18&lt;&gt;"",'Paramètres'!P18="Débit",ISERROR(SEARCH("transfert-interne",'Paramètres'!N18))),MAX(L$1:L9)+1,"")</f>
        <v>9</v>
      </c>
      <c r="M10" s="2" t="s">
        <v>265</v>
      </c>
    </row>
    <row r="11" spans="1:13" x14ac:dyDescent="0.25">
      <c r="A11" s="21">
        <f>EDATE(A10,1)</f>
        <v>45809</v>
      </c>
      <c r="B11" s="21">
        <f>IF(B10="","",EDATE(B10,1))</f>
        <v>42917</v>
      </c>
      <c r="E11" s="6" t="str">
        <f>IF(AND('Paramètres'!D19&lt;&gt;"",'Paramètres'!G19&lt;&gt;"non"),MAX(E$1:E10)+1,"")</f>
        <v/>
      </c>
      <c r="F11" s="6" t="str">
        <f>IF(AND('Paramètres'!M19&lt;&gt;"",'Paramètres'!P19="Crédit",ISERROR(SEARCH("transfert-interne",'Paramètres'!N19))),MAX(F$1:F10)+1,"")</f>
        <v/>
      </c>
      <c r="G11" s="6" t="str">
        <f>IF(AND('Paramètres'!M19&lt;&gt;"",ISNUMBER(SEARCH(",epargne,",","&amp;SUBSTITUTE('Paramètres'!N19," ","")&amp;","))),MAX(G$1:G10)+1,"")</f>
        <v/>
      </c>
      <c r="H11" s="6" t="str">
        <f>IF('Paramètres'!D19&lt;&gt;"",MAX(H$1:H10)+1,"")</f>
        <v/>
      </c>
      <c r="L11" s="6">
        <f>IF(AND('Paramètres'!M19&lt;&gt;"",'Paramètres'!P19="Débit",ISERROR(SEARCH("transfert-interne",'Paramètres'!N19))),MAX(L$1:L10)+1,"")</f>
        <v>10</v>
      </c>
      <c r="M11" s="2" t="s">
        <v>241</v>
      </c>
    </row>
    <row r="12" spans="1:13" x14ac:dyDescent="0.25">
      <c r="A12" s="21">
        <f>EDATE(A11,1)</f>
        <v>45839</v>
      </c>
      <c r="B12" s="21">
        <f>IF(B11="","",EDATE(B11,1))</f>
        <v>42948</v>
      </c>
      <c r="E12" s="6" t="str">
        <f>IF(AND('Paramètres'!D20&lt;&gt;"",'Paramètres'!G20&lt;&gt;"non"),MAX(E$1:E11)+1,"")</f>
        <v/>
      </c>
      <c r="F12" s="6" t="str">
        <f>IF(AND('Paramètres'!M20&lt;&gt;"",'Paramètres'!P20="Crédit",ISERROR(SEARCH("transfert-interne",'Paramètres'!N20))),MAX(F$1:F11)+1,"")</f>
        <v/>
      </c>
      <c r="G12" s="6">
        <f>IF(AND('Paramètres'!M20&lt;&gt;"",ISNUMBER(SEARCH(",epargne,",","&amp;SUBSTITUTE('Paramètres'!N20," ","")&amp;","))),MAX(G$1:G11)+1,"")</f>
        <v>3</v>
      </c>
      <c r="H12" s="6" t="str">
        <f>IF('Paramètres'!D20&lt;&gt;"",MAX(H$1:H11)+1,"")</f>
        <v/>
      </c>
      <c r="L12" s="6">
        <f>IF(AND('Paramètres'!M20&lt;&gt;"",'Paramètres'!P20="Débit",ISERROR(SEARCH("transfert-interne",'Paramètres'!N20))),MAX(L$1:L11)+1,"")</f>
        <v>11</v>
      </c>
      <c r="M12" s="2" t="s">
        <v>266</v>
      </c>
    </row>
    <row r="13" spans="1:13" x14ac:dyDescent="0.25">
      <c r="A13" s="21">
        <f>EDATE(A12,1)</f>
        <v>45870</v>
      </c>
      <c r="B13" s="21">
        <f>IF(B12="","",EDATE(B12,1))</f>
        <v>42979</v>
      </c>
      <c r="E13" s="6" t="str">
        <f>IF(AND('Paramètres'!D21&lt;&gt;"",'Paramètres'!G21&lt;&gt;"non"),MAX(E$1:E12)+1,"")</f>
        <v/>
      </c>
      <c r="F13" s="6" t="str">
        <f>IF(AND('Paramètres'!M21&lt;&gt;"",'Paramètres'!P21="Crédit",ISERROR(SEARCH("transfert-interne",'Paramètres'!N21))),MAX(F$1:F12)+1,"")</f>
        <v/>
      </c>
      <c r="G13" s="6" t="str">
        <f>IF(AND('Paramètres'!M21&lt;&gt;"",ISNUMBER(SEARCH(",epargne,",","&amp;SUBSTITUTE('Paramètres'!N21," ","")&amp;","))),MAX(G$1:G12)+1,"")</f>
        <v/>
      </c>
      <c r="H13" s="6" t="str">
        <f>IF('Paramètres'!D21&lt;&gt;"",MAX(H$1:H12)+1,"")</f>
        <v/>
      </c>
      <c r="L13" s="6">
        <f>IF(AND('Paramètres'!M21&lt;&gt;"",'Paramètres'!P21="Débit",ISERROR(SEARCH("transfert-interne",'Paramètres'!N21))),MAX(L$1:L12)+1,"")</f>
        <v>12</v>
      </c>
      <c r="M13" s="2" t="s">
        <v>267</v>
      </c>
    </row>
    <row r="14" spans="1:13" x14ac:dyDescent="0.25">
      <c r="A14" s="21">
        <f>EDATE(A13,1)</f>
        <v>45901</v>
      </c>
      <c r="B14" s="21">
        <f>IF(B13="","",EDATE(B13,1))</f>
        <v>43009</v>
      </c>
      <c r="E14" s="6" t="str">
        <f>IF(AND('Paramètres'!D22&lt;&gt;"",'Paramètres'!G22&lt;&gt;"non"),MAX(E$1:E13)+1,"")</f>
        <v/>
      </c>
      <c r="F14" s="6" t="str">
        <f>IF(AND('Paramètres'!M22&lt;&gt;"",'Paramètres'!P22="Crédit",ISERROR(SEARCH("transfert-interne",'Paramètres'!N22))),MAX(F$1:F13)+1,"")</f>
        <v/>
      </c>
      <c r="G14" s="6">
        <f>IF(AND('Paramètres'!M22&lt;&gt;"",ISNUMBER(SEARCH(",epargne,",","&amp;SUBSTITUTE('Paramètres'!N22," ","")&amp;","))),MAX(G$1:G13)+1,"")</f>
        <v>4</v>
      </c>
      <c r="H14" s="6" t="str">
        <f>IF('Paramètres'!D22&lt;&gt;"",MAX(H$1:H13)+1,"")</f>
        <v/>
      </c>
      <c r="L14" s="6" t="str">
        <f>IF(AND('Paramètres'!M22&lt;&gt;"",'Paramètres'!P22="Débit",ISERROR(SEARCH("transfert-interne",'Paramètres'!N22))),MAX(L$1:L13)+1,"")</f>
        <v/>
      </c>
      <c r="M14" s="2" t="s">
        <v>245</v>
      </c>
    </row>
    <row r="15" spans="1:13" x14ac:dyDescent="0.25">
      <c r="A15" s="21">
        <f>EDATE(A14,1)</f>
        <v>45931</v>
      </c>
      <c r="B15" s="21">
        <f>IF(B14="","",EDATE(B14,1))</f>
        <v>43040</v>
      </c>
      <c r="E15" s="6" t="str">
        <f>IF(AND('Paramètres'!D23&lt;&gt;"",'Paramètres'!G23&lt;&gt;"non"),MAX(E$1:E14)+1,"")</f>
        <v/>
      </c>
      <c r="F15" s="6" t="str">
        <f>IF(AND('Paramètres'!M23&lt;&gt;"",'Paramètres'!P23="Crédit",ISERROR(SEARCH("transfert-interne",'Paramètres'!N23))),MAX(F$1:F14)+1,"")</f>
        <v/>
      </c>
      <c r="G15" s="6">
        <f>IF(AND('Paramètres'!M23&lt;&gt;"",ISNUMBER(SEARCH(",epargne,",","&amp;SUBSTITUTE('Paramètres'!N23," ","")&amp;","))),MAX(G$1:G14)+1,"")</f>
        <v>5</v>
      </c>
      <c r="H15" s="6" t="str">
        <f>IF('Paramètres'!D23&lt;&gt;"",MAX(H$1:H14)+1,"")</f>
        <v/>
      </c>
      <c r="L15" s="6">
        <f>IF(AND('Paramètres'!M23&lt;&gt;"",'Paramètres'!P23="Débit",ISERROR(SEARCH("transfert-interne",'Paramètres'!N23))),MAX(L$1:L14)+1,"")</f>
        <v>13</v>
      </c>
      <c r="M15" s="2" t="s">
        <v>268</v>
      </c>
    </row>
    <row r="16" spans="1:13" x14ac:dyDescent="0.25">
      <c r="A16" s="21">
        <f>EDATE(A15,1)</f>
        <v>45962</v>
      </c>
      <c r="B16" s="21">
        <f>IF(B15="","",EDATE(B15,1))</f>
        <v>43070</v>
      </c>
      <c r="E16" s="6" t="str">
        <f>IF(AND('Paramètres'!D24&lt;&gt;"",'Paramètres'!G24&lt;&gt;"non"),MAX(E$1:E15)+1,"")</f>
        <v/>
      </c>
      <c r="F16" s="6" t="str">
        <f>IF(AND('Paramètres'!M24&lt;&gt;"",'Paramètres'!P24="Crédit",ISERROR(SEARCH("transfert-interne",'Paramètres'!N24))),MAX(F$1:F15)+1,"")</f>
        <v/>
      </c>
      <c r="G16" s="6">
        <f>IF(AND('Paramètres'!M24&lt;&gt;"",ISNUMBER(SEARCH(",epargne,",","&amp;SUBSTITUTE('Paramètres'!N24," ","")&amp;","))),MAX(G$1:G15)+1,"")</f>
        <v>6</v>
      </c>
      <c r="H16" s="6" t="str">
        <f>IF('Paramètres'!D24&lt;&gt;"",MAX(H$1:H15)+1,"")</f>
        <v/>
      </c>
      <c r="L16" s="6">
        <f>IF(AND('Paramètres'!M24&lt;&gt;"",'Paramètres'!P24="Débit",ISERROR(SEARCH("transfert-interne",'Paramètres'!N24))),MAX(L$1:L15)+1,"")</f>
        <v>14</v>
      </c>
      <c r="M16" s="2" t="s">
        <v>269</v>
      </c>
    </row>
    <row r="17" spans="1:13" x14ac:dyDescent="0.25">
      <c r="A17" s="21">
        <f>EDATE(A16,1)</f>
        <v>45992</v>
      </c>
      <c r="B17" s="21">
        <f>IF(B16="","",EDATE(B16,1))</f>
        <v>43101</v>
      </c>
      <c r="E17" s="6" t="str">
        <f>IF(AND('Paramètres'!D25&lt;&gt;"",'Paramètres'!G25&lt;&gt;"non"),MAX(E$1:E16)+1,"")</f>
        <v/>
      </c>
      <c r="F17" s="6" t="str">
        <f>IF(AND('Paramètres'!M25&lt;&gt;"",'Paramètres'!P25="Crédit",ISERROR(SEARCH("transfert-interne",'Paramètres'!N25))),MAX(F$1:F16)+1,"")</f>
        <v/>
      </c>
      <c r="G17" s="6" t="str">
        <f>IF(AND('Paramètres'!M25&lt;&gt;"",ISNUMBER(SEARCH(",epargne,",","&amp;SUBSTITUTE('Paramètres'!N25," ","")&amp;","))),MAX(G$1:G16)+1,"")</f>
        <v/>
      </c>
      <c r="H17" s="6" t="str">
        <f>IF('Paramètres'!D25&lt;&gt;"",MAX(H$1:H16)+1,"")</f>
        <v/>
      </c>
      <c r="L17" s="6">
        <f>IF(AND('Paramètres'!M25&lt;&gt;"",'Paramètres'!P25="Débit",ISERROR(SEARCH("transfert-interne",'Paramètres'!N25))),MAX(L$1:L16)+1,"")</f>
        <v>15</v>
      </c>
      <c r="M17" s="2" t="s">
        <v>270</v>
      </c>
    </row>
    <row r="18" spans="1:13" x14ac:dyDescent="0.25">
      <c r="A18" s="21">
        <f>EDATE(A17,1)</f>
        <v>46023</v>
      </c>
      <c r="B18" s="21">
        <f>IF(B17="","",EDATE(B17,1))</f>
        <v>43132</v>
      </c>
      <c r="E18" s="6" t="str">
        <f>IF(AND('Paramètres'!D26&lt;&gt;"",'Paramètres'!G26&lt;&gt;"non"),MAX(E$1:E17)+1,"")</f>
        <v/>
      </c>
      <c r="F18" s="6" t="str">
        <f>IF(AND('Paramètres'!M26&lt;&gt;"",'Paramètres'!P26="Crédit",ISERROR(SEARCH("transfert-interne",'Paramètres'!N26))),MAX(F$1:F17)+1,"")</f>
        <v/>
      </c>
      <c r="G18" s="6" t="str">
        <f>IF(AND('Paramètres'!M26&lt;&gt;"",ISNUMBER(SEARCH(",epargne,",","&amp;SUBSTITUTE('Paramètres'!N26," ","")&amp;","))),MAX(G$1:G17)+1,"")</f>
        <v/>
      </c>
      <c r="H18" s="6" t="str">
        <f>IF('Paramètres'!D26&lt;&gt;"",MAX(H$1:H17)+1,"")</f>
        <v/>
      </c>
      <c r="L18" s="6">
        <f>IF(AND('Paramètres'!M26&lt;&gt;"",'Paramètres'!P26="Débit",ISERROR(SEARCH("transfert-interne",'Paramètres'!N26))),MAX(L$1:L17)+1,"")</f>
        <v>16</v>
      </c>
      <c r="M18" s="2" t="s">
        <v>271</v>
      </c>
    </row>
    <row r="19" spans="1:13" x14ac:dyDescent="0.25">
      <c r="A19" s="21">
        <f>EDATE(A18,1)</f>
        <v>46054</v>
      </c>
      <c r="B19" s="21">
        <f>IF(B18="","",EDATE(B18,1))</f>
        <v>43160</v>
      </c>
      <c r="E19" s="6" t="str">
        <f>IF(AND('Paramètres'!D27&lt;&gt;"",'Paramètres'!G27&lt;&gt;"non"),MAX(E$1:E18)+1,"")</f>
        <v/>
      </c>
      <c r="F19" s="6" t="str">
        <f>IF(AND('Paramètres'!M27&lt;&gt;"",'Paramètres'!P27="Crédit",ISERROR(SEARCH("transfert-interne",'Paramètres'!N27))),MAX(F$1:F18)+1,"")</f>
        <v/>
      </c>
      <c r="G19" s="6" t="str">
        <f>IF(AND('Paramètres'!M27&lt;&gt;"",ISNUMBER(SEARCH(",epargne,",","&amp;SUBSTITUTE('Paramètres'!N27," ","")&amp;","))),MAX(G$1:G18)+1,"")</f>
        <v/>
      </c>
      <c r="H19" s="6" t="str">
        <f>IF('Paramètres'!D27&lt;&gt;"",MAX(H$1:H18)+1,"")</f>
        <v/>
      </c>
      <c r="L19" s="6">
        <f>IF(AND('Paramètres'!M27&lt;&gt;"",'Paramètres'!P27="Débit",ISERROR(SEARCH("transfert-interne",'Paramètres'!N27))),MAX(L$1:L18)+1,"")</f>
        <v>17</v>
      </c>
      <c r="M19" s="2" t="s">
        <v>272</v>
      </c>
    </row>
    <row r="20" spans="1:13" x14ac:dyDescent="0.25">
      <c r="A20" s="21">
        <f>EDATE(A19,1)</f>
        <v>46082</v>
      </c>
      <c r="B20" s="21">
        <f>IF(B19="","",EDATE(B19,1))</f>
        <v>43191</v>
      </c>
      <c r="E20" s="6" t="str">
        <f>IF(AND('Paramètres'!D28&lt;&gt;"",'Paramètres'!G28&lt;&gt;"non"),MAX(E$1:E19)+1,"")</f>
        <v/>
      </c>
      <c r="F20" s="6" t="str">
        <f>IF(AND('Paramètres'!M28&lt;&gt;"",'Paramètres'!P28="Crédit",ISERROR(SEARCH("transfert-interne",'Paramètres'!N28))),MAX(F$1:F19)+1,"")</f>
        <v/>
      </c>
      <c r="G20" s="6" t="str">
        <f>IF(AND('Paramètres'!M28&lt;&gt;"",ISNUMBER(SEARCH(",epargne,",","&amp;SUBSTITUTE('Paramètres'!N28," ","")&amp;","))),MAX(G$1:G19)+1,"")</f>
        <v/>
      </c>
      <c r="H20" s="6" t="str">
        <f>IF('Paramètres'!D28&lt;&gt;"",MAX(H$1:H19)+1,"")</f>
        <v/>
      </c>
      <c r="L20" s="6">
        <f>IF(AND('Paramètres'!M28&lt;&gt;"",'Paramètres'!P28="Débit",ISERROR(SEARCH("transfert-interne",'Paramètres'!N28))),MAX(L$1:L19)+1,"")</f>
        <v>18</v>
      </c>
      <c r="M20" s="2" t="s">
        <v>273</v>
      </c>
    </row>
    <row r="21" spans="1:13" x14ac:dyDescent="0.25">
      <c r="A21" s="21">
        <f>EDATE(A20,1)</f>
        <v>46113</v>
      </c>
      <c r="B21" s="21">
        <f>IF(B20="","",EDATE(B20,1))</f>
        <v>43221</v>
      </c>
      <c r="E21" s="6" t="str">
        <f>IF(AND('Paramètres'!D29&lt;&gt;"",'Paramètres'!G29&lt;&gt;"non"),MAX(E$1:E20)+1,"")</f>
        <v/>
      </c>
      <c r="F21" s="6" t="str">
        <f>IF(AND('Paramètres'!M29&lt;&gt;"",'Paramètres'!P29="Crédit",ISERROR(SEARCH("transfert-interne",'Paramètres'!N29))),MAX(F$1:F20)+1,"")</f>
        <v/>
      </c>
      <c r="G21" s="6" t="str">
        <f>IF(AND('Paramètres'!M29&lt;&gt;"",ISNUMBER(SEARCH(",epargne,",","&amp;SUBSTITUTE('Paramètres'!N29," ","")&amp;","))),MAX(G$1:G20)+1,"")</f>
        <v/>
      </c>
      <c r="H21" s="6" t="str">
        <f>IF('Paramètres'!D29&lt;&gt;"",MAX(H$1:H20)+1,"")</f>
        <v/>
      </c>
      <c r="L21" s="6">
        <f>IF(AND('Paramètres'!M29&lt;&gt;"",'Paramètres'!P29="Débit",ISERROR(SEARCH("transfert-interne",'Paramètres'!N29))),MAX(L$1:L20)+1,"")</f>
        <v>19</v>
      </c>
      <c r="M21" s="2" t="s">
        <v>274</v>
      </c>
    </row>
    <row r="22" spans="1:13" x14ac:dyDescent="0.25">
      <c r="A22" s="21">
        <f>EDATE(A21,1)</f>
        <v>46143</v>
      </c>
      <c r="B22" s="21">
        <f>IF(B21="","",EDATE(B21,1))</f>
        <v>43252</v>
      </c>
      <c r="E22" s="6" t="str">
        <f>IF(AND('Paramètres'!D30&lt;&gt;"",'Paramètres'!G30&lt;&gt;"non"),MAX(E$1:E21)+1,"")</f>
        <v/>
      </c>
      <c r="F22" s="6" t="str">
        <f>IF(AND('Paramètres'!M30&lt;&gt;"",'Paramètres'!P30="Crédit",ISERROR(SEARCH("transfert-interne",'Paramètres'!N30))),MAX(F$1:F21)+1,"")</f>
        <v/>
      </c>
      <c r="G22" s="6" t="str">
        <f>IF(AND('Paramètres'!M30&lt;&gt;"",ISNUMBER(SEARCH(",epargne,",","&amp;SUBSTITUTE('Paramètres'!N30," ","")&amp;","))),MAX(G$1:G21)+1,"")</f>
        <v/>
      </c>
      <c r="H22" s="6" t="str">
        <f>IF('Paramètres'!D30&lt;&gt;"",MAX(H$1:H21)+1,"")</f>
        <v/>
      </c>
      <c r="L22" s="6">
        <f>IF(AND('Paramètres'!M30&lt;&gt;"",'Paramètres'!P30="Débit",ISERROR(SEARCH("transfert-interne",'Paramètres'!N30))),MAX(L$1:L21)+1,"")</f>
        <v>20</v>
      </c>
      <c r="M22" s="2" t="s">
        <v>275</v>
      </c>
    </row>
    <row r="23" spans="1:13" x14ac:dyDescent="0.25">
      <c r="A23" s="21">
        <f>EDATE(A22,1)</f>
        <v>46174</v>
      </c>
      <c r="B23" s="21">
        <f>IF(B22="","",EDATE(B22,1))</f>
        <v>43282</v>
      </c>
      <c r="E23" s="6" t="str">
        <f>IF(AND('Paramètres'!D31&lt;&gt;"",'Paramètres'!G31&lt;&gt;"non"),MAX(E$1:E22)+1,"")</f>
        <v/>
      </c>
      <c r="F23" s="6" t="str">
        <f>IF(AND('Paramètres'!M31&lt;&gt;"",'Paramètres'!P31="Crédit",ISERROR(SEARCH("transfert-interne",'Paramètres'!N31))),MAX(F$1:F22)+1,"")</f>
        <v/>
      </c>
      <c r="G23" s="6" t="str">
        <f>IF(AND('Paramètres'!M31&lt;&gt;"",ISNUMBER(SEARCH(",epargne,",","&amp;SUBSTITUTE('Paramètres'!N31," ","")&amp;","))),MAX(G$1:G22)+1,"")</f>
        <v/>
      </c>
      <c r="H23" s="6" t="str">
        <f>IF('Paramètres'!D31&lt;&gt;"",MAX(H$1:H22)+1,"")</f>
        <v/>
      </c>
      <c r="L23" s="6">
        <f>IF(AND('Paramètres'!M31&lt;&gt;"",'Paramètres'!P31="Débit",ISERROR(SEARCH("transfert-interne",'Paramètres'!N31))),MAX(L$1:L22)+1,"")</f>
        <v>21</v>
      </c>
      <c r="M23" s="2" t="s">
        <v>276</v>
      </c>
    </row>
    <row r="24" spans="1:13" x14ac:dyDescent="0.25">
      <c r="A24" s="21">
        <f>EDATE(A23,1)</f>
        <v>46204</v>
      </c>
      <c r="B24" s="21">
        <f>IF(B23="","",EDATE(B23,1))</f>
        <v>43313</v>
      </c>
      <c r="E24" s="6" t="str">
        <f>IF(AND('Paramètres'!D32&lt;&gt;"",'Paramètres'!G32&lt;&gt;"non"),MAX(E$1:E23)+1,"")</f>
        <v/>
      </c>
      <c r="F24" s="6" t="str">
        <f>IF(AND('Paramètres'!M32&lt;&gt;"",'Paramètres'!P32="Crédit",ISERROR(SEARCH("transfert-interne",'Paramètres'!N32))),MAX(F$1:F23)+1,"")</f>
        <v/>
      </c>
      <c r="G24" s="6" t="str">
        <f>IF(AND('Paramètres'!M32&lt;&gt;"",ISNUMBER(SEARCH(",epargne,",","&amp;SUBSTITUTE('Paramètres'!N32," ","")&amp;","))),MAX(G$1:G23)+1,"")</f>
        <v/>
      </c>
      <c r="H24" s="6" t="str">
        <f>IF('Paramètres'!D32&lt;&gt;"",MAX(H$1:H23)+1,"")</f>
        <v/>
      </c>
      <c r="L24" s="6">
        <f>IF(AND('Paramètres'!M32&lt;&gt;"",'Paramètres'!P32="Débit",ISERROR(SEARCH("transfert-interne",'Paramètres'!N32))),MAX(L$1:L23)+1,"")</f>
        <v>22</v>
      </c>
      <c r="M24" s="2" t="s">
        <v>277</v>
      </c>
    </row>
    <row r="25" spans="1:13" x14ac:dyDescent="0.25">
      <c r="A25" s="21">
        <f>EDATE(A24,1)</f>
        <v>46235</v>
      </c>
      <c r="B25" s="21">
        <f>IF(B24="","",EDATE(B24,1))</f>
        <v>43344</v>
      </c>
      <c r="E25" s="6" t="str">
        <f>IF(AND('Paramètres'!D33&lt;&gt;"",'Paramètres'!G33&lt;&gt;"non"),MAX(E$1:E24)+1,"")</f>
        <v/>
      </c>
      <c r="F25" s="6" t="str">
        <f>IF(AND('Paramètres'!M33&lt;&gt;"",'Paramètres'!P33="Crédit",ISERROR(SEARCH("transfert-interne",'Paramètres'!N33))),MAX(F$1:F24)+1,"")</f>
        <v/>
      </c>
      <c r="G25" s="6" t="str">
        <f>IF(AND('Paramètres'!M33&lt;&gt;"",ISNUMBER(SEARCH(",epargne,",","&amp;SUBSTITUTE('Paramètres'!N33," ","")&amp;","))),MAX(G$1:G24)+1,"")</f>
        <v/>
      </c>
      <c r="H25" s="6" t="str">
        <f>IF('Paramètres'!D33&lt;&gt;"",MAX(H$1:H24)+1,"")</f>
        <v/>
      </c>
      <c r="L25" s="6">
        <f>IF(AND('Paramètres'!M33&lt;&gt;"",'Paramètres'!P33="Débit",ISERROR(SEARCH("transfert-interne",'Paramètres'!N33))),MAX(L$1:L24)+1,"")</f>
        <v>23</v>
      </c>
      <c r="M25" s="2" t="s">
        <v>278</v>
      </c>
    </row>
    <row r="26" spans="1:13" x14ac:dyDescent="0.25">
      <c r="A26" s="21">
        <f>EDATE(A25,1)</f>
        <v>46266</v>
      </c>
      <c r="B26" s="21">
        <f>IF(B25="","",EDATE(B25,1))</f>
        <v>43374</v>
      </c>
      <c r="E26" s="6" t="str">
        <f>IF(AND('Paramètres'!D34&lt;&gt;"",'Paramètres'!G34&lt;&gt;"non"),MAX(E$1:E25)+1,"")</f>
        <v/>
      </c>
      <c r="F26" s="6" t="str">
        <f>IF(AND('Paramètres'!M34&lt;&gt;"",'Paramètres'!P34="Crédit",ISERROR(SEARCH("transfert-interne",'Paramètres'!N34))),MAX(F$1:F25)+1,"")</f>
        <v/>
      </c>
      <c r="G26" s="6" t="str">
        <f>IF(AND('Paramètres'!M34&lt;&gt;"",ISNUMBER(SEARCH(",epargne,",","&amp;SUBSTITUTE('Paramètres'!N34," ","")&amp;","))),MAX(G$1:G25)+1,"")</f>
        <v/>
      </c>
      <c r="H26" s="6" t="str">
        <f>IF('Paramètres'!D34&lt;&gt;"",MAX(H$1:H25)+1,"")</f>
        <v/>
      </c>
      <c r="L26" s="6">
        <f>IF(AND('Paramètres'!M34&lt;&gt;"",'Paramètres'!P34="Débit",ISERROR(SEARCH("transfert-interne",'Paramètres'!N34))),MAX(L$1:L25)+1,"")</f>
        <v>24</v>
      </c>
      <c r="M26" s="2" t="s">
        <v>279</v>
      </c>
    </row>
    <row r="27" spans="1:12" x14ac:dyDescent="0.25">
      <c r="A27" s="21">
        <f>EDATE(A26,1)</f>
        <v>46296</v>
      </c>
      <c r="B27" s="21">
        <f>IF(B26="","",EDATE(B26,1))</f>
        <v>43405</v>
      </c>
      <c r="E27" s="6" t="str">
        <f>IF(AND('Paramètres'!D35&lt;&gt;"",'Paramètres'!G35&lt;&gt;"non"),MAX(E$1:E26)+1,"")</f>
        <v/>
      </c>
      <c r="F27" s="6" t="str">
        <f>IF(AND('Paramètres'!M35&lt;&gt;"",'Paramètres'!P35="Crédit",ISERROR(SEARCH("transfert-interne",'Paramètres'!N35))),MAX(F$1:F26)+1,"")</f>
        <v/>
      </c>
      <c r="G27" s="6" t="str">
        <f>IF(AND('Paramètres'!M35&lt;&gt;"",ISNUMBER(SEARCH(",epargne,",","&amp;SUBSTITUTE('Paramètres'!N35," ","")&amp;","))),MAX(G$1:G26)+1,"")</f>
        <v/>
      </c>
      <c r="H27" s="6" t="str">
        <f>IF('Paramètres'!D35&lt;&gt;"",MAX(H$1:H26)+1,"")</f>
        <v/>
      </c>
      <c r="L27" s="6">
        <f>IF(AND('Paramètres'!M35&lt;&gt;"",'Paramètres'!P35="Débit",ISERROR(SEARCH("transfert-interne",'Paramètres'!N35))),MAX(L$1:L26)+1,"")</f>
        <v>25</v>
      </c>
    </row>
    <row r="28" spans="1:12" x14ac:dyDescent="0.25">
      <c r="A28" s="21">
        <f>EDATE(A27,1)</f>
        <v>46327</v>
      </c>
      <c r="B28" s="21">
        <f>IF(B27="","",EDATE(B27,1))</f>
        <v>43435</v>
      </c>
      <c r="E28" s="6" t="str">
        <f>IF(AND('Paramètres'!D36&lt;&gt;"",'Paramètres'!G36&lt;&gt;"non"),MAX(E$1:E27)+1,"")</f>
        <v/>
      </c>
      <c r="F28" s="6">
        <f>IF(AND('Paramètres'!M36&lt;&gt;"",'Paramètres'!P36="Crédit",ISERROR(SEARCH("transfert-interne",'Paramètres'!N36))),MAX(F$1:F27)+1,"")</f>
        <v>1</v>
      </c>
      <c r="G28" s="6" t="str">
        <f>IF(AND('Paramètres'!M36&lt;&gt;"",ISNUMBER(SEARCH(",epargne,",","&amp;SUBSTITUTE('Paramètres'!N36," ","")&amp;","))),MAX(G$1:G27)+1,"")</f>
        <v/>
      </c>
      <c r="H28" s="6" t="str">
        <f>IF('Paramètres'!D36&lt;&gt;"",MAX(H$1:H27)+1,"")</f>
        <v/>
      </c>
      <c r="L28" s="6" t="str">
        <f>IF(AND('Paramètres'!M36&lt;&gt;"",'Paramètres'!P36="Débit",ISERROR(SEARCH("transfert-interne",'Paramètres'!N36))),MAX(L$1:L27)+1,"")</f>
        <v/>
      </c>
    </row>
    <row r="29" spans="1:12" x14ac:dyDescent="0.25">
      <c r="A29" s="21">
        <f>EDATE(A28,1)</f>
        <v>46357</v>
      </c>
      <c r="B29" s="21">
        <f>IF(B28="","",EDATE(B28,1))</f>
        <v>43466</v>
      </c>
      <c r="E29" s="6" t="str">
        <f>IF(AND('Paramètres'!D37&lt;&gt;"",'Paramètres'!G37&lt;&gt;"non"),MAX(E$1:E28)+1,"")</f>
        <v/>
      </c>
      <c r="F29" s="6" t="str">
        <f>IF(AND('Paramètres'!M37&lt;&gt;"",'Paramètres'!P37="Crédit",ISERROR(SEARCH("transfert-interne",'Paramètres'!N37))),MAX(F$1:F28)+1,"")</f>
        <v/>
      </c>
      <c r="G29" s="6" t="str">
        <f>IF(AND('Paramètres'!M37&lt;&gt;"",ISNUMBER(SEARCH(",epargne,",","&amp;SUBSTITUTE('Paramètres'!N37," ","")&amp;","))),MAX(G$1:G28)+1,"")</f>
        <v/>
      </c>
      <c r="H29" s="6" t="str">
        <f>IF('Paramètres'!D37&lt;&gt;"",MAX(H$1:H28)+1,"")</f>
        <v/>
      </c>
      <c r="L29" s="6" t="str">
        <f>IF(AND('Paramètres'!M37&lt;&gt;"",'Paramètres'!P37="Débit",ISERROR(SEARCH("transfert-interne",'Paramètres'!N37))),MAX(L$1:L28)+1,"")</f>
        <v/>
      </c>
    </row>
    <row r="30" spans="1:12" x14ac:dyDescent="0.25">
      <c r="A30" s="21">
        <f>EDATE(A29,1)</f>
        <v>46388</v>
      </c>
      <c r="B30" s="21">
        <f>IF(B29="","",EDATE(B29,1))</f>
        <v>43497</v>
      </c>
      <c r="E30" s="6" t="str">
        <f>IF(AND('Paramètres'!D38&lt;&gt;"",'Paramètres'!G38&lt;&gt;"non"),MAX(E$1:E29)+1,"")</f>
        <v/>
      </c>
      <c r="F30" s="6">
        <f>IF(AND('Paramètres'!M38&lt;&gt;"",'Paramètres'!P38="Crédit",ISERROR(SEARCH("transfert-interne",'Paramètres'!N38))),MAX(F$1:F29)+1,"")</f>
        <v>2</v>
      </c>
      <c r="G30" s="6" t="str">
        <f>IF(AND('Paramètres'!M38&lt;&gt;"",ISNUMBER(SEARCH(",epargne,",","&amp;SUBSTITUTE('Paramètres'!N38," ","")&amp;","))),MAX(G$1:G29)+1,"")</f>
        <v/>
      </c>
      <c r="H30" s="6" t="str">
        <f>IF('Paramètres'!D38&lt;&gt;"",MAX(H$1:H29)+1,"")</f>
        <v/>
      </c>
      <c r="L30" s="6" t="str">
        <f>IF(AND('Paramètres'!M38&lt;&gt;"",'Paramètres'!P38="Débit",ISERROR(SEARCH("transfert-interne",'Paramètres'!N38))),MAX(L$1:L29)+1,"")</f>
        <v/>
      </c>
    </row>
    <row r="31" spans="1:12" x14ac:dyDescent="0.25">
      <c r="A31" s="21">
        <f>EDATE(A30,1)</f>
        <v>46419</v>
      </c>
      <c r="B31" s="21">
        <f>IF(B30="","",EDATE(B30,1))</f>
        <v>43525</v>
      </c>
      <c r="E31" s="6" t="str">
        <f>IF(AND('Paramètres'!D39&lt;&gt;"",'Paramètres'!G39&lt;&gt;"non"),MAX(E$1:E30)+1,"")</f>
        <v/>
      </c>
      <c r="F31" s="6" t="str">
        <f>IF(AND('Paramètres'!M39&lt;&gt;"",'Paramètres'!P39="Crédit",ISERROR(SEARCH("transfert-interne",'Paramètres'!N39))),MAX(F$1:F30)+1,"")</f>
        <v/>
      </c>
      <c r="G31" s="6" t="str">
        <f>IF(AND('Paramètres'!M39&lt;&gt;"",ISNUMBER(SEARCH(",epargne,",","&amp;SUBSTITUTE('Paramètres'!N39," ","")&amp;","))),MAX(G$1:G30)+1,"")</f>
        <v/>
      </c>
      <c r="H31" s="6" t="str">
        <f>IF('Paramètres'!D39&lt;&gt;"",MAX(H$1:H30)+1,"")</f>
        <v/>
      </c>
      <c r="L31" s="6" t="str">
        <f>IF(AND('Paramètres'!M39&lt;&gt;"",'Paramètres'!P39="Débit",ISERROR(SEARCH("transfert-interne",'Paramètres'!N39))),MAX(L$1:L30)+1,"")</f>
        <v/>
      </c>
    </row>
    <row r="32" spans="1:12" x14ac:dyDescent="0.25">
      <c r="A32" s="21">
        <f>EDATE(A31,1)</f>
        <v>46447</v>
      </c>
      <c r="B32" s="21">
        <f>IF(B31="","",EDATE(B31,1))</f>
        <v>43556</v>
      </c>
      <c r="E32" s="6" t="str">
        <f>IF(AND('Paramètres'!D40&lt;&gt;"",'Paramètres'!G40&lt;&gt;"non"),MAX(E$1:E31)+1,"")</f>
        <v/>
      </c>
      <c r="F32" s="6" t="str">
        <f>IF(AND('Paramètres'!M40&lt;&gt;"",'Paramètres'!P40="Crédit",ISERROR(SEARCH("transfert-interne",'Paramètres'!N40))),MAX(F$1:F31)+1,"")</f>
        <v/>
      </c>
      <c r="G32" s="6" t="str">
        <f>IF(AND('Paramètres'!M40&lt;&gt;"",ISNUMBER(SEARCH(",epargne,",","&amp;SUBSTITUTE('Paramètres'!N40," ","")&amp;","))),MAX(G$1:G31)+1,"")</f>
        <v/>
      </c>
      <c r="H32" s="6" t="str">
        <f>IF('Paramètres'!D40&lt;&gt;"",MAX(H$1:H31)+1,"")</f>
        <v/>
      </c>
      <c r="L32" s="6" t="str">
        <f>IF(AND('Paramètres'!M40&lt;&gt;"",'Paramètres'!P40="Débit",ISERROR(SEARCH("transfert-interne",'Paramètres'!N40))),MAX(L$1:L31)+1,"")</f>
        <v/>
      </c>
    </row>
    <row r="33" spans="1:12" x14ac:dyDescent="0.25">
      <c r="A33" s="21">
        <f>EDATE(A32,1)</f>
        <v>46478</v>
      </c>
      <c r="B33" s="21">
        <f>IF(B32="","",EDATE(B32,1))</f>
        <v>43586</v>
      </c>
      <c r="E33" s="6" t="str">
        <f>IF(AND('Paramètres'!D41&lt;&gt;"",'Paramètres'!G41&lt;&gt;"non"),MAX(E$1:E32)+1,"")</f>
        <v/>
      </c>
      <c r="F33" s="6" t="str">
        <f>IF(AND('Paramètres'!M41&lt;&gt;"",'Paramètres'!P41="Crédit",ISERROR(SEARCH("transfert-interne",'Paramètres'!N41))),MAX(F$1:F32)+1,"")</f>
        <v/>
      </c>
      <c r="G33" s="6" t="str">
        <f>IF(AND('Paramètres'!M41&lt;&gt;"",ISNUMBER(SEARCH(",epargne,",","&amp;SUBSTITUTE('Paramètres'!N41," ","")&amp;","))),MAX(G$1:G32)+1,"")</f>
        <v/>
      </c>
      <c r="H33" s="6" t="str">
        <f>IF('Paramètres'!D41&lt;&gt;"",MAX(H$1:H32)+1,"")</f>
        <v/>
      </c>
      <c r="L33" s="6">
        <f>IF(AND('Paramètres'!M41&lt;&gt;"",'Paramètres'!P41="Débit",ISERROR(SEARCH("transfert-interne",'Paramètres'!N41))),MAX(L$1:L32)+1,"")</f>
        <v>26</v>
      </c>
    </row>
    <row r="34" spans="1:12" x14ac:dyDescent="0.25">
      <c r="A34" s="21">
        <f>EDATE(A33,1)</f>
        <v>46508</v>
      </c>
      <c r="B34" s="21">
        <f>IF(B33="","",EDATE(B33,1))</f>
        <v>43617</v>
      </c>
      <c r="E34" s="6" t="str">
        <f>IF(AND('Paramètres'!D42&lt;&gt;"",'Paramètres'!G42&lt;&gt;"non"),MAX(E$1:E33)+1,"")</f>
        <v/>
      </c>
      <c r="F34" s="6">
        <f>IF(AND('Paramètres'!M42&lt;&gt;"",'Paramètres'!P42="Crédit",ISERROR(SEARCH("transfert-interne",'Paramètres'!N42))),MAX(F$1:F33)+1,"")</f>
        <v>3</v>
      </c>
      <c r="G34" s="6" t="str">
        <f>IF(AND('Paramètres'!M42&lt;&gt;"",ISNUMBER(SEARCH(",epargne,",","&amp;SUBSTITUTE('Paramètres'!N42," ","")&amp;","))),MAX(G$1:G33)+1,"")</f>
        <v/>
      </c>
      <c r="H34" s="6" t="str">
        <f>IF('Paramètres'!D42&lt;&gt;"",MAX(H$1:H33)+1,"")</f>
        <v/>
      </c>
      <c r="L34" s="6" t="str">
        <f>IF(AND('Paramètres'!M42&lt;&gt;"",'Paramètres'!P42="Débit",ISERROR(SEARCH("transfert-interne",'Paramètres'!N42))),MAX(L$1:L33)+1,"")</f>
        <v/>
      </c>
    </row>
    <row r="35" spans="1:12" x14ac:dyDescent="0.25">
      <c r="A35" s="21">
        <f>EDATE(A34,1)</f>
        <v>46539</v>
      </c>
      <c r="B35" s="21">
        <f>IF(B34="","",EDATE(B34,1))</f>
        <v>43647</v>
      </c>
      <c r="E35" s="6" t="str">
        <f>IF(AND('Paramètres'!D43&lt;&gt;"",'Paramètres'!G43&lt;&gt;"non"),MAX(E$1:E34)+1,"")</f>
        <v/>
      </c>
      <c r="F35" s="6" t="str">
        <f>IF(AND('Paramètres'!M43&lt;&gt;"",'Paramètres'!P43="Crédit",ISERROR(SEARCH("transfert-interne",'Paramètres'!N43))),MAX(F$1:F34)+1,"")</f>
        <v/>
      </c>
      <c r="G35" s="6" t="str">
        <f>IF(AND('Paramètres'!M43&lt;&gt;"",ISNUMBER(SEARCH(",epargne,",","&amp;SUBSTITUTE('Paramètres'!N43," ","")&amp;","))),MAX(G$1:G34)+1,"")</f>
        <v/>
      </c>
      <c r="H35" s="6" t="str">
        <f>IF('Paramètres'!D43&lt;&gt;"",MAX(H$1:H34)+1,"")</f>
        <v/>
      </c>
      <c r="L35" s="6" t="str">
        <f>IF(AND('Paramètres'!M43&lt;&gt;"",'Paramètres'!P43="Débit",ISERROR(SEARCH("transfert-interne",'Paramètres'!N43))),MAX(L$1:L34)+1,"")</f>
        <v/>
      </c>
    </row>
    <row r="36" spans="1:12" x14ac:dyDescent="0.25">
      <c r="A36" s="21">
        <f>EDATE(A35,1)</f>
        <v>46569</v>
      </c>
      <c r="B36" s="21">
        <f>IF(B35="","",EDATE(B35,1))</f>
        <v>43678</v>
      </c>
      <c r="E36" s="6" t="str">
        <f>IF(AND('Paramètres'!D44&lt;&gt;"",'Paramètres'!G44&lt;&gt;"non"),MAX(E$1:E35)+1,"")</f>
        <v/>
      </c>
      <c r="F36" s="6" t="str">
        <f>IF(AND('Paramètres'!M44&lt;&gt;"",'Paramètres'!P44="Crédit",ISERROR(SEARCH("transfert-interne",'Paramètres'!N44))),MAX(F$1:F35)+1,"")</f>
        <v/>
      </c>
      <c r="G36" s="6" t="str">
        <f>IF(AND('Paramètres'!M44&lt;&gt;"",ISNUMBER(SEARCH(",epargne,",","&amp;SUBSTITUTE('Paramètres'!N44," ","")&amp;","))),MAX(G$1:G35)+1,"")</f>
        <v/>
      </c>
      <c r="H36" s="6" t="str">
        <f>IF('Paramètres'!D44&lt;&gt;"",MAX(H$1:H35)+1,"")</f>
        <v/>
      </c>
      <c r="L36" s="6" t="str">
        <f>IF(AND('Paramètres'!M44&lt;&gt;"",'Paramètres'!P44="Débit",ISERROR(SEARCH("transfert-interne",'Paramètres'!N44))),MAX(L$1:L35)+1,"")</f>
        <v/>
      </c>
    </row>
    <row r="37" spans="1:12" x14ac:dyDescent="0.25">
      <c r="A37" s="21">
        <f>EDATE(A36,1)</f>
        <v>46600</v>
      </c>
      <c r="B37" s="21">
        <f>IF(B36="","",EDATE(B36,1))</f>
        <v>43709</v>
      </c>
      <c r="E37" s="6" t="str">
        <f>IF(AND('Paramètres'!D45&lt;&gt;"",'Paramètres'!G45&lt;&gt;"non"),MAX(E$1:E36)+1,"")</f>
        <v/>
      </c>
      <c r="F37" s="6" t="str">
        <f>IF(AND('Paramètres'!M45&lt;&gt;"",'Paramètres'!P45="Crédit",ISERROR(SEARCH("transfert-interne",'Paramètres'!N45))),MAX(F$1:F36)+1,"")</f>
        <v/>
      </c>
      <c r="G37" s="6" t="str">
        <f>IF(AND('Paramètres'!M45&lt;&gt;"",ISNUMBER(SEARCH(",epargne,",","&amp;SUBSTITUTE('Paramètres'!N45," ","")&amp;","))),MAX(G$1:G36)+1,"")</f>
        <v/>
      </c>
      <c r="H37" s="6" t="str">
        <f>IF('Paramètres'!D45&lt;&gt;"",MAX(H$1:H36)+1,"")</f>
        <v/>
      </c>
      <c r="L37" s="6" t="str">
        <f>IF(AND('Paramètres'!M45&lt;&gt;"",'Paramètres'!P45="Débit",ISERROR(SEARCH("transfert-interne",'Paramètres'!N45))),MAX(L$1:L36)+1,"")</f>
        <v/>
      </c>
    </row>
    <row r="38" spans="1:12" x14ac:dyDescent="0.25">
      <c r="A38" s="21">
        <f>EDATE(A37,1)</f>
        <v>46631</v>
      </c>
      <c r="B38" s="21">
        <f>IF(B37="","",EDATE(B37,1))</f>
        <v>43739</v>
      </c>
      <c r="E38" s="6" t="str">
        <f>IF(AND('Paramètres'!D46&lt;&gt;"",'Paramètres'!G46&lt;&gt;"non"),MAX(E$1:E37)+1,"")</f>
        <v/>
      </c>
      <c r="F38" s="6" t="str">
        <f>IF(AND('Paramètres'!M46&lt;&gt;"",'Paramètres'!P46="Crédit",ISERROR(SEARCH("transfert-interne",'Paramètres'!N46))),MAX(F$1:F37)+1,"")</f>
        <v/>
      </c>
      <c r="G38" s="6" t="str">
        <f>IF(AND('Paramètres'!M46&lt;&gt;"",ISNUMBER(SEARCH(",epargne,",","&amp;SUBSTITUTE('Paramètres'!N46," ","")&amp;","))),MAX(G$1:G37)+1,"")</f>
        <v/>
      </c>
      <c r="H38" s="6" t="str">
        <f>IF('Paramètres'!D46&lt;&gt;"",MAX(H$1:H37)+1,"")</f>
        <v/>
      </c>
      <c r="L38" s="6" t="str">
        <f>IF(AND('Paramètres'!M46&lt;&gt;"",'Paramètres'!P46="Débit",ISERROR(SEARCH("transfert-interne",'Paramètres'!N46))),MAX(L$1:L37)+1,"")</f>
        <v/>
      </c>
    </row>
    <row r="39" spans="1:12" x14ac:dyDescent="0.25">
      <c r="A39" s="21">
        <f>EDATE(A38,1)</f>
        <v>46661</v>
      </c>
      <c r="B39" s="21">
        <f>IF(B38="","",EDATE(B38,1))</f>
        <v>43770</v>
      </c>
      <c r="E39" s="6" t="str">
        <f>IF(AND('Paramètres'!D47&lt;&gt;"",'Paramètres'!G47&lt;&gt;"non"),MAX(E$1:E38)+1,"")</f>
        <v/>
      </c>
      <c r="F39" s="6" t="str">
        <f>IF(AND('Paramètres'!M47&lt;&gt;"",'Paramètres'!P47="Crédit",ISERROR(SEARCH("transfert-interne",'Paramètres'!N47))),MAX(F$1:F38)+1,"")</f>
        <v/>
      </c>
      <c r="G39" s="6" t="str">
        <f>IF(AND('Paramètres'!M47&lt;&gt;"",ISNUMBER(SEARCH(",epargne,",","&amp;SUBSTITUTE('Paramètres'!N47," ","")&amp;","))),MAX(G$1:G38)+1,"")</f>
        <v/>
      </c>
      <c r="H39" s="6" t="str">
        <f>IF('Paramètres'!D47&lt;&gt;"",MAX(H$1:H38)+1,"")</f>
        <v/>
      </c>
      <c r="L39" s="6" t="str">
        <f>IF(AND('Paramètres'!M47&lt;&gt;"",'Paramètres'!P47="Débit",ISERROR(SEARCH("transfert-interne",'Paramètres'!N47))),MAX(L$1:L38)+1,"")</f>
        <v/>
      </c>
    </row>
    <row r="40" spans="1:12" x14ac:dyDescent="0.25">
      <c r="A40" s="21">
        <f>EDATE(A39,1)</f>
        <v>46692</v>
      </c>
      <c r="B40" s="21">
        <f>IF(B39="","",EDATE(B39,1))</f>
        <v>43800</v>
      </c>
      <c r="E40" s="6" t="str">
        <f>IF(AND('Paramètres'!D48&lt;&gt;"",'Paramètres'!G48&lt;&gt;"non"),MAX(E$1:E39)+1,"")</f>
        <v/>
      </c>
      <c r="F40" s="6" t="str">
        <f>IF(AND('Paramètres'!M48&lt;&gt;"",'Paramètres'!P48="Crédit",ISERROR(SEARCH("transfert-interne",'Paramètres'!N48))),MAX(F$1:F39)+1,"")</f>
        <v/>
      </c>
      <c r="G40" s="6" t="str">
        <f>IF(AND('Paramètres'!M48&lt;&gt;"",ISNUMBER(SEARCH(",epargne,",","&amp;SUBSTITUTE('Paramètres'!N48," ","")&amp;","))),MAX(G$1:G39)+1,"")</f>
        <v/>
      </c>
      <c r="H40" s="6" t="str">
        <f>IF('Paramètres'!D48&lt;&gt;"",MAX(H$1:H39)+1,"")</f>
        <v/>
      </c>
      <c r="L40" s="6" t="str">
        <f>IF(AND('Paramètres'!M48&lt;&gt;"",'Paramètres'!P48="Débit",ISERROR(SEARCH("transfert-interne",'Paramètres'!N48))),MAX(L$1:L39)+1,"")</f>
        <v/>
      </c>
    </row>
    <row r="41" spans="1:12" x14ac:dyDescent="0.25">
      <c r="A41" s="21">
        <f>EDATE(A40,1)</f>
        <v>46722</v>
      </c>
      <c r="B41" s="21">
        <f>IF(B40="","",EDATE(B40,1))</f>
        <v>43831</v>
      </c>
      <c r="E41" s="6" t="str">
        <f>IF(AND('Paramètres'!D49&lt;&gt;"",'Paramètres'!G49&lt;&gt;"non"),MAX(E$1:E40)+1,"")</f>
        <v/>
      </c>
      <c r="F41" s="6" t="str">
        <f>IF(AND('Paramètres'!M49&lt;&gt;"",'Paramètres'!P49="Crédit",ISERROR(SEARCH("transfert-interne",'Paramètres'!N49))),MAX(F$1:F40)+1,"")</f>
        <v/>
      </c>
      <c r="G41" s="6" t="str">
        <f>IF(AND('Paramètres'!M49&lt;&gt;"",ISNUMBER(SEARCH(",epargne,",","&amp;SUBSTITUTE('Paramètres'!N49," ","")&amp;","))),MAX(G$1:G40)+1,"")</f>
        <v/>
      </c>
      <c r="H41" s="6" t="str">
        <f>IF('Paramètres'!D49&lt;&gt;"",MAX(H$1:H40)+1,"")</f>
        <v/>
      </c>
      <c r="L41" s="6" t="str">
        <f>IF(AND('Paramètres'!M49&lt;&gt;"",'Paramètres'!P49="Débit",ISERROR(SEARCH("transfert-interne",'Paramètres'!N49))),MAX(L$1:L40)+1,"")</f>
        <v/>
      </c>
    </row>
    <row r="42" spans="1:12" x14ac:dyDescent="0.25">
      <c r="A42" s="21">
        <f>EDATE(A41,1)</f>
        <v>46753</v>
      </c>
      <c r="B42" s="21">
        <f>IF(B41="","",EDATE(B41,1))</f>
        <v>43862</v>
      </c>
      <c r="F42" s="6" t="str">
        <f>IF(AND('Paramètres'!M50&lt;&gt;"",'Paramètres'!P50="Crédit",ISERROR(SEARCH("transfert-interne",'Paramètres'!N50))),MAX(F$1:F41)+1,"")</f>
        <v/>
      </c>
      <c r="G42" s="6" t="str">
        <f>IF(AND('Paramètres'!M50&lt;&gt;"",ISNUMBER(SEARCH(",epargne,",","&amp;SUBSTITUTE('Paramètres'!N50," ","")&amp;","))),MAX(G$1:G41)+1,"")</f>
        <v/>
      </c>
      <c r="L42" s="6" t="str">
        <f>IF(AND('Paramètres'!M50&lt;&gt;"",'Paramètres'!P50="Débit",ISERROR(SEARCH("transfert-interne",'Paramètres'!N50))),MAX(L$1:L41)+1,"")</f>
        <v/>
      </c>
    </row>
    <row r="43" spans="1:12" x14ac:dyDescent="0.25">
      <c r="A43" s="21">
        <f>EDATE(A42,1)</f>
        <v>46784</v>
      </c>
      <c r="B43" s="21">
        <f>IF(B42="","",EDATE(B42,1))</f>
        <v>43891</v>
      </c>
      <c r="F43" s="6" t="str">
        <f>IF(AND('Paramètres'!M51&lt;&gt;"",'Paramètres'!P51="Crédit",ISERROR(SEARCH("transfert-interne",'Paramètres'!N51))),MAX(F$1:F42)+1,"")</f>
        <v/>
      </c>
      <c r="G43" s="6" t="str">
        <f>IF(AND('Paramètres'!M51&lt;&gt;"",ISNUMBER(SEARCH(",epargne,",","&amp;SUBSTITUTE('Paramètres'!N51," ","")&amp;","))),MAX(G$1:G42)+1,"")</f>
        <v/>
      </c>
      <c r="L43" s="6" t="str">
        <f>IF(AND('Paramètres'!M51&lt;&gt;"",'Paramètres'!P51="Débit",ISERROR(SEARCH("transfert-interne",'Paramètres'!N51))),MAX(L$1:L42)+1,"")</f>
        <v/>
      </c>
    </row>
    <row r="44" spans="1:12" x14ac:dyDescent="0.25">
      <c r="A44" s="21">
        <f>EDATE(A43,1)</f>
        <v>46813</v>
      </c>
      <c r="B44" s="21">
        <f>IF(B43="","",EDATE(B43,1))</f>
        <v>43922</v>
      </c>
      <c r="F44" s="6" t="str">
        <f>IF(AND('Paramètres'!M52&lt;&gt;"",'Paramètres'!P52="Crédit",ISERROR(SEARCH("transfert-interne",'Paramètres'!N52))),MAX(F$1:F43)+1,"")</f>
        <v/>
      </c>
      <c r="G44" s="6" t="str">
        <f>IF(AND('Paramètres'!M52&lt;&gt;"",ISNUMBER(SEARCH(",epargne,",","&amp;SUBSTITUTE('Paramètres'!N52," ","")&amp;","))),MAX(G$1:G43)+1,"")</f>
        <v/>
      </c>
      <c r="L44" s="6" t="str">
        <f>IF(AND('Paramètres'!M52&lt;&gt;"",'Paramètres'!P52="Débit",ISERROR(SEARCH("transfert-interne",'Paramètres'!N52))),MAX(L$1:L43)+1,"")</f>
        <v/>
      </c>
    </row>
    <row r="45" spans="1:12" x14ac:dyDescent="0.25">
      <c r="A45" s="21">
        <f>EDATE(A44,1)</f>
        <v>46844</v>
      </c>
      <c r="B45" s="21">
        <f>IF(B44="","",EDATE(B44,1))</f>
        <v>43952</v>
      </c>
      <c r="F45" s="6" t="str">
        <f>IF(AND('Paramètres'!M53&lt;&gt;"",'Paramètres'!P53="Crédit",ISERROR(SEARCH("transfert-interne",'Paramètres'!N53))),MAX(F$1:F44)+1,"")</f>
        <v/>
      </c>
      <c r="G45" s="6" t="str">
        <f>IF(AND('Paramètres'!M53&lt;&gt;"",ISNUMBER(SEARCH(",epargne,",","&amp;SUBSTITUTE('Paramètres'!N53," ","")&amp;","))),MAX(G$1:G44)+1,"")</f>
        <v/>
      </c>
      <c r="L45" s="6" t="str">
        <f>IF(AND('Paramètres'!M53&lt;&gt;"",'Paramètres'!P53="Débit",ISERROR(SEARCH("transfert-interne",'Paramètres'!N53))),MAX(L$1:L44)+1,"")</f>
        <v/>
      </c>
    </row>
    <row r="46" spans="1:12" x14ac:dyDescent="0.25">
      <c r="A46" s="21">
        <f>EDATE(A45,1)</f>
        <v>46874</v>
      </c>
      <c r="B46" s="21">
        <f>IF(B45="","",EDATE(B45,1))</f>
        <v>43983</v>
      </c>
      <c r="F46" s="6" t="str">
        <f>IF(AND('Paramètres'!M54&lt;&gt;"",'Paramètres'!P54="Crédit",ISERROR(SEARCH("transfert-interne",'Paramètres'!N54))),MAX(F$1:F45)+1,"")</f>
        <v/>
      </c>
      <c r="G46" s="6" t="str">
        <f>IF(AND('Paramètres'!M54&lt;&gt;"",ISNUMBER(SEARCH(",epargne,",","&amp;SUBSTITUTE('Paramètres'!N54," ","")&amp;","))),MAX(G$1:G45)+1,"")</f>
        <v/>
      </c>
      <c r="L46" s="6" t="str">
        <f>IF(AND('Paramètres'!M54&lt;&gt;"",'Paramètres'!P54="Débit",ISERROR(SEARCH("transfert-interne",'Paramètres'!N54))),MAX(L$1:L45)+1,"")</f>
        <v/>
      </c>
    </row>
    <row r="47" spans="1:12" x14ac:dyDescent="0.25">
      <c r="A47" s="21">
        <f>EDATE(A46,1)</f>
        <v>46905</v>
      </c>
      <c r="B47" s="21">
        <f>IF(B46="","",EDATE(B46,1))</f>
        <v>44013</v>
      </c>
      <c r="F47" s="6" t="str">
        <f>IF(AND('Paramètres'!M55&lt;&gt;"",'Paramètres'!P55="Crédit",ISERROR(SEARCH("transfert-interne",'Paramètres'!N55))),MAX(F$1:F46)+1,"")</f>
        <v/>
      </c>
      <c r="G47" s="6" t="str">
        <f>IF(AND('Paramètres'!M55&lt;&gt;"",ISNUMBER(SEARCH(",epargne,",","&amp;SUBSTITUTE('Paramètres'!N55," ","")&amp;","))),MAX(G$1:G46)+1,"")</f>
        <v/>
      </c>
      <c r="L47" s="6" t="str">
        <f>IF(AND('Paramètres'!M55&lt;&gt;"",'Paramètres'!P55="Débit",ISERROR(SEARCH("transfert-interne",'Paramètres'!N55))),MAX(L$1:L46)+1,"")</f>
        <v/>
      </c>
    </row>
    <row r="48" spans="1:12" x14ac:dyDescent="0.25">
      <c r="A48" s="21">
        <f>EDATE(A47,1)</f>
        <v>46935</v>
      </c>
      <c r="B48" s="21">
        <f>IF(B47="","",EDATE(B47,1))</f>
        <v>44044</v>
      </c>
      <c r="F48" s="6" t="str">
        <f>IF(AND('Paramètres'!M56&lt;&gt;"",'Paramètres'!P56="Crédit",ISERROR(SEARCH("transfert-interne",'Paramètres'!N56))),MAX(F$1:F47)+1,"")</f>
        <v/>
      </c>
      <c r="G48" s="6" t="str">
        <f>IF(AND('Paramètres'!M56&lt;&gt;"",ISNUMBER(SEARCH(",epargne,",","&amp;SUBSTITUTE('Paramètres'!N56," ","")&amp;","))),MAX(G$1:G47)+1,"")</f>
        <v/>
      </c>
      <c r="L48" s="6" t="str">
        <f>IF(AND('Paramètres'!M56&lt;&gt;"",'Paramètres'!P56="Débit",ISERROR(SEARCH("transfert-interne",'Paramètres'!N56))),MAX(L$1:L47)+1,"")</f>
        <v/>
      </c>
    </row>
    <row r="49" spans="1:12" x14ac:dyDescent="0.25">
      <c r="A49" s="21">
        <f>EDATE(A48,1)</f>
        <v>46966</v>
      </c>
      <c r="B49" s="21">
        <f>IF(B48="","",EDATE(B48,1))</f>
        <v>44075</v>
      </c>
      <c r="F49" s="6" t="str">
        <f>IF(AND('Paramètres'!M57&lt;&gt;"",'Paramètres'!P57="Crédit",ISERROR(SEARCH("transfert-interne",'Paramètres'!N57))),MAX(F$1:F48)+1,"")</f>
        <v/>
      </c>
      <c r="G49" s="6" t="str">
        <f>IF(AND('Paramètres'!M57&lt;&gt;"",ISNUMBER(SEARCH(",epargne,",","&amp;SUBSTITUTE('Paramètres'!N57," ","")&amp;","))),MAX(G$1:G48)+1,"")</f>
        <v/>
      </c>
      <c r="L49" s="6" t="str">
        <f>IF(AND('Paramètres'!M57&lt;&gt;"",'Paramètres'!P57="Débit",ISERROR(SEARCH("transfert-interne",'Paramètres'!N57))),MAX(L$1:L48)+1,"")</f>
        <v/>
      </c>
    </row>
    <row r="50" spans="1:12" x14ac:dyDescent="0.25">
      <c r="A50" s="21">
        <f>EDATE(A49,1)</f>
        <v>46997</v>
      </c>
      <c r="B50" s="21">
        <f>IF(B49="","",EDATE(B49,1))</f>
        <v>44105</v>
      </c>
      <c r="F50" s="6" t="str">
        <f>IF(AND('Paramètres'!M58&lt;&gt;"",'Paramètres'!P58="Crédit",ISERROR(SEARCH("transfert-interne",'Paramètres'!N58))),MAX(F$1:F49)+1,"")</f>
        <v/>
      </c>
      <c r="G50" s="6" t="str">
        <f>IF(AND('Paramètres'!M58&lt;&gt;"",ISNUMBER(SEARCH(",epargne,",","&amp;SUBSTITUTE('Paramètres'!N58," ","")&amp;","))),MAX(G$1:G49)+1,"")</f>
        <v/>
      </c>
      <c r="L50" s="6" t="str">
        <f>IF(AND('Paramètres'!M58&lt;&gt;"",'Paramètres'!P58="Débit",ISERROR(SEARCH("transfert-interne",'Paramètres'!N58))),MAX(L$1:L49)+1,"")</f>
        <v/>
      </c>
    </row>
    <row r="51" spans="1:12" x14ac:dyDescent="0.25">
      <c r="A51" s="21">
        <f>EDATE(A50,1)</f>
        <v>47027</v>
      </c>
      <c r="B51" s="21">
        <f>IF(B50="","",EDATE(B50,1))</f>
        <v>44136</v>
      </c>
      <c r="F51" s="6" t="str">
        <f>IF(AND('Paramètres'!M59&lt;&gt;"",'Paramètres'!P59="Crédit",ISERROR(SEARCH("transfert-interne",'Paramètres'!N59))),MAX(F$1:F50)+1,"")</f>
        <v/>
      </c>
      <c r="G51" s="6" t="str">
        <f>IF(AND('Paramètres'!M59&lt;&gt;"",ISNUMBER(SEARCH(",epargne,",","&amp;SUBSTITUTE('Paramètres'!N59," ","")&amp;","))),MAX(G$1:G50)+1,"")</f>
        <v/>
      </c>
      <c r="L51" s="6" t="str">
        <f>IF(AND('Paramètres'!M59&lt;&gt;"",'Paramètres'!P59="Débit",ISERROR(SEARCH("transfert-interne",'Paramètres'!N59))),MAX(L$1:L50)+1,"")</f>
        <v/>
      </c>
    </row>
    <row r="52" spans="1:12" x14ac:dyDescent="0.25">
      <c r="A52" s="21">
        <f>EDATE(A51,1)</f>
        <v>47058</v>
      </c>
      <c r="B52" s="21">
        <f>IF(B51="","",EDATE(B51,1))</f>
        <v>44166</v>
      </c>
      <c r="F52" s="6" t="str">
        <f>IF(AND('Paramètres'!M60&lt;&gt;"",'Paramètres'!P60="Crédit",ISERROR(SEARCH("transfert-interne",'Paramètres'!N60))),MAX(F$1:F51)+1,"")</f>
        <v/>
      </c>
      <c r="G52" s="6" t="str">
        <f>IF(AND('Paramètres'!M60&lt;&gt;"",ISNUMBER(SEARCH(",epargne,",","&amp;SUBSTITUTE('Paramètres'!N60," ","")&amp;","))),MAX(G$1:G51)+1,"")</f>
        <v/>
      </c>
      <c r="L52" s="6" t="str">
        <f>IF(AND('Paramètres'!M60&lt;&gt;"",'Paramètres'!P60="Débit",ISERROR(SEARCH("transfert-interne",'Paramètres'!N60))),MAX(L$1:L51)+1,"")</f>
        <v/>
      </c>
    </row>
    <row r="53" spans="1:12" x14ac:dyDescent="0.25">
      <c r="A53" s="21">
        <f>EDATE(A52,1)</f>
        <v>47088</v>
      </c>
      <c r="B53" s="21">
        <f>IF(B52="","",EDATE(B52,1))</f>
        <v>44197</v>
      </c>
      <c r="F53" s="6" t="str">
        <f>IF(AND('Paramètres'!M61&lt;&gt;"",'Paramètres'!P61="Crédit",ISERROR(SEARCH("transfert-interne",'Paramètres'!N61))),MAX(F$1:F52)+1,"")</f>
        <v/>
      </c>
      <c r="G53" s="6" t="str">
        <f>IF(AND('Paramètres'!M61&lt;&gt;"",ISNUMBER(SEARCH(",epargne,",","&amp;SUBSTITUTE('Paramètres'!N61," ","")&amp;","))),MAX(G$1:G52)+1,"")</f>
        <v/>
      </c>
      <c r="L53" s="6" t="str">
        <f>IF(AND('Paramètres'!M61&lt;&gt;"",'Paramètres'!P61="Débit",ISERROR(SEARCH("transfert-interne",'Paramètres'!N61))),MAX(L$1:L52)+1,"")</f>
        <v/>
      </c>
    </row>
    <row r="54" spans="1:12" x14ac:dyDescent="0.25">
      <c r="A54" s="21">
        <f>EDATE(A53,1)</f>
        <v>47119</v>
      </c>
      <c r="B54" s="21">
        <f>IF(B53="","",EDATE(B53,1))</f>
        <v>44228</v>
      </c>
      <c r="F54" s="6" t="str">
        <f>IF(AND('Paramètres'!M62&lt;&gt;"",'Paramètres'!P62="Crédit",ISERROR(SEARCH("transfert-interne",'Paramètres'!N62))),MAX(F$1:F53)+1,"")</f>
        <v/>
      </c>
      <c r="G54" s="6" t="str">
        <f>IF(AND('Paramètres'!M62&lt;&gt;"",ISNUMBER(SEARCH(",epargne,",","&amp;SUBSTITUTE('Paramètres'!N62," ","")&amp;","))),MAX(G$1:G53)+1,"")</f>
        <v/>
      </c>
      <c r="L54" s="6" t="str">
        <f>IF(AND('Paramètres'!M62&lt;&gt;"",'Paramètres'!P62="Débit",ISERROR(SEARCH("transfert-interne",'Paramètres'!N62))),MAX(L$1:L53)+1,"")</f>
        <v/>
      </c>
    </row>
    <row r="55" spans="1:12" x14ac:dyDescent="0.25">
      <c r="A55" s="21">
        <f>EDATE(A54,1)</f>
        <v>47150</v>
      </c>
      <c r="B55" s="21">
        <f>IF(B54="","",EDATE(B54,1))</f>
        <v>44256</v>
      </c>
      <c r="F55" s="6" t="str">
        <f>IF(AND('Paramètres'!M63&lt;&gt;"",'Paramètres'!P63="Crédit",ISERROR(SEARCH("transfert-interne",'Paramètres'!N63))),MAX(F$1:F54)+1,"")</f>
        <v/>
      </c>
      <c r="G55" s="6" t="str">
        <f>IF(AND('Paramètres'!M63&lt;&gt;"",ISNUMBER(SEARCH(",epargne,",","&amp;SUBSTITUTE('Paramètres'!N63," ","")&amp;","))),MAX(G$1:G54)+1,"")</f>
        <v/>
      </c>
      <c r="L55" s="6" t="str">
        <f>IF(AND('Paramètres'!M63&lt;&gt;"",'Paramètres'!P63="Débit",ISERROR(SEARCH("transfert-interne",'Paramètres'!N63))),MAX(L$1:L54)+1,"")</f>
        <v/>
      </c>
    </row>
    <row r="56" spans="1:12" x14ac:dyDescent="0.25">
      <c r="A56" s="21">
        <f>EDATE(A55,1)</f>
        <v>47178</v>
      </c>
      <c r="B56" s="21">
        <f>IF(B55="","",EDATE(B55,1))</f>
        <v>44287</v>
      </c>
      <c r="F56" s="6" t="str">
        <f>IF(AND('Paramètres'!M64&lt;&gt;"",'Paramètres'!P64="Crédit",ISERROR(SEARCH("transfert-interne",'Paramètres'!N64))),MAX(F$1:F55)+1,"")</f>
        <v/>
      </c>
      <c r="G56" s="6" t="str">
        <f>IF(AND('Paramètres'!M64&lt;&gt;"",ISNUMBER(SEARCH(",epargne,",","&amp;SUBSTITUTE('Paramètres'!N64," ","")&amp;","))),MAX(G$1:G55)+1,"")</f>
        <v/>
      </c>
      <c r="L56" s="6" t="str">
        <f>IF(AND('Paramètres'!M64&lt;&gt;"",'Paramètres'!P64="Débit",ISERROR(SEARCH("transfert-interne",'Paramètres'!N64))),MAX(L$1:L55)+1,"")</f>
        <v/>
      </c>
    </row>
    <row r="57" spans="1:12" x14ac:dyDescent="0.25">
      <c r="A57" s="21">
        <f>EDATE(A56,1)</f>
        <v>47209</v>
      </c>
      <c r="B57" s="21">
        <f>IF(B56="","",EDATE(B56,1))</f>
        <v>44317</v>
      </c>
      <c r="F57" s="6" t="str">
        <f>IF(AND('Paramètres'!M65&lt;&gt;"",'Paramètres'!P65="Crédit",ISERROR(SEARCH("transfert-interne",'Paramètres'!N65))),MAX(F$1:F56)+1,"")</f>
        <v/>
      </c>
      <c r="G57" s="6" t="str">
        <f>IF(AND('Paramètres'!M65&lt;&gt;"",ISNUMBER(SEARCH(",epargne,",","&amp;SUBSTITUTE('Paramètres'!N65," ","")&amp;","))),MAX(G$1:G56)+1,"")</f>
        <v/>
      </c>
      <c r="L57" s="6" t="str">
        <f>IF(AND('Paramètres'!M65&lt;&gt;"",'Paramètres'!P65="Débit",ISERROR(SEARCH("transfert-interne",'Paramètres'!N65))),MAX(L$1:L56)+1,"")</f>
        <v/>
      </c>
    </row>
    <row r="58" spans="1:12" x14ac:dyDescent="0.25">
      <c r="A58" s="21">
        <f>EDATE(A57,1)</f>
        <v>47239</v>
      </c>
      <c r="B58" s="21">
        <f>IF(B57="","",EDATE(B57,1))</f>
        <v>44348</v>
      </c>
      <c r="F58" s="6" t="str">
        <f>IF(AND('Paramètres'!M66&lt;&gt;"",'Paramètres'!P66="Crédit",ISERROR(SEARCH("transfert-interne",'Paramètres'!N66))),MAX(F$1:F57)+1,"")</f>
        <v/>
      </c>
      <c r="G58" s="6" t="str">
        <f>IF(AND('Paramètres'!M66&lt;&gt;"",ISNUMBER(SEARCH(",epargne,",","&amp;SUBSTITUTE('Paramètres'!N66," ","")&amp;","))),MAX(G$1:G57)+1,"")</f>
        <v/>
      </c>
      <c r="L58" s="6" t="str">
        <f>IF(AND('Paramètres'!M66&lt;&gt;"",'Paramètres'!P66="Débit",ISERROR(SEARCH("transfert-interne",'Paramètres'!N66))),MAX(L$1:L57)+1,"")</f>
        <v/>
      </c>
    </row>
    <row r="59" spans="1:12" x14ac:dyDescent="0.25">
      <c r="A59" s="21">
        <f>EDATE(A58,1)</f>
        <v>47270</v>
      </c>
      <c r="B59" s="21">
        <f>IF(B58="","",EDATE(B58,1))</f>
        <v>44378</v>
      </c>
      <c r="F59" s="6" t="str">
        <f>IF(AND('Paramètres'!M67&lt;&gt;"",'Paramètres'!P67="Crédit",ISERROR(SEARCH("transfert-interne",'Paramètres'!N67))),MAX(F$1:F58)+1,"")</f>
        <v/>
      </c>
      <c r="G59" s="6" t="str">
        <f>IF(AND('Paramètres'!M67&lt;&gt;"",ISNUMBER(SEARCH(",epargne,",","&amp;SUBSTITUTE('Paramètres'!N67," ","")&amp;","))),MAX(G$1:G58)+1,"")</f>
        <v/>
      </c>
      <c r="L59" s="6" t="str">
        <f>IF(AND('Paramètres'!M67&lt;&gt;"",'Paramètres'!P67="Débit",ISERROR(SEARCH("transfert-interne",'Paramètres'!N67))),MAX(L$1:L58)+1,"")</f>
        <v/>
      </c>
    </row>
    <row r="60" spans="1:12" x14ac:dyDescent="0.25">
      <c r="A60" s="21">
        <f>EDATE(A59,1)</f>
        <v>47300</v>
      </c>
      <c r="B60" s="21">
        <f>IF(B59="","",EDATE(B59,1))</f>
        <v>44409</v>
      </c>
      <c r="F60" s="6" t="str">
        <f>IF(AND('Paramètres'!M68&lt;&gt;"",'Paramètres'!P68="Crédit",ISERROR(SEARCH("transfert-interne",'Paramètres'!N68))),MAX(F$1:F59)+1,"")</f>
        <v/>
      </c>
      <c r="G60" s="6" t="str">
        <f>IF(AND('Paramètres'!M68&lt;&gt;"",ISNUMBER(SEARCH(",epargne,",","&amp;SUBSTITUTE('Paramètres'!N68," ","")&amp;","))),MAX(G$1:G59)+1,"")</f>
        <v/>
      </c>
      <c r="L60" s="6" t="str">
        <f>IF(AND('Paramètres'!M68&lt;&gt;"",'Paramètres'!P68="Débit",ISERROR(SEARCH("transfert-interne",'Paramètres'!N68))),MAX(L$1:L59)+1,"")</f>
        <v/>
      </c>
    </row>
    <row r="61" spans="1:12" x14ac:dyDescent="0.25">
      <c r="A61" s="21">
        <f>EDATE(A60,1)</f>
        <v>47331</v>
      </c>
      <c r="B61" s="21">
        <f>IF(B60="","",EDATE(B60,1))</f>
        <v>44440</v>
      </c>
      <c r="F61" s="6" t="str">
        <f>IF(AND('Paramètres'!M69&lt;&gt;"",'Paramètres'!P69="Crédit",ISERROR(SEARCH("transfert-interne",'Paramètres'!N69))),MAX(F$1:F60)+1,"")</f>
        <v/>
      </c>
      <c r="G61" s="6" t="str">
        <f>IF(AND('Paramètres'!M69&lt;&gt;"",ISNUMBER(SEARCH(",epargne,",","&amp;SUBSTITUTE('Paramètres'!N69," ","")&amp;","))),MAX(G$1:G60)+1,"")</f>
        <v/>
      </c>
      <c r="L61" s="6" t="str">
        <f>IF(AND('Paramètres'!M69&lt;&gt;"",'Paramètres'!P69="Débit",ISERROR(SEARCH("transfert-interne",'Paramètres'!N69))),MAX(L$1:L60)+1,"")</f>
        <v/>
      </c>
    </row>
    <row r="62" spans="2:12" x14ac:dyDescent="0.25">
      <c r="B62" s="21">
        <f>IF(B61="","",EDATE(B61,1))</f>
        <v>44470</v>
      </c>
      <c r="F62" s="6" t="str">
        <f>IF(AND('Paramètres'!M70&lt;&gt;"",'Paramètres'!P70="Crédit",ISERROR(SEARCH("transfert-interne",'Paramètres'!N70))),MAX(F$1:F61)+1,"")</f>
        <v/>
      </c>
      <c r="G62" s="6" t="str">
        <f>IF(AND('Paramètres'!M70&lt;&gt;"",ISNUMBER(SEARCH(",epargne,",","&amp;SUBSTITUTE('Paramètres'!N70," ","")&amp;","))),MAX(G$1:G61)+1,"")</f>
        <v/>
      </c>
      <c r="L62" s="6" t="str">
        <f>IF(AND('Paramètres'!M70&lt;&gt;"",'Paramètres'!P70="Débit",ISERROR(SEARCH("transfert-interne",'Paramètres'!N70))),MAX(L$1:L61)+1,"")</f>
        <v/>
      </c>
    </row>
    <row r="63" spans="2:12" x14ac:dyDescent="0.25">
      <c r="B63" s="21">
        <f>IF(B62="","",EDATE(B62,1))</f>
        <v>44501</v>
      </c>
      <c r="F63" s="6" t="str">
        <f>IF(AND('Paramètres'!M71&lt;&gt;"",'Paramètres'!P71="Crédit",ISERROR(SEARCH("transfert-interne",'Paramètres'!N71))),MAX(F$1:F62)+1,"")</f>
        <v/>
      </c>
      <c r="G63" s="6" t="str">
        <f>IF(AND('Paramètres'!M71&lt;&gt;"",ISNUMBER(SEARCH(",epargne,",","&amp;SUBSTITUTE('Paramètres'!N71," ","")&amp;","))),MAX(G$1:G62)+1,"")</f>
        <v/>
      </c>
      <c r="L63" s="6" t="str">
        <f>IF(AND('Paramètres'!M71&lt;&gt;"",'Paramètres'!P71="Débit",ISERROR(SEARCH("transfert-interne",'Paramètres'!N71))),MAX(L$1:L62)+1,"")</f>
        <v/>
      </c>
    </row>
    <row r="64" spans="2:12" x14ac:dyDescent="0.25">
      <c r="B64" s="21">
        <f>IF(B63="","",EDATE(B63,1))</f>
        <v>44531</v>
      </c>
      <c r="F64" s="6" t="str">
        <f>IF(AND('Paramètres'!M72&lt;&gt;"",'Paramètres'!P72="Crédit",ISERROR(SEARCH("transfert-interne",'Paramètres'!N72))),MAX(F$1:F63)+1,"")</f>
        <v/>
      </c>
      <c r="G64" s="6" t="str">
        <f>IF(AND('Paramètres'!M72&lt;&gt;"",ISNUMBER(SEARCH(",epargne,",","&amp;SUBSTITUTE('Paramètres'!N72," ","")&amp;","))),MAX(G$1:G63)+1,"")</f>
        <v/>
      </c>
      <c r="L64" s="6" t="str">
        <f>IF(AND('Paramètres'!M72&lt;&gt;"",'Paramètres'!P72="Débit",ISERROR(SEARCH("transfert-interne",'Paramètres'!N72))),MAX(L$1:L63)+1,"")</f>
        <v/>
      </c>
    </row>
    <row r="65" spans="2:12" x14ac:dyDescent="0.25">
      <c r="B65" s="21">
        <f>IF(B64="","",EDATE(B64,1))</f>
        <v>44562</v>
      </c>
      <c r="F65" s="6" t="str">
        <f>IF(AND('Paramètres'!M73&lt;&gt;"",'Paramètres'!P73="Crédit",ISERROR(SEARCH("transfert-interne",'Paramètres'!N73))),MAX(F$1:F64)+1,"")</f>
        <v/>
      </c>
      <c r="G65" s="6" t="str">
        <f>IF(AND('Paramètres'!M73&lt;&gt;"",ISNUMBER(SEARCH(",epargne,",","&amp;SUBSTITUTE('Paramètres'!N73," ","")&amp;","))),MAX(G$1:G64)+1,"")</f>
        <v/>
      </c>
      <c r="L65" s="6" t="str">
        <f>IF(AND('Paramètres'!M73&lt;&gt;"",'Paramètres'!P73="Débit",ISERROR(SEARCH("transfert-interne",'Paramètres'!N73))),MAX(L$1:L64)+1,"")</f>
        <v/>
      </c>
    </row>
    <row r="66" spans="2:12" x14ac:dyDescent="0.25">
      <c r="B66" s="21">
        <f>IF(B65="","",EDATE(B65,1))</f>
        <v>44593</v>
      </c>
      <c r="F66" s="6" t="str">
        <f>IF(AND('Paramètres'!M74&lt;&gt;"",'Paramètres'!P74="Crédit",ISERROR(SEARCH("transfert-interne",'Paramètres'!N74))),MAX(F$1:F65)+1,"")</f>
        <v/>
      </c>
      <c r="G66" s="6" t="str">
        <f>IF(AND('Paramètres'!M74&lt;&gt;"",ISNUMBER(SEARCH(",epargne,",","&amp;SUBSTITUTE('Paramètres'!N74," ","")&amp;","))),MAX(G$1:G65)+1,"")</f>
        <v/>
      </c>
      <c r="L66" s="6" t="str">
        <f>IF(AND('Paramètres'!M74&lt;&gt;"",'Paramètres'!P74="Débit",ISERROR(SEARCH("transfert-interne",'Paramètres'!N74))),MAX(L$1:L65)+1,"")</f>
        <v/>
      </c>
    </row>
    <row r="67" spans="2:12" x14ac:dyDescent="0.25">
      <c r="B67" s="21">
        <f>IF(B66="","",EDATE(B66,1))</f>
        <v>44621</v>
      </c>
      <c r="F67" s="6" t="str">
        <f>IF(AND('Paramètres'!M75&lt;&gt;"",'Paramètres'!P75="Crédit",ISERROR(SEARCH("transfert-interne",'Paramètres'!N75))),MAX(F$1:F66)+1,"")</f>
        <v/>
      </c>
      <c r="G67" s="6" t="str">
        <f>IF(AND('Paramètres'!M75&lt;&gt;"",ISNUMBER(SEARCH(",epargne,",","&amp;SUBSTITUTE('Paramètres'!N75," ","")&amp;","))),MAX(G$1:G66)+1,"")</f>
        <v/>
      </c>
      <c r="L67" s="6" t="str">
        <f>IF(AND('Paramètres'!M75&lt;&gt;"",'Paramètres'!P75="Débit",ISERROR(SEARCH("transfert-interne",'Paramètres'!N75))),MAX(L$1:L66)+1,"")</f>
        <v/>
      </c>
    </row>
    <row r="68" spans="2:12" x14ac:dyDescent="0.25">
      <c r="B68" s="21">
        <f>IF(B67="","",EDATE(B67,1))</f>
        <v>44652</v>
      </c>
      <c r="F68" s="6" t="str">
        <f>IF(AND('Paramètres'!M76&lt;&gt;"",'Paramètres'!P76="Crédit",ISERROR(SEARCH("transfert-interne",'Paramètres'!N76))),MAX(F$1:F67)+1,"")</f>
        <v/>
      </c>
      <c r="G68" s="6" t="str">
        <f>IF(AND('Paramètres'!M76&lt;&gt;"",ISNUMBER(SEARCH(",epargne,",","&amp;SUBSTITUTE('Paramètres'!N76," ","")&amp;","))),MAX(G$1:G67)+1,"")</f>
        <v/>
      </c>
      <c r="L68" s="6" t="str">
        <f>IF(AND('Paramètres'!M76&lt;&gt;"",'Paramètres'!P76="Débit",ISERROR(SEARCH("transfert-interne",'Paramètres'!N76))),MAX(L$1:L67)+1,"")</f>
        <v/>
      </c>
    </row>
    <row r="69" spans="2:12" x14ac:dyDescent="0.25">
      <c r="B69" s="21">
        <f>IF(B68="","",EDATE(B68,1))</f>
        <v>44682</v>
      </c>
      <c r="F69" s="6" t="str">
        <f>IF(AND('Paramètres'!M77&lt;&gt;"",'Paramètres'!P77="Crédit",ISERROR(SEARCH("transfert-interne",'Paramètres'!N77))),MAX(F$1:F68)+1,"")</f>
        <v/>
      </c>
      <c r="G69" s="6" t="str">
        <f>IF(AND('Paramètres'!M77&lt;&gt;"",ISNUMBER(SEARCH(",epargne,",","&amp;SUBSTITUTE('Paramètres'!N77," ","")&amp;","))),MAX(G$1:G68)+1,"")</f>
        <v/>
      </c>
      <c r="L69" s="6" t="str">
        <f>IF(AND('Paramètres'!M77&lt;&gt;"",'Paramètres'!P77="Débit",ISERROR(SEARCH("transfert-interne",'Paramètres'!N77))),MAX(L$1:L68)+1,"")</f>
        <v/>
      </c>
    </row>
    <row r="70" spans="2:12" x14ac:dyDescent="0.25">
      <c r="B70" s="21">
        <f>IF(B69="","",EDATE(B69,1))</f>
        <v>44713</v>
      </c>
      <c r="F70" s="6" t="str">
        <f>IF(AND('Paramètres'!M78&lt;&gt;"",'Paramètres'!P78="Crédit",ISERROR(SEARCH("transfert-interne",'Paramètres'!N78))),MAX(F$1:F69)+1,"")</f>
        <v/>
      </c>
      <c r="G70" s="6" t="str">
        <f>IF(AND('Paramètres'!M78&lt;&gt;"",ISNUMBER(SEARCH(",epargne,",","&amp;SUBSTITUTE('Paramètres'!N78," ","")&amp;","))),MAX(G$1:G69)+1,"")</f>
        <v/>
      </c>
      <c r="L70" s="6" t="str">
        <f>IF(AND('Paramètres'!M78&lt;&gt;"",'Paramètres'!P78="Débit",ISERROR(SEARCH("transfert-interne",'Paramètres'!N78))),MAX(L$1:L69)+1,"")</f>
        <v/>
      </c>
    </row>
    <row r="71" spans="2:12" x14ac:dyDescent="0.25">
      <c r="B71" s="21">
        <f>IF(B70="","",EDATE(B70,1))</f>
        <v>44743</v>
      </c>
      <c r="F71" s="6" t="str">
        <f>IF(AND('Paramètres'!M79&lt;&gt;"",'Paramètres'!P79="Crédit",ISERROR(SEARCH("transfert-interne",'Paramètres'!N79))),MAX(F$1:F70)+1,"")</f>
        <v/>
      </c>
      <c r="G71" s="6" t="str">
        <f>IF(AND('Paramètres'!M79&lt;&gt;"",ISNUMBER(SEARCH(",epargne,",","&amp;SUBSTITUTE('Paramètres'!N79," ","")&amp;","))),MAX(G$1:G70)+1,"")</f>
        <v/>
      </c>
      <c r="L71" s="6" t="str">
        <f>IF(AND('Paramètres'!M79&lt;&gt;"",'Paramètres'!P79="Débit",ISERROR(SEARCH("transfert-interne",'Paramètres'!N79))),MAX(L$1:L70)+1,"")</f>
        <v/>
      </c>
    </row>
    <row r="72" spans="2:12" x14ac:dyDescent="0.25">
      <c r="B72" s="21">
        <f>IF(B71="","",EDATE(B71,1))</f>
        <v>44774</v>
      </c>
      <c r="F72" s="6" t="str">
        <f>IF(AND('Paramètres'!M80&lt;&gt;"",'Paramètres'!P80="Crédit",ISERROR(SEARCH("transfert-interne",'Paramètres'!N80))),MAX(F$1:F71)+1,"")</f>
        <v/>
      </c>
      <c r="G72" s="6" t="str">
        <f>IF(AND('Paramètres'!M80&lt;&gt;"",ISNUMBER(SEARCH(",epargne,",","&amp;SUBSTITUTE('Paramètres'!N80," ","")&amp;","))),MAX(G$1:G71)+1,"")</f>
        <v/>
      </c>
      <c r="L72" s="6" t="str">
        <f>IF(AND('Paramètres'!M80&lt;&gt;"",'Paramètres'!P80="Débit",ISERROR(SEARCH("transfert-interne",'Paramètres'!N80))),MAX(L$1:L71)+1,"")</f>
        <v/>
      </c>
    </row>
    <row r="73" spans="2:12" x14ac:dyDescent="0.25">
      <c r="B73" s="21">
        <f>IF(B72="","",EDATE(B72,1))</f>
        <v>44805</v>
      </c>
      <c r="F73" s="6" t="str">
        <f>IF(AND('Paramètres'!M81&lt;&gt;"",'Paramètres'!P81="Crédit",ISERROR(SEARCH("transfert-interne",'Paramètres'!N81))),MAX(F$1:F72)+1,"")</f>
        <v/>
      </c>
      <c r="G73" s="6" t="str">
        <f>IF(AND('Paramètres'!M81&lt;&gt;"",ISNUMBER(SEARCH(",epargne,",","&amp;SUBSTITUTE('Paramètres'!N81," ","")&amp;","))),MAX(G$1:G72)+1,"")</f>
        <v/>
      </c>
      <c r="L73" s="6" t="str">
        <f>IF(AND('Paramètres'!M81&lt;&gt;"",'Paramètres'!P81="Débit",ISERROR(SEARCH("transfert-interne",'Paramètres'!N81))),MAX(L$1:L72)+1,"")</f>
        <v/>
      </c>
    </row>
    <row r="74" spans="2:12" x14ac:dyDescent="0.25">
      <c r="B74" s="21">
        <f>IF(B73="","",EDATE(B73,1))</f>
        <v>44835</v>
      </c>
      <c r="F74" s="6" t="str">
        <f>IF(AND('Paramètres'!M82&lt;&gt;"",'Paramètres'!P82="Crédit",ISERROR(SEARCH("transfert-interne",'Paramètres'!N82))),MAX(F$1:F73)+1,"")</f>
        <v/>
      </c>
      <c r="G74" s="6" t="str">
        <f>IF(AND('Paramètres'!M82&lt;&gt;"",ISNUMBER(SEARCH(",epargne,",","&amp;SUBSTITUTE('Paramètres'!N82," ","")&amp;","))),MAX(G$1:G73)+1,"")</f>
        <v/>
      </c>
      <c r="L74" s="6" t="str">
        <f>IF(AND('Paramètres'!M82&lt;&gt;"",'Paramètres'!P82="Débit",ISERROR(SEARCH("transfert-interne",'Paramètres'!N82))),MAX(L$1:L73)+1,"")</f>
        <v/>
      </c>
    </row>
    <row r="75" spans="2:12" x14ac:dyDescent="0.25">
      <c r="B75" s="21">
        <f>IF(B74="","",EDATE(B74,1))</f>
        <v>44866</v>
      </c>
      <c r="F75" s="6" t="str">
        <f>IF(AND('Paramètres'!M83&lt;&gt;"",'Paramètres'!P83="Crédit",ISERROR(SEARCH("transfert-interne",'Paramètres'!N83))),MAX(F$1:F74)+1,"")</f>
        <v/>
      </c>
      <c r="G75" s="6" t="str">
        <f>IF(AND('Paramètres'!M83&lt;&gt;"",ISNUMBER(SEARCH(",epargne,",","&amp;SUBSTITUTE('Paramètres'!N83," ","")&amp;","))),MAX(G$1:G74)+1,"")</f>
        <v/>
      </c>
      <c r="L75" s="6" t="str">
        <f>IF(AND('Paramètres'!M83&lt;&gt;"",'Paramètres'!P83="Débit",ISERROR(SEARCH("transfert-interne",'Paramètres'!N83))),MAX(L$1:L74)+1,"")</f>
        <v/>
      </c>
    </row>
    <row r="76" spans="2:12" x14ac:dyDescent="0.25">
      <c r="B76" s="21">
        <f>IF(B75="","",EDATE(B75,1))</f>
        <v>44896</v>
      </c>
      <c r="F76" s="6" t="str">
        <f>IF(AND('Paramètres'!M84&lt;&gt;"",'Paramètres'!P84="Crédit",ISERROR(SEARCH("transfert-interne",'Paramètres'!N84))),MAX(F$1:F75)+1,"")</f>
        <v/>
      </c>
      <c r="G76" s="6" t="str">
        <f>IF(AND('Paramètres'!M84&lt;&gt;"",ISNUMBER(SEARCH(",epargne,",","&amp;SUBSTITUTE('Paramètres'!N84," ","")&amp;","))),MAX(G$1:G75)+1,"")</f>
        <v/>
      </c>
      <c r="L76" s="6" t="str">
        <f>IF(AND('Paramètres'!M84&lt;&gt;"",'Paramètres'!P84="Débit",ISERROR(SEARCH("transfert-interne",'Paramètres'!N84))),MAX(L$1:L75)+1,"")</f>
        <v/>
      </c>
    </row>
    <row r="77" spans="2:12" x14ac:dyDescent="0.25">
      <c r="B77" s="21">
        <f>IF(B76="","",EDATE(B76,1))</f>
        <v>44927</v>
      </c>
      <c r="F77" s="6" t="str">
        <f>IF(AND('Paramètres'!M85&lt;&gt;"",'Paramètres'!P85="Crédit",ISERROR(SEARCH("transfert-interne",'Paramètres'!N85))),MAX(F$1:F76)+1,"")</f>
        <v/>
      </c>
      <c r="G77" s="6" t="str">
        <f>IF(AND('Paramètres'!M85&lt;&gt;"",ISNUMBER(SEARCH(",epargne,",","&amp;SUBSTITUTE('Paramètres'!N85," ","")&amp;","))),MAX(G$1:G76)+1,"")</f>
        <v/>
      </c>
      <c r="L77" s="6" t="str">
        <f>IF(AND('Paramètres'!M85&lt;&gt;"",'Paramètres'!P85="Débit",ISERROR(SEARCH("transfert-interne",'Paramètres'!N85))),MAX(L$1:L76)+1,"")</f>
        <v/>
      </c>
    </row>
    <row r="78" spans="2:12" x14ac:dyDescent="0.25">
      <c r="B78" s="21">
        <f>IF(B77="","",EDATE(B77,1))</f>
        <v>44958</v>
      </c>
      <c r="F78" s="6" t="str">
        <f>IF(AND('Paramètres'!M86&lt;&gt;"",'Paramètres'!P86="Crédit",ISERROR(SEARCH("transfert-interne",'Paramètres'!N86))),MAX(F$1:F77)+1,"")</f>
        <v/>
      </c>
      <c r="G78" s="6" t="str">
        <f>IF(AND('Paramètres'!M86&lt;&gt;"",ISNUMBER(SEARCH(",epargne,",","&amp;SUBSTITUTE('Paramètres'!N86," ","")&amp;","))),MAX(G$1:G77)+1,"")</f>
        <v/>
      </c>
      <c r="L78" s="6" t="str">
        <f>IF(AND('Paramètres'!M86&lt;&gt;"",'Paramètres'!P86="Débit",ISERROR(SEARCH("transfert-interne",'Paramètres'!N86))),MAX(L$1:L77)+1,"")</f>
        <v/>
      </c>
    </row>
    <row r="79" spans="2:12" x14ac:dyDescent="0.25">
      <c r="B79" s="21">
        <f>IF(B78="","",EDATE(B78,1))</f>
        <v>44986</v>
      </c>
      <c r="F79" s="6" t="str">
        <f>IF(AND('Paramètres'!M87&lt;&gt;"",'Paramètres'!P87="Crédit",ISERROR(SEARCH("transfert-interne",'Paramètres'!N87))),MAX(F$1:F78)+1,"")</f>
        <v/>
      </c>
      <c r="G79" s="6" t="str">
        <f>IF(AND('Paramètres'!M87&lt;&gt;"",ISNUMBER(SEARCH(",epargne,",","&amp;SUBSTITUTE('Paramètres'!N87," ","")&amp;","))),MAX(G$1:G78)+1,"")</f>
        <v/>
      </c>
      <c r="L79" s="6" t="str">
        <f>IF(AND('Paramètres'!M87&lt;&gt;"",'Paramètres'!P87="Débit",ISERROR(SEARCH("transfert-interne",'Paramètres'!N87))),MAX(L$1:L78)+1,"")</f>
        <v/>
      </c>
    </row>
    <row r="80" spans="2:12" x14ac:dyDescent="0.25">
      <c r="B80" s="21">
        <f>IF(B79="","",EDATE(B79,1))</f>
        <v>45017</v>
      </c>
      <c r="F80" s="6" t="str">
        <f>IF(AND('Paramètres'!M88&lt;&gt;"",'Paramètres'!P88="Crédit",ISERROR(SEARCH("transfert-interne",'Paramètres'!N88))),MAX(F$1:F79)+1,"")</f>
        <v/>
      </c>
      <c r="G80" s="6" t="str">
        <f>IF(AND('Paramètres'!M88&lt;&gt;"",ISNUMBER(SEARCH(",epargne,",","&amp;SUBSTITUTE('Paramètres'!N88," ","")&amp;","))),MAX(G$1:G79)+1,"")</f>
        <v/>
      </c>
      <c r="L80" s="6" t="str">
        <f>IF(AND('Paramètres'!M88&lt;&gt;"",'Paramètres'!P88="Débit",ISERROR(SEARCH("transfert-interne",'Paramètres'!N88))),MAX(L$1:L79)+1,"")</f>
        <v/>
      </c>
    </row>
    <row r="81" spans="2:12" x14ac:dyDescent="0.25">
      <c r="B81" s="21">
        <f>IF(B80="","",EDATE(B80,1))</f>
        <v>45047</v>
      </c>
      <c r="F81" s="6" t="str">
        <f>IF(AND('Paramètres'!M89&lt;&gt;"",'Paramètres'!P89="Crédit",ISERROR(SEARCH("transfert-interne",'Paramètres'!N89))),MAX(F$1:F80)+1,"")</f>
        <v/>
      </c>
      <c r="G81" s="6" t="str">
        <f>IF(AND('Paramètres'!M89&lt;&gt;"",ISNUMBER(SEARCH(",epargne,",","&amp;SUBSTITUTE('Paramètres'!N89," ","")&amp;","))),MAX(G$1:G80)+1,"")</f>
        <v/>
      </c>
      <c r="L81" s="6" t="str">
        <f>IF(AND('Paramètres'!M89&lt;&gt;"",'Paramètres'!P89="Débit",ISERROR(SEARCH("transfert-interne",'Paramètres'!N89))),MAX(L$1:L80)+1,"")</f>
        <v/>
      </c>
    </row>
    <row r="82" spans="2:12" x14ac:dyDescent="0.25">
      <c r="B82" s="21">
        <f>IF(B81="","",EDATE(B81,1))</f>
        <v>45078</v>
      </c>
      <c r="F82" s="6" t="str">
        <f>IF(AND('Paramètres'!M90&lt;&gt;"",'Paramètres'!P90="Crédit",ISERROR(SEARCH("transfert-interne",'Paramètres'!N90))),MAX(F$1:F81)+1,"")</f>
        <v/>
      </c>
      <c r="G82" s="6" t="str">
        <f>IF(AND('Paramètres'!M90&lt;&gt;"",ISNUMBER(SEARCH(",epargne,",","&amp;SUBSTITUTE('Paramètres'!N90," ","")&amp;","))),MAX(G$1:G81)+1,"")</f>
        <v/>
      </c>
      <c r="L82" s="6" t="str">
        <f>IF(AND('Paramètres'!M90&lt;&gt;"",'Paramètres'!P90="Débit",ISERROR(SEARCH("transfert-interne",'Paramètres'!N90))),MAX(L$1:L81)+1,"")</f>
        <v/>
      </c>
    </row>
    <row r="83" spans="2:12" x14ac:dyDescent="0.25">
      <c r="B83" s="21">
        <f>IF(B82="","",EDATE(B82,1))</f>
        <v>45108</v>
      </c>
      <c r="F83" s="6" t="str">
        <f>IF(AND('Paramètres'!M91&lt;&gt;"",'Paramètres'!P91="Crédit",ISERROR(SEARCH("transfert-interne",'Paramètres'!N91))),MAX(F$1:F82)+1,"")</f>
        <v/>
      </c>
      <c r="G83" s="6" t="str">
        <f>IF(AND('Paramètres'!M91&lt;&gt;"",ISNUMBER(SEARCH(",epargne,",","&amp;SUBSTITUTE('Paramètres'!N91," ","")&amp;","))),MAX(G$1:G82)+1,"")</f>
        <v/>
      </c>
      <c r="L83" s="6" t="str">
        <f>IF(AND('Paramètres'!M91&lt;&gt;"",'Paramètres'!P91="Débit",ISERROR(SEARCH("transfert-interne",'Paramètres'!N91))),MAX(L$1:L82)+1,"")</f>
        <v/>
      </c>
    </row>
    <row r="84" spans="2:12" x14ac:dyDescent="0.25">
      <c r="B84" s="21">
        <f>IF(B83="","",EDATE(B83,1))</f>
        <v>45139</v>
      </c>
      <c r="F84" s="6" t="str">
        <f>IF(AND('Paramètres'!M92&lt;&gt;"",'Paramètres'!P92="Crédit",ISERROR(SEARCH("transfert-interne",'Paramètres'!N92))),MAX(F$1:F83)+1,"")</f>
        <v/>
      </c>
      <c r="G84" s="6" t="str">
        <f>IF(AND('Paramètres'!M92&lt;&gt;"",ISNUMBER(SEARCH(",epargne,",","&amp;SUBSTITUTE('Paramètres'!N92," ","")&amp;","))),MAX(G$1:G83)+1,"")</f>
        <v/>
      </c>
      <c r="L84" s="6" t="str">
        <f>IF(AND('Paramètres'!M92&lt;&gt;"",'Paramètres'!P92="Débit",ISERROR(SEARCH("transfert-interne",'Paramètres'!N92))),MAX(L$1:L83)+1,"")</f>
        <v/>
      </c>
    </row>
    <row r="85" spans="2:12" x14ac:dyDescent="0.25">
      <c r="B85" s="21">
        <f>IF(B84="","",EDATE(B84,1))</f>
        <v>45170</v>
      </c>
      <c r="F85" s="6" t="str">
        <f>IF(AND('Paramètres'!M93&lt;&gt;"",'Paramètres'!P93="Crédit",ISERROR(SEARCH("transfert-interne",'Paramètres'!N93))),MAX(F$1:F84)+1,"")</f>
        <v/>
      </c>
      <c r="G85" s="6" t="str">
        <f>IF(AND('Paramètres'!M93&lt;&gt;"",ISNUMBER(SEARCH(",epargne,",","&amp;SUBSTITUTE('Paramètres'!N93," ","")&amp;","))),MAX(G$1:G84)+1,"")</f>
        <v/>
      </c>
      <c r="L85" s="6" t="str">
        <f>IF(AND('Paramètres'!M93&lt;&gt;"",'Paramètres'!P93="Débit",ISERROR(SEARCH("transfert-interne",'Paramètres'!N93))),MAX(L$1:L84)+1,"")</f>
        <v/>
      </c>
    </row>
    <row r="86" spans="2:12" x14ac:dyDescent="0.25">
      <c r="B86" s="21">
        <f>IF(B85="","",EDATE(B85,1))</f>
        <v>45200</v>
      </c>
      <c r="F86" s="6" t="str">
        <f>IF(AND('Paramètres'!M94&lt;&gt;"",'Paramètres'!P94="Crédit",ISERROR(SEARCH("transfert-interne",'Paramètres'!N94))),MAX(F$1:F85)+1,"")</f>
        <v/>
      </c>
      <c r="G86" s="6" t="str">
        <f>IF(AND('Paramètres'!M94&lt;&gt;"",ISNUMBER(SEARCH(",epargne,",","&amp;SUBSTITUTE('Paramètres'!N94," ","")&amp;","))),MAX(G$1:G85)+1,"")</f>
        <v/>
      </c>
      <c r="L86" s="6" t="str">
        <f>IF(AND('Paramètres'!M94&lt;&gt;"",'Paramètres'!P94="Débit",ISERROR(SEARCH("transfert-interne",'Paramètres'!N94))),MAX(L$1:L85)+1,"")</f>
        <v/>
      </c>
    </row>
    <row r="87" spans="2:12" x14ac:dyDescent="0.25">
      <c r="B87" s="21">
        <f>IF(B86="","",EDATE(B86,1))</f>
        <v>45231</v>
      </c>
      <c r="F87" s="6" t="str">
        <f>IF(AND('Paramètres'!M95&lt;&gt;"",'Paramètres'!P95="Crédit",ISERROR(SEARCH("transfert-interne",'Paramètres'!N95))),MAX(F$1:F86)+1,"")</f>
        <v/>
      </c>
      <c r="G87" s="6" t="str">
        <f>IF(AND('Paramètres'!M95&lt;&gt;"",ISNUMBER(SEARCH(",epargne,",","&amp;SUBSTITUTE('Paramètres'!N95," ","")&amp;","))),MAX(G$1:G86)+1,"")</f>
        <v/>
      </c>
      <c r="L87" s="6" t="str">
        <f>IF(AND('Paramètres'!M95&lt;&gt;"",'Paramètres'!P95="Débit",ISERROR(SEARCH("transfert-interne",'Paramètres'!N95))),MAX(L$1:L86)+1,"")</f>
        <v/>
      </c>
    </row>
    <row r="88" spans="2:12" x14ac:dyDescent="0.25">
      <c r="B88" s="21">
        <f>IF(B87="","",EDATE(B87,1))</f>
        <v>45261</v>
      </c>
      <c r="F88" s="6" t="str">
        <f>IF(AND('Paramètres'!M96&lt;&gt;"",'Paramètres'!P96="Crédit",ISERROR(SEARCH("transfert-interne",'Paramètres'!N96))),MAX(F$1:F87)+1,"")</f>
        <v/>
      </c>
      <c r="G88" s="6" t="str">
        <f>IF(AND('Paramètres'!M96&lt;&gt;"",ISNUMBER(SEARCH(",epargne,",","&amp;SUBSTITUTE('Paramètres'!N96," ","")&amp;","))),MAX(G$1:G87)+1,"")</f>
        <v/>
      </c>
      <c r="L88" s="6" t="str">
        <f>IF(AND('Paramètres'!M96&lt;&gt;"",'Paramètres'!P96="Débit",ISERROR(SEARCH("transfert-interne",'Paramètres'!N96))),MAX(L$1:L87)+1,"")</f>
        <v/>
      </c>
    </row>
    <row r="89" spans="2:12" x14ac:dyDescent="0.25">
      <c r="B89" s="21">
        <f>IF(B88="","",EDATE(B88,1))</f>
        <v>45292</v>
      </c>
      <c r="F89" s="6" t="str">
        <f>IF(AND('Paramètres'!M97&lt;&gt;"",'Paramètres'!P97="Crédit",ISERROR(SEARCH("transfert-interne",'Paramètres'!N97))),MAX(F$1:F88)+1,"")</f>
        <v/>
      </c>
      <c r="G89" s="6" t="str">
        <f>IF(AND('Paramètres'!M97&lt;&gt;"",ISNUMBER(SEARCH(",epargne,",","&amp;SUBSTITUTE('Paramètres'!N97," ","")&amp;","))),MAX(G$1:G88)+1,"")</f>
        <v/>
      </c>
      <c r="L89" s="6" t="str">
        <f>IF(AND('Paramètres'!M97&lt;&gt;"",'Paramètres'!P97="Débit",ISERROR(SEARCH("transfert-interne",'Paramètres'!N97))),MAX(L$1:L88)+1,"")</f>
        <v/>
      </c>
    </row>
    <row r="90" spans="2:12" x14ac:dyDescent="0.25">
      <c r="B90" s="21">
        <f>IF(B89="","",EDATE(B89,1))</f>
        <v>45323</v>
      </c>
      <c r="F90" s="6" t="str">
        <f>IF(AND('Paramètres'!M98&lt;&gt;"",'Paramètres'!P98="Crédit",ISERROR(SEARCH("transfert-interne",'Paramètres'!N98))),MAX(F$1:F89)+1,"")</f>
        <v/>
      </c>
      <c r="G90" s="6" t="str">
        <f>IF(AND('Paramètres'!M98&lt;&gt;"",ISNUMBER(SEARCH(",epargne,",","&amp;SUBSTITUTE('Paramètres'!N98," ","")&amp;","))),MAX(G$1:G89)+1,"")</f>
        <v/>
      </c>
      <c r="L90" s="6" t="str">
        <f>IF(AND('Paramètres'!M98&lt;&gt;"",'Paramètres'!P98="Débit",ISERROR(SEARCH("transfert-interne",'Paramètres'!N98))),MAX(L$1:L89)+1,"")</f>
        <v/>
      </c>
    </row>
    <row r="91" spans="2:12" x14ac:dyDescent="0.25">
      <c r="B91" s="21">
        <f>IF(B90="","",EDATE(B90,1))</f>
        <v>45352</v>
      </c>
      <c r="F91" s="6" t="str">
        <f>IF(AND('Paramètres'!M99&lt;&gt;"",'Paramètres'!P99="Crédit",ISERROR(SEARCH("transfert-interne",'Paramètres'!N99))),MAX(F$1:F90)+1,"")</f>
        <v/>
      </c>
      <c r="G91" s="6" t="str">
        <f>IF(AND('Paramètres'!M99&lt;&gt;"",ISNUMBER(SEARCH(",epargne,",","&amp;SUBSTITUTE('Paramètres'!N99," ","")&amp;","))),MAX(G$1:G90)+1,"")</f>
        <v/>
      </c>
      <c r="L91" s="6" t="str">
        <f>IF(AND('Paramètres'!M99&lt;&gt;"",'Paramètres'!P99="Débit",ISERROR(SEARCH("transfert-interne",'Paramètres'!N99))),MAX(L$1:L90)+1,"")</f>
        <v/>
      </c>
    </row>
    <row r="92" spans="2:12" x14ac:dyDescent="0.25">
      <c r="B92" s="21">
        <f>IF(B91="","",EDATE(B91,1))</f>
        <v>45383</v>
      </c>
      <c r="F92" s="6" t="str">
        <f>IF(AND('Paramètres'!M100&lt;&gt;"",'Paramètres'!P100="Crédit",ISERROR(SEARCH("transfert-interne",'Paramètres'!N100))),MAX(F$1:F91)+1,"")</f>
        <v/>
      </c>
      <c r="G92" s="6" t="str">
        <f>IF(AND('Paramètres'!M100&lt;&gt;"",ISNUMBER(SEARCH(",epargne,",","&amp;SUBSTITUTE('Paramètres'!N100," ","")&amp;","))),MAX(G$1:G91)+1,"")</f>
        <v/>
      </c>
      <c r="L92" s="6" t="str">
        <f>IF(AND('Paramètres'!M100&lt;&gt;"",'Paramètres'!P100="Débit",ISERROR(SEARCH("transfert-interne",'Paramètres'!N100))),MAX(L$1:L91)+1,"")</f>
        <v/>
      </c>
    </row>
    <row r="93" spans="2:12" x14ac:dyDescent="0.25">
      <c r="B93" s="21">
        <f>IF(B92="","",EDATE(B92,1))</f>
        <v>45413</v>
      </c>
      <c r="F93" s="6" t="str">
        <f>IF(AND('Paramètres'!M101&lt;&gt;"",'Paramètres'!P101="Crédit",ISERROR(SEARCH("transfert-interne",'Paramètres'!N101))),MAX(F$1:F92)+1,"")</f>
        <v/>
      </c>
      <c r="G93" s="6" t="str">
        <f>IF(AND('Paramètres'!M101&lt;&gt;"",ISNUMBER(SEARCH(",epargne,",","&amp;SUBSTITUTE('Paramètres'!N101," ","")&amp;","))),MAX(G$1:G92)+1,"")</f>
        <v/>
      </c>
      <c r="L93" s="6" t="str">
        <f>IF(AND('Paramètres'!M101&lt;&gt;"",'Paramètres'!P101="Débit",ISERROR(SEARCH("transfert-interne",'Paramètres'!N101))),MAX(L$1:L92)+1,"")</f>
        <v/>
      </c>
    </row>
    <row r="94" spans="2:12" x14ac:dyDescent="0.25">
      <c r="B94" s="21">
        <f>IF(B93="","",EDATE(B93,1))</f>
        <v>45444</v>
      </c>
      <c r="F94" s="6" t="str">
        <f>IF(AND('Paramètres'!M102&lt;&gt;"",'Paramètres'!P102="Crédit",ISERROR(SEARCH("transfert-interne",'Paramètres'!N102))),MAX(F$1:F93)+1,"")</f>
        <v/>
      </c>
      <c r="G94" s="6" t="str">
        <f>IF(AND('Paramètres'!M102&lt;&gt;"",ISNUMBER(SEARCH(",epargne,",","&amp;SUBSTITUTE('Paramètres'!N102," ","")&amp;","))),MAX(G$1:G93)+1,"")</f>
        <v/>
      </c>
      <c r="L94" s="6" t="str">
        <f>IF(AND('Paramètres'!M102&lt;&gt;"",'Paramètres'!P102="Débit",ISERROR(SEARCH("transfert-interne",'Paramètres'!N102))),MAX(L$1:L93)+1,"")</f>
        <v/>
      </c>
    </row>
    <row r="95" spans="2:12" x14ac:dyDescent="0.25">
      <c r="B95" s="21">
        <f>IF(B94="","",EDATE(B94,1))</f>
        <v>45474</v>
      </c>
      <c r="F95" s="6" t="str">
        <f>IF(AND('Paramètres'!M103&lt;&gt;"",'Paramètres'!P103="Crédit",ISERROR(SEARCH("transfert-interne",'Paramètres'!N103))),MAX(F$1:F94)+1,"")</f>
        <v/>
      </c>
      <c r="G95" s="6" t="str">
        <f>IF(AND('Paramètres'!M103&lt;&gt;"",ISNUMBER(SEARCH(",epargne,",","&amp;SUBSTITUTE('Paramètres'!N103," ","")&amp;","))),MAX(G$1:G94)+1,"")</f>
        <v/>
      </c>
      <c r="L95" s="6" t="str">
        <f>IF(AND('Paramètres'!M103&lt;&gt;"",'Paramètres'!P103="Débit",ISERROR(SEARCH("transfert-interne",'Paramètres'!N103))),MAX(L$1:L94)+1,"")</f>
        <v/>
      </c>
    </row>
    <row r="96" spans="2:12" x14ac:dyDescent="0.25">
      <c r="B96" s="21">
        <f>IF(B95="","",EDATE(B95,1))</f>
        <v>45505</v>
      </c>
      <c r="F96" s="6" t="str">
        <f>IF(AND('Paramètres'!M104&lt;&gt;"",'Paramètres'!P104="Crédit",ISERROR(SEARCH("transfert-interne",'Paramètres'!N104))),MAX(F$1:F95)+1,"")</f>
        <v/>
      </c>
      <c r="G96" s="6" t="str">
        <f>IF(AND('Paramètres'!M104&lt;&gt;"",ISNUMBER(SEARCH(",epargne,",","&amp;SUBSTITUTE('Paramètres'!N104," ","")&amp;","))),MAX(G$1:G95)+1,"")</f>
        <v/>
      </c>
      <c r="L96" s="6" t="str">
        <f>IF(AND('Paramètres'!M104&lt;&gt;"",'Paramètres'!P104="Débit",ISERROR(SEARCH("transfert-interne",'Paramètres'!N104))),MAX(L$1:L95)+1,"")</f>
        <v/>
      </c>
    </row>
    <row r="97" spans="2:12" x14ac:dyDescent="0.25">
      <c r="B97" s="21">
        <f>IF(B96="","",EDATE(B96,1))</f>
        <v>45536</v>
      </c>
      <c r="F97" s="6" t="str">
        <f>IF(AND('Paramètres'!M105&lt;&gt;"",'Paramètres'!P105="Crédit",ISERROR(SEARCH("transfert-interne",'Paramètres'!N105))),MAX(F$1:F96)+1,"")</f>
        <v/>
      </c>
      <c r="G97" s="6" t="str">
        <f>IF(AND('Paramètres'!M105&lt;&gt;"",ISNUMBER(SEARCH(",epargne,",","&amp;SUBSTITUTE('Paramètres'!N105," ","")&amp;","))),MAX(G$1:G96)+1,"")</f>
        <v/>
      </c>
      <c r="L97" s="6" t="str">
        <f>IF(AND('Paramètres'!M105&lt;&gt;"",'Paramètres'!P105="Débit",ISERROR(SEARCH("transfert-interne",'Paramètres'!N105))),MAX(L$1:L96)+1,"")</f>
        <v/>
      </c>
    </row>
    <row r="98" spans="2:12" x14ac:dyDescent="0.25">
      <c r="B98" s="21">
        <f>IF(B97="","",EDATE(B97,1))</f>
        <v>45566</v>
      </c>
      <c r="F98" s="6" t="str">
        <f>IF(AND('Paramètres'!M106&lt;&gt;"",'Paramètres'!P106="Crédit",ISERROR(SEARCH("transfert-interne",'Paramètres'!N106))),MAX(F$1:F97)+1,"")</f>
        <v/>
      </c>
      <c r="G98" s="6" t="str">
        <f>IF(AND('Paramètres'!M106&lt;&gt;"",ISNUMBER(SEARCH(",epargne,",","&amp;SUBSTITUTE('Paramètres'!N106," ","")&amp;","))),MAX(G$1:G97)+1,"")</f>
        <v/>
      </c>
      <c r="L98" s="6" t="str">
        <f>IF(AND('Paramètres'!M106&lt;&gt;"",'Paramètres'!P106="Débit",ISERROR(SEARCH("transfert-interne",'Paramètres'!N106))),MAX(L$1:L97)+1,"")</f>
        <v/>
      </c>
    </row>
    <row r="99" spans="2:12" x14ac:dyDescent="0.25">
      <c r="B99" s="21">
        <f>IF(B98="","",EDATE(B98,1))</f>
        <v>45597</v>
      </c>
      <c r="F99" s="6" t="str">
        <f>IF(AND('Paramètres'!M107&lt;&gt;"",'Paramètres'!P107="Crédit",ISERROR(SEARCH("transfert-interne",'Paramètres'!N107))),MAX(F$1:F98)+1,"")</f>
        <v/>
      </c>
      <c r="G99" s="6" t="str">
        <f>IF(AND('Paramètres'!M107&lt;&gt;"",ISNUMBER(SEARCH(",epargne,",","&amp;SUBSTITUTE('Paramètres'!N107," ","")&amp;","))),MAX(G$1:G98)+1,"")</f>
        <v/>
      </c>
      <c r="L99" s="6" t="str">
        <f>IF(AND('Paramètres'!M107&lt;&gt;"",'Paramètres'!P107="Débit",ISERROR(SEARCH("transfert-interne",'Paramètres'!N107))),MAX(L$1:L98)+1,"")</f>
        <v/>
      </c>
    </row>
    <row r="100" spans="2:12" x14ac:dyDescent="0.25">
      <c r="B100" s="21">
        <f>IF(B99="","",EDATE(B99,1))</f>
        <v>45627</v>
      </c>
      <c r="F100" s="6" t="str">
        <f>IF(AND('Paramètres'!M108&lt;&gt;"",'Paramètres'!P108="Crédit",ISERROR(SEARCH("transfert-interne",'Paramètres'!N108))),MAX(F$1:F99)+1,"")</f>
        <v/>
      </c>
      <c r="G100" s="6" t="str">
        <f>IF(AND('Paramètres'!M108&lt;&gt;"",ISNUMBER(SEARCH(",epargne,",","&amp;SUBSTITUTE('Paramètres'!N108," ","")&amp;","))),MAX(G$1:G99)+1,"")</f>
        <v/>
      </c>
      <c r="L100" s="6" t="str">
        <f>IF(AND('Paramètres'!M108&lt;&gt;"",'Paramètres'!P108="Débit",ISERROR(SEARCH("transfert-interne",'Paramètres'!N108))),MAX(L$1:L99)+1,"")</f>
        <v/>
      </c>
    </row>
    <row r="101" spans="2:12" x14ac:dyDescent="0.25">
      <c r="B101" s="21">
        <f>IF(B100="","",EDATE(B100,1))</f>
        <v>45658</v>
      </c>
      <c r="F101" s="6" t="str">
        <f>IF(AND('Paramètres'!M109&lt;&gt;"",'Paramètres'!P109="Crédit",ISERROR(SEARCH("transfert-interne",'Paramètres'!N109))),MAX(F$1:F100)+1,"")</f>
        <v/>
      </c>
      <c r="G101" s="6" t="str">
        <f>IF(AND('Paramètres'!M109&lt;&gt;"",ISNUMBER(SEARCH(",epargne,",","&amp;SUBSTITUTE('Paramètres'!N109," ","")&amp;","))),MAX(G$1:G100)+1,"")</f>
        <v/>
      </c>
      <c r="L101" s="6" t="str">
        <f>IF(AND('Paramètres'!M109&lt;&gt;"",'Paramètres'!P109="Débit",ISERROR(SEARCH("transfert-interne",'Paramètres'!N109))),MAX(L$1:L100)+1,"")</f>
        <v/>
      </c>
    </row>
    <row r="102" spans="2:12" x14ac:dyDescent="0.25">
      <c r="B102" s="21">
        <f>IF(B101="","",EDATE(B101,1))</f>
        <v>45689</v>
      </c>
      <c r="F102" s="6" t="str">
        <f>IF(AND('Paramètres'!M110&lt;&gt;"",'Paramètres'!P110="Crédit",ISERROR(SEARCH("transfert-interne",'Paramètres'!N110))),MAX(F$1:F101)+1,"")</f>
        <v/>
      </c>
      <c r="G102" s="6" t="str">
        <f>IF(AND('Paramètres'!M110&lt;&gt;"",ISNUMBER(SEARCH(",epargne,",","&amp;SUBSTITUTE('Paramètres'!N110," ","")&amp;","))),MAX(G$1:G101)+1,"")</f>
        <v/>
      </c>
      <c r="L102" s="6" t="str">
        <f>IF(AND('Paramètres'!M110&lt;&gt;"",'Paramètres'!P110="Débit",ISERROR(SEARCH("transfert-interne",'Paramètres'!N110))),MAX(L$1:L101)+1,"")</f>
        <v/>
      </c>
    </row>
    <row r="103" spans="2:12" x14ac:dyDescent="0.25">
      <c r="B103" s="21">
        <f>IF(B102="","",EDATE(B102,1))</f>
        <v>45717</v>
      </c>
      <c r="F103" s="6" t="str">
        <f>IF(AND('Paramètres'!M111&lt;&gt;"",'Paramètres'!P111="Crédit",ISERROR(SEARCH("transfert-interne",'Paramètres'!N111))),MAX(F$1:F102)+1,"")</f>
        <v/>
      </c>
      <c r="G103" s="6" t="str">
        <f>IF(AND('Paramètres'!M111&lt;&gt;"",ISNUMBER(SEARCH(",epargne,",","&amp;SUBSTITUTE('Paramètres'!N111," ","")&amp;","))),MAX(G$1:G102)+1,"")</f>
        <v/>
      </c>
      <c r="L103" s="6" t="str">
        <f>IF(AND('Paramètres'!M111&lt;&gt;"",'Paramètres'!P111="Débit",ISERROR(SEARCH("transfert-interne",'Paramètres'!N111))),MAX(L$1:L102)+1,"")</f>
        <v/>
      </c>
    </row>
    <row r="104" spans="2:12" x14ac:dyDescent="0.25">
      <c r="B104" s="21">
        <f>IF(B103="","",EDATE(B103,1))</f>
        <v>45748</v>
      </c>
      <c r="F104" s="6" t="str">
        <f>IF(AND('Paramètres'!M112&lt;&gt;"",'Paramètres'!P112="Crédit",ISERROR(SEARCH("transfert-interne",'Paramètres'!N112))),MAX(F$1:F103)+1,"")</f>
        <v/>
      </c>
      <c r="G104" s="6" t="str">
        <f>IF(AND('Paramètres'!M112&lt;&gt;"",ISNUMBER(SEARCH(",epargne,",","&amp;SUBSTITUTE('Paramètres'!N112," ","")&amp;","))),MAX(G$1:G103)+1,"")</f>
        <v/>
      </c>
      <c r="L104" s="6" t="str">
        <f>IF(AND('Paramètres'!M112&lt;&gt;"",'Paramètres'!P112="Débit",ISERROR(SEARCH("transfert-interne",'Paramètres'!N112))),MAX(L$1:L103)+1,"")</f>
        <v/>
      </c>
    </row>
    <row r="105" spans="2:12" x14ac:dyDescent="0.25">
      <c r="B105" s="21">
        <f>IF(B104="","",EDATE(B104,1))</f>
        <v>45778</v>
      </c>
      <c r="F105" s="6" t="str">
        <f>IF(AND('Paramètres'!M113&lt;&gt;"",'Paramètres'!P113="Crédit",ISERROR(SEARCH("transfert-interne",'Paramètres'!N113))),MAX(F$1:F104)+1,"")</f>
        <v/>
      </c>
      <c r="G105" s="6" t="str">
        <f>IF(AND('Paramètres'!M113&lt;&gt;"",ISNUMBER(SEARCH(",epargne,",","&amp;SUBSTITUTE('Paramètres'!N113," ","")&amp;","))),MAX(G$1:G104)+1,"")</f>
        <v/>
      </c>
      <c r="L105" s="6" t="str">
        <f>IF(AND('Paramètres'!M113&lt;&gt;"",'Paramètres'!P113="Débit",ISERROR(SEARCH("transfert-interne",'Paramètres'!N113))),MAX(L$1:L104)+1,"")</f>
        <v/>
      </c>
    </row>
    <row r="106" spans="2:12" x14ac:dyDescent="0.25">
      <c r="B106" s="21">
        <f>IF(B105="","",EDATE(B105,1))</f>
        <v>45809</v>
      </c>
      <c r="F106" s="6" t="str">
        <f>IF(AND('Paramètres'!M114&lt;&gt;"",'Paramètres'!P114="Crédit",ISERROR(SEARCH("transfert-interne",'Paramètres'!N114))),MAX(F$1:F105)+1,"")</f>
        <v/>
      </c>
      <c r="G106" s="6" t="str">
        <f>IF(AND('Paramètres'!M114&lt;&gt;"",ISNUMBER(SEARCH(",epargne,",","&amp;SUBSTITUTE('Paramètres'!N114," ","")&amp;","))),MAX(G$1:G105)+1,"")</f>
        <v/>
      </c>
      <c r="L106" s="6" t="str">
        <f>IF(AND('Paramètres'!M114&lt;&gt;"",'Paramètres'!P114="Débit",ISERROR(SEARCH("transfert-interne",'Paramètres'!N114))),MAX(L$1:L105)+1,"")</f>
        <v/>
      </c>
    </row>
    <row r="107" spans="2:12" x14ac:dyDescent="0.25">
      <c r="B107" s="21">
        <f>IF(B106="","",EDATE(B106,1))</f>
        <v>45839</v>
      </c>
      <c r="F107" s="6" t="str">
        <f>IF(AND('Paramètres'!M115&lt;&gt;"",'Paramètres'!P115="Crédit",ISERROR(SEARCH("transfert-interne",'Paramètres'!N115))),MAX(F$1:F106)+1,"")</f>
        <v/>
      </c>
      <c r="G107" s="6" t="str">
        <f>IF(AND('Paramètres'!M115&lt;&gt;"",ISNUMBER(SEARCH(",epargne,",","&amp;SUBSTITUTE('Paramètres'!N115," ","")&amp;","))),MAX(G$1:G106)+1,"")</f>
        <v/>
      </c>
      <c r="L107" s="6" t="str">
        <f>IF(AND('Paramètres'!M115&lt;&gt;"",'Paramètres'!P115="Débit",ISERROR(SEARCH("transfert-interne",'Paramètres'!N115))),MAX(L$1:L106)+1,"")</f>
        <v/>
      </c>
    </row>
    <row r="108" spans="2:12" x14ac:dyDescent="0.25">
      <c r="B108" s="21">
        <f>IF(B107="","",EDATE(B107,1))</f>
        <v>45870</v>
      </c>
      <c r="F108" s="6" t="str">
        <f>IF(AND('Paramètres'!M116&lt;&gt;"",'Paramètres'!P116="Crédit",ISERROR(SEARCH("transfert-interne",'Paramètres'!N116))),MAX(F$1:F107)+1,"")</f>
        <v/>
      </c>
      <c r="G108" s="6" t="str">
        <f>IF(AND('Paramètres'!M116&lt;&gt;"",ISNUMBER(SEARCH(",epargne,",","&amp;SUBSTITUTE('Paramètres'!N116," ","")&amp;","))),MAX(G$1:G107)+1,"")</f>
        <v/>
      </c>
      <c r="L108" s="6" t="str">
        <f>IF(AND('Paramètres'!M116&lt;&gt;"",'Paramètres'!P116="Débit",ISERROR(SEARCH("transfert-interne",'Paramètres'!N116))),MAX(L$1:L107)+1,"")</f>
        <v/>
      </c>
    </row>
    <row r="109" spans="2:12" x14ac:dyDescent="0.25">
      <c r="B109" s="21">
        <f>IF(B108="","",EDATE(B108,1))</f>
        <v>45901</v>
      </c>
      <c r="F109" s="6" t="str">
        <f>IF(AND('Paramètres'!M117&lt;&gt;"",'Paramètres'!P117="Crédit",ISERROR(SEARCH("transfert-interne",'Paramètres'!N117))),MAX(F$1:F108)+1,"")</f>
        <v/>
      </c>
      <c r="G109" s="6" t="str">
        <f>IF(AND('Paramètres'!M117&lt;&gt;"",ISNUMBER(SEARCH(",epargne,",","&amp;SUBSTITUTE('Paramètres'!N117," ","")&amp;","))),MAX(G$1:G108)+1,"")</f>
        <v/>
      </c>
      <c r="L109" s="6" t="str">
        <f>IF(AND('Paramètres'!M117&lt;&gt;"",'Paramètres'!P117="Débit",ISERROR(SEARCH("transfert-interne",'Paramètres'!N117))),MAX(L$1:L108)+1,"")</f>
        <v/>
      </c>
    </row>
    <row r="110" spans="2:12" x14ac:dyDescent="0.25">
      <c r="B110" s="21">
        <f>IF(B109="","",EDATE(B109,1))</f>
        <v>45931</v>
      </c>
      <c r="F110" s="6" t="str">
        <f>IF(AND('Paramètres'!M118&lt;&gt;"",'Paramètres'!P118="Crédit",ISERROR(SEARCH("transfert-interne",'Paramètres'!N118))),MAX(F$1:F109)+1,"")</f>
        <v/>
      </c>
      <c r="G110" s="6" t="str">
        <f>IF(AND('Paramètres'!M118&lt;&gt;"",ISNUMBER(SEARCH(",epargne,",","&amp;SUBSTITUTE('Paramètres'!N118," ","")&amp;","))),MAX(G$1:G109)+1,"")</f>
        <v/>
      </c>
      <c r="L110" s="6" t="str">
        <f>IF(AND('Paramètres'!M118&lt;&gt;"",'Paramètres'!P118="Débit",ISERROR(SEARCH("transfert-interne",'Paramètres'!N118))),MAX(L$1:L109)+1,"")</f>
        <v/>
      </c>
    </row>
    <row r="111" spans="2:12" x14ac:dyDescent="0.25">
      <c r="B111" s="21">
        <f>IF(B110="","",EDATE(B110,1))</f>
        <v>45962</v>
      </c>
      <c r="F111" s="6" t="str">
        <f>IF(AND('Paramètres'!M119&lt;&gt;"",'Paramètres'!P119="Crédit",ISERROR(SEARCH("transfert-interne",'Paramètres'!N119))),MAX(F$1:F110)+1,"")</f>
        <v/>
      </c>
      <c r="G111" s="6" t="str">
        <f>IF(AND('Paramètres'!M119&lt;&gt;"",ISNUMBER(SEARCH(",epargne,",","&amp;SUBSTITUTE('Paramètres'!N119," ","")&amp;","))),MAX(G$1:G110)+1,"")</f>
        <v/>
      </c>
      <c r="L111" s="6" t="str">
        <f>IF(AND('Paramètres'!M119&lt;&gt;"",'Paramètres'!P119="Débit",ISERROR(SEARCH("transfert-interne",'Paramètres'!N119))),MAX(L$1:L110)+1,"")</f>
        <v/>
      </c>
    </row>
    <row r="112" spans="2:12" x14ac:dyDescent="0.25">
      <c r="B112" s="21">
        <f>IF(B111="","",EDATE(B111,1))</f>
        <v>45992</v>
      </c>
      <c r="F112" s="6" t="str">
        <f>IF(AND('Paramètres'!M120&lt;&gt;"",'Paramètres'!P120="Crédit",ISERROR(SEARCH("transfert-interne",'Paramètres'!N120))),MAX(F$1:F111)+1,"")</f>
        <v/>
      </c>
      <c r="G112" s="6" t="str">
        <f>IF(AND('Paramètres'!M120&lt;&gt;"",ISNUMBER(SEARCH(",epargne,",","&amp;SUBSTITUTE('Paramètres'!N120," ","")&amp;","))),MAX(G$1:G111)+1,"")</f>
        <v/>
      </c>
      <c r="L112" s="6" t="str">
        <f>IF(AND('Paramètres'!M120&lt;&gt;"",'Paramètres'!P120="Débit",ISERROR(SEARCH("transfert-interne",'Paramètres'!N120))),MAX(L$1:L111)+1,"")</f>
        <v/>
      </c>
    </row>
    <row r="113" spans="2:12" x14ac:dyDescent="0.25">
      <c r="B113" s="21">
        <f>IF(B112="","",EDATE(B112,1))</f>
        <v>46023</v>
      </c>
      <c r="F113" s="6" t="str">
        <f>IF(AND('Paramètres'!M121&lt;&gt;"",'Paramètres'!P121="Crédit",ISERROR(SEARCH("transfert-interne",'Paramètres'!N121))),MAX(F$1:F112)+1,"")</f>
        <v/>
      </c>
      <c r="G113" s="6" t="str">
        <f>IF(AND('Paramètres'!M121&lt;&gt;"",ISNUMBER(SEARCH(",epargne,",","&amp;SUBSTITUTE('Paramètres'!N121," ","")&amp;","))),MAX(G$1:G112)+1,"")</f>
        <v/>
      </c>
      <c r="L113" s="6" t="str">
        <f>IF(AND('Paramètres'!M121&lt;&gt;"",'Paramètres'!P121="Débit",ISERROR(SEARCH("transfert-interne",'Paramètres'!N121))),MAX(L$1:L112)+1,"")</f>
        <v/>
      </c>
    </row>
    <row r="114" spans="2:12" x14ac:dyDescent="0.25">
      <c r="B114" s="21">
        <f>IF(B113="","",EDATE(B113,1))</f>
        <v>46054</v>
      </c>
      <c r="F114" s="6" t="str">
        <f>IF(AND('Paramètres'!M122&lt;&gt;"",'Paramètres'!P122="Crédit",ISERROR(SEARCH("transfert-interne",'Paramètres'!N122))),MAX(F$1:F113)+1,"")</f>
        <v/>
      </c>
      <c r="G114" s="6" t="str">
        <f>IF(AND('Paramètres'!M122&lt;&gt;"",ISNUMBER(SEARCH(",epargne,",","&amp;SUBSTITUTE('Paramètres'!N122," ","")&amp;","))),MAX(G$1:G113)+1,"")</f>
        <v/>
      </c>
      <c r="L114" s="6" t="str">
        <f>IF(AND('Paramètres'!M122&lt;&gt;"",'Paramètres'!P122="Débit",ISERROR(SEARCH("transfert-interne",'Paramètres'!N122))),MAX(L$1:L113)+1,"")</f>
        <v/>
      </c>
    </row>
    <row r="115" spans="2:12" x14ac:dyDescent="0.25">
      <c r="B115" s="21">
        <f>IF(B114="","",EDATE(B114,1))</f>
        <v>46082</v>
      </c>
      <c r="F115" s="6" t="str">
        <f>IF(AND('Paramètres'!M123&lt;&gt;"",'Paramètres'!P123="Crédit",ISERROR(SEARCH("transfert-interne",'Paramètres'!N123))),MAX(F$1:F114)+1,"")</f>
        <v/>
      </c>
      <c r="G115" s="6" t="str">
        <f>IF(AND('Paramètres'!M123&lt;&gt;"",ISNUMBER(SEARCH(",epargne,",","&amp;SUBSTITUTE('Paramètres'!N123," ","")&amp;","))),MAX(G$1:G114)+1,"")</f>
        <v/>
      </c>
      <c r="L115" s="6" t="str">
        <f>IF(AND('Paramètres'!M123&lt;&gt;"",'Paramètres'!P123="Débit",ISERROR(SEARCH("transfert-interne",'Paramètres'!N123))),MAX(L$1:L114)+1,"")</f>
        <v/>
      </c>
    </row>
    <row r="116" spans="2:12" x14ac:dyDescent="0.25">
      <c r="B116" s="21">
        <f>IF(B115="","",EDATE(B115,1))</f>
        <v>46113</v>
      </c>
      <c r="F116" s="6" t="str">
        <f>IF(AND('Paramètres'!M124&lt;&gt;"",'Paramètres'!P124="Crédit",ISERROR(SEARCH("transfert-interne",'Paramètres'!N124))),MAX(F$1:F115)+1,"")</f>
        <v/>
      </c>
      <c r="G116" s="6" t="str">
        <f>IF(AND('Paramètres'!M124&lt;&gt;"",ISNUMBER(SEARCH(",epargne,",","&amp;SUBSTITUTE('Paramètres'!N124," ","")&amp;","))),MAX(G$1:G115)+1,"")</f>
        <v/>
      </c>
      <c r="L116" s="6" t="str">
        <f>IF(AND('Paramètres'!M124&lt;&gt;"",'Paramètres'!P124="Débit",ISERROR(SEARCH("transfert-interne",'Paramètres'!N124))),MAX(L$1:L115)+1,"")</f>
        <v/>
      </c>
    </row>
    <row r="117" spans="2:12" x14ac:dyDescent="0.25">
      <c r="B117" s="21">
        <f>IF(B116="","",EDATE(B116,1))</f>
        <v>46143</v>
      </c>
      <c r="F117" s="6" t="str">
        <f>IF(AND('Paramètres'!M125&lt;&gt;"",'Paramètres'!P125="Crédit",ISERROR(SEARCH("transfert-interne",'Paramètres'!N125))),MAX(F$1:F116)+1,"")</f>
        <v/>
      </c>
      <c r="G117" s="6" t="str">
        <f>IF(AND('Paramètres'!M125&lt;&gt;"",ISNUMBER(SEARCH(",epargne,",","&amp;SUBSTITUTE('Paramètres'!N125," ","")&amp;","))),MAX(G$1:G116)+1,"")</f>
        <v/>
      </c>
      <c r="L117" s="6" t="str">
        <f>IF(AND('Paramètres'!M125&lt;&gt;"",'Paramètres'!P125="Débit",ISERROR(SEARCH("transfert-interne",'Paramètres'!N125))),MAX(L$1:L116)+1,"")</f>
        <v/>
      </c>
    </row>
    <row r="118" spans="2:12" x14ac:dyDescent="0.25">
      <c r="B118" s="21">
        <f>IF(B117="","",EDATE(B117,1))</f>
        <v>46174</v>
      </c>
      <c r="F118" s="6" t="str">
        <f>IF(AND('Paramètres'!M126&lt;&gt;"",'Paramètres'!P126="Crédit",ISERROR(SEARCH("transfert-interne",'Paramètres'!N126))),MAX(F$1:F117)+1,"")</f>
        <v/>
      </c>
      <c r="G118" s="6" t="str">
        <f>IF(AND('Paramètres'!M126&lt;&gt;"",ISNUMBER(SEARCH(",epargne,",","&amp;SUBSTITUTE('Paramètres'!N126," ","")&amp;","))),MAX(G$1:G117)+1,"")</f>
        <v/>
      </c>
      <c r="L118" s="6" t="str">
        <f>IF(AND('Paramètres'!M126&lt;&gt;"",'Paramètres'!P126="Débit",ISERROR(SEARCH("transfert-interne",'Paramètres'!N126))),MAX(L$1:L117)+1,"")</f>
        <v/>
      </c>
    </row>
    <row r="119" spans="2:12" x14ac:dyDescent="0.25">
      <c r="B119" s="21">
        <f>IF(B118="","",EDATE(B118,1))</f>
        <v>46204</v>
      </c>
      <c r="F119" s="6" t="str">
        <f>IF(AND('Paramètres'!M127&lt;&gt;"",'Paramètres'!P127="Crédit",ISERROR(SEARCH("transfert-interne",'Paramètres'!N127))),MAX(F$1:F118)+1,"")</f>
        <v/>
      </c>
      <c r="G119" s="6" t="str">
        <f>IF(AND('Paramètres'!M127&lt;&gt;"",ISNUMBER(SEARCH(",epargne,",","&amp;SUBSTITUTE('Paramètres'!N127," ","")&amp;","))),MAX(G$1:G118)+1,"")</f>
        <v/>
      </c>
      <c r="L119" s="6" t="str">
        <f>IF(AND('Paramètres'!M127&lt;&gt;"",'Paramètres'!P127="Débit",ISERROR(SEARCH("transfert-interne",'Paramètres'!N127))),MAX(L$1:L118)+1,"")</f>
        <v/>
      </c>
    </row>
    <row r="120" spans="2:12" x14ac:dyDescent="0.25">
      <c r="B120" s="21">
        <f>IF(B119="","",EDATE(B119,1))</f>
        <v>46235</v>
      </c>
      <c r="F120" s="6" t="str">
        <f>IF(AND('Paramètres'!M128&lt;&gt;"",'Paramètres'!P128="Crédit",ISERROR(SEARCH("transfert-interne",'Paramètres'!N128))),MAX(F$1:F119)+1,"")</f>
        <v/>
      </c>
      <c r="G120" s="6" t="str">
        <f>IF(AND('Paramètres'!M128&lt;&gt;"",ISNUMBER(SEARCH(",epargne,",","&amp;SUBSTITUTE('Paramètres'!N128," ","")&amp;","))),MAX(G$1:G119)+1,"")</f>
        <v/>
      </c>
      <c r="L120" s="6" t="str">
        <f>IF(AND('Paramètres'!M128&lt;&gt;"",'Paramètres'!P128="Débit",ISERROR(SEARCH("transfert-interne",'Paramètres'!N128))),MAX(L$1:L119)+1,"")</f>
        <v/>
      </c>
    </row>
    <row r="121" spans="2:12" x14ac:dyDescent="0.25">
      <c r="B121" s="21">
        <f>IF(B120="","",EDATE(B120,1))</f>
        <v>46266</v>
      </c>
      <c r="F121" s="6" t="str">
        <f>IF(AND('Paramètres'!M129&lt;&gt;"",'Paramètres'!P129="Crédit",ISERROR(SEARCH("transfert-interne",'Paramètres'!N129))),MAX(F$1:F120)+1,"")</f>
        <v/>
      </c>
      <c r="G121" s="6" t="str">
        <f>IF(AND('Paramètres'!M129&lt;&gt;"",ISNUMBER(SEARCH(",epargne,",","&amp;SUBSTITUTE('Paramètres'!N129," ","")&amp;","))),MAX(G$1:G120)+1,"")</f>
        <v/>
      </c>
      <c r="L121" s="6" t="str">
        <f>IF(AND('Paramètres'!M129&lt;&gt;"",'Paramètres'!P129="Débit",ISERROR(SEARCH("transfert-interne",'Paramètres'!N129))),MAX(L$1:L120)+1,"")</f>
        <v/>
      </c>
    </row>
  </sheetData>
  <sheetProtection sheet="1" formatColumns="0" formatRows="0" autoFilter="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4" width="16" customWidth="1"/>
    <col min="5" max="5" width="34" customWidth="1"/>
    <col min="6" max="8" width="16" customWidth="1"/>
    <col min="9" max="9" width="30" customWidth="1"/>
    <col min="10" max="10" width="16" customWidth="1"/>
    <col min="11" max="11" width="10" customWidth="1"/>
    <col min="12" max="14" width="16" customWidth="1"/>
    <col min="15" max="16" width="12" customWidth="1"/>
    <col min="17" max="17" width="14" customWidth="1"/>
    <col min="18" max="18" width="18" customWidth="1"/>
  </cols>
  <sheetData>
    <row r="1" spans="1:15" x14ac:dyDescent="0.25">
      <c r="A1" s="3" t="s">
        <v>153</v>
      </c>
      <c r="B1" s="23">
        <v>46235</v>
      </c>
      <c r="C1" s="2" t="s">
        <v>280</v>
      </c>
      <c r="D1" s="24">
        <f>EDATE($B$1,1)</f>
        <v>46266</v>
      </c>
      <c r="E1" s="25" t="s">
        <v>281</v>
      </c>
      <c r="M1" s="3" t="s">
        <v>56</v>
      </c>
      <c r="N1" s="4" t="s">
        <v>57</v>
      </c>
      <c r="O1" s="6" t="s">
        <v>58</v>
      </c>
    </row>
    <row r="2" spans="1:11" x14ac:dyDescent="0.25">
      <c r="A2" s="3" t="s">
        <v>282</v>
      </c>
      <c r="B2" s="26">
        <f>ROUND($B$13+$B$14+$B$39,2)</f>
        <v>13169.29</v>
      </c>
      <c r="E2" s="2" t="s">
        <v>283</v>
      </c>
      <c r="F2" s="27">
        <f>IFERROR(F3/$B$13,0)</f>
        <v>0.3723833766301752</v>
      </c>
      <c r="I2" s="20" t="s">
        <v>284</v>
      </c>
      <c r="J2" s="20" t="s">
        <v>44</v>
      </c>
      <c r="K2" s="20" t="s">
        <v>285</v>
      </c>
    </row>
    <row r="3" spans="1:11" x14ac:dyDescent="0.25">
      <c r="A3" s="20" t="s">
        <v>286</v>
      </c>
      <c r="B3" s="20" t="s">
        <v>44</v>
      </c>
      <c r="E3" s="3" t="s">
        <v>287</v>
      </c>
      <c r="F3" s="26">
        <f>SUM(F4:F12)</f>
        <v>1138.16</v>
      </c>
      <c r="I3" s="6" t="str">
        <f>IF('Paramètres'!$S$10="","",'Paramètres'!$S$10)</f>
        <v>Alimentation</v>
      </c>
      <c r="J3" s="11">
        <f>IF($I3="","",SUMIFS(Transactions!$Q$2:$Q$5000,Transactions!$N$2:$N$5000,$I3,Transactions!$A$2:$A$5000,"&gt;="&amp;$B$1,Transactions!$A$2:$A$5000,"&lt;"&amp;$D$1,Transactions!$O$2:$O$5000,1))</f>
        <v>413.36</v>
      </c>
      <c r="K3" s="27">
        <f>IF(J3="","",IFERROR(J3/$J$20,0))</f>
        <v>0.14734545765636028</v>
      </c>
    </row>
    <row r="4" spans="1:11" x14ac:dyDescent="0.25">
      <c r="A4" s="6" t="str">
        <f>IFERROR(INDEX('Paramètres'!$M$10:$M$129,MATCH(1,'Référentiel'!$F$2:$F$121,0)),"")</f>
        <v>Salaire</v>
      </c>
      <c r="B4" s="11">
        <f>IF($A4="","",SUMIFS(Transactions!$K$2:$K$5000,Transactions!$D$2:$D$5000,$A4,Transactions!$L$2:$L$5000,"Crédit",Transactions!$P$2:$P$5000,0,Transactions!$A$2:$A$5000,"&gt;="&amp;$B$1,Transactions!$A$2:$A$5000,"&lt;"&amp;$D$1,Transactions!$O$2:$O$5000,1))</f>
        <v>2938.78</v>
      </c>
      <c r="E4" s="6" t="str">
        <f>IFERROR(INDEX('Paramètres'!$M$10:$M$129,MATCH(1,'Référentiel'!$G$2:$G$121,0)),"")</f>
        <v>Assurance-vie</v>
      </c>
      <c r="F4" s="11">
        <f>IF($E4="","",SUMIFS(Transactions!$K$2:$K$5000,Transactions!$D$2:$D$5000,$E4,Transactions!$L$2:$L$5000,"Débit",Transactions!$A$2:$A$5000,"&gt;="&amp;$B$1,Transactions!$A$2:$A$5000,"&lt;"&amp;$D$1,Transactions!$O$2:$O$5000,1))</f>
        <v>120</v>
      </c>
      <c r="I4" s="6" t="str">
        <f>IF('Paramètres'!$S$11="","",'Paramètres'!$S$11)</f>
        <v>Assurances</v>
      </c>
      <c r="J4" s="11">
        <f>IF($I4="","",SUMIFS(Transactions!$Q$2:$Q$5000,Transactions!$N$2:$N$5000,$I4,Transactions!$A$2:$A$5000,"&gt;="&amp;$B$1,Transactions!$A$2:$A$5000,"&lt;"&amp;$D$1,Transactions!$O$2:$O$5000,1))</f>
        <v>101.5</v>
      </c>
      <c r="K4" s="27">
        <f>IF(J4="","",IFERROR(J4/$J$20,0))</f>
        <v>0.0361804817885634</v>
      </c>
    </row>
    <row r="5" spans="1:11" x14ac:dyDescent="0.25">
      <c r="A5" s="6" t="str">
        <f>IFERROR(INDEX('Paramètres'!$M$10:$M$129,MATCH(2,'Référentiel'!$F$2:$F$121,0)),"")</f>
        <v>Ticket Restaurant</v>
      </c>
      <c r="B5" s="11">
        <f>IF($A5="","",SUMIFS(Transactions!$K$2:$K$5000,Transactions!$D$2:$D$5000,$A5,Transactions!$L$2:$L$5000,"Crédit",Transactions!$P$2:$P$5000,0,Transactions!$A$2:$A$5000,"&gt;="&amp;$B$1,Transactions!$A$2:$A$5000,"&lt;"&amp;$D$1,Transactions!$O$2:$O$5000,1))</f>
        <v>117.64</v>
      </c>
      <c r="E5" s="6" t="str">
        <f>IFERROR(INDEX('Paramètres'!$M$10:$M$129,MATCH(2,'Référentiel'!$G$2:$G$121,0)),"")</f>
        <v>Cagnotte partagée</v>
      </c>
      <c r="F5" s="11">
        <f>IF($E5="","",SUMIFS(Transactions!$K$2:$K$5000,Transactions!$D$2:$D$5000,$E5,Transactions!$L$2:$L$5000,"Débit",Transactions!$A$2:$A$5000,"&gt;="&amp;$B$1,Transactions!$A$2:$A$5000,"&lt;"&amp;$D$1,Transactions!$O$2:$O$5000,1))</f>
        <v>0</v>
      </c>
      <c r="I5" s="6" t="str">
        <f>IF('Paramètres'!$S$12="","",'Paramètres'!$S$12)</f>
        <v>Autre</v>
      </c>
      <c r="J5" s="11">
        <f>IF($I5="","",SUMIFS(Transactions!$Q$2:$Q$5000,Transactions!$N$2:$N$5000,$I5,Transactions!$A$2:$A$5000,"&gt;="&amp;$B$1,Transactions!$A$2:$A$5000,"&lt;"&amp;$D$1,Transactions!$O$2:$O$5000,1))</f>
        <v>252.17</v>
      </c>
      <c r="K5" s="27">
        <f>IF(J5="","",IFERROR(J5/$J$20,0))</f>
        <v>0.08988800091253234</v>
      </c>
    </row>
    <row r="6" spans="1:11" x14ac:dyDescent="0.25">
      <c r="A6" s="6" t="str">
        <f>IFERROR(INDEX('Paramètres'!$M$10:$M$129,MATCH(3,'Référentiel'!$F$2:$F$121,0)),"")</f>
        <v>Virement extérieur</v>
      </c>
      <c r="B6" s="11">
        <f>IF($A6="","",SUMIFS(Transactions!$K$2:$K$5000,Transactions!$D$2:$D$5000,$A6,Transactions!$L$2:$L$5000,"Crédit",Transactions!$P$2:$P$5000,0,Transactions!$A$2:$A$5000,"&gt;="&amp;$B$1,Transactions!$A$2:$A$5000,"&lt;"&amp;$D$1,Transactions!$O$2:$O$5000,1))</f>
        <v>0</v>
      </c>
      <c r="E6" s="6" t="str">
        <f>IFERROR(INDEX('Paramètres'!$M$10:$M$129,MATCH(3,'Référentiel'!$G$2:$G$121,0)),"")</f>
        <v>Crédit Immobilier</v>
      </c>
      <c r="F6" s="11">
        <f>IF($E6="","",SUMIFS(Transactions!$K$2:$K$5000,Transactions!$D$2:$D$5000,$E6,Transactions!$L$2:$L$5000,"Débit",Transactions!$A$2:$A$5000,"&gt;="&amp;$B$1,Transactions!$A$2:$A$5000,"&lt;"&amp;$D$1,Transactions!$O$2:$O$5000,1))</f>
        <v>668.16</v>
      </c>
      <c r="I6" s="6" t="str">
        <f>IF('Paramètres'!$S$13="","",'Paramètres'!$S$13)</f>
        <v>Banque</v>
      </c>
      <c r="J6" s="11">
        <f>IF($I6="","",SUMIFS(Transactions!$Q$2:$Q$5000,Transactions!$N$2:$N$5000,$I6,Transactions!$A$2:$A$5000,"&gt;="&amp;$B$1,Transactions!$A$2:$A$5000,"&lt;"&amp;$D$1,Transactions!$O$2:$O$5000,1))</f>
        <v>3</v>
      </c>
      <c r="K6" s="27">
        <f>IF(J6="","",IFERROR(J6/$J$20,0))</f>
        <v>0.0010693738459673912</v>
      </c>
    </row>
    <row r="7" spans="1:11" x14ac:dyDescent="0.25">
      <c r="A7" s="6" t="str">
        <f>IFERROR(INDEX('Paramètres'!$M$10:$M$129,MATCH(4,'Référentiel'!$F$2:$F$121,0)),"")</f>
        <v/>
      </c>
      <c r="B7" s="11" t="str">
        <f>IF($A7="","",SUMIFS(Transactions!$K$2:$K$5000,Transactions!$D$2:$D$5000,$A7,Transactions!$L$2:$L$5000,"Crédit",Transactions!$P$2:$P$5000,0,Transactions!$A$2:$A$5000,"&gt;="&amp;$B$1,Transactions!$A$2:$A$5000,"&lt;"&amp;$D$1,Transactions!$O$2:$O$5000,1))</f>
        <v/>
      </c>
      <c r="E7" s="6" t="str">
        <f>IFERROR(INDEX('Paramètres'!$M$10:$M$129,MATCH(4,'Référentiel'!$G$2:$G$121,0)),"")</f>
        <v>Epargne Banque A</v>
      </c>
      <c r="F7" s="11">
        <f>IF($E7="","",SUMIFS(Transactions!$K$2:$K$5000,Transactions!$D$2:$D$5000,$E7,Transactions!$L$2:$L$5000,"Débit",Transactions!$A$2:$A$5000,"&gt;="&amp;$B$1,Transactions!$A$2:$A$5000,"&lt;"&amp;$D$1,Transactions!$O$2:$O$5000,1))</f>
        <v>150</v>
      </c>
      <c r="I7" s="6" t="str">
        <f>IF('Paramètres'!$S$14="","",'Paramètres'!$S$14)</f>
        <v>Comptes Bancaires</v>
      </c>
      <c r="J7" s="11">
        <f>IF($I7="","",SUMIFS(Transactions!$Q$2:$Q$5000,Transactions!$N$2:$N$5000,$I7,Transactions!$A$2:$A$5000,"&gt;="&amp;$B$1,Transactions!$A$2:$A$5000,"&lt;"&amp;$D$1,Transactions!$O$2:$O$5000,1))</f>
        <v>320</v>
      </c>
      <c r="K7" s="27">
        <f>IF(J7="","",IFERROR(J7/$J$20,0))</f>
        <v>0.11406654356985506</v>
      </c>
    </row>
    <row r="8" spans="1:11" x14ac:dyDescent="0.25">
      <c r="A8" s="6" t="str">
        <f>IFERROR(INDEX('Paramètres'!$M$10:$M$129,MATCH(5,'Référentiel'!$F$2:$F$121,0)),"")</f>
        <v/>
      </c>
      <c r="B8" s="11" t="str">
        <f>IF($A8="","",SUMIFS(Transactions!$K$2:$K$5000,Transactions!$D$2:$D$5000,$A8,Transactions!$L$2:$L$5000,"Crédit",Transactions!$P$2:$P$5000,0,Transactions!$A$2:$A$5000,"&gt;="&amp;$B$1,Transactions!$A$2:$A$5000,"&lt;"&amp;$D$1,Transactions!$O$2:$O$5000,1))</f>
        <v/>
      </c>
      <c r="E8" s="6" t="str">
        <f>IFERROR(INDEX('Paramètres'!$M$10:$M$129,MATCH(5,'Référentiel'!$G$2:$G$121,0)),"")</f>
        <v>Epargne Banque B</v>
      </c>
      <c r="F8" s="11">
        <f>IF($E8="","",SUMIFS(Transactions!$K$2:$K$5000,Transactions!$D$2:$D$5000,$E8,Transactions!$L$2:$L$5000,"Débit",Transactions!$A$2:$A$5000,"&gt;="&amp;$B$1,Transactions!$A$2:$A$5000,"&lt;"&amp;$D$1,Transactions!$O$2:$O$5000,1))</f>
        <v>0</v>
      </c>
      <c r="I8" s="6" t="str">
        <f>IF('Paramètres'!$S$15="","",'Paramètres'!$S$15)</f>
        <v>Habillement</v>
      </c>
      <c r="J8" s="11">
        <f>IF($I8="","",SUMIFS(Transactions!$Q$2:$Q$5000,Transactions!$N$2:$N$5000,$I8,Transactions!$A$2:$A$5000,"&gt;="&amp;$B$1,Transactions!$A$2:$A$5000,"&lt;"&amp;$D$1,Transactions!$O$2:$O$5000,1))</f>
        <v>65.91</v>
      </c>
      <c r="K8" s="27">
        <f>IF(J8="","",IFERROR(J8/$J$20,0))</f>
        <v>0.023494143395903583</v>
      </c>
    </row>
    <row r="9" spans="1:11" x14ac:dyDescent="0.25">
      <c r="A9" s="6" t="str">
        <f>IFERROR(INDEX('Paramètres'!$M$10:$M$129,MATCH(6,'Référentiel'!$F$2:$F$121,0)),"")</f>
        <v/>
      </c>
      <c r="B9" s="11" t="str">
        <f>IF($A9="","",SUMIFS(Transactions!$K$2:$K$5000,Transactions!$D$2:$D$5000,$A9,Transactions!$L$2:$L$5000,"Crédit",Transactions!$P$2:$P$5000,0,Transactions!$A$2:$A$5000,"&gt;="&amp;$B$1,Transactions!$A$2:$A$5000,"&lt;"&amp;$D$1,Transactions!$O$2:$O$5000,1))</f>
        <v/>
      </c>
      <c r="E9" s="6" t="str">
        <f>IFERROR(INDEX('Paramètres'!$M$10:$M$129,MATCH(6,'Référentiel'!$G$2:$G$121,0)),"")</f>
        <v>Epargne Banque C</v>
      </c>
      <c r="F9" s="11">
        <f>IF($E9="","",SUMIFS(Transactions!$K$2:$K$5000,Transactions!$D$2:$D$5000,$E9,Transactions!$L$2:$L$5000,"Débit",Transactions!$A$2:$A$5000,"&gt;="&amp;$B$1,Transactions!$A$2:$A$5000,"&lt;"&amp;$D$1,Transactions!$O$2:$O$5000,1))</f>
        <v>200</v>
      </c>
      <c r="I9" s="6" t="str">
        <f>IF('Paramètres'!$S$16="","",'Paramètres'!$S$16)</f>
        <v>Immobilier</v>
      </c>
      <c r="J9" s="11">
        <f>IF($I9="","",SUMIFS(Transactions!$Q$2:$Q$5000,Transactions!$N$2:$N$5000,$I9,Transactions!$A$2:$A$5000,"&gt;="&amp;$B$1,Transactions!$A$2:$A$5000,"&lt;"&amp;$D$1,Transactions!$O$2:$O$5000,1))</f>
        <v>1167.59</v>
      </c>
      <c r="K9" s="27">
        <f>IF(J9="","",IFERROR(J9/$J$20,0))</f>
        <v>0.41619673627102205</v>
      </c>
    </row>
    <row r="10" spans="1:11" x14ac:dyDescent="0.25">
      <c r="A10" s="6" t="str">
        <f>IFERROR(INDEX('Paramètres'!$M$10:$M$129,MATCH(7,'Référentiel'!$F$2:$F$121,0)),"")</f>
        <v/>
      </c>
      <c r="B10" s="11" t="str">
        <f>IF($A10="","",SUMIFS(Transactions!$K$2:$K$5000,Transactions!$D$2:$D$5000,$A10,Transactions!$L$2:$L$5000,"Crédit",Transactions!$P$2:$P$5000,0,Transactions!$A$2:$A$5000,"&gt;="&amp;$B$1,Transactions!$A$2:$A$5000,"&lt;"&amp;$D$1,Transactions!$O$2:$O$5000,1))</f>
        <v/>
      </c>
      <c r="E10" s="6" t="str">
        <f>IFERROR(INDEX('Paramètres'!$M$10:$M$129,MATCH(7,'Référentiel'!$G$2:$G$121,0)),"")</f>
        <v/>
      </c>
      <c r="F10" s="11" t="str">
        <f>IF($E10="","",SUMIFS(Transactions!$K$2:$K$5000,Transactions!$D$2:$D$5000,$E10,Transactions!$L$2:$L$5000,"Débit",Transactions!$A$2:$A$5000,"&gt;="&amp;$B$1,Transactions!$A$2:$A$5000,"&lt;"&amp;$D$1,Transactions!$O$2:$O$5000,1))</f>
        <v/>
      </c>
      <c r="I10" s="6" t="str">
        <f>IF('Paramètres'!$S$17="","",'Paramètres'!$S$17)</f>
        <v>Impots</v>
      </c>
      <c r="J10" s="11">
        <f>IF($I10="","",SUMIFS(Transactions!$Q$2:$Q$5000,Transactions!$N$2:$N$5000,$I10,Transactions!$A$2:$A$5000,"&gt;="&amp;$B$1,Transactions!$A$2:$A$5000,"&lt;"&amp;$D$1,Transactions!$O$2:$O$5000,1))</f>
        <v>212</v>
      </c>
      <c r="K10" s="27">
        <f>IF(J10="","",IFERROR(J10/$J$20,0))</f>
        <v>0.07556908511502898</v>
      </c>
    </row>
    <row r="11" spans="1:11" x14ac:dyDescent="0.25">
      <c r="A11" s="6" t="str">
        <f>IFERROR(INDEX('Paramètres'!$M$10:$M$129,MATCH(8,'Référentiel'!$F$2:$F$121,0)),"")</f>
        <v/>
      </c>
      <c r="B11" s="11" t="str">
        <f>IF($A11="","",SUMIFS(Transactions!$K$2:$K$5000,Transactions!$D$2:$D$5000,$A11,Transactions!$L$2:$L$5000,"Crédit",Transactions!$P$2:$P$5000,0,Transactions!$A$2:$A$5000,"&gt;="&amp;$B$1,Transactions!$A$2:$A$5000,"&lt;"&amp;$D$1,Transactions!$O$2:$O$5000,1))</f>
        <v/>
      </c>
      <c r="E11" s="6" t="str">
        <f>IFERROR(INDEX('Paramètres'!$M$10:$M$129,MATCH(8,'Référentiel'!$G$2:$G$121,0)),"")</f>
        <v/>
      </c>
      <c r="F11" s="11" t="str">
        <f>IF($E11="","",SUMIFS(Transactions!$K$2:$K$5000,Transactions!$D$2:$D$5000,$E11,Transactions!$L$2:$L$5000,"Débit",Transactions!$A$2:$A$5000,"&gt;="&amp;$B$1,Transactions!$A$2:$A$5000,"&lt;"&amp;$D$1,Transactions!$O$2:$O$5000,1))</f>
        <v/>
      </c>
      <c r="I11" s="6" t="str">
        <f>IF('Paramètres'!$S$18="","",'Paramètres'!$S$18)</f>
        <v>Loisir</v>
      </c>
      <c r="J11" s="11">
        <f>IF($I11="","",SUMIFS(Transactions!$Q$2:$Q$5000,Transactions!$N$2:$N$5000,$I11,Transactions!$A$2:$A$5000,"&gt;="&amp;$B$1,Transactions!$A$2:$A$5000,"&lt;"&amp;$D$1,Transactions!$O$2:$O$5000,1))</f>
        <v>0</v>
      </c>
      <c r="K11" s="27">
        <f>IF(J11="","",IFERROR(J11/$J$20,0))</f>
        <v>0</v>
      </c>
    </row>
    <row r="12" spans="1:11" x14ac:dyDescent="0.25">
      <c r="A12" s="2" t="s">
        <v>288</v>
      </c>
      <c r="B12" s="11">
        <f>ROUND(B13-SUM(B4:B11),2)</f>
        <v>0</v>
      </c>
      <c r="E12" s="6" t="str">
        <f>IFERROR(INDEX('Paramètres'!$M$10:$M$129,MATCH(9,'Référentiel'!$G$2:$G$121,0)),"")</f>
        <v/>
      </c>
      <c r="F12" s="11" t="str">
        <f>IF($E12="","",SUMIFS(Transactions!$K$2:$K$5000,Transactions!$D$2:$D$5000,$E12,Transactions!$L$2:$L$5000,"Débit",Transactions!$A$2:$A$5000,"&gt;="&amp;$B$1,Transactions!$A$2:$A$5000,"&lt;"&amp;$D$1,Transactions!$O$2:$O$5000,1))</f>
        <v/>
      </c>
      <c r="I12" s="6" t="str">
        <f>IF('Paramètres'!$S$19="","",'Paramètres'!$S$19)</f>
        <v>Santé</v>
      </c>
      <c r="J12" s="11">
        <f>IF($I12="","",SUMIFS(Transactions!$Q$2:$Q$5000,Transactions!$N$2:$N$5000,$I12,Transactions!$A$2:$A$5000,"&gt;="&amp;$B$1,Transactions!$A$2:$A$5000,"&lt;"&amp;$D$1,Transactions!$O$2:$O$5000,1))</f>
        <v>64.08</v>
      </c>
      <c r="K12" s="27">
        <f>IF(J12="","",IFERROR(J12/$J$20,0))</f>
        <v>0.022841825349863475</v>
      </c>
    </row>
    <row r="13" spans="1:11" x14ac:dyDescent="0.25">
      <c r="A13" s="3" t="s">
        <v>289</v>
      </c>
      <c r="B13" s="26">
        <f>SUMPRODUCT((Transactions!$L$2:$L$5000="Crédit")*(Transactions!$P$2:$P$5000=0)*(Transactions!$O$2:$O$5000=1)*(Transactions!$A$2:$A$5000&gt;=$B$1)*(Transactions!$A$2:$A$5000&lt;$D$1)*(COUNTIFS('Paramètres'!$M$10:$M$129,Transactions!$D$2:$D$5000,'Paramètres'!$N$10:$N$129,"*transfert-interne*")=0),Transactions!$K$2:$K$5000)</f>
        <v>3056.42</v>
      </c>
      <c r="E13" s="28" t="s">
        <v>75</v>
      </c>
      <c r="F13" s="26">
        <f>IF($E$13="","",ROUND(IFERROR(INDEX('Paramètres'!$F:$F,MATCH($E$13,'Paramètres'!$D:$D,0))*1,0)+SUMIFS(Transactions!$R$2:$R$5000,Transactions!$C$2:$C$5000,$E$13,Transactions!$A$2:$A$5000,"&lt;"&amp;$D$1,Transactions!$O$2:$O$5000,1)+SUMIFS(Transactions!$T$2:$T$5000,Transactions!$S$2:$S$5000,$E$13,Transactions!$A$2:$A$5000,"&lt;"&amp;$D$1,Transactions!$O$2:$O$5000,1)+IF($E$13=CompteSorties,SUMIFS(Transactions!$U$2:$U$5000,Transactions!$A$2:$A$5000,"&lt;"&amp;$D$1,Transactions!$O$2:$O$5000,1),0),2))</f>
        <v>4974.78</v>
      </c>
      <c r="G13" s="25" t="s">
        <v>290</v>
      </c>
      <c r="I13" s="6" t="str">
        <f>IF('Paramètres'!$S$20="","",'Paramètres'!$S$20)</f>
        <v>Transport</v>
      </c>
      <c r="J13" s="11">
        <f>IF($I13="","",SUMIFS(Transactions!$Q$2:$Q$5000,Transactions!$N$2:$N$5000,$I13,Transactions!$A$2:$A$5000,"&gt;="&amp;$B$1,Transactions!$A$2:$A$5000,"&lt;"&amp;$D$1,Transactions!$O$2:$O$5000,1))</f>
        <v>205.77</v>
      </c>
      <c r="K13" s="27">
        <f>IF(J13="","",IFERROR(J13/$J$20,0))</f>
        <v>0.07334835209490337</v>
      </c>
    </row>
    <row r="14" spans="1:11" x14ac:dyDescent="0.25">
      <c r="A14" s="2" t="s">
        <v>291</v>
      </c>
      <c r="B14" s="11">
        <f>SUMIFS(Transactions!$U$2:$U$5000,Transactions!$A$2:$A$5000,"&gt;="&amp;$B$1,Transactions!$A$2:$A$5000,"&lt;"&amp;$D$1,Transactions!$O$2:$O$5000,1)</f>
        <v>0</v>
      </c>
      <c r="I14" s="6" t="str">
        <f>IF('Paramètres'!$S$21="","",'Paramètres'!$S$21)</f>
        <v/>
      </c>
      <c r="J14" s="11" t="str">
        <f>IF($I14="","",SUMIFS(Transactions!$Q$2:$Q$5000,Transactions!$N$2:$N$5000,$I14,Transactions!$A$2:$A$5000,"&gt;="&amp;$B$1,Transactions!$A$2:$A$5000,"&lt;"&amp;$D$1,Transactions!$O$2:$O$5000,1))</f>
        <v/>
      </c>
      <c r="K14" s="27" t="str">
        <f>IF(J14="","",IFERROR(J14/$J$20,0))</f>
        <v/>
      </c>
    </row>
    <row r="15" spans="5:11" x14ac:dyDescent="0.25">
      <c r="E15" s="20" t="s">
        <v>292</v>
      </c>
      <c r="F15" s="20" t="s">
        <v>1</v>
      </c>
      <c r="I15" s="6" t="str">
        <f>IF('Paramètres'!$S$22="","",'Paramètres'!$S$22)</f>
        <v/>
      </c>
      <c r="J15" s="11" t="str">
        <f>IF($I15="","",SUMIFS(Transactions!$Q$2:$Q$5000,Transactions!$N$2:$N$5000,$I15,Transactions!$A$2:$A$5000,"&gt;="&amp;$B$1,Transactions!$A$2:$A$5000,"&lt;"&amp;$D$1,Transactions!$O$2:$O$5000,1))</f>
        <v/>
      </c>
      <c r="K15" s="27" t="str">
        <f>IF(J15="","",IFERROR(J15/$J$20,0))</f>
        <v/>
      </c>
    </row>
    <row r="16" spans="1:11" x14ac:dyDescent="0.25">
      <c r="A16" s="20" t="s">
        <v>293</v>
      </c>
      <c r="B16" s="20" t="s">
        <v>44</v>
      </c>
      <c r="E16" s="2" t="s">
        <v>36</v>
      </c>
      <c r="F16" s="4"/>
      <c r="I16" s="6" t="str">
        <f>IF('Paramètres'!$S$23="","",'Paramètres'!$S$23)</f>
        <v/>
      </c>
      <c r="J16" s="11" t="str">
        <f>IF($I16="","",SUMIFS(Transactions!$Q$2:$Q$5000,Transactions!$N$2:$N$5000,$I16,Transactions!$A$2:$A$5000,"&gt;="&amp;$B$1,Transactions!$A$2:$A$5000,"&lt;"&amp;$D$1,Transactions!$O$2:$O$5000,1))</f>
        <v/>
      </c>
      <c r="K16" s="27" t="str">
        <f>IF(J16="","",IFERROR(J16/$J$20,0))</f>
        <v/>
      </c>
    </row>
    <row r="17" spans="1:11" x14ac:dyDescent="0.25">
      <c r="A17" s="3" t="s">
        <v>294</v>
      </c>
      <c r="B17" s="26">
        <f>SUMIFS(Transactions!$Q$2:$Q$5000,Transactions!$A$2:$A$5000,"&gt;="&amp;$B$1,Transactions!$A$2:$A$5000,"&lt;"&amp;$D$1,Transactions!$O$2:$O$5000,1)</f>
        <v>2805.38</v>
      </c>
      <c r="E17" s="2" t="s">
        <v>295</v>
      </c>
      <c r="F17" s="9"/>
      <c r="I17" s="6" t="str">
        <f>IF('Paramètres'!$S$24="","",'Paramètres'!$S$24)</f>
        <v/>
      </c>
      <c r="J17" s="11" t="str">
        <f>IF($I17="","",SUMIFS(Transactions!$Q$2:$Q$5000,Transactions!$N$2:$N$5000,$I17,Transactions!$A$2:$A$5000,"&gt;="&amp;$B$1,Transactions!$A$2:$A$5000,"&lt;"&amp;$D$1,Transactions!$O$2:$O$5000,1))</f>
        <v/>
      </c>
      <c r="K17" s="27" t="str">
        <f>IF(J17="","",IFERROR(J17/$J$20,0))</f>
        <v/>
      </c>
    </row>
    <row r="18" spans="1:11" x14ac:dyDescent="0.25">
      <c r="A18" s="6" t="str">
        <f>IFERROR(INDEX('Paramètres'!$D$10:$D$49,MATCH(1,'Référentiel'!$E$2:$E$41,0)),"")</f>
        <v>Banque A - Courant</v>
      </c>
      <c r="B18" s="11">
        <f>IF($A18="","",SUMIFS(Transactions!$Q$2:$Q$5000,Transactions!$C$2:$C$5000,$A18,Transactions!$A$2:$A$5000,"&gt;="&amp;$B$1,Transactions!$A$2:$A$5000,"&lt;"&amp;$D$1,Transactions!$O$2:$O$5000,1)+SUMPRODUCT(SUMIFS(Transactions!$Q$2:$Q$5000,Transactions!$C$2:$C$5000,'Paramètres'!$D$10:$D$49,Transactions!$A$2:$A$5000,"&gt;="&amp;$B$1,Transactions!$A$2:$A$5000,"&lt;"&amp;$D$1,Transactions!$O$2:$O$5000,1)*('Paramètres'!$H$10:$H$49=$A18)*('Paramètres'!$G$10:$G$49="non")))</f>
        <v>1320.42</v>
      </c>
      <c r="E18" s="2" t="s">
        <v>296</v>
      </c>
      <c r="F18" s="10"/>
      <c r="I18" s="2" t="s">
        <v>297</v>
      </c>
      <c r="J18" s="11">
        <f>SUMIFS(Transactions!$Q$2:$Q$5000,Transactions!$N$2:$N$5000,"",Transactions!$A$2:$A$5000,"&gt;="&amp;$B$1,Transactions!$A$2:$A$5000,"&lt;"&amp;$D$1,Transactions!$O$2:$O$5000,1)</f>
        <v>0</v>
      </c>
      <c r="K18" s="27">
        <f>IF(J18="","",IFERROR(J18/$J$20,0))</f>
        <v>0</v>
      </c>
    </row>
    <row r="19" spans="1:11" x14ac:dyDescent="0.25">
      <c r="A19" s="6" t="str">
        <f>IFERROR(INDEX('Paramètres'!$D$10:$D$49,MATCH(2,'Référentiel'!$E$2:$E$41,0)),"")</f>
        <v>Banque B - Courant</v>
      </c>
      <c r="B19" s="11">
        <f>IF($A19="","",SUMIFS(Transactions!$Q$2:$Q$5000,Transactions!$C$2:$C$5000,$A19,Transactions!$A$2:$A$5000,"&gt;="&amp;$B$1,Transactions!$A$2:$A$5000,"&lt;"&amp;$D$1,Transactions!$O$2:$O$5000,1)+SUMPRODUCT(SUMIFS(Transactions!$Q$2:$Q$5000,Transactions!$C$2:$C$5000,'Paramètres'!$D$10:$D$49,Transactions!$A$2:$A$5000,"&gt;="&amp;$B$1,Transactions!$A$2:$A$5000,"&lt;"&amp;$D$1,Transactions!$O$2:$O$5000,1)*('Paramètres'!$H$10:$H$49=$A19)*('Paramètres'!$G$10:$G$49="non")))</f>
        <v>0</v>
      </c>
      <c r="E19" s="2" t="s">
        <v>298</v>
      </c>
      <c r="F19" s="11" t="str">
        <f>IF(OR($F$16="",$F$17=""),"",ROUND(IFERROR(INDEX('Paramètres'!$F:$F,MATCH($F$16,'Paramètres'!$D:$D,0))*1,0)+SUMIFS(Transactions!$R$2:$R$5000,Transactions!$C$2:$C$5000,$F$16,Transactions!$A$2:$A$5000,"&lt;="&amp;$F$17,Transactions!$O$2:$O$5000,1)+SUMIFS(Transactions!$T$2:$T$5000,Transactions!$S$2:$S$5000,$F$16,Transactions!$A$2:$A$5000,"&lt;="&amp;$F$17,Transactions!$O$2:$O$5000,1)+IF($F$16=CompteSorties,SUMIFS(Transactions!$U$2:$U$5000,Transactions!$A$2:$A$5000,"&lt;="&amp;$F$17,Transactions!$O$2:$O$5000,1),0),2))</f>
        <v/>
      </c>
      <c r="I19" s="2" t="s">
        <v>299</v>
      </c>
      <c r="J19" s="11">
        <f>ROUND(J20-SUM(J3:J17)-J18,2)</f>
        <v>0</v>
      </c>
      <c r="K19" s="27">
        <f>IF(J19="","",IFERROR(J19/$J$20,0))</f>
        <v>0</v>
      </c>
    </row>
    <row r="20" spans="1:11" x14ac:dyDescent="0.25">
      <c r="A20" s="6" t="str">
        <f>IFERROR(INDEX('Paramètres'!$D$10:$D$49,MATCH(3,'Référentiel'!$E$2:$E$41,0)),"")</f>
        <v>Banque B - Compte joint</v>
      </c>
      <c r="B20" s="11">
        <f>IF($A20="","",SUMIFS(Transactions!$Q$2:$Q$5000,Transactions!$C$2:$C$5000,$A20,Transactions!$A$2:$A$5000,"&gt;="&amp;$B$1,Transactions!$A$2:$A$5000,"&lt;"&amp;$D$1,Transactions!$O$2:$O$5000,1)+SUMPRODUCT(SUMIFS(Transactions!$Q$2:$Q$5000,Transactions!$C$2:$C$5000,'Paramètres'!$D$10:$D$49,Transactions!$A$2:$A$5000,"&gt;="&amp;$B$1,Transactions!$A$2:$A$5000,"&lt;"&amp;$D$1,Transactions!$O$2:$O$5000,1)*('Paramètres'!$H$10:$H$49=$A20)*('Paramètres'!$G$10:$G$49="non")))</f>
        <v>192.58</v>
      </c>
      <c r="E20" s="2" t="s">
        <v>300</v>
      </c>
      <c r="F20" s="11" t="str">
        <f>IF(OR($F$18="",$F$19=""),"",ROUND($F$18-$F$19,2))</f>
        <v/>
      </c>
      <c r="I20" s="3" t="s">
        <v>301</v>
      </c>
      <c r="J20" s="26">
        <f>SUMIFS(Transactions!$Q$2:$Q$5000,Transactions!$A$2:$A$5000,"&gt;="&amp;$B$1,Transactions!$A$2:$A$5000,"&lt;"&amp;$D$1,Transactions!$O$2:$O$5000,1)</f>
        <v>2805.38</v>
      </c>
      <c r="K20" s="29">
        <f>IFERROR(J20/$J$20,0)</f>
        <v>1</v>
      </c>
    </row>
    <row r="21" spans="1:2" x14ac:dyDescent="0.25">
      <c r="A21" s="6" t="str">
        <f>IFERROR(INDEX('Paramètres'!$D$10:$D$49,MATCH(4,'Référentiel'!$E$2:$E$41,0)),"")</f>
        <v>Banque C - Compte joint</v>
      </c>
      <c r="B21" s="11">
        <f>IF($A21="","",SUMIFS(Transactions!$Q$2:$Q$5000,Transactions!$C$2:$C$5000,$A21,Transactions!$A$2:$A$5000,"&gt;="&amp;$B$1,Transactions!$A$2:$A$5000,"&lt;"&amp;$D$1,Transactions!$O$2:$O$5000,1)+SUMPRODUCT(SUMIFS(Transactions!$Q$2:$Q$5000,Transactions!$C$2:$C$5000,'Paramètres'!$D$10:$D$49,Transactions!$A$2:$A$5000,"&gt;="&amp;$B$1,Transactions!$A$2:$A$5000,"&lt;"&amp;$D$1,Transactions!$O$2:$O$5000,1)*('Paramètres'!$H$10:$H$49=$A21)*('Paramètres'!$G$10:$G$49="non")))</f>
        <v>1198.79</v>
      </c>
    </row>
    <row r="22" spans="1:2" x14ac:dyDescent="0.25">
      <c r="A22" s="6" t="str">
        <f>IFERROR(INDEX('Paramètres'!$D$10:$D$49,MATCH(5,'Référentiel'!$E$2:$E$41,0)),"")</f>
        <v>Titres-restaurant</v>
      </c>
      <c r="B22" s="11">
        <f>IF($A22="","",SUMIFS(Transactions!$Q$2:$Q$5000,Transactions!$C$2:$C$5000,$A22,Transactions!$A$2:$A$5000,"&gt;="&amp;$B$1,Transactions!$A$2:$A$5000,"&lt;"&amp;$D$1,Transactions!$O$2:$O$5000,1)+SUMPRODUCT(SUMIFS(Transactions!$Q$2:$Q$5000,Transactions!$C$2:$C$5000,'Paramètres'!$D$10:$D$49,Transactions!$A$2:$A$5000,"&gt;="&amp;$B$1,Transactions!$A$2:$A$5000,"&lt;"&amp;$D$1,Transactions!$O$2:$O$5000,1)*('Paramètres'!$H$10:$H$49=$A22)*('Paramètres'!$G$10:$G$49="non")))</f>
        <v>93.59</v>
      </c>
    </row>
    <row r="23" spans="1:2" x14ac:dyDescent="0.25">
      <c r="A23" s="6" t="str">
        <f>IFERROR(INDEX('Paramètres'!$D$10:$D$49,MATCH(6,'Référentiel'!$E$2:$E$41,0)),"")</f>
        <v/>
      </c>
      <c r="B23" s="11" t="str">
        <f>IF($A23="","",SUMIFS(Transactions!$Q$2:$Q$5000,Transactions!$C$2:$C$5000,$A23,Transactions!$A$2:$A$5000,"&gt;="&amp;$B$1,Transactions!$A$2:$A$5000,"&lt;"&amp;$D$1,Transactions!$O$2:$O$5000,1)+SUMPRODUCT(SUMIFS(Transactions!$Q$2:$Q$5000,Transactions!$C$2:$C$5000,'Paramètres'!$D$10:$D$49,Transactions!$A$2:$A$5000,"&gt;="&amp;$B$1,Transactions!$A$2:$A$5000,"&lt;"&amp;$D$1,Transactions!$O$2:$O$5000,1)*('Paramètres'!$H$10:$H$49=$A23)*('Paramètres'!$G$10:$G$49="non")))</f>
        <v/>
      </c>
    </row>
    <row r="24" spans="1:2" x14ac:dyDescent="0.25">
      <c r="A24" s="6" t="str">
        <f>IFERROR(INDEX('Paramètres'!$D$10:$D$49,MATCH(7,'Référentiel'!$E$2:$E$41,0)),"")</f>
        <v/>
      </c>
      <c r="B24" s="11" t="str">
        <f>IF($A24="","",SUMIFS(Transactions!$Q$2:$Q$5000,Transactions!$C$2:$C$5000,$A24,Transactions!$A$2:$A$5000,"&gt;="&amp;$B$1,Transactions!$A$2:$A$5000,"&lt;"&amp;$D$1,Transactions!$O$2:$O$5000,1)+SUMPRODUCT(SUMIFS(Transactions!$Q$2:$Q$5000,Transactions!$C$2:$C$5000,'Paramètres'!$D$10:$D$49,Transactions!$A$2:$A$5000,"&gt;="&amp;$B$1,Transactions!$A$2:$A$5000,"&lt;"&amp;$D$1,Transactions!$O$2:$O$5000,1)*('Paramètres'!$H$10:$H$49=$A24)*('Paramètres'!$G$10:$G$49="non")))</f>
        <v/>
      </c>
    </row>
    <row r="25" spans="1:2" x14ac:dyDescent="0.25">
      <c r="A25" s="6" t="str">
        <f>IFERROR(INDEX('Paramètres'!$D$10:$D$49,MATCH(8,'Référentiel'!$E$2:$E$41,0)),"")</f>
        <v/>
      </c>
      <c r="B25" s="11" t="str">
        <f>IF($A25="","",SUMIFS(Transactions!$Q$2:$Q$5000,Transactions!$C$2:$C$5000,$A25,Transactions!$A$2:$A$5000,"&gt;="&amp;$B$1,Transactions!$A$2:$A$5000,"&lt;"&amp;$D$1,Transactions!$O$2:$O$5000,1)+SUMPRODUCT(SUMIFS(Transactions!$Q$2:$Q$5000,Transactions!$C$2:$C$5000,'Paramètres'!$D$10:$D$49,Transactions!$A$2:$A$5000,"&gt;="&amp;$B$1,Transactions!$A$2:$A$5000,"&lt;"&amp;$D$1,Transactions!$O$2:$O$5000,1)*('Paramètres'!$H$10:$H$49=$A25)*('Paramètres'!$G$10:$G$49="non")))</f>
        <v/>
      </c>
    </row>
    <row r="26" spans="1:2" x14ac:dyDescent="0.25">
      <c r="A26" s="2" t="s">
        <v>302</v>
      </c>
      <c r="B26" s="11">
        <f>ROUND(B17-SUM(B18:B25),2)</f>
        <v>0</v>
      </c>
    </row>
    <row r="28" spans="1:3" x14ac:dyDescent="0.25">
      <c r="A28" s="3" t="s">
        <v>303</v>
      </c>
      <c r="B28" s="26">
        <f>ROUND($B$2-B17,2)</f>
        <v>10363.91</v>
      </c>
    </row>
    <row r="30" spans="1:5" x14ac:dyDescent="0.25">
      <c r="A30" s="20" t="s">
        <v>304</v>
      </c>
      <c r="B30" s="20" t="s">
        <v>305</v>
      </c>
      <c r="C30" s="20" t="s">
        <v>306</v>
      </c>
      <c r="D30" s="20" t="s">
        <v>307</v>
      </c>
      <c r="E30" s="20" t="s">
        <v>308</v>
      </c>
    </row>
    <row r="31" spans="1:5" x14ac:dyDescent="0.25">
      <c r="A31" s="6" t="str">
        <f>IFERROR(INDEX('Paramètres'!$D$10:$D$49,MATCH(1,'Référentiel'!$E$2:$E$41,0)),"")</f>
        <v>Banque A - Courant</v>
      </c>
      <c r="B31" s="11">
        <f>IF($A31="","",IFERROR(INDEX('Paramètres'!$F:$F,MATCH($A31,'Paramètres'!$D:$D,0))*1,0)+SUMIFS(Transactions!$R$2:$R$5000,Transactions!$C$2:$C$5000,$A31,Transactions!$A$2:$A$5000,"&lt;"&amp;$B$1,Transactions!$O$2:$O$5000,1)+SUMIFS(Transactions!$T$2:$T$5000,Transactions!$S$2:$S$5000,$A31,Transactions!$A$2:$A$5000,"&lt;"&amp;$B$1,Transactions!$O$2:$O$5000,1)+IF($A31=CompteSorties,SUMIFS(Transactions!$U$2:$U$5000,Transactions!$A$2:$A$5000,"&lt;"&amp;$B$1,Transactions!$O$2:$O$5000,1),0))</f>
        <v>4966.42</v>
      </c>
      <c r="C31" s="11">
        <f>IF($A31="","",IFERROR(INDEX('Paramètres'!$F:$F,MATCH($A31,'Paramètres'!$D:$D,0))*1,0)+SUMIFS(Transactions!$R$2:$R$5000,Transactions!$C$2:$C$5000,$A31,Transactions!$A$2:$A$5000,"&lt;"&amp;$D$1,Transactions!$O$2:$O$5000,1)+SUMIFS(Transactions!$T$2:$T$5000,Transactions!$S$2:$S$5000,$A31,Transactions!$A$2:$A$5000,"&lt;"&amp;$D$1,Transactions!$O$2:$O$5000,1)+IF($A31=CompteSorties,SUMIFS(Transactions!$U$2:$U$5000,Transactions!$A$2:$A$5000,"&lt;"&amp;$D$1,Transactions!$O$2:$O$5000,1),0))</f>
        <v>4974.78</v>
      </c>
      <c r="D31" s="11">
        <f>IF($A31="","",SUMIFS(Transactions!$K$2:$K$5000,Transactions!$C$2:$C$5000,$A31,Transactions!$L$2:$L$5000,"Crédit",Transactions!$A$2:$A$5000,"&gt;="&amp;$B$1,Transactions!$A$2:$A$5000,"&lt;"&amp;$D$1,Transactions!$O$2:$O$5000,1))</f>
        <v>2938.78</v>
      </c>
      <c r="E31" s="11">
        <f>IF($A31="","",ROUND(C31*2,2))</f>
        <v>9949.56</v>
      </c>
    </row>
    <row r="32" spans="1:5" x14ac:dyDescent="0.25">
      <c r="A32" s="6" t="str">
        <f>IFERROR(INDEX('Paramètres'!$D$10:$D$49,MATCH(2,'Référentiel'!$E$2:$E$41,0)),"")</f>
        <v>Banque B - Courant</v>
      </c>
      <c r="B32" s="11">
        <f>IF($A32="","",IFERROR(INDEX('Paramètres'!$F:$F,MATCH($A32,'Paramètres'!$D:$D,0))*1,0)+SUMIFS(Transactions!$R$2:$R$5000,Transactions!$C$2:$C$5000,$A32,Transactions!$A$2:$A$5000,"&lt;"&amp;$B$1,Transactions!$O$2:$O$5000,1)+SUMIFS(Transactions!$T$2:$T$5000,Transactions!$S$2:$S$5000,$A32,Transactions!$A$2:$A$5000,"&lt;"&amp;$B$1,Transactions!$O$2:$O$5000,1)+IF($A32=CompteSorties,SUMIFS(Transactions!$U$2:$U$5000,Transactions!$A$2:$A$5000,"&lt;"&amp;$B$1,Transactions!$O$2:$O$5000,1),0))</f>
        <v>1562.33</v>
      </c>
      <c r="C32" s="11">
        <f>IF($A32="","",IFERROR(INDEX('Paramètres'!$F:$F,MATCH($A32,'Paramètres'!$D:$D,0))*1,0)+SUMIFS(Transactions!$R$2:$R$5000,Transactions!$C$2:$C$5000,$A32,Transactions!$A$2:$A$5000,"&lt;"&amp;$D$1,Transactions!$O$2:$O$5000,1)+SUMIFS(Transactions!$T$2:$T$5000,Transactions!$S$2:$S$5000,$A32,Transactions!$A$2:$A$5000,"&lt;"&amp;$D$1,Transactions!$O$2:$O$5000,1)+IF($A32=CompteSorties,SUMIFS(Transactions!$U$2:$U$5000,Transactions!$A$2:$A$5000,"&lt;"&amp;$D$1,Transactions!$O$2:$O$5000,1),0))</f>
        <v>1562.33</v>
      </c>
      <c r="D32" s="11">
        <f>IF($A32="","",SUMIFS(Transactions!$K$2:$K$5000,Transactions!$C$2:$C$5000,$A32,Transactions!$L$2:$L$5000,"Crédit",Transactions!$A$2:$A$5000,"&gt;="&amp;$B$1,Transactions!$A$2:$A$5000,"&lt;"&amp;$D$1,Transactions!$O$2:$O$5000,1))</f>
        <v>0</v>
      </c>
      <c r="E32" s="11">
        <f>IF($A32="","",ROUND(C32*2,2))</f>
        <v>3124.66</v>
      </c>
    </row>
    <row r="33" spans="1:5" x14ac:dyDescent="0.25">
      <c r="A33" s="6" t="str">
        <f>IFERROR(INDEX('Paramètres'!$D$10:$D$49,MATCH(3,'Référentiel'!$E$2:$E$41,0)),"")</f>
        <v>Banque B - Compte joint</v>
      </c>
      <c r="B33" s="11">
        <f>IF($A33="","",IFERROR(INDEX('Paramètres'!$F:$F,MATCH($A33,'Paramètres'!$D:$D,0))*1,0)+SUMIFS(Transactions!$R$2:$R$5000,Transactions!$C$2:$C$5000,$A33,Transactions!$A$2:$A$5000,"&lt;"&amp;$B$1,Transactions!$O$2:$O$5000,1)+SUMIFS(Transactions!$T$2:$T$5000,Transactions!$S$2:$S$5000,$A33,Transactions!$A$2:$A$5000,"&lt;"&amp;$B$1,Transactions!$O$2:$O$5000,1)+IF($A33=CompteSorties,SUMIFS(Transactions!$U$2:$U$5000,Transactions!$A$2:$A$5000,"&lt;"&amp;$B$1,Transactions!$O$2:$O$5000,1),0))</f>
        <v>1311.14</v>
      </c>
      <c r="C33" s="11">
        <f>IF($A33="","",IFERROR(INDEX('Paramètres'!$F:$F,MATCH($A33,'Paramètres'!$D:$D,0))*1,0)+SUMIFS(Transactions!$R$2:$R$5000,Transactions!$C$2:$C$5000,$A33,Transactions!$A$2:$A$5000,"&lt;"&amp;$D$1,Transactions!$O$2:$O$5000,1)+SUMIFS(Transactions!$T$2:$T$5000,Transactions!$S$2:$S$5000,$A33,Transactions!$A$2:$A$5000,"&lt;"&amp;$D$1,Transactions!$O$2:$O$5000,1)+IF($A33=CompteSorties,SUMIFS(Transactions!$U$2:$U$5000,Transactions!$A$2:$A$5000,"&lt;"&amp;$D$1,Transactions!$O$2:$O$5000,1),0))</f>
        <v>1418.56</v>
      </c>
      <c r="D33" s="11">
        <f>IF($A33="","",SUMIFS(Transactions!$K$2:$K$5000,Transactions!$C$2:$C$5000,$A33,Transactions!$L$2:$L$5000,"Crédit",Transactions!$A$2:$A$5000,"&gt;="&amp;$B$1,Transactions!$A$2:$A$5000,"&lt;"&amp;$D$1,Transactions!$O$2:$O$5000,1))</f>
        <v>300</v>
      </c>
      <c r="E33" s="11">
        <f>IF($A33="","",ROUND(C33*2,2))</f>
        <v>2837.12</v>
      </c>
    </row>
    <row r="34" spans="1:5" x14ac:dyDescent="0.25">
      <c r="A34" s="6" t="str">
        <f>IFERROR(INDEX('Paramètres'!$D$10:$D$49,MATCH(4,'Référentiel'!$E$2:$E$41,0)),"")</f>
        <v>Banque C - Compte joint</v>
      </c>
      <c r="B34" s="11">
        <f>IF($A34="","",IFERROR(INDEX('Paramètres'!$F:$F,MATCH($A34,'Paramètres'!$D:$D,0))*1,0)+SUMIFS(Transactions!$R$2:$R$5000,Transactions!$C$2:$C$5000,$A34,Transactions!$A$2:$A$5000,"&lt;"&amp;$B$1,Transactions!$O$2:$O$5000,1)+SUMIFS(Transactions!$T$2:$T$5000,Transactions!$S$2:$S$5000,$A34,Transactions!$A$2:$A$5000,"&lt;"&amp;$B$1,Transactions!$O$2:$O$5000,1)+IF($A34=CompteSorties,SUMIFS(Transactions!$U$2:$U$5000,Transactions!$A$2:$A$5000,"&lt;"&amp;$B$1,Transactions!$O$2:$O$5000,1),0))</f>
        <v>1116.09</v>
      </c>
      <c r="C34" s="11">
        <f>IF($A34="","",IFERROR(INDEX('Paramètres'!$F:$F,MATCH($A34,'Paramètres'!$D:$D,0))*1,0)+SUMIFS(Transactions!$R$2:$R$5000,Transactions!$C$2:$C$5000,$A34,Transactions!$A$2:$A$5000,"&lt;"&amp;$D$1,Transactions!$O$2:$O$5000,1)+SUMIFS(Transactions!$T$2:$T$5000,Transactions!$S$2:$S$5000,$A34,Transactions!$A$2:$A$5000,"&lt;"&amp;$D$1,Transactions!$O$2:$O$5000,1)+IF($A34=CompteSorties,SUMIFS(Transactions!$U$2:$U$5000,Transactions!$A$2:$A$5000,"&lt;"&amp;$D$1,Transactions!$O$2:$O$5000,1),0))</f>
        <v>1077.3</v>
      </c>
      <c r="D34" s="11">
        <f>IF($A34="","",SUMIFS(Transactions!$K$2:$K$5000,Transactions!$C$2:$C$5000,$A34,Transactions!$L$2:$L$5000,"Crédit",Transactions!$A$2:$A$5000,"&gt;="&amp;$B$1,Transactions!$A$2:$A$5000,"&lt;"&amp;$D$1,Transactions!$O$2:$O$5000,1))</f>
        <v>1160</v>
      </c>
      <c r="E34" s="11">
        <f>IF($A34="","",ROUND(C34*2,2))</f>
        <v>2154.6</v>
      </c>
    </row>
    <row r="35" spans="1:5" x14ac:dyDescent="0.25">
      <c r="A35" s="6" t="str">
        <f>IFERROR(INDEX('Paramètres'!$D$10:$D$49,MATCH(5,'Référentiel'!$E$2:$E$41,0)),"")</f>
        <v>Titres-restaurant</v>
      </c>
      <c r="B35" s="11">
        <f>IF($A35="","",IFERROR(INDEX('Paramètres'!$F:$F,MATCH($A35,'Paramètres'!$D:$D,0))*1,0)+SUMIFS(Transactions!$R$2:$R$5000,Transactions!$C$2:$C$5000,$A35,Transactions!$A$2:$A$5000,"&lt;"&amp;$B$1,Transactions!$O$2:$O$5000,1)+SUMIFS(Transactions!$T$2:$T$5000,Transactions!$S$2:$S$5000,$A35,Transactions!$A$2:$A$5000,"&lt;"&amp;$B$1,Transactions!$O$2:$O$5000,1)+IF($A35=CompteSorties,SUMIFS(Transactions!$U$2:$U$5000,Transactions!$A$2:$A$5000,"&lt;"&amp;$B$1,Transactions!$O$2:$O$5000,1),0))</f>
        <v>1156.89</v>
      </c>
      <c r="C35" s="11">
        <f>IF($A35="","",IFERROR(INDEX('Paramètres'!$F:$F,MATCH($A35,'Paramètres'!$D:$D,0))*1,0)+SUMIFS(Transactions!$R$2:$R$5000,Transactions!$C$2:$C$5000,$A35,Transactions!$A$2:$A$5000,"&lt;"&amp;$D$1,Transactions!$O$2:$O$5000,1)+SUMIFS(Transactions!$T$2:$T$5000,Transactions!$S$2:$S$5000,$A35,Transactions!$A$2:$A$5000,"&lt;"&amp;$D$1,Transactions!$O$2:$O$5000,1)+IF($A35=CompteSorties,SUMIFS(Transactions!$U$2:$U$5000,Transactions!$A$2:$A$5000,"&lt;"&amp;$D$1,Transactions!$O$2:$O$5000,1),0))</f>
        <v>1180.94</v>
      </c>
      <c r="D35" s="11">
        <f>IF($A35="","",SUMIFS(Transactions!$K$2:$K$5000,Transactions!$C$2:$C$5000,$A35,Transactions!$L$2:$L$5000,"Crédit",Transactions!$A$2:$A$5000,"&gt;="&amp;$B$1,Transactions!$A$2:$A$5000,"&lt;"&amp;$D$1,Transactions!$O$2:$O$5000,1))</f>
        <v>117.64</v>
      </c>
      <c r="E35" s="11">
        <f>IF($A35="","",ROUND(C35*2,2))</f>
        <v>2361.88</v>
      </c>
    </row>
    <row r="36" spans="1:5" x14ac:dyDescent="0.25">
      <c r="A36" s="6" t="str">
        <f>IFERROR(INDEX('Paramètres'!$D$10:$D$49,MATCH(6,'Référentiel'!$E$2:$E$41,0)),"")</f>
        <v/>
      </c>
      <c r="B36" s="11" t="str">
        <f>IF($A36="","",IFERROR(INDEX('Paramètres'!$F:$F,MATCH($A36,'Paramètres'!$D:$D,0))*1,0)+SUMIFS(Transactions!$R$2:$R$5000,Transactions!$C$2:$C$5000,$A36,Transactions!$A$2:$A$5000,"&lt;"&amp;$B$1,Transactions!$O$2:$O$5000,1)+SUMIFS(Transactions!$T$2:$T$5000,Transactions!$S$2:$S$5000,$A36,Transactions!$A$2:$A$5000,"&lt;"&amp;$B$1,Transactions!$O$2:$O$5000,1)+IF($A36=CompteSorties,SUMIFS(Transactions!$U$2:$U$5000,Transactions!$A$2:$A$5000,"&lt;"&amp;$B$1,Transactions!$O$2:$O$5000,1),0))</f>
        <v/>
      </c>
      <c r="C36" s="11" t="str">
        <f>IF($A36="","",IFERROR(INDEX('Paramètres'!$F:$F,MATCH($A36,'Paramètres'!$D:$D,0))*1,0)+SUMIFS(Transactions!$R$2:$R$5000,Transactions!$C$2:$C$5000,$A36,Transactions!$A$2:$A$5000,"&lt;"&amp;$D$1,Transactions!$O$2:$O$5000,1)+SUMIFS(Transactions!$T$2:$T$5000,Transactions!$S$2:$S$5000,$A36,Transactions!$A$2:$A$5000,"&lt;"&amp;$D$1,Transactions!$O$2:$O$5000,1)+IF($A36=CompteSorties,SUMIFS(Transactions!$U$2:$U$5000,Transactions!$A$2:$A$5000,"&lt;"&amp;$D$1,Transactions!$O$2:$O$5000,1),0))</f>
        <v/>
      </c>
      <c r="D36" s="11" t="str">
        <f>IF($A36="","",SUMIFS(Transactions!$K$2:$K$5000,Transactions!$C$2:$C$5000,$A36,Transactions!$L$2:$L$5000,"Crédit",Transactions!$A$2:$A$5000,"&gt;="&amp;$B$1,Transactions!$A$2:$A$5000,"&lt;"&amp;$D$1,Transactions!$O$2:$O$5000,1))</f>
        <v/>
      </c>
      <c r="E36" s="11" t="str">
        <f>IF($A36="","",ROUND(C36*2,2))</f>
        <v/>
      </c>
    </row>
    <row r="37" spans="1:5" x14ac:dyDescent="0.25">
      <c r="A37" s="6" t="str">
        <f>IFERROR(INDEX('Paramètres'!$D$10:$D$49,MATCH(7,'Référentiel'!$E$2:$E$41,0)),"")</f>
        <v/>
      </c>
      <c r="B37" s="11" t="str">
        <f>IF($A37="","",IFERROR(INDEX('Paramètres'!$F:$F,MATCH($A37,'Paramètres'!$D:$D,0))*1,0)+SUMIFS(Transactions!$R$2:$R$5000,Transactions!$C$2:$C$5000,$A37,Transactions!$A$2:$A$5000,"&lt;"&amp;$B$1,Transactions!$O$2:$O$5000,1)+SUMIFS(Transactions!$T$2:$T$5000,Transactions!$S$2:$S$5000,$A37,Transactions!$A$2:$A$5000,"&lt;"&amp;$B$1,Transactions!$O$2:$O$5000,1)+IF($A37=CompteSorties,SUMIFS(Transactions!$U$2:$U$5000,Transactions!$A$2:$A$5000,"&lt;"&amp;$B$1,Transactions!$O$2:$O$5000,1),0))</f>
        <v/>
      </c>
      <c r="C37" s="11" t="str">
        <f>IF($A37="","",IFERROR(INDEX('Paramètres'!$F:$F,MATCH($A37,'Paramètres'!$D:$D,0))*1,0)+SUMIFS(Transactions!$R$2:$R$5000,Transactions!$C$2:$C$5000,$A37,Transactions!$A$2:$A$5000,"&lt;"&amp;$D$1,Transactions!$O$2:$O$5000,1)+SUMIFS(Transactions!$T$2:$T$5000,Transactions!$S$2:$S$5000,$A37,Transactions!$A$2:$A$5000,"&lt;"&amp;$D$1,Transactions!$O$2:$O$5000,1)+IF($A37=CompteSorties,SUMIFS(Transactions!$U$2:$U$5000,Transactions!$A$2:$A$5000,"&lt;"&amp;$D$1,Transactions!$O$2:$O$5000,1),0))</f>
        <v/>
      </c>
      <c r="D37" s="11" t="str">
        <f>IF($A37="","",SUMIFS(Transactions!$K$2:$K$5000,Transactions!$C$2:$C$5000,$A37,Transactions!$L$2:$L$5000,"Crédit",Transactions!$A$2:$A$5000,"&gt;="&amp;$B$1,Transactions!$A$2:$A$5000,"&lt;"&amp;$D$1,Transactions!$O$2:$O$5000,1))</f>
        <v/>
      </c>
      <c r="E37" s="11" t="str">
        <f>IF($A37="","",ROUND(C37*2,2))</f>
        <v/>
      </c>
    </row>
    <row r="38" spans="1:5" x14ac:dyDescent="0.25">
      <c r="A38" s="6" t="str">
        <f>IFERROR(INDEX('Paramètres'!$D$10:$D$49,MATCH(8,'Référentiel'!$E$2:$E$41,0)),"")</f>
        <v/>
      </c>
      <c r="B38" s="11" t="str">
        <f>IF($A38="","",IFERROR(INDEX('Paramètres'!$F:$F,MATCH($A38,'Paramètres'!$D:$D,0))*1,0)+SUMIFS(Transactions!$R$2:$R$5000,Transactions!$C$2:$C$5000,$A38,Transactions!$A$2:$A$5000,"&lt;"&amp;$B$1,Transactions!$O$2:$O$5000,1)+SUMIFS(Transactions!$T$2:$T$5000,Transactions!$S$2:$S$5000,$A38,Transactions!$A$2:$A$5000,"&lt;"&amp;$B$1,Transactions!$O$2:$O$5000,1)+IF($A38=CompteSorties,SUMIFS(Transactions!$U$2:$U$5000,Transactions!$A$2:$A$5000,"&lt;"&amp;$B$1,Transactions!$O$2:$O$5000,1),0))</f>
        <v/>
      </c>
      <c r="C38" s="11" t="str">
        <f>IF($A38="","",IFERROR(INDEX('Paramètres'!$F:$F,MATCH($A38,'Paramètres'!$D:$D,0))*1,0)+SUMIFS(Transactions!$R$2:$R$5000,Transactions!$C$2:$C$5000,$A38,Transactions!$A$2:$A$5000,"&lt;"&amp;$D$1,Transactions!$O$2:$O$5000,1)+SUMIFS(Transactions!$T$2:$T$5000,Transactions!$S$2:$S$5000,$A38,Transactions!$A$2:$A$5000,"&lt;"&amp;$D$1,Transactions!$O$2:$O$5000,1)+IF($A38=CompteSorties,SUMIFS(Transactions!$U$2:$U$5000,Transactions!$A$2:$A$5000,"&lt;"&amp;$D$1,Transactions!$O$2:$O$5000,1),0))</f>
        <v/>
      </c>
      <c r="D38" s="11" t="str">
        <f>IF($A38="","",SUMIFS(Transactions!$K$2:$K$5000,Transactions!$C$2:$C$5000,$A38,Transactions!$L$2:$L$5000,"Crédit",Transactions!$A$2:$A$5000,"&gt;="&amp;$B$1,Transactions!$A$2:$A$5000,"&lt;"&amp;$D$1,Transactions!$O$2:$O$5000,1))</f>
        <v/>
      </c>
      <c r="E38" s="11" t="str">
        <f>IF($A38="","",ROUND(C38*2,2))</f>
        <v/>
      </c>
    </row>
    <row r="39" spans="1:5" x14ac:dyDescent="0.25">
      <c r="A39" s="3" t="s">
        <v>309</v>
      </c>
      <c r="B39" s="26">
        <f>SUM(B31:B38)</f>
        <v>10112.87</v>
      </c>
      <c r="C39" s="26">
        <f>SUM(C31:C38)</f>
        <v>10213.91</v>
      </c>
      <c r="D39" s="11">
        <f>SUM(D31:D38)</f>
        <v>4516.42</v>
      </c>
      <c r="E39" s="11">
        <f>SUM(E31:E38)</f>
        <v>20427.82</v>
      </c>
    </row>
    <row r="41" spans="1:18" x14ac:dyDescent="0.25">
      <c r="A41" s="20" t="s">
        <v>310</v>
      </c>
      <c r="B41" s="30" t="str">
        <f>IFERROR(INDEX('Paramètres'!$D$10:$D$49,MATCH(1,'Référentiel'!$H$2:$H$41,0)),"")</f>
        <v>Banque A - Courant</v>
      </c>
      <c r="C41" s="30" t="str">
        <f>IFERROR(INDEX('Paramètres'!$D$10:$D$49,MATCH(2,'Référentiel'!$H$2:$H$41,0)),"")</f>
        <v>Banque A - Part commune</v>
      </c>
      <c r="D41" s="30" t="str">
        <f>IFERROR(INDEX('Paramètres'!$D$10:$D$49,MATCH(3,'Référentiel'!$H$2:$H$41,0)),"")</f>
        <v>Appli partagée - Part commune</v>
      </c>
      <c r="E41" s="30" t="str">
        <f>IFERROR(INDEX('Paramètres'!$D$10:$D$49,MATCH(4,'Référentiel'!$H$2:$H$41,0)),"")</f>
        <v>Banque B - Courant</v>
      </c>
      <c r="F41" s="30" t="str">
        <f>IFERROR(INDEX('Paramètres'!$D$10:$D$49,MATCH(5,'Référentiel'!$H$2:$H$41,0)),"")</f>
        <v>Banque B - Compte joint</v>
      </c>
      <c r="G41" s="30" t="str">
        <f>IFERROR(INDEX('Paramètres'!$D$10:$D$49,MATCH(6,'Référentiel'!$H$2:$H$41,0)),"")</f>
        <v>Banque C - Compte joint</v>
      </c>
      <c r="H41" s="30" t="str">
        <f>IFERROR(INDEX('Paramètres'!$D$10:$D$49,MATCH(7,'Référentiel'!$H$2:$H$41,0)),"")</f>
        <v>Titres-restaurant</v>
      </c>
      <c r="I41" s="30" t="str">
        <f>IFERROR(INDEX('Paramètres'!$D$10:$D$49,MATCH(8,'Référentiel'!$H$2:$H$41,0)),"")</f>
        <v>Épargne hors suivi</v>
      </c>
      <c r="J41" s="30" t="str">
        <f>IFERROR(INDEX('Paramètres'!$D$10:$D$49,MATCH(9,'Référentiel'!$H$2:$H$41,0)),"")</f>
        <v/>
      </c>
      <c r="K41" s="30" t="str">
        <f>IFERROR(INDEX('Paramètres'!$D$10:$D$49,MATCH(10,'Référentiel'!$H$2:$H$41,0)),"")</f>
        <v/>
      </c>
      <c r="L41" s="20" t="s">
        <v>309</v>
      </c>
      <c r="M41" s="20" t="s">
        <v>285</v>
      </c>
      <c r="N41" s="20" t="s">
        <v>311</v>
      </c>
      <c r="O41" s="20" t="s">
        <v>201</v>
      </c>
      <c r="P41" s="20" t="s">
        <v>235</v>
      </c>
      <c r="Q41" s="20" t="s">
        <v>228</v>
      </c>
      <c r="R41" s="20" t="s">
        <v>47</v>
      </c>
    </row>
    <row r="42" spans="1:14" x14ac:dyDescent="0.25">
      <c r="A42" s="3" t="s">
        <v>312</v>
      </c>
      <c r="B42" s="26">
        <f>IF(B$41="","",SUMIFS(Transactions!$Q$2:$Q$5000,Transactions!$C$2:$C$5000,B$41,Transactions!$A$2:$A$5000,"&gt;="&amp;$B$1,Transactions!$A$2:$A$5000,"&lt;"&amp;$D$1,Transactions!$O$2:$O$5000,1))</f>
        <v>990.96</v>
      </c>
      <c r="C42" s="26">
        <f>IF(C$41="","",SUMIFS(Transactions!$Q$2:$Q$5000,Transactions!$C$2:$C$5000,C$41,Transactions!$A$2:$A$5000,"&gt;="&amp;$B$1,Transactions!$A$2:$A$5000,"&lt;"&amp;$D$1,Transactions!$O$2:$O$5000,1))</f>
        <v>304.21</v>
      </c>
      <c r="D42" s="26">
        <f>IF(D$41="","",SUMIFS(Transactions!$Q$2:$Q$5000,Transactions!$C$2:$C$5000,D$41,Transactions!$A$2:$A$5000,"&gt;="&amp;$B$1,Transactions!$A$2:$A$5000,"&lt;"&amp;$D$1,Transactions!$O$2:$O$5000,1))</f>
        <v>25.25</v>
      </c>
      <c r="E42" s="26">
        <f>IF(E$41="","",SUMIFS(Transactions!$Q$2:$Q$5000,Transactions!$C$2:$C$5000,E$41,Transactions!$A$2:$A$5000,"&gt;="&amp;$B$1,Transactions!$A$2:$A$5000,"&lt;"&amp;$D$1,Transactions!$O$2:$O$5000,1))</f>
        <v>0</v>
      </c>
      <c r="F42" s="26">
        <f>IF(F$41="","",SUMIFS(Transactions!$Q$2:$Q$5000,Transactions!$C$2:$C$5000,F$41,Transactions!$A$2:$A$5000,"&gt;="&amp;$B$1,Transactions!$A$2:$A$5000,"&lt;"&amp;$D$1,Transactions!$O$2:$O$5000,1))</f>
        <v>192.58</v>
      </c>
      <c r="G42" s="26">
        <f>IF(G$41="","",SUMIFS(Transactions!$Q$2:$Q$5000,Transactions!$C$2:$C$5000,G$41,Transactions!$A$2:$A$5000,"&gt;="&amp;$B$1,Transactions!$A$2:$A$5000,"&lt;"&amp;$D$1,Transactions!$O$2:$O$5000,1))</f>
        <v>1198.79</v>
      </c>
      <c r="H42" s="26">
        <f>IF(H$41="","",SUMIFS(Transactions!$Q$2:$Q$5000,Transactions!$C$2:$C$5000,H$41,Transactions!$A$2:$A$5000,"&gt;="&amp;$B$1,Transactions!$A$2:$A$5000,"&lt;"&amp;$D$1,Transactions!$O$2:$O$5000,1))</f>
        <v>93.59</v>
      </c>
      <c r="I42" s="26">
        <f>IF(I$41="","",SUMIFS(Transactions!$Q$2:$Q$5000,Transactions!$C$2:$C$5000,I$41,Transactions!$A$2:$A$5000,"&gt;="&amp;$B$1,Transactions!$A$2:$A$5000,"&lt;"&amp;$D$1,Transactions!$O$2:$O$5000,1))</f>
        <v>0</v>
      </c>
      <c r="J42" s="26" t="str">
        <f>IF(J$41="","",SUMIFS(Transactions!$Q$2:$Q$5000,Transactions!$C$2:$C$5000,J$41,Transactions!$A$2:$A$5000,"&gt;="&amp;$B$1,Transactions!$A$2:$A$5000,"&lt;"&amp;$D$1,Transactions!$O$2:$O$5000,1))</f>
        <v/>
      </c>
      <c r="K42" s="26" t="str">
        <f>IF(K$41="","",SUMIFS(Transactions!$Q$2:$Q$5000,Transactions!$C$2:$C$5000,K$41,Transactions!$A$2:$A$5000,"&gt;="&amp;$B$1,Transactions!$A$2:$A$5000,"&lt;"&amp;$D$1,Transactions!$O$2:$O$5000,1))</f>
        <v/>
      </c>
      <c r="L42" s="26">
        <f>SUMIFS(Transactions!$Q$2:$Q$5000,Transactions!$A$2:$A$5000,"&gt;="&amp;$B$1,Transactions!$A$2:$A$5000,"&lt;"&amp;$D$1,Transactions!$O$2:$O$5000,1)</f>
        <v>2805.38</v>
      </c>
      <c r="M42" s="27">
        <f>IFERROR(L42/L42,0)</f>
        <v>1</v>
      </c>
      <c r="N42" s="6">
        <f>SUM(N43:N103)</f>
        <v>36</v>
      </c>
    </row>
    <row r="43" spans="1:18" x14ac:dyDescent="0.25">
      <c r="A43" s="6" t="str">
        <f>IFERROR(INDEX('Paramètres'!$M$10:$M$129,MATCH(1,'Référentiel'!$L$2:$L$121,0)),"")</f>
        <v>Abonnement transport</v>
      </c>
      <c r="B43" s="11">
        <f>IF(OR($A43="",B$41=""),"",SUMIFS(Transactions!$Q$2:$Q$5000,Transactions!$D$2:$D$5000,$A43,Transactions!$C$2:$C$5000,B$41,Transactions!$A$2:$A$5000,"&gt;="&amp;$B$1,Transactions!$A$2:$A$5000,"&lt;"&amp;$D$1,Transactions!$O$2:$O$5000,1))</f>
        <v>88.8</v>
      </c>
      <c r="C43" s="11">
        <f>IF(OR($A43="",C$41=""),"",SUMIFS(Transactions!$Q$2:$Q$5000,Transactions!$D$2:$D$5000,$A43,Transactions!$C$2:$C$5000,C$41,Transactions!$A$2:$A$5000,"&gt;="&amp;$B$1,Transactions!$A$2:$A$5000,"&lt;"&amp;$D$1,Transactions!$O$2:$O$5000,1))</f>
        <v>0</v>
      </c>
      <c r="D43" s="11">
        <f>IF(OR($A43="",D$41=""),"",SUMIFS(Transactions!$Q$2:$Q$5000,Transactions!$D$2:$D$5000,$A43,Transactions!$C$2:$C$5000,D$41,Transactions!$A$2:$A$5000,"&gt;="&amp;$B$1,Transactions!$A$2:$A$5000,"&lt;"&amp;$D$1,Transactions!$O$2:$O$5000,1))</f>
        <v>0</v>
      </c>
      <c r="E43" s="11">
        <f>IF(OR($A43="",E$41=""),"",SUMIFS(Transactions!$Q$2:$Q$5000,Transactions!$D$2:$D$5000,$A43,Transactions!$C$2:$C$5000,E$41,Transactions!$A$2:$A$5000,"&gt;="&amp;$B$1,Transactions!$A$2:$A$5000,"&lt;"&amp;$D$1,Transactions!$O$2:$O$5000,1))</f>
        <v>0</v>
      </c>
      <c r="F43" s="11">
        <f>IF(OR($A43="",F$41=""),"",SUMIFS(Transactions!$Q$2:$Q$5000,Transactions!$D$2:$D$5000,$A43,Transactions!$C$2:$C$5000,F$41,Transactions!$A$2:$A$5000,"&gt;="&amp;$B$1,Transactions!$A$2:$A$5000,"&lt;"&amp;$D$1,Transactions!$O$2:$O$5000,1))</f>
        <v>0</v>
      </c>
      <c r="G43" s="11">
        <f>IF(OR($A43="",G$41=""),"",SUMIFS(Transactions!$Q$2:$Q$5000,Transactions!$D$2:$D$5000,$A43,Transactions!$C$2:$C$5000,G$41,Transactions!$A$2:$A$5000,"&gt;="&amp;$B$1,Transactions!$A$2:$A$5000,"&lt;"&amp;$D$1,Transactions!$O$2:$O$5000,1))</f>
        <v>0</v>
      </c>
      <c r="H43" s="11">
        <f>IF(OR($A43="",H$41=""),"",SUMIFS(Transactions!$Q$2:$Q$5000,Transactions!$D$2:$D$5000,$A43,Transactions!$C$2:$C$5000,H$41,Transactions!$A$2:$A$5000,"&gt;="&amp;$B$1,Transactions!$A$2:$A$5000,"&lt;"&amp;$D$1,Transactions!$O$2:$O$5000,1))</f>
        <v>0</v>
      </c>
      <c r="I43" s="11">
        <f>IF(OR($A43="",I$41=""),"",SUMIFS(Transactions!$Q$2:$Q$5000,Transactions!$D$2:$D$5000,$A43,Transactions!$C$2:$C$5000,I$41,Transactions!$A$2:$A$5000,"&gt;="&amp;$B$1,Transactions!$A$2:$A$5000,"&lt;"&amp;$D$1,Transactions!$O$2:$O$5000,1))</f>
        <v>0</v>
      </c>
      <c r="J43" s="11" t="str">
        <f>IF(OR($A43="",J$41=""),"",SUMIFS(Transactions!$Q$2:$Q$5000,Transactions!$D$2:$D$5000,$A43,Transactions!$C$2:$C$5000,J$41,Transactions!$A$2:$A$5000,"&gt;="&amp;$B$1,Transactions!$A$2:$A$5000,"&lt;"&amp;$D$1,Transactions!$O$2:$O$5000,1))</f>
        <v/>
      </c>
      <c r="K43" s="11" t="str">
        <f>IF(OR($A43="",K$41=""),"",SUMIFS(Transactions!$Q$2:$Q$5000,Transactions!$D$2:$D$5000,$A43,Transactions!$C$2:$C$5000,K$41,Transactions!$A$2:$A$5000,"&gt;="&amp;$B$1,Transactions!$A$2:$A$5000,"&lt;"&amp;$D$1,Transactions!$O$2:$O$5000,1))</f>
        <v/>
      </c>
      <c r="L43" s="11">
        <f>IF($A43="","",SUMIFS(Transactions!$Q$2:$Q$5000,Transactions!$D$2:$D$5000,$A43,Transactions!$A$2:$A$5000,"&gt;="&amp;$B$1,Transactions!$A$2:$A$5000,"&lt;"&amp;$D$1,Transactions!$O$2:$O$5000,1))</f>
        <v>88.8</v>
      </c>
      <c r="M43" s="27">
        <f>IF($A43="","",IFERROR(L43/L$42,0))</f>
        <v>0.031653465840634776</v>
      </c>
      <c r="N43" s="31">
        <f>IF($A43="","",COUNTIFS(Transactions!$D$2:$D$5000,$A43,Transactions!$A$2:$A$5000,"&gt;="&amp;$B$1,Transactions!$A$2:$A$5000,"&lt;"&amp;$D$1,Transactions!$O$2:$O$5000,1))</f>
        <v>1</v>
      </c>
      <c r="O43" s="6" t="str">
        <f>IF($A43="","",IF(IFERROR(INDEX('Paramètres'!$O:$O,MATCH($A43,'Paramètres'!$M:$M,0))&amp;"","")="Dépense Fixe","x",""))</f>
        <v>x</v>
      </c>
      <c r="P43" s="6" t="str">
        <f>IF($A43="","",IF(IFERROR(INDEX('Paramètres'!$O:$O,MATCH($A43,'Paramètres'!$M:$M,0))&amp;"","")="Dépense Courante","x",""))</f>
        <v/>
      </c>
      <c r="Q43" s="6" t="str">
        <f>IF($A43="","",IF(IFERROR(INDEX('Paramètres'!$O:$O,MATCH($A43,'Paramètres'!$M:$M,0))&amp;"","")="Dépense Occasionnelle","x",""))</f>
        <v/>
      </c>
      <c r="R43" s="6" t="str">
        <f>IF($A43="","",IFERROR(INDEX('Paramètres'!$Q:$Q,MATCH($A43,'Paramètres'!$M:$M,0))&amp;"",""))</f>
        <v>Transport</v>
      </c>
    </row>
    <row r="44" spans="1:18" x14ac:dyDescent="0.25">
      <c r="A44" s="6" t="str">
        <f>IFERROR(INDEX('Paramètres'!$M$10:$M$129,MATCH(2,'Référentiel'!$L$2:$L$121,0)),"")</f>
        <v>Assurance auto</v>
      </c>
      <c r="B44" s="11">
        <f>IF(OR($A44="",B$41=""),"",SUMIFS(Transactions!$Q$2:$Q$5000,Transactions!$D$2:$D$5000,$A44,Transactions!$C$2:$C$5000,B$41,Transactions!$A$2:$A$5000,"&gt;="&amp;$B$1,Transactions!$A$2:$A$5000,"&lt;"&amp;$D$1,Transactions!$O$2:$O$5000,1))</f>
        <v>47.9</v>
      </c>
      <c r="C44" s="11">
        <f>IF(OR($A44="",C$41=""),"",SUMIFS(Transactions!$Q$2:$Q$5000,Transactions!$D$2:$D$5000,$A44,Transactions!$C$2:$C$5000,C$41,Transactions!$A$2:$A$5000,"&gt;="&amp;$B$1,Transactions!$A$2:$A$5000,"&lt;"&amp;$D$1,Transactions!$O$2:$O$5000,1))</f>
        <v>0</v>
      </c>
      <c r="D44" s="11">
        <f>IF(OR($A44="",D$41=""),"",SUMIFS(Transactions!$Q$2:$Q$5000,Transactions!$D$2:$D$5000,$A44,Transactions!$C$2:$C$5000,D$41,Transactions!$A$2:$A$5000,"&gt;="&amp;$B$1,Transactions!$A$2:$A$5000,"&lt;"&amp;$D$1,Transactions!$O$2:$O$5000,1))</f>
        <v>0</v>
      </c>
      <c r="E44" s="11">
        <f>IF(OR($A44="",E$41=""),"",SUMIFS(Transactions!$Q$2:$Q$5000,Transactions!$D$2:$D$5000,$A44,Transactions!$C$2:$C$5000,E$41,Transactions!$A$2:$A$5000,"&gt;="&amp;$B$1,Transactions!$A$2:$A$5000,"&lt;"&amp;$D$1,Transactions!$O$2:$O$5000,1))</f>
        <v>0</v>
      </c>
      <c r="F44" s="11">
        <f>IF(OR($A44="",F$41=""),"",SUMIFS(Transactions!$Q$2:$Q$5000,Transactions!$D$2:$D$5000,$A44,Transactions!$C$2:$C$5000,F$41,Transactions!$A$2:$A$5000,"&gt;="&amp;$B$1,Transactions!$A$2:$A$5000,"&lt;"&amp;$D$1,Transactions!$O$2:$O$5000,1))</f>
        <v>0</v>
      </c>
      <c r="G44" s="11">
        <f>IF(OR($A44="",G$41=""),"",SUMIFS(Transactions!$Q$2:$Q$5000,Transactions!$D$2:$D$5000,$A44,Transactions!$C$2:$C$5000,G$41,Transactions!$A$2:$A$5000,"&gt;="&amp;$B$1,Transactions!$A$2:$A$5000,"&lt;"&amp;$D$1,Transactions!$O$2:$O$5000,1))</f>
        <v>0</v>
      </c>
      <c r="H44" s="11">
        <f>IF(OR($A44="",H$41=""),"",SUMIFS(Transactions!$Q$2:$Q$5000,Transactions!$D$2:$D$5000,$A44,Transactions!$C$2:$C$5000,H$41,Transactions!$A$2:$A$5000,"&gt;="&amp;$B$1,Transactions!$A$2:$A$5000,"&lt;"&amp;$D$1,Transactions!$O$2:$O$5000,1))</f>
        <v>0</v>
      </c>
      <c r="I44" s="11">
        <f>IF(OR($A44="",I$41=""),"",SUMIFS(Transactions!$Q$2:$Q$5000,Transactions!$D$2:$D$5000,$A44,Transactions!$C$2:$C$5000,I$41,Transactions!$A$2:$A$5000,"&gt;="&amp;$B$1,Transactions!$A$2:$A$5000,"&lt;"&amp;$D$1,Transactions!$O$2:$O$5000,1))</f>
        <v>0</v>
      </c>
      <c r="J44" s="11" t="str">
        <f>IF(OR($A44="",J$41=""),"",SUMIFS(Transactions!$Q$2:$Q$5000,Transactions!$D$2:$D$5000,$A44,Transactions!$C$2:$C$5000,J$41,Transactions!$A$2:$A$5000,"&gt;="&amp;$B$1,Transactions!$A$2:$A$5000,"&lt;"&amp;$D$1,Transactions!$O$2:$O$5000,1))</f>
        <v/>
      </c>
      <c r="K44" s="11" t="str">
        <f>IF(OR($A44="",K$41=""),"",SUMIFS(Transactions!$Q$2:$Q$5000,Transactions!$D$2:$D$5000,$A44,Transactions!$C$2:$C$5000,K$41,Transactions!$A$2:$A$5000,"&gt;="&amp;$B$1,Transactions!$A$2:$A$5000,"&lt;"&amp;$D$1,Transactions!$O$2:$O$5000,1))</f>
        <v/>
      </c>
      <c r="L44" s="11">
        <f>IF($A44="","",SUMIFS(Transactions!$Q$2:$Q$5000,Transactions!$D$2:$D$5000,$A44,Transactions!$A$2:$A$5000,"&gt;="&amp;$B$1,Transactions!$A$2:$A$5000,"&lt;"&amp;$D$1,Transactions!$O$2:$O$5000,1))</f>
        <v>47.9</v>
      </c>
      <c r="M44" s="27">
        <f>IF($A44="","",IFERROR(L44/L$42,0))</f>
        <v>0.01707433574061268</v>
      </c>
      <c r="N44" s="31">
        <f>IF($A44="","",COUNTIFS(Transactions!$D$2:$D$5000,$A44,Transactions!$A$2:$A$5000,"&gt;="&amp;$B$1,Transactions!$A$2:$A$5000,"&lt;"&amp;$D$1,Transactions!$O$2:$O$5000,1))</f>
        <v>1</v>
      </c>
      <c r="O44" s="6" t="str">
        <f>IF($A44="","",IF(IFERROR(INDEX('Paramètres'!$O:$O,MATCH($A44,'Paramètres'!$M:$M,0))&amp;"","")="Dépense Fixe","x",""))</f>
        <v>x</v>
      </c>
      <c r="P44" s="6" t="str">
        <f>IF($A44="","",IF(IFERROR(INDEX('Paramètres'!$O:$O,MATCH($A44,'Paramètres'!$M:$M,0))&amp;"","")="Dépense Courante","x",""))</f>
        <v/>
      </c>
      <c r="Q44" s="6" t="str">
        <f>IF($A44="","",IF(IFERROR(INDEX('Paramètres'!$O:$O,MATCH($A44,'Paramètres'!$M:$M,0))&amp;"","")="Dépense Occasionnelle","x",""))</f>
        <v/>
      </c>
      <c r="R44" s="6" t="str">
        <f>IF($A44="","",IFERROR(INDEX('Paramètres'!$Q:$Q,MATCH($A44,'Paramètres'!$M:$M,0))&amp;"",""))</f>
        <v>Assurances</v>
      </c>
    </row>
    <row r="45" spans="1:18" x14ac:dyDescent="0.25">
      <c r="A45" s="6" t="str">
        <f>IFERROR(INDEX('Paramètres'!$M$10:$M$129,MATCH(3,'Référentiel'!$L$2:$L$121,0)),"")</f>
        <v>Assurance habitation</v>
      </c>
      <c r="B45" s="11">
        <f>IF(OR($A45="",B$41=""),"",SUMIFS(Transactions!$Q$2:$Q$5000,Transactions!$D$2:$D$5000,$A45,Transactions!$C$2:$C$5000,B$41,Transactions!$A$2:$A$5000,"&gt;="&amp;$B$1,Transactions!$A$2:$A$5000,"&lt;"&amp;$D$1,Transactions!$O$2:$O$5000,1))</f>
        <v>22.4</v>
      </c>
      <c r="C45" s="11">
        <f>IF(OR($A45="",C$41=""),"",SUMIFS(Transactions!$Q$2:$Q$5000,Transactions!$D$2:$D$5000,$A45,Transactions!$C$2:$C$5000,C$41,Transactions!$A$2:$A$5000,"&gt;="&amp;$B$1,Transactions!$A$2:$A$5000,"&lt;"&amp;$D$1,Transactions!$O$2:$O$5000,1))</f>
        <v>0</v>
      </c>
      <c r="D45" s="11">
        <f>IF(OR($A45="",D$41=""),"",SUMIFS(Transactions!$Q$2:$Q$5000,Transactions!$D$2:$D$5000,$A45,Transactions!$C$2:$C$5000,D$41,Transactions!$A$2:$A$5000,"&gt;="&amp;$B$1,Transactions!$A$2:$A$5000,"&lt;"&amp;$D$1,Transactions!$O$2:$O$5000,1))</f>
        <v>0</v>
      </c>
      <c r="E45" s="11">
        <f>IF(OR($A45="",E$41=""),"",SUMIFS(Transactions!$Q$2:$Q$5000,Transactions!$D$2:$D$5000,$A45,Transactions!$C$2:$C$5000,E$41,Transactions!$A$2:$A$5000,"&gt;="&amp;$B$1,Transactions!$A$2:$A$5000,"&lt;"&amp;$D$1,Transactions!$O$2:$O$5000,1))</f>
        <v>0</v>
      </c>
      <c r="F45" s="11">
        <f>IF(OR($A45="",F$41=""),"",SUMIFS(Transactions!$Q$2:$Q$5000,Transactions!$D$2:$D$5000,$A45,Transactions!$C$2:$C$5000,F$41,Transactions!$A$2:$A$5000,"&gt;="&amp;$B$1,Transactions!$A$2:$A$5000,"&lt;"&amp;$D$1,Transactions!$O$2:$O$5000,1))</f>
        <v>0</v>
      </c>
      <c r="G45" s="11">
        <f>IF(OR($A45="",G$41=""),"",SUMIFS(Transactions!$Q$2:$Q$5000,Transactions!$D$2:$D$5000,$A45,Transactions!$C$2:$C$5000,G$41,Transactions!$A$2:$A$5000,"&gt;="&amp;$B$1,Transactions!$A$2:$A$5000,"&lt;"&amp;$D$1,Transactions!$O$2:$O$5000,1))</f>
        <v>0</v>
      </c>
      <c r="H45" s="11">
        <f>IF(OR($A45="",H$41=""),"",SUMIFS(Transactions!$Q$2:$Q$5000,Transactions!$D$2:$D$5000,$A45,Transactions!$C$2:$C$5000,H$41,Transactions!$A$2:$A$5000,"&gt;="&amp;$B$1,Transactions!$A$2:$A$5000,"&lt;"&amp;$D$1,Transactions!$O$2:$O$5000,1))</f>
        <v>0</v>
      </c>
      <c r="I45" s="11">
        <f>IF(OR($A45="",I$41=""),"",SUMIFS(Transactions!$Q$2:$Q$5000,Transactions!$D$2:$D$5000,$A45,Transactions!$C$2:$C$5000,I$41,Transactions!$A$2:$A$5000,"&gt;="&amp;$B$1,Transactions!$A$2:$A$5000,"&lt;"&amp;$D$1,Transactions!$O$2:$O$5000,1))</f>
        <v>0</v>
      </c>
      <c r="J45" s="11" t="str">
        <f>IF(OR($A45="",J$41=""),"",SUMIFS(Transactions!$Q$2:$Q$5000,Transactions!$D$2:$D$5000,$A45,Transactions!$C$2:$C$5000,J$41,Transactions!$A$2:$A$5000,"&gt;="&amp;$B$1,Transactions!$A$2:$A$5000,"&lt;"&amp;$D$1,Transactions!$O$2:$O$5000,1))</f>
        <v/>
      </c>
      <c r="K45" s="11" t="str">
        <f>IF(OR($A45="",K$41=""),"",SUMIFS(Transactions!$Q$2:$Q$5000,Transactions!$D$2:$D$5000,$A45,Transactions!$C$2:$C$5000,K$41,Transactions!$A$2:$A$5000,"&gt;="&amp;$B$1,Transactions!$A$2:$A$5000,"&lt;"&amp;$D$1,Transactions!$O$2:$O$5000,1))</f>
        <v/>
      </c>
      <c r="L45" s="11">
        <f>IF($A45="","",SUMIFS(Transactions!$Q$2:$Q$5000,Transactions!$D$2:$D$5000,$A45,Transactions!$A$2:$A$5000,"&gt;="&amp;$B$1,Transactions!$A$2:$A$5000,"&lt;"&amp;$D$1,Transactions!$O$2:$O$5000,1))</f>
        <v>22.4</v>
      </c>
      <c r="M45" s="27">
        <f>IF($A45="","",IFERROR(L45/L$42,0))</f>
        <v>0.007984658049889853</v>
      </c>
      <c r="N45" s="31">
        <f>IF($A45="","",COUNTIFS(Transactions!$D$2:$D$5000,$A45,Transactions!$A$2:$A$5000,"&gt;="&amp;$B$1,Transactions!$A$2:$A$5000,"&lt;"&amp;$D$1,Transactions!$O$2:$O$5000,1))</f>
        <v>1</v>
      </c>
      <c r="O45" s="6" t="str">
        <f>IF($A45="","",IF(IFERROR(INDEX('Paramètres'!$O:$O,MATCH($A45,'Paramètres'!$M:$M,0))&amp;"","")="Dépense Fixe","x",""))</f>
        <v>x</v>
      </c>
      <c r="P45" s="6" t="str">
        <f>IF($A45="","",IF(IFERROR(INDEX('Paramètres'!$O:$O,MATCH($A45,'Paramètres'!$M:$M,0))&amp;"","")="Dépense Courante","x",""))</f>
        <v/>
      </c>
      <c r="Q45" s="6" t="str">
        <f>IF($A45="","",IF(IFERROR(INDEX('Paramètres'!$O:$O,MATCH($A45,'Paramètres'!$M:$M,0))&amp;"","")="Dépense Occasionnelle","x",""))</f>
        <v/>
      </c>
      <c r="R45" s="6" t="str">
        <f>IF($A45="","",IFERROR(INDEX('Paramètres'!$Q:$Q,MATCH($A45,'Paramètres'!$M:$M,0))&amp;"",""))</f>
        <v>Assurances</v>
      </c>
    </row>
    <row r="46" spans="1:18" x14ac:dyDescent="0.25">
      <c r="A46" s="6" t="str">
        <f>IFERROR(INDEX('Paramètres'!$M$10:$M$129,MATCH(4,'Référentiel'!$L$2:$L$121,0)),"")</f>
        <v>Assurance prêt</v>
      </c>
      <c r="B46" s="11">
        <f>IF(OR($A46="",B$41=""),"",SUMIFS(Transactions!$Q$2:$Q$5000,Transactions!$D$2:$D$5000,$A46,Transactions!$C$2:$C$5000,B$41,Transactions!$A$2:$A$5000,"&gt;="&amp;$B$1,Transactions!$A$2:$A$5000,"&lt;"&amp;$D$1,Transactions!$O$2:$O$5000,1))</f>
        <v>0</v>
      </c>
      <c r="C46" s="11">
        <f>IF(OR($A46="",C$41=""),"",SUMIFS(Transactions!$Q$2:$Q$5000,Transactions!$D$2:$D$5000,$A46,Transactions!$C$2:$C$5000,C$41,Transactions!$A$2:$A$5000,"&gt;="&amp;$B$1,Transactions!$A$2:$A$5000,"&lt;"&amp;$D$1,Transactions!$O$2:$O$5000,1))</f>
        <v>0</v>
      </c>
      <c r="D46" s="11">
        <f>IF(OR($A46="",D$41=""),"",SUMIFS(Transactions!$Q$2:$Q$5000,Transactions!$D$2:$D$5000,$A46,Transactions!$C$2:$C$5000,D$41,Transactions!$A$2:$A$5000,"&gt;="&amp;$B$1,Transactions!$A$2:$A$5000,"&lt;"&amp;$D$1,Transactions!$O$2:$O$5000,1))</f>
        <v>0</v>
      </c>
      <c r="E46" s="11">
        <f>IF(OR($A46="",E$41=""),"",SUMIFS(Transactions!$Q$2:$Q$5000,Transactions!$D$2:$D$5000,$A46,Transactions!$C$2:$C$5000,E$41,Transactions!$A$2:$A$5000,"&gt;="&amp;$B$1,Transactions!$A$2:$A$5000,"&lt;"&amp;$D$1,Transactions!$O$2:$O$5000,1))</f>
        <v>0</v>
      </c>
      <c r="F46" s="11">
        <f>IF(OR($A46="",F$41=""),"",SUMIFS(Transactions!$Q$2:$Q$5000,Transactions!$D$2:$D$5000,$A46,Transactions!$C$2:$C$5000,F$41,Transactions!$A$2:$A$5000,"&gt;="&amp;$B$1,Transactions!$A$2:$A$5000,"&lt;"&amp;$D$1,Transactions!$O$2:$O$5000,1))</f>
        <v>0</v>
      </c>
      <c r="G46" s="11">
        <f>IF(OR($A46="",G$41=""),"",SUMIFS(Transactions!$Q$2:$Q$5000,Transactions!$D$2:$D$5000,$A46,Transactions!$C$2:$C$5000,G$41,Transactions!$A$2:$A$5000,"&gt;="&amp;$B$1,Transactions!$A$2:$A$5000,"&lt;"&amp;$D$1,Transactions!$O$2:$O$5000,1))</f>
        <v>31.2</v>
      </c>
      <c r="H46" s="11">
        <f>IF(OR($A46="",H$41=""),"",SUMIFS(Transactions!$Q$2:$Q$5000,Transactions!$D$2:$D$5000,$A46,Transactions!$C$2:$C$5000,H$41,Transactions!$A$2:$A$5000,"&gt;="&amp;$B$1,Transactions!$A$2:$A$5000,"&lt;"&amp;$D$1,Transactions!$O$2:$O$5000,1))</f>
        <v>0</v>
      </c>
      <c r="I46" s="11">
        <f>IF(OR($A46="",I$41=""),"",SUMIFS(Transactions!$Q$2:$Q$5000,Transactions!$D$2:$D$5000,$A46,Transactions!$C$2:$C$5000,I$41,Transactions!$A$2:$A$5000,"&gt;="&amp;$B$1,Transactions!$A$2:$A$5000,"&lt;"&amp;$D$1,Transactions!$O$2:$O$5000,1))</f>
        <v>0</v>
      </c>
      <c r="J46" s="11" t="str">
        <f>IF(OR($A46="",J$41=""),"",SUMIFS(Transactions!$Q$2:$Q$5000,Transactions!$D$2:$D$5000,$A46,Transactions!$C$2:$C$5000,J$41,Transactions!$A$2:$A$5000,"&gt;="&amp;$B$1,Transactions!$A$2:$A$5000,"&lt;"&amp;$D$1,Transactions!$O$2:$O$5000,1))</f>
        <v/>
      </c>
      <c r="K46" s="11" t="str">
        <f>IF(OR($A46="",K$41=""),"",SUMIFS(Transactions!$Q$2:$Q$5000,Transactions!$D$2:$D$5000,$A46,Transactions!$C$2:$C$5000,K$41,Transactions!$A$2:$A$5000,"&gt;="&amp;$B$1,Transactions!$A$2:$A$5000,"&lt;"&amp;$D$1,Transactions!$O$2:$O$5000,1))</f>
        <v/>
      </c>
      <c r="L46" s="11">
        <f>IF($A46="","",SUMIFS(Transactions!$Q$2:$Q$5000,Transactions!$D$2:$D$5000,$A46,Transactions!$A$2:$A$5000,"&gt;="&amp;$B$1,Transactions!$A$2:$A$5000,"&lt;"&amp;$D$1,Transactions!$O$2:$O$5000,1))</f>
        <v>31.2</v>
      </c>
      <c r="M46" s="27">
        <f>IF($A46="","",IFERROR(L46/L$42,0))</f>
        <v>0.011121487998060868</v>
      </c>
      <c r="N46" s="31">
        <f>IF($A46="","",COUNTIFS(Transactions!$D$2:$D$5000,$A46,Transactions!$A$2:$A$5000,"&gt;="&amp;$B$1,Transactions!$A$2:$A$5000,"&lt;"&amp;$D$1,Transactions!$O$2:$O$5000,1))</f>
        <v>1</v>
      </c>
      <c r="O46" s="6" t="str">
        <f>IF($A46="","",IF(IFERROR(INDEX('Paramètres'!$O:$O,MATCH($A46,'Paramètres'!$M:$M,0))&amp;"","")="Dépense Fixe","x",""))</f>
        <v>x</v>
      </c>
      <c r="P46" s="6" t="str">
        <f>IF($A46="","",IF(IFERROR(INDEX('Paramètres'!$O:$O,MATCH($A46,'Paramètres'!$M:$M,0))&amp;"","")="Dépense Courante","x",""))</f>
        <v/>
      </c>
      <c r="Q46" s="6" t="str">
        <f>IF($A46="","",IF(IFERROR(INDEX('Paramètres'!$O:$O,MATCH($A46,'Paramètres'!$M:$M,0))&amp;"","")="Dépense Occasionnelle","x",""))</f>
        <v/>
      </c>
      <c r="R46" s="6" t="str">
        <f>IF($A46="","",IFERROR(INDEX('Paramètres'!$Q:$Q,MATCH($A46,'Paramètres'!$M:$M,0))&amp;"",""))</f>
        <v>Assurances</v>
      </c>
    </row>
    <row r="47" spans="1:18" x14ac:dyDescent="0.25">
      <c r="A47" s="6" t="str">
        <f>IFERROR(INDEX('Paramètres'!$M$10:$M$129,MATCH(5,'Référentiel'!$L$2:$L$121,0)),"")</f>
        <v>Assurance-vie</v>
      </c>
      <c r="B47" s="11">
        <f>IF(OR($A47="",B$41=""),"",SUMIFS(Transactions!$Q$2:$Q$5000,Transactions!$D$2:$D$5000,$A47,Transactions!$C$2:$C$5000,B$41,Transactions!$A$2:$A$5000,"&gt;="&amp;$B$1,Transactions!$A$2:$A$5000,"&lt;"&amp;$D$1,Transactions!$O$2:$O$5000,1))</f>
        <v>120</v>
      </c>
      <c r="C47" s="11">
        <f>IF(OR($A47="",C$41=""),"",SUMIFS(Transactions!$Q$2:$Q$5000,Transactions!$D$2:$D$5000,$A47,Transactions!$C$2:$C$5000,C$41,Transactions!$A$2:$A$5000,"&gt;="&amp;$B$1,Transactions!$A$2:$A$5000,"&lt;"&amp;$D$1,Transactions!$O$2:$O$5000,1))</f>
        <v>0</v>
      </c>
      <c r="D47" s="11">
        <f>IF(OR($A47="",D$41=""),"",SUMIFS(Transactions!$Q$2:$Q$5000,Transactions!$D$2:$D$5000,$A47,Transactions!$C$2:$C$5000,D$41,Transactions!$A$2:$A$5000,"&gt;="&amp;$B$1,Transactions!$A$2:$A$5000,"&lt;"&amp;$D$1,Transactions!$O$2:$O$5000,1))</f>
        <v>0</v>
      </c>
      <c r="E47" s="11">
        <f>IF(OR($A47="",E$41=""),"",SUMIFS(Transactions!$Q$2:$Q$5000,Transactions!$D$2:$D$5000,$A47,Transactions!$C$2:$C$5000,E$41,Transactions!$A$2:$A$5000,"&gt;="&amp;$B$1,Transactions!$A$2:$A$5000,"&lt;"&amp;$D$1,Transactions!$O$2:$O$5000,1))</f>
        <v>0</v>
      </c>
      <c r="F47" s="11">
        <f>IF(OR($A47="",F$41=""),"",SUMIFS(Transactions!$Q$2:$Q$5000,Transactions!$D$2:$D$5000,$A47,Transactions!$C$2:$C$5000,F$41,Transactions!$A$2:$A$5000,"&gt;="&amp;$B$1,Transactions!$A$2:$A$5000,"&lt;"&amp;$D$1,Transactions!$O$2:$O$5000,1))</f>
        <v>0</v>
      </c>
      <c r="G47" s="11">
        <f>IF(OR($A47="",G$41=""),"",SUMIFS(Transactions!$Q$2:$Q$5000,Transactions!$D$2:$D$5000,$A47,Transactions!$C$2:$C$5000,G$41,Transactions!$A$2:$A$5000,"&gt;="&amp;$B$1,Transactions!$A$2:$A$5000,"&lt;"&amp;$D$1,Transactions!$O$2:$O$5000,1))</f>
        <v>0</v>
      </c>
      <c r="H47" s="11">
        <f>IF(OR($A47="",H$41=""),"",SUMIFS(Transactions!$Q$2:$Q$5000,Transactions!$D$2:$D$5000,$A47,Transactions!$C$2:$C$5000,H$41,Transactions!$A$2:$A$5000,"&gt;="&amp;$B$1,Transactions!$A$2:$A$5000,"&lt;"&amp;$D$1,Transactions!$O$2:$O$5000,1))</f>
        <v>0</v>
      </c>
      <c r="I47" s="11">
        <f>IF(OR($A47="",I$41=""),"",SUMIFS(Transactions!$Q$2:$Q$5000,Transactions!$D$2:$D$5000,$A47,Transactions!$C$2:$C$5000,I$41,Transactions!$A$2:$A$5000,"&gt;="&amp;$B$1,Transactions!$A$2:$A$5000,"&lt;"&amp;$D$1,Transactions!$O$2:$O$5000,1))</f>
        <v>0</v>
      </c>
      <c r="J47" s="11" t="str">
        <f>IF(OR($A47="",J$41=""),"",SUMIFS(Transactions!$Q$2:$Q$5000,Transactions!$D$2:$D$5000,$A47,Transactions!$C$2:$C$5000,J$41,Transactions!$A$2:$A$5000,"&gt;="&amp;$B$1,Transactions!$A$2:$A$5000,"&lt;"&amp;$D$1,Transactions!$O$2:$O$5000,1))</f>
        <v/>
      </c>
      <c r="K47" s="11" t="str">
        <f>IF(OR($A47="",K$41=""),"",SUMIFS(Transactions!$Q$2:$Q$5000,Transactions!$D$2:$D$5000,$A47,Transactions!$C$2:$C$5000,K$41,Transactions!$A$2:$A$5000,"&gt;="&amp;$B$1,Transactions!$A$2:$A$5000,"&lt;"&amp;$D$1,Transactions!$O$2:$O$5000,1))</f>
        <v/>
      </c>
      <c r="L47" s="11">
        <f>IF($A47="","",SUMIFS(Transactions!$Q$2:$Q$5000,Transactions!$D$2:$D$5000,$A47,Transactions!$A$2:$A$5000,"&gt;="&amp;$B$1,Transactions!$A$2:$A$5000,"&lt;"&amp;$D$1,Transactions!$O$2:$O$5000,1))</f>
        <v>120</v>
      </c>
      <c r="M47" s="27">
        <f>IF($A47="","",IFERROR(L47/L$42,0))</f>
        <v>0.042774953838695645</v>
      </c>
      <c r="N47" s="31">
        <f>IF($A47="","",COUNTIFS(Transactions!$D$2:$D$5000,$A47,Transactions!$A$2:$A$5000,"&gt;="&amp;$B$1,Transactions!$A$2:$A$5000,"&lt;"&amp;$D$1,Transactions!$O$2:$O$5000,1))</f>
        <v>1</v>
      </c>
      <c r="O47" s="6" t="str">
        <f>IF($A47="","",IF(IFERROR(INDEX('Paramètres'!$O:$O,MATCH($A47,'Paramètres'!$M:$M,0))&amp;"","")="Dépense Fixe","x",""))</f>
        <v/>
      </c>
      <c r="P47" s="6" t="str">
        <f>IF($A47="","",IF(IFERROR(INDEX('Paramètres'!$O:$O,MATCH($A47,'Paramètres'!$M:$M,0))&amp;"","")="Dépense Courante","x",""))</f>
        <v/>
      </c>
      <c r="Q47" s="6" t="str">
        <f>IF($A47="","",IF(IFERROR(INDEX('Paramètres'!$O:$O,MATCH($A47,'Paramètres'!$M:$M,0))&amp;"","")="Dépense Occasionnelle","x",""))</f>
        <v/>
      </c>
      <c r="R47" s="6" t="str">
        <f>IF($A47="","",IFERROR(INDEX('Paramètres'!$Q:$Q,MATCH($A47,'Paramètres'!$M:$M,0))&amp;"",""))</f>
        <v>Comptes Bancaires</v>
      </c>
    </row>
    <row r="48" spans="1:18" x14ac:dyDescent="0.25">
      <c r="A48" s="6" t="str">
        <f>IFERROR(INDEX('Paramètres'!$M$10:$M$129,MATCH(6,'Référentiel'!$L$2:$L$121,0)),"")</f>
        <v>Cadeaux</v>
      </c>
      <c r="B48" s="11">
        <f>IF(OR($A48="",B$41=""),"",SUMIFS(Transactions!$Q$2:$Q$5000,Transactions!$D$2:$D$5000,$A48,Transactions!$C$2:$C$5000,B$41,Transactions!$A$2:$A$5000,"&gt;="&amp;$B$1,Transactions!$A$2:$A$5000,"&lt;"&amp;$D$1,Transactions!$O$2:$O$5000,1))</f>
        <v>0</v>
      </c>
      <c r="C48" s="11">
        <f>IF(OR($A48="",C$41=""),"",SUMIFS(Transactions!$Q$2:$Q$5000,Transactions!$D$2:$D$5000,$A48,Transactions!$C$2:$C$5000,C$41,Transactions!$A$2:$A$5000,"&gt;="&amp;$B$1,Transactions!$A$2:$A$5000,"&lt;"&amp;$D$1,Transactions!$O$2:$O$5000,1))</f>
        <v>0</v>
      </c>
      <c r="D48" s="11">
        <f>IF(OR($A48="",D$41=""),"",SUMIFS(Transactions!$Q$2:$Q$5000,Transactions!$D$2:$D$5000,$A48,Transactions!$C$2:$C$5000,D$41,Transactions!$A$2:$A$5000,"&gt;="&amp;$B$1,Transactions!$A$2:$A$5000,"&lt;"&amp;$D$1,Transactions!$O$2:$O$5000,1))</f>
        <v>25.25</v>
      </c>
      <c r="E48" s="11">
        <f>IF(OR($A48="",E$41=""),"",SUMIFS(Transactions!$Q$2:$Q$5000,Transactions!$D$2:$D$5000,$A48,Transactions!$C$2:$C$5000,E$41,Transactions!$A$2:$A$5000,"&gt;="&amp;$B$1,Transactions!$A$2:$A$5000,"&lt;"&amp;$D$1,Transactions!$O$2:$O$5000,1))</f>
        <v>0</v>
      </c>
      <c r="F48" s="11">
        <f>IF(OR($A48="",F$41=""),"",SUMIFS(Transactions!$Q$2:$Q$5000,Transactions!$D$2:$D$5000,$A48,Transactions!$C$2:$C$5000,F$41,Transactions!$A$2:$A$5000,"&gt;="&amp;$B$1,Transactions!$A$2:$A$5000,"&lt;"&amp;$D$1,Transactions!$O$2:$O$5000,1))</f>
        <v>0</v>
      </c>
      <c r="G48" s="11">
        <f>IF(OR($A48="",G$41=""),"",SUMIFS(Transactions!$Q$2:$Q$5000,Transactions!$D$2:$D$5000,$A48,Transactions!$C$2:$C$5000,G$41,Transactions!$A$2:$A$5000,"&gt;="&amp;$B$1,Transactions!$A$2:$A$5000,"&lt;"&amp;$D$1,Transactions!$O$2:$O$5000,1))</f>
        <v>0</v>
      </c>
      <c r="H48" s="11">
        <f>IF(OR($A48="",H$41=""),"",SUMIFS(Transactions!$Q$2:$Q$5000,Transactions!$D$2:$D$5000,$A48,Transactions!$C$2:$C$5000,H$41,Transactions!$A$2:$A$5000,"&gt;="&amp;$B$1,Transactions!$A$2:$A$5000,"&lt;"&amp;$D$1,Transactions!$O$2:$O$5000,1))</f>
        <v>0</v>
      </c>
      <c r="I48" s="11">
        <f>IF(OR($A48="",I$41=""),"",SUMIFS(Transactions!$Q$2:$Q$5000,Transactions!$D$2:$D$5000,$A48,Transactions!$C$2:$C$5000,I$41,Transactions!$A$2:$A$5000,"&gt;="&amp;$B$1,Transactions!$A$2:$A$5000,"&lt;"&amp;$D$1,Transactions!$O$2:$O$5000,1))</f>
        <v>0</v>
      </c>
      <c r="J48" s="11" t="str">
        <f>IF(OR($A48="",J$41=""),"",SUMIFS(Transactions!$Q$2:$Q$5000,Transactions!$D$2:$D$5000,$A48,Transactions!$C$2:$C$5000,J$41,Transactions!$A$2:$A$5000,"&gt;="&amp;$B$1,Transactions!$A$2:$A$5000,"&lt;"&amp;$D$1,Transactions!$O$2:$O$5000,1))</f>
        <v/>
      </c>
      <c r="K48" s="11" t="str">
        <f>IF(OR($A48="",K$41=""),"",SUMIFS(Transactions!$Q$2:$Q$5000,Transactions!$D$2:$D$5000,$A48,Transactions!$C$2:$C$5000,K$41,Transactions!$A$2:$A$5000,"&gt;="&amp;$B$1,Transactions!$A$2:$A$5000,"&lt;"&amp;$D$1,Transactions!$O$2:$O$5000,1))</f>
        <v/>
      </c>
      <c r="L48" s="11">
        <f>IF($A48="","",SUMIFS(Transactions!$Q$2:$Q$5000,Transactions!$D$2:$D$5000,$A48,Transactions!$A$2:$A$5000,"&gt;="&amp;$B$1,Transactions!$A$2:$A$5000,"&lt;"&amp;$D$1,Transactions!$O$2:$O$5000,1))</f>
        <v>25.25</v>
      </c>
      <c r="M48" s="27">
        <f>IF($A48="","",IFERROR(L48/L$42,0))</f>
        <v>0.009000563203558876</v>
      </c>
      <c r="N48" s="31">
        <f>IF($A48="","",COUNTIFS(Transactions!$D$2:$D$5000,$A48,Transactions!$A$2:$A$5000,"&gt;="&amp;$B$1,Transactions!$A$2:$A$5000,"&lt;"&amp;$D$1,Transactions!$O$2:$O$5000,1))</f>
        <v>1</v>
      </c>
      <c r="O48" s="6" t="str">
        <f>IF($A48="","",IF(IFERROR(INDEX('Paramètres'!$O:$O,MATCH($A48,'Paramètres'!$M:$M,0))&amp;"","")="Dépense Fixe","x",""))</f>
        <v/>
      </c>
      <c r="P48" s="6" t="str">
        <f>IF($A48="","",IF(IFERROR(INDEX('Paramètres'!$O:$O,MATCH($A48,'Paramètres'!$M:$M,0))&amp;"","")="Dépense Courante","x",""))</f>
        <v/>
      </c>
      <c r="Q48" s="6" t="str">
        <f>IF($A48="","",IF(IFERROR(INDEX('Paramètres'!$O:$O,MATCH($A48,'Paramètres'!$M:$M,0))&amp;"","")="Dépense Occasionnelle","x",""))</f>
        <v>x</v>
      </c>
      <c r="R48" s="6" t="str">
        <f>IF($A48="","",IFERROR(INDEX('Paramètres'!$Q:$Q,MATCH($A48,'Paramètres'!$M:$M,0))&amp;"",""))</f>
        <v>Autre</v>
      </c>
    </row>
    <row r="49" spans="1:18" x14ac:dyDescent="0.25">
      <c r="A49" s="6" t="str">
        <f>IFERROR(INDEX('Paramètres'!$M$10:$M$129,MATCH(7,'Référentiel'!$L$2:$L$121,0)),"")</f>
        <v>Cagnotte partagée</v>
      </c>
      <c r="B49" s="11">
        <f>IF(OR($A49="",B$41=""),"",SUMIFS(Transactions!$Q$2:$Q$5000,Transactions!$D$2:$D$5000,$A49,Transactions!$C$2:$C$5000,B$41,Transactions!$A$2:$A$5000,"&gt;="&amp;$B$1,Transactions!$A$2:$A$5000,"&lt;"&amp;$D$1,Transactions!$O$2:$O$5000,1))</f>
        <v>0</v>
      </c>
      <c r="C49" s="11">
        <f>IF(OR($A49="",C$41=""),"",SUMIFS(Transactions!$Q$2:$Q$5000,Transactions!$D$2:$D$5000,$A49,Transactions!$C$2:$C$5000,C$41,Transactions!$A$2:$A$5000,"&gt;="&amp;$B$1,Transactions!$A$2:$A$5000,"&lt;"&amp;$D$1,Transactions!$O$2:$O$5000,1))</f>
        <v>0</v>
      </c>
      <c r="D49" s="11">
        <f>IF(OR($A49="",D$41=""),"",SUMIFS(Transactions!$Q$2:$Q$5000,Transactions!$D$2:$D$5000,$A49,Transactions!$C$2:$C$5000,D$41,Transactions!$A$2:$A$5000,"&gt;="&amp;$B$1,Transactions!$A$2:$A$5000,"&lt;"&amp;$D$1,Transactions!$O$2:$O$5000,1))</f>
        <v>0</v>
      </c>
      <c r="E49" s="11">
        <f>IF(OR($A49="",E$41=""),"",SUMIFS(Transactions!$Q$2:$Q$5000,Transactions!$D$2:$D$5000,$A49,Transactions!$C$2:$C$5000,E$41,Transactions!$A$2:$A$5000,"&gt;="&amp;$B$1,Transactions!$A$2:$A$5000,"&lt;"&amp;$D$1,Transactions!$O$2:$O$5000,1))</f>
        <v>0</v>
      </c>
      <c r="F49" s="11">
        <f>IF(OR($A49="",F$41=""),"",SUMIFS(Transactions!$Q$2:$Q$5000,Transactions!$D$2:$D$5000,$A49,Transactions!$C$2:$C$5000,F$41,Transactions!$A$2:$A$5000,"&gt;="&amp;$B$1,Transactions!$A$2:$A$5000,"&lt;"&amp;$D$1,Transactions!$O$2:$O$5000,1))</f>
        <v>0</v>
      </c>
      <c r="G49" s="11">
        <f>IF(OR($A49="",G$41=""),"",SUMIFS(Transactions!$Q$2:$Q$5000,Transactions!$D$2:$D$5000,$A49,Transactions!$C$2:$C$5000,G$41,Transactions!$A$2:$A$5000,"&gt;="&amp;$B$1,Transactions!$A$2:$A$5000,"&lt;"&amp;$D$1,Transactions!$O$2:$O$5000,1))</f>
        <v>0</v>
      </c>
      <c r="H49" s="11">
        <f>IF(OR($A49="",H$41=""),"",SUMIFS(Transactions!$Q$2:$Q$5000,Transactions!$D$2:$D$5000,$A49,Transactions!$C$2:$C$5000,H$41,Transactions!$A$2:$A$5000,"&gt;="&amp;$B$1,Transactions!$A$2:$A$5000,"&lt;"&amp;$D$1,Transactions!$O$2:$O$5000,1))</f>
        <v>0</v>
      </c>
      <c r="I49" s="11">
        <f>IF(OR($A49="",I$41=""),"",SUMIFS(Transactions!$Q$2:$Q$5000,Transactions!$D$2:$D$5000,$A49,Transactions!$C$2:$C$5000,I$41,Transactions!$A$2:$A$5000,"&gt;="&amp;$B$1,Transactions!$A$2:$A$5000,"&lt;"&amp;$D$1,Transactions!$O$2:$O$5000,1))</f>
        <v>0</v>
      </c>
      <c r="J49" s="11" t="str">
        <f>IF(OR($A49="",J$41=""),"",SUMIFS(Transactions!$Q$2:$Q$5000,Transactions!$D$2:$D$5000,$A49,Transactions!$C$2:$C$5000,J$41,Transactions!$A$2:$A$5000,"&gt;="&amp;$B$1,Transactions!$A$2:$A$5000,"&lt;"&amp;$D$1,Transactions!$O$2:$O$5000,1))</f>
        <v/>
      </c>
      <c r="K49" s="11" t="str">
        <f>IF(OR($A49="",K$41=""),"",SUMIFS(Transactions!$Q$2:$Q$5000,Transactions!$D$2:$D$5000,$A49,Transactions!$C$2:$C$5000,K$41,Transactions!$A$2:$A$5000,"&gt;="&amp;$B$1,Transactions!$A$2:$A$5000,"&lt;"&amp;$D$1,Transactions!$O$2:$O$5000,1))</f>
        <v/>
      </c>
      <c r="L49" s="11">
        <f>IF($A49="","",SUMIFS(Transactions!$Q$2:$Q$5000,Transactions!$D$2:$D$5000,$A49,Transactions!$A$2:$A$5000,"&gt;="&amp;$B$1,Transactions!$A$2:$A$5000,"&lt;"&amp;$D$1,Transactions!$O$2:$O$5000,1))</f>
        <v>0</v>
      </c>
      <c r="M49" s="27">
        <f>IF($A49="","",IFERROR(L49/L$42,0))</f>
        <v>0</v>
      </c>
      <c r="N49" s="31">
        <f>IF($A49="","",COUNTIFS(Transactions!$D$2:$D$5000,$A49,Transactions!$A$2:$A$5000,"&gt;="&amp;$B$1,Transactions!$A$2:$A$5000,"&lt;"&amp;$D$1,Transactions!$O$2:$O$5000,1))</f>
        <v>0</v>
      </c>
      <c r="O49" s="6" t="str">
        <f>IF($A49="","",IF(IFERROR(INDEX('Paramètres'!$O:$O,MATCH($A49,'Paramètres'!$M:$M,0))&amp;"","")="Dépense Fixe","x",""))</f>
        <v/>
      </c>
      <c r="P49" s="6" t="str">
        <f>IF($A49="","",IF(IFERROR(INDEX('Paramètres'!$O:$O,MATCH($A49,'Paramètres'!$M:$M,0))&amp;"","")="Dépense Courante","x",""))</f>
        <v/>
      </c>
      <c r="Q49" s="6" t="str">
        <f>IF($A49="","",IF(IFERROR(INDEX('Paramètres'!$O:$O,MATCH($A49,'Paramètres'!$M:$M,0))&amp;"","")="Dépense Occasionnelle","x",""))</f>
        <v/>
      </c>
      <c r="R49" s="6" t="str">
        <f>IF($A49="","",IFERROR(INDEX('Paramètres'!$Q:$Q,MATCH($A49,'Paramètres'!$M:$M,0))&amp;"",""))</f>
        <v>Comptes Bancaires</v>
      </c>
    </row>
    <row r="50" spans="1:18" x14ac:dyDescent="0.25">
      <c r="A50" s="6" t="str">
        <f>IFERROR(INDEX('Paramètres'!$M$10:$M$129,MATCH(8,'Référentiel'!$L$2:$L$121,0)),"")</f>
        <v>cantine</v>
      </c>
      <c r="B50" s="11">
        <f>IF(OR($A50="",B$41=""),"",SUMIFS(Transactions!$Q$2:$Q$5000,Transactions!$D$2:$D$5000,$A50,Transactions!$C$2:$C$5000,B$41,Transactions!$A$2:$A$5000,"&gt;="&amp;$B$1,Transactions!$A$2:$A$5000,"&lt;"&amp;$D$1,Transactions!$O$2:$O$5000,1))</f>
        <v>0</v>
      </c>
      <c r="C50" s="11">
        <f>IF(OR($A50="",C$41=""),"",SUMIFS(Transactions!$Q$2:$Q$5000,Transactions!$D$2:$D$5000,$A50,Transactions!$C$2:$C$5000,C$41,Transactions!$A$2:$A$5000,"&gt;="&amp;$B$1,Transactions!$A$2:$A$5000,"&lt;"&amp;$D$1,Transactions!$O$2:$O$5000,1))</f>
        <v>0</v>
      </c>
      <c r="D50" s="11">
        <f>IF(OR($A50="",D$41=""),"",SUMIFS(Transactions!$Q$2:$Q$5000,Transactions!$D$2:$D$5000,$A50,Transactions!$C$2:$C$5000,D$41,Transactions!$A$2:$A$5000,"&gt;="&amp;$B$1,Transactions!$A$2:$A$5000,"&lt;"&amp;$D$1,Transactions!$O$2:$O$5000,1))</f>
        <v>0</v>
      </c>
      <c r="E50" s="11">
        <f>IF(OR($A50="",E$41=""),"",SUMIFS(Transactions!$Q$2:$Q$5000,Transactions!$D$2:$D$5000,$A50,Transactions!$C$2:$C$5000,E$41,Transactions!$A$2:$A$5000,"&gt;="&amp;$B$1,Transactions!$A$2:$A$5000,"&lt;"&amp;$D$1,Transactions!$O$2:$O$5000,1))</f>
        <v>0</v>
      </c>
      <c r="F50" s="11">
        <f>IF(OR($A50="",F$41=""),"",SUMIFS(Transactions!$Q$2:$Q$5000,Transactions!$D$2:$D$5000,$A50,Transactions!$C$2:$C$5000,F$41,Transactions!$A$2:$A$5000,"&gt;="&amp;$B$1,Transactions!$A$2:$A$5000,"&lt;"&amp;$D$1,Transactions!$O$2:$O$5000,1))</f>
        <v>0</v>
      </c>
      <c r="G50" s="11">
        <f>IF(OR($A50="",G$41=""),"",SUMIFS(Transactions!$Q$2:$Q$5000,Transactions!$D$2:$D$5000,$A50,Transactions!$C$2:$C$5000,G$41,Transactions!$A$2:$A$5000,"&gt;="&amp;$B$1,Transactions!$A$2:$A$5000,"&lt;"&amp;$D$1,Transactions!$O$2:$O$5000,1))</f>
        <v>0</v>
      </c>
      <c r="H50" s="11">
        <f>IF(OR($A50="",H$41=""),"",SUMIFS(Transactions!$Q$2:$Q$5000,Transactions!$D$2:$D$5000,$A50,Transactions!$C$2:$C$5000,H$41,Transactions!$A$2:$A$5000,"&gt;="&amp;$B$1,Transactions!$A$2:$A$5000,"&lt;"&amp;$D$1,Transactions!$O$2:$O$5000,1))</f>
        <v>93.59</v>
      </c>
      <c r="I50" s="11">
        <f>IF(OR($A50="",I$41=""),"",SUMIFS(Transactions!$Q$2:$Q$5000,Transactions!$D$2:$D$5000,$A50,Transactions!$C$2:$C$5000,I$41,Transactions!$A$2:$A$5000,"&gt;="&amp;$B$1,Transactions!$A$2:$A$5000,"&lt;"&amp;$D$1,Transactions!$O$2:$O$5000,1))</f>
        <v>0</v>
      </c>
      <c r="J50" s="11" t="str">
        <f>IF(OR($A50="",J$41=""),"",SUMIFS(Transactions!$Q$2:$Q$5000,Transactions!$D$2:$D$5000,$A50,Transactions!$C$2:$C$5000,J$41,Transactions!$A$2:$A$5000,"&gt;="&amp;$B$1,Transactions!$A$2:$A$5000,"&lt;"&amp;$D$1,Transactions!$O$2:$O$5000,1))</f>
        <v/>
      </c>
      <c r="K50" s="11" t="str">
        <f>IF(OR($A50="",K$41=""),"",SUMIFS(Transactions!$Q$2:$Q$5000,Transactions!$D$2:$D$5000,$A50,Transactions!$C$2:$C$5000,K$41,Transactions!$A$2:$A$5000,"&gt;="&amp;$B$1,Transactions!$A$2:$A$5000,"&lt;"&amp;$D$1,Transactions!$O$2:$O$5000,1))</f>
        <v/>
      </c>
      <c r="L50" s="11">
        <f>IF($A50="","",SUMIFS(Transactions!$Q$2:$Q$5000,Transactions!$D$2:$D$5000,$A50,Transactions!$A$2:$A$5000,"&gt;="&amp;$B$1,Transactions!$A$2:$A$5000,"&lt;"&amp;$D$1,Transactions!$O$2:$O$5000,1))</f>
        <v>93.59</v>
      </c>
      <c r="M50" s="27">
        <f>IF($A50="","",IFERROR(L50/L$42,0))</f>
        <v>0.03336089941469605</v>
      </c>
      <c r="N50" s="31">
        <f>IF($A50="","",COUNTIFS(Transactions!$D$2:$D$5000,$A50,Transactions!$A$2:$A$5000,"&gt;="&amp;$B$1,Transactions!$A$2:$A$5000,"&lt;"&amp;$D$1,Transactions!$O$2:$O$5000,1))</f>
        <v>8</v>
      </c>
      <c r="O50" s="6" t="str">
        <f>IF($A50="","",IF(IFERROR(INDEX('Paramètres'!$O:$O,MATCH($A50,'Paramètres'!$M:$M,0))&amp;"","")="Dépense Fixe","x",""))</f>
        <v/>
      </c>
      <c r="P50" s="6" t="str">
        <f>IF($A50="","",IF(IFERROR(INDEX('Paramètres'!$O:$O,MATCH($A50,'Paramètres'!$M:$M,0))&amp;"","")="Dépense Courante","x",""))</f>
        <v>x</v>
      </c>
      <c r="Q50" s="6" t="str">
        <f>IF($A50="","",IF(IFERROR(INDEX('Paramètres'!$O:$O,MATCH($A50,'Paramètres'!$M:$M,0))&amp;"","")="Dépense Occasionnelle","x",""))</f>
        <v/>
      </c>
      <c r="R50" s="6" t="str">
        <f>IF($A50="","",IFERROR(INDEX('Paramètres'!$Q:$Q,MATCH($A50,'Paramètres'!$M:$M,0))&amp;"",""))</f>
        <v>Alimentation</v>
      </c>
    </row>
    <row r="51" spans="1:18" x14ac:dyDescent="0.25">
      <c r="A51" s="6" t="str">
        <f>IFERROR(INDEX('Paramètres'!$M$10:$M$129,MATCH(9,'Référentiel'!$L$2:$L$121,0)),"")</f>
        <v>CB</v>
      </c>
      <c r="B51" s="11">
        <f>IF(OR($A51="",B$41=""),"",SUMIFS(Transactions!$Q$2:$Q$5000,Transactions!$D$2:$D$5000,$A51,Transactions!$C$2:$C$5000,B$41,Transactions!$A$2:$A$5000,"&gt;="&amp;$B$1,Transactions!$A$2:$A$5000,"&lt;"&amp;$D$1,Transactions!$O$2:$O$5000,1))</f>
        <v>0</v>
      </c>
      <c r="C51" s="11">
        <f>IF(OR($A51="",C$41=""),"",SUMIFS(Transactions!$Q$2:$Q$5000,Transactions!$D$2:$D$5000,$A51,Transactions!$C$2:$C$5000,C$41,Transactions!$A$2:$A$5000,"&gt;="&amp;$B$1,Transactions!$A$2:$A$5000,"&lt;"&amp;$D$1,Transactions!$O$2:$O$5000,1))</f>
        <v>0</v>
      </c>
      <c r="D51" s="11">
        <f>IF(OR($A51="",D$41=""),"",SUMIFS(Transactions!$Q$2:$Q$5000,Transactions!$D$2:$D$5000,$A51,Transactions!$C$2:$C$5000,D$41,Transactions!$A$2:$A$5000,"&gt;="&amp;$B$1,Transactions!$A$2:$A$5000,"&lt;"&amp;$D$1,Transactions!$O$2:$O$5000,1))</f>
        <v>0</v>
      </c>
      <c r="E51" s="11">
        <f>IF(OR($A51="",E$41=""),"",SUMIFS(Transactions!$Q$2:$Q$5000,Transactions!$D$2:$D$5000,$A51,Transactions!$C$2:$C$5000,E$41,Transactions!$A$2:$A$5000,"&gt;="&amp;$B$1,Transactions!$A$2:$A$5000,"&lt;"&amp;$D$1,Transactions!$O$2:$O$5000,1))</f>
        <v>0</v>
      </c>
      <c r="F51" s="11">
        <f>IF(OR($A51="",F$41=""),"",SUMIFS(Transactions!$Q$2:$Q$5000,Transactions!$D$2:$D$5000,$A51,Transactions!$C$2:$C$5000,F$41,Transactions!$A$2:$A$5000,"&gt;="&amp;$B$1,Transactions!$A$2:$A$5000,"&lt;"&amp;$D$1,Transactions!$O$2:$O$5000,1))</f>
        <v>0</v>
      </c>
      <c r="G51" s="11">
        <f>IF(OR($A51="",G$41=""),"",SUMIFS(Transactions!$Q$2:$Q$5000,Transactions!$D$2:$D$5000,$A51,Transactions!$C$2:$C$5000,G$41,Transactions!$A$2:$A$5000,"&gt;="&amp;$B$1,Transactions!$A$2:$A$5000,"&lt;"&amp;$D$1,Transactions!$O$2:$O$5000,1))</f>
        <v>0</v>
      </c>
      <c r="H51" s="11">
        <f>IF(OR($A51="",H$41=""),"",SUMIFS(Transactions!$Q$2:$Q$5000,Transactions!$D$2:$D$5000,$A51,Transactions!$C$2:$C$5000,H$41,Transactions!$A$2:$A$5000,"&gt;="&amp;$B$1,Transactions!$A$2:$A$5000,"&lt;"&amp;$D$1,Transactions!$O$2:$O$5000,1))</f>
        <v>0</v>
      </c>
      <c r="I51" s="11">
        <f>IF(OR($A51="",I$41=""),"",SUMIFS(Transactions!$Q$2:$Q$5000,Transactions!$D$2:$D$5000,$A51,Transactions!$C$2:$C$5000,I$41,Transactions!$A$2:$A$5000,"&gt;="&amp;$B$1,Transactions!$A$2:$A$5000,"&lt;"&amp;$D$1,Transactions!$O$2:$O$5000,1))</f>
        <v>0</v>
      </c>
      <c r="J51" s="11" t="str">
        <f>IF(OR($A51="",J$41=""),"",SUMIFS(Transactions!$Q$2:$Q$5000,Transactions!$D$2:$D$5000,$A51,Transactions!$C$2:$C$5000,J$41,Transactions!$A$2:$A$5000,"&gt;="&amp;$B$1,Transactions!$A$2:$A$5000,"&lt;"&amp;$D$1,Transactions!$O$2:$O$5000,1))</f>
        <v/>
      </c>
      <c r="K51" s="11" t="str">
        <f>IF(OR($A51="",K$41=""),"",SUMIFS(Transactions!$Q$2:$Q$5000,Transactions!$D$2:$D$5000,$A51,Transactions!$C$2:$C$5000,K$41,Transactions!$A$2:$A$5000,"&gt;="&amp;$B$1,Transactions!$A$2:$A$5000,"&lt;"&amp;$D$1,Transactions!$O$2:$O$5000,1))</f>
        <v/>
      </c>
      <c r="L51" s="11">
        <f>IF($A51="","",SUMIFS(Transactions!$Q$2:$Q$5000,Transactions!$D$2:$D$5000,$A51,Transactions!$A$2:$A$5000,"&gt;="&amp;$B$1,Transactions!$A$2:$A$5000,"&lt;"&amp;$D$1,Transactions!$O$2:$O$5000,1))</f>
        <v>0</v>
      </c>
      <c r="M51" s="27">
        <f>IF($A51="","",IFERROR(L51/L$42,0))</f>
        <v>0</v>
      </c>
      <c r="N51" s="31">
        <f>IF($A51="","",COUNTIFS(Transactions!$D$2:$D$5000,$A51,Transactions!$A$2:$A$5000,"&gt;="&amp;$B$1,Transactions!$A$2:$A$5000,"&lt;"&amp;$D$1,Transactions!$O$2:$O$5000,1))</f>
        <v>0</v>
      </c>
      <c r="O51" s="6" t="str">
        <f>IF($A51="","",IF(IFERROR(INDEX('Paramètres'!$O:$O,MATCH($A51,'Paramètres'!$M:$M,0))&amp;"","")="Dépense Fixe","x",""))</f>
        <v/>
      </c>
      <c r="P51" s="6" t="str">
        <f>IF($A51="","",IF(IFERROR(INDEX('Paramètres'!$O:$O,MATCH($A51,'Paramètres'!$M:$M,0))&amp;"","")="Dépense Courante","x",""))</f>
        <v/>
      </c>
      <c r="Q51" s="6" t="str">
        <f>IF($A51="","",IF(IFERROR(INDEX('Paramètres'!$O:$O,MATCH($A51,'Paramètres'!$M:$M,0))&amp;"","")="Dépense Occasionnelle","x",""))</f>
        <v>x</v>
      </c>
      <c r="R51" s="6" t="str">
        <f>IF($A51="","",IFERROR(INDEX('Paramètres'!$Q:$Q,MATCH($A51,'Paramètres'!$M:$M,0))&amp;"",""))</f>
        <v>Autre</v>
      </c>
    </row>
    <row r="52" spans="1:18" x14ac:dyDescent="0.25">
      <c r="A52" s="6" t="str">
        <f>IFERROR(INDEX('Paramètres'!$M$10:$M$129,MATCH(10,'Référentiel'!$L$2:$L$121,0)),"")</f>
        <v>courses</v>
      </c>
      <c r="B52" s="11">
        <f>IF(OR($A52="",B$41=""),"",SUMIFS(Transactions!$Q$2:$Q$5000,Transactions!$D$2:$D$5000,$A52,Transactions!$C$2:$C$5000,B$41,Transactions!$A$2:$A$5000,"&gt;="&amp;$B$1,Transactions!$A$2:$A$5000,"&lt;"&amp;$D$1,Transactions!$O$2:$O$5000,1))</f>
        <v>0</v>
      </c>
      <c r="C52" s="11">
        <f>IF(OR($A52="",C$41=""),"",SUMIFS(Transactions!$Q$2:$Q$5000,Transactions!$D$2:$D$5000,$A52,Transactions!$C$2:$C$5000,C$41,Transactions!$A$2:$A$5000,"&gt;="&amp;$B$1,Transactions!$A$2:$A$5000,"&lt;"&amp;$D$1,Transactions!$O$2:$O$5000,1))</f>
        <v>127.19</v>
      </c>
      <c r="D52" s="11">
        <f>IF(OR($A52="",D$41=""),"",SUMIFS(Transactions!$Q$2:$Q$5000,Transactions!$D$2:$D$5000,$A52,Transactions!$C$2:$C$5000,D$41,Transactions!$A$2:$A$5000,"&gt;="&amp;$B$1,Transactions!$A$2:$A$5000,"&lt;"&amp;$D$1,Transactions!$O$2:$O$5000,1))</f>
        <v>0</v>
      </c>
      <c r="E52" s="11">
        <f>IF(OR($A52="",E$41=""),"",SUMIFS(Transactions!$Q$2:$Q$5000,Transactions!$D$2:$D$5000,$A52,Transactions!$C$2:$C$5000,E$41,Transactions!$A$2:$A$5000,"&gt;="&amp;$B$1,Transactions!$A$2:$A$5000,"&lt;"&amp;$D$1,Transactions!$O$2:$O$5000,1))</f>
        <v>0</v>
      </c>
      <c r="F52" s="11">
        <f>IF(OR($A52="",F$41=""),"",SUMIFS(Transactions!$Q$2:$Q$5000,Transactions!$D$2:$D$5000,$A52,Transactions!$C$2:$C$5000,F$41,Transactions!$A$2:$A$5000,"&gt;="&amp;$B$1,Transactions!$A$2:$A$5000,"&lt;"&amp;$D$1,Transactions!$O$2:$O$5000,1))</f>
        <v>192.58</v>
      </c>
      <c r="G52" s="11">
        <f>IF(OR($A52="",G$41=""),"",SUMIFS(Transactions!$Q$2:$Q$5000,Transactions!$D$2:$D$5000,$A52,Transactions!$C$2:$C$5000,G$41,Transactions!$A$2:$A$5000,"&gt;="&amp;$B$1,Transactions!$A$2:$A$5000,"&lt;"&amp;$D$1,Transactions!$O$2:$O$5000,1))</f>
        <v>0</v>
      </c>
      <c r="H52" s="11">
        <f>IF(OR($A52="",H$41=""),"",SUMIFS(Transactions!$Q$2:$Q$5000,Transactions!$D$2:$D$5000,$A52,Transactions!$C$2:$C$5000,H$41,Transactions!$A$2:$A$5000,"&gt;="&amp;$B$1,Transactions!$A$2:$A$5000,"&lt;"&amp;$D$1,Transactions!$O$2:$O$5000,1))</f>
        <v>0</v>
      </c>
      <c r="I52" s="11">
        <f>IF(OR($A52="",I$41=""),"",SUMIFS(Transactions!$Q$2:$Q$5000,Transactions!$D$2:$D$5000,$A52,Transactions!$C$2:$C$5000,I$41,Transactions!$A$2:$A$5000,"&gt;="&amp;$B$1,Transactions!$A$2:$A$5000,"&lt;"&amp;$D$1,Transactions!$O$2:$O$5000,1))</f>
        <v>0</v>
      </c>
      <c r="J52" s="11" t="str">
        <f>IF(OR($A52="",J$41=""),"",SUMIFS(Transactions!$Q$2:$Q$5000,Transactions!$D$2:$D$5000,$A52,Transactions!$C$2:$C$5000,J$41,Transactions!$A$2:$A$5000,"&gt;="&amp;$B$1,Transactions!$A$2:$A$5000,"&lt;"&amp;$D$1,Transactions!$O$2:$O$5000,1))</f>
        <v/>
      </c>
      <c r="K52" s="11" t="str">
        <f>IF(OR($A52="",K$41=""),"",SUMIFS(Transactions!$Q$2:$Q$5000,Transactions!$D$2:$D$5000,$A52,Transactions!$C$2:$C$5000,K$41,Transactions!$A$2:$A$5000,"&gt;="&amp;$B$1,Transactions!$A$2:$A$5000,"&lt;"&amp;$D$1,Transactions!$O$2:$O$5000,1))</f>
        <v/>
      </c>
      <c r="L52" s="11">
        <f>IF($A52="","",SUMIFS(Transactions!$Q$2:$Q$5000,Transactions!$D$2:$D$5000,$A52,Transactions!$A$2:$A$5000,"&gt;="&amp;$B$1,Transactions!$A$2:$A$5000,"&lt;"&amp;$D$1,Transactions!$O$2:$O$5000,1))</f>
        <v>319.77</v>
      </c>
      <c r="M52" s="27">
        <f>IF($A52="","",IFERROR(L52/L$42,0))</f>
        <v>0.11398455824166422</v>
      </c>
      <c r="N52" s="31">
        <f>IF($A52="","",COUNTIFS(Transactions!$D$2:$D$5000,$A52,Transactions!$A$2:$A$5000,"&gt;="&amp;$B$1,Transactions!$A$2:$A$5000,"&lt;"&amp;$D$1,Transactions!$O$2:$O$5000,1))</f>
        <v>8</v>
      </c>
      <c r="O52" s="6" t="str">
        <f>IF($A52="","",IF(IFERROR(INDEX('Paramètres'!$O:$O,MATCH($A52,'Paramètres'!$M:$M,0))&amp;"","")="Dépense Fixe","x",""))</f>
        <v/>
      </c>
      <c r="P52" s="6" t="str">
        <f>IF($A52="","",IF(IFERROR(INDEX('Paramètres'!$O:$O,MATCH($A52,'Paramètres'!$M:$M,0))&amp;"","")="Dépense Courante","x",""))</f>
        <v>x</v>
      </c>
      <c r="Q52" s="6" t="str">
        <f>IF($A52="","",IF(IFERROR(INDEX('Paramètres'!$O:$O,MATCH($A52,'Paramètres'!$M:$M,0))&amp;"","")="Dépense Occasionnelle","x",""))</f>
        <v/>
      </c>
      <c r="R52" s="6" t="str">
        <f>IF($A52="","",IFERROR(INDEX('Paramètres'!$Q:$Q,MATCH($A52,'Paramètres'!$M:$M,0))&amp;"",""))</f>
        <v>Alimentation</v>
      </c>
    </row>
    <row r="53" spans="1:18" x14ac:dyDescent="0.25">
      <c r="A53" s="6" t="str">
        <f>IFERROR(INDEX('Paramètres'!$M$10:$M$129,MATCH(11,'Référentiel'!$L$2:$L$121,0)),"")</f>
        <v>Crédit Immobilier</v>
      </c>
      <c r="B53" s="11">
        <f>IF(OR($A53="",B$41=""),"",SUMIFS(Transactions!$Q$2:$Q$5000,Transactions!$D$2:$D$5000,$A53,Transactions!$C$2:$C$5000,B$41,Transactions!$A$2:$A$5000,"&gt;="&amp;$B$1,Transactions!$A$2:$A$5000,"&lt;"&amp;$D$1,Transactions!$O$2:$O$5000,1))</f>
        <v>0</v>
      </c>
      <c r="C53" s="11">
        <f>IF(OR($A53="",C$41=""),"",SUMIFS(Transactions!$Q$2:$Q$5000,Transactions!$D$2:$D$5000,$A53,Transactions!$C$2:$C$5000,C$41,Transactions!$A$2:$A$5000,"&gt;="&amp;$B$1,Transactions!$A$2:$A$5000,"&lt;"&amp;$D$1,Transactions!$O$2:$O$5000,1))</f>
        <v>0</v>
      </c>
      <c r="D53" s="11">
        <f>IF(OR($A53="",D$41=""),"",SUMIFS(Transactions!$Q$2:$Q$5000,Transactions!$D$2:$D$5000,$A53,Transactions!$C$2:$C$5000,D$41,Transactions!$A$2:$A$5000,"&gt;="&amp;$B$1,Transactions!$A$2:$A$5000,"&lt;"&amp;$D$1,Transactions!$O$2:$O$5000,1))</f>
        <v>0</v>
      </c>
      <c r="E53" s="11">
        <f>IF(OR($A53="",E$41=""),"",SUMIFS(Transactions!$Q$2:$Q$5000,Transactions!$D$2:$D$5000,$A53,Transactions!$C$2:$C$5000,E$41,Transactions!$A$2:$A$5000,"&gt;="&amp;$B$1,Transactions!$A$2:$A$5000,"&lt;"&amp;$D$1,Transactions!$O$2:$O$5000,1))</f>
        <v>0</v>
      </c>
      <c r="F53" s="11">
        <f>IF(OR($A53="",F$41=""),"",SUMIFS(Transactions!$Q$2:$Q$5000,Transactions!$D$2:$D$5000,$A53,Transactions!$C$2:$C$5000,F$41,Transactions!$A$2:$A$5000,"&gt;="&amp;$B$1,Transactions!$A$2:$A$5000,"&lt;"&amp;$D$1,Transactions!$O$2:$O$5000,1))</f>
        <v>0</v>
      </c>
      <c r="G53" s="11">
        <f>IF(OR($A53="",G$41=""),"",SUMIFS(Transactions!$Q$2:$Q$5000,Transactions!$D$2:$D$5000,$A53,Transactions!$C$2:$C$5000,G$41,Transactions!$A$2:$A$5000,"&gt;="&amp;$B$1,Transactions!$A$2:$A$5000,"&lt;"&amp;$D$1,Transactions!$O$2:$O$5000,1))</f>
        <v>668.16</v>
      </c>
      <c r="H53" s="11">
        <f>IF(OR($A53="",H$41=""),"",SUMIFS(Transactions!$Q$2:$Q$5000,Transactions!$D$2:$D$5000,$A53,Transactions!$C$2:$C$5000,H$41,Transactions!$A$2:$A$5000,"&gt;="&amp;$B$1,Transactions!$A$2:$A$5000,"&lt;"&amp;$D$1,Transactions!$O$2:$O$5000,1))</f>
        <v>0</v>
      </c>
      <c r="I53" s="11">
        <f>IF(OR($A53="",I$41=""),"",SUMIFS(Transactions!$Q$2:$Q$5000,Transactions!$D$2:$D$5000,$A53,Transactions!$C$2:$C$5000,I$41,Transactions!$A$2:$A$5000,"&gt;="&amp;$B$1,Transactions!$A$2:$A$5000,"&lt;"&amp;$D$1,Transactions!$O$2:$O$5000,1))</f>
        <v>0</v>
      </c>
      <c r="J53" s="11" t="str">
        <f>IF(OR($A53="",J$41=""),"",SUMIFS(Transactions!$Q$2:$Q$5000,Transactions!$D$2:$D$5000,$A53,Transactions!$C$2:$C$5000,J$41,Transactions!$A$2:$A$5000,"&gt;="&amp;$B$1,Transactions!$A$2:$A$5000,"&lt;"&amp;$D$1,Transactions!$O$2:$O$5000,1))</f>
        <v/>
      </c>
      <c r="K53" s="11" t="str">
        <f>IF(OR($A53="",K$41=""),"",SUMIFS(Transactions!$Q$2:$Q$5000,Transactions!$D$2:$D$5000,$A53,Transactions!$C$2:$C$5000,K$41,Transactions!$A$2:$A$5000,"&gt;="&amp;$B$1,Transactions!$A$2:$A$5000,"&lt;"&amp;$D$1,Transactions!$O$2:$O$5000,1))</f>
        <v/>
      </c>
      <c r="L53" s="11">
        <f>IF($A53="","",SUMIFS(Transactions!$Q$2:$Q$5000,Transactions!$D$2:$D$5000,$A53,Transactions!$A$2:$A$5000,"&gt;="&amp;$B$1,Transactions!$A$2:$A$5000,"&lt;"&amp;$D$1,Transactions!$O$2:$O$5000,1))</f>
        <v>668.16</v>
      </c>
      <c r="M53" s="27">
        <f>IF($A53="","",IFERROR(L53/L$42,0))</f>
        <v>0.23817094297385735</v>
      </c>
      <c r="N53" s="31">
        <f>IF($A53="","",COUNTIFS(Transactions!$D$2:$D$5000,$A53,Transactions!$A$2:$A$5000,"&gt;="&amp;$B$1,Transactions!$A$2:$A$5000,"&lt;"&amp;$D$1,Transactions!$O$2:$O$5000,1))</f>
        <v>1</v>
      </c>
      <c r="O53" s="6" t="str">
        <f>IF($A53="","",IF(IFERROR(INDEX('Paramètres'!$O:$O,MATCH($A53,'Paramètres'!$M:$M,0))&amp;"","")="Dépense Fixe","x",""))</f>
        <v/>
      </c>
      <c r="P53" s="6" t="str">
        <f>IF($A53="","",IF(IFERROR(INDEX('Paramètres'!$O:$O,MATCH($A53,'Paramètres'!$M:$M,0))&amp;"","")="Dépense Courante","x",""))</f>
        <v/>
      </c>
      <c r="Q53" s="6" t="str">
        <f>IF($A53="","",IF(IFERROR(INDEX('Paramètres'!$O:$O,MATCH($A53,'Paramètres'!$M:$M,0))&amp;"","")="Dépense Occasionnelle","x",""))</f>
        <v/>
      </c>
      <c r="R53" s="6" t="str">
        <f>IF($A53="","",IFERROR(INDEX('Paramètres'!$Q:$Q,MATCH($A53,'Paramètres'!$M:$M,0))&amp;"",""))</f>
        <v>Immobilier</v>
      </c>
    </row>
    <row r="54" spans="1:18" x14ac:dyDescent="0.25">
      <c r="A54" s="6" t="str">
        <f>IFERROR(INDEX('Paramètres'!$M$10:$M$129,MATCH(12,'Référentiel'!$L$2:$L$121,0)),"")</f>
        <v>Electricité</v>
      </c>
      <c r="B54" s="11">
        <f>IF(OR($A54="",B$41=""),"",SUMIFS(Transactions!$Q$2:$Q$5000,Transactions!$D$2:$D$5000,$A54,Transactions!$C$2:$C$5000,B$41,Transactions!$A$2:$A$5000,"&gt;="&amp;$B$1,Transactions!$A$2:$A$5000,"&lt;"&amp;$D$1,Transactions!$O$2:$O$5000,1))</f>
        <v>0</v>
      </c>
      <c r="C54" s="11">
        <f>IF(OR($A54="",C$41=""),"",SUMIFS(Transactions!$Q$2:$Q$5000,Transactions!$D$2:$D$5000,$A54,Transactions!$C$2:$C$5000,C$41,Transactions!$A$2:$A$5000,"&gt;="&amp;$B$1,Transactions!$A$2:$A$5000,"&lt;"&amp;$D$1,Transactions!$O$2:$O$5000,1))</f>
        <v>0</v>
      </c>
      <c r="D54" s="11">
        <f>IF(OR($A54="",D$41=""),"",SUMIFS(Transactions!$Q$2:$Q$5000,Transactions!$D$2:$D$5000,$A54,Transactions!$C$2:$C$5000,D$41,Transactions!$A$2:$A$5000,"&gt;="&amp;$B$1,Transactions!$A$2:$A$5000,"&lt;"&amp;$D$1,Transactions!$O$2:$O$5000,1))</f>
        <v>0</v>
      </c>
      <c r="E54" s="11">
        <f>IF(OR($A54="",E$41=""),"",SUMIFS(Transactions!$Q$2:$Q$5000,Transactions!$D$2:$D$5000,$A54,Transactions!$C$2:$C$5000,E$41,Transactions!$A$2:$A$5000,"&gt;="&amp;$B$1,Transactions!$A$2:$A$5000,"&lt;"&amp;$D$1,Transactions!$O$2:$O$5000,1))</f>
        <v>0</v>
      </c>
      <c r="F54" s="11">
        <f>IF(OR($A54="",F$41=""),"",SUMIFS(Transactions!$Q$2:$Q$5000,Transactions!$D$2:$D$5000,$A54,Transactions!$C$2:$C$5000,F$41,Transactions!$A$2:$A$5000,"&gt;="&amp;$B$1,Transactions!$A$2:$A$5000,"&lt;"&amp;$D$1,Transactions!$O$2:$O$5000,1))</f>
        <v>0</v>
      </c>
      <c r="G54" s="11">
        <f>IF(OR($A54="",G$41=""),"",SUMIFS(Transactions!$Q$2:$Q$5000,Transactions!$D$2:$D$5000,$A54,Transactions!$C$2:$C$5000,G$41,Transactions!$A$2:$A$5000,"&gt;="&amp;$B$1,Transactions!$A$2:$A$5000,"&lt;"&amp;$D$1,Transactions!$O$2:$O$5000,1))</f>
        <v>105.95</v>
      </c>
      <c r="H54" s="11">
        <f>IF(OR($A54="",H$41=""),"",SUMIFS(Transactions!$Q$2:$Q$5000,Transactions!$D$2:$D$5000,$A54,Transactions!$C$2:$C$5000,H$41,Transactions!$A$2:$A$5000,"&gt;="&amp;$B$1,Transactions!$A$2:$A$5000,"&lt;"&amp;$D$1,Transactions!$O$2:$O$5000,1))</f>
        <v>0</v>
      </c>
      <c r="I54" s="11">
        <f>IF(OR($A54="",I$41=""),"",SUMIFS(Transactions!$Q$2:$Q$5000,Transactions!$D$2:$D$5000,$A54,Transactions!$C$2:$C$5000,I$41,Transactions!$A$2:$A$5000,"&gt;="&amp;$B$1,Transactions!$A$2:$A$5000,"&lt;"&amp;$D$1,Transactions!$O$2:$O$5000,1))</f>
        <v>0</v>
      </c>
      <c r="J54" s="11" t="str">
        <f>IF(OR($A54="",J$41=""),"",SUMIFS(Transactions!$Q$2:$Q$5000,Transactions!$D$2:$D$5000,$A54,Transactions!$C$2:$C$5000,J$41,Transactions!$A$2:$A$5000,"&gt;="&amp;$B$1,Transactions!$A$2:$A$5000,"&lt;"&amp;$D$1,Transactions!$O$2:$O$5000,1))</f>
        <v/>
      </c>
      <c r="K54" s="11" t="str">
        <f>IF(OR($A54="",K$41=""),"",SUMIFS(Transactions!$Q$2:$Q$5000,Transactions!$D$2:$D$5000,$A54,Transactions!$C$2:$C$5000,K$41,Transactions!$A$2:$A$5000,"&gt;="&amp;$B$1,Transactions!$A$2:$A$5000,"&lt;"&amp;$D$1,Transactions!$O$2:$O$5000,1))</f>
        <v/>
      </c>
      <c r="L54" s="11">
        <f>IF($A54="","",SUMIFS(Transactions!$Q$2:$Q$5000,Transactions!$D$2:$D$5000,$A54,Transactions!$A$2:$A$5000,"&gt;="&amp;$B$1,Transactions!$A$2:$A$5000,"&lt;"&amp;$D$1,Transactions!$O$2:$O$5000,1))</f>
        <v>105.95</v>
      </c>
      <c r="M54" s="27">
        <f>IF($A54="","",IFERROR(L54/L$42,0))</f>
        <v>0.0377667196600817</v>
      </c>
      <c r="N54" s="31">
        <f>IF($A54="","",COUNTIFS(Transactions!$D$2:$D$5000,$A54,Transactions!$A$2:$A$5000,"&gt;="&amp;$B$1,Transactions!$A$2:$A$5000,"&lt;"&amp;$D$1,Transactions!$O$2:$O$5000,1))</f>
        <v>1</v>
      </c>
      <c r="O54" s="6" t="str">
        <f>IF($A54="","",IF(IFERROR(INDEX('Paramètres'!$O:$O,MATCH($A54,'Paramètres'!$M:$M,0))&amp;"","")="Dépense Fixe","x",""))</f>
        <v>x</v>
      </c>
      <c r="P54" s="6" t="str">
        <f>IF($A54="","",IF(IFERROR(INDEX('Paramètres'!$O:$O,MATCH($A54,'Paramètres'!$M:$M,0))&amp;"","")="Dépense Courante","x",""))</f>
        <v/>
      </c>
      <c r="Q54" s="6" t="str">
        <f>IF($A54="","",IF(IFERROR(INDEX('Paramètres'!$O:$O,MATCH($A54,'Paramètres'!$M:$M,0))&amp;"","")="Dépense Occasionnelle","x",""))</f>
        <v/>
      </c>
      <c r="R54" s="6" t="str">
        <f>IF($A54="","",IFERROR(INDEX('Paramètres'!$Q:$Q,MATCH($A54,'Paramètres'!$M:$M,0))&amp;"",""))</f>
        <v>Immobilier</v>
      </c>
    </row>
    <row r="55" spans="1:18" x14ac:dyDescent="0.25">
      <c r="A55" s="6" t="str">
        <f>IFERROR(INDEX('Paramètres'!$M$10:$M$129,MATCH(13,'Référentiel'!$L$2:$L$121,0)),"")</f>
        <v>Epargne Banque B</v>
      </c>
      <c r="B55" s="11">
        <f>IF(OR($A55="",B$41=""),"",SUMIFS(Transactions!$Q$2:$Q$5000,Transactions!$D$2:$D$5000,$A55,Transactions!$C$2:$C$5000,B$41,Transactions!$A$2:$A$5000,"&gt;="&amp;$B$1,Transactions!$A$2:$A$5000,"&lt;"&amp;$D$1,Transactions!$O$2:$O$5000,1))</f>
        <v>0</v>
      </c>
      <c r="C55" s="11">
        <f>IF(OR($A55="",C$41=""),"",SUMIFS(Transactions!$Q$2:$Q$5000,Transactions!$D$2:$D$5000,$A55,Transactions!$C$2:$C$5000,C$41,Transactions!$A$2:$A$5000,"&gt;="&amp;$B$1,Transactions!$A$2:$A$5000,"&lt;"&amp;$D$1,Transactions!$O$2:$O$5000,1))</f>
        <v>0</v>
      </c>
      <c r="D55" s="11">
        <f>IF(OR($A55="",D$41=""),"",SUMIFS(Transactions!$Q$2:$Q$5000,Transactions!$D$2:$D$5000,$A55,Transactions!$C$2:$C$5000,D$41,Transactions!$A$2:$A$5000,"&gt;="&amp;$B$1,Transactions!$A$2:$A$5000,"&lt;"&amp;$D$1,Transactions!$O$2:$O$5000,1))</f>
        <v>0</v>
      </c>
      <c r="E55" s="11">
        <f>IF(OR($A55="",E$41=""),"",SUMIFS(Transactions!$Q$2:$Q$5000,Transactions!$D$2:$D$5000,$A55,Transactions!$C$2:$C$5000,E$41,Transactions!$A$2:$A$5000,"&gt;="&amp;$B$1,Transactions!$A$2:$A$5000,"&lt;"&amp;$D$1,Transactions!$O$2:$O$5000,1))</f>
        <v>0</v>
      </c>
      <c r="F55" s="11">
        <f>IF(OR($A55="",F$41=""),"",SUMIFS(Transactions!$Q$2:$Q$5000,Transactions!$D$2:$D$5000,$A55,Transactions!$C$2:$C$5000,F$41,Transactions!$A$2:$A$5000,"&gt;="&amp;$B$1,Transactions!$A$2:$A$5000,"&lt;"&amp;$D$1,Transactions!$O$2:$O$5000,1))</f>
        <v>0</v>
      </c>
      <c r="G55" s="11">
        <f>IF(OR($A55="",G$41=""),"",SUMIFS(Transactions!$Q$2:$Q$5000,Transactions!$D$2:$D$5000,$A55,Transactions!$C$2:$C$5000,G$41,Transactions!$A$2:$A$5000,"&gt;="&amp;$B$1,Transactions!$A$2:$A$5000,"&lt;"&amp;$D$1,Transactions!$O$2:$O$5000,1))</f>
        <v>0</v>
      </c>
      <c r="H55" s="11">
        <f>IF(OR($A55="",H$41=""),"",SUMIFS(Transactions!$Q$2:$Q$5000,Transactions!$D$2:$D$5000,$A55,Transactions!$C$2:$C$5000,H$41,Transactions!$A$2:$A$5000,"&gt;="&amp;$B$1,Transactions!$A$2:$A$5000,"&lt;"&amp;$D$1,Transactions!$O$2:$O$5000,1))</f>
        <v>0</v>
      </c>
      <c r="I55" s="11">
        <f>IF(OR($A55="",I$41=""),"",SUMIFS(Transactions!$Q$2:$Q$5000,Transactions!$D$2:$D$5000,$A55,Transactions!$C$2:$C$5000,I$41,Transactions!$A$2:$A$5000,"&gt;="&amp;$B$1,Transactions!$A$2:$A$5000,"&lt;"&amp;$D$1,Transactions!$O$2:$O$5000,1))</f>
        <v>0</v>
      </c>
      <c r="J55" s="11" t="str">
        <f>IF(OR($A55="",J$41=""),"",SUMIFS(Transactions!$Q$2:$Q$5000,Transactions!$D$2:$D$5000,$A55,Transactions!$C$2:$C$5000,J$41,Transactions!$A$2:$A$5000,"&gt;="&amp;$B$1,Transactions!$A$2:$A$5000,"&lt;"&amp;$D$1,Transactions!$O$2:$O$5000,1))</f>
        <v/>
      </c>
      <c r="K55" s="11" t="str">
        <f>IF(OR($A55="",K$41=""),"",SUMIFS(Transactions!$Q$2:$Q$5000,Transactions!$D$2:$D$5000,$A55,Transactions!$C$2:$C$5000,K$41,Transactions!$A$2:$A$5000,"&gt;="&amp;$B$1,Transactions!$A$2:$A$5000,"&lt;"&amp;$D$1,Transactions!$O$2:$O$5000,1))</f>
        <v/>
      </c>
      <c r="L55" s="11">
        <f>IF($A55="","",SUMIFS(Transactions!$Q$2:$Q$5000,Transactions!$D$2:$D$5000,$A55,Transactions!$A$2:$A$5000,"&gt;="&amp;$B$1,Transactions!$A$2:$A$5000,"&lt;"&amp;$D$1,Transactions!$O$2:$O$5000,1))</f>
        <v>0</v>
      </c>
      <c r="M55" s="27">
        <f>IF($A55="","",IFERROR(L55/L$42,0))</f>
        <v>0</v>
      </c>
      <c r="N55" s="31">
        <f>IF($A55="","",COUNTIFS(Transactions!$D$2:$D$5000,$A55,Transactions!$A$2:$A$5000,"&gt;="&amp;$B$1,Transactions!$A$2:$A$5000,"&lt;"&amp;$D$1,Transactions!$O$2:$O$5000,1))</f>
        <v>0</v>
      </c>
      <c r="O55" s="6" t="str">
        <f>IF($A55="","",IF(IFERROR(INDEX('Paramètres'!$O:$O,MATCH($A55,'Paramètres'!$M:$M,0))&amp;"","")="Dépense Fixe","x",""))</f>
        <v/>
      </c>
      <c r="P55" s="6" t="str">
        <f>IF($A55="","",IF(IFERROR(INDEX('Paramètres'!$O:$O,MATCH($A55,'Paramètres'!$M:$M,0))&amp;"","")="Dépense Courante","x",""))</f>
        <v/>
      </c>
      <c r="Q55" s="6" t="str">
        <f>IF($A55="","",IF(IFERROR(INDEX('Paramètres'!$O:$O,MATCH($A55,'Paramètres'!$M:$M,0))&amp;"","")="Dépense Occasionnelle","x",""))</f>
        <v/>
      </c>
      <c r="R55" s="6" t="str">
        <f>IF($A55="","",IFERROR(INDEX('Paramètres'!$Q:$Q,MATCH($A55,'Paramètres'!$M:$M,0))&amp;"",""))</f>
        <v>Comptes Bancaires</v>
      </c>
    </row>
    <row r="56" spans="1:18" x14ac:dyDescent="0.25">
      <c r="A56" s="6" t="str">
        <f>IFERROR(INDEX('Paramètres'!$M$10:$M$129,MATCH(14,'Référentiel'!$L$2:$L$121,0)),"")</f>
        <v>Epargne Banque C</v>
      </c>
      <c r="B56" s="11">
        <f>IF(OR($A56="",B$41=""),"",SUMIFS(Transactions!$Q$2:$Q$5000,Transactions!$D$2:$D$5000,$A56,Transactions!$C$2:$C$5000,B$41,Transactions!$A$2:$A$5000,"&gt;="&amp;$B$1,Transactions!$A$2:$A$5000,"&lt;"&amp;$D$1,Transactions!$O$2:$O$5000,1))</f>
        <v>200</v>
      </c>
      <c r="C56" s="11">
        <f>IF(OR($A56="",C$41=""),"",SUMIFS(Transactions!$Q$2:$Q$5000,Transactions!$D$2:$D$5000,$A56,Transactions!$C$2:$C$5000,C$41,Transactions!$A$2:$A$5000,"&gt;="&amp;$B$1,Transactions!$A$2:$A$5000,"&lt;"&amp;$D$1,Transactions!$O$2:$O$5000,1))</f>
        <v>0</v>
      </c>
      <c r="D56" s="11">
        <f>IF(OR($A56="",D$41=""),"",SUMIFS(Transactions!$Q$2:$Q$5000,Transactions!$D$2:$D$5000,$A56,Transactions!$C$2:$C$5000,D$41,Transactions!$A$2:$A$5000,"&gt;="&amp;$B$1,Transactions!$A$2:$A$5000,"&lt;"&amp;$D$1,Transactions!$O$2:$O$5000,1))</f>
        <v>0</v>
      </c>
      <c r="E56" s="11">
        <f>IF(OR($A56="",E$41=""),"",SUMIFS(Transactions!$Q$2:$Q$5000,Transactions!$D$2:$D$5000,$A56,Transactions!$C$2:$C$5000,E$41,Transactions!$A$2:$A$5000,"&gt;="&amp;$B$1,Transactions!$A$2:$A$5000,"&lt;"&amp;$D$1,Transactions!$O$2:$O$5000,1))</f>
        <v>0</v>
      </c>
      <c r="F56" s="11">
        <f>IF(OR($A56="",F$41=""),"",SUMIFS(Transactions!$Q$2:$Q$5000,Transactions!$D$2:$D$5000,$A56,Transactions!$C$2:$C$5000,F$41,Transactions!$A$2:$A$5000,"&gt;="&amp;$B$1,Transactions!$A$2:$A$5000,"&lt;"&amp;$D$1,Transactions!$O$2:$O$5000,1))</f>
        <v>0</v>
      </c>
      <c r="G56" s="11">
        <f>IF(OR($A56="",G$41=""),"",SUMIFS(Transactions!$Q$2:$Q$5000,Transactions!$D$2:$D$5000,$A56,Transactions!$C$2:$C$5000,G$41,Transactions!$A$2:$A$5000,"&gt;="&amp;$B$1,Transactions!$A$2:$A$5000,"&lt;"&amp;$D$1,Transactions!$O$2:$O$5000,1))</f>
        <v>0</v>
      </c>
      <c r="H56" s="11">
        <f>IF(OR($A56="",H$41=""),"",SUMIFS(Transactions!$Q$2:$Q$5000,Transactions!$D$2:$D$5000,$A56,Transactions!$C$2:$C$5000,H$41,Transactions!$A$2:$A$5000,"&gt;="&amp;$B$1,Transactions!$A$2:$A$5000,"&lt;"&amp;$D$1,Transactions!$O$2:$O$5000,1))</f>
        <v>0</v>
      </c>
      <c r="I56" s="11">
        <f>IF(OR($A56="",I$41=""),"",SUMIFS(Transactions!$Q$2:$Q$5000,Transactions!$D$2:$D$5000,$A56,Transactions!$C$2:$C$5000,I$41,Transactions!$A$2:$A$5000,"&gt;="&amp;$B$1,Transactions!$A$2:$A$5000,"&lt;"&amp;$D$1,Transactions!$O$2:$O$5000,1))</f>
        <v>0</v>
      </c>
      <c r="J56" s="11" t="str">
        <f>IF(OR($A56="",J$41=""),"",SUMIFS(Transactions!$Q$2:$Q$5000,Transactions!$D$2:$D$5000,$A56,Transactions!$C$2:$C$5000,J$41,Transactions!$A$2:$A$5000,"&gt;="&amp;$B$1,Transactions!$A$2:$A$5000,"&lt;"&amp;$D$1,Transactions!$O$2:$O$5000,1))</f>
        <v/>
      </c>
      <c r="K56" s="11" t="str">
        <f>IF(OR($A56="",K$41=""),"",SUMIFS(Transactions!$Q$2:$Q$5000,Transactions!$D$2:$D$5000,$A56,Transactions!$C$2:$C$5000,K$41,Transactions!$A$2:$A$5000,"&gt;="&amp;$B$1,Transactions!$A$2:$A$5000,"&lt;"&amp;$D$1,Transactions!$O$2:$O$5000,1))</f>
        <v/>
      </c>
      <c r="L56" s="11">
        <f>IF($A56="","",SUMIFS(Transactions!$Q$2:$Q$5000,Transactions!$D$2:$D$5000,$A56,Transactions!$A$2:$A$5000,"&gt;="&amp;$B$1,Transactions!$A$2:$A$5000,"&lt;"&amp;$D$1,Transactions!$O$2:$O$5000,1))</f>
        <v>200</v>
      </c>
      <c r="M56" s="27">
        <f>IF($A56="","",IFERROR(L56/L$42,0))</f>
        <v>0.07129158973115941</v>
      </c>
      <c r="N56" s="31">
        <f>IF($A56="","",COUNTIFS(Transactions!$D$2:$D$5000,$A56,Transactions!$A$2:$A$5000,"&gt;="&amp;$B$1,Transactions!$A$2:$A$5000,"&lt;"&amp;$D$1,Transactions!$O$2:$O$5000,1))</f>
        <v>1</v>
      </c>
      <c r="O56" s="6" t="str">
        <f>IF($A56="","",IF(IFERROR(INDEX('Paramètres'!$O:$O,MATCH($A56,'Paramètres'!$M:$M,0))&amp;"","")="Dépense Fixe","x",""))</f>
        <v/>
      </c>
      <c r="P56" s="6" t="str">
        <f>IF($A56="","",IF(IFERROR(INDEX('Paramètres'!$O:$O,MATCH($A56,'Paramètres'!$M:$M,0))&amp;"","")="Dépense Courante","x",""))</f>
        <v/>
      </c>
      <c r="Q56" s="6" t="str">
        <f>IF($A56="","",IF(IFERROR(INDEX('Paramètres'!$O:$O,MATCH($A56,'Paramètres'!$M:$M,0))&amp;"","")="Dépense Occasionnelle","x",""))</f>
        <v/>
      </c>
      <c r="R56" s="6" t="str">
        <f>IF($A56="","",IFERROR(INDEX('Paramètres'!$Q:$Q,MATCH($A56,'Paramètres'!$M:$M,0))&amp;"",""))</f>
        <v>Comptes Bancaires</v>
      </c>
    </row>
    <row r="57" spans="1:18" x14ac:dyDescent="0.25">
      <c r="A57" s="6" t="str">
        <f>IFERROR(INDEX('Paramètres'!$M$10:$M$129,MATCH(15,'Référentiel'!$L$2:$L$121,0)),"")</f>
        <v>Équipement</v>
      </c>
      <c r="B57" s="11">
        <f>IF(OR($A57="",B$41=""),"",SUMIFS(Transactions!$Q$2:$Q$5000,Transactions!$D$2:$D$5000,$A57,Transactions!$C$2:$C$5000,B$41,Transactions!$A$2:$A$5000,"&gt;="&amp;$B$1,Transactions!$A$2:$A$5000,"&lt;"&amp;$D$1,Transactions!$O$2:$O$5000,1))</f>
        <v>0</v>
      </c>
      <c r="C57" s="11">
        <f>IF(OR($A57="",C$41=""),"",SUMIFS(Transactions!$Q$2:$Q$5000,Transactions!$D$2:$D$5000,$A57,Transactions!$C$2:$C$5000,C$41,Transactions!$A$2:$A$5000,"&gt;="&amp;$B$1,Transactions!$A$2:$A$5000,"&lt;"&amp;$D$1,Transactions!$O$2:$O$5000,1))</f>
        <v>177.02</v>
      </c>
      <c r="D57" s="11">
        <f>IF(OR($A57="",D$41=""),"",SUMIFS(Transactions!$Q$2:$Q$5000,Transactions!$D$2:$D$5000,$A57,Transactions!$C$2:$C$5000,D$41,Transactions!$A$2:$A$5000,"&gt;="&amp;$B$1,Transactions!$A$2:$A$5000,"&lt;"&amp;$D$1,Transactions!$O$2:$O$5000,1))</f>
        <v>0</v>
      </c>
      <c r="E57" s="11">
        <f>IF(OR($A57="",E$41=""),"",SUMIFS(Transactions!$Q$2:$Q$5000,Transactions!$D$2:$D$5000,$A57,Transactions!$C$2:$C$5000,E$41,Transactions!$A$2:$A$5000,"&gt;="&amp;$B$1,Transactions!$A$2:$A$5000,"&lt;"&amp;$D$1,Transactions!$O$2:$O$5000,1))</f>
        <v>0</v>
      </c>
      <c r="F57" s="11">
        <f>IF(OR($A57="",F$41=""),"",SUMIFS(Transactions!$Q$2:$Q$5000,Transactions!$D$2:$D$5000,$A57,Transactions!$C$2:$C$5000,F$41,Transactions!$A$2:$A$5000,"&gt;="&amp;$B$1,Transactions!$A$2:$A$5000,"&lt;"&amp;$D$1,Transactions!$O$2:$O$5000,1))</f>
        <v>0</v>
      </c>
      <c r="G57" s="11">
        <f>IF(OR($A57="",G$41=""),"",SUMIFS(Transactions!$Q$2:$Q$5000,Transactions!$D$2:$D$5000,$A57,Transactions!$C$2:$C$5000,G$41,Transactions!$A$2:$A$5000,"&gt;="&amp;$B$1,Transactions!$A$2:$A$5000,"&lt;"&amp;$D$1,Transactions!$O$2:$O$5000,1))</f>
        <v>0</v>
      </c>
      <c r="H57" s="11">
        <f>IF(OR($A57="",H$41=""),"",SUMIFS(Transactions!$Q$2:$Q$5000,Transactions!$D$2:$D$5000,$A57,Transactions!$C$2:$C$5000,H$41,Transactions!$A$2:$A$5000,"&gt;="&amp;$B$1,Transactions!$A$2:$A$5000,"&lt;"&amp;$D$1,Transactions!$O$2:$O$5000,1))</f>
        <v>0</v>
      </c>
      <c r="I57" s="11">
        <f>IF(OR($A57="",I$41=""),"",SUMIFS(Transactions!$Q$2:$Q$5000,Transactions!$D$2:$D$5000,$A57,Transactions!$C$2:$C$5000,I$41,Transactions!$A$2:$A$5000,"&gt;="&amp;$B$1,Transactions!$A$2:$A$5000,"&lt;"&amp;$D$1,Transactions!$O$2:$O$5000,1))</f>
        <v>0</v>
      </c>
      <c r="J57" s="11" t="str">
        <f>IF(OR($A57="",J$41=""),"",SUMIFS(Transactions!$Q$2:$Q$5000,Transactions!$D$2:$D$5000,$A57,Transactions!$C$2:$C$5000,J$41,Transactions!$A$2:$A$5000,"&gt;="&amp;$B$1,Transactions!$A$2:$A$5000,"&lt;"&amp;$D$1,Transactions!$O$2:$O$5000,1))</f>
        <v/>
      </c>
      <c r="K57" s="11" t="str">
        <f>IF(OR($A57="",K$41=""),"",SUMIFS(Transactions!$Q$2:$Q$5000,Transactions!$D$2:$D$5000,$A57,Transactions!$C$2:$C$5000,K$41,Transactions!$A$2:$A$5000,"&gt;="&amp;$B$1,Transactions!$A$2:$A$5000,"&lt;"&amp;$D$1,Transactions!$O$2:$O$5000,1))</f>
        <v/>
      </c>
      <c r="L57" s="11">
        <f>IF($A57="","",SUMIFS(Transactions!$Q$2:$Q$5000,Transactions!$D$2:$D$5000,$A57,Transactions!$A$2:$A$5000,"&gt;="&amp;$B$1,Transactions!$A$2:$A$5000,"&lt;"&amp;$D$1,Transactions!$O$2:$O$5000,1))</f>
        <v>177.02</v>
      </c>
      <c r="M57" s="27">
        <f>IF($A57="","",IFERROR(L57/L$42,0))</f>
        <v>0.0631001860710492</v>
      </c>
      <c r="N57" s="31">
        <f>IF($A57="","",COUNTIFS(Transactions!$D$2:$D$5000,$A57,Transactions!$A$2:$A$5000,"&gt;="&amp;$B$1,Transactions!$A$2:$A$5000,"&lt;"&amp;$D$1,Transactions!$O$2:$O$5000,1))</f>
        <v>2</v>
      </c>
      <c r="O57" s="6" t="str">
        <f>IF($A57="","",IF(IFERROR(INDEX('Paramètres'!$O:$O,MATCH($A57,'Paramètres'!$M:$M,0))&amp;"","")="Dépense Fixe","x",""))</f>
        <v/>
      </c>
      <c r="P57" s="6" t="str">
        <f>IF($A57="","",IF(IFERROR(INDEX('Paramètres'!$O:$O,MATCH($A57,'Paramètres'!$M:$M,0))&amp;"","")="Dépense Courante","x",""))</f>
        <v/>
      </c>
      <c r="Q57" s="6" t="str">
        <f>IF($A57="","",IF(IFERROR(INDEX('Paramètres'!$O:$O,MATCH($A57,'Paramètres'!$M:$M,0))&amp;"","")="Dépense Occasionnelle","x",""))</f>
        <v>x</v>
      </c>
      <c r="R57" s="6" t="str">
        <f>IF($A57="","",IFERROR(INDEX('Paramètres'!$Q:$Q,MATCH($A57,'Paramètres'!$M:$M,0))&amp;"",""))</f>
        <v>Autre</v>
      </c>
    </row>
    <row r="58" spans="1:18" x14ac:dyDescent="0.25">
      <c r="A58" s="6" t="str">
        <f>IFERROR(INDEX('Paramètres'!$M$10:$M$129,MATCH(16,'Référentiel'!$L$2:$L$121,0)),"")</f>
        <v>Essence</v>
      </c>
      <c r="B58" s="11">
        <f>IF(OR($A58="",B$41=""),"",SUMIFS(Transactions!$Q$2:$Q$5000,Transactions!$D$2:$D$5000,$A58,Transactions!$C$2:$C$5000,B$41,Transactions!$A$2:$A$5000,"&gt;="&amp;$B$1,Transactions!$A$2:$A$5000,"&lt;"&amp;$D$1,Transactions!$O$2:$O$5000,1))</f>
        <v>116.97</v>
      </c>
      <c r="C58" s="11">
        <f>IF(OR($A58="",C$41=""),"",SUMIFS(Transactions!$Q$2:$Q$5000,Transactions!$D$2:$D$5000,$A58,Transactions!$C$2:$C$5000,C$41,Transactions!$A$2:$A$5000,"&gt;="&amp;$B$1,Transactions!$A$2:$A$5000,"&lt;"&amp;$D$1,Transactions!$O$2:$O$5000,1))</f>
        <v>0</v>
      </c>
      <c r="D58" s="11">
        <f>IF(OR($A58="",D$41=""),"",SUMIFS(Transactions!$Q$2:$Q$5000,Transactions!$D$2:$D$5000,$A58,Transactions!$C$2:$C$5000,D$41,Transactions!$A$2:$A$5000,"&gt;="&amp;$B$1,Transactions!$A$2:$A$5000,"&lt;"&amp;$D$1,Transactions!$O$2:$O$5000,1))</f>
        <v>0</v>
      </c>
      <c r="E58" s="11">
        <f>IF(OR($A58="",E$41=""),"",SUMIFS(Transactions!$Q$2:$Q$5000,Transactions!$D$2:$D$5000,$A58,Transactions!$C$2:$C$5000,E$41,Transactions!$A$2:$A$5000,"&gt;="&amp;$B$1,Transactions!$A$2:$A$5000,"&lt;"&amp;$D$1,Transactions!$O$2:$O$5000,1))</f>
        <v>0</v>
      </c>
      <c r="F58" s="11">
        <f>IF(OR($A58="",F$41=""),"",SUMIFS(Transactions!$Q$2:$Q$5000,Transactions!$D$2:$D$5000,$A58,Transactions!$C$2:$C$5000,F$41,Transactions!$A$2:$A$5000,"&gt;="&amp;$B$1,Transactions!$A$2:$A$5000,"&lt;"&amp;$D$1,Transactions!$O$2:$O$5000,1))</f>
        <v>0</v>
      </c>
      <c r="G58" s="11">
        <f>IF(OR($A58="",G$41=""),"",SUMIFS(Transactions!$Q$2:$Q$5000,Transactions!$D$2:$D$5000,$A58,Transactions!$C$2:$C$5000,G$41,Transactions!$A$2:$A$5000,"&gt;="&amp;$B$1,Transactions!$A$2:$A$5000,"&lt;"&amp;$D$1,Transactions!$O$2:$O$5000,1))</f>
        <v>0</v>
      </c>
      <c r="H58" s="11">
        <f>IF(OR($A58="",H$41=""),"",SUMIFS(Transactions!$Q$2:$Q$5000,Transactions!$D$2:$D$5000,$A58,Transactions!$C$2:$C$5000,H$41,Transactions!$A$2:$A$5000,"&gt;="&amp;$B$1,Transactions!$A$2:$A$5000,"&lt;"&amp;$D$1,Transactions!$O$2:$O$5000,1))</f>
        <v>0</v>
      </c>
      <c r="I58" s="11">
        <f>IF(OR($A58="",I$41=""),"",SUMIFS(Transactions!$Q$2:$Q$5000,Transactions!$D$2:$D$5000,$A58,Transactions!$C$2:$C$5000,I$41,Transactions!$A$2:$A$5000,"&gt;="&amp;$B$1,Transactions!$A$2:$A$5000,"&lt;"&amp;$D$1,Transactions!$O$2:$O$5000,1))</f>
        <v>0</v>
      </c>
      <c r="J58" s="11" t="str">
        <f>IF(OR($A58="",J$41=""),"",SUMIFS(Transactions!$Q$2:$Q$5000,Transactions!$D$2:$D$5000,$A58,Transactions!$C$2:$C$5000,J$41,Transactions!$A$2:$A$5000,"&gt;="&amp;$B$1,Transactions!$A$2:$A$5000,"&lt;"&amp;$D$1,Transactions!$O$2:$O$5000,1))</f>
        <v/>
      </c>
      <c r="K58" s="11" t="str">
        <f>IF(OR($A58="",K$41=""),"",SUMIFS(Transactions!$Q$2:$Q$5000,Transactions!$D$2:$D$5000,$A58,Transactions!$C$2:$C$5000,K$41,Transactions!$A$2:$A$5000,"&gt;="&amp;$B$1,Transactions!$A$2:$A$5000,"&lt;"&amp;$D$1,Transactions!$O$2:$O$5000,1))</f>
        <v/>
      </c>
      <c r="L58" s="11">
        <f>IF($A58="","",SUMIFS(Transactions!$Q$2:$Q$5000,Transactions!$D$2:$D$5000,$A58,Transactions!$A$2:$A$5000,"&gt;="&amp;$B$1,Transactions!$A$2:$A$5000,"&lt;"&amp;$D$1,Transactions!$O$2:$O$5000,1))</f>
        <v>116.97</v>
      </c>
      <c r="M58" s="27">
        <f>IF($A58="","",IFERROR(L58/L$42,0))</f>
        <v>0.04169488625426858</v>
      </c>
      <c r="N58" s="31">
        <f>IF($A58="","",COUNTIFS(Transactions!$D$2:$D$5000,$A58,Transactions!$A$2:$A$5000,"&gt;="&amp;$B$1,Transactions!$A$2:$A$5000,"&lt;"&amp;$D$1,Transactions!$O$2:$O$5000,1))</f>
        <v>2</v>
      </c>
      <c r="O58" s="6" t="str">
        <f>IF($A58="","",IF(IFERROR(INDEX('Paramètres'!$O:$O,MATCH($A58,'Paramètres'!$M:$M,0))&amp;"","")="Dépense Fixe","x",""))</f>
        <v/>
      </c>
      <c r="P58" s="6" t="str">
        <f>IF($A58="","",IF(IFERROR(INDEX('Paramètres'!$O:$O,MATCH($A58,'Paramètres'!$M:$M,0))&amp;"","")="Dépense Courante","x",""))</f>
        <v>x</v>
      </c>
      <c r="Q58" s="6" t="str">
        <f>IF($A58="","",IF(IFERROR(INDEX('Paramètres'!$O:$O,MATCH($A58,'Paramètres'!$M:$M,0))&amp;"","")="Dépense Occasionnelle","x",""))</f>
        <v/>
      </c>
      <c r="R58" s="6" t="str">
        <f>IF($A58="","",IFERROR(INDEX('Paramètres'!$Q:$Q,MATCH($A58,'Paramètres'!$M:$M,0))&amp;"",""))</f>
        <v>Transport</v>
      </c>
    </row>
    <row r="59" spans="1:18" x14ac:dyDescent="0.25">
      <c r="A59" s="6" t="str">
        <f>IFERROR(INDEX('Paramètres'!$M$10:$M$129,MATCH(17,'Référentiel'!$L$2:$L$121,0)),"")</f>
        <v>Frais Bancaires</v>
      </c>
      <c r="B59" s="11">
        <f>IF(OR($A59="",B$41=""),"",SUMIFS(Transactions!$Q$2:$Q$5000,Transactions!$D$2:$D$5000,$A59,Transactions!$C$2:$C$5000,B$41,Transactions!$A$2:$A$5000,"&gt;="&amp;$B$1,Transactions!$A$2:$A$5000,"&lt;"&amp;$D$1,Transactions!$O$2:$O$5000,1))</f>
        <v>3</v>
      </c>
      <c r="C59" s="11">
        <f>IF(OR($A59="",C$41=""),"",SUMIFS(Transactions!$Q$2:$Q$5000,Transactions!$D$2:$D$5000,$A59,Transactions!$C$2:$C$5000,C$41,Transactions!$A$2:$A$5000,"&gt;="&amp;$B$1,Transactions!$A$2:$A$5000,"&lt;"&amp;$D$1,Transactions!$O$2:$O$5000,1))</f>
        <v>0</v>
      </c>
      <c r="D59" s="11">
        <f>IF(OR($A59="",D$41=""),"",SUMIFS(Transactions!$Q$2:$Q$5000,Transactions!$D$2:$D$5000,$A59,Transactions!$C$2:$C$5000,D$41,Transactions!$A$2:$A$5000,"&gt;="&amp;$B$1,Transactions!$A$2:$A$5000,"&lt;"&amp;$D$1,Transactions!$O$2:$O$5000,1))</f>
        <v>0</v>
      </c>
      <c r="E59" s="11">
        <f>IF(OR($A59="",E$41=""),"",SUMIFS(Transactions!$Q$2:$Q$5000,Transactions!$D$2:$D$5000,$A59,Transactions!$C$2:$C$5000,E$41,Transactions!$A$2:$A$5000,"&gt;="&amp;$B$1,Transactions!$A$2:$A$5000,"&lt;"&amp;$D$1,Transactions!$O$2:$O$5000,1))</f>
        <v>0</v>
      </c>
      <c r="F59" s="11">
        <f>IF(OR($A59="",F$41=""),"",SUMIFS(Transactions!$Q$2:$Q$5000,Transactions!$D$2:$D$5000,$A59,Transactions!$C$2:$C$5000,F$41,Transactions!$A$2:$A$5000,"&gt;="&amp;$B$1,Transactions!$A$2:$A$5000,"&lt;"&amp;$D$1,Transactions!$O$2:$O$5000,1))</f>
        <v>0</v>
      </c>
      <c r="G59" s="11">
        <f>IF(OR($A59="",G$41=""),"",SUMIFS(Transactions!$Q$2:$Q$5000,Transactions!$D$2:$D$5000,$A59,Transactions!$C$2:$C$5000,G$41,Transactions!$A$2:$A$5000,"&gt;="&amp;$B$1,Transactions!$A$2:$A$5000,"&lt;"&amp;$D$1,Transactions!$O$2:$O$5000,1))</f>
        <v>0</v>
      </c>
      <c r="H59" s="11">
        <f>IF(OR($A59="",H$41=""),"",SUMIFS(Transactions!$Q$2:$Q$5000,Transactions!$D$2:$D$5000,$A59,Transactions!$C$2:$C$5000,H$41,Transactions!$A$2:$A$5000,"&gt;="&amp;$B$1,Transactions!$A$2:$A$5000,"&lt;"&amp;$D$1,Transactions!$O$2:$O$5000,1))</f>
        <v>0</v>
      </c>
      <c r="I59" s="11">
        <f>IF(OR($A59="",I$41=""),"",SUMIFS(Transactions!$Q$2:$Q$5000,Transactions!$D$2:$D$5000,$A59,Transactions!$C$2:$C$5000,I$41,Transactions!$A$2:$A$5000,"&gt;="&amp;$B$1,Transactions!$A$2:$A$5000,"&lt;"&amp;$D$1,Transactions!$O$2:$O$5000,1))</f>
        <v>0</v>
      </c>
      <c r="J59" s="11" t="str">
        <f>IF(OR($A59="",J$41=""),"",SUMIFS(Transactions!$Q$2:$Q$5000,Transactions!$D$2:$D$5000,$A59,Transactions!$C$2:$C$5000,J$41,Transactions!$A$2:$A$5000,"&gt;="&amp;$B$1,Transactions!$A$2:$A$5000,"&lt;"&amp;$D$1,Transactions!$O$2:$O$5000,1))</f>
        <v/>
      </c>
      <c r="K59" s="11" t="str">
        <f>IF(OR($A59="",K$41=""),"",SUMIFS(Transactions!$Q$2:$Q$5000,Transactions!$D$2:$D$5000,$A59,Transactions!$C$2:$C$5000,K$41,Transactions!$A$2:$A$5000,"&gt;="&amp;$B$1,Transactions!$A$2:$A$5000,"&lt;"&amp;$D$1,Transactions!$O$2:$O$5000,1))</f>
        <v/>
      </c>
      <c r="L59" s="11">
        <f>IF($A59="","",SUMIFS(Transactions!$Q$2:$Q$5000,Transactions!$D$2:$D$5000,$A59,Transactions!$A$2:$A$5000,"&gt;="&amp;$B$1,Transactions!$A$2:$A$5000,"&lt;"&amp;$D$1,Transactions!$O$2:$O$5000,1))</f>
        <v>3</v>
      </c>
      <c r="M59" s="27">
        <f>IF($A59="","",IFERROR(L59/L$42,0))</f>
        <v>0.0010693738459673912</v>
      </c>
      <c r="N59" s="31">
        <f>IF($A59="","",COUNTIFS(Transactions!$D$2:$D$5000,$A59,Transactions!$A$2:$A$5000,"&gt;="&amp;$B$1,Transactions!$A$2:$A$5000,"&lt;"&amp;$D$1,Transactions!$O$2:$O$5000,1))</f>
        <v>1</v>
      </c>
      <c r="O59" s="6" t="str">
        <f>IF($A59="","",IF(IFERROR(INDEX('Paramètres'!$O:$O,MATCH($A59,'Paramètres'!$M:$M,0))&amp;"","")="Dépense Fixe","x",""))</f>
        <v>x</v>
      </c>
      <c r="P59" s="6" t="str">
        <f>IF($A59="","",IF(IFERROR(INDEX('Paramètres'!$O:$O,MATCH($A59,'Paramètres'!$M:$M,0))&amp;"","")="Dépense Courante","x",""))</f>
        <v/>
      </c>
      <c r="Q59" s="6" t="str">
        <f>IF($A59="","",IF(IFERROR(INDEX('Paramètres'!$O:$O,MATCH($A59,'Paramètres'!$M:$M,0))&amp;"","")="Dépense Occasionnelle","x",""))</f>
        <v/>
      </c>
      <c r="R59" s="6" t="str">
        <f>IF($A59="","",IFERROR(INDEX('Paramètres'!$Q:$Q,MATCH($A59,'Paramètres'!$M:$M,0))&amp;"",""))</f>
        <v>Banque</v>
      </c>
    </row>
    <row r="60" spans="1:18" x14ac:dyDescent="0.25">
      <c r="A60" s="6" t="str">
        <f>IFERROR(INDEX('Paramètres'!$M$10:$M$129,MATCH(18,'Référentiel'!$L$2:$L$121,0)),"")</f>
        <v>Frais de Copropriété</v>
      </c>
      <c r="B60" s="11">
        <f>IF(OR($A60="",B$41=""),"",SUMIFS(Transactions!$Q$2:$Q$5000,Transactions!$D$2:$D$5000,$A60,Transactions!$C$2:$C$5000,B$41,Transactions!$A$2:$A$5000,"&gt;="&amp;$B$1,Transactions!$A$2:$A$5000,"&lt;"&amp;$D$1,Transactions!$O$2:$O$5000,1))</f>
        <v>0</v>
      </c>
      <c r="C60" s="11">
        <f>IF(OR($A60="",C$41=""),"",SUMIFS(Transactions!$Q$2:$Q$5000,Transactions!$D$2:$D$5000,$A60,Transactions!$C$2:$C$5000,C$41,Transactions!$A$2:$A$5000,"&gt;="&amp;$B$1,Transactions!$A$2:$A$5000,"&lt;"&amp;$D$1,Transactions!$O$2:$O$5000,1))</f>
        <v>0</v>
      </c>
      <c r="D60" s="11">
        <f>IF(OR($A60="",D$41=""),"",SUMIFS(Transactions!$Q$2:$Q$5000,Transactions!$D$2:$D$5000,$A60,Transactions!$C$2:$C$5000,D$41,Transactions!$A$2:$A$5000,"&gt;="&amp;$B$1,Transactions!$A$2:$A$5000,"&lt;"&amp;$D$1,Transactions!$O$2:$O$5000,1))</f>
        <v>0</v>
      </c>
      <c r="E60" s="11">
        <f>IF(OR($A60="",E$41=""),"",SUMIFS(Transactions!$Q$2:$Q$5000,Transactions!$D$2:$D$5000,$A60,Transactions!$C$2:$C$5000,E$41,Transactions!$A$2:$A$5000,"&gt;="&amp;$B$1,Transactions!$A$2:$A$5000,"&lt;"&amp;$D$1,Transactions!$O$2:$O$5000,1))</f>
        <v>0</v>
      </c>
      <c r="F60" s="11">
        <f>IF(OR($A60="",F$41=""),"",SUMIFS(Transactions!$Q$2:$Q$5000,Transactions!$D$2:$D$5000,$A60,Transactions!$C$2:$C$5000,F$41,Transactions!$A$2:$A$5000,"&gt;="&amp;$B$1,Transactions!$A$2:$A$5000,"&lt;"&amp;$D$1,Transactions!$O$2:$O$5000,1))</f>
        <v>0</v>
      </c>
      <c r="G60" s="11">
        <f>IF(OR($A60="",G$41=""),"",SUMIFS(Transactions!$Q$2:$Q$5000,Transactions!$D$2:$D$5000,$A60,Transactions!$C$2:$C$5000,G$41,Transactions!$A$2:$A$5000,"&gt;="&amp;$B$1,Transactions!$A$2:$A$5000,"&lt;"&amp;$D$1,Transactions!$O$2:$O$5000,1))</f>
        <v>168</v>
      </c>
      <c r="H60" s="11">
        <f>IF(OR($A60="",H$41=""),"",SUMIFS(Transactions!$Q$2:$Q$5000,Transactions!$D$2:$D$5000,$A60,Transactions!$C$2:$C$5000,H$41,Transactions!$A$2:$A$5000,"&gt;="&amp;$B$1,Transactions!$A$2:$A$5000,"&lt;"&amp;$D$1,Transactions!$O$2:$O$5000,1))</f>
        <v>0</v>
      </c>
      <c r="I60" s="11">
        <f>IF(OR($A60="",I$41=""),"",SUMIFS(Transactions!$Q$2:$Q$5000,Transactions!$D$2:$D$5000,$A60,Transactions!$C$2:$C$5000,I$41,Transactions!$A$2:$A$5000,"&gt;="&amp;$B$1,Transactions!$A$2:$A$5000,"&lt;"&amp;$D$1,Transactions!$O$2:$O$5000,1))</f>
        <v>0</v>
      </c>
      <c r="J60" s="11" t="str">
        <f>IF(OR($A60="",J$41=""),"",SUMIFS(Transactions!$Q$2:$Q$5000,Transactions!$D$2:$D$5000,$A60,Transactions!$C$2:$C$5000,J$41,Transactions!$A$2:$A$5000,"&gt;="&amp;$B$1,Transactions!$A$2:$A$5000,"&lt;"&amp;$D$1,Transactions!$O$2:$O$5000,1))</f>
        <v/>
      </c>
      <c r="K60" s="11" t="str">
        <f>IF(OR($A60="",K$41=""),"",SUMIFS(Transactions!$Q$2:$Q$5000,Transactions!$D$2:$D$5000,$A60,Transactions!$C$2:$C$5000,K$41,Transactions!$A$2:$A$5000,"&gt;="&amp;$B$1,Transactions!$A$2:$A$5000,"&lt;"&amp;$D$1,Transactions!$O$2:$O$5000,1))</f>
        <v/>
      </c>
      <c r="L60" s="11">
        <f>IF($A60="","",SUMIFS(Transactions!$Q$2:$Q$5000,Transactions!$D$2:$D$5000,$A60,Transactions!$A$2:$A$5000,"&gt;="&amp;$B$1,Transactions!$A$2:$A$5000,"&lt;"&amp;$D$1,Transactions!$O$2:$O$5000,1))</f>
        <v>168</v>
      </c>
      <c r="M60" s="27">
        <f>IF($A60="","",IFERROR(L60/L$42,0))</f>
        <v>0.05988493537417391</v>
      </c>
      <c r="N60" s="31">
        <f>IF($A60="","",COUNTIFS(Transactions!$D$2:$D$5000,$A60,Transactions!$A$2:$A$5000,"&gt;="&amp;$B$1,Transactions!$A$2:$A$5000,"&lt;"&amp;$D$1,Transactions!$O$2:$O$5000,1))</f>
        <v>1</v>
      </c>
      <c r="O60" s="6" t="str">
        <f>IF($A60="","",IF(IFERROR(INDEX('Paramètres'!$O:$O,MATCH($A60,'Paramètres'!$M:$M,0))&amp;"","")="Dépense Fixe","x",""))</f>
        <v>x</v>
      </c>
      <c r="P60" s="6" t="str">
        <f>IF($A60="","",IF(IFERROR(INDEX('Paramètres'!$O:$O,MATCH($A60,'Paramètres'!$M:$M,0))&amp;"","")="Dépense Courante","x",""))</f>
        <v/>
      </c>
      <c r="Q60" s="6" t="str">
        <f>IF($A60="","",IF(IFERROR(INDEX('Paramètres'!$O:$O,MATCH($A60,'Paramètres'!$M:$M,0))&amp;"","")="Dépense Occasionnelle","x",""))</f>
        <v/>
      </c>
      <c r="R60" s="6" t="str">
        <f>IF($A60="","",IFERROR(INDEX('Paramètres'!$Q:$Q,MATCH($A60,'Paramètres'!$M:$M,0))&amp;"",""))</f>
        <v>Immobilier</v>
      </c>
    </row>
    <row r="61" spans="1:18" x14ac:dyDescent="0.25">
      <c r="A61" s="6" t="str">
        <f>IFERROR(INDEX('Paramètres'!$M$10:$M$129,MATCH(19,'Référentiel'!$L$2:$L$121,0)),"")</f>
        <v>Impôt sur Revenu</v>
      </c>
      <c r="B61" s="11">
        <f>IF(OR($A61="",B$41=""),"",SUMIFS(Transactions!$Q$2:$Q$5000,Transactions!$D$2:$D$5000,$A61,Transactions!$C$2:$C$5000,B$41,Transactions!$A$2:$A$5000,"&gt;="&amp;$B$1,Transactions!$A$2:$A$5000,"&lt;"&amp;$D$1,Transactions!$O$2:$O$5000,1))</f>
        <v>212</v>
      </c>
      <c r="C61" s="11">
        <f>IF(OR($A61="",C$41=""),"",SUMIFS(Transactions!$Q$2:$Q$5000,Transactions!$D$2:$D$5000,$A61,Transactions!$C$2:$C$5000,C$41,Transactions!$A$2:$A$5000,"&gt;="&amp;$B$1,Transactions!$A$2:$A$5000,"&lt;"&amp;$D$1,Transactions!$O$2:$O$5000,1))</f>
        <v>0</v>
      </c>
      <c r="D61" s="11">
        <f>IF(OR($A61="",D$41=""),"",SUMIFS(Transactions!$Q$2:$Q$5000,Transactions!$D$2:$D$5000,$A61,Transactions!$C$2:$C$5000,D$41,Transactions!$A$2:$A$5000,"&gt;="&amp;$B$1,Transactions!$A$2:$A$5000,"&lt;"&amp;$D$1,Transactions!$O$2:$O$5000,1))</f>
        <v>0</v>
      </c>
      <c r="E61" s="11">
        <f>IF(OR($A61="",E$41=""),"",SUMIFS(Transactions!$Q$2:$Q$5000,Transactions!$D$2:$D$5000,$A61,Transactions!$C$2:$C$5000,E$41,Transactions!$A$2:$A$5000,"&gt;="&amp;$B$1,Transactions!$A$2:$A$5000,"&lt;"&amp;$D$1,Transactions!$O$2:$O$5000,1))</f>
        <v>0</v>
      </c>
      <c r="F61" s="11">
        <f>IF(OR($A61="",F$41=""),"",SUMIFS(Transactions!$Q$2:$Q$5000,Transactions!$D$2:$D$5000,$A61,Transactions!$C$2:$C$5000,F$41,Transactions!$A$2:$A$5000,"&gt;="&amp;$B$1,Transactions!$A$2:$A$5000,"&lt;"&amp;$D$1,Transactions!$O$2:$O$5000,1))</f>
        <v>0</v>
      </c>
      <c r="G61" s="11">
        <f>IF(OR($A61="",G$41=""),"",SUMIFS(Transactions!$Q$2:$Q$5000,Transactions!$D$2:$D$5000,$A61,Transactions!$C$2:$C$5000,G$41,Transactions!$A$2:$A$5000,"&gt;="&amp;$B$1,Transactions!$A$2:$A$5000,"&lt;"&amp;$D$1,Transactions!$O$2:$O$5000,1))</f>
        <v>0</v>
      </c>
      <c r="H61" s="11">
        <f>IF(OR($A61="",H$41=""),"",SUMIFS(Transactions!$Q$2:$Q$5000,Transactions!$D$2:$D$5000,$A61,Transactions!$C$2:$C$5000,H$41,Transactions!$A$2:$A$5000,"&gt;="&amp;$B$1,Transactions!$A$2:$A$5000,"&lt;"&amp;$D$1,Transactions!$O$2:$O$5000,1))</f>
        <v>0</v>
      </c>
      <c r="I61" s="11">
        <f>IF(OR($A61="",I$41=""),"",SUMIFS(Transactions!$Q$2:$Q$5000,Transactions!$D$2:$D$5000,$A61,Transactions!$C$2:$C$5000,I$41,Transactions!$A$2:$A$5000,"&gt;="&amp;$B$1,Transactions!$A$2:$A$5000,"&lt;"&amp;$D$1,Transactions!$O$2:$O$5000,1))</f>
        <v>0</v>
      </c>
      <c r="J61" s="11" t="str">
        <f>IF(OR($A61="",J$41=""),"",SUMIFS(Transactions!$Q$2:$Q$5000,Transactions!$D$2:$D$5000,$A61,Transactions!$C$2:$C$5000,J$41,Transactions!$A$2:$A$5000,"&gt;="&amp;$B$1,Transactions!$A$2:$A$5000,"&lt;"&amp;$D$1,Transactions!$O$2:$O$5000,1))</f>
        <v/>
      </c>
      <c r="K61" s="11" t="str">
        <f>IF(OR($A61="",K$41=""),"",SUMIFS(Transactions!$Q$2:$Q$5000,Transactions!$D$2:$D$5000,$A61,Transactions!$C$2:$C$5000,K$41,Transactions!$A$2:$A$5000,"&gt;="&amp;$B$1,Transactions!$A$2:$A$5000,"&lt;"&amp;$D$1,Transactions!$O$2:$O$5000,1))</f>
        <v/>
      </c>
      <c r="L61" s="11">
        <f>IF($A61="","",SUMIFS(Transactions!$Q$2:$Q$5000,Transactions!$D$2:$D$5000,$A61,Transactions!$A$2:$A$5000,"&gt;="&amp;$B$1,Transactions!$A$2:$A$5000,"&lt;"&amp;$D$1,Transactions!$O$2:$O$5000,1))</f>
        <v>212</v>
      </c>
      <c r="M61" s="27">
        <f>IF($A61="","",IFERROR(L61/L$42,0))</f>
        <v>0.07556908511502898</v>
      </c>
      <c r="N61" s="31">
        <f>IF($A61="","",COUNTIFS(Transactions!$D$2:$D$5000,$A61,Transactions!$A$2:$A$5000,"&gt;="&amp;$B$1,Transactions!$A$2:$A$5000,"&lt;"&amp;$D$1,Transactions!$O$2:$O$5000,1))</f>
        <v>1</v>
      </c>
      <c r="O61" s="6" t="str">
        <f>IF($A61="","",IF(IFERROR(INDEX('Paramètres'!$O:$O,MATCH($A61,'Paramètres'!$M:$M,0))&amp;"","")="Dépense Fixe","x",""))</f>
        <v>x</v>
      </c>
      <c r="P61" s="6" t="str">
        <f>IF($A61="","",IF(IFERROR(INDEX('Paramètres'!$O:$O,MATCH($A61,'Paramètres'!$M:$M,0))&amp;"","")="Dépense Courante","x",""))</f>
        <v/>
      </c>
      <c r="Q61" s="6" t="str">
        <f>IF($A61="","",IF(IFERROR(INDEX('Paramètres'!$O:$O,MATCH($A61,'Paramètres'!$M:$M,0))&amp;"","")="Dépense Occasionnelle","x",""))</f>
        <v/>
      </c>
      <c r="R61" s="6" t="str">
        <f>IF($A61="","",IFERROR(INDEX('Paramètres'!$Q:$Q,MATCH($A61,'Paramètres'!$M:$M,0))&amp;"",""))</f>
        <v>Impots</v>
      </c>
    </row>
    <row r="62" spans="1:18" x14ac:dyDescent="0.25">
      <c r="A62" s="6" t="str">
        <f>IFERROR(INDEX('Paramètres'!$M$10:$M$129,MATCH(20,'Référentiel'!$L$2:$L$121,0)),"")</f>
        <v>Intérêt du prêt</v>
      </c>
      <c r="B62" s="11">
        <f>IF(OR($A62="",B$41=""),"",SUMIFS(Transactions!$Q$2:$Q$5000,Transactions!$D$2:$D$5000,$A62,Transactions!$C$2:$C$5000,B$41,Transactions!$A$2:$A$5000,"&gt;="&amp;$B$1,Transactions!$A$2:$A$5000,"&lt;"&amp;$D$1,Transactions!$O$2:$O$5000,1))</f>
        <v>0</v>
      </c>
      <c r="C62" s="11">
        <f>IF(OR($A62="",C$41=""),"",SUMIFS(Transactions!$Q$2:$Q$5000,Transactions!$D$2:$D$5000,$A62,Transactions!$C$2:$C$5000,C$41,Transactions!$A$2:$A$5000,"&gt;="&amp;$B$1,Transactions!$A$2:$A$5000,"&lt;"&amp;$D$1,Transactions!$O$2:$O$5000,1))</f>
        <v>0</v>
      </c>
      <c r="D62" s="11">
        <f>IF(OR($A62="",D$41=""),"",SUMIFS(Transactions!$Q$2:$Q$5000,Transactions!$D$2:$D$5000,$A62,Transactions!$C$2:$C$5000,D$41,Transactions!$A$2:$A$5000,"&gt;="&amp;$B$1,Transactions!$A$2:$A$5000,"&lt;"&amp;$D$1,Transactions!$O$2:$O$5000,1))</f>
        <v>0</v>
      </c>
      <c r="E62" s="11">
        <f>IF(OR($A62="",E$41=""),"",SUMIFS(Transactions!$Q$2:$Q$5000,Transactions!$D$2:$D$5000,$A62,Transactions!$C$2:$C$5000,E$41,Transactions!$A$2:$A$5000,"&gt;="&amp;$B$1,Transactions!$A$2:$A$5000,"&lt;"&amp;$D$1,Transactions!$O$2:$O$5000,1))</f>
        <v>0</v>
      </c>
      <c r="F62" s="11">
        <f>IF(OR($A62="",F$41=""),"",SUMIFS(Transactions!$Q$2:$Q$5000,Transactions!$D$2:$D$5000,$A62,Transactions!$C$2:$C$5000,F$41,Transactions!$A$2:$A$5000,"&gt;="&amp;$B$1,Transactions!$A$2:$A$5000,"&lt;"&amp;$D$1,Transactions!$O$2:$O$5000,1))</f>
        <v>0</v>
      </c>
      <c r="G62" s="11">
        <f>IF(OR($A62="",G$41=""),"",SUMIFS(Transactions!$Q$2:$Q$5000,Transactions!$D$2:$D$5000,$A62,Transactions!$C$2:$C$5000,G$41,Transactions!$A$2:$A$5000,"&gt;="&amp;$B$1,Transactions!$A$2:$A$5000,"&lt;"&amp;$D$1,Transactions!$O$2:$O$5000,1))</f>
        <v>225.48</v>
      </c>
      <c r="H62" s="11">
        <f>IF(OR($A62="",H$41=""),"",SUMIFS(Transactions!$Q$2:$Q$5000,Transactions!$D$2:$D$5000,$A62,Transactions!$C$2:$C$5000,H$41,Transactions!$A$2:$A$5000,"&gt;="&amp;$B$1,Transactions!$A$2:$A$5000,"&lt;"&amp;$D$1,Transactions!$O$2:$O$5000,1))</f>
        <v>0</v>
      </c>
      <c r="I62" s="11">
        <f>IF(OR($A62="",I$41=""),"",SUMIFS(Transactions!$Q$2:$Q$5000,Transactions!$D$2:$D$5000,$A62,Transactions!$C$2:$C$5000,I$41,Transactions!$A$2:$A$5000,"&gt;="&amp;$B$1,Transactions!$A$2:$A$5000,"&lt;"&amp;$D$1,Transactions!$O$2:$O$5000,1))</f>
        <v>0</v>
      </c>
      <c r="J62" s="11" t="str">
        <f>IF(OR($A62="",J$41=""),"",SUMIFS(Transactions!$Q$2:$Q$5000,Transactions!$D$2:$D$5000,$A62,Transactions!$C$2:$C$5000,J$41,Transactions!$A$2:$A$5000,"&gt;="&amp;$B$1,Transactions!$A$2:$A$5000,"&lt;"&amp;$D$1,Transactions!$O$2:$O$5000,1))</f>
        <v/>
      </c>
      <c r="K62" s="11" t="str">
        <f>IF(OR($A62="",K$41=""),"",SUMIFS(Transactions!$Q$2:$Q$5000,Transactions!$D$2:$D$5000,$A62,Transactions!$C$2:$C$5000,K$41,Transactions!$A$2:$A$5000,"&gt;="&amp;$B$1,Transactions!$A$2:$A$5000,"&lt;"&amp;$D$1,Transactions!$O$2:$O$5000,1))</f>
        <v/>
      </c>
      <c r="L62" s="11">
        <f>IF($A62="","",SUMIFS(Transactions!$Q$2:$Q$5000,Transactions!$D$2:$D$5000,$A62,Transactions!$A$2:$A$5000,"&gt;="&amp;$B$1,Transactions!$A$2:$A$5000,"&lt;"&amp;$D$1,Transactions!$O$2:$O$5000,1))</f>
        <v>225.48</v>
      </c>
      <c r="M62" s="27">
        <f>IF($A62="","",IFERROR(L62/L$42,0))</f>
        <v>0.08037413826290912</v>
      </c>
      <c r="N62" s="31">
        <f>IF($A62="","",COUNTIFS(Transactions!$D$2:$D$5000,$A62,Transactions!$A$2:$A$5000,"&gt;="&amp;$B$1,Transactions!$A$2:$A$5000,"&lt;"&amp;$D$1,Transactions!$O$2:$O$5000,1))</f>
        <v>1</v>
      </c>
      <c r="O62" s="6" t="str">
        <f>IF($A62="","",IF(IFERROR(INDEX('Paramètres'!$O:$O,MATCH($A62,'Paramètres'!$M:$M,0))&amp;"","")="Dépense Fixe","x",""))</f>
        <v>x</v>
      </c>
      <c r="P62" s="6" t="str">
        <f>IF($A62="","",IF(IFERROR(INDEX('Paramètres'!$O:$O,MATCH($A62,'Paramètres'!$M:$M,0))&amp;"","")="Dépense Courante","x",""))</f>
        <v/>
      </c>
      <c r="Q62" s="6" t="str">
        <f>IF($A62="","",IF(IFERROR(INDEX('Paramètres'!$O:$O,MATCH($A62,'Paramètres'!$M:$M,0))&amp;"","")="Dépense Occasionnelle","x",""))</f>
        <v/>
      </c>
      <c r="R62" s="6" t="str">
        <f>IF($A62="","",IFERROR(INDEX('Paramètres'!$Q:$Q,MATCH($A62,'Paramètres'!$M:$M,0))&amp;"",""))</f>
        <v>Immobilier</v>
      </c>
    </row>
    <row r="63" spans="1:18" x14ac:dyDescent="0.25">
      <c r="A63" s="6" t="str">
        <f>IFERROR(INDEX('Paramètres'!$M$10:$M$129,MATCH(21,'Référentiel'!$L$2:$L$121,0)),"")</f>
        <v>Internet et Forfait téléphone</v>
      </c>
      <c r="B63" s="11">
        <f>IF(OR($A63="",B$41=""),"",SUMIFS(Transactions!$Q$2:$Q$5000,Transactions!$D$2:$D$5000,$A63,Transactions!$C$2:$C$5000,B$41,Transactions!$A$2:$A$5000,"&gt;="&amp;$B$1,Transactions!$A$2:$A$5000,"&lt;"&amp;$D$1,Transactions!$O$2:$O$5000,1))</f>
        <v>49.9</v>
      </c>
      <c r="C63" s="11">
        <f>IF(OR($A63="",C$41=""),"",SUMIFS(Transactions!$Q$2:$Q$5000,Transactions!$D$2:$D$5000,$A63,Transactions!$C$2:$C$5000,C$41,Transactions!$A$2:$A$5000,"&gt;="&amp;$B$1,Transactions!$A$2:$A$5000,"&lt;"&amp;$D$1,Transactions!$O$2:$O$5000,1))</f>
        <v>0</v>
      </c>
      <c r="D63" s="11">
        <f>IF(OR($A63="",D$41=""),"",SUMIFS(Transactions!$Q$2:$Q$5000,Transactions!$D$2:$D$5000,$A63,Transactions!$C$2:$C$5000,D$41,Transactions!$A$2:$A$5000,"&gt;="&amp;$B$1,Transactions!$A$2:$A$5000,"&lt;"&amp;$D$1,Transactions!$O$2:$O$5000,1))</f>
        <v>0</v>
      </c>
      <c r="E63" s="11">
        <f>IF(OR($A63="",E$41=""),"",SUMIFS(Transactions!$Q$2:$Q$5000,Transactions!$D$2:$D$5000,$A63,Transactions!$C$2:$C$5000,E$41,Transactions!$A$2:$A$5000,"&gt;="&amp;$B$1,Transactions!$A$2:$A$5000,"&lt;"&amp;$D$1,Transactions!$O$2:$O$5000,1))</f>
        <v>0</v>
      </c>
      <c r="F63" s="11">
        <f>IF(OR($A63="",F$41=""),"",SUMIFS(Transactions!$Q$2:$Q$5000,Transactions!$D$2:$D$5000,$A63,Transactions!$C$2:$C$5000,F$41,Transactions!$A$2:$A$5000,"&gt;="&amp;$B$1,Transactions!$A$2:$A$5000,"&lt;"&amp;$D$1,Transactions!$O$2:$O$5000,1))</f>
        <v>0</v>
      </c>
      <c r="G63" s="11">
        <f>IF(OR($A63="",G$41=""),"",SUMIFS(Transactions!$Q$2:$Q$5000,Transactions!$D$2:$D$5000,$A63,Transactions!$C$2:$C$5000,G$41,Transactions!$A$2:$A$5000,"&gt;="&amp;$B$1,Transactions!$A$2:$A$5000,"&lt;"&amp;$D$1,Transactions!$O$2:$O$5000,1))</f>
        <v>0</v>
      </c>
      <c r="H63" s="11">
        <f>IF(OR($A63="",H$41=""),"",SUMIFS(Transactions!$Q$2:$Q$5000,Transactions!$D$2:$D$5000,$A63,Transactions!$C$2:$C$5000,H$41,Transactions!$A$2:$A$5000,"&gt;="&amp;$B$1,Transactions!$A$2:$A$5000,"&lt;"&amp;$D$1,Transactions!$O$2:$O$5000,1))</f>
        <v>0</v>
      </c>
      <c r="I63" s="11">
        <f>IF(OR($A63="",I$41=""),"",SUMIFS(Transactions!$Q$2:$Q$5000,Transactions!$D$2:$D$5000,$A63,Transactions!$C$2:$C$5000,I$41,Transactions!$A$2:$A$5000,"&gt;="&amp;$B$1,Transactions!$A$2:$A$5000,"&lt;"&amp;$D$1,Transactions!$O$2:$O$5000,1))</f>
        <v>0</v>
      </c>
      <c r="J63" s="11" t="str">
        <f>IF(OR($A63="",J$41=""),"",SUMIFS(Transactions!$Q$2:$Q$5000,Transactions!$D$2:$D$5000,$A63,Transactions!$C$2:$C$5000,J$41,Transactions!$A$2:$A$5000,"&gt;="&amp;$B$1,Transactions!$A$2:$A$5000,"&lt;"&amp;$D$1,Transactions!$O$2:$O$5000,1))</f>
        <v/>
      </c>
      <c r="K63" s="11" t="str">
        <f>IF(OR($A63="",K$41=""),"",SUMIFS(Transactions!$Q$2:$Q$5000,Transactions!$D$2:$D$5000,$A63,Transactions!$C$2:$C$5000,K$41,Transactions!$A$2:$A$5000,"&gt;="&amp;$B$1,Transactions!$A$2:$A$5000,"&lt;"&amp;$D$1,Transactions!$O$2:$O$5000,1))</f>
        <v/>
      </c>
      <c r="L63" s="11">
        <f>IF($A63="","",SUMIFS(Transactions!$Q$2:$Q$5000,Transactions!$D$2:$D$5000,$A63,Transactions!$A$2:$A$5000,"&gt;="&amp;$B$1,Transactions!$A$2:$A$5000,"&lt;"&amp;$D$1,Transactions!$O$2:$O$5000,1))</f>
        <v>49.9</v>
      </c>
      <c r="M63" s="27">
        <f>IF($A63="","",IFERROR(L63/L$42,0))</f>
        <v>0.017787251637924273</v>
      </c>
      <c r="N63" s="31">
        <f>IF($A63="","",COUNTIFS(Transactions!$D$2:$D$5000,$A63,Transactions!$A$2:$A$5000,"&gt;="&amp;$B$1,Transactions!$A$2:$A$5000,"&lt;"&amp;$D$1,Transactions!$O$2:$O$5000,1))</f>
        <v>1</v>
      </c>
      <c r="O63" s="6" t="str">
        <f>IF($A63="","",IF(IFERROR(INDEX('Paramètres'!$O:$O,MATCH($A63,'Paramètres'!$M:$M,0))&amp;"","")="Dépense Fixe","x",""))</f>
        <v>x</v>
      </c>
      <c r="P63" s="6" t="str">
        <f>IF($A63="","",IF(IFERROR(INDEX('Paramètres'!$O:$O,MATCH($A63,'Paramètres'!$M:$M,0))&amp;"","")="Dépense Courante","x",""))</f>
        <v/>
      </c>
      <c r="Q63" s="6" t="str">
        <f>IF($A63="","",IF(IFERROR(INDEX('Paramètres'!$O:$O,MATCH($A63,'Paramètres'!$M:$M,0))&amp;"","")="Dépense Occasionnelle","x",""))</f>
        <v/>
      </c>
      <c r="R63" s="6" t="str">
        <f>IF($A63="","",IFERROR(INDEX('Paramètres'!$Q:$Q,MATCH($A63,'Paramètres'!$M:$M,0))&amp;"",""))</f>
        <v>Autre</v>
      </c>
    </row>
    <row r="64" spans="1:18" x14ac:dyDescent="0.25">
      <c r="A64" s="6" t="str">
        <f>IFERROR(INDEX('Paramètres'!$M$10:$M$129,MATCH(22,'Référentiel'!$L$2:$L$121,0)),"")</f>
        <v>Loisirs</v>
      </c>
      <c r="B64" s="11">
        <f>IF(OR($A64="",B$41=""),"",SUMIFS(Transactions!$Q$2:$Q$5000,Transactions!$D$2:$D$5000,$A64,Transactions!$C$2:$C$5000,B$41,Transactions!$A$2:$A$5000,"&gt;="&amp;$B$1,Transactions!$A$2:$A$5000,"&lt;"&amp;$D$1,Transactions!$O$2:$O$5000,1))</f>
        <v>0</v>
      </c>
      <c r="C64" s="11">
        <f>IF(OR($A64="",C$41=""),"",SUMIFS(Transactions!$Q$2:$Q$5000,Transactions!$D$2:$D$5000,$A64,Transactions!$C$2:$C$5000,C$41,Transactions!$A$2:$A$5000,"&gt;="&amp;$B$1,Transactions!$A$2:$A$5000,"&lt;"&amp;$D$1,Transactions!$O$2:$O$5000,1))</f>
        <v>0</v>
      </c>
      <c r="D64" s="11">
        <f>IF(OR($A64="",D$41=""),"",SUMIFS(Transactions!$Q$2:$Q$5000,Transactions!$D$2:$D$5000,$A64,Transactions!$C$2:$C$5000,D$41,Transactions!$A$2:$A$5000,"&gt;="&amp;$B$1,Transactions!$A$2:$A$5000,"&lt;"&amp;$D$1,Transactions!$O$2:$O$5000,1))</f>
        <v>0</v>
      </c>
      <c r="E64" s="11">
        <f>IF(OR($A64="",E$41=""),"",SUMIFS(Transactions!$Q$2:$Q$5000,Transactions!$D$2:$D$5000,$A64,Transactions!$C$2:$C$5000,E$41,Transactions!$A$2:$A$5000,"&gt;="&amp;$B$1,Transactions!$A$2:$A$5000,"&lt;"&amp;$D$1,Transactions!$O$2:$O$5000,1))</f>
        <v>0</v>
      </c>
      <c r="F64" s="11">
        <f>IF(OR($A64="",F$41=""),"",SUMIFS(Transactions!$Q$2:$Q$5000,Transactions!$D$2:$D$5000,$A64,Transactions!$C$2:$C$5000,F$41,Transactions!$A$2:$A$5000,"&gt;="&amp;$B$1,Transactions!$A$2:$A$5000,"&lt;"&amp;$D$1,Transactions!$O$2:$O$5000,1))</f>
        <v>0</v>
      </c>
      <c r="G64" s="11">
        <f>IF(OR($A64="",G$41=""),"",SUMIFS(Transactions!$Q$2:$Q$5000,Transactions!$D$2:$D$5000,$A64,Transactions!$C$2:$C$5000,G$41,Transactions!$A$2:$A$5000,"&gt;="&amp;$B$1,Transactions!$A$2:$A$5000,"&lt;"&amp;$D$1,Transactions!$O$2:$O$5000,1))</f>
        <v>0</v>
      </c>
      <c r="H64" s="11">
        <f>IF(OR($A64="",H$41=""),"",SUMIFS(Transactions!$Q$2:$Q$5000,Transactions!$D$2:$D$5000,$A64,Transactions!$C$2:$C$5000,H$41,Transactions!$A$2:$A$5000,"&gt;="&amp;$B$1,Transactions!$A$2:$A$5000,"&lt;"&amp;$D$1,Transactions!$O$2:$O$5000,1))</f>
        <v>0</v>
      </c>
      <c r="I64" s="11">
        <f>IF(OR($A64="",I$41=""),"",SUMIFS(Transactions!$Q$2:$Q$5000,Transactions!$D$2:$D$5000,$A64,Transactions!$C$2:$C$5000,I$41,Transactions!$A$2:$A$5000,"&gt;="&amp;$B$1,Transactions!$A$2:$A$5000,"&lt;"&amp;$D$1,Transactions!$O$2:$O$5000,1))</f>
        <v>0</v>
      </c>
      <c r="J64" s="11" t="str">
        <f>IF(OR($A64="",J$41=""),"",SUMIFS(Transactions!$Q$2:$Q$5000,Transactions!$D$2:$D$5000,$A64,Transactions!$C$2:$C$5000,J$41,Transactions!$A$2:$A$5000,"&gt;="&amp;$B$1,Transactions!$A$2:$A$5000,"&lt;"&amp;$D$1,Transactions!$O$2:$O$5000,1))</f>
        <v/>
      </c>
      <c r="K64" s="11" t="str">
        <f>IF(OR($A64="",K$41=""),"",SUMIFS(Transactions!$Q$2:$Q$5000,Transactions!$D$2:$D$5000,$A64,Transactions!$C$2:$C$5000,K$41,Transactions!$A$2:$A$5000,"&gt;="&amp;$B$1,Transactions!$A$2:$A$5000,"&lt;"&amp;$D$1,Transactions!$O$2:$O$5000,1))</f>
        <v/>
      </c>
      <c r="L64" s="11">
        <f>IF($A64="","",SUMIFS(Transactions!$Q$2:$Q$5000,Transactions!$D$2:$D$5000,$A64,Transactions!$A$2:$A$5000,"&gt;="&amp;$B$1,Transactions!$A$2:$A$5000,"&lt;"&amp;$D$1,Transactions!$O$2:$O$5000,1))</f>
        <v>0</v>
      </c>
      <c r="M64" s="27">
        <f>IF($A64="","",IFERROR(L64/L$42,0))</f>
        <v>0</v>
      </c>
      <c r="N64" s="31">
        <f>IF($A64="","",COUNTIFS(Transactions!$D$2:$D$5000,$A64,Transactions!$A$2:$A$5000,"&gt;="&amp;$B$1,Transactions!$A$2:$A$5000,"&lt;"&amp;$D$1,Transactions!$O$2:$O$5000,1))</f>
        <v>0</v>
      </c>
      <c r="O64" s="6" t="str">
        <f>IF($A64="","",IF(IFERROR(INDEX('Paramètres'!$O:$O,MATCH($A64,'Paramètres'!$M:$M,0))&amp;"","")="Dépense Fixe","x",""))</f>
        <v/>
      </c>
      <c r="P64" s="6" t="str">
        <f>IF($A64="","",IF(IFERROR(INDEX('Paramètres'!$O:$O,MATCH($A64,'Paramètres'!$M:$M,0))&amp;"","")="Dépense Courante","x",""))</f>
        <v/>
      </c>
      <c r="Q64" s="6" t="str">
        <f>IF($A64="","",IF(IFERROR(INDEX('Paramètres'!$O:$O,MATCH($A64,'Paramètres'!$M:$M,0))&amp;"","")="Dépense Occasionnelle","x",""))</f>
        <v>x</v>
      </c>
      <c r="R64" s="6" t="str">
        <f>IF($A64="","",IFERROR(INDEX('Paramètres'!$Q:$Q,MATCH($A64,'Paramètres'!$M:$M,0))&amp;"",""))</f>
        <v>Loisir</v>
      </c>
    </row>
    <row r="65" spans="1:18" x14ac:dyDescent="0.25">
      <c r="A65" s="6" t="str">
        <f>IFERROR(INDEX('Paramètres'!$M$10:$M$129,MATCH(23,'Référentiel'!$L$2:$L$121,0)),"")</f>
        <v>Médecin</v>
      </c>
      <c r="B65" s="11">
        <f>IF(OR($A65="",B$41=""),"",SUMIFS(Transactions!$Q$2:$Q$5000,Transactions!$D$2:$D$5000,$A65,Transactions!$C$2:$C$5000,B$41,Transactions!$A$2:$A$5000,"&gt;="&amp;$B$1,Transactions!$A$2:$A$5000,"&lt;"&amp;$D$1,Transactions!$O$2:$O$5000,1))</f>
        <v>0</v>
      </c>
      <c r="C65" s="11">
        <f>IF(OR($A65="",C$41=""),"",SUMIFS(Transactions!$Q$2:$Q$5000,Transactions!$D$2:$D$5000,$A65,Transactions!$C$2:$C$5000,C$41,Transactions!$A$2:$A$5000,"&gt;="&amp;$B$1,Transactions!$A$2:$A$5000,"&lt;"&amp;$D$1,Transactions!$O$2:$O$5000,1))</f>
        <v>0</v>
      </c>
      <c r="D65" s="11">
        <f>IF(OR($A65="",D$41=""),"",SUMIFS(Transactions!$Q$2:$Q$5000,Transactions!$D$2:$D$5000,$A65,Transactions!$C$2:$C$5000,D$41,Transactions!$A$2:$A$5000,"&gt;="&amp;$B$1,Transactions!$A$2:$A$5000,"&lt;"&amp;$D$1,Transactions!$O$2:$O$5000,1))</f>
        <v>0</v>
      </c>
      <c r="E65" s="11">
        <f>IF(OR($A65="",E$41=""),"",SUMIFS(Transactions!$Q$2:$Q$5000,Transactions!$D$2:$D$5000,$A65,Transactions!$C$2:$C$5000,E$41,Transactions!$A$2:$A$5000,"&gt;="&amp;$B$1,Transactions!$A$2:$A$5000,"&lt;"&amp;$D$1,Transactions!$O$2:$O$5000,1))</f>
        <v>0</v>
      </c>
      <c r="F65" s="11">
        <f>IF(OR($A65="",F$41=""),"",SUMIFS(Transactions!$Q$2:$Q$5000,Transactions!$D$2:$D$5000,$A65,Transactions!$C$2:$C$5000,F$41,Transactions!$A$2:$A$5000,"&gt;="&amp;$B$1,Transactions!$A$2:$A$5000,"&lt;"&amp;$D$1,Transactions!$O$2:$O$5000,1))</f>
        <v>0</v>
      </c>
      <c r="G65" s="11">
        <f>IF(OR($A65="",G$41=""),"",SUMIFS(Transactions!$Q$2:$Q$5000,Transactions!$D$2:$D$5000,$A65,Transactions!$C$2:$C$5000,G$41,Transactions!$A$2:$A$5000,"&gt;="&amp;$B$1,Transactions!$A$2:$A$5000,"&lt;"&amp;$D$1,Transactions!$O$2:$O$5000,1))</f>
        <v>0</v>
      </c>
      <c r="H65" s="11">
        <f>IF(OR($A65="",H$41=""),"",SUMIFS(Transactions!$Q$2:$Q$5000,Transactions!$D$2:$D$5000,$A65,Transactions!$C$2:$C$5000,H$41,Transactions!$A$2:$A$5000,"&gt;="&amp;$B$1,Transactions!$A$2:$A$5000,"&lt;"&amp;$D$1,Transactions!$O$2:$O$5000,1))</f>
        <v>0</v>
      </c>
      <c r="I65" s="11">
        <f>IF(OR($A65="",I$41=""),"",SUMIFS(Transactions!$Q$2:$Q$5000,Transactions!$D$2:$D$5000,$A65,Transactions!$C$2:$C$5000,I$41,Transactions!$A$2:$A$5000,"&gt;="&amp;$B$1,Transactions!$A$2:$A$5000,"&lt;"&amp;$D$1,Transactions!$O$2:$O$5000,1))</f>
        <v>0</v>
      </c>
      <c r="J65" s="11" t="str">
        <f>IF(OR($A65="",J$41=""),"",SUMIFS(Transactions!$Q$2:$Q$5000,Transactions!$D$2:$D$5000,$A65,Transactions!$C$2:$C$5000,J$41,Transactions!$A$2:$A$5000,"&gt;="&amp;$B$1,Transactions!$A$2:$A$5000,"&lt;"&amp;$D$1,Transactions!$O$2:$O$5000,1))</f>
        <v/>
      </c>
      <c r="K65" s="11" t="str">
        <f>IF(OR($A65="",K$41=""),"",SUMIFS(Transactions!$Q$2:$Q$5000,Transactions!$D$2:$D$5000,$A65,Transactions!$C$2:$C$5000,K$41,Transactions!$A$2:$A$5000,"&gt;="&amp;$B$1,Transactions!$A$2:$A$5000,"&lt;"&amp;$D$1,Transactions!$O$2:$O$5000,1))</f>
        <v/>
      </c>
      <c r="L65" s="11">
        <f>IF($A65="","",SUMIFS(Transactions!$Q$2:$Q$5000,Transactions!$D$2:$D$5000,$A65,Transactions!$A$2:$A$5000,"&gt;="&amp;$B$1,Transactions!$A$2:$A$5000,"&lt;"&amp;$D$1,Transactions!$O$2:$O$5000,1))</f>
        <v>0</v>
      </c>
      <c r="M65" s="27">
        <f>IF($A65="","",IFERROR(L65/L$42,0))</f>
        <v>0</v>
      </c>
      <c r="N65" s="31">
        <f>IF($A65="","",COUNTIFS(Transactions!$D$2:$D$5000,$A65,Transactions!$A$2:$A$5000,"&gt;="&amp;$B$1,Transactions!$A$2:$A$5000,"&lt;"&amp;$D$1,Transactions!$O$2:$O$5000,1))</f>
        <v>0</v>
      </c>
      <c r="O65" s="6" t="str">
        <f>IF($A65="","",IF(IFERROR(INDEX('Paramètres'!$O:$O,MATCH($A65,'Paramètres'!$M:$M,0))&amp;"","")="Dépense Fixe","x",""))</f>
        <v/>
      </c>
      <c r="P65" s="6" t="str">
        <f>IF($A65="","",IF(IFERROR(INDEX('Paramètres'!$O:$O,MATCH($A65,'Paramètres'!$M:$M,0))&amp;"","")="Dépense Courante","x",""))</f>
        <v>x</v>
      </c>
      <c r="Q65" s="6" t="str">
        <f>IF($A65="","",IF(IFERROR(INDEX('Paramètres'!$O:$O,MATCH($A65,'Paramètres'!$M:$M,0))&amp;"","")="Dépense Occasionnelle","x",""))</f>
        <v/>
      </c>
      <c r="R65" s="6" t="str">
        <f>IF($A65="","",IFERROR(INDEX('Paramètres'!$Q:$Q,MATCH($A65,'Paramètres'!$M:$M,0))&amp;"",""))</f>
        <v>Santé</v>
      </c>
    </row>
    <row r="66" spans="1:18" x14ac:dyDescent="0.25">
      <c r="A66" s="6" t="str">
        <f>IFERROR(INDEX('Paramètres'!$M$10:$M$129,MATCH(24,'Référentiel'!$L$2:$L$121,0)),"")</f>
        <v>Pharmacie</v>
      </c>
      <c r="B66" s="11">
        <f>IF(OR($A66="",B$41=""),"",SUMIFS(Transactions!$Q$2:$Q$5000,Transactions!$D$2:$D$5000,$A66,Transactions!$C$2:$C$5000,B$41,Transactions!$A$2:$A$5000,"&gt;="&amp;$B$1,Transactions!$A$2:$A$5000,"&lt;"&amp;$D$1,Transactions!$O$2:$O$5000,1))</f>
        <v>64.08</v>
      </c>
      <c r="C66" s="11">
        <f>IF(OR($A66="",C$41=""),"",SUMIFS(Transactions!$Q$2:$Q$5000,Transactions!$D$2:$D$5000,$A66,Transactions!$C$2:$C$5000,C$41,Transactions!$A$2:$A$5000,"&gt;="&amp;$B$1,Transactions!$A$2:$A$5000,"&lt;"&amp;$D$1,Transactions!$O$2:$O$5000,1))</f>
        <v>0</v>
      </c>
      <c r="D66" s="11">
        <f>IF(OR($A66="",D$41=""),"",SUMIFS(Transactions!$Q$2:$Q$5000,Transactions!$D$2:$D$5000,$A66,Transactions!$C$2:$C$5000,D$41,Transactions!$A$2:$A$5000,"&gt;="&amp;$B$1,Transactions!$A$2:$A$5000,"&lt;"&amp;$D$1,Transactions!$O$2:$O$5000,1))</f>
        <v>0</v>
      </c>
      <c r="E66" s="11">
        <f>IF(OR($A66="",E$41=""),"",SUMIFS(Transactions!$Q$2:$Q$5000,Transactions!$D$2:$D$5000,$A66,Transactions!$C$2:$C$5000,E$41,Transactions!$A$2:$A$5000,"&gt;="&amp;$B$1,Transactions!$A$2:$A$5000,"&lt;"&amp;$D$1,Transactions!$O$2:$O$5000,1))</f>
        <v>0</v>
      </c>
      <c r="F66" s="11">
        <f>IF(OR($A66="",F$41=""),"",SUMIFS(Transactions!$Q$2:$Q$5000,Transactions!$D$2:$D$5000,$A66,Transactions!$C$2:$C$5000,F$41,Transactions!$A$2:$A$5000,"&gt;="&amp;$B$1,Transactions!$A$2:$A$5000,"&lt;"&amp;$D$1,Transactions!$O$2:$O$5000,1))</f>
        <v>0</v>
      </c>
      <c r="G66" s="11">
        <f>IF(OR($A66="",G$41=""),"",SUMIFS(Transactions!$Q$2:$Q$5000,Transactions!$D$2:$D$5000,$A66,Transactions!$C$2:$C$5000,G$41,Transactions!$A$2:$A$5000,"&gt;="&amp;$B$1,Transactions!$A$2:$A$5000,"&lt;"&amp;$D$1,Transactions!$O$2:$O$5000,1))</f>
        <v>0</v>
      </c>
      <c r="H66" s="11">
        <f>IF(OR($A66="",H$41=""),"",SUMIFS(Transactions!$Q$2:$Q$5000,Transactions!$D$2:$D$5000,$A66,Transactions!$C$2:$C$5000,H$41,Transactions!$A$2:$A$5000,"&gt;="&amp;$B$1,Transactions!$A$2:$A$5000,"&lt;"&amp;$D$1,Transactions!$O$2:$O$5000,1))</f>
        <v>0</v>
      </c>
      <c r="I66" s="11">
        <f>IF(OR($A66="",I$41=""),"",SUMIFS(Transactions!$Q$2:$Q$5000,Transactions!$D$2:$D$5000,$A66,Transactions!$C$2:$C$5000,I$41,Transactions!$A$2:$A$5000,"&gt;="&amp;$B$1,Transactions!$A$2:$A$5000,"&lt;"&amp;$D$1,Transactions!$O$2:$O$5000,1))</f>
        <v>0</v>
      </c>
      <c r="J66" s="11" t="str">
        <f>IF(OR($A66="",J$41=""),"",SUMIFS(Transactions!$Q$2:$Q$5000,Transactions!$D$2:$D$5000,$A66,Transactions!$C$2:$C$5000,J$41,Transactions!$A$2:$A$5000,"&gt;="&amp;$B$1,Transactions!$A$2:$A$5000,"&lt;"&amp;$D$1,Transactions!$O$2:$O$5000,1))</f>
        <v/>
      </c>
      <c r="K66" s="11" t="str">
        <f>IF(OR($A66="",K$41=""),"",SUMIFS(Transactions!$Q$2:$Q$5000,Transactions!$D$2:$D$5000,$A66,Transactions!$C$2:$C$5000,K$41,Transactions!$A$2:$A$5000,"&gt;="&amp;$B$1,Transactions!$A$2:$A$5000,"&lt;"&amp;$D$1,Transactions!$O$2:$O$5000,1))</f>
        <v/>
      </c>
      <c r="L66" s="11">
        <f>IF($A66="","",SUMIFS(Transactions!$Q$2:$Q$5000,Transactions!$D$2:$D$5000,$A66,Transactions!$A$2:$A$5000,"&gt;="&amp;$B$1,Transactions!$A$2:$A$5000,"&lt;"&amp;$D$1,Transactions!$O$2:$O$5000,1))</f>
        <v>64.08</v>
      </c>
      <c r="M66" s="27">
        <f>IF($A66="","",IFERROR(L66/L$42,0))</f>
        <v>0.022841825349863475</v>
      </c>
      <c r="N66" s="31">
        <f>IF($A66="","",COUNTIFS(Transactions!$D$2:$D$5000,$A66,Transactions!$A$2:$A$5000,"&gt;="&amp;$B$1,Transactions!$A$2:$A$5000,"&lt;"&amp;$D$1,Transactions!$O$2:$O$5000,1))</f>
        <v>1</v>
      </c>
      <c r="O66" s="6" t="str">
        <f>IF($A66="","",IF(IFERROR(INDEX('Paramètres'!$O:$O,MATCH($A66,'Paramètres'!$M:$M,0))&amp;"","")="Dépense Fixe","x",""))</f>
        <v/>
      </c>
      <c r="P66" s="6" t="str">
        <f>IF($A66="","",IF(IFERROR(INDEX('Paramètres'!$O:$O,MATCH($A66,'Paramètres'!$M:$M,0))&amp;"","")="Dépense Courante","x",""))</f>
        <v>x</v>
      </c>
      <c r="Q66" s="6" t="str">
        <f>IF($A66="","",IF(IFERROR(INDEX('Paramètres'!$O:$O,MATCH($A66,'Paramètres'!$M:$M,0))&amp;"","")="Dépense Occasionnelle","x",""))</f>
        <v/>
      </c>
      <c r="R66" s="6" t="str">
        <f>IF($A66="","",IFERROR(INDEX('Paramètres'!$Q:$Q,MATCH($A66,'Paramètres'!$M:$M,0))&amp;"",""))</f>
        <v>Santé</v>
      </c>
    </row>
    <row r="67" spans="1:18" x14ac:dyDescent="0.25">
      <c r="A67" s="6" t="str">
        <f>IFERROR(INDEX('Paramètres'!$M$10:$M$129,MATCH(25,'Référentiel'!$L$2:$L$121,0)),"")</f>
        <v>Restaurant</v>
      </c>
      <c r="B67" s="11">
        <f>IF(OR($A67="",B$41=""),"",SUMIFS(Transactions!$Q$2:$Q$5000,Transactions!$D$2:$D$5000,$A67,Transactions!$C$2:$C$5000,B$41,Transactions!$A$2:$A$5000,"&gt;="&amp;$B$1,Transactions!$A$2:$A$5000,"&lt;"&amp;$D$1,Transactions!$O$2:$O$5000,1))</f>
        <v>0</v>
      </c>
      <c r="C67" s="11">
        <f>IF(OR($A67="",C$41=""),"",SUMIFS(Transactions!$Q$2:$Q$5000,Transactions!$D$2:$D$5000,$A67,Transactions!$C$2:$C$5000,C$41,Transactions!$A$2:$A$5000,"&gt;="&amp;$B$1,Transactions!$A$2:$A$5000,"&lt;"&amp;$D$1,Transactions!$O$2:$O$5000,1))</f>
        <v>0</v>
      </c>
      <c r="D67" s="11">
        <f>IF(OR($A67="",D$41=""),"",SUMIFS(Transactions!$Q$2:$Q$5000,Transactions!$D$2:$D$5000,$A67,Transactions!$C$2:$C$5000,D$41,Transactions!$A$2:$A$5000,"&gt;="&amp;$B$1,Transactions!$A$2:$A$5000,"&lt;"&amp;$D$1,Transactions!$O$2:$O$5000,1))</f>
        <v>0</v>
      </c>
      <c r="E67" s="11">
        <f>IF(OR($A67="",E$41=""),"",SUMIFS(Transactions!$Q$2:$Q$5000,Transactions!$D$2:$D$5000,$A67,Transactions!$C$2:$C$5000,E$41,Transactions!$A$2:$A$5000,"&gt;="&amp;$B$1,Transactions!$A$2:$A$5000,"&lt;"&amp;$D$1,Transactions!$O$2:$O$5000,1))</f>
        <v>0</v>
      </c>
      <c r="F67" s="11">
        <f>IF(OR($A67="",F$41=""),"",SUMIFS(Transactions!$Q$2:$Q$5000,Transactions!$D$2:$D$5000,$A67,Transactions!$C$2:$C$5000,F$41,Transactions!$A$2:$A$5000,"&gt;="&amp;$B$1,Transactions!$A$2:$A$5000,"&lt;"&amp;$D$1,Transactions!$O$2:$O$5000,1))</f>
        <v>0</v>
      </c>
      <c r="G67" s="11">
        <f>IF(OR($A67="",G$41=""),"",SUMIFS(Transactions!$Q$2:$Q$5000,Transactions!$D$2:$D$5000,$A67,Transactions!$C$2:$C$5000,G$41,Transactions!$A$2:$A$5000,"&gt;="&amp;$B$1,Transactions!$A$2:$A$5000,"&lt;"&amp;$D$1,Transactions!$O$2:$O$5000,1))</f>
        <v>0</v>
      </c>
      <c r="H67" s="11">
        <f>IF(OR($A67="",H$41=""),"",SUMIFS(Transactions!$Q$2:$Q$5000,Transactions!$D$2:$D$5000,$A67,Transactions!$C$2:$C$5000,H$41,Transactions!$A$2:$A$5000,"&gt;="&amp;$B$1,Transactions!$A$2:$A$5000,"&lt;"&amp;$D$1,Transactions!$O$2:$O$5000,1))</f>
        <v>0</v>
      </c>
      <c r="I67" s="11">
        <f>IF(OR($A67="",I$41=""),"",SUMIFS(Transactions!$Q$2:$Q$5000,Transactions!$D$2:$D$5000,$A67,Transactions!$C$2:$C$5000,I$41,Transactions!$A$2:$A$5000,"&gt;="&amp;$B$1,Transactions!$A$2:$A$5000,"&lt;"&amp;$D$1,Transactions!$O$2:$O$5000,1))</f>
        <v>0</v>
      </c>
      <c r="J67" s="11" t="str">
        <f>IF(OR($A67="",J$41=""),"",SUMIFS(Transactions!$Q$2:$Q$5000,Transactions!$D$2:$D$5000,$A67,Transactions!$C$2:$C$5000,J$41,Transactions!$A$2:$A$5000,"&gt;="&amp;$B$1,Transactions!$A$2:$A$5000,"&lt;"&amp;$D$1,Transactions!$O$2:$O$5000,1))</f>
        <v/>
      </c>
      <c r="K67" s="11" t="str">
        <f>IF(OR($A67="",K$41=""),"",SUMIFS(Transactions!$Q$2:$Q$5000,Transactions!$D$2:$D$5000,$A67,Transactions!$C$2:$C$5000,K$41,Transactions!$A$2:$A$5000,"&gt;="&amp;$B$1,Transactions!$A$2:$A$5000,"&lt;"&amp;$D$1,Transactions!$O$2:$O$5000,1))</f>
        <v/>
      </c>
      <c r="L67" s="11">
        <f>IF($A67="","",SUMIFS(Transactions!$Q$2:$Q$5000,Transactions!$D$2:$D$5000,$A67,Transactions!$A$2:$A$5000,"&gt;="&amp;$B$1,Transactions!$A$2:$A$5000,"&lt;"&amp;$D$1,Transactions!$O$2:$O$5000,1))</f>
        <v>0</v>
      </c>
      <c r="M67" s="27">
        <f>IF($A67="","",IFERROR(L67/L$42,0))</f>
        <v>0</v>
      </c>
      <c r="N67" s="31">
        <f>IF($A67="","",COUNTIFS(Transactions!$D$2:$D$5000,$A67,Transactions!$A$2:$A$5000,"&gt;="&amp;$B$1,Transactions!$A$2:$A$5000,"&lt;"&amp;$D$1,Transactions!$O$2:$O$5000,1))</f>
        <v>0</v>
      </c>
      <c r="O67" s="6" t="str">
        <f>IF($A67="","",IF(IFERROR(INDEX('Paramètres'!$O:$O,MATCH($A67,'Paramètres'!$M:$M,0))&amp;"","")="Dépense Fixe","x",""))</f>
        <v/>
      </c>
      <c r="P67" s="6" t="str">
        <f>IF($A67="","",IF(IFERROR(INDEX('Paramètres'!$O:$O,MATCH($A67,'Paramètres'!$M:$M,0))&amp;"","")="Dépense Courante","x",""))</f>
        <v/>
      </c>
      <c r="Q67" s="6" t="str">
        <f>IF($A67="","",IF(IFERROR(INDEX('Paramètres'!$O:$O,MATCH($A67,'Paramètres'!$M:$M,0))&amp;"","")="Dépense Occasionnelle","x",""))</f>
        <v>x</v>
      </c>
      <c r="R67" s="6" t="str">
        <f>IF($A67="","",IFERROR(INDEX('Paramètres'!$Q:$Q,MATCH($A67,'Paramètres'!$M:$M,0))&amp;"",""))</f>
        <v>Alimentation</v>
      </c>
    </row>
    <row r="68" spans="1:18" x14ac:dyDescent="0.25">
      <c r="A68" s="6" t="str">
        <f>IFERROR(INDEX('Paramètres'!$M$10:$M$129,MATCH(26,'Référentiel'!$L$2:$L$121,0)),"")</f>
        <v>Vêtement courant</v>
      </c>
      <c r="B68" s="11">
        <f>IF(OR($A68="",B$41=""),"",SUMIFS(Transactions!$Q$2:$Q$5000,Transactions!$D$2:$D$5000,$A68,Transactions!$C$2:$C$5000,B$41,Transactions!$A$2:$A$5000,"&gt;="&amp;$B$1,Transactions!$A$2:$A$5000,"&lt;"&amp;$D$1,Transactions!$O$2:$O$5000,1))</f>
        <v>65.91</v>
      </c>
      <c r="C68" s="11">
        <f>IF(OR($A68="",C$41=""),"",SUMIFS(Transactions!$Q$2:$Q$5000,Transactions!$D$2:$D$5000,$A68,Transactions!$C$2:$C$5000,C$41,Transactions!$A$2:$A$5000,"&gt;="&amp;$B$1,Transactions!$A$2:$A$5000,"&lt;"&amp;$D$1,Transactions!$O$2:$O$5000,1))</f>
        <v>0</v>
      </c>
      <c r="D68" s="11">
        <f>IF(OR($A68="",D$41=""),"",SUMIFS(Transactions!$Q$2:$Q$5000,Transactions!$D$2:$D$5000,$A68,Transactions!$C$2:$C$5000,D$41,Transactions!$A$2:$A$5000,"&gt;="&amp;$B$1,Transactions!$A$2:$A$5000,"&lt;"&amp;$D$1,Transactions!$O$2:$O$5000,1))</f>
        <v>0</v>
      </c>
      <c r="E68" s="11">
        <f>IF(OR($A68="",E$41=""),"",SUMIFS(Transactions!$Q$2:$Q$5000,Transactions!$D$2:$D$5000,$A68,Transactions!$C$2:$C$5000,E$41,Transactions!$A$2:$A$5000,"&gt;="&amp;$B$1,Transactions!$A$2:$A$5000,"&lt;"&amp;$D$1,Transactions!$O$2:$O$5000,1))</f>
        <v>0</v>
      </c>
      <c r="F68" s="11">
        <f>IF(OR($A68="",F$41=""),"",SUMIFS(Transactions!$Q$2:$Q$5000,Transactions!$D$2:$D$5000,$A68,Transactions!$C$2:$C$5000,F$41,Transactions!$A$2:$A$5000,"&gt;="&amp;$B$1,Transactions!$A$2:$A$5000,"&lt;"&amp;$D$1,Transactions!$O$2:$O$5000,1))</f>
        <v>0</v>
      </c>
      <c r="G68" s="11">
        <f>IF(OR($A68="",G$41=""),"",SUMIFS(Transactions!$Q$2:$Q$5000,Transactions!$D$2:$D$5000,$A68,Transactions!$C$2:$C$5000,G$41,Transactions!$A$2:$A$5000,"&gt;="&amp;$B$1,Transactions!$A$2:$A$5000,"&lt;"&amp;$D$1,Transactions!$O$2:$O$5000,1))</f>
        <v>0</v>
      </c>
      <c r="H68" s="11">
        <f>IF(OR($A68="",H$41=""),"",SUMIFS(Transactions!$Q$2:$Q$5000,Transactions!$D$2:$D$5000,$A68,Transactions!$C$2:$C$5000,H$41,Transactions!$A$2:$A$5000,"&gt;="&amp;$B$1,Transactions!$A$2:$A$5000,"&lt;"&amp;$D$1,Transactions!$O$2:$O$5000,1))</f>
        <v>0</v>
      </c>
      <c r="I68" s="11">
        <f>IF(OR($A68="",I$41=""),"",SUMIFS(Transactions!$Q$2:$Q$5000,Transactions!$D$2:$D$5000,$A68,Transactions!$C$2:$C$5000,I$41,Transactions!$A$2:$A$5000,"&gt;="&amp;$B$1,Transactions!$A$2:$A$5000,"&lt;"&amp;$D$1,Transactions!$O$2:$O$5000,1))</f>
        <v>0</v>
      </c>
      <c r="J68" s="11" t="str">
        <f>IF(OR($A68="",J$41=""),"",SUMIFS(Transactions!$Q$2:$Q$5000,Transactions!$D$2:$D$5000,$A68,Transactions!$C$2:$C$5000,J$41,Transactions!$A$2:$A$5000,"&gt;="&amp;$B$1,Transactions!$A$2:$A$5000,"&lt;"&amp;$D$1,Transactions!$O$2:$O$5000,1))</f>
        <v/>
      </c>
      <c r="K68" s="11" t="str">
        <f>IF(OR($A68="",K$41=""),"",SUMIFS(Transactions!$Q$2:$Q$5000,Transactions!$D$2:$D$5000,$A68,Transactions!$C$2:$C$5000,K$41,Transactions!$A$2:$A$5000,"&gt;="&amp;$B$1,Transactions!$A$2:$A$5000,"&lt;"&amp;$D$1,Transactions!$O$2:$O$5000,1))</f>
        <v/>
      </c>
      <c r="L68" s="11">
        <f>IF($A68="","",SUMIFS(Transactions!$Q$2:$Q$5000,Transactions!$D$2:$D$5000,$A68,Transactions!$A$2:$A$5000,"&gt;="&amp;$B$1,Transactions!$A$2:$A$5000,"&lt;"&amp;$D$1,Transactions!$O$2:$O$5000,1))</f>
        <v>65.91</v>
      </c>
      <c r="M68" s="27">
        <f>IF($A68="","",IFERROR(L68/L$42,0))</f>
        <v>0.023494143395903583</v>
      </c>
      <c r="N68" s="31">
        <f>IF($A68="","",COUNTIFS(Transactions!$D$2:$D$5000,$A68,Transactions!$A$2:$A$5000,"&gt;="&amp;$B$1,Transactions!$A$2:$A$5000,"&lt;"&amp;$D$1,Transactions!$O$2:$O$5000,1))</f>
        <v>1</v>
      </c>
      <c r="O68" s="6" t="str">
        <f>IF($A68="","",IF(IFERROR(INDEX('Paramètres'!$O:$O,MATCH($A68,'Paramètres'!$M:$M,0))&amp;"","")="Dépense Fixe","x",""))</f>
        <v/>
      </c>
      <c r="P68" s="6" t="str">
        <f>IF($A68="","",IF(IFERROR(INDEX('Paramètres'!$O:$O,MATCH($A68,'Paramètres'!$M:$M,0))&amp;"","")="Dépense Courante","x",""))</f>
        <v>x</v>
      </c>
      <c r="Q68" s="6" t="str">
        <f>IF($A68="","",IF(IFERROR(INDEX('Paramètres'!$O:$O,MATCH($A68,'Paramètres'!$M:$M,0))&amp;"","")="Dépense Occasionnelle","x",""))</f>
        <v/>
      </c>
      <c r="R68" s="6" t="str">
        <f>IF($A68="","",IFERROR(INDEX('Paramètres'!$Q:$Q,MATCH($A68,'Paramètres'!$M:$M,0))&amp;"",""))</f>
        <v>Habillement</v>
      </c>
    </row>
    <row r="69" spans="1:18" x14ac:dyDescent="0.25">
      <c r="A69" s="6" t="str">
        <f>IFERROR(INDEX('Paramètres'!$M$10:$M$129,MATCH(27,'Référentiel'!$L$2:$L$121,0)),"")</f>
        <v/>
      </c>
      <c r="B69" s="11" t="str">
        <f>IF(OR($A69="",B$41=""),"",SUMIFS(Transactions!$Q$2:$Q$5000,Transactions!$D$2:$D$5000,$A69,Transactions!$C$2:$C$5000,B$41,Transactions!$A$2:$A$5000,"&gt;="&amp;$B$1,Transactions!$A$2:$A$5000,"&lt;"&amp;$D$1,Transactions!$O$2:$O$5000,1))</f>
        <v/>
      </c>
      <c r="C69" s="11" t="str">
        <f>IF(OR($A69="",C$41=""),"",SUMIFS(Transactions!$Q$2:$Q$5000,Transactions!$D$2:$D$5000,$A69,Transactions!$C$2:$C$5000,C$41,Transactions!$A$2:$A$5000,"&gt;="&amp;$B$1,Transactions!$A$2:$A$5000,"&lt;"&amp;$D$1,Transactions!$O$2:$O$5000,1))</f>
        <v/>
      </c>
      <c r="D69" s="11" t="str">
        <f>IF(OR($A69="",D$41=""),"",SUMIFS(Transactions!$Q$2:$Q$5000,Transactions!$D$2:$D$5000,$A69,Transactions!$C$2:$C$5000,D$41,Transactions!$A$2:$A$5000,"&gt;="&amp;$B$1,Transactions!$A$2:$A$5000,"&lt;"&amp;$D$1,Transactions!$O$2:$O$5000,1))</f>
        <v/>
      </c>
      <c r="E69" s="11" t="str">
        <f>IF(OR($A69="",E$41=""),"",SUMIFS(Transactions!$Q$2:$Q$5000,Transactions!$D$2:$D$5000,$A69,Transactions!$C$2:$C$5000,E$41,Transactions!$A$2:$A$5000,"&gt;="&amp;$B$1,Transactions!$A$2:$A$5000,"&lt;"&amp;$D$1,Transactions!$O$2:$O$5000,1))</f>
        <v/>
      </c>
      <c r="F69" s="11" t="str">
        <f>IF(OR($A69="",F$41=""),"",SUMIFS(Transactions!$Q$2:$Q$5000,Transactions!$D$2:$D$5000,$A69,Transactions!$C$2:$C$5000,F$41,Transactions!$A$2:$A$5000,"&gt;="&amp;$B$1,Transactions!$A$2:$A$5000,"&lt;"&amp;$D$1,Transactions!$O$2:$O$5000,1))</f>
        <v/>
      </c>
      <c r="G69" s="11" t="str">
        <f>IF(OR($A69="",G$41=""),"",SUMIFS(Transactions!$Q$2:$Q$5000,Transactions!$D$2:$D$5000,$A69,Transactions!$C$2:$C$5000,G$41,Transactions!$A$2:$A$5000,"&gt;="&amp;$B$1,Transactions!$A$2:$A$5000,"&lt;"&amp;$D$1,Transactions!$O$2:$O$5000,1))</f>
        <v/>
      </c>
      <c r="H69" s="11" t="str">
        <f>IF(OR($A69="",H$41=""),"",SUMIFS(Transactions!$Q$2:$Q$5000,Transactions!$D$2:$D$5000,$A69,Transactions!$C$2:$C$5000,H$41,Transactions!$A$2:$A$5000,"&gt;="&amp;$B$1,Transactions!$A$2:$A$5000,"&lt;"&amp;$D$1,Transactions!$O$2:$O$5000,1))</f>
        <v/>
      </c>
      <c r="I69" s="11" t="str">
        <f>IF(OR($A69="",I$41=""),"",SUMIFS(Transactions!$Q$2:$Q$5000,Transactions!$D$2:$D$5000,$A69,Transactions!$C$2:$C$5000,I$41,Transactions!$A$2:$A$5000,"&gt;="&amp;$B$1,Transactions!$A$2:$A$5000,"&lt;"&amp;$D$1,Transactions!$O$2:$O$5000,1))</f>
        <v/>
      </c>
      <c r="J69" s="11" t="str">
        <f>IF(OR($A69="",J$41=""),"",SUMIFS(Transactions!$Q$2:$Q$5000,Transactions!$D$2:$D$5000,$A69,Transactions!$C$2:$C$5000,J$41,Transactions!$A$2:$A$5000,"&gt;="&amp;$B$1,Transactions!$A$2:$A$5000,"&lt;"&amp;$D$1,Transactions!$O$2:$O$5000,1))</f>
        <v/>
      </c>
      <c r="K69" s="11" t="str">
        <f>IF(OR($A69="",K$41=""),"",SUMIFS(Transactions!$Q$2:$Q$5000,Transactions!$D$2:$D$5000,$A69,Transactions!$C$2:$C$5000,K$41,Transactions!$A$2:$A$5000,"&gt;="&amp;$B$1,Transactions!$A$2:$A$5000,"&lt;"&amp;$D$1,Transactions!$O$2:$O$5000,1))</f>
        <v/>
      </c>
      <c r="L69" s="11" t="str">
        <f>IF($A69="","",SUMIFS(Transactions!$Q$2:$Q$5000,Transactions!$D$2:$D$5000,$A69,Transactions!$A$2:$A$5000,"&gt;="&amp;$B$1,Transactions!$A$2:$A$5000,"&lt;"&amp;$D$1,Transactions!$O$2:$O$5000,1))</f>
        <v/>
      </c>
      <c r="M69" s="27" t="str">
        <f>IF($A69="","",IFERROR(L69/L$42,0))</f>
        <v/>
      </c>
      <c r="N69" s="31" t="str">
        <f>IF($A69="","",COUNTIFS(Transactions!$D$2:$D$5000,$A69,Transactions!$A$2:$A$5000,"&gt;="&amp;$B$1,Transactions!$A$2:$A$5000,"&lt;"&amp;$D$1,Transactions!$O$2:$O$5000,1))</f>
        <v/>
      </c>
      <c r="O69" s="6" t="str">
        <f>IF($A69="","",IF(IFERROR(INDEX('Paramètres'!$O:$O,MATCH($A69,'Paramètres'!$M:$M,0))&amp;"","")="Dépense Fixe","x",""))</f>
        <v/>
      </c>
      <c r="P69" s="6" t="str">
        <f>IF($A69="","",IF(IFERROR(INDEX('Paramètres'!$O:$O,MATCH($A69,'Paramètres'!$M:$M,0))&amp;"","")="Dépense Courante","x",""))</f>
        <v/>
      </c>
      <c r="Q69" s="6" t="str">
        <f>IF($A69="","",IF(IFERROR(INDEX('Paramètres'!$O:$O,MATCH($A69,'Paramètres'!$M:$M,0))&amp;"","")="Dépense Occasionnelle","x",""))</f>
        <v/>
      </c>
      <c r="R69" s="6" t="str">
        <f>IF($A69="","",IFERROR(INDEX('Paramètres'!$Q:$Q,MATCH($A69,'Paramètres'!$M:$M,0))&amp;"",""))</f>
        <v/>
      </c>
    </row>
    <row r="70" spans="1:18" x14ac:dyDescent="0.25">
      <c r="A70" s="6" t="str">
        <f>IFERROR(INDEX('Paramètres'!$M$10:$M$129,MATCH(28,'Référentiel'!$L$2:$L$121,0)),"")</f>
        <v/>
      </c>
      <c r="B70" s="11" t="str">
        <f>IF(OR($A70="",B$41=""),"",SUMIFS(Transactions!$Q$2:$Q$5000,Transactions!$D$2:$D$5000,$A70,Transactions!$C$2:$C$5000,B$41,Transactions!$A$2:$A$5000,"&gt;="&amp;$B$1,Transactions!$A$2:$A$5000,"&lt;"&amp;$D$1,Transactions!$O$2:$O$5000,1))</f>
        <v/>
      </c>
      <c r="C70" s="11" t="str">
        <f>IF(OR($A70="",C$41=""),"",SUMIFS(Transactions!$Q$2:$Q$5000,Transactions!$D$2:$D$5000,$A70,Transactions!$C$2:$C$5000,C$41,Transactions!$A$2:$A$5000,"&gt;="&amp;$B$1,Transactions!$A$2:$A$5000,"&lt;"&amp;$D$1,Transactions!$O$2:$O$5000,1))</f>
        <v/>
      </c>
      <c r="D70" s="11" t="str">
        <f>IF(OR($A70="",D$41=""),"",SUMIFS(Transactions!$Q$2:$Q$5000,Transactions!$D$2:$D$5000,$A70,Transactions!$C$2:$C$5000,D$41,Transactions!$A$2:$A$5000,"&gt;="&amp;$B$1,Transactions!$A$2:$A$5000,"&lt;"&amp;$D$1,Transactions!$O$2:$O$5000,1))</f>
        <v/>
      </c>
      <c r="E70" s="11" t="str">
        <f>IF(OR($A70="",E$41=""),"",SUMIFS(Transactions!$Q$2:$Q$5000,Transactions!$D$2:$D$5000,$A70,Transactions!$C$2:$C$5000,E$41,Transactions!$A$2:$A$5000,"&gt;="&amp;$B$1,Transactions!$A$2:$A$5000,"&lt;"&amp;$D$1,Transactions!$O$2:$O$5000,1))</f>
        <v/>
      </c>
      <c r="F70" s="11" t="str">
        <f>IF(OR($A70="",F$41=""),"",SUMIFS(Transactions!$Q$2:$Q$5000,Transactions!$D$2:$D$5000,$A70,Transactions!$C$2:$C$5000,F$41,Transactions!$A$2:$A$5000,"&gt;="&amp;$B$1,Transactions!$A$2:$A$5000,"&lt;"&amp;$D$1,Transactions!$O$2:$O$5000,1))</f>
        <v/>
      </c>
      <c r="G70" s="11" t="str">
        <f>IF(OR($A70="",G$41=""),"",SUMIFS(Transactions!$Q$2:$Q$5000,Transactions!$D$2:$D$5000,$A70,Transactions!$C$2:$C$5000,G$41,Transactions!$A$2:$A$5000,"&gt;="&amp;$B$1,Transactions!$A$2:$A$5000,"&lt;"&amp;$D$1,Transactions!$O$2:$O$5000,1))</f>
        <v/>
      </c>
      <c r="H70" s="11" t="str">
        <f>IF(OR($A70="",H$41=""),"",SUMIFS(Transactions!$Q$2:$Q$5000,Transactions!$D$2:$D$5000,$A70,Transactions!$C$2:$C$5000,H$41,Transactions!$A$2:$A$5000,"&gt;="&amp;$B$1,Transactions!$A$2:$A$5000,"&lt;"&amp;$D$1,Transactions!$O$2:$O$5000,1))</f>
        <v/>
      </c>
      <c r="I70" s="11" t="str">
        <f>IF(OR($A70="",I$41=""),"",SUMIFS(Transactions!$Q$2:$Q$5000,Transactions!$D$2:$D$5000,$A70,Transactions!$C$2:$C$5000,I$41,Transactions!$A$2:$A$5000,"&gt;="&amp;$B$1,Transactions!$A$2:$A$5000,"&lt;"&amp;$D$1,Transactions!$O$2:$O$5000,1))</f>
        <v/>
      </c>
      <c r="J70" s="11" t="str">
        <f>IF(OR($A70="",J$41=""),"",SUMIFS(Transactions!$Q$2:$Q$5000,Transactions!$D$2:$D$5000,$A70,Transactions!$C$2:$C$5000,J$41,Transactions!$A$2:$A$5000,"&gt;="&amp;$B$1,Transactions!$A$2:$A$5000,"&lt;"&amp;$D$1,Transactions!$O$2:$O$5000,1))</f>
        <v/>
      </c>
      <c r="K70" s="11" t="str">
        <f>IF(OR($A70="",K$41=""),"",SUMIFS(Transactions!$Q$2:$Q$5000,Transactions!$D$2:$D$5000,$A70,Transactions!$C$2:$C$5000,K$41,Transactions!$A$2:$A$5000,"&gt;="&amp;$B$1,Transactions!$A$2:$A$5000,"&lt;"&amp;$D$1,Transactions!$O$2:$O$5000,1))</f>
        <v/>
      </c>
      <c r="L70" s="11" t="str">
        <f>IF($A70="","",SUMIFS(Transactions!$Q$2:$Q$5000,Transactions!$D$2:$D$5000,$A70,Transactions!$A$2:$A$5000,"&gt;="&amp;$B$1,Transactions!$A$2:$A$5000,"&lt;"&amp;$D$1,Transactions!$O$2:$O$5000,1))</f>
        <v/>
      </c>
      <c r="M70" s="27" t="str">
        <f>IF($A70="","",IFERROR(L70/L$42,0))</f>
        <v/>
      </c>
      <c r="N70" s="31" t="str">
        <f>IF($A70="","",COUNTIFS(Transactions!$D$2:$D$5000,$A70,Transactions!$A$2:$A$5000,"&gt;="&amp;$B$1,Transactions!$A$2:$A$5000,"&lt;"&amp;$D$1,Transactions!$O$2:$O$5000,1))</f>
        <v/>
      </c>
      <c r="O70" s="6" t="str">
        <f>IF($A70="","",IF(IFERROR(INDEX('Paramètres'!$O:$O,MATCH($A70,'Paramètres'!$M:$M,0))&amp;"","")="Dépense Fixe","x",""))</f>
        <v/>
      </c>
      <c r="P70" s="6" t="str">
        <f>IF($A70="","",IF(IFERROR(INDEX('Paramètres'!$O:$O,MATCH($A70,'Paramètres'!$M:$M,0))&amp;"","")="Dépense Courante","x",""))</f>
        <v/>
      </c>
      <c r="Q70" s="6" t="str">
        <f>IF($A70="","",IF(IFERROR(INDEX('Paramètres'!$O:$O,MATCH($A70,'Paramètres'!$M:$M,0))&amp;"","")="Dépense Occasionnelle","x",""))</f>
        <v/>
      </c>
      <c r="R70" s="6" t="str">
        <f>IF($A70="","",IFERROR(INDEX('Paramètres'!$Q:$Q,MATCH($A70,'Paramètres'!$M:$M,0))&amp;"",""))</f>
        <v/>
      </c>
    </row>
    <row r="71" spans="1:18" x14ac:dyDescent="0.25">
      <c r="A71" s="6" t="str">
        <f>IFERROR(INDEX('Paramètres'!$M$10:$M$129,MATCH(29,'Référentiel'!$L$2:$L$121,0)),"")</f>
        <v/>
      </c>
      <c r="B71" s="11" t="str">
        <f>IF(OR($A71="",B$41=""),"",SUMIFS(Transactions!$Q$2:$Q$5000,Transactions!$D$2:$D$5000,$A71,Transactions!$C$2:$C$5000,B$41,Transactions!$A$2:$A$5000,"&gt;="&amp;$B$1,Transactions!$A$2:$A$5000,"&lt;"&amp;$D$1,Transactions!$O$2:$O$5000,1))</f>
        <v/>
      </c>
      <c r="C71" s="11" t="str">
        <f>IF(OR($A71="",C$41=""),"",SUMIFS(Transactions!$Q$2:$Q$5000,Transactions!$D$2:$D$5000,$A71,Transactions!$C$2:$C$5000,C$41,Transactions!$A$2:$A$5000,"&gt;="&amp;$B$1,Transactions!$A$2:$A$5000,"&lt;"&amp;$D$1,Transactions!$O$2:$O$5000,1))</f>
        <v/>
      </c>
      <c r="D71" s="11" t="str">
        <f>IF(OR($A71="",D$41=""),"",SUMIFS(Transactions!$Q$2:$Q$5000,Transactions!$D$2:$D$5000,$A71,Transactions!$C$2:$C$5000,D$41,Transactions!$A$2:$A$5000,"&gt;="&amp;$B$1,Transactions!$A$2:$A$5000,"&lt;"&amp;$D$1,Transactions!$O$2:$O$5000,1))</f>
        <v/>
      </c>
      <c r="E71" s="11" t="str">
        <f>IF(OR($A71="",E$41=""),"",SUMIFS(Transactions!$Q$2:$Q$5000,Transactions!$D$2:$D$5000,$A71,Transactions!$C$2:$C$5000,E$41,Transactions!$A$2:$A$5000,"&gt;="&amp;$B$1,Transactions!$A$2:$A$5000,"&lt;"&amp;$D$1,Transactions!$O$2:$O$5000,1))</f>
        <v/>
      </c>
      <c r="F71" s="11" t="str">
        <f>IF(OR($A71="",F$41=""),"",SUMIFS(Transactions!$Q$2:$Q$5000,Transactions!$D$2:$D$5000,$A71,Transactions!$C$2:$C$5000,F$41,Transactions!$A$2:$A$5000,"&gt;="&amp;$B$1,Transactions!$A$2:$A$5000,"&lt;"&amp;$D$1,Transactions!$O$2:$O$5000,1))</f>
        <v/>
      </c>
      <c r="G71" s="11" t="str">
        <f>IF(OR($A71="",G$41=""),"",SUMIFS(Transactions!$Q$2:$Q$5000,Transactions!$D$2:$D$5000,$A71,Transactions!$C$2:$C$5000,G$41,Transactions!$A$2:$A$5000,"&gt;="&amp;$B$1,Transactions!$A$2:$A$5000,"&lt;"&amp;$D$1,Transactions!$O$2:$O$5000,1))</f>
        <v/>
      </c>
      <c r="H71" s="11" t="str">
        <f>IF(OR($A71="",H$41=""),"",SUMIFS(Transactions!$Q$2:$Q$5000,Transactions!$D$2:$D$5000,$A71,Transactions!$C$2:$C$5000,H$41,Transactions!$A$2:$A$5000,"&gt;="&amp;$B$1,Transactions!$A$2:$A$5000,"&lt;"&amp;$D$1,Transactions!$O$2:$O$5000,1))</f>
        <v/>
      </c>
      <c r="I71" s="11" t="str">
        <f>IF(OR($A71="",I$41=""),"",SUMIFS(Transactions!$Q$2:$Q$5000,Transactions!$D$2:$D$5000,$A71,Transactions!$C$2:$C$5000,I$41,Transactions!$A$2:$A$5000,"&gt;="&amp;$B$1,Transactions!$A$2:$A$5000,"&lt;"&amp;$D$1,Transactions!$O$2:$O$5000,1))</f>
        <v/>
      </c>
      <c r="J71" s="11" t="str">
        <f>IF(OR($A71="",J$41=""),"",SUMIFS(Transactions!$Q$2:$Q$5000,Transactions!$D$2:$D$5000,$A71,Transactions!$C$2:$C$5000,J$41,Transactions!$A$2:$A$5000,"&gt;="&amp;$B$1,Transactions!$A$2:$A$5000,"&lt;"&amp;$D$1,Transactions!$O$2:$O$5000,1))</f>
        <v/>
      </c>
      <c r="K71" s="11" t="str">
        <f>IF(OR($A71="",K$41=""),"",SUMIFS(Transactions!$Q$2:$Q$5000,Transactions!$D$2:$D$5000,$A71,Transactions!$C$2:$C$5000,K$41,Transactions!$A$2:$A$5000,"&gt;="&amp;$B$1,Transactions!$A$2:$A$5000,"&lt;"&amp;$D$1,Transactions!$O$2:$O$5000,1))</f>
        <v/>
      </c>
      <c r="L71" s="11" t="str">
        <f>IF($A71="","",SUMIFS(Transactions!$Q$2:$Q$5000,Transactions!$D$2:$D$5000,$A71,Transactions!$A$2:$A$5000,"&gt;="&amp;$B$1,Transactions!$A$2:$A$5000,"&lt;"&amp;$D$1,Transactions!$O$2:$O$5000,1))</f>
        <v/>
      </c>
      <c r="M71" s="27" t="str">
        <f>IF($A71="","",IFERROR(L71/L$42,0))</f>
        <v/>
      </c>
      <c r="N71" s="31" t="str">
        <f>IF($A71="","",COUNTIFS(Transactions!$D$2:$D$5000,$A71,Transactions!$A$2:$A$5000,"&gt;="&amp;$B$1,Transactions!$A$2:$A$5000,"&lt;"&amp;$D$1,Transactions!$O$2:$O$5000,1))</f>
        <v/>
      </c>
      <c r="O71" s="6" t="str">
        <f>IF($A71="","",IF(IFERROR(INDEX('Paramètres'!$O:$O,MATCH($A71,'Paramètres'!$M:$M,0))&amp;"","")="Dépense Fixe","x",""))</f>
        <v/>
      </c>
      <c r="P71" s="6" t="str">
        <f>IF($A71="","",IF(IFERROR(INDEX('Paramètres'!$O:$O,MATCH($A71,'Paramètres'!$M:$M,0))&amp;"","")="Dépense Courante","x",""))</f>
        <v/>
      </c>
      <c r="Q71" s="6" t="str">
        <f>IF($A71="","",IF(IFERROR(INDEX('Paramètres'!$O:$O,MATCH($A71,'Paramètres'!$M:$M,0))&amp;"","")="Dépense Occasionnelle","x",""))</f>
        <v/>
      </c>
      <c r="R71" s="6" t="str">
        <f>IF($A71="","",IFERROR(INDEX('Paramètres'!$Q:$Q,MATCH($A71,'Paramètres'!$M:$M,0))&amp;"",""))</f>
        <v/>
      </c>
    </row>
    <row r="72" spans="1:18" x14ac:dyDescent="0.25">
      <c r="A72" s="6" t="str">
        <f>IFERROR(INDEX('Paramètres'!$M$10:$M$129,MATCH(30,'Référentiel'!$L$2:$L$121,0)),"")</f>
        <v/>
      </c>
      <c r="B72" s="11" t="str">
        <f>IF(OR($A72="",B$41=""),"",SUMIFS(Transactions!$Q$2:$Q$5000,Transactions!$D$2:$D$5000,$A72,Transactions!$C$2:$C$5000,B$41,Transactions!$A$2:$A$5000,"&gt;="&amp;$B$1,Transactions!$A$2:$A$5000,"&lt;"&amp;$D$1,Transactions!$O$2:$O$5000,1))</f>
        <v/>
      </c>
      <c r="C72" s="11" t="str">
        <f>IF(OR($A72="",C$41=""),"",SUMIFS(Transactions!$Q$2:$Q$5000,Transactions!$D$2:$D$5000,$A72,Transactions!$C$2:$C$5000,C$41,Transactions!$A$2:$A$5000,"&gt;="&amp;$B$1,Transactions!$A$2:$A$5000,"&lt;"&amp;$D$1,Transactions!$O$2:$O$5000,1))</f>
        <v/>
      </c>
      <c r="D72" s="11" t="str">
        <f>IF(OR($A72="",D$41=""),"",SUMIFS(Transactions!$Q$2:$Q$5000,Transactions!$D$2:$D$5000,$A72,Transactions!$C$2:$C$5000,D$41,Transactions!$A$2:$A$5000,"&gt;="&amp;$B$1,Transactions!$A$2:$A$5000,"&lt;"&amp;$D$1,Transactions!$O$2:$O$5000,1))</f>
        <v/>
      </c>
      <c r="E72" s="11" t="str">
        <f>IF(OR($A72="",E$41=""),"",SUMIFS(Transactions!$Q$2:$Q$5000,Transactions!$D$2:$D$5000,$A72,Transactions!$C$2:$C$5000,E$41,Transactions!$A$2:$A$5000,"&gt;="&amp;$B$1,Transactions!$A$2:$A$5000,"&lt;"&amp;$D$1,Transactions!$O$2:$O$5000,1))</f>
        <v/>
      </c>
      <c r="F72" s="11" t="str">
        <f>IF(OR($A72="",F$41=""),"",SUMIFS(Transactions!$Q$2:$Q$5000,Transactions!$D$2:$D$5000,$A72,Transactions!$C$2:$C$5000,F$41,Transactions!$A$2:$A$5000,"&gt;="&amp;$B$1,Transactions!$A$2:$A$5000,"&lt;"&amp;$D$1,Transactions!$O$2:$O$5000,1))</f>
        <v/>
      </c>
      <c r="G72" s="11" t="str">
        <f>IF(OR($A72="",G$41=""),"",SUMIFS(Transactions!$Q$2:$Q$5000,Transactions!$D$2:$D$5000,$A72,Transactions!$C$2:$C$5000,G$41,Transactions!$A$2:$A$5000,"&gt;="&amp;$B$1,Transactions!$A$2:$A$5000,"&lt;"&amp;$D$1,Transactions!$O$2:$O$5000,1))</f>
        <v/>
      </c>
      <c r="H72" s="11" t="str">
        <f>IF(OR($A72="",H$41=""),"",SUMIFS(Transactions!$Q$2:$Q$5000,Transactions!$D$2:$D$5000,$A72,Transactions!$C$2:$C$5000,H$41,Transactions!$A$2:$A$5000,"&gt;="&amp;$B$1,Transactions!$A$2:$A$5000,"&lt;"&amp;$D$1,Transactions!$O$2:$O$5000,1))</f>
        <v/>
      </c>
      <c r="I72" s="11" t="str">
        <f>IF(OR($A72="",I$41=""),"",SUMIFS(Transactions!$Q$2:$Q$5000,Transactions!$D$2:$D$5000,$A72,Transactions!$C$2:$C$5000,I$41,Transactions!$A$2:$A$5000,"&gt;="&amp;$B$1,Transactions!$A$2:$A$5000,"&lt;"&amp;$D$1,Transactions!$O$2:$O$5000,1))</f>
        <v/>
      </c>
      <c r="J72" s="11" t="str">
        <f>IF(OR($A72="",J$41=""),"",SUMIFS(Transactions!$Q$2:$Q$5000,Transactions!$D$2:$D$5000,$A72,Transactions!$C$2:$C$5000,J$41,Transactions!$A$2:$A$5000,"&gt;="&amp;$B$1,Transactions!$A$2:$A$5000,"&lt;"&amp;$D$1,Transactions!$O$2:$O$5000,1))</f>
        <v/>
      </c>
      <c r="K72" s="11" t="str">
        <f>IF(OR($A72="",K$41=""),"",SUMIFS(Transactions!$Q$2:$Q$5000,Transactions!$D$2:$D$5000,$A72,Transactions!$C$2:$C$5000,K$41,Transactions!$A$2:$A$5000,"&gt;="&amp;$B$1,Transactions!$A$2:$A$5000,"&lt;"&amp;$D$1,Transactions!$O$2:$O$5000,1))</f>
        <v/>
      </c>
      <c r="L72" s="11" t="str">
        <f>IF($A72="","",SUMIFS(Transactions!$Q$2:$Q$5000,Transactions!$D$2:$D$5000,$A72,Transactions!$A$2:$A$5000,"&gt;="&amp;$B$1,Transactions!$A$2:$A$5000,"&lt;"&amp;$D$1,Transactions!$O$2:$O$5000,1))</f>
        <v/>
      </c>
      <c r="M72" s="27" t="str">
        <f>IF($A72="","",IFERROR(L72/L$42,0))</f>
        <v/>
      </c>
      <c r="N72" s="31" t="str">
        <f>IF($A72="","",COUNTIFS(Transactions!$D$2:$D$5000,$A72,Transactions!$A$2:$A$5000,"&gt;="&amp;$B$1,Transactions!$A$2:$A$5000,"&lt;"&amp;$D$1,Transactions!$O$2:$O$5000,1))</f>
        <v/>
      </c>
      <c r="O72" s="6" t="str">
        <f>IF($A72="","",IF(IFERROR(INDEX('Paramètres'!$O:$O,MATCH($A72,'Paramètres'!$M:$M,0))&amp;"","")="Dépense Fixe","x",""))</f>
        <v/>
      </c>
      <c r="P72" s="6" t="str">
        <f>IF($A72="","",IF(IFERROR(INDEX('Paramètres'!$O:$O,MATCH($A72,'Paramètres'!$M:$M,0))&amp;"","")="Dépense Courante","x",""))</f>
        <v/>
      </c>
      <c r="Q72" s="6" t="str">
        <f>IF($A72="","",IF(IFERROR(INDEX('Paramètres'!$O:$O,MATCH($A72,'Paramètres'!$M:$M,0))&amp;"","")="Dépense Occasionnelle","x",""))</f>
        <v/>
      </c>
      <c r="R72" s="6" t="str">
        <f>IF($A72="","",IFERROR(INDEX('Paramètres'!$Q:$Q,MATCH($A72,'Paramètres'!$M:$M,0))&amp;"",""))</f>
        <v/>
      </c>
    </row>
    <row r="73" spans="1:18" x14ac:dyDescent="0.25">
      <c r="A73" s="6" t="str">
        <f>IFERROR(INDEX('Paramètres'!$M$10:$M$129,MATCH(31,'Référentiel'!$L$2:$L$121,0)),"")</f>
        <v/>
      </c>
      <c r="B73" s="11" t="str">
        <f>IF(OR($A73="",B$41=""),"",SUMIFS(Transactions!$Q$2:$Q$5000,Transactions!$D$2:$D$5000,$A73,Transactions!$C$2:$C$5000,B$41,Transactions!$A$2:$A$5000,"&gt;="&amp;$B$1,Transactions!$A$2:$A$5000,"&lt;"&amp;$D$1,Transactions!$O$2:$O$5000,1))</f>
        <v/>
      </c>
      <c r="C73" s="11" t="str">
        <f>IF(OR($A73="",C$41=""),"",SUMIFS(Transactions!$Q$2:$Q$5000,Transactions!$D$2:$D$5000,$A73,Transactions!$C$2:$C$5000,C$41,Transactions!$A$2:$A$5000,"&gt;="&amp;$B$1,Transactions!$A$2:$A$5000,"&lt;"&amp;$D$1,Transactions!$O$2:$O$5000,1))</f>
        <v/>
      </c>
      <c r="D73" s="11" t="str">
        <f>IF(OR($A73="",D$41=""),"",SUMIFS(Transactions!$Q$2:$Q$5000,Transactions!$D$2:$D$5000,$A73,Transactions!$C$2:$C$5000,D$41,Transactions!$A$2:$A$5000,"&gt;="&amp;$B$1,Transactions!$A$2:$A$5000,"&lt;"&amp;$D$1,Transactions!$O$2:$O$5000,1))</f>
        <v/>
      </c>
      <c r="E73" s="11" t="str">
        <f>IF(OR($A73="",E$41=""),"",SUMIFS(Transactions!$Q$2:$Q$5000,Transactions!$D$2:$D$5000,$A73,Transactions!$C$2:$C$5000,E$41,Transactions!$A$2:$A$5000,"&gt;="&amp;$B$1,Transactions!$A$2:$A$5000,"&lt;"&amp;$D$1,Transactions!$O$2:$O$5000,1))</f>
        <v/>
      </c>
      <c r="F73" s="11" t="str">
        <f>IF(OR($A73="",F$41=""),"",SUMIFS(Transactions!$Q$2:$Q$5000,Transactions!$D$2:$D$5000,$A73,Transactions!$C$2:$C$5000,F$41,Transactions!$A$2:$A$5000,"&gt;="&amp;$B$1,Transactions!$A$2:$A$5000,"&lt;"&amp;$D$1,Transactions!$O$2:$O$5000,1))</f>
        <v/>
      </c>
      <c r="G73" s="11" t="str">
        <f>IF(OR($A73="",G$41=""),"",SUMIFS(Transactions!$Q$2:$Q$5000,Transactions!$D$2:$D$5000,$A73,Transactions!$C$2:$C$5000,G$41,Transactions!$A$2:$A$5000,"&gt;="&amp;$B$1,Transactions!$A$2:$A$5000,"&lt;"&amp;$D$1,Transactions!$O$2:$O$5000,1))</f>
        <v/>
      </c>
      <c r="H73" s="11" t="str">
        <f>IF(OR($A73="",H$41=""),"",SUMIFS(Transactions!$Q$2:$Q$5000,Transactions!$D$2:$D$5000,$A73,Transactions!$C$2:$C$5000,H$41,Transactions!$A$2:$A$5000,"&gt;="&amp;$B$1,Transactions!$A$2:$A$5000,"&lt;"&amp;$D$1,Transactions!$O$2:$O$5000,1))</f>
        <v/>
      </c>
      <c r="I73" s="11" t="str">
        <f>IF(OR($A73="",I$41=""),"",SUMIFS(Transactions!$Q$2:$Q$5000,Transactions!$D$2:$D$5000,$A73,Transactions!$C$2:$C$5000,I$41,Transactions!$A$2:$A$5000,"&gt;="&amp;$B$1,Transactions!$A$2:$A$5000,"&lt;"&amp;$D$1,Transactions!$O$2:$O$5000,1))</f>
        <v/>
      </c>
      <c r="J73" s="11" t="str">
        <f>IF(OR($A73="",J$41=""),"",SUMIFS(Transactions!$Q$2:$Q$5000,Transactions!$D$2:$D$5000,$A73,Transactions!$C$2:$C$5000,J$41,Transactions!$A$2:$A$5000,"&gt;="&amp;$B$1,Transactions!$A$2:$A$5000,"&lt;"&amp;$D$1,Transactions!$O$2:$O$5000,1))</f>
        <v/>
      </c>
      <c r="K73" s="11" t="str">
        <f>IF(OR($A73="",K$41=""),"",SUMIFS(Transactions!$Q$2:$Q$5000,Transactions!$D$2:$D$5000,$A73,Transactions!$C$2:$C$5000,K$41,Transactions!$A$2:$A$5000,"&gt;="&amp;$B$1,Transactions!$A$2:$A$5000,"&lt;"&amp;$D$1,Transactions!$O$2:$O$5000,1))</f>
        <v/>
      </c>
      <c r="L73" s="11" t="str">
        <f>IF($A73="","",SUMIFS(Transactions!$Q$2:$Q$5000,Transactions!$D$2:$D$5000,$A73,Transactions!$A$2:$A$5000,"&gt;="&amp;$B$1,Transactions!$A$2:$A$5000,"&lt;"&amp;$D$1,Transactions!$O$2:$O$5000,1))</f>
        <v/>
      </c>
      <c r="M73" s="27" t="str">
        <f>IF($A73="","",IFERROR(L73/L$42,0))</f>
        <v/>
      </c>
      <c r="N73" s="31" t="str">
        <f>IF($A73="","",COUNTIFS(Transactions!$D$2:$D$5000,$A73,Transactions!$A$2:$A$5000,"&gt;="&amp;$B$1,Transactions!$A$2:$A$5000,"&lt;"&amp;$D$1,Transactions!$O$2:$O$5000,1))</f>
        <v/>
      </c>
      <c r="O73" s="6" t="str">
        <f>IF($A73="","",IF(IFERROR(INDEX('Paramètres'!$O:$O,MATCH($A73,'Paramètres'!$M:$M,0))&amp;"","")="Dépense Fixe","x",""))</f>
        <v/>
      </c>
      <c r="P73" s="6" t="str">
        <f>IF($A73="","",IF(IFERROR(INDEX('Paramètres'!$O:$O,MATCH($A73,'Paramètres'!$M:$M,0))&amp;"","")="Dépense Courante","x",""))</f>
        <v/>
      </c>
      <c r="Q73" s="6" t="str">
        <f>IF($A73="","",IF(IFERROR(INDEX('Paramètres'!$O:$O,MATCH($A73,'Paramètres'!$M:$M,0))&amp;"","")="Dépense Occasionnelle","x",""))</f>
        <v/>
      </c>
      <c r="R73" s="6" t="str">
        <f>IF($A73="","",IFERROR(INDEX('Paramètres'!$Q:$Q,MATCH($A73,'Paramètres'!$M:$M,0))&amp;"",""))</f>
        <v/>
      </c>
    </row>
    <row r="74" spans="1:18" x14ac:dyDescent="0.25">
      <c r="A74" s="6" t="str">
        <f>IFERROR(INDEX('Paramètres'!$M$10:$M$129,MATCH(32,'Référentiel'!$L$2:$L$121,0)),"")</f>
        <v/>
      </c>
      <c r="B74" s="11" t="str">
        <f>IF(OR($A74="",B$41=""),"",SUMIFS(Transactions!$Q$2:$Q$5000,Transactions!$D$2:$D$5000,$A74,Transactions!$C$2:$C$5000,B$41,Transactions!$A$2:$A$5000,"&gt;="&amp;$B$1,Transactions!$A$2:$A$5000,"&lt;"&amp;$D$1,Transactions!$O$2:$O$5000,1))</f>
        <v/>
      </c>
      <c r="C74" s="11" t="str">
        <f>IF(OR($A74="",C$41=""),"",SUMIFS(Transactions!$Q$2:$Q$5000,Transactions!$D$2:$D$5000,$A74,Transactions!$C$2:$C$5000,C$41,Transactions!$A$2:$A$5000,"&gt;="&amp;$B$1,Transactions!$A$2:$A$5000,"&lt;"&amp;$D$1,Transactions!$O$2:$O$5000,1))</f>
        <v/>
      </c>
      <c r="D74" s="11" t="str">
        <f>IF(OR($A74="",D$41=""),"",SUMIFS(Transactions!$Q$2:$Q$5000,Transactions!$D$2:$D$5000,$A74,Transactions!$C$2:$C$5000,D$41,Transactions!$A$2:$A$5000,"&gt;="&amp;$B$1,Transactions!$A$2:$A$5000,"&lt;"&amp;$D$1,Transactions!$O$2:$O$5000,1))</f>
        <v/>
      </c>
      <c r="E74" s="11" t="str">
        <f>IF(OR($A74="",E$41=""),"",SUMIFS(Transactions!$Q$2:$Q$5000,Transactions!$D$2:$D$5000,$A74,Transactions!$C$2:$C$5000,E$41,Transactions!$A$2:$A$5000,"&gt;="&amp;$B$1,Transactions!$A$2:$A$5000,"&lt;"&amp;$D$1,Transactions!$O$2:$O$5000,1))</f>
        <v/>
      </c>
      <c r="F74" s="11" t="str">
        <f>IF(OR($A74="",F$41=""),"",SUMIFS(Transactions!$Q$2:$Q$5000,Transactions!$D$2:$D$5000,$A74,Transactions!$C$2:$C$5000,F$41,Transactions!$A$2:$A$5000,"&gt;="&amp;$B$1,Transactions!$A$2:$A$5000,"&lt;"&amp;$D$1,Transactions!$O$2:$O$5000,1))</f>
        <v/>
      </c>
      <c r="G74" s="11" t="str">
        <f>IF(OR($A74="",G$41=""),"",SUMIFS(Transactions!$Q$2:$Q$5000,Transactions!$D$2:$D$5000,$A74,Transactions!$C$2:$C$5000,G$41,Transactions!$A$2:$A$5000,"&gt;="&amp;$B$1,Transactions!$A$2:$A$5000,"&lt;"&amp;$D$1,Transactions!$O$2:$O$5000,1))</f>
        <v/>
      </c>
      <c r="H74" s="11" t="str">
        <f>IF(OR($A74="",H$41=""),"",SUMIFS(Transactions!$Q$2:$Q$5000,Transactions!$D$2:$D$5000,$A74,Transactions!$C$2:$C$5000,H$41,Transactions!$A$2:$A$5000,"&gt;="&amp;$B$1,Transactions!$A$2:$A$5000,"&lt;"&amp;$D$1,Transactions!$O$2:$O$5000,1))</f>
        <v/>
      </c>
      <c r="I74" s="11" t="str">
        <f>IF(OR($A74="",I$41=""),"",SUMIFS(Transactions!$Q$2:$Q$5000,Transactions!$D$2:$D$5000,$A74,Transactions!$C$2:$C$5000,I$41,Transactions!$A$2:$A$5000,"&gt;="&amp;$B$1,Transactions!$A$2:$A$5000,"&lt;"&amp;$D$1,Transactions!$O$2:$O$5000,1))</f>
        <v/>
      </c>
      <c r="J74" s="11" t="str">
        <f>IF(OR($A74="",J$41=""),"",SUMIFS(Transactions!$Q$2:$Q$5000,Transactions!$D$2:$D$5000,$A74,Transactions!$C$2:$C$5000,J$41,Transactions!$A$2:$A$5000,"&gt;="&amp;$B$1,Transactions!$A$2:$A$5000,"&lt;"&amp;$D$1,Transactions!$O$2:$O$5000,1))</f>
        <v/>
      </c>
      <c r="K74" s="11" t="str">
        <f>IF(OR($A74="",K$41=""),"",SUMIFS(Transactions!$Q$2:$Q$5000,Transactions!$D$2:$D$5000,$A74,Transactions!$C$2:$C$5000,K$41,Transactions!$A$2:$A$5000,"&gt;="&amp;$B$1,Transactions!$A$2:$A$5000,"&lt;"&amp;$D$1,Transactions!$O$2:$O$5000,1))</f>
        <v/>
      </c>
      <c r="L74" s="11" t="str">
        <f>IF($A74="","",SUMIFS(Transactions!$Q$2:$Q$5000,Transactions!$D$2:$D$5000,$A74,Transactions!$A$2:$A$5000,"&gt;="&amp;$B$1,Transactions!$A$2:$A$5000,"&lt;"&amp;$D$1,Transactions!$O$2:$O$5000,1))</f>
        <v/>
      </c>
      <c r="M74" s="27" t="str">
        <f>IF($A74="","",IFERROR(L74/L$42,0))</f>
        <v/>
      </c>
      <c r="N74" s="31" t="str">
        <f>IF($A74="","",COUNTIFS(Transactions!$D$2:$D$5000,$A74,Transactions!$A$2:$A$5000,"&gt;="&amp;$B$1,Transactions!$A$2:$A$5000,"&lt;"&amp;$D$1,Transactions!$O$2:$O$5000,1))</f>
        <v/>
      </c>
      <c r="O74" s="6" t="str">
        <f>IF($A74="","",IF(IFERROR(INDEX('Paramètres'!$O:$O,MATCH($A74,'Paramètres'!$M:$M,0))&amp;"","")="Dépense Fixe","x",""))</f>
        <v/>
      </c>
      <c r="P74" s="6" t="str">
        <f>IF($A74="","",IF(IFERROR(INDEX('Paramètres'!$O:$O,MATCH($A74,'Paramètres'!$M:$M,0))&amp;"","")="Dépense Courante","x",""))</f>
        <v/>
      </c>
      <c r="Q74" s="6" t="str">
        <f>IF($A74="","",IF(IFERROR(INDEX('Paramètres'!$O:$O,MATCH($A74,'Paramètres'!$M:$M,0))&amp;"","")="Dépense Occasionnelle","x",""))</f>
        <v/>
      </c>
      <c r="R74" s="6" t="str">
        <f>IF($A74="","",IFERROR(INDEX('Paramètres'!$Q:$Q,MATCH($A74,'Paramètres'!$M:$M,0))&amp;"",""))</f>
        <v/>
      </c>
    </row>
    <row r="75" spans="1:18" x14ac:dyDescent="0.25">
      <c r="A75" s="6" t="str">
        <f>IFERROR(INDEX('Paramètres'!$M$10:$M$129,MATCH(33,'Référentiel'!$L$2:$L$121,0)),"")</f>
        <v/>
      </c>
      <c r="B75" s="11" t="str">
        <f>IF(OR($A75="",B$41=""),"",SUMIFS(Transactions!$Q$2:$Q$5000,Transactions!$D$2:$D$5000,$A75,Transactions!$C$2:$C$5000,B$41,Transactions!$A$2:$A$5000,"&gt;="&amp;$B$1,Transactions!$A$2:$A$5000,"&lt;"&amp;$D$1,Transactions!$O$2:$O$5000,1))</f>
        <v/>
      </c>
      <c r="C75" s="11" t="str">
        <f>IF(OR($A75="",C$41=""),"",SUMIFS(Transactions!$Q$2:$Q$5000,Transactions!$D$2:$D$5000,$A75,Transactions!$C$2:$C$5000,C$41,Transactions!$A$2:$A$5000,"&gt;="&amp;$B$1,Transactions!$A$2:$A$5000,"&lt;"&amp;$D$1,Transactions!$O$2:$O$5000,1))</f>
        <v/>
      </c>
      <c r="D75" s="11" t="str">
        <f>IF(OR($A75="",D$41=""),"",SUMIFS(Transactions!$Q$2:$Q$5000,Transactions!$D$2:$D$5000,$A75,Transactions!$C$2:$C$5000,D$41,Transactions!$A$2:$A$5000,"&gt;="&amp;$B$1,Transactions!$A$2:$A$5000,"&lt;"&amp;$D$1,Transactions!$O$2:$O$5000,1))</f>
        <v/>
      </c>
      <c r="E75" s="11" t="str">
        <f>IF(OR($A75="",E$41=""),"",SUMIFS(Transactions!$Q$2:$Q$5000,Transactions!$D$2:$D$5000,$A75,Transactions!$C$2:$C$5000,E$41,Transactions!$A$2:$A$5000,"&gt;="&amp;$B$1,Transactions!$A$2:$A$5000,"&lt;"&amp;$D$1,Transactions!$O$2:$O$5000,1))</f>
        <v/>
      </c>
      <c r="F75" s="11" t="str">
        <f>IF(OR($A75="",F$41=""),"",SUMIFS(Transactions!$Q$2:$Q$5000,Transactions!$D$2:$D$5000,$A75,Transactions!$C$2:$C$5000,F$41,Transactions!$A$2:$A$5000,"&gt;="&amp;$B$1,Transactions!$A$2:$A$5000,"&lt;"&amp;$D$1,Transactions!$O$2:$O$5000,1))</f>
        <v/>
      </c>
      <c r="G75" s="11" t="str">
        <f>IF(OR($A75="",G$41=""),"",SUMIFS(Transactions!$Q$2:$Q$5000,Transactions!$D$2:$D$5000,$A75,Transactions!$C$2:$C$5000,G$41,Transactions!$A$2:$A$5000,"&gt;="&amp;$B$1,Transactions!$A$2:$A$5000,"&lt;"&amp;$D$1,Transactions!$O$2:$O$5000,1))</f>
        <v/>
      </c>
      <c r="H75" s="11" t="str">
        <f>IF(OR($A75="",H$41=""),"",SUMIFS(Transactions!$Q$2:$Q$5000,Transactions!$D$2:$D$5000,$A75,Transactions!$C$2:$C$5000,H$41,Transactions!$A$2:$A$5000,"&gt;="&amp;$B$1,Transactions!$A$2:$A$5000,"&lt;"&amp;$D$1,Transactions!$O$2:$O$5000,1))</f>
        <v/>
      </c>
      <c r="I75" s="11" t="str">
        <f>IF(OR($A75="",I$41=""),"",SUMIFS(Transactions!$Q$2:$Q$5000,Transactions!$D$2:$D$5000,$A75,Transactions!$C$2:$C$5000,I$41,Transactions!$A$2:$A$5000,"&gt;="&amp;$B$1,Transactions!$A$2:$A$5000,"&lt;"&amp;$D$1,Transactions!$O$2:$O$5000,1))</f>
        <v/>
      </c>
      <c r="J75" s="11" t="str">
        <f>IF(OR($A75="",J$41=""),"",SUMIFS(Transactions!$Q$2:$Q$5000,Transactions!$D$2:$D$5000,$A75,Transactions!$C$2:$C$5000,J$41,Transactions!$A$2:$A$5000,"&gt;="&amp;$B$1,Transactions!$A$2:$A$5000,"&lt;"&amp;$D$1,Transactions!$O$2:$O$5000,1))</f>
        <v/>
      </c>
      <c r="K75" s="11" t="str">
        <f>IF(OR($A75="",K$41=""),"",SUMIFS(Transactions!$Q$2:$Q$5000,Transactions!$D$2:$D$5000,$A75,Transactions!$C$2:$C$5000,K$41,Transactions!$A$2:$A$5000,"&gt;="&amp;$B$1,Transactions!$A$2:$A$5000,"&lt;"&amp;$D$1,Transactions!$O$2:$O$5000,1))</f>
        <v/>
      </c>
      <c r="L75" s="11" t="str">
        <f>IF($A75="","",SUMIFS(Transactions!$Q$2:$Q$5000,Transactions!$D$2:$D$5000,$A75,Transactions!$A$2:$A$5000,"&gt;="&amp;$B$1,Transactions!$A$2:$A$5000,"&lt;"&amp;$D$1,Transactions!$O$2:$O$5000,1))</f>
        <v/>
      </c>
      <c r="M75" s="27" t="str">
        <f>IF($A75="","",IFERROR(L75/L$42,0))</f>
        <v/>
      </c>
      <c r="N75" s="31" t="str">
        <f>IF($A75="","",COUNTIFS(Transactions!$D$2:$D$5000,$A75,Transactions!$A$2:$A$5000,"&gt;="&amp;$B$1,Transactions!$A$2:$A$5000,"&lt;"&amp;$D$1,Transactions!$O$2:$O$5000,1))</f>
        <v/>
      </c>
      <c r="O75" s="6" t="str">
        <f>IF($A75="","",IF(IFERROR(INDEX('Paramètres'!$O:$O,MATCH($A75,'Paramètres'!$M:$M,0))&amp;"","")="Dépense Fixe","x",""))</f>
        <v/>
      </c>
      <c r="P75" s="6" t="str">
        <f>IF($A75="","",IF(IFERROR(INDEX('Paramètres'!$O:$O,MATCH($A75,'Paramètres'!$M:$M,0))&amp;"","")="Dépense Courante","x",""))</f>
        <v/>
      </c>
      <c r="Q75" s="6" t="str">
        <f>IF($A75="","",IF(IFERROR(INDEX('Paramètres'!$O:$O,MATCH($A75,'Paramètres'!$M:$M,0))&amp;"","")="Dépense Occasionnelle","x",""))</f>
        <v/>
      </c>
      <c r="R75" s="6" t="str">
        <f>IF($A75="","",IFERROR(INDEX('Paramètres'!$Q:$Q,MATCH($A75,'Paramètres'!$M:$M,0))&amp;"",""))</f>
        <v/>
      </c>
    </row>
    <row r="76" spans="1:18" x14ac:dyDescent="0.25">
      <c r="A76" s="6" t="str">
        <f>IFERROR(INDEX('Paramètres'!$M$10:$M$129,MATCH(34,'Référentiel'!$L$2:$L$121,0)),"")</f>
        <v/>
      </c>
      <c r="B76" s="11" t="str">
        <f>IF(OR($A76="",B$41=""),"",SUMIFS(Transactions!$Q$2:$Q$5000,Transactions!$D$2:$D$5000,$A76,Transactions!$C$2:$C$5000,B$41,Transactions!$A$2:$A$5000,"&gt;="&amp;$B$1,Transactions!$A$2:$A$5000,"&lt;"&amp;$D$1,Transactions!$O$2:$O$5000,1))</f>
        <v/>
      </c>
      <c r="C76" s="11" t="str">
        <f>IF(OR($A76="",C$41=""),"",SUMIFS(Transactions!$Q$2:$Q$5000,Transactions!$D$2:$D$5000,$A76,Transactions!$C$2:$C$5000,C$41,Transactions!$A$2:$A$5000,"&gt;="&amp;$B$1,Transactions!$A$2:$A$5000,"&lt;"&amp;$D$1,Transactions!$O$2:$O$5000,1))</f>
        <v/>
      </c>
      <c r="D76" s="11" t="str">
        <f>IF(OR($A76="",D$41=""),"",SUMIFS(Transactions!$Q$2:$Q$5000,Transactions!$D$2:$D$5000,$A76,Transactions!$C$2:$C$5000,D$41,Transactions!$A$2:$A$5000,"&gt;="&amp;$B$1,Transactions!$A$2:$A$5000,"&lt;"&amp;$D$1,Transactions!$O$2:$O$5000,1))</f>
        <v/>
      </c>
      <c r="E76" s="11" t="str">
        <f>IF(OR($A76="",E$41=""),"",SUMIFS(Transactions!$Q$2:$Q$5000,Transactions!$D$2:$D$5000,$A76,Transactions!$C$2:$C$5000,E$41,Transactions!$A$2:$A$5000,"&gt;="&amp;$B$1,Transactions!$A$2:$A$5000,"&lt;"&amp;$D$1,Transactions!$O$2:$O$5000,1))</f>
        <v/>
      </c>
      <c r="F76" s="11" t="str">
        <f>IF(OR($A76="",F$41=""),"",SUMIFS(Transactions!$Q$2:$Q$5000,Transactions!$D$2:$D$5000,$A76,Transactions!$C$2:$C$5000,F$41,Transactions!$A$2:$A$5000,"&gt;="&amp;$B$1,Transactions!$A$2:$A$5000,"&lt;"&amp;$D$1,Transactions!$O$2:$O$5000,1))</f>
        <v/>
      </c>
      <c r="G76" s="11" t="str">
        <f>IF(OR($A76="",G$41=""),"",SUMIFS(Transactions!$Q$2:$Q$5000,Transactions!$D$2:$D$5000,$A76,Transactions!$C$2:$C$5000,G$41,Transactions!$A$2:$A$5000,"&gt;="&amp;$B$1,Transactions!$A$2:$A$5000,"&lt;"&amp;$D$1,Transactions!$O$2:$O$5000,1))</f>
        <v/>
      </c>
      <c r="H76" s="11" t="str">
        <f>IF(OR($A76="",H$41=""),"",SUMIFS(Transactions!$Q$2:$Q$5000,Transactions!$D$2:$D$5000,$A76,Transactions!$C$2:$C$5000,H$41,Transactions!$A$2:$A$5000,"&gt;="&amp;$B$1,Transactions!$A$2:$A$5000,"&lt;"&amp;$D$1,Transactions!$O$2:$O$5000,1))</f>
        <v/>
      </c>
      <c r="I76" s="11" t="str">
        <f>IF(OR($A76="",I$41=""),"",SUMIFS(Transactions!$Q$2:$Q$5000,Transactions!$D$2:$D$5000,$A76,Transactions!$C$2:$C$5000,I$41,Transactions!$A$2:$A$5000,"&gt;="&amp;$B$1,Transactions!$A$2:$A$5000,"&lt;"&amp;$D$1,Transactions!$O$2:$O$5000,1))</f>
        <v/>
      </c>
      <c r="J76" s="11" t="str">
        <f>IF(OR($A76="",J$41=""),"",SUMIFS(Transactions!$Q$2:$Q$5000,Transactions!$D$2:$D$5000,$A76,Transactions!$C$2:$C$5000,J$41,Transactions!$A$2:$A$5000,"&gt;="&amp;$B$1,Transactions!$A$2:$A$5000,"&lt;"&amp;$D$1,Transactions!$O$2:$O$5000,1))</f>
        <v/>
      </c>
      <c r="K76" s="11" t="str">
        <f>IF(OR($A76="",K$41=""),"",SUMIFS(Transactions!$Q$2:$Q$5000,Transactions!$D$2:$D$5000,$A76,Transactions!$C$2:$C$5000,K$41,Transactions!$A$2:$A$5000,"&gt;="&amp;$B$1,Transactions!$A$2:$A$5000,"&lt;"&amp;$D$1,Transactions!$O$2:$O$5000,1))</f>
        <v/>
      </c>
      <c r="L76" s="11" t="str">
        <f>IF($A76="","",SUMIFS(Transactions!$Q$2:$Q$5000,Transactions!$D$2:$D$5000,$A76,Transactions!$A$2:$A$5000,"&gt;="&amp;$B$1,Transactions!$A$2:$A$5000,"&lt;"&amp;$D$1,Transactions!$O$2:$O$5000,1))</f>
        <v/>
      </c>
      <c r="M76" s="27" t="str">
        <f>IF($A76="","",IFERROR(L76/L$42,0))</f>
        <v/>
      </c>
      <c r="N76" s="31" t="str">
        <f>IF($A76="","",COUNTIFS(Transactions!$D$2:$D$5000,$A76,Transactions!$A$2:$A$5000,"&gt;="&amp;$B$1,Transactions!$A$2:$A$5000,"&lt;"&amp;$D$1,Transactions!$O$2:$O$5000,1))</f>
        <v/>
      </c>
      <c r="O76" s="6" t="str">
        <f>IF($A76="","",IF(IFERROR(INDEX('Paramètres'!$O:$O,MATCH($A76,'Paramètres'!$M:$M,0))&amp;"","")="Dépense Fixe","x",""))</f>
        <v/>
      </c>
      <c r="P76" s="6" t="str">
        <f>IF($A76="","",IF(IFERROR(INDEX('Paramètres'!$O:$O,MATCH($A76,'Paramètres'!$M:$M,0))&amp;"","")="Dépense Courante","x",""))</f>
        <v/>
      </c>
      <c r="Q76" s="6" t="str">
        <f>IF($A76="","",IF(IFERROR(INDEX('Paramètres'!$O:$O,MATCH($A76,'Paramètres'!$M:$M,0))&amp;"","")="Dépense Occasionnelle","x",""))</f>
        <v/>
      </c>
      <c r="R76" s="6" t="str">
        <f>IF($A76="","",IFERROR(INDEX('Paramètres'!$Q:$Q,MATCH($A76,'Paramètres'!$M:$M,0))&amp;"",""))</f>
        <v/>
      </c>
    </row>
    <row r="77" spans="1:18" x14ac:dyDescent="0.25">
      <c r="A77" s="6" t="str">
        <f>IFERROR(INDEX('Paramètres'!$M$10:$M$129,MATCH(35,'Référentiel'!$L$2:$L$121,0)),"")</f>
        <v/>
      </c>
      <c r="B77" s="11" t="str">
        <f>IF(OR($A77="",B$41=""),"",SUMIFS(Transactions!$Q$2:$Q$5000,Transactions!$D$2:$D$5000,$A77,Transactions!$C$2:$C$5000,B$41,Transactions!$A$2:$A$5000,"&gt;="&amp;$B$1,Transactions!$A$2:$A$5000,"&lt;"&amp;$D$1,Transactions!$O$2:$O$5000,1))</f>
        <v/>
      </c>
      <c r="C77" s="11" t="str">
        <f>IF(OR($A77="",C$41=""),"",SUMIFS(Transactions!$Q$2:$Q$5000,Transactions!$D$2:$D$5000,$A77,Transactions!$C$2:$C$5000,C$41,Transactions!$A$2:$A$5000,"&gt;="&amp;$B$1,Transactions!$A$2:$A$5000,"&lt;"&amp;$D$1,Transactions!$O$2:$O$5000,1))</f>
        <v/>
      </c>
      <c r="D77" s="11" t="str">
        <f>IF(OR($A77="",D$41=""),"",SUMIFS(Transactions!$Q$2:$Q$5000,Transactions!$D$2:$D$5000,$A77,Transactions!$C$2:$C$5000,D$41,Transactions!$A$2:$A$5000,"&gt;="&amp;$B$1,Transactions!$A$2:$A$5000,"&lt;"&amp;$D$1,Transactions!$O$2:$O$5000,1))</f>
        <v/>
      </c>
      <c r="E77" s="11" t="str">
        <f>IF(OR($A77="",E$41=""),"",SUMIFS(Transactions!$Q$2:$Q$5000,Transactions!$D$2:$D$5000,$A77,Transactions!$C$2:$C$5000,E$41,Transactions!$A$2:$A$5000,"&gt;="&amp;$B$1,Transactions!$A$2:$A$5000,"&lt;"&amp;$D$1,Transactions!$O$2:$O$5000,1))</f>
        <v/>
      </c>
      <c r="F77" s="11" t="str">
        <f>IF(OR($A77="",F$41=""),"",SUMIFS(Transactions!$Q$2:$Q$5000,Transactions!$D$2:$D$5000,$A77,Transactions!$C$2:$C$5000,F$41,Transactions!$A$2:$A$5000,"&gt;="&amp;$B$1,Transactions!$A$2:$A$5000,"&lt;"&amp;$D$1,Transactions!$O$2:$O$5000,1))</f>
        <v/>
      </c>
      <c r="G77" s="11" t="str">
        <f>IF(OR($A77="",G$41=""),"",SUMIFS(Transactions!$Q$2:$Q$5000,Transactions!$D$2:$D$5000,$A77,Transactions!$C$2:$C$5000,G$41,Transactions!$A$2:$A$5000,"&gt;="&amp;$B$1,Transactions!$A$2:$A$5000,"&lt;"&amp;$D$1,Transactions!$O$2:$O$5000,1))</f>
        <v/>
      </c>
      <c r="H77" s="11" t="str">
        <f>IF(OR($A77="",H$41=""),"",SUMIFS(Transactions!$Q$2:$Q$5000,Transactions!$D$2:$D$5000,$A77,Transactions!$C$2:$C$5000,H$41,Transactions!$A$2:$A$5000,"&gt;="&amp;$B$1,Transactions!$A$2:$A$5000,"&lt;"&amp;$D$1,Transactions!$O$2:$O$5000,1))</f>
        <v/>
      </c>
      <c r="I77" s="11" t="str">
        <f>IF(OR($A77="",I$41=""),"",SUMIFS(Transactions!$Q$2:$Q$5000,Transactions!$D$2:$D$5000,$A77,Transactions!$C$2:$C$5000,I$41,Transactions!$A$2:$A$5000,"&gt;="&amp;$B$1,Transactions!$A$2:$A$5000,"&lt;"&amp;$D$1,Transactions!$O$2:$O$5000,1))</f>
        <v/>
      </c>
      <c r="J77" s="11" t="str">
        <f>IF(OR($A77="",J$41=""),"",SUMIFS(Transactions!$Q$2:$Q$5000,Transactions!$D$2:$D$5000,$A77,Transactions!$C$2:$C$5000,J$41,Transactions!$A$2:$A$5000,"&gt;="&amp;$B$1,Transactions!$A$2:$A$5000,"&lt;"&amp;$D$1,Transactions!$O$2:$O$5000,1))</f>
        <v/>
      </c>
      <c r="K77" s="11" t="str">
        <f>IF(OR($A77="",K$41=""),"",SUMIFS(Transactions!$Q$2:$Q$5000,Transactions!$D$2:$D$5000,$A77,Transactions!$C$2:$C$5000,K$41,Transactions!$A$2:$A$5000,"&gt;="&amp;$B$1,Transactions!$A$2:$A$5000,"&lt;"&amp;$D$1,Transactions!$O$2:$O$5000,1))</f>
        <v/>
      </c>
      <c r="L77" s="11" t="str">
        <f>IF($A77="","",SUMIFS(Transactions!$Q$2:$Q$5000,Transactions!$D$2:$D$5000,$A77,Transactions!$A$2:$A$5000,"&gt;="&amp;$B$1,Transactions!$A$2:$A$5000,"&lt;"&amp;$D$1,Transactions!$O$2:$O$5000,1))</f>
        <v/>
      </c>
      <c r="M77" s="27" t="str">
        <f>IF($A77="","",IFERROR(L77/L$42,0))</f>
        <v/>
      </c>
      <c r="N77" s="31" t="str">
        <f>IF($A77="","",COUNTIFS(Transactions!$D$2:$D$5000,$A77,Transactions!$A$2:$A$5000,"&gt;="&amp;$B$1,Transactions!$A$2:$A$5000,"&lt;"&amp;$D$1,Transactions!$O$2:$O$5000,1))</f>
        <v/>
      </c>
      <c r="O77" s="6" t="str">
        <f>IF($A77="","",IF(IFERROR(INDEX('Paramètres'!$O:$O,MATCH($A77,'Paramètres'!$M:$M,0))&amp;"","")="Dépense Fixe","x",""))</f>
        <v/>
      </c>
      <c r="P77" s="6" t="str">
        <f>IF($A77="","",IF(IFERROR(INDEX('Paramètres'!$O:$O,MATCH($A77,'Paramètres'!$M:$M,0))&amp;"","")="Dépense Courante","x",""))</f>
        <v/>
      </c>
      <c r="Q77" s="6" t="str">
        <f>IF($A77="","",IF(IFERROR(INDEX('Paramètres'!$O:$O,MATCH($A77,'Paramètres'!$M:$M,0))&amp;"","")="Dépense Occasionnelle","x",""))</f>
        <v/>
      </c>
      <c r="R77" s="6" t="str">
        <f>IF($A77="","",IFERROR(INDEX('Paramètres'!$Q:$Q,MATCH($A77,'Paramètres'!$M:$M,0))&amp;"",""))</f>
        <v/>
      </c>
    </row>
    <row r="78" spans="1:18" x14ac:dyDescent="0.25">
      <c r="A78" s="6" t="str">
        <f>IFERROR(INDEX('Paramètres'!$M$10:$M$129,MATCH(36,'Référentiel'!$L$2:$L$121,0)),"")</f>
        <v/>
      </c>
      <c r="B78" s="11" t="str">
        <f>IF(OR($A78="",B$41=""),"",SUMIFS(Transactions!$Q$2:$Q$5000,Transactions!$D$2:$D$5000,$A78,Transactions!$C$2:$C$5000,B$41,Transactions!$A$2:$A$5000,"&gt;="&amp;$B$1,Transactions!$A$2:$A$5000,"&lt;"&amp;$D$1,Transactions!$O$2:$O$5000,1))</f>
        <v/>
      </c>
      <c r="C78" s="11" t="str">
        <f>IF(OR($A78="",C$41=""),"",SUMIFS(Transactions!$Q$2:$Q$5000,Transactions!$D$2:$D$5000,$A78,Transactions!$C$2:$C$5000,C$41,Transactions!$A$2:$A$5000,"&gt;="&amp;$B$1,Transactions!$A$2:$A$5000,"&lt;"&amp;$D$1,Transactions!$O$2:$O$5000,1))</f>
        <v/>
      </c>
      <c r="D78" s="11" t="str">
        <f>IF(OR($A78="",D$41=""),"",SUMIFS(Transactions!$Q$2:$Q$5000,Transactions!$D$2:$D$5000,$A78,Transactions!$C$2:$C$5000,D$41,Transactions!$A$2:$A$5000,"&gt;="&amp;$B$1,Transactions!$A$2:$A$5000,"&lt;"&amp;$D$1,Transactions!$O$2:$O$5000,1))</f>
        <v/>
      </c>
      <c r="E78" s="11" t="str">
        <f>IF(OR($A78="",E$41=""),"",SUMIFS(Transactions!$Q$2:$Q$5000,Transactions!$D$2:$D$5000,$A78,Transactions!$C$2:$C$5000,E$41,Transactions!$A$2:$A$5000,"&gt;="&amp;$B$1,Transactions!$A$2:$A$5000,"&lt;"&amp;$D$1,Transactions!$O$2:$O$5000,1))</f>
        <v/>
      </c>
      <c r="F78" s="11" t="str">
        <f>IF(OR($A78="",F$41=""),"",SUMIFS(Transactions!$Q$2:$Q$5000,Transactions!$D$2:$D$5000,$A78,Transactions!$C$2:$C$5000,F$41,Transactions!$A$2:$A$5000,"&gt;="&amp;$B$1,Transactions!$A$2:$A$5000,"&lt;"&amp;$D$1,Transactions!$O$2:$O$5000,1))</f>
        <v/>
      </c>
      <c r="G78" s="11" t="str">
        <f>IF(OR($A78="",G$41=""),"",SUMIFS(Transactions!$Q$2:$Q$5000,Transactions!$D$2:$D$5000,$A78,Transactions!$C$2:$C$5000,G$41,Transactions!$A$2:$A$5000,"&gt;="&amp;$B$1,Transactions!$A$2:$A$5000,"&lt;"&amp;$D$1,Transactions!$O$2:$O$5000,1))</f>
        <v/>
      </c>
      <c r="H78" s="11" t="str">
        <f>IF(OR($A78="",H$41=""),"",SUMIFS(Transactions!$Q$2:$Q$5000,Transactions!$D$2:$D$5000,$A78,Transactions!$C$2:$C$5000,H$41,Transactions!$A$2:$A$5000,"&gt;="&amp;$B$1,Transactions!$A$2:$A$5000,"&lt;"&amp;$D$1,Transactions!$O$2:$O$5000,1))</f>
        <v/>
      </c>
      <c r="I78" s="11" t="str">
        <f>IF(OR($A78="",I$41=""),"",SUMIFS(Transactions!$Q$2:$Q$5000,Transactions!$D$2:$D$5000,$A78,Transactions!$C$2:$C$5000,I$41,Transactions!$A$2:$A$5000,"&gt;="&amp;$B$1,Transactions!$A$2:$A$5000,"&lt;"&amp;$D$1,Transactions!$O$2:$O$5000,1))</f>
        <v/>
      </c>
      <c r="J78" s="11" t="str">
        <f>IF(OR($A78="",J$41=""),"",SUMIFS(Transactions!$Q$2:$Q$5000,Transactions!$D$2:$D$5000,$A78,Transactions!$C$2:$C$5000,J$41,Transactions!$A$2:$A$5000,"&gt;="&amp;$B$1,Transactions!$A$2:$A$5000,"&lt;"&amp;$D$1,Transactions!$O$2:$O$5000,1))</f>
        <v/>
      </c>
      <c r="K78" s="11" t="str">
        <f>IF(OR($A78="",K$41=""),"",SUMIFS(Transactions!$Q$2:$Q$5000,Transactions!$D$2:$D$5000,$A78,Transactions!$C$2:$C$5000,K$41,Transactions!$A$2:$A$5000,"&gt;="&amp;$B$1,Transactions!$A$2:$A$5000,"&lt;"&amp;$D$1,Transactions!$O$2:$O$5000,1))</f>
        <v/>
      </c>
      <c r="L78" s="11" t="str">
        <f>IF($A78="","",SUMIFS(Transactions!$Q$2:$Q$5000,Transactions!$D$2:$D$5000,$A78,Transactions!$A$2:$A$5000,"&gt;="&amp;$B$1,Transactions!$A$2:$A$5000,"&lt;"&amp;$D$1,Transactions!$O$2:$O$5000,1))</f>
        <v/>
      </c>
      <c r="M78" s="27" t="str">
        <f>IF($A78="","",IFERROR(L78/L$42,0))</f>
        <v/>
      </c>
      <c r="N78" s="31" t="str">
        <f>IF($A78="","",COUNTIFS(Transactions!$D$2:$D$5000,$A78,Transactions!$A$2:$A$5000,"&gt;="&amp;$B$1,Transactions!$A$2:$A$5000,"&lt;"&amp;$D$1,Transactions!$O$2:$O$5000,1))</f>
        <v/>
      </c>
      <c r="O78" s="6" t="str">
        <f>IF($A78="","",IF(IFERROR(INDEX('Paramètres'!$O:$O,MATCH($A78,'Paramètres'!$M:$M,0))&amp;"","")="Dépense Fixe","x",""))</f>
        <v/>
      </c>
      <c r="P78" s="6" t="str">
        <f>IF($A78="","",IF(IFERROR(INDEX('Paramètres'!$O:$O,MATCH($A78,'Paramètres'!$M:$M,0))&amp;"","")="Dépense Courante","x",""))</f>
        <v/>
      </c>
      <c r="Q78" s="6" t="str">
        <f>IF($A78="","",IF(IFERROR(INDEX('Paramètres'!$O:$O,MATCH($A78,'Paramètres'!$M:$M,0))&amp;"","")="Dépense Occasionnelle","x",""))</f>
        <v/>
      </c>
      <c r="R78" s="6" t="str">
        <f>IF($A78="","",IFERROR(INDEX('Paramètres'!$Q:$Q,MATCH($A78,'Paramètres'!$M:$M,0))&amp;"",""))</f>
        <v/>
      </c>
    </row>
    <row r="79" spans="1:18" x14ac:dyDescent="0.25">
      <c r="A79" s="6" t="str">
        <f>IFERROR(INDEX('Paramètres'!$M$10:$M$129,MATCH(37,'Référentiel'!$L$2:$L$121,0)),"")</f>
        <v/>
      </c>
      <c r="B79" s="11" t="str">
        <f>IF(OR($A79="",B$41=""),"",SUMIFS(Transactions!$Q$2:$Q$5000,Transactions!$D$2:$D$5000,$A79,Transactions!$C$2:$C$5000,B$41,Transactions!$A$2:$A$5000,"&gt;="&amp;$B$1,Transactions!$A$2:$A$5000,"&lt;"&amp;$D$1,Transactions!$O$2:$O$5000,1))</f>
        <v/>
      </c>
      <c r="C79" s="11" t="str">
        <f>IF(OR($A79="",C$41=""),"",SUMIFS(Transactions!$Q$2:$Q$5000,Transactions!$D$2:$D$5000,$A79,Transactions!$C$2:$C$5000,C$41,Transactions!$A$2:$A$5000,"&gt;="&amp;$B$1,Transactions!$A$2:$A$5000,"&lt;"&amp;$D$1,Transactions!$O$2:$O$5000,1))</f>
        <v/>
      </c>
      <c r="D79" s="11" t="str">
        <f>IF(OR($A79="",D$41=""),"",SUMIFS(Transactions!$Q$2:$Q$5000,Transactions!$D$2:$D$5000,$A79,Transactions!$C$2:$C$5000,D$41,Transactions!$A$2:$A$5000,"&gt;="&amp;$B$1,Transactions!$A$2:$A$5000,"&lt;"&amp;$D$1,Transactions!$O$2:$O$5000,1))</f>
        <v/>
      </c>
      <c r="E79" s="11" t="str">
        <f>IF(OR($A79="",E$41=""),"",SUMIFS(Transactions!$Q$2:$Q$5000,Transactions!$D$2:$D$5000,$A79,Transactions!$C$2:$C$5000,E$41,Transactions!$A$2:$A$5000,"&gt;="&amp;$B$1,Transactions!$A$2:$A$5000,"&lt;"&amp;$D$1,Transactions!$O$2:$O$5000,1))</f>
        <v/>
      </c>
      <c r="F79" s="11" t="str">
        <f>IF(OR($A79="",F$41=""),"",SUMIFS(Transactions!$Q$2:$Q$5000,Transactions!$D$2:$D$5000,$A79,Transactions!$C$2:$C$5000,F$41,Transactions!$A$2:$A$5000,"&gt;="&amp;$B$1,Transactions!$A$2:$A$5000,"&lt;"&amp;$D$1,Transactions!$O$2:$O$5000,1))</f>
        <v/>
      </c>
      <c r="G79" s="11" t="str">
        <f>IF(OR($A79="",G$41=""),"",SUMIFS(Transactions!$Q$2:$Q$5000,Transactions!$D$2:$D$5000,$A79,Transactions!$C$2:$C$5000,G$41,Transactions!$A$2:$A$5000,"&gt;="&amp;$B$1,Transactions!$A$2:$A$5000,"&lt;"&amp;$D$1,Transactions!$O$2:$O$5000,1))</f>
        <v/>
      </c>
      <c r="H79" s="11" t="str">
        <f>IF(OR($A79="",H$41=""),"",SUMIFS(Transactions!$Q$2:$Q$5000,Transactions!$D$2:$D$5000,$A79,Transactions!$C$2:$C$5000,H$41,Transactions!$A$2:$A$5000,"&gt;="&amp;$B$1,Transactions!$A$2:$A$5000,"&lt;"&amp;$D$1,Transactions!$O$2:$O$5000,1))</f>
        <v/>
      </c>
      <c r="I79" s="11" t="str">
        <f>IF(OR($A79="",I$41=""),"",SUMIFS(Transactions!$Q$2:$Q$5000,Transactions!$D$2:$D$5000,$A79,Transactions!$C$2:$C$5000,I$41,Transactions!$A$2:$A$5000,"&gt;="&amp;$B$1,Transactions!$A$2:$A$5000,"&lt;"&amp;$D$1,Transactions!$O$2:$O$5000,1))</f>
        <v/>
      </c>
      <c r="J79" s="11" t="str">
        <f>IF(OR($A79="",J$41=""),"",SUMIFS(Transactions!$Q$2:$Q$5000,Transactions!$D$2:$D$5000,$A79,Transactions!$C$2:$C$5000,J$41,Transactions!$A$2:$A$5000,"&gt;="&amp;$B$1,Transactions!$A$2:$A$5000,"&lt;"&amp;$D$1,Transactions!$O$2:$O$5000,1))</f>
        <v/>
      </c>
      <c r="K79" s="11" t="str">
        <f>IF(OR($A79="",K$41=""),"",SUMIFS(Transactions!$Q$2:$Q$5000,Transactions!$D$2:$D$5000,$A79,Transactions!$C$2:$C$5000,K$41,Transactions!$A$2:$A$5000,"&gt;="&amp;$B$1,Transactions!$A$2:$A$5000,"&lt;"&amp;$D$1,Transactions!$O$2:$O$5000,1))</f>
        <v/>
      </c>
      <c r="L79" s="11" t="str">
        <f>IF($A79="","",SUMIFS(Transactions!$Q$2:$Q$5000,Transactions!$D$2:$D$5000,$A79,Transactions!$A$2:$A$5000,"&gt;="&amp;$B$1,Transactions!$A$2:$A$5000,"&lt;"&amp;$D$1,Transactions!$O$2:$O$5000,1))</f>
        <v/>
      </c>
      <c r="M79" s="27" t="str">
        <f>IF($A79="","",IFERROR(L79/L$42,0))</f>
        <v/>
      </c>
      <c r="N79" s="31" t="str">
        <f>IF($A79="","",COUNTIFS(Transactions!$D$2:$D$5000,$A79,Transactions!$A$2:$A$5000,"&gt;="&amp;$B$1,Transactions!$A$2:$A$5000,"&lt;"&amp;$D$1,Transactions!$O$2:$O$5000,1))</f>
        <v/>
      </c>
      <c r="O79" s="6" t="str">
        <f>IF($A79="","",IF(IFERROR(INDEX('Paramètres'!$O:$O,MATCH($A79,'Paramètres'!$M:$M,0))&amp;"","")="Dépense Fixe","x",""))</f>
        <v/>
      </c>
      <c r="P79" s="6" t="str">
        <f>IF($A79="","",IF(IFERROR(INDEX('Paramètres'!$O:$O,MATCH($A79,'Paramètres'!$M:$M,0))&amp;"","")="Dépense Courante","x",""))</f>
        <v/>
      </c>
      <c r="Q79" s="6" t="str">
        <f>IF($A79="","",IF(IFERROR(INDEX('Paramètres'!$O:$O,MATCH($A79,'Paramètres'!$M:$M,0))&amp;"","")="Dépense Occasionnelle","x",""))</f>
        <v/>
      </c>
      <c r="R79" s="6" t="str">
        <f>IF($A79="","",IFERROR(INDEX('Paramètres'!$Q:$Q,MATCH($A79,'Paramètres'!$M:$M,0))&amp;"",""))</f>
        <v/>
      </c>
    </row>
    <row r="80" spans="1:18" x14ac:dyDescent="0.25">
      <c r="A80" s="6" t="str">
        <f>IFERROR(INDEX('Paramètres'!$M$10:$M$129,MATCH(38,'Référentiel'!$L$2:$L$121,0)),"")</f>
        <v/>
      </c>
      <c r="B80" s="11" t="str">
        <f>IF(OR($A80="",B$41=""),"",SUMIFS(Transactions!$Q$2:$Q$5000,Transactions!$D$2:$D$5000,$A80,Transactions!$C$2:$C$5000,B$41,Transactions!$A$2:$A$5000,"&gt;="&amp;$B$1,Transactions!$A$2:$A$5000,"&lt;"&amp;$D$1,Transactions!$O$2:$O$5000,1))</f>
        <v/>
      </c>
      <c r="C80" s="11" t="str">
        <f>IF(OR($A80="",C$41=""),"",SUMIFS(Transactions!$Q$2:$Q$5000,Transactions!$D$2:$D$5000,$A80,Transactions!$C$2:$C$5000,C$41,Transactions!$A$2:$A$5000,"&gt;="&amp;$B$1,Transactions!$A$2:$A$5000,"&lt;"&amp;$D$1,Transactions!$O$2:$O$5000,1))</f>
        <v/>
      </c>
      <c r="D80" s="11" t="str">
        <f>IF(OR($A80="",D$41=""),"",SUMIFS(Transactions!$Q$2:$Q$5000,Transactions!$D$2:$D$5000,$A80,Transactions!$C$2:$C$5000,D$41,Transactions!$A$2:$A$5000,"&gt;="&amp;$B$1,Transactions!$A$2:$A$5000,"&lt;"&amp;$D$1,Transactions!$O$2:$O$5000,1))</f>
        <v/>
      </c>
      <c r="E80" s="11" t="str">
        <f>IF(OR($A80="",E$41=""),"",SUMIFS(Transactions!$Q$2:$Q$5000,Transactions!$D$2:$D$5000,$A80,Transactions!$C$2:$C$5000,E$41,Transactions!$A$2:$A$5000,"&gt;="&amp;$B$1,Transactions!$A$2:$A$5000,"&lt;"&amp;$D$1,Transactions!$O$2:$O$5000,1))</f>
        <v/>
      </c>
      <c r="F80" s="11" t="str">
        <f>IF(OR($A80="",F$41=""),"",SUMIFS(Transactions!$Q$2:$Q$5000,Transactions!$D$2:$D$5000,$A80,Transactions!$C$2:$C$5000,F$41,Transactions!$A$2:$A$5000,"&gt;="&amp;$B$1,Transactions!$A$2:$A$5000,"&lt;"&amp;$D$1,Transactions!$O$2:$O$5000,1))</f>
        <v/>
      </c>
      <c r="G80" s="11" t="str">
        <f>IF(OR($A80="",G$41=""),"",SUMIFS(Transactions!$Q$2:$Q$5000,Transactions!$D$2:$D$5000,$A80,Transactions!$C$2:$C$5000,G$41,Transactions!$A$2:$A$5000,"&gt;="&amp;$B$1,Transactions!$A$2:$A$5000,"&lt;"&amp;$D$1,Transactions!$O$2:$O$5000,1))</f>
        <v/>
      </c>
      <c r="H80" s="11" t="str">
        <f>IF(OR($A80="",H$41=""),"",SUMIFS(Transactions!$Q$2:$Q$5000,Transactions!$D$2:$D$5000,$A80,Transactions!$C$2:$C$5000,H$41,Transactions!$A$2:$A$5000,"&gt;="&amp;$B$1,Transactions!$A$2:$A$5000,"&lt;"&amp;$D$1,Transactions!$O$2:$O$5000,1))</f>
        <v/>
      </c>
      <c r="I80" s="11" t="str">
        <f>IF(OR($A80="",I$41=""),"",SUMIFS(Transactions!$Q$2:$Q$5000,Transactions!$D$2:$D$5000,$A80,Transactions!$C$2:$C$5000,I$41,Transactions!$A$2:$A$5000,"&gt;="&amp;$B$1,Transactions!$A$2:$A$5000,"&lt;"&amp;$D$1,Transactions!$O$2:$O$5000,1))</f>
        <v/>
      </c>
      <c r="J80" s="11" t="str">
        <f>IF(OR($A80="",J$41=""),"",SUMIFS(Transactions!$Q$2:$Q$5000,Transactions!$D$2:$D$5000,$A80,Transactions!$C$2:$C$5000,J$41,Transactions!$A$2:$A$5000,"&gt;="&amp;$B$1,Transactions!$A$2:$A$5000,"&lt;"&amp;$D$1,Transactions!$O$2:$O$5000,1))</f>
        <v/>
      </c>
      <c r="K80" s="11" t="str">
        <f>IF(OR($A80="",K$41=""),"",SUMIFS(Transactions!$Q$2:$Q$5000,Transactions!$D$2:$D$5000,$A80,Transactions!$C$2:$C$5000,K$41,Transactions!$A$2:$A$5000,"&gt;="&amp;$B$1,Transactions!$A$2:$A$5000,"&lt;"&amp;$D$1,Transactions!$O$2:$O$5000,1))</f>
        <v/>
      </c>
      <c r="L80" s="11" t="str">
        <f>IF($A80="","",SUMIFS(Transactions!$Q$2:$Q$5000,Transactions!$D$2:$D$5000,$A80,Transactions!$A$2:$A$5000,"&gt;="&amp;$B$1,Transactions!$A$2:$A$5000,"&lt;"&amp;$D$1,Transactions!$O$2:$O$5000,1))</f>
        <v/>
      </c>
      <c r="M80" s="27" t="str">
        <f>IF($A80="","",IFERROR(L80/L$42,0))</f>
        <v/>
      </c>
      <c r="N80" s="31" t="str">
        <f>IF($A80="","",COUNTIFS(Transactions!$D$2:$D$5000,$A80,Transactions!$A$2:$A$5000,"&gt;="&amp;$B$1,Transactions!$A$2:$A$5000,"&lt;"&amp;$D$1,Transactions!$O$2:$O$5000,1))</f>
        <v/>
      </c>
      <c r="O80" s="6" t="str">
        <f>IF($A80="","",IF(IFERROR(INDEX('Paramètres'!$O:$O,MATCH($A80,'Paramètres'!$M:$M,0))&amp;"","")="Dépense Fixe","x",""))</f>
        <v/>
      </c>
      <c r="P80" s="6" t="str">
        <f>IF($A80="","",IF(IFERROR(INDEX('Paramètres'!$O:$O,MATCH($A80,'Paramètres'!$M:$M,0))&amp;"","")="Dépense Courante","x",""))</f>
        <v/>
      </c>
      <c r="Q80" s="6" t="str">
        <f>IF($A80="","",IF(IFERROR(INDEX('Paramètres'!$O:$O,MATCH($A80,'Paramètres'!$M:$M,0))&amp;"","")="Dépense Occasionnelle","x",""))</f>
        <v/>
      </c>
      <c r="R80" s="6" t="str">
        <f>IF($A80="","",IFERROR(INDEX('Paramètres'!$Q:$Q,MATCH($A80,'Paramètres'!$M:$M,0))&amp;"",""))</f>
        <v/>
      </c>
    </row>
    <row r="81" spans="1:18" x14ac:dyDescent="0.25">
      <c r="A81" s="6" t="str">
        <f>IFERROR(INDEX('Paramètres'!$M$10:$M$129,MATCH(39,'Référentiel'!$L$2:$L$121,0)),"")</f>
        <v/>
      </c>
      <c r="B81" s="11" t="str">
        <f>IF(OR($A81="",B$41=""),"",SUMIFS(Transactions!$Q$2:$Q$5000,Transactions!$D$2:$D$5000,$A81,Transactions!$C$2:$C$5000,B$41,Transactions!$A$2:$A$5000,"&gt;="&amp;$B$1,Transactions!$A$2:$A$5000,"&lt;"&amp;$D$1,Transactions!$O$2:$O$5000,1))</f>
        <v/>
      </c>
      <c r="C81" s="11" t="str">
        <f>IF(OR($A81="",C$41=""),"",SUMIFS(Transactions!$Q$2:$Q$5000,Transactions!$D$2:$D$5000,$A81,Transactions!$C$2:$C$5000,C$41,Transactions!$A$2:$A$5000,"&gt;="&amp;$B$1,Transactions!$A$2:$A$5000,"&lt;"&amp;$D$1,Transactions!$O$2:$O$5000,1))</f>
        <v/>
      </c>
      <c r="D81" s="11" t="str">
        <f>IF(OR($A81="",D$41=""),"",SUMIFS(Transactions!$Q$2:$Q$5000,Transactions!$D$2:$D$5000,$A81,Transactions!$C$2:$C$5000,D$41,Transactions!$A$2:$A$5000,"&gt;="&amp;$B$1,Transactions!$A$2:$A$5000,"&lt;"&amp;$D$1,Transactions!$O$2:$O$5000,1))</f>
        <v/>
      </c>
      <c r="E81" s="11" t="str">
        <f>IF(OR($A81="",E$41=""),"",SUMIFS(Transactions!$Q$2:$Q$5000,Transactions!$D$2:$D$5000,$A81,Transactions!$C$2:$C$5000,E$41,Transactions!$A$2:$A$5000,"&gt;="&amp;$B$1,Transactions!$A$2:$A$5000,"&lt;"&amp;$D$1,Transactions!$O$2:$O$5000,1))</f>
        <v/>
      </c>
      <c r="F81" s="11" t="str">
        <f>IF(OR($A81="",F$41=""),"",SUMIFS(Transactions!$Q$2:$Q$5000,Transactions!$D$2:$D$5000,$A81,Transactions!$C$2:$C$5000,F$41,Transactions!$A$2:$A$5000,"&gt;="&amp;$B$1,Transactions!$A$2:$A$5000,"&lt;"&amp;$D$1,Transactions!$O$2:$O$5000,1))</f>
        <v/>
      </c>
      <c r="G81" s="11" t="str">
        <f>IF(OR($A81="",G$41=""),"",SUMIFS(Transactions!$Q$2:$Q$5000,Transactions!$D$2:$D$5000,$A81,Transactions!$C$2:$C$5000,G$41,Transactions!$A$2:$A$5000,"&gt;="&amp;$B$1,Transactions!$A$2:$A$5000,"&lt;"&amp;$D$1,Transactions!$O$2:$O$5000,1))</f>
        <v/>
      </c>
      <c r="H81" s="11" t="str">
        <f>IF(OR($A81="",H$41=""),"",SUMIFS(Transactions!$Q$2:$Q$5000,Transactions!$D$2:$D$5000,$A81,Transactions!$C$2:$C$5000,H$41,Transactions!$A$2:$A$5000,"&gt;="&amp;$B$1,Transactions!$A$2:$A$5000,"&lt;"&amp;$D$1,Transactions!$O$2:$O$5000,1))</f>
        <v/>
      </c>
      <c r="I81" s="11" t="str">
        <f>IF(OR($A81="",I$41=""),"",SUMIFS(Transactions!$Q$2:$Q$5000,Transactions!$D$2:$D$5000,$A81,Transactions!$C$2:$C$5000,I$41,Transactions!$A$2:$A$5000,"&gt;="&amp;$B$1,Transactions!$A$2:$A$5000,"&lt;"&amp;$D$1,Transactions!$O$2:$O$5000,1))</f>
        <v/>
      </c>
      <c r="J81" s="11" t="str">
        <f>IF(OR($A81="",J$41=""),"",SUMIFS(Transactions!$Q$2:$Q$5000,Transactions!$D$2:$D$5000,$A81,Transactions!$C$2:$C$5000,J$41,Transactions!$A$2:$A$5000,"&gt;="&amp;$B$1,Transactions!$A$2:$A$5000,"&lt;"&amp;$D$1,Transactions!$O$2:$O$5000,1))</f>
        <v/>
      </c>
      <c r="K81" s="11" t="str">
        <f>IF(OR($A81="",K$41=""),"",SUMIFS(Transactions!$Q$2:$Q$5000,Transactions!$D$2:$D$5000,$A81,Transactions!$C$2:$C$5000,K$41,Transactions!$A$2:$A$5000,"&gt;="&amp;$B$1,Transactions!$A$2:$A$5000,"&lt;"&amp;$D$1,Transactions!$O$2:$O$5000,1))</f>
        <v/>
      </c>
      <c r="L81" s="11" t="str">
        <f>IF($A81="","",SUMIFS(Transactions!$Q$2:$Q$5000,Transactions!$D$2:$D$5000,$A81,Transactions!$A$2:$A$5000,"&gt;="&amp;$B$1,Transactions!$A$2:$A$5000,"&lt;"&amp;$D$1,Transactions!$O$2:$O$5000,1))</f>
        <v/>
      </c>
      <c r="M81" s="27" t="str">
        <f>IF($A81="","",IFERROR(L81/L$42,0))</f>
        <v/>
      </c>
      <c r="N81" s="31" t="str">
        <f>IF($A81="","",COUNTIFS(Transactions!$D$2:$D$5000,$A81,Transactions!$A$2:$A$5000,"&gt;="&amp;$B$1,Transactions!$A$2:$A$5000,"&lt;"&amp;$D$1,Transactions!$O$2:$O$5000,1))</f>
        <v/>
      </c>
      <c r="O81" s="6" t="str">
        <f>IF($A81="","",IF(IFERROR(INDEX('Paramètres'!$O:$O,MATCH($A81,'Paramètres'!$M:$M,0))&amp;"","")="Dépense Fixe","x",""))</f>
        <v/>
      </c>
      <c r="P81" s="6" t="str">
        <f>IF($A81="","",IF(IFERROR(INDEX('Paramètres'!$O:$O,MATCH($A81,'Paramètres'!$M:$M,0))&amp;"","")="Dépense Courante","x",""))</f>
        <v/>
      </c>
      <c r="Q81" s="6" t="str">
        <f>IF($A81="","",IF(IFERROR(INDEX('Paramètres'!$O:$O,MATCH($A81,'Paramètres'!$M:$M,0))&amp;"","")="Dépense Occasionnelle","x",""))</f>
        <v/>
      </c>
      <c r="R81" s="6" t="str">
        <f>IF($A81="","",IFERROR(INDEX('Paramètres'!$Q:$Q,MATCH($A81,'Paramètres'!$M:$M,0))&amp;"",""))</f>
        <v/>
      </c>
    </row>
    <row r="82" spans="1:18" x14ac:dyDescent="0.25">
      <c r="A82" s="6" t="str">
        <f>IFERROR(INDEX('Paramètres'!$M$10:$M$129,MATCH(40,'Référentiel'!$L$2:$L$121,0)),"")</f>
        <v/>
      </c>
      <c r="B82" s="11" t="str">
        <f>IF(OR($A82="",B$41=""),"",SUMIFS(Transactions!$Q$2:$Q$5000,Transactions!$D$2:$D$5000,$A82,Transactions!$C$2:$C$5000,B$41,Transactions!$A$2:$A$5000,"&gt;="&amp;$B$1,Transactions!$A$2:$A$5000,"&lt;"&amp;$D$1,Transactions!$O$2:$O$5000,1))</f>
        <v/>
      </c>
      <c r="C82" s="11" t="str">
        <f>IF(OR($A82="",C$41=""),"",SUMIFS(Transactions!$Q$2:$Q$5000,Transactions!$D$2:$D$5000,$A82,Transactions!$C$2:$C$5000,C$41,Transactions!$A$2:$A$5000,"&gt;="&amp;$B$1,Transactions!$A$2:$A$5000,"&lt;"&amp;$D$1,Transactions!$O$2:$O$5000,1))</f>
        <v/>
      </c>
      <c r="D82" s="11" t="str">
        <f>IF(OR($A82="",D$41=""),"",SUMIFS(Transactions!$Q$2:$Q$5000,Transactions!$D$2:$D$5000,$A82,Transactions!$C$2:$C$5000,D$41,Transactions!$A$2:$A$5000,"&gt;="&amp;$B$1,Transactions!$A$2:$A$5000,"&lt;"&amp;$D$1,Transactions!$O$2:$O$5000,1))</f>
        <v/>
      </c>
      <c r="E82" s="11" t="str">
        <f>IF(OR($A82="",E$41=""),"",SUMIFS(Transactions!$Q$2:$Q$5000,Transactions!$D$2:$D$5000,$A82,Transactions!$C$2:$C$5000,E$41,Transactions!$A$2:$A$5000,"&gt;="&amp;$B$1,Transactions!$A$2:$A$5000,"&lt;"&amp;$D$1,Transactions!$O$2:$O$5000,1))</f>
        <v/>
      </c>
      <c r="F82" s="11" t="str">
        <f>IF(OR($A82="",F$41=""),"",SUMIFS(Transactions!$Q$2:$Q$5000,Transactions!$D$2:$D$5000,$A82,Transactions!$C$2:$C$5000,F$41,Transactions!$A$2:$A$5000,"&gt;="&amp;$B$1,Transactions!$A$2:$A$5000,"&lt;"&amp;$D$1,Transactions!$O$2:$O$5000,1))</f>
        <v/>
      </c>
      <c r="G82" s="11" t="str">
        <f>IF(OR($A82="",G$41=""),"",SUMIFS(Transactions!$Q$2:$Q$5000,Transactions!$D$2:$D$5000,$A82,Transactions!$C$2:$C$5000,G$41,Transactions!$A$2:$A$5000,"&gt;="&amp;$B$1,Transactions!$A$2:$A$5000,"&lt;"&amp;$D$1,Transactions!$O$2:$O$5000,1))</f>
        <v/>
      </c>
      <c r="H82" s="11" t="str">
        <f>IF(OR($A82="",H$41=""),"",SUMIFS(Transactions!$Q$2:$Q$5000,Transactions!$D$2:$D$5000,$A82,Transactions!$C$2:$C$5000,H$41,Transactions!$A$2:$A$5000,"&gt;="&amp;$B$1,Transactions!$A$2:$A$5000,"&lt;"&amp;$D$1,Transactions!$O$2:$O$5000,1))</f>
        <v/>
      </c>
      <c r="I82" s="11" t="str">
        <f>IF(OR($A82="",I$41=""),"",SUMIFS(Transactions!$Q$2:$Q$5000,Transactions!$D$2:$D$5000,$A82,Transactions!$C$2:$C$5000,I$41,Transactions!$A$2:$A$5000,"&gt;="&amp;$B$1,Transactions!$A$2:$A$5000,"&lt;"&amp;$D$1,Transactions!$O$2:$O$5000,1))</f>
        <v/>
      </c>
      <c r="J82" s="11" t="str">
        <f>IF(OR($A82="",J$41=""),"",SUMIFS(Transactions!$Q$2:$Q$5000,Transactions!$D$2:$D$5000,$A82,Transactions!$C$2:$C$5000,J$41,Transactions!$A$2:$A$5000,"&gt;="&amp;$B$1,Transactions!$A$2:$A$5000,"&lt;"&amp;$D$1,Transactions!$O$2:$O$5000,1))</f>
        <v/>
      </c>
      <c r="K82" s="11" t="str">
        <f>IF(OR($A82="",K$41=""),"",SUMIFS(Transactions!$Q$2:$Q$5000,Transactions!$D$2:$D$5000,$A82,Transactions!$C$2:$C$5000,K$41,Transactions!$A$2:$A$5000,"&gt;="&amp;$B$1,Transactions!$A$2:$A$5000,"&lt;"&amp;$D$1,Transactions!$O$2:$O$5000,1))</f>
        <v/>
      </c>
      <c r="L82" s="11" t="str">
        <f>IF($A82="","",SUMIFS(Transactions!$Q$2:$Q$5000,Transactions!$D$2:$D$5000,$A82,Transactions!$A$2:$A$5000,"&gt;="&amp;$B$1,Transactions!$A$2:$A$5000,"&lt;"&amp;$D$1,Transactions!$O$2:$O$5000,1))</f>
        <v/>
      </c>
      <c r="M82" s="27" t="str">
        <f>IF($A82="","",IFERROR(L82/L$42,0))</f>
        <v/>
      </c>
      <c r="N82" s="31" t="str">
        <f>IF($A82="","",COUNTIFS(Transactions!$D$2:$D$5000,$A82,Transactions!$A$2:$A$5000,"&gt;="&amp;$B$1,Transactions!$A$2:$A$5000,"&lt;"&amp;$D$1,Transactions!$O$2:$O$5000,1))</f>
        <v/>
      </c>
      <c r="O82" s="6" t="str">
        <f>IF($A82="","",IF(IFERROR(INDEX('Paramètres'!$O:$O,MATCH($A82,'Paramètres'!$M:$M,0))&amp;"","")="Dépense Fixe","x",""))</f>
        <v/>
      </c>
      <c r="P82" s="6" t="str">
        <f>IF($A82="","",IF(IFERROR(INDEX('Paramètres'!$O:$O,MATCH($A82,'Paramètres'!$M:$M,0))&amp;"","")="Dépense Courante","x",""))</f>
        <v/>
      </c>
      <c r="Q82" s="6" t="str">
        <f>IF($A82="","",IF(IFERROR(INDEX('Paramètres'!$O:$O,MATCH($A82,'Paramètres'!$M:$M,0))&amp;"","")="Dépense Occasionnelle","x",""))</f>
        <v/>
      </c>
      <c r="R82" s="6" t="str">
        <f>IF($A82="","",IFERROR(INDEX('Paramètres'!$Q:$Q,MATCH($A82,'Paramètres'!$M:$M,0))&amp;"",""))</f>
        <v/>
      </c>
    </row>
    <row r="83" spans="1:18" x14ac:dyDescent="0.25">
      <c r="A83" s="6" t="str">
        <f>IFERROR(INDEX('Paramètres'!$M$10:$M$129,MATCH(41,'Référentiel'!$L$2:$L$121,0)),"")</f>
        <v/>
      </c>
      <c r="B83" s="11" t="str">
        <f>IF(OR($A83="",B$41=""),"",SUMIFS(Transactions!$Q$2:$Q$5000,Transactions!$D$2:$D$5000,$A83,Transactions!$C$2:$C$5000,B$41,Transactions!$A$2:$A$5000,"&gt;="&amp;$B$1,Transactions!$A$2:$A$5000,"&lt;"&amp;$D$1,Transactions!$O$2:$O$5000,1))</f>
        <v/>
      </c>
      <c r="C83" s="11" t="str">
        <f>IF(OR($A83="",C$41=""),"",SUMIFS(Transactions!$Q$2:$Q$5000,Transactions!$D$2:$D$5000,$A83,Transactions!$C$2:$C$5000,C$41,Transactions!$A$2:$A$5000,"&gt;="&amp;$B$1,Transactions!$A$2:$A$5000,"&lt;"&amp;$D$1,Transactions!$O$2:$O$5000,1))</f>
        <v/>
      </c>
      <c r="D83" s="11" t="str">
        <f>IF(OR($A83="",D$41=""),"",SUMIFS(Transactions!$Q$2:$Q$5000,Transactions!$D$2:$D$5000,$A83,Transactions!$C$2:$C$5000,D$41,Transactions!$A$2:$A$5000,"&gt;="&amp;$B$1,Transactions!$A$2:$A$5000,"&lt;"&amp;$D$1,Transactions!$O$2:$O$5000,1))</f>
        <v/>
      </c>
      <c r="E83" s="11" t="str">
        <f>IF(OR($A83="",E$41=""),"",SUMIFS(Transactions!$Q$2:$Q$5000,Transactions!$D$2:$D$5000,$A83,Transactions!$C$2:$C$5000,E$41,Transactions!$A$2:$A$5000,"&gt;="&amp;$B$1,Transactions!$A$2:$A$5000,"&lt;"&amp;$D$1,Transactions!$O$2:$O$5000,1))</f>
        <v/>
      </c>
      <c r="F83" s="11" t="str">
        <f>IF(OR($A83="",F$41=""),"",SUMIFS(Transactions!$Q$2:$Q$5000,Transactions!$D$2:$D$5000,$A83,Transactions!$C$2:$C$5000,F$41,Transactions!$A$2:$A$5000,"&gt;="&amp;$B$1,Transactions!$A$2:$A$5000,"&lt;"&amp;$D$1,Transactions!$O$2:$O$5000,1))</f>
        <v/>
      </c>
      <c r="G83" s="11" t="str">
        <f>IF(OR($A83="",G$41=""),"",SUMIFS(Transactions!$Q$2:$Q$5000,Transactions!$D$2:$D$5000,$A83,Transactions!$C$2:$C$5000,G$41,Transactions!$A$2:$A$5000,"&gt;="&amp;$B$1,Transactions!$A$2:$A$5000,"&lt;"&amp;$D$1,Transactions!$O$2:$O$5000,1))</f>
        <v/>
      </c>
      <c r="H83" s="11" t="str">
        <f>IF(OR($A83="",H$41=""),"",SUMIFS(Transactions!$Q$2:$Q$5000,Transactions!$D$2:$D$5000,$A83,Transactions!$C$2:$C$5000,H$41,Transactions!$A$2:$A$5000,"&gt;="&amp;$B$1,Transactions!$A$2:$A$5000,"&lt;"&amp;$D$1,Transactions!$O$2:$O$5000,1))</f>
        <v/>
      </c>
      <c r="I83" s="11" t="str">
        <f>IF(OR($A83="",I$41=""),"",SUMIFS(Transactions!$Q$2:$Q$5000,Transactions!$D$2:$D$5000,$A83,Transactions!$C$2:$C$5000,I$41,Transactions!$A$2:$A$5000,"&gt;="&amp;$B$1,Transactions!$A$2:$A$5000,"&lt;"&amp;$D$1,Transactions!$O$2:$O$5000,1))</f>
        <v/>
      </c>
      <c r="J83" s="11" t="str">
        <f>IF(OR($A83="",J$41=""),"",SUMIFS(Transactions!$Q$2:$Q$5000,Transactions!$D$2:$D$5000,$A83,Transactions!$C$2:$C$5000,J$41,Transactions!$A$2:$A$5000,"&gt;="&amp;$B$1,Transactions!$A$2:$A$5000,"&lt;"&amp;$D$1,Transactions!$O$2:$O$5000,1))</f>
        <v/>
      </c>
      <c r="K83" s="11" t="str">
        <f>IF(OR($A83="",K$41=""),"",SUMIFS(Transactions!$Q$2:$Q$5000,Transactions!$D$2:$D$5000,$A83,Transactions!$C$2:$C$5000,K$41,Transactions!$A$2:$A$5000,"&gt;="&amp;$B$1,Transactions!$A$2:$A$5000,"&lt;"&amp;$D$1,Transactions!$O$2:$O$5000,1))</f>
        <v/>
      </c>
      <c r="L83" s="11" t="str">
        <f>IF($A83="","",SUMIFS(Transactions!$Q$2:$Q$5000,Transactions!$D$2:$D$5000,$A83,Transactions!$A$2:$A$5000,"&gt;="&amp;$B$1,Transactions!$A$2:$A$5000,"&lt;"&amp;$D$1,Transactions!$O$2:$O$5000,1))</f>
        <v/>
      </c>
      <c r="M83" s="27" t="str">
        <f>IF($A83="","",IFERROR(L83/L$42,0))</f>
        <v/>
      </c>
      <c r="N83" s="31" t="str">
        <f>IF($A83="","",COUNTIFS(Transactions!$D$2:$D$5000,$A83,Transactions!$A$2:$A$5000,"&gt;="&amp;$B$1,Transactions!$A$2:$A$5000,"&lt;"&amp;$D$1,Transactions!$O$2:$O$5000,1))</f>
        <v/>
      </c>
      <c r="O83" s="6" t="str">
        <f>IF($A83="","",IF(IFERROR(INDEX('Paramètres'!$O:$O,MATCH($A83,'Paramètres'!$M:$M,0))&amp;"","")="Dépense Fixe","x",""))</f>
        <v/>
      </c>
      <c r="P83" s="6" t="str">
        <f>IF($A83="","",IF(IFERROR(INDEX('Paramètres'!$O:$O,MATCH($A83,'Paramètres'!$M:$M,0))&amp;"","")="Dépense Courante","x",""))</f>
        <v/>
      </c>
      <c r="Q83" s="6" t="str">
        <f>IF($A83="","",IF(IFERROR(INDEX('Paramètres'!$O:$O,MATCH($A83,'Paramètres'!$M:$M,0))&amp;"","")="Dépense Occasionnelle","x",""))</f>
        <v/>
      </c>
      <c r="R83" s="6" t="str">
        <f>IF($A83="","",IFERROR(INDEX('Paramètres'!$Q:$Q,MATCH($A83,'Paramètres'!$M:$M,0))&amp;"",""))</f>
        <v/>
      </c>
    </row>
    <row r="84" spans="1:18" x14ac:dyDescent="0.25">
      <c r="A84" s="6" t="str">
        <f>IFERROR(INDEX('Paramètres'!$M$10:$M$129,MATCH(42,'Référentiel'!$L$2:$L$121,0)),"")</f>
        <v/>
      </c>
      <c r="B84" s="11" t="str">
        <f>IF(OR($A84="",B$41=""),"",SUMIFS(Transactions!$Q$2:$Q$5000,Transactions!$D$2:$D$5000,$A84,Transactions!$C$2:$C$5000,B$41,Transactions!$A$2:$A$5000,"&gt;="&amp;$B$1,Transactions!$A$2:$A$5000,"&lt;"&amp;$D$1,Transactions!$O$2:$O$5000,1))</f>
        <v/>
      </c>
      <c r="C84" s="11" t="str">
        <f>IF(OR($A84="",C$41=""),"",SUMIFS(Transactions!$Q$2:$Q$5000,Transactions!$D$2:$D$5000,$A84,Transactions!$C$2:$C$5000,C$41,Transactions!$A$2:$A$5000,"&gt;="&amp;$B$1,Transactions!$A$2:$A$5000,"&lt;"&amp;$D$1,Transactions!$O$2:$O$5000,1))</f>
        <v/>
      </c>
      <c r="D84" s="11" t="str">
        <f>IF(OR($A84="",D$41=""),"",SUMIFS(Transactions!$Q$2:$Q$5000,Transactions!$D$2:$D$5000,$A84,Transactions!$C$2:$C$5000,D$41,Transactions!$A$2:$A$5000,"&gt;="&amp;$B$1,Transactions!$A$2:$A$5000,"&lt;"&amp;$D$1,Transactions!$O$2:$O$5000,1))</f>
        <v/>
      </c>
      <c r="E84" s="11" t="str">
        <f>IF(OR($A84="",E$41=""),"",SUMIFS(Transactions!$Q$2:$Q$5000,Transactions!$D$2:$D$5000,$A84,Transactions!$C$2:$C$5000,E$41,Transactions!$A$2:$A$5000,"&gt;="&amp;$B$1,Transactions!$A$2:$A$5000,"&lt;"&amp;$D$1,Transactions!$O$2:$O$5000,1))</f>
        <v/>
      </c>
      <c r="F84" s="11" t="str">
        <f>IF(OR($A84="",F$41=""),"",SUMIFS(Transactions!$Q$2:$Q$5000,Transactions!$D$2:$D$5000,$A84,Transactions!$C$2:$C$5000,F$41,Transactions!$A$2:$A$5000,"&gt;="&amp;$B$1,Transactions!$A$2:$A$5000,"&lt;"&amp;$D$1,Transactions!$O$2:$O$5000,1))</f>
        <v/>
      </c>
      <c r="G84" s="11" t="str">
        <f>IF(OR($A84="",G$41=""),"",SUMIFS(Transactions!$Q$2:$Q$5000,Transactions!$D$2:$D$5000,$A84,Transactions!$C$2:$C$5000,G$41,Transactions!$A$2:$A$5000,"&gt;="&amp;$B$1,Transactions!$A$2:$A$5000,"&lt;"&amp;$D$1,Transactions!$O$2:$O$5000,1))</f>
        <v/>
      </c>
      <c r="H84" s="11" t="str">
        <f>IF(OR($A84="",H$41=""),"",SUMIFS(Transactions!$Q$2:$Q$5000,Transactions!$D$2:$D$5000,$A84,Transactions!$C$2:$C$5000,H$41,Transactions!$A$2:$A$5000,"&gt;="&amp;$B$1,Transactions!$A$2:$A$5000,"&lt;"&amp;$D$1,Transactions!$O$2:$O$5000,1))</f>
        <v/>
      </c>
      <c r="I84" s="11" t="str">
        <f>IF(OR($A84="",I$41=""),"",SUMIFS(Transactions!$Q$2:$Q$5000,Transactions!$D$2:$D$5000,$A84,Transactions!$C$2:$C$5000,I$41,Transactions!$A$2:$A$5000,"&gt;="&amp;$B$1,Transactions!$A$2:$A$5000,"&lt;"&amp;$D$1,Transactions!$O$2:$O$5000,1))</f>
        <v/>
      </c>
      <c r="J84" s="11" t="str">
        <f>IF(OR($A84="",J$41=""),"",SUMIFS(Transactions!$Q$2:$Q$5000,Transactions!$D$2:$D$5000,$A84,Transactions!$C$2:$C$5000,J$41,Transactions!$A$2:$A$5000,"&gt;="&amp;$B$1,Transactions!$A$2:$A$5000,"&lt;"&amp;$D$1,Transactions!$O$2:$O$5000,1))</f>
        <v/>
      </c>
      <c r="K84" s="11" t="str">
        <f>IF(OR($A84="",K$41=""),"",SUMIFS(Transactions!$Q$2:$Q$5000,Transactions!$D$2:$D$5000,$A84,Transactions!$C$2:$C$5000,K$41,Transactions!$A$2:$A$5000,"&gt;="&amp;$B$1,Transactions!$A$2:$A$5000,"&lt;"&amp;$D$1,Transactions!$O$2:$O$5000,1))</f>
        <v/>
      </c>
      <c r="L84" s="11" t="str">
        <f>IF($A84="","",SUMIFS(Transactions!$Q$2:$Q$5000,Transactions!$D$2:$D$5000,$A84,Transactions!$A$2:$A$5000,"&gt;="&amp;$B$1,Transactions!$A$2:$A$5000,"&lt;"&amp;$D$1,Transactions!$O$2:$O$5000,1))</f>
        <v/>
      </c>
      <c r="M84" s="27" t="str">
        <f>IF($A84="","",IFERROR(L84/L$42,0))</f>
        <v/>
      </c>
      <c r="N84" s="31" t="str">
        <f>IF($A84="","",COUNTIFS(Transactions!$D$2:$D$5000,$A84,Transactions!$A$2:$A$5000,"&gt;="&amp;$B$1,Transactions!$A$2:$A$5000,"&lt;"&amp;$D$1,Transactions!$O$2:$O$5000,1))</f>
        <v/>
      </c>
      <c r="O84" s="6" t="str">
        <f>IF($A84="","",IF(IFERROR(INDEX('Paramètres'!$O:$O,MATCH($A84,'Paramètres'!$M:$M,0))&amp;"","")="Dépense Fixe","x",""))</f>
        <v/>
      </c>
      <c r="P84" s="6" t="str">
        <f>IF($A84="","",IF(IFERROR(INDEX('Paramètres'!$O:$O,MATCH($A84,'Paramètres'!$M:$M,0))&amp;"","")="Dépense Courante","x",""))</f>
        <v/>
      </c>
      <c r="Q84" s="6" t="str">
        <f>IF($A84="","",IF(IFERROR(INDEX('Paramètres'!$O:$O,MATCH($A84,'Paramètres'!$M:$M,0))&amp;"","")="Dépense Occasionnelle","x",""))</f>
        <v/>
      </c>
      <c r="R84" s="6" t="str">
        <f>IF($A84="","",IFERROR(INDEX('Paramètres'!$Q:$Q,MATCH($A84,'Paramètres'!$M:$M,0))&amp;"",""))</f>
        <v/>
      </c>
    </row>
    <row r="85" spans="1:18" x14ac:dyDescent="0.25">
      <c r="A85" s="6" t="str">
        <f>IFERROR(INDEX('Paramètres'!$M$10:$M$129,MATCH(43,'Référentiel'!$L$2:$L$121,0)),"")</f>
        <v/>
      </c>
      <c r="B85" s="11" t="str">
        <f>IF(OR($A85="",B$41=""),"",SUMIFS(Transactions!$Q$2:$Q$5000,Transactions!$D$2:$D$5000,$A85,Transactions!$C$2:$C$5000,B$41,Transactions!$A$2:$A$5000,"&gt;="&amp;$B$1,Transactions!$A$2:$A$5000,"&lt;"&amp;$D$1,Transactions!$O$2:$O$5000,1))</f>
        <v/>
      </c>
      <c r="C85" s="11" t="str">
        <f>IF(OR($A85="",C$41=""),"",SUMIFS(Transactions!$Q$2:$Q$5000,Transactions!$D$2:$D$5000,$A85,Transactions!$C$2:$C$5000,C$41,Transactions!$A$2:$A$5000,"&gt;="&amp;$B$1,Transactions!$A$2:$A$5000,"&lt;"&amp;$D$1,Transactions!$O$2:$O$5000,1))</f>
        <v/>
      </c>
      <c r="D85" s="11" t="str">
        <f>IF(OR($A85="",D$41=""),"",SUMIFS(Transactions!$Q$2:$Q$5000,Transactions!$D$2:$D$5000,$A85,Transactions!$C$2:$C$5000,D$41,Transactions!$A$2:$A$5000,"&gt;="&amp;$B$1,Transactions!$A$2:$A$5000,"&lt;"&amp;$D$1,Transactions!$O$2:$O$5000,1))</f>
        <v/>
      </c>
      <c r="E85" s="11" t="str">
        <f>IF(OR($A85="",E$41=""),"",SUMIFS(Transactions!$Q$2:$Q$5000,Transactions!$D$2:$D$5000,$A85,Transactions!$C$2:$C$5000,E$41,Transactions!$A$2:$A$5000,"&gt;="&amp;$B$1,Transactions!$A$2:$A$5000,"&lt;"&amp;$D$1,Transactions!$O$2:$O$5000,1))</f>
        <v/>
      </c>
      <c r="F85" s="11" t="str">
        <f>IF(OR($A85="",F$41=""),"",SUMIFS(Transactions!$Q$2:$Q$5000,Transactions!$D$2:$D$5000,$A85,Transactions!$C$2:$C$5000,F$41,Transactions!$A$2:$A$5000,"&gt;="&amp;$B$1,Transactions!$A$2:$A$5000,"&lt;"&amp;$D$1,Transactions!$O$2:$O$5000,1))</f>
        <v/>
      </c>
      <c r="G85" s="11" t="str">
        <f>IF(OR($A85="",G$41=""),"",SUMIFS(Transactions!$Q$2:$Q$5000,Transactions!$D$2:$D$5000,$A85,Transactions!$C$2:$C$5000,G$41,Transactions!$A$2:$A$5000,"&gt;="&amp;$B$1,Transactions!$A$2:$A$5000,"&lt;"&amp;$D$1,Transactions!$O$2:$O$5000,1))</f>
        <v/>
      </c>
      <c r="H85" s="11" t="str">
        <f>IF(OR($A85="",H$41=""),"",SUMIFS(Transactions!$Q$2:$Q$5000,Transactions!$D$2:$D$5000,$A85,Transactions!$C$2:$C$5000,H$41,Transactions!$A$2:$A$5000,"&gt;="&amp;$B$1,Transactions!$A$2:$A$5000,"&lt;"&amp;$D$1,Transactions!$O$2:$O$5000,1))</f>
        <v/>
      </c>
      <c r="I85" s="11" t="str">
        <f>IF(OR($A85="",I$41=""),"",SUMIFS(Transactions!$Q$2:$Q$5000,Transactions!$D$2:$D$5000,$A85,Transactions!$C$2:$C$5000,I$41,Transactions!$A$2:$A$5000,"&gt;="&amp;$B$1,Transactions!$A$2:$A$5000,"&lt;"&amp;$D$1,Transactions!$O$2:$O$5000,1))</f>
        <v/>
      </c>
      <c r="J85" s="11" t="str">
        <f>IF(OR($A85="",J$41=""),"",SUMIFS(Transactions!$Q$2:$Q$5000,Transactions!$D$2:$D$5000,$A85,Transactions!$C$2:$C$5000,J$41,Transactions!$A$2:$A$5000,"&gt;="&amp;$B$1,Transactions!$A$2:$A$5000,"&lt;"&amp;$D$1,Transactions!$O$2:$O$5000,1))</f>
        <v/>
      </c>
      <c r="K85" s="11" t="str">
        <f>IF(OR($A85="",K$41=""),"",SUMIFS(Transactions!$Q$2:$Q$5000,Transactions!$D$2:$D$5000,$A85,Transactions!$C$2:$C$5000,K$41,Transactions!$A$2:$A$5000,"&gt;="&amp;$B$1,Transactions!$A$2:$A$5000,"&lt;"&amp;$D$1,Transactions!$O$2:$O$5000,1))</f>
        <v/>
      </c>
      <c r="L85" s="11" t="str">
        <f>IF($A85="","",SUMIFS(Transactions!$Q$2:$Q$5000,Transactions!$D$2:$D$5000,$A85,Transactions!$A$2:$A$5000,"&gt;="&amp;$B$1,Transactions!$A$2:$A$5000,"&lt;"&amp;$D$1,Transactions!$O$2:$O$5000,1))</f>
        <v/>
      </c>
      <c r="M85" s="27" t="str">
        <f>IF($A85="","",IFERROR(L85/L$42,0))</f>
        <v/>
      </c>
      <c r="N85" s="31" t="str">
        <f>IF($A85="","",COUNTIFS(Transactions!$D$2:$D$5000,$A85,Transactions!$A$2:$A$5000,"&gt;="&amp;$B$1,Transactions!$A$2:$A$5000,"&lt;"&amp;$D$1,Transactions!$O$2:$O$5000,1))</f>
        <v/>
      </c>
      <c r="O85" s="6" t="str">
        <f>IF($A85="","",IF(IFERROR(INDEX('Paramètres'!$O:$O,MATCH($A85,'Paramètres'!$M:$M,0))&amp;"","")="Dépense Fixe","x",""))</f>
        <v/>
      </c>
      <c r="P85" s="6" t="str">
        <f>IF($A85="","",IF(IFERROR(INDEX('Paramètres'!$O:$O,MATCH($A85,'Paramètres'!$M:$M,0))&amp;"","")="Dépense Courante","x",""))</f>
        <v/>
      </c>
      <c r="Q85" s="6" t="str">
        <f>IF($A85="","",IF(IFERROR(INDEX('Paramètres'!$O:$O,MATCH($A85,'Paramètres'!$M:$M,0))&amp;"","")="Dépense Occasionnelle","x",""))</f>
        <v/>
      </c>
      <c r="R85" s="6" t="str">
        <f>IF($A85="","",IFERROR(INDEX('Paramètres'!$Q:$Q,MATCH($A85,'Paramètres'!$M:$M,0))&amp;"",""))</f>
        <v/>
      </c>
    </row>
    <row r="86" spans="1:18" x14ac:dyDescent="0.25">
      <c r="A86" s="6" t="str">
        <f>IFERROR(INDEX('Paramètres'!$M$10:$M$129,MATCH(44,'Référentiel'!$L$2:$L$121,0)),"")</f>
        <v/>
      </c>
      <c r="B86" s="11" t="str">
        <f>IF(OR($A86="",B$41=""),"",SUMIFS(Transactions!$Q$2:$Q$5000,Transactions!$D$2:$D$5000,$A86,Transactions!$C$2:$C$5000,B$41,Transactions!$A$2:$A$5000,"&gt;="&amp;$B$1,Transactions!$A$2:$A$5000,"&lt;"&amp;$D$1,Transactions!$O$2:$O$5000,1))</f>
        <v/>
      </c>
      <c r="C86" s="11" t="str">
        <f>IF(OR($A86="",C$41=""),"",SUMIFS(Transactions!$Q$2:$Q$5000,Transactions!$D$2:$D$5000,$A86,Transactions!$C$2:$C$5000,C$41,Transactions!$A$2:$A$5000,"&gt;="&amp;$B$1,Transactions!$A$2:$A$5000,"&lt;"&amp;$D$1,Transactions!$O$2:$O$5000,1))</f>
        <v/>
      </c>
      <c r="D86" s="11" t="str">
        <f>IF(OR($A86="",D$41=""),"",SUMIFS(Transactions!$Q$2:$Q$5000,Transactions!$D$2:$D$5000,$A86,Transactions!$C$2:$C$5000,D$41,Transactions!$A$2:$A$5000,"&gt;="&amp;$B$1,Transactions!$A$2:$A$5000,"&lt;"&amp;$D$1,Transactions!$O$2:$O$5000,1))</f>
        <v/>
      </c>
      <c r="E86" s="11" t="str">
        <f>IF(OR($A86="",E$41=""),"",SUMIFS(Transactions!$Q$2:$Q$5000,Transactions!$D$2:$D$5000,$A86,Transactions!$C$2:$C$5000,E$41,Transactions!$A$2:$A$5000,"&gt;="&amp;$B$1,Transactions!$A$2:$A$5000,"&lt;"&amp;$D$1,Transactions!$O$2:$O$5000,1))</f>
        <v/>
      </c>
      <c r="F86" s="11" t="str">
        <f>IF(OR($A86="",F$41=""),"",SUMIFS(Transactions!$Q$2:$Q$5000,Transactions!$D$2:$D$5000,$A86,Transactions!$C$2:$C$5000,F$41,Transactions!$A$2:$A$5000,"&gt;="&amp;$B$1,Transactions!$A$2:$A$5000,"&lt;"&amp;$D$1,Transactions!$O$2:$O$5000,1))</f>
        <v/>
      </c>
      <c r="G86" s="11" t="str">
        <f>IF(OR($A86="",G$41=""),"",SUMIFS(Transactions!$Q$2:$Q$5000,Transactions!$D$2:$D$5000,$A86,Transactions!$C$2:$C$5000,G$41,Transactions!$A$2:$A$5000,"&gt;="&amp;$B$1,Transactions!$A$2:$A$5000,"&lt;"&amp;$D$1,Transactions!$O$2:$O$5000,1))</f>
        <v/>
      </c>
      <c r="H86" s="11" t="str">
        <f>IF(OR($A86="",H$41=""),"",SUMIFS(Transactions!$Q$2:$Q$5000,Transactions!$D$2:$D$5000,$A86,Transactions!$C$2:$C$5000,H$41,Transactions!$A$2:$A$5000,"&gt;="&amp;$B$1,Transactions!$A$2:$A$5000,"&lt;"&amp;$D$1,Transactions!$O$2:$O$5000,1))</f>
        <v/>
      </c>
      <c r="I86" s="11" t="str">
        <f>IF(OR($A86="",I$41=""),"",SUMIFS(Transactions!$Q$2:$Q$5000,Transactions!$D$2:$D$5000,$A86,Transactions!$C$2:$C$5000,I$41,Transactions!$A$2:$A$5000,"&gt;="&amp;$B$1,Transactions!$A$2:$A$5000,"&lt;"&amp;$D$1,Transactions!$O$2:$O$5000,1))</f>
        <v/>
      </c>
      <c r="J86" s="11" t="str">
        <f>IF(OR($A86="",J$41=""),"",SUMIFS(Transactions!$Q$2:$Q$5000,Transactions!$D$2:$D$5000,$A86,Transactions!$C$2:$C$5000,J$41,Transactions!$A$2:$A$5000,"&gt;="&amp;$B$1,Transactions!$A$2:$A$5000,"&lt;"&amp;$D$1,Transactions!$O$2:$O$5000,1))</f>
        <v/>
      </c>
      <c r="K86" s="11" t="str">
        <f>IF(OR($A86="",K$41=""),"",SUMIFS(Transactions!$Q$2:$Q$5000,Transactions!$D$2:$D$5000,$A86,Transactions!$C$2:$C$5000,K$41,Transactions!$A$2:$A$5000,"&gt;="&amp;$B$1,Transactions!$A$2:$A$5000,"&lt;"&amp;$D$1,Transactions!$O$2:$O$5000,1))</f>
        <v/>
      </c>
      <c r="L86" s="11" t="str">
        <f>IF($A86="","",SUMIFS(Transactions!$Q$2:$Q$5000,Transactions!$D$2:$D$5000,$A86,Transactions!$A$2:$A$5000,"&gt;="&amp;$B$1,Transactions!$A$2:$A$5000,"&lt;"&amp;$D$1,Transactions!$O$2:$O$5000,1))</f>
        <v/>
      </c>
      <c r="M86" s="27" t="str">
        <f>IF($A86="","",IFERROR(L86/L$42,0))</f>
        <v/>
      </c>
      <c r="N86" s="31" t="str">
        <f>IF($A86="","",COUNTIFS(Transactions!$D$2:$D$5000,$A86,Transactions!$A$2:$A$5000,"&gt;="&amp;$B$1,Transactions!$A$2:$A$5000,"&lt;"&amp;$D$1,Transactions!$O$2:$O$5000,1))</f>
        <v/>
      </c>
      <c r="O86" s="6" t="str">
        <f>IF($A86="","",IF(IFERROR(INDEX('Paramètres'!$O:$O,MATCH($A86,'Paramètres'!$M:$M,0))&amp;"","")="Dépense Fixe","x",""))</f>
        <v/>
      </c>
      <c r="P86" s="6" t="str">
        <f>IF($A86="","",IF(IFERROR(INDEX('Paramètres'!$O:$O,MATCH($A86,'Paramètres'!$M:$M,0))&amp;"","")="Dépense Courante","x",""))</f>
        <v/>
      </c>
      <c r="Q86" s="6" t="str">
        <f>IF($A86="","",IF(IFERROR(INDEX('Paramètres'!$O:$O,MATCH($A86,'Paramètres'!$M:$M,0))&amp;"","")="Dépense Occasionnelle","x",""))</f>
        <v/>
      </c>
      <c r="R86" s="6" t="str">
        <f>IF($A86="","",IFERROR(INDEX('Paramètres'!$Q:$Q,MATCH($A86,'Paramètres'!$M:$M,0))&amp;"",""))</f>
        <v/>
      </c>
    </row>
    <row r="87" spans="1:18" x14ac:dyDescent="0.25">
      <c r="A87" s="6" t="str">
        <f>IFERROR(INDEX('Paramètres'!$M$10:$M$129,MATCH(45,'Référentiel'!$L$2:$L$121,0)),"")</f>
        <v/>
      </c>
      <c r="B87" s="11" t="str">
        <f>IF(OR($A87="",B$41=""),"",SUMIFS(Transactions!$Q$2:$Q$5000,Transactions!$D$2:$D$5000,$A87,Transactions!$C$2:$C$5000,B$41,Transactions!$A$2:$A$5000,"&gt;="&amp;$B$1,Transactions!$A$2:$A$5000,"&lt;"&amp;$D$1,Transactions!$O$2:$O$5000,1))</f>
        <v/>
      </c>
      <c r="C87" s="11" t="str">
        <f>IF(OR($A87="",C$41=""),"",SUMIFS(Transactions!$Q$2:$Q$5000,Transactions!$D$2:$D$5000,$A87,Transactions!$C$2:$C$5000,C$41,Transactions!$A$2:$A$5000,"&gt;="&amp;$B$1,Transactions!$A$2:$A$5000,"&lt;"&amp;$D$1,Transactions!$O$2:$O$5000,1))</f>
        <v/>
      </c>
      <c r="D87" s="11" t="str">
        <f>IF(OR($A87="",D$41=""),"",SUMIFS(Transactions!$Q$2:$Q$5000,Transactions!$D$2:$D$5000,$A87,Transactions!$C$2:$C$5000,D$41,Transactions!$A$2:$A$5000,"&gt;="&amp;$B$1,Transactions!$A$2:$A$5000,"&lt;"&amp;$D$1,Transactions!$O$2:$O$5000,1))</f>
        <v/>
      </c>
      <c r="E87" s="11" t="str">
        <f>IF(OR($A87="",E$41=""),"",SUMIFS(Transactions!$Q$2:$Q$5000,Transactions!$D$2:$D$5000,$A87,Transactions!$C$2:$C$5000,E$41,Transactions!$A$2:$A$5000,"&gt;="&amp;$B$1,Transactions!$A$2:$A$5000,"&lt;"&amp;$D$1,Transactions!$O$2:$O$5000,1))</f>
        <v/>
      </c>
      <c r="F87" s="11" t="str">
        <f>IF(OR($A87="",F$41=""),"",SUMIFS(Transactions!$Q$2:$Q$5000,Transactions!$D$2:$D$5000,$A87,Transactions!$C$2:$C$5000,F$41,Transactions!$A$2:$A$5000,"&gt;="&amp;$B$1,Transactions!$A$2:$A$5000,"&lt;"&amp;$D$1,Transactions!$O$2:$O$5000,1))</f>
        <v/>
      </c>
      <c r="G87" s="11" t="str">
        <f>IF(OR($A87="",G$41=""),"",SUMIFS(Transactions!$Q$2:$Q$5000,Transactions!$D$2:$D$5000,$A87,Transactions!$C$2:$C$5000,G$41,Transactions!$A$2:$A$5000,"&gt;="&amp;$B$1,Transactions!$A$2:$A$5000,"&lt;"&amp;$D$1,Transactions!$O$2:$O$5000,1))</f>
        <v/>
      </c>
      <c r="H87" s="11" t="str">
        <f>IF(OR($A87="",H$41=""),"",SUMIFS(Transactions!$Q$2:$Q$5000,Transactions!$D$2:$D$5000,$A87,Transactions!$C$2:$C$5000,H$41,Transactions!$A$2:$A$5000,"&gt;="&amp;$B$1,Transactions!$A$2:$A$5000,"&lt;"&amp;$D$1,Transactions!$O$2:$O$5000,1))</f>
        <v/>
      </c>
      <c r="I87" s="11" t="str">
        <f>IF(OR($A87="",I$41=""),"",SUMIFS(Transactions!$Q$2:$Q$5000,Transactions!$D$2:$D$5000,$A87,Transactions!$C$2:$C$5000,I$41,Transactions!$A$2:$A$5000,"&gt;="&amp;$B$1,Transactions!$A$2:$A$5000,"&lt;"&amp;$D$1,Transactions!$O$2:$O$5000,1))</f>
        <v/>
      </c>
      <c r="J87" s="11" t="str">
        <f>IF(OR($A87="",J$41=""),"",SUMIFS(Transactions!$Q$2:$Q$5000,Transactions!$D$2:$D$5000,$A87,Transactions!$C$2:$C$5000,J$41,Transactions!$A$2:$A$5000,"&gt;="&amp;$B$1,Transactions!$A$2:$A$5000,"&lt;"&amp;$D$1,Transactions!$O$2:$O$5000,1))</f>
        <v/>
      </c>
      <c r="K87" s="11" t="str">
        <f>IF(OR($A87="",K$41=""),"",SUMIFS(Transactions!$Q$2:$Q$5000,Transactions!$D$2:$D$5000,$A87,Transactions!$C$2:$C$5000,K$41,Transactions!$A$2:$A$5000,"&gt;="&amp;$B$1,Transactions!$A$2:$A$5000,"&lt;"&amp;$D$1,Transactions!$O$2:$O$5000,1))</f>
        <v/>
      </c>
      <c r="L87" s="11" t="str">
        <f>IF($A87="","",SUMIFS(Transactions!$Q$2:$Q$5000,Transactions!$D$2:$D$5000,$A87,Transactions!$A$2:$A$5000,"&gt;="&amp;$B$1,Transactions!$A$2:$A$5000,"&lt;"&amp;$D$1,Transactions!$O$2:$O$5000,1))</f>
        <v/>
      </c>
      <c r="M87" s="27" t="str">
        <f>IF($A87="","",IFERROR(L87/L$42,0))</f>
        <v/>
      </c>
      <c r="N87" s="31" t="str">
        <f>IF($A87="","",COUNTIFS(Transactions!$D$2:$D$5000,$A87,Transactions!$A$2:$A$5000,"&gt;="&amp;$B$1,Transactions!$A$2:$A$5000,"&lt;"&amp;$D$1,Transactions!$O$2:$O$5000,1))</f>
        <v/>
      </c>
      <c r="O87" s="6" t="str">
        <f>IF($A87="","",IF(IFERROR(INDEX('Paramètres'!$O:$O,MATCH($A87,'Paramètres'!$M:$M,0))&amp;"","")="Dépense Fixe","x",""))</f>
        <v/>
      </c>
      <c r="P87" s="6" t="str">
        <f>IF($A87="","",IF(IFERROR(INDEX('Paramètres'!$O:$O,MATCH($A87,'Paramètres'!$M:$M,0))&amp;"","")="Dépense Courante","x",""))</f>
        <v/>
      </c>
      <c r="Q87" s="6" t="str">
        <f>IF($A87="","",IF(IFERROR(INDEX('Paramètres'!$O:$O,MATCH($A87,'Paramètres'!$M:$M,0))&amp;"","")="Dépense Occasionnelle","x",""))</f>
        <v/>
      </c>
      <c r="R87" s="6" t="str">
        <f>IF($A87="","",IFERROR(INDEX('Paramètres'!$Q:$Q,MATCH($A87,'Paramètres'!$M:$M,0))&amp;"",""))</f>
        <v/>
      </c>
    </row>
    <row r="88" spans="1:18" x14ac:dyDescent="0.25">
      <c r="A88" s="6" t="str">
        <f>IFERROR(INDEX('Paramètres'!$M$10:$M$129,MATCH(46,'Référentiel'!$L$2:$L$121,0)),"")</f>
        <v/>
      </c>
      <c r="B88" s="11" t="str">
        <f>IF(OR($A88="",B$41=""),"",SUMIFS(Transactions!$Q$2:$Q$5000,Transactions!$D$2:$D$5000,$A88,Transactions!$C$2:$C$5000,B$41,Transactions!$A$2:$A$5000,"&gt;="&amp;$B$1,Transactions!$A$2:$A$5000,"&lt;"&amp;$D$1,Transactions!$O$2:$O$5000,1))</f>
        <v/>
      </c>
      <c r="C88" s="11" t="str">
        <f>IF(OR($A88="",C$41=""),"",SUMIFS(Transactions!$Q$2:$Q$5000,Transactions!$D$2:$D$5000,$A88,Transactions!$C$2:$C$5000,C$41,Transactions!$A$2:$A$5000,"&gt;="&amp;$B$1,Transactions!$A$2:$A$5000,"&lt;"&amp;$D$1,Transactions!$O$2:$O$5000,1))</f>
        <v/>
      </c>
      <c r="D88" s="11" t="str">
        <f>IF(OR($A88="",D$41=""),"",SUMIFS(Transactions!$Q$2:$Q$5000,Transactions!$D$2:$D$5000,$A88,Transactions!$C$2:$C$5000,D$41,Transactions!$A$2:$A$5000,"&gt;="&amp;$B$1,Transactions!$A$2:$A$5000,"&lt;"&amp;$D$1,Transactions!$O$2:$O$5000,1))</f>
        <v/>
      </c>
      <c r="E88" s="11" t="str">
        <f>IF(OR($A88="",E$41=""),"",SUMIFS(Transactions!$Q$2:$Q$5000,Transactions!$D$2:$D$5000,$A88,Transactions!$C$2:$C$5000,E$41,Transactions!$A$2:$A$5000,"&gt;="&amp;$B$1,Transactions!$A$2:$A$5000,"&lt;"&amp;$D$1,Transactions!$O$2:$O$5000,1))</f>
        <v/>
      </c>
      <c r="F88" s="11" t="str">
        <f>IF(OR($A88="",F$41=""),"",SUMIFS(Transactions!$Q$2:$Q$5000,Transactions!$D$2:$D$5000,$A88,Transactions!$C$2:$C$5000,F$41,Transactions!$A$2:$A$5000,"&gt;="&amp;$B$1,Transactions!$A$2:$A$5000,"&lt;"&amp;$D$1,Transactions!$O$2:$O$5000,1))</f>
        <v/>
      </c>
      <c r="G88" s="11" t="str">
        <f>IF(OR($A88="",G$41=""),"",SUMIFS(Transactions!$Q$2:$Q$5000,Transactions!$D$2:$D$5000,$A88,Transactions!$C$2:$C$5000,G$41,Transactions!$A$2:$A$5000,"&gt;="&amp;$B$1,Transactions!$A$2:$A$5000,"&lt;"&amp;$D$1,Transactions!$O$2:$O$5000,1))</f>
        <v/>
      </c>
      <c r="H88" s="11" t="str">
        <f>IF(OR($A88="",H$41=""),"",SUMIFS(Transactions!$Q$2:$Q$5000,Transactions!$D$2:$D$5000,$A88,Transactions!$C$2:$C$5000,H$41,Transactions!$A$2:$A$5000,"&gt;="&amp;$B$1,Transactions!$A$2:$A$5000,"&lt;"&amp;$D$1,Transactions!$O$2:$O$5000,1))</f>
        <v/>
      </c>
      <c r="I88" s="11" t="str">
        <f>IF(OR($A88="",I$41=""),"",SUMIFS(Transactions!$Q$2:$Q$5000,Transactions!$D$2:$D$5000,$A88,Transactions!$C$2:$C$5000,I$41,Transactions!$A$2:$A$5000,"&gt;="&amp;$B$1,Transactions!$A$2:$A$5000,"&lt;"&amp;$D$1,Transactions!$O$2:$O$5000,1))</f>
        <v/>
      </c>
      <c r="J88" s="11" t="str">
        <f>IF(OR($A88="",J$41=""),"",SUMIFS(Transactions!$Q$2:$Q$5000,Transactions!$D$2:$D$5000,$A88,Transactions!$C$2:$C$5000,J$41,Transactions!$A$2:$A$5000,"&gt;="&amp;$B$1,Transactions!$A$2:$A$5000,"&lt;"&amp;$D$1,Transactions!$O$2:$O$5000,1))</f>
        <v/>
      </c>
      <c r="K88" s="11" t="str">
        <f>IF(OR($A88="",K$41=""),"",SUMIFS(Transactions!$Q$2:$Q$5000,Transactions!$D$2:$D$5000,$A88,Transactions!$C$2:$C$5000,K$41,Transactions!$A$2:$A$5000,"&gt;="&amp;$B$1,Transactions!$A$2:$A$5000,"&lt;"&amp;$D$1,Transactions!$O$2:$O$5000,1))</f>
        <v/>
      </c>
      <c r="L88" s="11" t="str">
        <f>IF($A88="","",SUMIFS(Transactions!$Q$2:$Q$5000,Transactions!$D$2:$D$5000,$A88,Transactions!$A$2:$A$5000,"&gt;="&amp;$B$1,Transactions!$A$2:$A$5000,"&lt;"&amp;$D$1,Transactions!$O$2:$O$5000,1))</f>
        <v/>
      </c>
      <c r="M88" s="27" t="str">
        <f>IF($A88="","",IFERROR(L88/L$42,0))</f>
        <v/>
      </c>
      <c r="N88" s="31" t="str">
        <f>IF($A88="","",COUNTIFS(Transactions!$D$2:$D$5000,$A88,Transactions!$A$2:$A$5000,"&gt;="&amp;$B$1,Transactions!$A$2:$A$5000,"&lt;"&amp;$D$1,Transactions!$O$2:$O$5000,1))</f>
        <v/>
      </c>
      <c r="O88" s="6" t="str">
        <f>IF($A88="","",IF(IFERROR(INDEX('Paramètres'!$O:$O,MATCH($A88,'Paramètres'!$M:$M,0))&amp;"","")="Dépense Fixe","x",""))</f>
        <v/>
      </c>
      <c r="P88" s="6" t="str">
        <f>IF($A88="","",IF(IFERROR(INDEX('Paramètres'!$O:$O,MATCH($A88,'Paramètres'!$M:$M,0))&amp;"","")="Dépense Courante","x",""))</f>
        <v/>
      </c>
      <c r="Q88" s="6" t="str">
        <f>IF($A88="","",IF(IFERROR(INDEX('Paramètres'!$O:$O,MATCH($A88,'Paramètres'!$M:$M,0))&amp;"","")="Dépense Occasionnelle","x",""))</f>
        <v/>
      </c>
      <c r="R88" s="6" t="str">
        <f>IF($A88="","",IFERROR(INDEX('Paramètres'!$Q:$Q,MATCH($A88,'Paramètres'!$M:$M,0))&amp;"",""))</f>
        <v/>
      </c>
    </row>
    <row r="89" spans="1:18" x14ac:dyDescent="0.25">
      <c r="A89" s="6" t="str">
        <f>IFERROR(INDEX('Paramètres'!$M$10:$M$129,MATCH(47,'Référentiel'!$L$2:$L$121,0)),"")</f>
        <v/>
      </c>
      <c r="B89" s="11" t="str">
        <f>IF(OR($A89="",B$41=""),"",SUMIFS(Transactions!$Q$2:$Q$5000,Transactions!$D$2:$D$5000,$A89,Transactions!$C$2:$C$5000,B$41,Transactions!$A$2:$A$5000,"&gt;="&amp;$B$1,Transactions!$A$2:$A$5000,"&lt;"&amp;$D$1,Transactions!$O$2:$O$5000,1))</f>
        <v/>
      </c>
      <c r="C89" s="11" t="str">
        <f>IF(OR($A89="",C$41=""),"",SUMIFS(Transactions!$Q$2:$Q$5000,Transactions!$D$2:$D$5000,$A89,Transactions!$C$2:$C$5000,C$41,Transactions!$A$2:$A$5000,"&gt;="&amp;$B$1,Transactions!$A$2:$A$5000,"&lt;"&amp;$D$1,Transactions!$O$2:$O$5000,1))</f>
        <v/>
      </c>
      <c r="D89" s="11" t="str">
        <f>IF(OR($A89="",D$41=""),"",SUMIFS(Transactions!$Q$2:$Q$5000,Transactions!$D$2:$D$5000,$A89,Transactions!$C$2:$C$5000,D$41,Transactions!$A$2:$A$5000,"&gt;="&amp;$B$1,Transactions!$A$2:$A$5000,"&lt;"&amp;$D$1,Transactions!$O$2:$O$5000,1))</f>
        <v/>
      </c>
      <c r="E89" s="11" t="str">
        <f>IF(OR($A89="",E$41=""),"",SUMIFS(Transactions!$Q$2:$Q$5000,Transactions!$D$2:$D$5000,$A89,Transactions!$C$2:$C$5000,E$41,Transactions!$A$2:$A$5000,"&gt;="&amp;$B$1,Transactions!$A$2:$A$5000,"&lt;"&amp;$D$1,Transactions!$O$2:$O$5000,1))</f>
        <v/>
      </c>
      <c r="F89" s="11" t="str">
        <f>IF(OR($A89="",F$41=""),"",SUMIFS(Transactions!$Q$2:$Q$5000,Transactions!$D$2:$D$5000,$A89,Transactions!$C$2:$C$5000,F$41,Transactions!$A$2:$A$5000,"&gt;="&amp;$B$1,Transactions!$A$2:$A$5000,"&lt;"&amp;$D$1,Transactions!$O$2:$O$5000,1))</f>
        <v/>
      </c>
      <c r="G89" s="11" t="str">
        <f>IF(OR($A89="",G$41=""),"",SUMIFS(Transactions!$Q$2:$Q$5000,Transactions!$D$2:$D$5000,$A89,Transactions!$C$2:$C$5000,G$41,Transactions!$A$2:$A$5000,"&gt;="&amp;$B$1,Transactions!$A$2:$A$5000,"&lt;"&amp;$D$1,Transactions!$O$2:$O$5000,1))</f>
        <v/>
      </c>
      <c r="H89" s="11" t="str">
        <f>IF(OR($A89="",H$41=""),"",SUMIFS(Transactions!$Q$2:$Q$5000,Transactions!$D$2:$D$5000,$A89,Transactions!$C$2:$C$5000,H$41,Transactions!$A$2:$A$5000,"&gt;="&amp;$B$1,Transactions!$A$2:$A$5000,"&lt;"&amp;$D$1,Transactions!$O$2:$O$5000,1))</f>
        <v/>
      </c>
      <c r="I89" s="11" t="str">
        <f>IF(OR($A89="",I$41=""),"",SUMIFS(Transactions!$Q$2:$Q$5000,Transactions!$D$2:$D$5000,$A89,Transactions!$C$2:$C$5000,I$41,Transactions!$A$2:$A$5000,"&gt;="&amp;$B$1,Transactions!$A$2:$A$5000,"&lt;"&amp;$D$1,Transactions!$O$2:$O$5000,1))</f>
        <v/>
      </c>
      <c r="J89" s="11" t="str">
        <f>IF(OR($A89="",J$41=""),"",SUMIFS(Transactions!$Q$2:$Q$5000,Transactions!$D$2:$D$5000,$A89,Transactions!$C$2:$C$5000,J$41,Transactions!$A$2:$A$5000,"&gt;="&amp;$B$1,Transactions!$A$2:$A$5000,"&lt;"&amp;$D$1,Transactions!$O$2:$O$5000,1))</f>
        <v/>
      </c>
      <c r="K89" s="11" t="str">
        <f>IF(OR($A89="",K$41=""),"",SUMIFS(Transactions!$Q$2:$Q$5000,Transactions!$D$2:$D$5000,$A89,Transactions!$C$2:$C$5000,K$41,Transactions!$A$2:$A$5000,"&gt;="&amp;$B$1,Transactions!$A$2:$A$5000,"&lt;"&amp;$D$1,Transactions!$O$2:$O$5000,1))</f>
        <v/>
      </c>
      <c r="L89" s="11" t="str">
        <f>IF($A89="","",SUMIFS(Transactions!$Q$2:$Q$5000,Transactions!$D$2:$D$5000,$A89,Transactions!$A$2:$A$5000,"&gt;="&amp;$B$1,Transactions!$A$2:$A$5000,"&lt;"&amp;$D$1,Transactions!$O$2:$O$5000,1))</f>
        <v/>
      </c>
      <c r="M89" s="27" t="str">
        <f>IF($A89="","",IFERROR(L89/L$42,0))</f>
        <v/>
      </c>
      <c r="N89" s="31" t="str">
        <f>IF($A89="","",COUNTIFS(Transactions!$D$2:$D$5000,$A89,Transactions!$A$2:$A$5000,"&gt;="&amp;$B$1,Transactions!$A$2:$A$5000,"&lt;"&amp;$D$1,Transactions!$O$2:$O$5000,1))</f>
        <v/>
      </c>
      <c r="O89" s="6" t="str">
        <f>IF($A89="","",IF(IFERROR(INDEX('Paramètres'!$O:$O,MATCH($A89,'Paramètres'!$M:$M,0))&amp;"","")="Dépense Fixe","x",""))</f>
        <v/>
      </c>
      <c r="P89" s="6" t="str">
        <f>IF($A89="","",IF(IFERROR(INDEX('Paramètres'!$O:$O,MATCH($A89,'Paramètres'!$M:$M,0))&amp;"","")="Dépense Courante","x",""))</f>
        <v/>
      </c>
      <c r="Q89" s="6" t="str">
        <f>IF($A89="","",IF(IFERROR(INDEX('Paramètres'!$O:$O,MATCH($A89,'Paramètres'!$M:$M,0))&amp;"","")="Dépense Occasionnelle","x",""))</f>
        <v/>
      </c>
      <c r="R89" s="6" t="str">
        <f>IF($A89="","",IFERROR(INDEX('Paramètres'!$Q:$Q,MATCH($A89,'Paramètres'!$M:$M,0))&amp;"",""))</f>
        <v/>
      </c>
    </row>
    <row r="90" spans="1:18" x14ac:dyDescent="0.25">
      <c r="A90" s="6" t="str">
        <f>IFERROR(INDEX('Paramètres'!$M$10:$M$129,MATCH(48,'Référentiel'!$L$2:$L$121,0)),"")</f>
        <v/>
      </c>
      <c r="B90" s="11" t="str">
        <f>IF(OR($A90="",B$41=""),"",SUMIFS(Transactions!$Q$2:$Q$5000,Transactions!$D$2:$D$5000,$A90,Transactions!$C$2:$C$5000,B$41,Transactions!$A$2:$A$5000,"&gt;="&amp;$B$1,Transactions!$A$2:$A$5000,"&lt;"&amp;$D$1,Transactions!$O$2:$O$5000,1))</f>
        <v/>
      </c>
      <c r="C90" s="11" t="str">
        <f>IF(OR($A90="",C$41=""),"",SUMIFS(Transactions!$Q$2:$Q$5000,Transactions!$D$2:$D$5000,$A90,Transactions!$C$2:$C$5000,C$41,Transactions!$A$2:$A$5000,"&gt;="&amp;$B$1,Transactions!$A$2:$A$5000,"&lt;"&amp;$D$1,Transactions!$O$2:$O$5000,1))</f>
        <v/>
      </c>
      <c r="D90" s="11" t="str">
        <f>IF(OR($A90="",D$41=""),"",SUMIFS(Transactions!$Q$2:$Q$5000,Transactions!$D$2:$D$5000,$A90,Transactions!$C$2:$C$5000,D$41,Transactions!$A$2:$A$5000,"&gt;="&amp;$B$1,Transactions!$A$2:$A$5000,"&lt;"&amp;$D$1,Transactions!$O$2:$O$5000,1))</f>
        <v/>
      </c>
      <c r="E90" s="11" t="str">
        <f>IF(OR($A90="",E$41=""),"",SUMIFS(Transactions!$Q$2:$Q$5000,Transactions!$D$2:$D$5000,$A90,Transactions!$C$2:$C$5000,E$41,Transactions!$A$2:$A$5000,"&gt;="&amp;$B$1,Transactions!$A$2:$A$5000,"&lt;"&amp;$D$1,Transactions!$O$2:$O$5000,1))</f>
        <v/>
      </c>
      <c r="F90" s="11" t="str">
        <f>IF(OR($A90="",F$41=""),"",SUMIFS(Transactions!$Q$2:$Q$5000,Transactions!$D$2:$D$5000,$A90,Transactions!$C$2:$C$5000,F$41,Transactions!$A$2:$A$5000,"&gt;="&amp;$B$1,Transactions!$A$2:$A$5000,"&lt;"&amp;$D$1,Transactions!$O$2:$O$5000,1))</f>
        <v/>
      </c>
      <c r="G90" s="11" t="str">
        <f>IF(OR($A90="",G$41=""),"",SUMIFS(Transactions!$Q$2:$Q$5000,Transactions!$D$2:$D$5000,$A90,Transactions!$C$2:$C$5000,G$41,Transactions!$A$2:$A$5000,"&gt;="&amp;$B$1,Transactions!$A$2:$A$5000,"&lt;"&amp;$D$1,Transactions!$O$2:$O$5000,1))</f>
        <v/>
      </c>
      <c r="H90" s="11" t="str">
        <f>IF(OR($A90="",H$41=""),"",SUMIFS(Transactions!$Q$2:$Q$5000,Transactions!$D$2:$D$5000,$A90,Transactions!$C$2:$C$5000,H$41,Transactions!$A$2:$A$5000,"&gt;="&amp;$B$1,Transactions!$A$2:$A$5000,"&lt;"&amp;$D$1,Transactions!$O$2:$O$5000,1))</f>
        <v/>
      </c>
      <c r="I90" s="11" t="str">
        <f>IF(OR($A90="",I$41=""),"",SUMIFS(Transactions!$Q$2:$Q$5000,Transactions!$D$2:$D$5000,$A90,Transactions!$C$2:$C$5000,I$41,Transactions!$A$2:$A$5000,"&gt;="&amp;$B$1,Transactions!$A$2:$A$5000,"&lt;"&amp;$D$1,Transactions!$O$2:$O$5000,1))</f>
        <v/>
      </c>
      <c r="J90" s="11" t="str">
        <f>IF(OR($A90="",J$41=""),"",SUMIFS(Transactions!$Q$2:$Q$5000,Transactions!$D$2:$D$5000,$A90,Transactions!$C$2:$C$5000,J$41,Transactions!$A$2:$A$5000,"&gt;="&amp;$B$1,Transactions!$A$2:$A$5000,"&lt;"&amp;$D$1,Transactions!$O$2:$O$5000,1))</f>
        <v/>
      </c>
      <c r="K90" s="11" t="str">
        <f>IF(OR($A90="",K$41=""),"",SUMIFS(Transactions!$Q$2:$Q$5000,Transactions!$D$2:$D$5000,$A90,Transactions!$C$2:$C$5000,K$41,Transactions!$A$2:$A$5000,"&gt;="&amp;$B$1,Transactions!$A$2:$A$5000,"&lt;"&amp;$D$1,Transactions!$O$2:$O$5000,1))</f>
        <v/>
      </c>
      <c r="L90" s="11" t="str">
        <f>IF($A90="","",SUMIFS(Transactions!$Q$2:$Q$5000,Transactions!$D$2:$D$5000,$A90,Transactions!$A$2:$A$5000,"&gt;="&amp;$B$1,Transactions!$A$2:$A$5000,"&lt;"&amp;$D$1,Transactions!$O$2:$O$5000,1))</f>
        <v/>
      </c>
      <c r="M90" s="27" t="str">
        <f>IF($A90="","",IFERROR(L90/L$42,0))</f>
        <v/>
      </c>
      <c r="N90" s="31" t="str">
        <f>IF($A90="","",COUNTIFS(Transactions!$D$2:$D$5000,$A90,Transactions!$A$2:$A$5000,"&gt;="&amp;$B$1,Transactions!$A$2:$A$5000,"&lt;"&amp;$D$1,Transactions!$O$2:$O$5000,1))</f>
        <v/>
      </c>
      <c r="O90" s="6" t="str">
        <f>IF($A90="","",IF(IFERROR(INDEX('Paramètres'!$O:$O,MATCH($A90,'Paramètres'!$M:$M,0))&amp;"","")="Dépense Fixe","x",""))</f>
        <v/>
      </c>
      <c r="P90" s="6" t="str">
        <f>IF($A90="","",IF(IFERROR(INDEX('Paramètres'!$O:$O,MATCH($A90,'Paramètres'!$M:$M,0))&amp;"","")="Dépense Courante","x",""))</f>
        <v/>
      </c>
      <c r="Q90" s="6" t="str">
        <f>IF($A90="","",IF(IFERROR(INDEX('Paramètres'!$O:$O,MATCH($A90,'Paramètres'!$M:$M,0))&amp;"","")="Dépense Occasionnelle","x",""))</f>
        <v/>
      </c>
      <c r="R90" s="6" t="str">
        <f>IF($A90="","",IFERROR(INDEX('Paramètres'!$Q:$Q,MATCH($A90,'Paramètres'!$M:$M,0))&amp;"",""))</f>
        <v/>
      </c>
    </row>
    <row r="91" spans="1:18" x14ac:dyDescent="0.25">
      <c r="A91" s="6" t="str">
        <f>IFERROR(INDEX('Paramètres'!$M$10:$M$129,MATCH(49,'Référentiel'!$L$2:$L$121,0)),"")</f>
        <v/>
      </c>
      <c r="B91" s="11" t="str">
        <f>IF(OR($A91="",B$41=""),"",SUMIFS(Transactions!$Q$2:$Q$5000,Transactions!$D$2:$D$5000,$A91,Transactions!$C$2:$C$5000,B$41,Transactions!$A$2:$A$5000,"&gt;="&amp;$B$1,Transactions!$A$2:$A$5000,"&lt;"&amp;$D$1,Transactions!$O$2:$O$5000,1))</f>
        <v/>
      </c>
      <c r="C91" s="11" t="str">
        <f>IF(OR($A91="",C$41=""),"",SUMIFS(Transactions!$Q$2:$Q$5000,Transactions!$D$2:$D$5000,$A91,Transactions!$C$2:$C$5000,C$41,Transactions!$A$2:$A$5000,"&gt;="&amp;$B$1,Transactions!$A$2:$A$5000,"&lt;"&amp;$D$1,Transactions!$O$2:$O$5000,1))</f>
        <v/>
      </c>
      <c r="D91" s="11" t="str">
        <f>IF(OR($A91="",D$41=""),"",SUMIFS(Transactions!$Q$2:$Q$5000,Transactions!$D$2:$D$5000,$A91,Transactions!$C$2:$C$5000,D$41,Transactions!$A$2:$A$5000,"&gt;="&amp;$B$1,Transactions!$A$2:$A$5000,"&lt;"&amp;$D$1,Transactions!$O$2:$O$5000,1))</f>
        <v/>
      </c>
      <c r="E91" s="11" t="str">
        <f>IF(OR($A91="",E$41=""),"",SUMIFS(Transactions!$Q$2:$Q$5000,Transactions!$D$2:$D$5000,$A91,Transactions!$C$2:$C$5000,E$41,Transactions!$A$2:$A$5000,"&gt;="&amp;$B$1,Transactions!$A$2:$A$5000,"&lt;"&amp;$D$1,Transactions!$O$2:$O$5000,1))</f>
        <v/>
      </c>
      <c r="F91" s="11" t="str">
        <f>IF(OR($A91="",F$41=""),"",SUMIFS(Transactions!$Q$2:$Q$5000,Transactions!$D$2:$D$5000,$A91,Transactions!$C$2:$C$5000,F$41,Transactions!$A$2:$A$5000,"&gt;="&amp;$B$1,Transactions!$A$2:$A$5000,"&lt;"&amp;$D$1,Transactions!$O$2:$O$5000,1))</f>
        <v/>
      </c>
      <c r="G91" s="11" t="str">
        <f>IF(OR($A91="",G$41=""),"",SUMIFS(Transactions!$Q$2:$Q$5000,Transactions!$D$2:$D$5000,$A91,Transactions!$C$2:$C$5000,G$41,Transactions!$A$2:$A$5000,"&gt;="&amp;$B$1,Transactions!$A$2:$A$5000,"&lt;"&amp;$D$1,Transactions!$O$2:$O$5000,1))</f>
        <v/>
      </c>
      <c r="H91" s="11" t="str">
        <f>IF(OR($A91="",H$41=""),"",SUMIFS(Transactions!$Q$2:$Q$5000,Transactions!$D$2:$D$5000,$A91,Transactions!$C$2:$C$5000,H$41,Transactions!$A$2:$A$5000,"&gt;="&amp;$B$1,Transactions!$A$2:$A$5000,"&lt;"&amp;$D$1,Transactions!$O$2:$O$5000,1))</f>
        <v/>
      </c>
      <c r="I91" s="11" t="str">
        <f>IF(OR($A91="",I$41=""),"",SUMIFS(Transactions!$Q$2:$Q$5000,Transactions!$D$2:$D$5000,$A91,Transactions!$C$2:$C$5000,I$41,Transactions!$A$2:$A$5000,"&gt;="&amp;$B$1,Transactions!$A$2:$A$5000,"&lt;"&amp;$D$1,Transactions!$O$2:$O$5000,1))</f>
        <v/>
      </c>
      <c r="J91" s="11" t="str">
        <f>IF(OR($A91="",J$41=""),"",SUMIFS(Transactions!$Q$2:$Q$5000,Transactions!$D$2:$D$5000,$A91,Transactions!$C$2:$C$5000,J$41,Transactions!$A$2:$A$5000,"&gt;="&amp;$B$1,Transactions!$A$2:$A$5000,"&lt;"&amp;$D$1,Transactions!$O$2:$O$5000,1))</f>
        <v/>
      </c>
      <c r="K91" s="11" t="str">
        <f>IF(OR($A91="",K$41=""),"",SUMIFS(Transactions!$Q$2:$Q$5000,Transactions!$D$2:$D$5000,$A91,Transactions!$C$2:$C$5000,K$41,Transactions!$A$2:$A$5000,"&gt;="&amp;$B$1,Transactions!$A$2:$A$5000,"&lt;"&amp;$D$1,Transactions!$O$2:$O$5000,1))</f>
        <v/>
      </c>
      <c r="L91" s="11" t="str">
        <f>IF($A91="","",SUMIFS(Transactions!$Q$2:$Q$5000,Transactions!$D$2:$D$5000,$A91,Transactions!$A$2:$A$5000,"&gt;="&amp;$B$1,Transactions!$A$2:$A$5000,"&lt;"&amp;$D$1,Transactions!$O$2:$O$5000,1))</f>
        <v/>
      </c>
      <c r="M91" s="27" t="str">
        <f>IF($A91="","",IFERROR(L91/L$42,0))</f>
        <v/>
      </c>
      <c r="N91" s="31" t="str">
        <f>IF($A91="","",COUNTIFS(Transactions!$D$2:$D$5000,$A91,Transactions!$A$2:$A$5000,"&gt;="&amp;$B$1,Transactions!$A$2:$A$5000,"&lt;"&amp;$D$1,Transactions!$O$2:$O$5000,1))</f>
        <v/>
      </c>
      <c r="O91" s="6" t="str">
        <f>IF($A91="","",IF(IFERROR(INDEX('Paramètres'!$O:$O,MATCH($A91,'Paramètres'!$M:$M,0))&amp;"","")="Dépense Fixe","x",""))</f>
        <v/>
      </c>
      <c r="P91" s="6" t="str">
        <f>IF($A91="","",IF(IFERROR(INDEX('Paramètres'!$O:$O,MATCH($A91,'Paramètres'!$M:$M,0))&amp;"","")="Dépense Courante","x",""))</f>
        <v/>
      </c>
      <c r="Q91" s="6" t="str">
        <f>IF($A91="","",IF(IFERROR(INDEX('Paramètres'!$O:$O,MATCH($A91,'Paramètres'!$M:$M,0))&amp;"","")="Dépense Occasionnelle","x",""))</f>
        <v/>
      </c>
      <c r="R91" s="6" t="str">
        <f>IF($A91="","",IFERROR(INDEX('Paramètres'!$Q:$Q,MATCH($A91,'Paramètres'!$M:$M,0))&amp;"",""))</f>
        <v/>
      </c>
    </row>
    <row r="92" spans="1:18" x14ac:dyDescent="0.25">
      <c r="A92" s="6" t="str">
        <f>IFERROR(INDEX('Paramètres'!$M$10:$M$129,MATCH(50,'Référentiel'!$L$2:$L$121,0)),"")</f>
        <v/>
      </c>
      <c r="B92" s="11" t="str">
        <f>IF(OR($A92="",B$41=""),"",SUMIFS(Transactions!$Q$2:$Q$5000,Transactions!$D$2:$D$5000,$A92,Transactions!$C$2:$C$5000,B$41,Transactions!$A$2:$A$5000,"&gt;="&amp;$B$1,Transactions!$A$2:$A$5000,"&lt;"&amp;$D$1,Transactions!$O$2:$O$5000,1))</f>
        <v/>
      </c>
      <c r="C92" s="11" t="str">
        <f>IF(OR($A92="",C$41=""),"",SUMIFS(Transactions!$Q$2:$Q$5000,Transactions!$D$2:$D$5000,$A92,Transactions!$C$2:$C$5000,C$41,Transactions!$A$2:$A$5000,"&gt;="&amp;$B$1,Transactions!$A$2:$A$5000,"&lt;"&amp;$D$1,Transactions!$O$2:$O$5000,1))</f>
        <v/>
      </c>
      <c r="D92" s="11" t="str">
        <f>IF(OR($A92="",D$41=""),"",SUMIFS(Transactions!$Q$2:$Q$5000,Transactions!$D$2:$D$5000,$A92,Transactions!$C$2:$C$5000,D$41,Transactions!$A$2:$A$5000,"&gt;="&amp;$B$1,Transactions!$A$2:$A$5000,"&lt;"&amp;$D$1,Transactions!$O$2:$O$5000,1))</f>
        <v/>
      </c>
      <c r="E92" s="11" t="str">
        <f>IF(OR($A92="",E$41=""),"",SUMIFS(Transactions!$Q$2:$Q$5000,Transactions!$D$2:$D$5000,$A92,Transactions!$C$2:$C$5000,E$41,Transactions!$A$2:$A$5000,"&gt;="&amp;$B$1,Transactions!$A$2:$A$5000,"&lt;"&amp;$D$1,Transactions!$O$2:$O$5000,1))</f>
        <v/>
      </c>
      <c r="F92" s="11" t="str">
        <f>IF(OR($A92="",F$41=""),"",SUMIFS(Transactions!$Q$2:$Q$5000,Transactions!$D$2:$D$5000,$A92,Transactions!$C$2:$C$5000,F$41,Transactions!$A$2:$A$5000,"&gt;="&amp;$B$1,Transactions!$A$2:$A$5000,"&lt;"&amp;$D$1,Transactions!$O$2:$O$5000,1))</f>
        <v/>
      </c>
      <c r="G92" s="11" t="str">
        <f>IF(OR($A92="",G$41=""),"",SUMIFS(Transactions!$Q$2:$Q$5000,Transactions!$D$2:$D$5000,$A92,Transactions!$C$2:$C$5000,G$41,Transactions!$A$2:$A$5000,"&gt;="&amp;$B$1,Transactions!$A$2:$A$5000,"&lt;"&amp;$D$1,Transactions!$O$2:$O$5000,1))</f>
        <v/>
      </c>
      <c r="H92" s="11" t="str">
        <f>IF(OR($A92="",H$41=""),"",SUMIFS(Transactions!$Q$2:$Q$5000,Transactions!$D$2:$D$5000,$A92,Transactions!$C$2:$C$5000,H$41,Transactions!$A$2:$A$5000,"&gt;="&amp;$B$1,Transactions!$A$2:$A$5000,"&lt;"&amp;$D$1,Transactions!$O$2:$O$5000,1))</f>
        <v/>
      </c>
      <c r="I92" s="11" t="str">
        <f>IF(OR($A92="",I$41=""),"",SUMIFS(Transactions!$Q$2:$Q$5000,Transactions!$D$2:$D$5000,$A92,Transactions!$C$2:$C$5000,I$41,Transactions!$A$2:$A$5000,"&gt;="&amp;$B$1,Transactions!$A$2:$A$5000,"&lt;"&amp;$D$1,Transactions!$O$2:$O$5000,1))</f>
        <v/>
      </c>
      <c r="J92" s="11" t="str">
        <f>IF(OR($A92="",J$41=""),"",SUMIFS(Transactions!$Q$2:$Q$5000,Transactions!$D$2:$D$5000,$A92,Transactions!$C$2:$C$5000,J$41,Transactions!$A$2:$A$5000,"&gt;="&amp;$B$1,Transactions!$A$2:$A$5000,"&lt;"&amp;$D$1,Transactions!$O$2:$O$5000,1))</f>
        <v/>
      </c>
      <c r="K92" s="11" t="str">
        <f>IF(OR($A92="",K$41=""),"",SUMIFS(Transactions!$Q$2:$Q$5000,Transactions!$D$2:$D$5000,$A92,Transactions!$C$2:$C$5000,K$41,Transactions!$A$2:$A$5000,"&gt;="&amp;$B$1,Transactions!$A$2:$A$5000,"&lt;"&amp;$D$1,Transactions!$O$2:$O$5000,1))</f>
        <v/>
      </c>
      <c r="L92" s="11" t="str">
        <f>IF($A92="","",SUMIFS(Transactions!$Q$2:$Q$5000,Transactions!$D$2:$D$5000,$A92,Transactions!$A$2:$A$5000,"&gt;="&amp;$B$1,Transactions!$A$2:$A$5000,"&lt;"&amp;$D$1,Transactions!$O$2:$O$5000,1))</f>
        <v/>
      </c>
      <c r="M92" s="27" t="str">
        <f>IF($A92="","",IFERROR(L92/L$42,0))</f>
        <v/>
      </c>
      <c r="N92" s="31" t="str">
        <f>IF($A92="","",COUNTIFS(Transactions!$D$2:$D$5000,$A92,Transactions!$A$2:$A$5000,"&gt;="&amp;$B$1,Transactions!$A$2:$A$5000,"&lt;"&amp;$D$1,Transactions!$O$2:$O$5000,1))</f>
        <v/>
      </c>
      <c r="O92" s="6" t="str">
        <f>IF($A92="","",IF(IFERROR(INDEX('Paramètres'!$O:$O,MATCH($A92,'Paramètres'!$M:$M,0))&amp;"","")="Dépense Fixe","x",""))</f>
        <v/>
      </c>
      <c r="P92" s="6" t="str">
        <f>IF($A92="","",IF(IFERROR(INDEX('Paramètres'!$O:$O,MATCH($A92,'Paramètres'!$M:$M,0))&amp;"","")="Dépense Courante","x",""))</f>
        <v/>
      </c>
      <c r="Q92" s="6" t="str">
        <f>IF($A92="","",IF(IFERROR(INDEX('Paramètres'!$O:$O,MATCH($A92,'Paramètres'!$M:$M,0))&amp;"","")="Dépense Occasionnelle","x",""))</f>
        <v/>
      </c>
      <c r="R92" s="6" t="str">
        <f>IF($A92="","",IFERROR(INDEX('Paramètres'!$Q:$Q,MATCH($A92,'Paramètres'!$M:$M,0))&amp;"",""))</f>
        <v/>
      </c>
    </row>
    <row r="93" spans="1:18" x14ac:dyDescent="0.25">
      <c r="A93" s="6" t="str">
        <f>IFERROR(INDEX('Paramètres'!$M$10:$M$129,MATCH(51,'Référentiel'!$L$2:$L$121,0)),"")</f>
        <v/>
      </c>
      <c r="B93" s="11" t="str">
        <f>IF(OR($A93="",B$41=""),"",SUMIFS(Transactions!$Q$2:$Q$5000,Transactions!$D$2:$D$5000,$A93,Transactions!$C$2:$C$5000,B$41,Transactions!$A$2:$A$5000,"&gt;="&amp;$B$1,Transactions!$A$2:$A$5000,"&lt;"&amp;$D$1,Transactions!$O$2:$O$5000,1))</f>
        <v/>
      </c>
      <c r="C93" s="11" t="str">
        <f>IF(OR($A93="",C$41=""),"",SUMIFS(Transactions!$Q$2:$Q$5000,Transactions!$D$2:$D$5000,$A93,Transactions!$C$2:$C$5000,C$41,Transactions!$A$2:$A$5000,"&gt;="&amp;$B$1,Transactions!$A$2:$A$5000,"&lt;"&amp;$D$1,Transactions!$O$2:$O$5000,1))</f>
        <v/>
      </c>
      <c r="D93" s="11" t="str">
        <f>IF(OR($A93="",D$41=""),"",SUMIFS(Transactions!$Q$2:$Q$5000,Transactions!$D$2:$D$5000,$A93,Transactions!$C$2:$C$5000,D$41,Transactions!$A$2:$A$5000,"&gt;="&amp;$B$1,Transactions!$A$2:$A$5000,"&lt;"&amp;$D$1,Transactions!$O$2:$O$5000,1))</f>
        <v/>
      </c>
      <c r="E93" s="11" t="str">
        <f>IF(OR($A93="",E$41=""),"",SUMIFS(Transactions!$Q$2:$Q$5000,Transactions!$D$2:$D$5000,$A93,Transactions!$C$2:$C$5000,E$41,Transactions!$A$2:$A$5000,"&gt;="&amp;$B$1,Transactions!$A$2:$A$5000,"&lt;"&amp;$D$1,Transactions!$O$2:$O$5000,1))</f>
        <v/>
      </c>
      <c r="F93" s="11" t="str">
        <f>IF(OR($A93="",F$41=""),"",SUMIFS(Transactions!$Q$2:$Q$5000,Transactions!$D$2:$D$5000,$A93,Transactions!$C$2:$C$5000,F$41,Transactions!$A$2:$A$5000,"&gt;="&amp;$B$1,Transactions!$A$2:$A$5000,"&lt;"&amp;$D$1,Transactions!$O$2:$O$5000,1))</f>
        <v/>
      </c>
      <c r="G93" s="11" t="str">
        <f>IF(OR($A93="",G$41=""),"",SUMIFS(Transactions!$Q$2:$Q$5000,Transactions!$D$2:$D$5000,$A93,Transactions!$C$2:$C$5000,G$41,Transactions!$A$2:$A$5000,"&gt;="&amp;$B$1,Transactions!$A$2:$A$5000,"&lt;"&amp;$D$1,Transactions!$O$2:$O$5000,1))</f>
        <v/>
      </c>
      <c r="H93" s="11" t="str">
        <f>IF(OR($A93="",H$41=""),"",SUMIFS(Transactions!$Q$2:$Q$5000,Transactions!$D$2:$D$5000,$A93,Transactions!$C$2:$C$5000,H$41,Transactions!$A$2:$A$5000,"&gt;="&amp;$B$1,Transactions!$A$2:$A$5000,"&lt;"&amp;$D$1,Transactions!$O$2:$O$5000,1))</f>
        <v/>
      </c>
      <c r="I93" s="11" t="str">
        <f>IF(OR($A93="",I$41=""),"",SUMIFS(Transactions!$Q$2:$Q$5000,Transactions!$D$2:$D$5000,$A93,Transactions!$C$2:$C$5000,I$41,Transactions!$A$2:$A$5000,"&gt;="&amp;$B$1,Transactions!$A$2:$A$5000,"&lt;"&amp;$D$1,Transactions!$O$2:$O$5000,1))</f>
        <v/>
      </c>
      <c r="J93" s="11" t="str">
        <f>IF(OR($A93="",J$41=""),"",SUMIFS(Transactions!$Q$2:$Q$5000,Transactions!$D$2:$D$5000,$A93,Transactions!$C$2:$C$5000,J$41,Transactions!$A$2:$A$5000,"&gt;="&amp;$B$1,Transactions!$A$2:$A$5000,"&lt;"&amp;$D$1,Transactions!$O$2:$O$5000,1))</f>
        <v/>
      </c>
      <c r="K93" s="11" t="str">
        <f>IF(OR($A93="",K$41=""),"",SUMIFS(Transactions!$Q$2:$Q$5000,Transactions!$D$2:$D$5000,$A93,Transactions!$C$2:$C$5000,K$41,Transactions!$A$2:$A$5000,"&gt;="&amp;$B$1,Transactions!$A$2:$A$5000,"&lt;"&amp;$D$1,Transactions!$O$2:$O$5000,1))</f>
        <v/>
      </c>
      <c r="L93" s="11" t="str">
        <f>IF($A93="","",SUMIFS(Transactions!$Q$2:$Q$5000,Transactions!$D$2:$D$5000,$A93,Transactions!$A$2:$A$5000,"&gt;="&amp;$B$1,Transactions!$A$2:$A$5000,"&lt;"&amp;$D$1,Transactions!$O$2:$O$5000,1))</f>
        <v/>
      </c>
      <c r="M93" s="27" t="str">
        <f>IF($A93="","",IFERROR(L93/L$42,0))</f>
        <v/>
      </c>
      <c r="N93" s="31" t="str">
        <f>IF($A93="","",COUNTIFS(Transactions!$D$2:$D$5000,$A93,Transactions!$A$2:$A$5000,"&gt;="&amp;$B$1,Transactions!$A$2:$A$5000,"&lt;"&amp;$D$1,Transactions!$O$2:$O$5000,1))</f>
        <v/>
      </c>
      <c r="O93" s="6" t="str">
        <f>IF($A93="","",IF(IFERROR(INDEX('Paramètres'!$O:$O,MATCH($A93,'Paramètres'!$M:$M,0))&amp;"","")="Dépense Fixe","x",""))</f>
        <v/>
      </c>
      <c r="P93" s="6" t="str">
        <f>IF($A93="","",IF(IFERROR(INDEX('Paramètres'!$O:$O,MATCH($A93,'Paramètres'!$M:$M,0))&amp;"","")="Dépense Courante","x",""))</f>
        <v/>
      </c>
      <c r="Q93" s="6" t="str">
        <f>IF($A93="","",IF(IFERROR(INDEX('Paramètres'!$O:$O,MATCH($A93,'Paramètres'!$M:$M,0))&amp;"","")="Dépense Occasionnelle","x",""))</f>
        <v/>
      </c>
      <c r="R93" s="6" t="str">
        <f>IF($A93="","",IFERROR(INDEX('Paramètres'!$Q:$Q,MATCH($A93,'Paramètres'!$M:$M,0))&amp;"",""))</f>
        <v/>
      </c>
    </row>
    <row r="94" spans="1:18" x14ac:dyDescent="0.25">
      <c r="A94" s="6" t="str">
        <f>IFERROR(INDEX('Paramètres'!$M$10:$M$129,MATCH(52,'Référentiel'!$L$2:$L$121,0)),"")</f>
        <v/>
      </c>
      <c r="B94" s="11" t="str">
        <f>IF(OR($A94="",B$41=""),"",SUMIFS(Transactions!$Q$2:$Q$5000,Transactions!$D$2:$D$5000,$A94,Transactions!$C$2:$C$5000,B$41,Transactions!$A$2:$A$5000,"&gt;="&amp;$B$1,Transactions!$A$2:$A$5000,"&lt;"&amp;$D$1,Transactions!$O$2:$O$5000,1))</f>
        <v/>
      </c>
      <c r="C94" s="11" t="str">
        <f>IF(OR($A94="",C$41=""),"",SUMIFS(Transactions!$Q$2:$Q$5000,Transactions!$D$2:$D$5000,$A94,Transactions!$C$2:$C$5000,C$41,Transactions!$A$2:$A$5000,"&gt;="&amp;$B$1,Transactions!$A$2:$A$5000,"&lt;"&amp;$D$1,Transactions!$O$2:$O$5000,1))</f>
        <v/>
      </c>
      <c r="D94" s="11" t="str">
        <f>IF(OR($A94="",D$41=""),"",SUMIFS(Transactions!$Q$2:$Q$5000,Transactions!$D$2:$D$5000,$A94,Transactions!$C$2:$C$5000,D$41,Transactions!$A$2:$A$5000,"&gt;="&amp;$B$1,Transactions!$A$2:$A$5000,"&lt;"&amp;$D$1,Transactions!$O$2:$O$5000,1))</f>
        <v/>
      </c>
      <c r="E94" s="11" t="str">
        <f>IF(OR($A94="",E$41=""),"",SUMIFS(Transactions!$Q$2:$Q$5000,Transactions!$D$2:$D$5000,$A94,Transactions!$C$2:$C$5000,E$41,Transactions!$A$2:$A$5000,"&gt;="&amp;$B$1,Transactions!$A$2:$A$5000,"&lt;"&amp;$D$1,Transactions!$O$2:$O$5000,1))</f>
        <v/>
      </c>
      <c r="F94" s="11" t="str">
        <f>IF(OR($A94="",F$41=""),"",SUMIFS(Transactions!$Q$2:$Q$5000,Transactions!$D$2:$D$5000,$A94,Transactions!$C$2:$C$5000,F$41,Transactions!$A$2:$A$5000,"&gt;="&amp;$B$1,Transactions!$A$2:$A$5000,"&lt;"&amp;$D$1,Transactions!$O$2:$O$5000,1))</f>
        <v/>
      </c>
      <c r="G94" s="11" t="str">
        <f>IF(OR($A94="",G$41=""),"",SUMIFS(Transactions!$Q$2:$Q$5000,Transactions!$D$2:$D$5000,$A94,Transactions!$C$2:$C$5000,G$41,Transactions!$A$2:$A$5000,"&gt;="&amp;$B$1,Transactions!$A$2:$A$5000,"&lt;"&amp;$D$1,Transactions!$O$2:$O$5000,1))</f>
        <v/>
      </c>
      <c r="H94" s="11" t="str">
        <f>IF(OR($A94="",H$41=""),"",SUMIFS(Transactions!$Q$2:$Q$5000,Transactions!$D$2:$D$5000,$A94,Transactions!$C$2:$C$5000,H$41,Transactions!$A$2:$A$5000,"&gt;="&amp;$B$1,Transactions!$A$2:$A$5000,"&lt;"&amp;$D$1,Transactions!$O$2:$O$5000,1))</f>
        <v/>
      </c>
      <c r="I94" s="11" t="str">
        <f>IF(OR($A94="",I$41=""),"",SUMIFS(Transactions!$Q$2:$Q$5000,Transactions!$D$2:$D$5000,$A94,Transactions!$C$2:$C$5000,I$41,Transactions!$A$2:$A$5000,"&gt;="&amp;$B$1,Transactions!$A$2:$A$5000,"&lt;"&amp;$D$1,Transactions!$O$2:$O$5000,1))</f>
        <v/>
      </c>
      <c r="J94" s="11" t="str">
        <f>IF(OR($A94="",J$41=""),"",SUMIFS(Transactions!$Q$2:$Q$5000,Transactions!$D$2:$D$5000,$A94,Transactions!$C$2:$C$5000,J$41,Transactions!$A$2:$A$5000,"&gt;="&amp;$B$1,Transactions!$A$2:$A$5000,"&lt;"&amp;$D$1,Transactions!$O$2:$O$5000,1))</f>
        <v/>
      </c>
      <c r="K94" s="11" t="str">
        <f>IF(OR($A94="",K$41=""),"",SUMIFS(Transactions!$Q$2:$Q$5000,Transactions!$D$2:$D$5000,$A94,Transactions!$C$2:$C$5000,K$41,Transactions!$A$2:$A$5000,"&gt;="&amp;$B$1,Transactions!$A$2:$A$5000,"&lt;"&amp;$D$1,Transactions!$O$2:$O$5000,1))</f>
        <v/>
      </c>
      <c r="L94" s="11" t="str">
        <f>IF($A94="","",SUMIFS(Transactions!$Q$2:$Q$5000,Transactions!$D$2:$D$5000,$A94,Transactions!$A$2:$A$5000,"&gt;="&amp;$B$1,Transactions!$A$2:$A$5000,"&lt;"&amp;$D$1,Transactions!$O$2:$O$5000,1))</f>
        <v/>
      </c>
      <c r="M94" s="27" t="str">
        <f>IF($A94="","",IFERROR(L94/L$42,0))</f>
        <v/>
      </c>
      <c r="N94" s="31" t="str">
        <f>IF($A94="","",COUNTIFS(Transactions!$D$2:$D$5000,$A94,Transactions!$A$2:$A$5000,"&gt;="&amp;$B$1,Transactions!$A$2:$A$5000,"&lt;"&amp;$D$1,Transactions!$O$2:$O$5000,1))</f>
        <v/>
      </c>
      <c r="O94" s="6" t="str">
        <f>IF($A94="","",IF(IFERROR(INDEX('Paramètres'!$O:$O,MATCH($A94,'Paramètres'!$M:$M,0))&amp;"","")="Dépense Fixe","x",""))</f>
        <v/>
      </c>
      <c r="P94" s="6" t="str">
        <f>IF($A94="","",IF(IFERROR(INDEX('Paramètres'!$O:$O,MATCH($A94,'Paramètres'!$M:$M,0))&amp;"","")="Dépense Courante","x",""))</f>
        <v/>
      </c>
      <c r="Q94" s="6" t="str">
        <f>IF($A94="","",IF(IFERROR(INDEX('Paramètres'!$O:$O,MATCH($A94,'Paramètres'!$M:$M,0))&amp;"","")="Dépense Occasionnelle","x",""))</f>
        <v/>
      </c>
      <c r="R94" s="6" t="str">
        <f>IF($A94="","",IFERROR(INDEX('Paramètres'!$Q:$Q,MATCH($A94,'Paramètres'!$M:$M,0))&amp;"",""))</f>
        <v/>
      </c>
    </row>
    <row r="95" spans="1:18" x14ac:dyDescent="0.25">
      <c r="A95" s="6" t="str">
        <f>IFERROR(INDEX('Paramètres'!$M$10:$M$129,MATCH(53,'Référentiel'!$L$2:$L$121,0)),"")</f>
        <v/>
      </c>
      <c r="B95" s="11" t="str">
        <f>IF(OR($A95="",B$41=""),"",SUMIFS(Transactions!$Q$2:$Q$5000,Transactions!$D$2:$D$5000,$A95,Transactions!$C$2:$C$5000,B$41,Transactions!$A$2:$A$5000,"&gt;="&amp;$B$1,Transactions!$A$2:$A$5000,"&lt;"&amp;$D$1,Transactions!$O$2:$O$5000,1))</f>
        <v/>
      </c>
      <c r="C95" s="11" t="str">
        <f>IF(OR($A95="",C$41=""),"",SUMIFS(Transactions!$Q$2:$Q$5000,Transactions!$D$2:$D$5000,$A95,Transactions!$C$2:$C$5000,C$41,Transactions!$A$2:$A$5000,"&gt;="&amp;$B$1,Transactions!$A$2:$A$5000,"&lt;"&amp;$D$1,Transactions!$O$2:$O$5000,1))</f>
        <v/>
      </c>
      <c r="D95" s="11" t="str">
        <f>IF(OR($A95="",D$41=""),"",SUMIFS(Transactions!$Q$2:$Q$5000,Transactions!$D$2:$D$5000,$A95,Transactions!$C$2:$C$5000,D$41,Transactions!$A$2:$A$5000,"&gt;="&amp;$B$1,Transactions!$A$2:$A$5000,"&lt;"&amp;$D$1,Transactions!$O$2:$O$5000,1))</f>
        <v/>
      </c>
      <c r="E95" s="11" t="str">
        <f>IF(OR($A95="",E$41=""),"",SUMIFS(Transactions!$Q$2:$Q$5000,Transactions!$D$2:$D$5000,$A95,Transactions!$C$2:$C$5000,E$41,Transactions!$A$2:$A$5000,"&gt;="&amp;$B$1,Transactions!$A$2:$A$5000,"&lt;"&amp;$D$1,Transactions!$O$2:$O$5000,1))</f>
        <v/>
      </c>
      <c r="F95" s="11" t="str">
        <f>IF(OR($A95="",F$41=""),"",SUMIFS(Transactions!$Q$2:$Q$5000,Transactions!$D$2:$D$5000,$A95,Transactions!$C$2:$C$5000,F$41,Transactions!$A$2:$A$5000,"&gt;="&amp;$B$1,Transactions!$A$2:$A$5000,"&lt;"&amp;$D$1,Transactions!$O$2:$O$5000,1))</f>
        <v/>
      </c>
      <c r="G95" s="11" t="str">
        <f>IF(OR($A95="",G$41=""),"",SUMIFS(Transactions!$Q$2:$Q$5000,Transactions!$D$2:$D$5000,$A95,Transactions!$C$2:$C$5000,G$41,Transactions!$A$2:$A$5000,"&gt;="&amp;$B$1,Transactions!$A$2:$A$5000,"&lt;"&amp;$D$1,Transactions!$O$2:$O$5000,1))</f>
        <v/>
      </c>
      <c r="H95" s="11" t="str">
        <f>IF(OR($A95="",H$41=""),"",SUMIFS(Transactions!$Q$2:$Q$5000,Transactions!$D$2:$D$5000,$A95,Transactions!$C$2:$C$5000,H$41,Transactions!$A$2:$A$5000,"&gt;="&amp;$B$1,Transactions!$A$2:$A$5000,"&lt;"&amp;$D$1,Transactions!$O$2:$O$5000,1))</f>
        <v/>
      </c>
      <c r="I95" s="11" t="str">
        <f>IF(OR($A95="",I$41=""),"",SUMIFS(Transactions!$Q$2:$Q$5000,Transactions!$D$2:$D$5000,$A95,Transactions!$C$2:$C$5000,I$41,Transactions!$A$2:$A$5000,"&gt;="&amp;$B$1,Transactions!$A$2:$A$5000,"&lt;"&amp;$D$1,Transactions!$O$2:$O$5000,1))</f>
        <v/>
      </c>
      <c r="J95" s="11" t="str">
        <f>IF(OR($A95="",J$41=""),"",SUMIFS(Transactions!$Q$2:$Q$5000,Transactions!$D$2:$D$5000,$A95,Transactions!$C$2:$C$5000,J$41,Transactions!$A$2:$A$5000,"&gt;="&amp;$B$1,Transactions!$A$2:$A$5000,"&lt;"&amp;$D$1,Transactions!$O$2:$O$5000,1))</f>
        <v/>
      </c>
      <c r="K95" s="11" t="str">
        <f>IF(OR($A95="",K$41=""),"",SUMIFS(Transactions!$Q$2:$Q$5000,Transactions!$D$2:$D$5000,$A95,Transactions!$C$2:$C$5000,K$41,Transactions!$A$2:$A$5000,"&gt;="&amp;$B$1,Transactions!$A$2:$A$5000,"&lt;"&amp;$D$1,Transactions!$O$2:$O$5000,1))</f>
        <v/>
      </c>
      <c r="L95" s="11" t="str">
        <f>IF($A95="","",SUMIFS(Transactions!$Q$2:$Q$5000,Transactions!$D$2:$D$5000,$A95,Transactions!$A$2:$A$5000,"&gt;="&amp;$B$1,Transactions!$A$2:$A$5000,"&lt;"&amp;$D$1,Transactions!$O$2:$O$5000,1))</f>
        <v/>
      </c>
      <c r="M95" s="27" t="str">
        <f>IF($A95="","",IFERROR(L95/L$42,0))</f>
        <v/>
      </c>
      <c r="N95" s="31" t="str">
        <f>IF($A95="","",COUNTIFS(Transactions!$D$2:$D$5000,$A95,Transactions!$A$2:$A$5000,"&gt;="&amp;$B$1,Transactions!$A$2:$A$5000,"&lt;"&amp;$D$1,Transactions!$O$2:$O$5000,1))</f>
        <v/>
      </c>
      <c r="O95" s="6" t="str">
        <f>IF($A95="","",IF(IFERROR(INDEX('Paramètres'!$O:$O,MATCH($A95,'Paramètres'!$M:$M,0))&amp;"","")="Dépense Fixe","x",""))</f>
        <v/>
      </c>
      <c r="P95" s="6" t="str">
        <f>IF($A95="","",IF(IFERROR(INDEX('Paramètres'!$O:$O,MATCH($A95,'Paramètres'!$M:$M,0))&amp;"","")="Dépense Courante","x",""))</f>
        <v/>
      </c>
      <c r="Q95" s="6" t="str">
        <f>IF($A95="","",IF(IFERROR(INDEX('Paramètres'!$O:$O,MATCH($A95,'Paramètres'!$M:$M,0))&amp;"","")="Dépense Occasionnelle","x",""))</f>
        <v/>
      </c>
      <c r="R95" s="6" t="str">
        <f>IF($A95="","",IFERROR(INDEX('Paramètres'!$Q:$Q,MATCH($A95,'Paramètres'!$M:$M,0))&amp;"",""))</f>
        <v/>
      </c>
    </row>
    <row r="96" spans="1:18" x14ac:dyDescent="0.25">
      <c r="A96" s="6" t="str">
        <f>IFERROR(INDEX('Paramètres'!$M$10:$M$129,MATCH(54,'Référentiel'!$L$2:$L$121,0)),"")</f>
        <v/>
      </c>
      <c r="B96" s="11" t="str">
        <f>IF(OR($A96="",B$41=""),"",SUMIFS(Transactions!$Q$2:$Q$5000,Transactions!$D$2:$D$5000,$A96,Transactions!$C$2:$C$5000,B$41,Transactions!$A$2:$A$5000,"&gt;="&amp;$B$1,Transactions!$A$2:$A$5000,"&lt;"&amp;$D$1,Transactions!$O$2:$O$5000,1))</f>
        <v/>
      </c>
      <c r="C96" s="11" t="str">
        <f>IF(OR($A96="",C$41=""),"",SUMIFS(Transactions!$Q$2:$Q$5000,Transactions!$D$2:$D$5000,$A96,Transactions!$C$2:$C$5000,C$41,Transactions!$A$2:$A$5000,"&gt;="&amp;$B$1,Transactions!$A$2:$A$5000,"&lt;"&amp;$D$1,Transactions!$O$2:$O$5000,1))</f>
        <v/>
      </c>
      <c r="D96" s="11" t="str">
        <f>IF(OR($A96="",D$41=""),"",SUMIFS(Transactions!$Q$2:$Q$5000,Transactions!$D$2:$D$5000,$A96,Transactions!$C$2:$C$5000,D$41,Transactions!$A$2:$A$5000,"&gt;="&amp;$B$1,Transactions!$A$2:$A$5000,"&lt;"&amp;$D$1,Transactions!$O$2:$O$5000,1))</f>
        <v/>
      </c>
      <c r="E96" s="11" t="str">
        <f>IF(OR($A96="",E$41=""),"",SUMIFS(Transactions!$Q$2:$Q$5000,Transactions!$D$2:$D$5000,$A96,Transactions!$C$2:$C$5000,E$41,Transactions!$A$2:$A$5000,"&gt;="&amp;$B$1,Transactions!$A$2:$A$5000,"&lt;"&amp;$D$1,Transactions!$O$2:$O$5000,1))</f>
        <v/>
      </c>
      <c r="F96" s="11" t="str">
        <f>IF(OR($A96="",F$41=""),"",SUMIFS(Transactions!$Q$2:$Q$5000,Transactions!$D$2:$D$5000,$A96,Transactions!$C$2:$C$5000,F$41,Transactions!$A$2:$A$5000,"&gt;="&amp;$B$1,Transactions!$A$2:$A$5000,"&lt;"&amp;$D$1,Transactions!$O$2:$O$5000,1))</f>
        <v/>
      </c>
      <c r="G96" s="11" t="str">
        <f>IF(OR($A96="",G$41=""),"",SUMIFS(Transactions!$Q$2:$Q$5000,Transactions!$D$2:$D$5000,$A96,Transactions!$C$2:$C$5000,G$41,Transactions!$A$2:$A$5000,"&gt;="&amp;$B$1,Transactions!$A$2:$A$5000,"&lt;"&amp;$D$1,Transactions!$O$2:$O$5000,1))</f>
        <v/>
      </c>
      <c r="H96" s="11" t="str">
        <f>IF(OR($A96="",H$41=""),"",SUMIFS(Transactions!$Q$2:$Q$5000,Transactions!$D$2:$D$5000,$A96,Transactions!$C$2:$C$5000,H$41,Transactions!$A$2:$A$5000,"&gt;="&amp;$B$1,Transactions!$A$2:$A$5000,"&lt;"&amp;$D$1,Transactions!$O$2:$O$5000,1))</f>
        <v/>
      </c>
      <c r="I96" s="11" t="str">
        <f>IF(OR($A96="",I$41=""),"",SUMIFS(Transactions!$Q$2:$Q$5000,Transactions!$D$2:$D$5000,$A96,Transactions!$C$2:$C$5000,I$41,Transactions!$A$2:$A$5000,"&gt;="&amp;$B$1,Transactions!$A$2:$A$5000,"&lt;"&amp;$D$1,Transactions!$O$2:$O$5000,1))</f>
        <v/>
      </c>
      <c r="J96" s="11" t="str">
        <f>IF(OR($A96="",J$41=""),"",SUMIFS(Transactions!$Q$2:$Q$5000,Transactions!$D$2:$D$5000,$A96,Transactions!$C$2:$C$5000,J$41,Transactions!$A$2:$A$5000,"&gt;="&amp;$B$1,Transactions!$A$2:$A$5000,"&lt;"&amp;$D$1,Transactions!$O$2:$O$5000,1))</f>
        <v/>
      </c>
      <c r="K96" s="11" t="str">
        <f>IF(OR($A96="",K$41=""),"",SUMIFS(Transactions!$Q$2:$Q$5000,Transactions!$D$2:$D$5000,$A96,Transactions!$C$2:$C$5000,K$41,Transactions!$A$2:$A$5000,"&gt;="&amp;$B$1,Transactions!$A$2:$A$5000,"&lt;"&amp;$D$1,Transactions!$O$2:$O$5000,1))</f>
        <v/>
      </c>
      <c r="L96" s="11" t="str">
        <f>IF($A96="","",SUMIFS(Transactions!$Q$2:$Q$5000,Transactions!$D$2:$D$5000,$A96,Transactions!$A$2:$A$5000,"&gt;="&amp;$B$1,Transactions!$A$2:$A$5000,"&lt;"&amp;$D$1,Transactions!$O$2:$O$5000,1))</f>
        <v/>
      </c>
      <c r="M96" s="27" t="str">
        <f>IF($A96="","",IFERROR(L96/L$42,0))</f>
        <v/>
      </c>
      <c r="N96" s="31" t="str">
        <f>IF($A96="","",COUNTIFS(Transactions!$D$2:$D$5000,$A96,Transactions!$A$2:$A$5000,"&gt;="&amp;$B$1,Transactions!$A$2:$A$5000,"&lt;"&amp;$D$1,Transactions!$O$2:$O$5000,1))</f>
        <v/>
      </c>
      <c r="O96" s="6" t="str">
        <f>IF($A96="","",IF(IFERROR(INDEX('Paramètres'!$O:$O,MATCH($A96,'Paramètres'!$M:$M,0))&amp;"","")="Dépense Fixe","x",""))</f>
        <v/>
      </c>
      <c r="P96" s="6" t="str">
        <f>IF($A96="","",IF(IFERROR(INDEX('Paramètres'!$O:$O,MATCH($A96,'Paramètres'!$M:$M,0))&amp;"","")="Dépense Courante","x",""))</f>
        <v/>
      </c>
      <c r="Q96" s="6" t="str">
        <f>IF($A96="","",IF(IFERROR(INDEX('Paramètres'!$O:$O,MATCH($A96,'Paramètres'!$M:$M,0))&amp;"","")="Dépense Occasionnelle","x",""))</f>
        <v/>
      </c>
      <c r="R96" s="6" t="str">
        <f>IF($A96="","",IFERROR(INDEX('Paramètres'!$Q:$Q,MATCH($A96,'Paramètres'!$M:$M,0))&amp;"",""))</f>
        <v/>
      </c>
    </row>
    <row r="97" spans="1:18" x14ac:dyDescent="0.25">
      <c r="A97" s="6" t="str">
        <f>IFERROR(INDEX('Paramètres'!$M$10:$M$129,MATCH(55,'Référentiel'!$L$2:$L$121,0)),"")</f>
        <v/>
      </c>
      <c r="B97" s="11" t="str">
        <f>IF(OR($A97="",B$41=""),"",SUMIFS(Transactions!$Q$2:$Q$5000,Transactions!$D$2:$D$5000,$A97,Transactions!$C$2:$C$5000,B$41,Transactions!$A$2:$A$5000,"&gt;="&amp;$B$1,Transactions!$A$2:$A$5000,"&lt;"&amp;$D$1,Transactions!$O$2:$O$5000,1))</f>
        <v/>
      </c>
      <c r="C97" s="11" t="str">
        <f>IF(OR($A97="",C$41=""),"",SUMIFS(Transactions!$Q$2:$Q$5000,Transactions!$D$2:$D$5000,$A97,Transactions!$C$2:$C$5000,C$41,Transactions!$A$2:$A$5000,"&gt;="&amp;$B$1,Transactions!$A$2:$A$5000,"&lt;"&amp;$D$1,Transactions!$O$2:$O$5000,1))</f>
        <v/>
      </c>
      <c r="D97" s="11" t="str">
        <f>IF(OR($A97="",D$41=""),"",SUMIFS(Transactions!$Q$2:$Q$5000,Transactions!$D$2:$D$5000,$A97,Transactions!$C$2:$C$5000,D$41,Transactions!$A$2:$A$5000,"&gt;="&amp;$B$1,Transactions!$A$2:$A$5000,"&lt;"&amp;$D$1,Transactions!$O$2:$O$5000,1))</f>
        <v/>
      </c>
      <c r="E97" s="11" t="str">
        <f>IF(OR($A97="",E$41=""),"",SUMIFS(Transactions!$Q$2:$Q$5000,Transactions!$D$2:$D$5000,$A97,Transactions!$C$2:$C$5000,E$41,Transactions!$A$2:$A$5000,"&gt;="&amp;$B$1,Transactions!$A$2:$A$5000,"&lt;"&amp;$D$1,Transactions!$O$2:$O$5000,1))</f>
        <v/>
      </c>
      <c r="F97" s="11" t="str">
        <f>IF(OR($A97="",F$41=""),"",SUMIFS(Transactions!$Q$2:$Q$5000,Transactions!$D$2:$D$5000,$A97,Transactions!$C$2:$C$5000,F$41,Transactions!$A$2:$A$5000,"&gt;="&amp;$B$1,Transactions!$A$2:$A$5000,"&lt;"&amp;$D$1,Transactions!$O$2:$O$5000,1))</f>
        <v/>
      </c>
      <c r="G97" s="11" t="str">
        <f>IF(OR($A97="",G$41=""),"",SUMIFS(Transactions!$Q$2:$Q$5000,Transactions!$D$2:$D$5000,$A97,Transactions!$C$2:$C$5000,G$41,Transactions!$A$2:$A$5000,"&gt;="&amp;$B$1,Transactions!$A$2:$A$5000,"&lt;"&amp;$D$1,Transactions!$O$2:$O$5000,1))</f>
        <v/>
      </c>
      <c r="H97" s="11" t="str">
        <f>IF(OR($A97="",H$41=""),"",SUMIFS(Transactions!$Q$2:$Q$5000,Transactions!$D$2:$D$5000,$A97,Transactions!$C$2:$C$5000,H$41,Transactions!$A$2:$A$5000,"&gt;="&amp;$B$1,Transactions!$A$2:$A$5000,"&lt;"&amp;$D$1,Transactions!$O$2:$O$5000,1))</f>
        <v/>
      </c>
      <c r="I97" s="11" t="str">
        <f>IF(OR($A97="",I$41=""),"",SUMIFS(Transactions!$Q$2:$Q$5000,Transactions!$D$2:$D$5000,$A97,Transactions!$C$2:$C$5000,I$41,Transactions!$A$2:$A$5000,"&gt;="&amp;$B$1,Transactions!$A$2:$A$5000,"&lt;"&amp;$D$1,Transactions!$O$2:$O$5000,1))</f>
        <v/>
      </c>
      <c r="J97" s="11" t="str">
        <f>IF(OR($A97="",J$41=""),"",SUMIFS(Transactions!$Q$2:$Q$5000,Transactions!$D$2:$D$5000,$A97,Transactions!$C$2:$C$5000,J$41,Transactions!$A$2:$A$5000,"&gt;="&amp;$B$1,Transactions!$A$2:$A$5000,"&lt;"&amp;$D$1,Transactions!$O$2:$O$5000,1))</f>
        <v/>
      </c>
      <c r="K97" s="11" t="str">
        <f>IF(OR($A97="",K$41=""),"",SUMIFS(Transactions!$Q$2:$Q$5000,Transactions!$D$2:$D$5000,$A97,Transactions!$C$2:$C$5000,K$41,Transactions!$A$2:$A$5000,"&gt;="&amp;$B$1,Transactions!$A$2:$A$5000,"&lt;"&amp;$D$1,Transactions!$O$2:$O$5000,1))</f>
        <v/>
      </c>
      <c r="L97" s="11" t="str">
        <f>IF($A97="","",SUMIFS(Transactions!$Q$2:$Q$5000,Transactions!$D$2:$D$5000,$A97,Transactions!$A$2:$A$5000,"&gt;="&amp;$B$1,Transactions!$A$2:$A$5000,"&lt;"&amp;$D$1,Transactions!$O$2:$O$5000,1))</f>
        <v/>
      </c>
      <c r="M97" s="27" t="str">
        <f>IF($A97="","",IFERROR(L97/L$42,0))</f>
        <v/>
      </c>
      <c r="N97" s="31" t="str">
        <f>IF($A97="","",COUNTIFS(Transactions!$D$2:$D$5000,$A97,Transactions!$A$2:$A$5000,"&gt;="&amp;$B$1,Transactions!$A$2:$A$5000,"&lt;"&amp;$D$1,Transactions!$O$2:$O$5000,1))</f>
        <v/>
      </c>
      <c r="O97" s="6" t="str">
        <f>IF($A97="","",IF(IFERROR(INDEX('Paramètres'!$O:$O,MATCH($A97,'Paramètres'!$M:$M,0))&amp;"","")="Dépense Fixe","x",""))</f>
        <v/>
      </c>
      <c r="P97" s="6" t="str">
        <f>IF($A97="","",IF(IFERROR(INDEX('Paramètres'!$O:$O,MATCH($A97,'Paramètres'!$M:$M,0))&amp;"","")="Dépense Courante","x",""))</f>
        <v/>
      </c>
      <c r="Q97" s="6" t="str">
        <f>IF($A97="","",IF(IFERROR(INDEX('Paramètres'!$O:$O,MATCH($A97,'Paramètres'!$M:$M,0))&amp;"","")="Dépense Occasionnelle","x",""))</f>
        <v/>
      </c>
      <c r="R97" s="6" t="str">
        <f>IF($A97="","",IFERROR(INDEX('Paramètres'!$Q:$Q,MATCH($A97,'Paramètres'!$M:$M,0))&amp;"",""))</f>
        <v/>
      </c>
    </row>
    <row r="98" spans="1:18" x14ac:dyDescent="0.25">
      <c r="A98" s="6" t="str">
        <f>IFERROR(INDEX('Paramètres'!$M$10:$M$129,MATCH(56,'Référentiel'!$L$2:$L$121,0)),"")</f>
        <v/>
      </c>
      <c r="B98" s="11" t="str">
        <f>IF(OR($A98="",B$41=""),"",SUMIFS(Transactions!$Q$2:$Q$5000,Transactions!$D$2:$D$5000,$A98,Transactions!$C$2:$C$5000,B$41,Transactions!$A$2:$A$5000,"&gt;="&amp;$B$1,Transactions!$A$2:$A$5000,"&lt;"&amp;$D$1,Transactions!$O$2:$O$5000,1))</f>
        <v/>
      </c>
      <c r="C98" s="11" t="str">
        <f>IF(OR($A98="",C$41=""),"",SUMIFS(Transactions!$Q$2:$Q$5000,Transactions!$D$2:$D$5000,$A98,Transactions!$C$2:$C$5000,C$41,Transactions!$A$2:$A$5000,"&gt;="&amp;$B$1,Transactions!$A$2:$A$5000,"&lt;"&amp;$D$1,Transactions!$O$2:$O$5000,1))</f>
        <v/>
      </c>
      <c r="D98" s="11" t="str">
        <f>IF(OR($A98="",D$41=""),"",SUMIFS(Transactions!$Q$2:$Q$5000,Transactions!$D$2:$D$5000,$A98,Transactions!$C$2:$C$5000,D$41,Transactions!$A$2:$A$5000,"&gt;="&amp;$B$1,Transactions!$A$2:$A$5000,"&lt;"&amp;$D$1,Transactions!$O$2:$O$5000,1))</f>
        <v/>
      </c>
      <c r="E98" s="11" t="str">
        <f>IF(OR($A98="",E$41=""),"",SUMIFS(Transactions!$Q$2:$Q$5000,Transactions!$D$2:$D$5000,$A98,Transactions!$C$2:$C$5000,E$41,Transactions!$A$2:$A$5000,"&gt;="&amp;$B$1,Transactions!$A$2:$A$5000,"&lt;"&amp;$D$1,Transactions!$O$2:$O$5000,1))</f>
        <v/>
      </c>
      <c r="F98" s="11" t="str">
        <f>IF(OR($A98="",F$41=""),"",SUMIFS(Transactions!$Q$2:$Q$5000,Transactions!$D$2:$D$5000,$A98,Transactions!$C$2:$C$5000,F$41,Transactions!$A$2:$A$5000,"&gt;="&amp;$B$1,Transactions!$A$2:$A$5000,"&lt;"&amp;$D$1,Transactions!$O$2:$O$5000,1))</f>
        <v/>
      </c>
      <c r="G98" s="11" t="str">
        <f>IF(OR($A98="",G$41=""),"",SUMIFS(Transactions!$Q$2:$Q$5000,Transactions!$D$2:$D$5000,$A98,Transactions!$C$2:$C$5000,G$41,Transactions!$A$2:$A$5000,"&gt;="&amp;$B$1,Transactions!$A$2:$A$5000,"&lt;"&amp;$D$1,Transactions!$O$2:$O$5000,1))</f>
        <v/>
      </c>
      <c r="H98" s="11" t="str">
        <f>IF(OR($A98="",H$41=""),"",SUMIFS(Transactions!$Q$2:$Q$5000,Transactions!$D$2:$D$5000,$A98,Transactions!$C$2:$C$5000,H$41,Transactions!$A$2:$A$5000,"&gt;="&amp;$B$1,Transactions!$A$2:$A$5000,"&lt;"&amp;$D$1,Transactions!$O$2:$O$5000,1))</f>
        <v/>
      </c>
      <c r="I98" s="11" t="str">
        <f>IF(OR($A98="",I$41=""),"",SUMIFS(Transactions!$Q$2:$Q$5000,Transactions!$D$2:$D$5000,$A98,Transactions!$C$2:$C$5000,I$41,Transactions!$A$2:$A$5000,"&gt;="&amp;$B$1,Transactions!$A$2:$A$5000,"&lt;"&amp;$D$1,Transactions!$O$2:$O$5000,1))</f>
        <v/>
      </c>
      <c r="J98" s="11" t="str">
        <f>IF(OR($A98="",J$41=""),"",SUMIFS(Transactions!$Q$2:$Q$5000,Transactions!$D$2:$D$5000,$A98,Transactions!$C$2:$C$5000,J$41,Transactions!$A$2:$A$5000,"&gt;="&amp;$B$1,Transactions!$A$2:$A$5000,"&lt;"&amp;$D$1,Transactions!$O$2:$O$5000,1))</f>
        <v/>
      </c>
      <c r="K98" s="11" t="str">
        <f>IF(OR($A98="",K$41=""),"",SUMIFS(Transactions!$Q$2:$Q$5000,Transactions!$D$2:$D$5000,$A98,Transactions!$C$2:$C$5000,K$41,Transactions!$A$2:$A$5000,"&gt;="&amp;$B$1,Transactions!$A$2:$A$5000,"&lt;"&amp;$D$1,Transactions!$O$2:$O$5000,1))</f>
        <v/>
      </c>
      <c r="L98" s="11" t="str">
        <f>IF($A98="","",SUMIFS(Transactions!$Q$2:$Q$5000,Transactions!$D$2:$D$5000,$A98,Transactions!$A$2:$A$5000,"&gt;="&amp;$B$1,Transactions!$A$2:$A$5000,"&lt;"&amp;$D$1,Transactions!$O$2:$O$5000,1))</f>
        <v/>
      </c>
      <c r="M98" s="27" t="str">
        <f>IF($A98="","",IFERROR(L98/L$42,0))</f>
        <v/>
      </c>
      <c r="N98" s="31" t="str">
        <f>IF($A98="","",COUNTIFS(Transactions!$D$2:$D$5000,$A98,Transactions!$A$2:$A$5000,"&gt;="&amp;$B$1,Transactions!$A$2:$A$5000,"&lt;"&amp;$D$1,Transactions!$O$2:$O$5000,1))</f>
        <v/>
      </c>
      <c r="O98" s="6" t="str">
        <f>IF($A98="","",IF(IFERROR(INDEX('Paramètres'!$O:$O,MATCH($A98,'Paramètres'!$M:$M,0))&amp;"","")="Dépense Fixe","x",""))</f>
        <v/>
      </c>
      <c r="P98" s="6" t="str">
        <f>IF($A98="","",IF(IFERROR(INDEX('Paramètres'!$O:$O,MATCH($A98,'Paramètres'!$M:$M,0))&amp;"","")="Dépense Courante","x",""))</f>
        <v/>
      </c>
      <c r="Q98" s="6" t="str">
        <f>IF($A98="","",IF(IFERROR(INDEX('Paramètres'!$O:$O,MATCH($A98,'Paramètres'!$M:$M,0))&amp;"","")="Dépense Occasionnelle","x",""))</f>
        <v/>
      </c>
      <c r="R98" s="6" t="str">
        <f>IF($A98="","",IFERROR(INDEX('Paramètres'!$Q:$Q,MATCH($A98,'Paramètres'!$M:$M,0))&amp;"",""))</f>
        <v/>
      </c>
    </row>
    <row r="99" spans="1:18" x14ac:dyDescent="0.25">
      <c r="A99" s="6" t="str">
        <f>IFERROR(INDEX('Paramètres'!$M$10:$M$129,MATCH(57,'Référentiel'!$L$2:$L$121,0)),"")</f>
        <v/>
      </c>
      <c r="B99" s="11" t="str">
        <f>IF(OR($A99="",B$41=""),"",SUMIFS(Transactions!$Q$2:$Q$5000,Transactions!$D$2:$D$5000,$A99,Transactions!$C$2:$C$5000,B$41,Transactions!$A$2:$A$5000,"&gt;="&amp;$B$1,Transactions!$A$2:$A$5000,"&lt;"&amp;$D$1,Transactions!$O$2:$O$5000,1))</f>
        <v/>
      </c>
      <c r="C99" s="11" t="str">
        <f>IF(OR($A99="",C$41=""),"",SUMIFS(Transactions!$Q$2:$Q$5000,Transactions!$D$2:$D$5000,$A99,Transactions!$C$2:$C$5000,C$41,Transactions!$A$2:$A$5000,"&gt;="&amp;$B$1,Transactions!$A$2:$A$5000,"&lt;"&amp;$D$1,Transactions!$O$2:$O$5000,1))</f>
        <v/>
      </c>
      <c r="D99" s="11" t="str">
        <f>IF(OR($A99="",D$41=""),"",SUMIFS(Transactions!$Q$2:$Q$5000,Transactions!$D$2:$D$5000,$A99,Transactions!$C$2:$C$5000,D$41,Transactions!$A$2:$A$5000,"&gt;="&amp;$B$1,Transactions!$A$2:$A$5000,"&lt;"&amp;$D$1,Transactions!$O$2:$O$5000,1))</f>
        <v/>
      </c>
      <c r="E99" s="11" t="str">
        <f>IF(OR($A99="",E$41=""),"",SUMIFS(Transactions!$Q$2:$Q$5000,Transactions!$D$2:$D$5000,$A99,Transactions!$C$2:$C$5000,E$41,Transactions!$A$2:$A$5000,"&gt;="&amp;$B$1,Transactions!$A$2:$A$5000,"&lt;"&amp;$D$1,Transactions!$O$2:$O$5000,1))</f>
        <v/>
      </c>
      <c r="F99" s="11" t="str">
        <f>IF(OR($A99="",F$41=""),"",SUMIFS(Transactions!$Q$2:$Q$5000,Transactions!$D$2:$D$5000,$A99,Transactions!$C$2:$C$5000,F$41,Transactions!$A$2:$A$5000,"&gt;="&amp;$B$1,Transactions!$A$2:$A$5000,"&lt;"&amp;$D$1,Transactions!$O$2:$O$5000,1))</f>
        <v/>
      </c>
      <c r="G99" s="11" t="str">
        <f>IF(OR($A99="",G$41=""),"",SUMIFS(Transactions!$Q$2:$Q$5000,Transactions!$D$2:$D$5000,$A99,Transactions!$C$2:$C$5000,G$41,Transactions!$A$2:$A$5000,"&gt;="&amp;$B$1,Transactions!$A$2:$A$5000,"&lt;"&amp;$D$1,Transactions!$O$2:$O$5000,1))</f>
        <v/>
      </c>
      <c r="H99" s="11" t="str">
        <f>IF(OR($A99="",H$41=""),"",SUMIFS(Transactions!$Q$2:$Q$5000,Transactions!$D$2:$D$5000,$A99,Transactions!$C$2:$C$5000,H$41,Transactions!$A$2:$A$5000,"&gt;="&amp;$B$1,Transactions!$A$2:$A$5000,"&lt;"&amp;$D$1,Transactions!$O$2:$O$5000,1))</f>
        <v/>
      </c>
      <c r="I99" s="11" t="str">
        <f>IF(OR($A99="",I$41=""),"",SUMIFS(Transactions!$Q$2:$Q$5000,Transactions!$D$2:$D$5000,$A99,Transactions!$C$2:$C$5000,I$41,Transactions!$A$2:$A$5000,"&gt;="&amp;$B$1,Transactions!$A$2:$A$5000,"&lt;"&amp;$D$1,Transactions!$O$2:$O$5000,1))</f>
        <v/>
      </c>
      <c r="J99" s="11" t="str">
        <f>IF(OR($A99="",J$41=""),"",SUMIFS(Transactions!$Q$2:$Q$5000,Transactions!$D$2:$D$5000,$A99,Transactions!$C$2:$C$5000,J$41,Transactions!$A$2:$A$5000,"&gt;="&amp;$B$1,Transactions!$A$2:$A$5000,"&lt;"&amp;$D$1,Transactions!$O$2:$O$5000,1))</f>
        <v/>
      </c>
      <c r="K99" s="11" t="str">
        <f>IF(OR($A99="",K$41=""),"",SUMIFS(Transactions!$Q$2:$Q$5000,Transactions!$D$2:$D$5000,$A99,Transactions!$C$2:$C$5000,K$41,Transactions!$A$2:$A$5000,"&gt;="&amp;$B$1,Transactions!$A$2:$A$5000,"&lt;"&amp;$D$1,Transactions!$O$2:$O$5000,1))</f>
        <v/>
      </c>
      <c r="L99" s="11" t="str">
        <f>IF($A99="","",SUMIFS(Transactions!$Q$2:$Q$5000,Transactions!$D$2:$D$5000,$A99,Transactions!$A$2:$A$5000,"&gt;="&amp;$B$1,Transactions!$A$2:$A$5000,"&lt;"&amp;$D$1,Transactions!$O$2:$O$5000,1))</f>
        <v/>
      </c>
      <c r="M99" s="27" t="str">
        <f>IF($A99="","",IFERROR(L99/L$42,0))</f>
        <v/>
      </c>
      <c r="N99" s="31" t="str">
        <f>IF($A99="","",COUNTIFS(Transactions!$D$2:$D$5000,$A99,Transactions!$A$2:$A$5000,"&gt;="&amp;$B$1,Transactions!$A$2:$A$5000,"&lt;"&amp;$D$1,Transactions!$O$2:$O$5000,1))</f>
        <v/>
      </c>
      <c r="O99" s="6" t="str">
        <f>IF($A99="","",IF(IFERROR(INDEX('Paramètres'!$O:$O,MATCH($A99,'Paramètres'!$M:$M,0))&amp;"","")="Dépense Fixe","x",""))</f>
        <v/>
      </c>
      <c r="P99" s="6" t="str">
        <f>IF($A99="","",IF(IFERROR(INDEX('Paramètres'!$O:$O,MATCH($A99,'Paramètres'!$M:$M,0))&amp;"","")="Dépense Courante","x",""))</f>
        <v/>
      </c>
      <c r="Q99" s="6" t="str">
        <f>IF($A99="","",IF(IFERROR(INDEX('Paramètres'!$O:$O,MATCH($A99,'Paramètres'!$M:$M,0))&amp;"","")="Dépense Occasionnelle","x",""))</f>
        <v/>
      </c>
      <c r="R99" s="6" t="str">
        <f>IF($A99="","",IFERROR(INDEX('Paramètres'!$Q:$Q,MATCH($A99,'Paramètres'!$M:$M,0))&amp;"",""))</f>
        <v/>
      </c>
    </row>
    <row r="100" spans="1:18" x14ac:dyDescent="0.25">
      <c r="A100" s="6" t="str">
        <f>IFERROR(INDEX('Paramètres'!$M$10:$M$129,MATCH(58,'Référentiel'!$L$2:$L$121,0)),"")</f>
        <v/>
      </c>
      <c r="B100" s="11" t="str">
        <f>IF(OR($A100="",B$41=""),"",SUMIFS(Transactions!$Q$2:$Q$5000,Transactions!$D$2:$D$5000,$A100,Transactions!$C$2:$C$5000,B$41,Transactions!$A$2:$A$5000,"&gt;="&amp;$B$1,Transactions!$A$2:$A$5000,"&lt;"&amp;$D$1,Transactions!$O$2:$O$5000,1))</f>
        <v/>
      </c>
      <c r="C100" s="11" t="str">
        <f>IF(OR($A100="",C$41=""),"",SUMIFS(Transactions!$Q$2:$Q$5000,Transactions!$D$2:$D$5000,$A100,Transactions!$C$2:$C$5000,C$41,Transactions!$A$2:$A$5000,"&gt;="&amp;$B$1,Transactions!$A$2:$A$5000,"&lt;"&amp;$D$1,Transactions!$O$2:$O$5000,1))</f>
        <v/>
      </c>
      <c r="D100" s="11" t="str">
        <f>IF(OR($A100="",D$41=""),"",SUMIFS(Transactions!$Q$2:$Q$5000,Transactions!$D$2:$D$5000,$A100,Transactions!$C$2:$C$5000,D$41,Transactions!$A$2:$A$5000,"&gt;="&amp;$B$1,Transactions!$A$2:$A$5000,"&lt;"&amp;$D$1,Transactions!$O$2:$O$5000,1))</f>
        <v/>
      </c>
      <c r="E100" s="11" t="str">
        <f>IF(OR($A100="",E$41=""),"",SUMIFS(Transactions!$Q$2:$Q$5000,Transactions!$D$2:$D$5000,$A100,Transactions!$C$2:$C$5000,E$41,Transactions!$A$2:$A$5000,"&gt;="&amp;$B$1,Transactions!$A$2:$A$5000,"&lt;"&amp;$D$1,Transactions!$O$2:$O$5000,1))</f>
        <v/>
      </c>
      <c r="F100" s="11" t="str">
        <f>IF(OR($A100="",F$41=""),"",SUMIFS(Transactions!$Q$2:$Q$5000,Transactions!$D$2:$D$5000,$A100,Transactions!$C$2:$C$5000,F$41,Transactions!$A$2:$A$5000,"&gt;="&amp;$B$1,Transactions!$A$2:$A$5000,"&lt;"&amp;$D$1,Transactions!$O$2:$O$5000,1))</f>
        <v/>
      </c>
      <c r="G100" s="11" t="str">
        <f>IF(OR($A100="",G$41=""),"",SUMIFS(Transactions!$Q$2:$Q$5000,Transactions!$D$2:$D$5000,$A100,Transactions!$C$2:$C$5000,G$41,Transactions!$A$2:$A$5000,"&gt;="&amp;$B$1,Transactions!$A$2:$A$5000,"&lt;"&amp;$D$1,Transactions!$O$2:$O$5000,1))</f>
        <v/>
      </c>
      <c r="H100" s="11" t="str">
        <f>IF(OR($A100="",H$41=""),"",SUMIFS(Transactions!$Q$2:$Q$5000,Transactions!$D$2:$D$5000,$A100,Transactions!$C$2:$C$5000,H$41,Transactions!$A$2:$A$5000,"&gt;="&amp;$B$1,Transactions!$A$2:$A$5000,"&lt;"&amp;$D$1,Transactions!$O$2:$O$5000,1))</f>
        <v/>
      </c>
      <c r="I100" s="11" t="str">
        <f>IF(OR($A100="",I$41=""),"",SUMIFS(Transactions!$Q$2:$Q$5000,Transactions!$D$2:$D$5000,$A100,Transactions!$C$2:$C$5000,I$41,Transactions!$A$2:$A$5000,"&gt;="&amp;$B$1,Transactions!$A$2:$A$5000,"&lt;"&amp;$D$1,Transactions!$O$2:$O$5000,1))</f>
        <v/>
      </c>
      <c r="J100" s="11" t="str">
        <f>IF(OR($A100="",J$41=""),"",SUMIFS(Transactions!$Q$2:$Q$5000,Transactions!$D$2:$D$5000,$A100,Transactions!$C$2:$C$5000,J$41,Transactions!$A$2:$A$5000,"&gt;="&amp;$B$1,Transactions!$A$2:$A$5000,"&lt;"&amp;$D$1,Transactions!$O$2:$O$5000,1))</f>
        <v/>
      </c>
      <c r="K100" s="11" t="str">
        <f>IF(OR($A100="",K$41=""),"",SUMIFS(Transactions!$Q$2:$Q$5000,Transactions!$D$2:$D$5000,$A100,Transactions!$C$2:$C$5000,K$41,Transactions!$A$2:$A$5000,"&gt;="&amp;$B$1,Transactions!$A$2:$A$5000,"&lt;"&amp;$D$1,Transactions!$O$2:$O$5000,1))</f>
        <v/>
      </c>
      <c r="L100" s="11" t="str">
        <f>IF($A100="","",SUMIFS(Transactions!$Q$2:$Q$5000,Transactions!$D$2:$D$5000,$A100,Transactions!$A$2:$A$5000,"&gt;="&amp;$B$1,Transactions!$A$2:$A$5000,"&lt;"&amp;$D$1,Transactions!$O$2:$O$5000,1))</f>
        <v/>
      </c>
      <c r="M100" s="27" t="str">
        <f>IF($A100="","",IFERROR(L100/L$42,0))</f>
        <v/>
      </c>
      <c r="N100" s="31" t="str">
        <f>IF($A100="","",COUNTIFS(Transactions!$D$2:$D$5000,$A100,Transactions!$A$2:$A$5000,"&gt;="&amp;$B$1,Transactions!$A$2:$A$5000,"&lt;"&amp;$D$1,Transactions!$O$2:$O$5000,1))</f>
        <v/>
      </c>
      <c r="O100" s="6" t="str">
        <f>IF($A100="","",IF(IFERROR(INDEX('Paramètres'!$O:$O,MATCH($A100,'Paramètres'!$M:$M,0))&amp;"","")="Dépense Fixe","x",""))</f>
        <v/>
      </c>
      <c r="P100" s="6" t="str">
        <f>IF($A100="","",IF(IFERROR(INDEX('Paramètres'!$O:$O,MATCH($A100,'Paramètres'!$M:$M,0))&amp;"","")="Dépense Courante","x",""))</f>
        <v/>
      </c>
      <c r="Q100" s="6" t="str">
        <f>IF($A100="","",IF(IFERROR(INDEX('Paramètres'!$O:$O,MATCH($A100,'Paramètres'!$M:$M,0))&amp;"","")="Dépense Occasionnelle","x",""))</f>
        <v/>
      </c>
      <c r="R100" s="6" t="str">
        <f>IF($A100="","",IFERROR(INDEX('Paramètres'!$Q:$Q,MATCH($A100,'Paramètres'!$M:$M,0))&amp;"",""))</f>
        <v/>
      </c>
    </row>
    <row r="101" spans="1:18" x14ac:dyDescent="0.25">
      <c r="A101" s="6" t="str">
        <f>IFERROR(INDEX('Paramètres'!$M$10:$M$129,MATCH(59,'Référentiel'!$L$2:$L$121,0)),"")</f>
        <v/>
      </c>
      <c r="B101" s="11" t="str">
        <f>IF(OR($A101="",B$41=""),"",SUMIFS(Transactions!$Q$2:$Q$5000,Transactions!$D$2:$D$5000,$A101,Transactions!$C$2:$C$5000,B$41,Transactions!$A$2:$A$5000,"&gt;="&amp;$B$1,Transactions!$A$2:$A$5000,"&lt;"&amp;$D$1,Transactions!$O$2:$O$5000,1))</f>
        <v/>
      </c>
      <c r="C101" s="11" t="str">
        <f>IF(OR($A101="",C$41=""),"",SUMIFS(Transactions!$Q$2:$Q$5000,Transactions!$D$2:$D$5000,$A101,Transactions!$C$2:$C$5000,C$41,Transactions!$A$2:$A$5000,"&gt;="&amp;$B$1,Transactions!$A$2:$A$5000,"&lt;"&amp;$D$1,Transactions!$O$2:$O$5000,1))</f>
        <v/>
      </c>
      <c r="D101" s="11" t="str">
        <f>IF(OR($A101="",D$41=""),"",SUMIFS(Transactions!$Q$2:$Q$5000,Transactions!$D$2:$D$5000,$A101,Transactions!$C$2:$C$5000,D$41,Transactions!$A$2:$A$5000,"&gt;="&amp;$B$1,Transactions!$A$2:$A$5000,"&lt;"&amp;$D$1,Transactions!$O$2:$O$5000,1))</f>
        <v/>
      </c>
      <c r="E101" s="11" t="str">
        <f>IF(OR($A101="",E$41=""),"",SUMIFS(Transactions!$Q$2:$Q$5000,Transactions!$D$2:$D$5000,$A101,Transactions!$C$2:$C$5000,E$41,Transactions!$A$2:$A$5000,"&gt;="&amp;$B$1,Transactions!$A$2:$A$5000,"&lt;"&amp;$D$1,Transactions!$O$2:$O$5000,1))</f>
        <v/>
      </c>
      <c r="F101" s="11" t="str">
        <f>IF(OR($A101="",F$41=""),"",SUMIFS(Transactions!$Q$2:$Q$5000,Transactions!$D$2:$D$5000,$A101,Transactions!$C$2:$C$5000,F$41,Transactions!$A$2:$A$5000,"&gt;="&amp;$B$1,Transactions!$A$2:$A$5000,"&lt;"&amp;$D$1,Transactions!$O$2:$O$5000,1))</f>
        <v/>
      </c>
      <c r="G101" s="11" t="str">
        <f>IF(OR($A101="",G$41=""),"",SUMIFS(Transactions!$Q$2:$Q$5000,Transactions!$D$2:$D$5000,$A101,Transactions!$C$2:$C$5000,G$41,Transactions!$A$2:$A$5000,"&gt;="&amp;$B$1,Transactions!$A$2:$A$5000,"&lt;"&amp;$D$1,Transactions!$O$2:$O$5000,1))</f>
        <v/>
      </c>
      <c r="H101" s="11" t="str">
        <f>IF(OR($A101="",H$41=""),"",SUMIFS(Transactions!$Q$2:$Q$5000,Transactions!$D$2:$D$5000,$A101,Transactions!$C$2:$C$5000,H$41,Transactions!$A$2:$A$5000,"&gt;="&amp;$B$1,Transactions!$A$2:$A$5000,"&lt;"&amp;$D$1,Transactions!$O$2:$O$5000,1))</f>
        <v/>
      </c>
      <c r="I101" s="11" t="str">
        <f>IF(OR($A101="",I$41=""),"",SUMIFS(Transactions!$Q$2:$Q$5000,Transactions!$D$2:$D$5000,$A101,Transactions!$C$2:$C$5000,I$41,Transactions!$A$2:$A$5000,"&gt;="&amp;$B$1,Transactions!$A$2:$A$5000,"&lt;"&amp;$D$1,Transactions!$O$2:$O$5000,1))</f>
        <v/>
      </c>
      <c r="J101" s="11" t="str">
        <f>IF(OR($A101="",J$41=""),"",SUMIFS(Transactions!$Q$2:$Q$5000,Transactions!$D$2:$D$5000,$A101,Transactions!$C$2:$C$5000,J$41,Transactions!$A$2:$A$5000,"&gt;="&amp;$B$1,Transactions!$A$2:$A$5000,"&lt;"&amp;$D$1,Transactions!$O$2:$O$5000,1))</f>
        <v/>
      </c>
      <c r="K101" s="11" t="str">
        <f>IF(OR($A101="",K$41=""),"",SUMIFS(Transactions!$Q$2:$Q$5000,Transactions!$D$2:$D$5000,$A101,Transactions!$C$2:$C$5000,K$41,Transactions!$A$2:$A$5000,"&gt;="&amp;$B$1,Transactions!$A$2:$A$5000,"&lt;"&amp;$D$1,Transactions!$O$2:$O$5000,1))</f>
        <v/>
      </c>
      <c r="L101" s="11" t="str">
        <f>IF($A101="","",SUMIFS(Transactions!$Q$2:$Q$5000,Transactions!$D$2:$D$5000,$A101,Transactions!$A$2:$A$5000,"&gt;="&amp;$B$1,Transactions!$A$2:$A$5000,"&lt;"&amp;$D$1,Transactions!$O$2:$O$5000,1))</f>
        <v/>
      </c>
      <c r="M101" s="27" t="str">
        <f>IF($A101="","",IFERROR(L101/L$42,0))</f>
        <v/>
      </c>
      <c r="N101" s="31" t="str">
        <f>IF($A101="","",COUNTIFS(Transactions!$D$2:$D$5000,$A101,Transactions!$A$2:$A$5000,"&gt;="&amp;$B$1,Transactions!$A$2:$A$5000,"&lt;"&amp;$D$1,Transactions!$O$2:$O$5000,1))</f>
        <v/>
      </c>
      <c r="O101" s="6" t="str">
        <f>IF($A101="","",IF(IFERROR(INDEX('Paramètres'!$O:$O,MATCH($A101,'Paramètres'!$M:$M,0))&amp;"","")="Dépense Fixe","x",""))</f>
        <v/>
      </c>
      <c r="P101" s="6" t="str">
        <f>IF($A101="","",IF(IFERROR(INDEX('Paramètres'!$O:$O,MATCH($A101,'Paramètres'!$M:$M,0))&amp;"","")="Dépense Courante","x",""))</f>
        <v/>
      </c>
      <c r="Q101" s="6" t="str">
        <f>IF($A101="","",IF(IFERROR(INDEX('Paramètres'!$O:$O,MATCH($A101,'Paramètres'!$M:$M,0))&amp;"","")="Dépense Occasionnelle","x",""))</f>
        <v/>
      </c>
      <c r="R101" s="6" t="str">
        <f>IF($A101="","",IFERROR(INDEX('Paramètres'!$Q:$Q,MATCH($A101,'Paramètres'!$M:$M,0))&amp;"",""))</f>
        <v/>
      </c>
    </row>
    <row r="102" spans="1:18" x14ac:dyDescent="0.25">
      <c r="A102" s="6" t="str">
        <f>IFERROR(INDEX('Paramètres'!$M$10:$M$129,MATCH(60,'Référentiel'!$L$2:$L$121,0)),"")</f>
        <v/>
      </c>
      <c r="B102" s="11" t="str">
        <f>IF(OR($A102="",B$41=""),"",SUMIFS(Transactions!$Q$2:$Q$5000,Transactions!$D$2:$D$5000,$A102,Transactions!$C$2:$C$5000,B$41,Transactions!$A$2:$A$5000,"&gt;="&amp;$B$1,Transactions!$A$2:$A$5000,"&lt;"&amp;$D$1,Transactions!$O$2:$O$5000,1))</f>
        <v/>
      </c>
      <c r="C102" s="11" t="str">
        <f>IF(OR($A102="",C$41=""),"",SUMIFS(Transactions!$Q$2:$Q$5000,Transactions!$D$2:$D$5000,$A102,Transactions!$C$2:$C$5000,C$41,Transactions!$A$2:$A$5000,"&gt;="&amp;$B$1,Transactions!$A$2:$A$5000,"&lt;"&amp;$D$1,Transactions!$O$2:$O$5000,1))</f>
        <v/>
      </c>
      <c r="D102" s="11" t="str">
        <f>IF(OR($A102="",D$41=""),"",SUMIFS(Transactions!$Q$2:$Q$5000,Transactions!$D$2:$D$5000,$A102,Transactions!$C$2:$C$5000,D$41,Transactions!$A$2:$A$5000,"&gt;="&amp;$B$1,Transactions!$A$2:$A$5000,"&lt;"&amp;$D$1,Transactions!$O$2:$O$5000,1))</f>
        <v/>
      </c>
      <c r="E102" s="11" t="str">
        <f>IF(OR($A102="",E$41=""),"",SUMIFS(Transactions!$Q$2:$Q$5000,Transactions!$D$2:$D$5000,$A102,Transactions!$C$2:$C$5000,E$41,Transactions!$A$2:$A$5000,"&gt;="&amp;$B$1,Transactions!$A$2:$A$5000,"&lt;"&amp;$D$1,Transactions!$O$2:$O$5000,1))</f>
        <v/>
      </c>
      <c r="F102" s="11" t="str">
        <f>IF(OR($A102="",F$41=""),"",SUMIFS(Transactions!$Q$2:$Q$5000,Transactions!$D$2:$D$5000,$A102,Transactions!$C$2:$C$5000,F$41,Transactions!$A$2:$A$5000,"&gt;="&amp;$B$1,Transactions!$A$2:$A$5000,"&lt;"&amp;$D$1,Transactions!$O$2:$O$5000,1))</f>
        <v/>
      </c>
      <c r="G102" s="11" t="str">
        <f>IF(OR($A102="",G$41=""),"",SUMIFS(Transactions!$Q$2:$Q$5000,Transactions!$D$2:$D$5000,$A102,Transactions!$C$2:$C$5000,G$41,Transactions!$A$2:$A$5000,"&gt;="&amp;$B$1,Transactions!$A$2:$A$5000,"&lt;"&amp;$D$1,Transactions!$O$2:$O$5000,1))</f>
        <v/>
      </c>
      <c r="H102" s="11" t="str">
        <f>IF(OR($A102="",H$41=""),"",SUMIFS(Transactions!$Q$2:$Q$5000,Transactions!$D$2:$D$5000,$A102,Transactions!$C$2:$C$5000,H$41,Transactions!$A$2:$A$5000,"&gt;="&amp;$B$1,Transactions!$A$2:$A$5000,"&lt;"&amp;$D$1,Transactions!$O$2:$O$5000,1))</f>
        <v/>
      </c>
      <c r="I102" s="11" t="str">
        <f>IF(OR($A102="",I$41=""),"",SUMIFS(Transactions!$Q$2:$Q$5000,Transactions!$D$2:$D$5000,$A102,Transactions!$C$2:$C$5000,I$41,Transactions!$A$2:$A$5000,"&gt;="&amp;$B$1,Transactions!$A$2:$A$5000,"&lt;"&amp;$D$1,Transactions!$O$2:$O$5000,1))</f>
        <v/>
      </c>
      <c r="J102" s="11" t="str">
        <f>IF(OR($A102="",J$41=""),"",SUMIFS(Transactions!$Q$2:$Q$5000,Transactions!$D$2:$D$5000,$A102,Transactions!$C$2:$C$5000,J$41,Transactions!$A$2:$A$5000,"&gt;="&amp;$B$1,Transactions!$A$2:$A$5000,"&lt;"&amp;$D$1,Transactions!$O$2:$O$5000,1))</f>
        <v/>
      </c>
      <c r="K102" s="11" t="str">
        <f>IF(OR($A102="",K$41=""),"",SUMIFS(Transactions!$Q$2:$Q$5000,Transactions!$D$2:$D$5000,$A102,Transactions!$C$2:$C$5000,K$41,Transactions!$A$2:$A$5000,"&gt;="&amp;$B$1,Transactions!$A$2:$A$5000,"&lt;"&amp;$D$1,Transactions!$O$2:$O$5000,1))</f>
        <v/>
      </c>
      <c r="L102" s="11" t="str">
        <f>IF($A102="","",SUMIFS(Transactions!$Q$2:$Q$5000,Transactions!$D$2:$D$5000,$A102,Transactions!$A$2:$A$5000,"&gt;="&amp;$B$1,Transactions!$A$2:$A$5000,"&lt;"&amp;$D$1,Transactions!$O$2:$O$5000,1))</f>
        <v/>
      </c>
      <c r="M102" s="27" t="str">
        <f>IF($A102="","",IFERROR(L102/L$42,0))</f>
        <v/>
      </c>
      <c r="N102" s="31" t="str">
        <f>IF($A102="","",COUNTIFS(Transactions!$D$2:$D$5000,$A102,Transactions!$A$2:$A$5000,"&gt;="&amp;$B$1,Transactions!$A$2:$A$5000,"&lt;"&amp;$D$1,Transactions!$O$2:$O$5000,1))</f>
        <v/>
      </c>
      <c r="O102" s="6" t="str">
        <f>IF($A102="","",IF(IFERROR(INDEX('Paramètres'!$O:$O,MATCH($A102,'Paramètres'!$M:$M,0))&amp;"","")="Dépense Fixe","x",""))</f>
        <v/>
      </c>
      <c r="P102" s="6" t="str">
        <f>IF($A102="","",IF(IFERROR(INDEX('Paramètres'!$O:$O,MATCH($A102,'Paramètres'!$M:$M,0))&amp;"","")="Dépense Courante","x",""))</f>
        <v/>
      </c>
      <c r="Q102" s="6" t="str">
        <f>IF($A102="","",IF(IFERROR(INDEX('Paramètres'!$O:$O,MATCH($A102,'Paramètres'!$M:$M,0))&amp;"","")="Dépense Occasionnelle","x",""))</f>
        <v/>
      </c>
      <c r="R102" s="6" t="str">
        <f>IF($A102="","",IFERROR(INDEX('Paramètres'!$Q:$Q,MATCH($A102,'Paramètres'!$M:$M,0))&amp;"",""))</f>
        <v/>
      </c>
    </row>
    <row r="103" spans="1:12" x14ac:dyDescent="0.25">
      <c r="A103" s="2" t="s">
        <v>313</v>
      </c>
      <c r="L103" s="11">
        <f>ROUND(L42-SUM(L43:L102),2)</f>
        <v>0</v>
      </c>
    </row>
    <row r="105" spans="1:3" x14ac:dyDescent="0.25">
      <c r="A105" s="3" t="s">
        <v>314</v>
      </c>
      <c r="B105" s="31">
        <f>MAX(Transactions!$V$2:$V$5000)</f>
        <v>36</v>
      </c>
      <c r="C105" s="6" t="str">
        <f>IF($B$105&gt;200,"⚠ "&amp;($B$105-200)&amp;" dépenses de plus ne sont pas listées : 200 lignes au plus.",$B$105&amp;" dépense(s) ce mois-ci.")</f>
        <v>36 dépense(s) ce mois-ci.</v>
      </c>
    </row>
    <row r="106" spans="1:6" x14ac:dyDescent="0.25">
      <c r="A106" s="20" t="s">
        <v>34</v>
      </c>
      <c r="B106" s="20" t="s">
        <v>35</v>
      </c>
      <c r="C106" s="20" t="s">
        <v>36</v>
      </c>
      <c r="D106" s="20" t="s">
        <v>37</v>
      </c>
      <c r="E106" s="20" t="s">
        <v>47</v>
      </c>
      <c r="F106" s="20" t="s">
        <v>44</v>
      </c>
    </row>
    <row r="107" spans="1:6" x14ac:dyDescent="0.25">
      <c r="A107" s="24">
        <f>IF(1&gt;$B$105,"",INDEX(Transactions!$A$2:$A$5000,MATCH(1,Transactions!$V$2:$V$5000,0)))</f>
        <v>46236</v>
      </c>
      <c r="B107" s="6" t="str">
        <f>IF(1&gt;$B$105,"",INDEX(Transactions!$B$2:$B$5000,MATCH(1,Transactions!$V$2:$V$5000,0))&amp;"")</f>
        <v>Achat carte</v>
      </c>
      <c r="C107" s="6" t="str">
        <f>IF(1&gt;$B$105,"",INDEX(Transactions!$C$2:$C$5000,MATCH(1,Transactions!$V$2:$V$5000,0))&amp;"")</f>
        <v>Banque B - Compte joint</v>
      </c>
      <c r="D107" s="6" t="str">
        <f>IF(1&gt;$B$105,"",INDEX(Transactions!$D$2:$D$5000,MATCH(1,Transactions!$V$2:$V$5000,0))&amp;"")</f>
        <v>courses</v>
      </c>
      <c r="E107" s="6" t="str">
        <f>IF(1&gt;$B$105,"",INDEX(Transactions!$N$2:$N$5000,MATCH(1,Transactions!$V$2:$V$5000,0))&amp;"")</f>
        <v>Alimentation</v>
      </c>
      <c r="F107" s="11">
        <f>IF(1&gt;$B$105,"",INDEX(Transactions!$K$2:$K$5000,MATCH(1,Transactions!$V$2:$V$5000,0)))</f>
        <v>25.65</v>
      </c>
    </row>
    <row r="108" spans="1:6" x14ac:dyDescent="0.25">
      <c r="A108" s="24">
        <f>IF(2&gt;$B$105,"",INDEX(Transactions!$A$2:$A$5000,MATCH(2,Transactions!$V$2:$V$5000,0)))</f>
        <v>46236</v>
      </c>
      <c r="B108" s="6" t="str">
        <f>IF(2&gt;$B$105,"",INDEX(Transactions!$B$2:$B$5000,MATCH(2,Transactions!$V$2:$V$5000,0))&amp;"")</f>
        <v>Titre restaurant</v>
      </c>
      <c r="C108" s="6" t="str">
        <f>IF(2&gt;$B$105,"",INDEX(Transactions!$C$2:$C$5000,MATCH(2,Transactions!$V$2:$V$5000,0))&amp;"")</f>
        <v>Titres-restaurant</v>
      </c>
      <c r="D108" s="6" t="str">
        <f>IF(2&gt;$B$105,"",INDEX(Transactions!$D$2:$D$5000,MATCH(2,Transactions!$V$2:$V$5000,0))&amp;"")</f>
        <v>cantine</v>
      </c>
      <c r="E108" s="6" t="str">
        <f>IF(2&gt;$B$105,"",INDEX(Transactions!$N$2:$N$5000,MATCH(2,Transactions!$V$2:$V$5000,0))&amp;"")</f>
        <v>Alimentation</v>
      </c>
      <c r="F108" s="11">
        <f>IF(2&gt;$B$105,"",INDEX(Transactions!$K$2:$K$5000,MATCH(2,Transactions!$V$2:$V$5000,0)))</f>
        <v>13.58</v>
      </c>
    </row>
    <row r="109" spans="1:6" x14ac:dyDescent="0.25">
      <c r="A109" s="24">
        <f>IF(3&gt;$B$105,"",INDEX(Transactions!$A$2:$A$5000,MATCH(3,Transactions!$V$2:$V$5000,0)))</f>
        <v>46237</v>
      </c>
      <c r="B109" s="6" t="str">
        <f>IF(3&gt;$B$105,"",INDEX(Transactions!$B$2:$B$5000,MATCH(3,Transactions!$V$2:$V$5000,0))&amp;"")</f>
        <v>Abonnement transport</v>
      </c>
      <c r="C109" s="6" t="str">
        <f>IF(3&gt;$B$105,"",INDEX(Transactions!$C$2:$C$5000,MATCH(3,Transactions!$V$2:$V$5000,0))&amp;"")</f>
        <v>Banque A - Courant</v>
      </c>
      <c r="D109" s="6" t="str">
        <f>IF(3&gt;$B$105,"",INDEX(Transactions!$D$2:$D$5000,MATCH(3,Transactions!$V$2:$V$5000,0))&amp;"")</f>
        <v>Abonnement transport</v>
      </c>
      <c r="E109" s="6" t="str">
        <f>IF(3&gt;$B$105,"",INDEX(Transactions!$N$2:$N$5000,MATCH(3,Transactions!$V$2:$V$5000,0))&amp;"")</f>
        <v>Transport</v>
      </c>
      <c r="F109" s="11">
        <f>IF(3&gt;$B$105,"",INDEX(Transactions!$K$2:$K$5000,MATCH(3,Transactions!$V$2:$V$5000,0)))</f>
        <v>88.8</v>
      </c>
    </row>
    <row r="110" spans="1:6" x14ac:dyDescent="0.25">
      <c r="A110" s="24">
        <f>IF(4&gt;$B$105,"",INDEX(Transactions!$A$2:$A$5000,MATCH(4,Transactions!$V$2:$V$5000,0)))</f>
        <v>46238</v>
      </c>
      <c r="B110" s="6" t="str">
        <f>IF(4&gt;$B$105,"",INDEX(Transactions!$B$2:$B$5000,MATCH(4,Transactions!$V$2:$V$5000,0))&amp;"")</f>
        <v>Achat carte</v>
      </c>
      <c r="C110" s="6" t="str">
        <f>IF(4&gt;$B$105,"",INDEX(Transactions!$C$2:$C$5000,MATCH(4,Transactions!$V$2:$V$5000,0))&amp;"")</f>
        <v>Banque B - Compte joint</v>
      </c>
      <c r="D110" s="6" t="str">
        <f>IF(4&gt;$B$105,"",INDEX(Transactions!$D$2:$D$5000,MATCH(4,Transactions!$V$2:$V$5000,0))&amp;"")</f>
        <v>courses</v>
      </c>
      <c r="E110" s="6" t="str">
        <f>IF(4&gt;$B$105,"",INDEX(Transactions!$N$2:$N$5000,MATCH(4,Transactions!$V$2:$V$5000,0))&amp;"")</f>
        <v>Alimentation</v>
      </c>
      <c r="F110" s="11">
        <f>IF(4&gt;$B$105,"",INDEX(Transactions!$K$2:$K$5000,MATCH(4,Transactions!$V$2:$V$5000,0)))</f>
        <v>11.17</v>
      </c>
    </row>
    <row r="111" spans="1:6" x14ac:dyDescent="0.25">
      <c r="A111" s="24">
        <f>IF(5&gt;$B$105,"",INDEX(Transactions!$A$2:$A$5000,MATCH(5,Transactions!$V$2:$V$5000,0)))</f>
        <v>46238</v>
      </c>
      <c r="B111" s="6" t="str">
        <f>IF(5&gt;$B$105,"",INDEX(Transactions!$B$2:$B$5000,MATCH(5,Transactions!$V$2:$V$5000,0))&amp;"")</f>
        <v>Carburant</v>
      </c>
      <c r="C111" s="6" t="str">
        <f>IF(5&gt;$B$105,"",INDEX(Transactions!$C$2:$C$5000,MATCH(5,Transactions!$V$2:$V$5000,0))&amp;"")</f>
        <v>Banque A - Courant</v>
      </c>
      <c r="D111" s="6" t="str">
        <f>IF(5&gt;$B$105,"",INDEX(Transactions!$D$2:$D$5000,MATCH(5,Transactions!$V$2:$V$5000,0))&amp;"")</f>
        <v>Essence</v>
      </c>
      <c r="E111" s="6" t="str">
        <f>IF(5&gt;$B$105,"",INDEX(Transactions!$N$2:$N$5000,MATCH(5,Transactions!$V$2:$V$5000,0))&amp;"")</f>
        <v>Transport</v>
      </c>
      <c r="F111" s="11">
        <f>IF(5&gt;$B$105,"",INDEX(Transactions!$K$2:$K$5000,MATCH(5,Transactions!$V$2:$V$5000,0)))</f>
        <v>53.4</v>
      </c>
    </row>
    <row r="112" spans="1:6" x14ac:dyDescent="0.25">
      <c r="A112" s="24">
        <f>IF(6&gt;$B$105,"",INDEX(Transactions!$A$2:$A$5000,MATCH(6,Transactions!$V$2:$V$5000,0)))</f>
        <v>46239</v>
      </c>
      <c r="B112" s="6" t="str">
        <f>IF(6&gt;$B$105,"",INDEX(Transactions!$B$2:$B$5000,MATCH(6,Transactions!$V$2:$V$5000,0))&amp;"")</f>
        <v>Échéance prêt — capital</v>
      </c>
      <c r="C112" s="6" t="str">
        <f>IF(6&gt;$B$105,"",INDEX(Transactions!$C$2:$C$5000,MATCH(6,Transactions!$V$2:$V$5000,0))&amp;"")</f>
        <v>Banque C - Compte joint</v>
      </c>
      <c r="D112" s="6" t="str">
        <f>IF(6&gt;$B$105,"",INDEX(Transactions!$D$2:$D$5000,MATCH(6,Transactions!$V$2:$V$5000,0))&amp;"")</f>
        <v>Crédit Immobilier</v>
      </c>
      <c r="E112" s="6" t="str">
        <f>IF(6&gt;$B$105,"",INDEX(Transactions!$N$2:$N$5000,MATCH(6,Transactions!$V$2:$V$5000,0))&amp;"")</f>
        <v>Immobilier</v>
      </c>
      <c r="F112" s="11">
        <f>IF(6&gt;$B$105,"",INDEX(Transactions!$K$2:$K$5000,MATCH(6,Transactions!$V$2:$V$5000,0)))</f>
        <v>668.16</v>
      </c>
    </row>
    <row r="113" spans="1:6" x14ac:dyDescent="0.25">
      <c r="A113" s="24">
        <f>IF(7&gt;$B$105,"",INDEX(Transactions!$A$2:$A$5000,MATCH(7,Transactions!$V$2:$V$5000,0)))</f>
        <v>46239</v>
      </c>
      <c r="B113" s="6" t="str">
        <f>IF(7&gt;$B$105,"",INDEX(Transactions!$B$2:$B$5000,MATCH(7,Transactions!$V$2:$V$5000,0))&amp;"")</f>
        <v>Échéance prêt — intérêts</v>
      </c>
      <c r="C113" s="6" t="str">
        <f>IF(7&gt;$B$105,"",INDEX(Transactions!$C$2:$C$5000,MATCH(7,Transactions!$V$2:$V$5000,0))&amp;"")</f>
        <v>Banque C - Compte joint</v>
      </c>
      <c r="D113" s="6" t="str">
        <f>IF(7&gt;$B$105,"",INDEX(Transactions!$D$2:$D$5000,MATCH(7,Transactions!$V$2:$V$5000,0))&amp;"")</f>
        <v>Intérêt du prêt</v>
      </c>
      <c r="E113" s="6" t="str">
        <f>IF(7&gt;$B$105,"",INDEX(Transactions!$N$2:$N$5000,MATCH(7,Transactions!$V$2:$V$5000,0))&amp;"")</f>
        <v>Immobilier</v>
      </c>
      <c r="F113" s="11">
        <f>IF(7&gt;$B$105,"",INDEX(Transactions!$K$2:$K$5000,MATCH(7,Transactions!$V$2:$V$5000,0)))</f>
        <v>225.48</v>
      </c>
    </row>
    <row r="114" spans="1:6" x14ac:dyDescent="0.25">
      <c r="A114" s="24">
        <f>IF(8&gt;$B$105,"",INDEX(Transactions!$A$2:$A$5000,MATCH(8,Transactions!$V$2:$V$5000,0)))</f>
        <v>46239</v>
      </c>
      <c r="B114" s="6" t="str">
        <f>IF(8&gt;$B$105,"",INDEX(Transactions!$B$2:$B$5000,MATCH(8,Transactions!$V$2:$V$5000,0))&amp;"")</f>
        <v>Assurance prêt</v>
      </c>
      <c r="C114" s="6" t="str">
        <f>IF(8&gt;$B$105,"",INDEX(Transactions!$C$2:$C$5000,MATCH(8,Transactions!$V$2:$V$5000,0))&amp;"")</f>
        <v>Banque C - Compte joint</v>
      </c>
      <c r="D114" s="6" t="str">
        <f>IF(8&gt;$B$105,"",INDEX(Transactions!$D$2:$D$5000,MATCH(8,Transactions!$V$2:$V$5000,0))&amp;"")</f>
        <v>Assurance prêt</v>
      </c>
      <c r="E114" s="6" t="str">
        <f>IF(8&gt;$B$105,"",INDEX(Transactions!$N$2:$N$5000,MATCH(8,Transactions!$V$2:$V$5000,0))&amp;"")</f>
        <v>Assurances</v>
      </c>
      <c r="F114" s="11">
        <f>IF(8&gt;$B$105,"",INDEX(Transactions!$K$2:$K$5000,MATCH(8,Transactions!$V$2:$V$5000,0)))</f>
        <v>31.2</v>
      </c>
    </row>
    <row r="115" spans="1:6" x14ac:dyDescent="0.25">
      <c r="A115" s="24">
        <f>IF(9&gt;$B$105,"",INDEX(Transactions!$A$2:$A$5000,MATCH(9,Transactions!$V$2:$V$5000,0)))</f>
        <v>46240</v>
      </c>
      <c r="B115" s="6" t="str">
        <f>IF(9&gt;$B$105,"",INDEX(Transactions!$B$2:$B$5000,MATCH(9,Transactions!$V$2:$V$5000,0))&amp;"")</f>
        <v>Internet et Forfait téléphone</v>
      </c>
      <c r="C115" s="6" t="str">
        <f>IF(9&gt;$B$105,"",INDEX(Transactions!$C$2:$C$5000,MATCH(9,Transactions!$V$2:$V$5000,0))&amp;"")</f>
        <v>Banque A - Courant</v>
      </c>
      <c r="D115" s="6" t="str">
        <f>IF(9&gt;$B$105,"",INDEX(Transactions!$D$2:$D$5000,MATCH(9,Transactions!$V$2:$V$5000,0))&amp;"")</f>
        <v>Internet et Forfait téléphone</v>
      </c>
      <c r="E115" s="6" t="str">
        <f>IF(9&gt;$B$105,"",INDEX(Transactions!$N$2:$N$5000,MATCH(9,Transactions!$V$2:$V$5000,0))&amp;"")</f>
        <v>Autre</v>
      </c>
      <c r="F115" s="11">
        <f>IF(9&gt;$B$105,"",INDEX(Transactions!$K$2:$K$5000,MATCH(9,Transactions!$V$2:$V$5000,0)))</f>
        <v>49.9</v>
      </c>
    </row>
    <row r="116" spans="1:6" x14ac:dyDescent="0.25">
      <c r="A116" s="24">
        <f>IF(10&gt;$B$105,"",INDEX(Transactions!$A$2:$A$5000,MATCH(10,Transactions!$V$2:$V$5000,0)))</f>
        <v>46240</v>
      </c>
      <c r="B116" s="6" t="str">
        <f>IF(10&gt;$B$105,"",INDEX(Transactions!$B$2:$B$5000,MATCH(10,Transactions!$V$2:$V$5000,0))&amp;"")</f>
        <v>Titre restaurant</v>
      </c>
      <c r="C116" s="6" t="str">
        <f>IF(10&gt;$B$105,"",INDEX(Transactions!$C$2:$C$5000,MATCH(10,Transactions!$V$2:$V$5000,0))&amp;"")</f>
        <v>Titres-restaurant</v>
      </c>
      <c r="D116" s="6" t="str">
        <f>IF(10&gt;$B$105,"",INDEX(Transactions!$D$2:$D$5000,MATCH(10,Transactions!$V$2:$V$5000,0))&amp;"")</f>
        <v>cantine</v>
      </c>
      <c r="E116" s="6" t="str">
        <f>IF(10&gt;$B$105,"",INDEX(Transactions!$N$2:$N$5000,MATCH(10,Transactions!$V$2:$V$5000,0))&amp;"")</f>
        <v>Alimentation</v>
      </c>
      <c r="F116" s="11">
        <f>IF(10&gt;$B$105,"",INDEX(Transactions!$K$2:$K$5000,MATCH(10,Transactions!$V$2:$V$5000,0)))</f>
        <v>13.58</v>
      </c>
    </row>
    <row r="117" spans="1:6" x14ac:dyDescent="0.25">
      <c r="A117" s="24">
        <f>IF(11&gt;$B$105,"",INDEX(Transactions!$A$2:$A$5000,MATCH(11,Transactions!$V$2:$V$5000,0)))</f>
        <v>46242</v>
      </c>
      <c r="B117" s="6" t="str">
        <f>IF(11&gt;$B$105,"",INDEX(Transactions!$B$2:$B$5000,MATCH(11,Transactions!$V$2:$V$5000,0))&amp;"")</f>
        <v>Frais de Copropriété</v>
      </c>
      <c r="C117" s="6" t="str">
        <f>IF(11&gt;$B$105,"",INDEX(Transactions!$C$2:$C$5000,MATCH(11,Transactions!$V$2:$V$5000,0))&amp;"")</f>
        <v>Banque C - Compte joint</v>
      </c>
      <c r="D117" s="6" t="str">
        <f>IF(11&gt;$B$105,"",INDEX(Transactions!$D$2:$D$5000,MATCH(11,Transactions!$V$2:$V$5000,0))&amp;"")</f>
        <v>Frais de Copropriété</v>
      </c>
      <c r="E117" s="6" t="str">
        <f>IF(11&gt;$B$105,"",INDEX(Transactions!$N$2:$N$5000,MATCH(11,Transactions!$V$2:$V$5000,0))&amp;"")</f>
        <v>Immobilier</v>
      </c>
      <c r="F117" s="11">
        <f>IF(11&gt;$B$105,"",INDEX(Transactions!$K$2:$K$5000,MATCH(11,Transactions!$V$2:$V$5000,0)))</f>
        <v>168</v>
      </c>
    </row>
    <row r="118" spans="1:6" x14ac:dyDescent="0.25">
      <c r="A118" s="24">
        <f>IF(12&gt;$B$105,"",INDEX(Transactions!$A$2:$A$5000,MATCH(12,Transactions!$V$2:$V$5000,0)))</f>
        <v>46243</v>
      </c>
      <c r="B118" s="6" t="str">
        <f>IF(12&gt;$B$105,"",INDEX(Transactions!$B$2:$B$5000,MATCH(12,Transactions!$V$2:$V$5000,0))&amp;"")</f>
        <v>Titre restaurant</v>
      </c>
      <c r="C118" s="6" t="str">
        <f>IF(12&gt;$B$105,"",INDEX(Transactions!$C$2:$C$5000,MATCH(12,Transactions!$V$2:$V$5000,0))&amp;"")</f>
        <v>Titres-restaurant</v>
      </c>
      <c r="D118" s="6" t="str">
        <f>IF(12&gt;$B$105,"",INDEX(Transactions!$D$2:$D$5000,MATCH(12,Transactions!$V$2:$V$5000,0))&amp;"")</f>
        <v>cantine</v>
      </c>
      <c r="E118" s="6" t="str">
        <f>IF(12&gt;$B$105,"",INDEX(Transactions!$N$2:$N$5000,MATCH(12,Transactions!$V$2:$V$5000,0))&amp;"")</f>
        <v>Alimentation</v>
      </c>
      <c r="F118" s="11">
        <f>IF(12&gt;$B$105,"",INDEX(Transactions!$K$2:$K$5000,MATCH(12,Transactions!$V$2:$V$5000,0)))</f>
        <v>12.29</v>
      </c>
    </row>
    <row r="119" spans="1:6" x14ac:dyDescent="0.25">
      <c r="A119" s="24">
        <f>IF(13&gt;$B$105,"",INDEX(Transactions!$A$2:$A$5000,MATCH(13,Transactions!$V$2:$V$5000,0)))</f>
        <v>46244</v>
      </c>
      <c r="B119" s="6" t="str">
        <f>IF(13&gt;$B$105,"",INDEX(Transactions!$B$2:$B$5000,MATCH(13,Transactions!$V$2:$V$5000,0))&amp;"")</f>
        <v>Assurance habitation</v>
      </c>
      <c r="C119" s="6" t="str">
        <f>IF(13&gt;$B$105,"",INDEX(Transactions!$C$2:$C$5000,MATCH(13,Transactions!$V$2:$V$5000,0))&amp;"")</f>
        <v>Banque A - Courant</v>
      </c>
      <c r="D119" s="6" t="str">
        <f>IF(13&gt;$B$105,"",INDEX(Transactions!$D$2:$D$5000,MATCH(13,Transactions!$V$2:$V$5000,0))&amp;"")</f>
        <v>Assurance habitation</v>
      </c>
      <c r="E119" s="6" t="str">
        <f>IF(13&gt;$B$105,"",INDEX(Transactions!$N$2:$N$5000,MATCH(13,Transactions!$V$2:$V$5000,0))&amp;"")</f>
        <v>Assurances</v>
      </c>
      <c r="F119" s="11">
        <f>IF(13&gt;$B$105,"",INDEX(Transactions!$K$2:$K$5000,MATCH(13,Transactions!$V$2:$V$5000,0)))</f>
        <v>22.4</v>
      </c>
    </row>
    <row r="120" spans="1:6" x14ac:dyDescent="0.25">
      <c r="A120" s="24">
        <f>IF(14&gt;$B$105,"",INDEX(Transactions!$A$2:$A$5000,MATCH(14,Transactions!$V$2:$V$5000,0)))</f>
        <v>46244</v>
      </c>
      <c r="B120" s="6" t="str">
        <f>IF(14&gt;$B$105,"",INDEX(Transactions!$B$2:$B$5000,MATCH(14,Transactions!$V$2:$V$5000,0))&amp;"")</f>
        <v>Achat carte</v>
      </c>
      <c r="C120" s="6" t="str">
        <f>IF(14&gt;$B$105,"",INDEX(Transactions!$C$2:$C$5000,MATCH(14,Transactions!$V$2:$V$5000,0))&amp;"")</f>
        <v>Banque A - Part commune</v>
      </c>
      <c r="D120" s="6" t="str">
        <f>IF(14&gt;$B$105,"",INDEX(Transactions!$D$2:$D$5000,MATCH(14,Transactions!$V$2:$V$5000,0))&amp;"")</f>
        <v>courses</v>
      </c>
      <c r="E120" s="6" t="str">
        <f>IF(14&gt;$B$105,"",INDEX(Transactions!$N$2:$N$5000,MATCH(14,Transactions!$V$2:$V$5000,0))&amp;"")</f>
        <v>Alimentation</v>
      </c>
      <c r="F120" s="11">
        <f>IF(14&gt;$B$105,"",INDEX(Transactions!$K$2:$K$5000,MATCH(14,Transactions!$V$2:$V$5000,0)))</f>
        <v>28.5</v>
      </c>
    </row>
    <row r="121" spans="1:6" x14ac:dyDescent="0.25">
      <c r="A121" s="24">
        <f>IF(15&gt;$B$105,"",INDEX(Transactions!$A$2:$A$5000,MATCH(15,Transactions!$V$2:$V$5000,0)))</f>
        <v>46245</v>
      </c>
      <c r="B121" s="6" t="str">
        <f>IF(15&gt;$B$105,"",INDEX(Transactions!$B$2:$B$5000,MATCH(15,Transactions!$V$2:$V$5000,0))&amp;"")</f>
        <v>Santé</v>
      </c>
      <c r="C121" s="6" t="str">
        <f>IF(15&gt;$B$105,"",INDEX(Transactions!$C$2:$C$5000,MATCH(15,Transactions!$V$2:$V$5000,0))&amp;"")</f>
        <v>Banque A - Courant</v>
      </c>
      <c r="D121" s="6" t="str">
        <f>IF(15&gt;$B$105,"",INDEX(Transactions!$D$2:$D$5000,MATCH(15,Transactions!$V$2:$V$5000,0))&amp;"")</f>
        <v>Pharmacie</v>
      </c>
      <c r="E121" s="6" t="str">
        <f>IF(15&gt;$B$105,"",INDEX(Transactions!$N$2:$N$5000,MATCH(15,Transactions!$V$2:$V$5000,0))&amp;"")</f>
        <v>Santé</v>
      </c>
      <c r="F121" s="11">
        <f>IF(15&gt;$B$105,"",INDEX(Transactions!$K$2:$K$5000,MATCH(15,Transactions!$V$2:$V$5000,0)))</f>
        <v>64.08</v>
      </c>
    </row>
    <row r="122" spans="1:6" x14ac:dyDescent="0.25">
      <c r="A122" s="24">
        <f>IF(16&gt;$B$105,"",INDEX(Transactions!$A$2:$A$5000,MATCH(16,Transactions!$V$2:$V$5000,0)))</f>
        <v>46245</v>
      </c>
      <c r="B122" s="6" t="str">
        <f>IF(16&gt;$B$105,"",INDEX(Transactions!$B$2:$B$5000,MATCH(16,Transactions!$V$2:$V$5000,0))&amp;"")</f>
        <v>Équipement</v>
      </c>
      <c r="C122" s="6" t="str">
        <f>IF(16&gt;$B$105,"",INDEX(Transactions!$C$2:$C$5000,MATCH(16,Transactions!$V$2:$V$5000,0))&amp;"")</f>
        <v>Banque A - Part commune</v>
      </c>
      <c r="D122" s="6" t="str">
        <f>IF(16&gt;$B$105,"",INDEX(Transactions!$D$2:$D$5000,MATCH(16,Transactions!$V$2:$V$5000,0))&amp;"")</f>
        <v>Équipement</v>
      </c>
      <c r="E122" s="6" t="str">
        <f>IF(16&gt;$B$105,"",INDEX(Transactions!$N$2:$N$5000,MATCH(16,Transactions!$V$2:$V$5000,0))&amp;"")</f>
        <v>Autre</v>
      </c>
      <c r="F122" s="11">
        <f>IF(16&gt;$B$105,"",INDEX(Transactions!$K$2:$K$5000,MATCH(16,Transactions!$V$2:$V$5000,0)))</f>
        <v>50.28</v>
      </c>
    </row>
    <row r="123" spans="1:6" x14ac:dyDescent="0.25">
      <c r="A123" s="24">
        <f>IF(17&gt;$B$105,"",INDEX(Transactions!$A$2:$A$5000,MATCH(17,Transactions!$V$2:$V$5000,0)))</f>
        <v>46246</v>
      </c>
      <c r="B123" s="6" t="str">
        <f>IF(17&gt;$B$105,"",INDEX(Transactions!$B$2:$B$5000,MATCH(17,Transactions!$V$2:$V$5000,0))&amp;"")</f>
        <v>Assurance auto</v>
      </c>
      <c r="C123" s="6" t="str">
        <f>IF(17&gt;$B$105,"",INDEX(Transactions!$C$2:$C$5000,MATCH(17,Transactions!$V$2:$V$5000,0))&amp;"")</f>
        <v>Banque A - Courant</v>
      </c>
      <c r="D123" s="6" t="str">
        <f>IF(17&gt;$B$105,"",INDEX(Transactions!$D$2:$D$5000,MATCH(17,Transactions!$V$2:$V$5000,0))&amp;"")</f>
        <v>Assurance auto</v>
      </c>
      <c r="E123" s="6" t="str">
        <f>IF(17&gt;$B$105,"",INDEX(Transactions!$N$2:$N$5000,MATCH(17,Transactions!$V$2:$V$5000,0))&amp;"")</f>
        <v>Assurances</v>
      </c>
      <c r="F123" s="11">
        <f>IF(17&gt;$B$105,"",INDEX(Transactions!$K$2:$K$5000,MATCH(17,Transactions!$V$2:$V$5000,0)))</f>
        <v>47.9</v>
      </c>
    </row>
    <row r="124" spans="1:6" x14ac:dyDescent="0.25">
      <c r="A124" s="24">
        <f>IF(18&gt;$B$105,"",INDEX(Transactions!$A$2:$A$5000,MATCH(18,Transactions!$V$2:$V$5000,0)))</f>
        <v>46246</v>
      </c>
      <c r="B124" s="6" t="str">
        <f>IF(18&gt;$B$105,"",INDEX(Transactions!$B$2:$B$5000,MATCH(18,Transactions!$V$2:$V$5000,0))&amp;"")</f>
        <v>Achat carte</v>
      </c>
      <c r="C124" s="6" t="str">
        <f>IF(18&gt;$B$105,"",INDEX(Transactions!$C$2:$C$5000,MATCH(18,Transactions!$V$2:$V$5000,0))&amp;"")</f>
        <v>Banque B - Compte joint</v>
      </c>
      <c r="D124" s="6" t="str">
        <f>IF(18&gt;$B$105,"",INDEX(Transactions!$D$2:$D$5000,MATCH(18,Transactions!$V$2:$V$5000,0))&amp;"")</f>
        <v>courses</v>
      </c>
      <c r="E124" s="6" t="str">
        <f>IF(18&gt;$B$105,"",INDEX(Transactions!$N$2:$N$5000,MATCH(18,Transactions!$V$2:$V$5000,0))&amp;"")</f>
        <v>Alimentation</v>
      </c>
      <c r="F124" s="11">
        <f>IF(18&gt;$B$105,"",INDEX(Transactions!$K$2:$K$5000,MATCH(18,Transactions!$V$2:$V$5000,0)))</f>
        <v>57.45</v>
      </c>
    </row>
    <row r="125" spans="1:6" x14ac:dyDescent="0.25">
      <c r="A125" s="24">
        <f>IF(19&gt;$B$105,"",INDEX(Transactions!$A$2:$A$5000,MATCH(19,Transactions!$V$2:$V$5000,0)))</f>
        <v>46247</v>
      </c>
      <c r="B125" s="6" t="str">
        <f>IF(19&gt;$B$105,"",INDEX(Transactions!$B$2:$B$5000,MATCH(19,Transactions!$V$2:$V$5000,0))&amp;"")</f>
        <v>Achat carte</v>
      </c>
      <c r="C125" s="6" t="str">
        <f>IF(19&gt;$B$105,"",INDEX(Transactions!$C$2:$C$5000,MATCH(19,Transactions!$V$2:$V$5000,0))&amp;"")</f>
        <v>Banque B - Compte joint</v>
      </c>
      <c r="D125" s="6" t="str">
        <f>IF(19&gt;$B$105,"",INDEX(Transactions!$D$2:$D$5000,MATCH(19,Transactions!$V$2:$V$5000,0))&amp;"")</f>
        <v>courses</v>
      </c>
      <c r="E125" s="6" t="str">
        <f>IF(19&gt;$B$105,"",INDEX(Transactions!$N$2:$N$5000,MATCH(19,Transactions!$V$2:$V$5000,0))&amp;"")</f>
        <v>Alimentation</v>
      </c>
      <c r="F125" s="11">
        <f>IF(19&gt;$B$105,"",INDEX(Transactions!$K$2:$K$5000,MATCH(19,Transactions!$V$2:$V$5000,0)))</f>
        <v>51.58</v>
      </c>
    </row>
    <row r="126" spans="1:6" x14ac:dyDescent="0.25">
      <c r="A126" s="24">
        <f>IF(20&gt;$B$105,"",INDEX(Transactions!$A$2:$A$5000,MATCH(20,Transactions!$V$2:$V$5000,0)))</f>
        <v>46247</v>
      </c>
      <c r="B126" s="6" t="str">
        <f>IF(20&gt;$B$105,"",INDEX(Transactions!$B$2:$B$5000,MATCH(20,Transactions!$V$2:$V$5000,0))&amp;"")</f>
        <v>Titre restaurant</v>
      </c>
      <c r="C126" s="6" t="str">
        <f>IF(20&gt;$B$105,"",INDEX(Transactions!$C$2:$C$5000,MATCH(20,Transactions!$V$2:$V$5000,0))&amp;"")</f>
        <v>Titres-restaurant</v>
      </c>
      <c r="D126" s="6" t="str">
        <f>IF(20&gt;$B$105,"",INDEX(Transactions!$D$2:$D$5000,MATCH(20,Transactions!$V$2:$V$5000,0))&amp;"")</f>
        <v>cantine</v>
      </c>
      <c r="E126" s="6" t="str">
        <f>IF(20&gt;$B$105,"",INDEX(Transactions!$N$2:$N$5000,MATCH(20,Transactions!$V$2:$V$5000,0))&amp;"")</f>
        <v>Alimentation</v>
      </c>
      <c r="F126" s="11">
        <f>IF(20&gt;$B$105,"",INDEX(Transactions!$K$2:$K$5000,MATCH(20,Transactions!$V$2:$V$5000,0)))</f>
        <v>8.49</v>
      </c>
    </row>
    <row r="127" spans="1:6" x14ac:dyDescent="0.25">
      <c r="A127" s="24">
        <f>IF(21&gt;$B$105,"",INDEX(Transactions!$A$2:$A$5000,MATCH(21,Transactions!$V$2:$V$5000,0)))</f>
        <v>46249</v>
      </c>
      <c r="B127" s="6" t="str">
        <f>IF(21&gt;$B$105,"",INDEX(Transactions!$B$2:$B$5000,MATCH(21,Transactions!$V$2:$V$5000,0))&amp;"")</f>
        <v>Electricité</v>
      </c>
      <c r="C127" s="6" t="str">
        <f>IF(21&gt;$B$105,"",INDEX(Transactions!$C$2:$C$5000,MATCH(21,Transactions!$V$2:$V$5000,0))&amp;"")</f>
        <v>Banque C - Compte joint</v>
      </c>
      <c r="D127" s="6" t="str">
        <f>IF(21&gt;$B$105,"",INDEX(Transactions!$D$2:$D$5000,MATCH(21,Transactions!$V$2:$V$5000,0))&amp;"")</f>
        <v>Electricité</v>
      </c>
      <c r="E127" s="6" t="str">
        <f>IF(21&gt;$B$105,"",INDEX(Transactions!$N$2:$N$5000,MATCH(21,Transactions!$V$2:$V$5000,0))&amp;"")</f>
        <v>Immobilier</v>
      </c>
      <c r="F127" s="11">
        <f>IF(21&gt;$B$105,"",INDEX(Transactions!$K$2:$K$5000,MATCH(21,Transactions!$V$2:$V$5000,0)))</f>
        <v>105.95</v>
      </c>
    </row>
    <row r="128" spans="1:6" x14ac:dyDescent="0.25">
      <c r="A128" s="24">
        <f>IF(22&gt;$B$105,"",INDEX(Transactions!$A$2:$A$5000,MATCH(22,Transactions!$V$2:$V$5000,0)))</f>
        <v>46249</v>
      </c>
      <c r="B128" s="6" t="str">
        <f>IF(22&gt;$B$105,"",INDEX(Transactions!$B$2:$B$5000,MATCH(22,Transactions!$V$2:$V$5000,0))&amp;"")</f>
        <v>Habillement</v>
      </c>
      <c r="C128" s="6" t="str">
        <f>IF(22&gt;$B$105,"",INDEX(Transactions!$C$2:$C$5000,MATCH(22,Transactions!$V$2:$V$5000,0))&amp;"")</f>
        <v>Banque A - Courant</v>
      </c>
      <c r="D128" s="6" t="str">
        <f>IF(22&gt;$B$105,"",INDEX(Transactions!$D$2:$D$5000,MATCH(22,Transactions!$V$2:$V$5000,0))&amp;"")</f>
        <v>Vêtement courant</v>
      </c>
      <c r="E128" s="6" t="str">
        <f>IF(22&gt;$B$105,"",INDEX(Transactions!$N$2:$N$5000,MATCH(22,Transactions!$V$2:$V$5000,0))&amp;"")</f>
        <v>Habillement</v>
      </c>
      <c r="F128" s="11">
        <f>IF(22&gt;$B$105,"",INDEX(Transactions!$K$2:$K$5000,MATCH(22,Transactions!$V$2:$V$5000,0)))</f>
        <v>65.91</v>
      </c>
    </row>
    <row r="129" spans="1:6" x14ac:dyDescent="0.25">
      <c r="A129" s="24">
        <f>IF(23&gt;$B$105,"",INDEX(Transactions!$A$2:$A$5000,MATCH(23,Transactions!$V$2:$V$5000,0)))</f>
        <v>46251</v>
      </c>
      <c r="B129" s="6" t="str">
        <f>IF(23&gt;$B$105,"",INDEX(Transactions!$B$2:$B$5000,MATCH(23,Transactions!$V$2:$V$5000,0))&amp;"")</f>
        <v>Titre restaurant</v>
      </c>
      <c r="C129" s="6" t="str">
        <f>IF(23&gt;$B$105,"",INDEX(Transactions!$C$2:$C$5000,MATCH(23,Transactions!$V$2:$V$5000,0))&amp;"")</f>
        <v>Titres-restaurant</v>
      </c>
      <c r="D129" s="6" t="str">
        <f>IF(23&gt;$B$105,"",INDEX(Transactions!$D$2:$D$5000,MATCH(23,Transactions!$V$2:$V$5000,0))&amp;"")</f>
        <v>cantine</v>
      </c>
      <c r="E129" s="6" t="str">
        <f>IF(23&gt;$B$105,"",INDEX(Transactions!$N$2:$N$5000,MATCH(23,Transactions!$V$2:$V$5000,0))&amp;"")</f>
        <v>Alimentation</v>
      </c>
      <c r="F129" s="11">
        <f>IF(23&gt;$B$105,"",INDEX(Transactions!$K$2:$K$5000,MATCH(23,Transactions!$V$2:$V$5000,0)))</f>
        <v>13.92</v>
      </c>
    </row>
    <row r="130" spans="1:6" x14ac:dyDescent="0.25">
      <c r="A130" s="24">
        <f>IF(24&gt;$B$105,"",INDEX(Transactions!$A$2:$A$5000,MATCH(24,Transactions!$V$2:$V$5000,0)))</f>
        <v>46251</v>
      </c>
      <c r="B130" s="6" t="str">
        <f>IF(24&gt;$B$105,"",INDEX(Transactions!$B$2:$B$5000,MATCH(24,Transactions!$V$2:$V$5000,0))&amp;"")</f>
        <v>Titre restaurant</v>
      </c>
      <c r="C130" s="6" t="str">
        <f>IF(24&gt;$B$105,"",INDEX(Transactions!$C$2:$C$5000,MATCH(24,Transactions!$V$2:$V$5000,0))&amp;"")</f>
        <v>Titres-restaurant</v>
      </c>
      <c r="D130" s="6" t="str">
        <f>IF(24&gt;$B$105,"",INDEX(Transactions!$D$2:$D$5000,MATCH(24,Transactions!$V$2:$V$5000,0))&amp;"")</f>
        <v>cantine</v>
      </c>
      <c r="E130" s="6" t="str">
        <f>IF(24&gt;$B$105,"",INDEX(Transactions!$N$2:$N$5000,MATCH(24,Transactions!$V$2:$V$5000,0))&amp;"")</f>
        <v>Alimentation</v>
      </c>
      <c r="F130" s="11">
        <f>IF(24&gt;$B$105,"",INDEX(Transactions!$K$2:$K$5000,MATCH(24,Transactions!$V$2:$V$5000,0)))</f>
        <v>12.8</v>
      </c>
    </row>
    <row r="131" spans="1:6" x14ac:dyDescent="0.25">
      <c r="A131" s="24">
        <f>IF(25&gt;$B$105,"",INDEX(Transactions!$A$2:$A$5000,MATCH(25,Transactions!$V$2:$V$5000,0)))</f>
        <v>46252</v>
      </c>
      <c r="B131" s="6" t="str">
        <f>IF(25&gt;$B$105,"",INDEX(Transactions!$B$2:$B$5000,MATCH(25,Transactions!$V$2:$V$5000,0))&amp;"")</f>
        <v>Impôt sur Revenu</v>
      </c>
      <c r="C131" s="6" t="str">
        <f>IF(25&gt;$B$105,"",INDEX(Transactions!$C$2:$C$5000,MATCH(25,Transactions!$V$2:$V$5000,0))&amp;"")</f>
        <v>Banque A - Courant</v>
      </c>
      <c r="D131" s="6" t="str">
        <f>IF(25&gt;$B$105,"",INDEX(Transactions!$D$2:$D$5000,MATCH(25,Transactions!$V$2:$V$5000,0))&amp;"")</f>
        <v>Impôt sur Revenu</v>
      </c>
      <c r="E131" s="6" t="str">
        <f>IF(25&gt;$B$105,"",INDEX(Transactions!$N$2:$N$5000,MATCH(25,Transactions!$V$2:$V$5000,0))&amp;"")</f>
        <v>Impots</v>
      </c>
      <c r="F131" s="11">
        <f>IF(25&gt;$B$105,"",INDEX(Transactions!$K$2:$K$5000,MATCH(25,Transactions!$V$2:$V$5000,0)))</f>
        <v>212</v>
      </c>
    </row>
    <row r="132" spans="1:6" x14ac:dyDescent="0.25">
      <c r="A132" s="24">
        <f>IF(26&gt;$B$105,"",INDEX(Transactions!$A$2:$A$5000,MATCH(26,Transactions!$V$2:$V$5000,0)))</f>
        <v>46252</v>
      </c>
      <c r="B132" s="6" t="str">
        <f>IF(26&gt;$B$105,"",INDEX(Transactions!$B$2:$B$5000,MATCH(26,Transactions!$V$2:$V$5000,0))&amp;"")</f>
        <v>Titre restaurant</v>
      </c>
      <c r="C132" s="6" t="str">
        <f>IF(26&gt;$B$105,"",INDEX(Transactions!$C$2:$C$5000,MATCH(26,Transactions!$V$2:$V$5000,0))&amp;"")</f>
        <v>Titres-restaurant</v>
      </c>
      <c r="D132" s="6" t="str">
        <f>IF(26&gt;$B$105,"",INDEX(Transactions!$D$2:$D$5000,MATCH(26,Transactions!$V$2:$V$5000,0))&amp;"")</f>
        <v>cantine</v>
      </c>
      <c r="E132" s="6" t="str">
        <f>IF(26&gt;$B$105,"",INDEX(Transactions!$N$2:$N$5000,MATCH(26,Transactions!$V$2:$V$5000,0))&amp;"")</f>
        <v>Alimentation</v>
      </c>
      <c r="F132" s="11">
        <f>IF(26&gt;$B$105,"",INDEX(Transactions!$K$2:$K$5000,MATCH(26,Transactions!$V$2:$V$5000,0)))</f>
        <v>9.03</v>
      </c>
    </row>
    <row r="133" spans="1:6" x14ac:dyDescent="0.25">
      <c r="A133" s="24">
        <f>IF(27&gt;$B$105,"",INDEX(Transactions!$A$2:$A$5000,MATCH(27,Transactions!$V$2:$V$5000,0)))</f>
        <v>46253</v>
      </c>
      <c r="B133" s="6" t="str">
        <f>IF(27&gt;$B$105,"",INDEX(Transactions!$B$2:$B$5000,MATCH(27,Transactions!$V$2:$V$5000,0))&amp;"")</f>
        <v>Achat carte</v>
      </c>
      <c r="C133" s="6" t="str">
        <f>IF(27&gt;$B$105,"",INDEX(Transactions!$C$2:$C$5000,MATCH(27,Transactions!$V$2:$V$5000,0))&amp;"")</f>
        <v>Banque A - Part commune</v>
      </c>
      <c r="D133" s="6" t="str">
        <f>IF(27&gt;$B$105,"",INDEX(Transactions!$D$2:$D$5000,MATCH(27,Transactions!$V$2:$V$5000,0))&amp;"")</f>
        <v>courses</v>
      </c>
      <c r="E133" s="6" t="str">
        <f>IF(27&gt;$B$105,"",INDEX(Transactions!$N$2:$N$5000,MATCH(27,Transactions!$V$2:$V$5000,0))&amp;"")</f>
        <v>Alimentation</v>
      </c>
      <c r="F133" s="11">
        <f>IF(27&gt;$B$105,"",INDEX(Transactions!$K$2:$K$5000,MATCH(27,Transactions!$V$2:$V$5000,0)))</f>
        <v>20.15</v>
      </c>
    </row>
    <row r="134" spans="1:6" x14ac:dyDescent="0.25">
      <c r="A134" s="24">
        <f>IF(28&gt;$B$105,"",INDEX(Transactions!$A$2:$A$5000,MATCH(28,Transactions!$V$2:$V$5000,0)))</f>
        <v>46253</v>
      </c>
      <c r="B134" s="6" t="str">
        <f>IF(28&gt;$B$105,"",INDEX(Transactions!$B$2:$B$5000,MATCH(28,Transactions!$V$2:$V$5000,0))&amp;"")</f>
        <v>Carburant</v>
      </c>
      <c r="C134" s="6" t="str">
        <f>IF(28&gt;$B$105,"",INDEX(Transactions!$C$2:$C$5000,MATCH(28,Transactions!$V$2:$V$5000,0))&amp;"")</f>
        <v>Banque A - Courant</v>
      </c>
      <c r="D134" s="6" t="str">
        <f>IF(28&gt;$B$105,"",INDEX(Transactions!$D$2:$D$5000,MATCH(28,Transactions!$V$2:$V$5000,0))&amp;"")</f>
        <v>Essence</v>
      </c>
      <c r="E134" s="6" t="str">
        <f>IF(28&gt;$B$105,"",INDEX(Transactions!$N$2:$N$5000,MATCH(28,Transactions!$V$2:$V$5000,0))&amp;"")</f>
        <v>Transport</v>
      </c>
      <c r="F134" s="11">
        <f>IF(28&gt;$B$105,"",INDEX(Transactions!$K$2:$K$5000,MATCH(28,Transactions!$V$2:$V$5000,0)))</f>
        <v>63.57</v>
      </c>
    </row>
    <row r="135" spans="1:6" x14ac:dyDescent="0.25">
      <c r="A135" s="24">
        <f>IF(29&gt;$B$105,"",INDEX(Transactions!$A$2:$A$5000,MATCH(29,Transactions!$V$2:$V$5000,0)))</f>
        <v>46257</v>
      </c>
      <c r="B135" s="6" t="str">
        <f>IF(29&gt;$B$105,"",INDEX(Transactions!$B$2:$B$5000,MATCH(29,Transactions!$V$2:$V$5000,0))&amp;"")</f>
        <v>Titre restaurant</v>
      </c>
      <c r="C135" s="6" t="str">
        <f>IF(29&gt;$B$105,"",INDEX(Transactions!$C$2:$C$5000,MATCH(29,Transactions!$V$2:$V$5000,0))&amp;"")</f>
        <v>Titres-restaurant</v>
      </c>
      <c r="D135" s="6" t="str">
        <f>IF(29&gt;$B$105,"",INDEX(Transactions!$D$2:$D$5000,MATCH(29,Transactions!$V$2:$V$5000,0))&amp;"")</f>
        <v>cantine</v>
      </c>
      <c r="E135" s="6" t="str">
        <f>IF(29&gt;$B$105,"",INDEX(Transactions!$N$2:$N$5000,MATCH(29,Transactions!$V$2:$V$5000,0))&amp;"")</f>
        <v>Alimentation</v>
      </c>
      <c r="F135" s="11">
        <f>IF(29&gt;$B$105,"",INDEX(Transactions!$K$2:$K$5000,MATCH(29,Transactions!$V$2:$V$5000,0)))</f>
        <v>9.9</v>
      </c>
    </row>
    <row r="136" spans="1:6" x14ac:dyDescent="0.25">
      <c r="A136" s="24">
        <f>IF(30&gt;$B$105,"",INDEX(Transactions!$A$2:$A$5000,MATCH(30,Transactions!$V$2:$V$5000,0)))</f>
        <v>46258</v>
      </c>
      <c r="B136" s="6" t="str">
        <f>IF(30&gt;$B$105,"",INDEX(Transactions!$B$2:$B$5000,MATCH(30,Transactions!$V$2:$V$5000,0))&amp;"")</f>
        <v>Cadeaux</v>
      </c>
      <c r="C136" s="6" t="str">
        <f>IF(30&gt;$B$105,"",INDEX(Transactions!$C$2:$C$5000,MATCH(30,Transactions!$V$2:$V$5000,0))&amp;"")</f>
        <v>Appli partagée - Part commune</v>
      </c>
      <c r="D136" s="6" t="str">
        <f>IF(30&gt;$B$105,"",INDEX(Transactions!$D$2:$D$5000,MATCH(30,Transactions!$V$2:$V$5000,0))&amp;"")</f>
        <v>Cadeaux</v>
      </c>
      <c r="E136" s="6" t="str">
        <f>IF(30&gt;$B$105,"",INDEX(Transactions!$N$2:$N$5000,MATCH(30,Transactions!$V$2:$V$5000,0))&amp;"")</f>
        <v>Autre</v>
      </c>
      <c r="F136" s="11">
        <f>IF(30&gt;$B$105,"",INDEX(Transactions!$K$2:$K$5000,MATCH(30,Transactions!$V$2:$V$5000,0)))</f>
        <v>25.25</v>
      </c>
    </row>
    <row r="137" spans="1:6" x14ac:dyDescent="0.25">
      <c r="A137" s="24">
        <f>IF(31&gt;$B$105,"",INDEX(Transactions!$A$2:$A$5000,MATCH(31,Transactions!$V$2:$V$5000,0)))</f>
        <v>46260</v>
      </c>
      <c r="B137" s="6" t="str">
        <f>IF(31&gt;$B$105,"",INDEX(Transactions!$B$2:$B$5000,MATCH(31,Transactions!$V$2:$V$5000,0))&amp;"")</f>
        <v>Achat carte</v>
      </c>
      <c r="C137" s="6" t="str">
        <f>IF(31&gt;$B$105,"",INDEX(Transactions!$C$2:$C$5000,MATCH(31,Transactions!$V$2:$V$5000,0))&amp;"")</f>
        <v>Banque A - Part commune</v>
      </c>
      <c r="D137" s="6" t="str">
        <f>IF(31&gt;$B$105,"",INDEX(Transactions!$D$2:$D$5000,MATCH(31,Transactions!$V$2:$V$5000,0))&amp;"")</f>
        <v>courses</v>
      </c>
      <c r="E137" s="6" t="str">
        <f>IF(31&gt;$B$105,"",INDEX(Transactions!$N$2:$N$5000,MATCH(31,Transactions!$V$2:$V$5000,0))&amp;"")</f>
        <v>Alimentation</v>
      </c>
      <c r="F137" s="11">
        <f>IF(31&gt;$B$105,"",INDEX(Transactions!$K$2:$K$5000,MATCH(31,Transactions!$V$2:$V$5000,0)))</f>
        <v>78.54</v>
      </c>
    </row>
    <row r="138" spans="1:6" x14ac:dyDescent="0.25">
      <c r="A138" s="24">
        <f>IF(32&gt;$B$105,"",INDEX(Transactions!$A$2:$A$5000,MATCH(32,Transactions!$V$2:$V$5000,0)))</f>
        <v>46260</v>
      </c>
      <c r="B138" s="6" t="str">
        <f>IF(32&gt;$B$105,"",INDEX(Transactions!$B$2:$B$5000,MATCH(32,Transactions!$V$2:$V$5000,0))&amp;"")</f>
        <v>Virement épargne</v>
      </c>
      <c r="C138" s="6" t="str">
        <f>IF(32&gt;$B$105,"",INDEX(Transactions!$C$2:$C$5000,MATCH(32,Transactions!$V$2:$V$5000,0))&amp;"")</f>
        <v>Banque A - Courant</v>
      </c>
      <c r="D138" s="6" t="str">
        <f>IF(32&gt;$B$105,"",INDEX(Transactions!$D$2:$D$5000,MATCH(32,Transactions!$V$2:$V$5000,0))&amp;"")</f>
        <v>Epargne Banque C</v>
      </c>
      <c r="E138" s="6" t="str">
        <f>IF(32&gt;$B$105,"",INDEX(Transactions!$N$2:$N$5000,MATCH(32,Transactions!$V$2:$V$5000,0))&amp;"")</f>
        <v>Comptes Bancaires</v>
      </c>
      <c r="F138" s="11">
        <f>IF(32&gt;$B$105,"",INDEX(Transactions!$K$2:$K$5000,MATCH(32,Transactions!$V$2:$V$5000,0)))</f>
        <v>200</v>
      </c>
    </row>
    <row r="139" spans="1:6" x14ac:dyDescent="0.25">
      <c r="A139" s="24">
        <f>IF(33&gt;$B$105,"",INDEX(Transactions!$A$2:$A$5000,MATCH(33,Transactions!$V$2:$V$5000,0)))</f>
        <v>46260</v>
      </c>
      <c r="B139" s="6" t="str">
        <f>IF(33&gt;$B$105,"",INDEX(Transactions!$B$2:$B$5000,MATCH(33,Transactions!$V$2:$V$5000,0))&amp;"")</f>
        <v>Versement assurance-vie</v>
      </c>
      <c r="C139" s="6" t="str">
        <f>IF(33&gt;$B$105,"",INDEX(Transactions!$C$2:$C$5000,MATCH(33,Transactions!$V$2:$V$5000,0))&amp;"")</f>
        <v>Banque A - Courant</v>
      </c>
      <c r="D139" s="6" t="str">
        <f>IF(33&gt;$B$105,"",INDEX(Transactions!$D$2:$D$5000,MATCH(33,Transactions!$V$2:$V$5000,0))&amp;"")</f>
        <v>Assurance-vie</v>
      </c>
      <c r="E139" s="6" t="str">
        <f>IF(33&gt;$B$105,"",INDEX(Transactions!$N$2:$N$5000,MATCH(33,Transactions!$V$2:$V$5000,0))&amp;"")</f>
        <v>Comptes Bancaires</v>
      </c>
      <c r="F139" s="11">
        <f>IF(33&gt;$B$105,"",INDEX(Transactions!$K$2:$K$5000,MATCH(33,Transactions!$V$2:$V$5000,0)))</f>
        <v>120</v>
      </c>
    </row>
    <row r="140" spans="1:6" x14ac:dyDescent="0.25">
      <c r="A140" s="24">
        <f>IF(34&gt;$B$105,"",INDEX(Transactions!$A$2:$A$5000,MATCH(34,Transactions!$V$2:$V$5000,0)))</f>
        <v>46261</v>
      </c>
      <c r="B140" s="6" t="str">
        <f>IF(34&gt;$B$105,"",INDEX(Transactions!$B$2:$B$5000,MATCH(34,Transactions!$V$2:$V$5000,0))&amp;"")</f>
        <v>Achat carte</v>
      </c>
      <c r="C140" s="6" t="str">
        <f>IF(34&gt;$B$105,"",INDEX(Transactions!$C$2:$C$5000,MATCH(34,Transactions!$V$2:$V$5000,0))&amp;"")</f>
        <v>Banque B - Compte joint</v>
      </c>
      <c r="D140" s="6" t="str">
        <f>IF(34&gt;$B$105,"",INDEX(Transactions!$D$2:$D$5000,MATCH(34,Transactions!$V$2:$V$5000,0))&amp;"")</f>
        <v>courses</v>
      </c>
      <c r="E140" s="6" t="str">
        <f>IF(34&gt;$B$105,"",INDEX(Transactions!$N$2:$N$5000,MATCH(34,Transactions!$V$2:$V$5000,0))&amp;"")</f>
        <v>Alimentation</v>
      </c>
      <c r="F140" s="11">
        <f>IF(34&gt;$B$105,"",INDEX(Transactions!$K$2:$K$5000,MATCH(34,Transactions!$V$2:$V$5000,0)))</f>
        <v>46.73</v>
      </c>
    </row>
    <row r="141" spans="1:6" x14ac:dyDescent="0.25">
      <c r="A141" s="24">
        <f>IF(35&gt;$B$105,"",INDEX(Transactions!$A$2:$A$5000,MATCH(35,Transactions!$V$2:$V$5000,0)))</f>
        <v>46262</v>
      </c>
      <c r="B141" s="6" t="str">
        <f>IF(35&gt;$B$105,"",INDEX(Transactions!$B$2:$B$5000,MATCH(35,Transactions!$V$2:$V$5000,0))&amp;"")</f>
        <v>Frais Bancaires</v>
      </c>
      <c r="C141" s="6" t="str">
        <f>IF(35&gt;$B$105,"",INDEX(Transactions!$C$2:$C$5000,MATCH(35,Transactions!$V$2:$V$5000,0))&amp;"")</f>
        <v>Banque A - Courant</v>
      </c>
      <c r="D141" s="6" t="str">
        <f>IF(35&gt;$B$105,"",INDEX(Transactions!$D$2:$D$5000,MATCH(35,Transactions!$V$2:$V$5000,0))&amp;"")</f>
        <v>Frais Bancaires</v>
      </c>
      <c r="E141" s="6" t="str">
        <f>IF(35&gt;$B$105,"",INDEX(Transactions!$N$2:$N$5000,MATCH(35,Transactions!$V$2:$V$5000,0))&amp;"")</f>
        <v>Banque</v>
      </c>
      <c r="F141" s="11">
        <f>IF(35&gt;$B$105,"",INDEX(Transactions!$K$2:$K$5000,MATCH(35,Transactions!$V$2:$V$5000,0)))</f>
        <v>3</v>
      </c>
    </row>
    <row r="142" spans="1:6" x14ac:dyDescent="0.25">
      <c r="A142" s="24">
        <f>IF(36&gt;$B$105,"",INDEX(Transactions!$A$2:$A$5000,MATCH(36,Transactions!$V$2:$V$5000,0)))</f>
        <v>46262</v>
      </c>
      <c r="B142" s="6" t="str">
        <f>IF(36&gt;$B$105,"",INDEX(Transactions!$B$2:$B$5000,MATCH(36,Transactions!$V$2:$V$5000,0))&amp;"")</f>
        <v>Équipement</v>
      </c>
      <c r="C142" s="6" t="str">
        <f>IF(36&gt;$B$105,"",INDEX(Transactions!$C$2:$C$5000,MATCH(36,Transactions!$V$2:$V$5000,0))&amp;"")</f>
        <v>Banque A - Part commune</v>
      </c>
      <c r="D142" s="6" t="str">
        <f>IF(36&gt;$B$105,"",INDEX(Transactions!$D$2:$D$5000,MATCH(36,Transactions!$V$2:$V$5000,0))&amp;"")</f>
        <v>Équipement</v>
      </c>
      <c r="E142" s="6" t="str">
        <f>IF(36&gt;$B$105,"",INDEX(Transactions!$N$2:$N$5000,MATCH(36,Transactions!$V$2:$V$5000,0))&amp;"")</f>
        <v>Autre</v>
      </c>
      <c r="F142" s="11">
        <f>IF(36&gt;$B$105,"",INDEX(Transactions!$K$2:$K$5000,MATCH(36,Transactions!$V$2:$V$5000,0)))</f>
        <v>126.74</v>
      </c>
    </row>
    <row r="143" spans="1:6" x14ac:dyDescent="0.25">
      <c r="A143" s="24" t="str">
        <f>IF(37&gt;$B$105,"",INDEX(Transactions!$A$2:$A$5000,MATCH(37,Transactions!$V$2:$V$5000,0)))</f>
        <v/>
      </c>
      <c r="B143" s="6" t="str">
        <f>IF(37&gt;$B$105,"",INDEX(Transactions!$B$2:$B$5000,MATCH(37,Transactions!$V$2:$V$5000,0))&amp;"")</f>
        <v/>
      </c>
      <c r="C143" s="6" t="str">
        <f>IF(37&gt;$B$105,"",INDEX(Transactions!$C$2:$C$5000,MATCH(37,Transactions!$V$2:$V$5000,0))&amp;"")</f>
        <v/>
      </c>
      <c r="D143" s="6" t="str">
        <f>IF(37&gt;$B$105,"",INDEX(Transactions!$D$2:$D$5000,MATCH(37,Transactions!$V$2:$V$5000,0))&amp;"")</f>
        <v/>
      </c>
      <c r="E143" s="6" t="str">
        <f>IF(37&gt;$B$105,"",INDEX(Transactions!$N$2:$N$5000,MATCH(37,Transactions!$V$2:$V$5000,0))&amp;"")</f>
        <v/>
      </c>
      <c r="F143" s="11" t="str">
        <f>IF(37&gt;$B$105,"",INDEX(Transactions!$K$2:$K$5000,MATCH(37,Transactions!$V$2:$V$5000,0)))</f>
        <v/>
      </c>
    </row>
    <row r="144" spans="1:6" x14ac:dyDescent="0.25">
      <c r="A144" s="24" t="str">
        <f>IF(38&gt;$B$105,"",INDEX(Transactions!$A$2:$A$5000,MATCH(38,Transactions!$V$2:$V$5000,0)))</f>
        <v/>
      </c>
      <c r="B144" s="6" t="str">
        <f>IF(38&gt;$B$105,"",INDEX(Transactions!$B$2:$B$5000,MATCH(38,Transactions!$V$2:$V$5000,0))&amp;"")</f>
        <v/>
      </c>
      <c r="C144" s="6" t="str">
        <f>IF(38&gt;$B$105,"",INDEX(Transactions!$C$2:$C$5000,MATCH(38,Transactions!$V$2:$V$5000,0))&amp;"")</f>
        <v/>
      </c>
      <c r="D144" s="6" t="str">
        <f>IF(38&gt;$B$105,"",INDEX(Transactions!$D$2:$D$5000,MATCH(38,Transactions!$V$2:$V$5000,0))&amp;"")</f>
        <v/>
      </c>
      <c r="E144" s="6" t="str">
        <f>IF(38&gt;$B$105,"",INDEX(Transactions!$N$2:$N$5000,MATCH(38,Transactions!$V$2:$V$5000,0))&amp;"")</f>
        <v/>
      </c>
      <c r="F144" s="11" t="str">
        <f>IF(38&gt;$B$105,"",INDEX(Transactions!$K$2:$K$5000,MATCH(38,Transactions!$V$2:$V$5000,0)))</f>
        <v/>
      </c>
    </row>
    <row r="145" spans="1:6" x14ac:dyDescent="0.25">
      <c r="A145" s="24" t="str">
        <f>IF(39&gt;$B$105,"",INDEX(Transactions!$A$2:$A$5000,MATCH(39,Transactions!$V$2:$V$5000,0)))</f>
        <v/>
      </c>
      <c r="B145" s="6" t="str">
        <f>IF(39&gt;$B$105,"",INDEX(Transactions!$B$2:$B$5000,MATCH(39,Transactions!$V$2:$V$5000,0))&amp;"")</f>
        <v/>
      </c>
      <c r="C145" s="6" t="str">
        <f>IF(39&gt;$B$105,"",INDEX(Transactions!$C$2:$C$5000,MATCH(39,Transactions!$V$2:$V$5000,0))&amp;"")</f>
        <v/>
      </c>
      <c r="D145" s="6" t="str">
        <f>IF(39&gt;$B$105,"",INDEX(Transactions!$D$2:$D$5000,MATCH(39,Transactions!$V$2:$V$5000,0))&amp;"")</f>
        <v/>
      </c>
      <c r="E145" s="6" t="str">
        <f>IF(39&gt;$B$105,"",INDEX(Transactions!$N$2:$N$5000,MATCH(39,Transactions!$V$2:$V$5000,0))&amp;"")</f>
        <v/>
      </c>
      <c r="F145" s="11" t="str">
        <f>IF(39&gt;$B$105,"",INDEX(Transactions!$K$2:$K$5000,MATCH(39,Transactions!$V$2:$V$5000,0)))</f>
        <v/>
      </c>
    </row>
    <row r="146" spans="1:6" x14ac:dyDescent="0.25">
      <c r="A146" s="24" t="str">
        <f>IF(40&gt;$B$105,"",INDEX(Transactions!$A$2:$A$5000,MATCH(40,Transactions!$V$2:$V$5000,0)))</f>
        <v/>
      </c>
      <c r="B146" s="6" t="str">
        <f>IF(40&gt;$B$105,"",INDEX(Transactions!$B$2:$B$5000,MATCH(40,Transactions!$V$2:$V$5000,0))&amp;"")</f>
        <v/>
      </c>
      <c r="C146" s="6" t="str">
        <f>IF(40&gt;$B$105,"",INDEX(Transactions!$C$2:$C$5000,MATCH(40,Transactions!$V$2:$V$5000,0))&amp;"")</f>
        <v/>
      </c>
      <c r="D146" s="6" t="str">
        <f>IF(40&gt;$B$105,"",INDEX(Transactions!$D$2:$D$5000,MATCH(40,Transactions!$V$2:$V$5000,0))&amp;"")</f>
        <v/>
      </c>
      <c r="E146" s="6" t="str">
        <f>IF(40&gt;$B$105,"",INDEX(Transactions!$N$2:$N$5000,MATCH(40,Transactions!$V$2:$V$5000,0))&amp;"")</f>
        <v/>
      </c>
      <c r="F146" s="11" t="str">
        <f>IF(40&gt;$B$105,"",INDEX(Transactions!$K$2:$K$5000,MATCH(40,Transactions!$V$2:$V$5000,0)))</f>
        <v/>
      </c>
    </row>
    <row r="147" spans="1:6" x14ac:dyDescent="0.25">
      <c r="A147" s="24" t="str">
        <f>IF(41&gt;$B$105,"",INDEX(Transactions!$A$2:$A$5000,MATCH(41,Transactions!$V$2:$V$5000,0)))</f>
        <v/>
      </c>
      <c r="B147" s="6" t="str">
        <f>IF(41&gt;$B$105,"",INDEX(Transactions!$B$2:$B$5000,MATCH(41,Transactions!$V$2:$V$5000,0))&amp;"")</f>
        <v/>
      </c>
      <c r="C147" s="6" t="str">
        <f>IF(41&gt;$B$105,"",INDEX(Transactions!$C$2:$C$5000,MATCH(41,Transactions!$V$2:$V$5000,0))&amp;"")</f>
        <v/>
      </c>
      <c r="D147" s="6" t="str">
        <f>IF(41&gt;$B$105,"",INDEX(Transactions!$D$2:$D$5000,MATCH(41,Transactions!$V$2:$V$5000,0))&amp;"")</f>
        <v/>
      </c>
      <c r="E147" s="6" t="str">
        <f>IF(41&gt;$B$105,"",INDEX(Transactions!$N$2:$N$5000,MATCH(41,Transactions!$V$2:$V$5000,0))&amp;"")</f>
        <v/>
      </c>
      <c r="F147" s="11" t="str">
        <f>IF(41&gt;$B$105,"",INDEX(Transactions!$K$2:$K$5000,MATCH(41,Transactions!$V$2:$V$5000,0)))</f>
        <v/>
      </c>
    </row>
    <row r="148" spans="1:6" x14ac:dyDescent="0.25">
      <c r="A148" s="24" t="str">
        <f>IF(42&gt;$B$105,"",INDEX(Transactions!$A$2:$A$5000,MATCH(42,Transactions!$V$2:$V$5000,0)))</f>
        <v/>
      </c>
      <c r="B148" s="6" t="str">
        <f>IF(42&gt;$B$105,"",INDEX(Transactions!$B$2:$B$5000,MATCH(42,Transactions!$V$2:$V$5000,0))&amp;"")</f>
        <v/>
      </c>
      <c r="C148" s="6" t="str">
        <f>IF(42&gt;$B$105,"",INDEX(Transactions!$C$2:$C$5000,MATCH(42,Transactions!$V$2:$V$5000,0))&amp;"")</f>
        <v/>
      </c>
      <c r="D148" s="6" t="str">
        <f>IF(42&gt;$B$105,"",INDEX(Transactions!$D$2:$D$5000,MATCH(42,Transactions!$V$2:$V$5000,0))&amp;"")</f>
        <v/>
      </c>
      <c r="E148" s="6" t="str">
        <f>IF(42&gt;$B$105,"",INDEX(Transactions!$N$2:$N$5000,MATCH(42,Transactions!$V$2:$V$5000,0))&amp;"")</f>
        <v/>
      </c>
      <c r="F148" s="11" t="str">
        <f>IF(42&gt;$B$105,"",INDEX(Transactions!$K$2:$K$5000,MATCH(42,Transactions!$V$2:$V$5000,0)))</f>
        <v/>
      </c>
    </row>
    <row r="149" spans="1:6" x14ac:dyDescent="0.25">
      <c r="A149" s="24" t="str">
        <f>IF(43&gt;$B$105,"",INDEX(Transactions!$A$2:$A$5000,MATCH(43,Transactions!$V$2:$V$5000,0)))</f>
        <v/>
      </c>
      <c r="B149" s="6" t="str">
        <f>IF(43&gt;$B$105,"",INDEX(Transactions!$B$2:$B$5000,MATCH(43,Transactions!$V$2:$V$5000,0))&amp;"")</f>
        <v/>
      </c>
      <c r="C149" s="6" t="str">
        <f>IF(43&gt;$B$105,"",INDEX(Transactions!$C$2:$C$5000,MATCH(43,Transactions!$V$2:$V$5000,0))&amp;"")</f>
        <v/>
      </c>
      <c r="D149" s="6" t="str">
        <f>IF(43&gt;$B$105,"",INDEX(Transactions!$D$2:$D$5000,MATCH(43,Transactions!$V$2:$V$5000,0))&amp;"")</f>
        <v/>
      </c>
      <c r="E149" s="6" t="str">
        <f>IF(43&gt;$B$105,"",INDEX(Transactions!$N$2:$N$5000,MATCH(43,Transactions!$V$2:$V$5000,0))&amp;"")</f>
        <v/>
      </c>
      <c r="F149" s="11" t="str">
        <f>IF(43&gt;$B$105,"",INDEX(Transactions!$K$2:$K$5000,MATCH(43,Transactions!$V$2:$V$5000,0)))</f>
        <v/>
      </c>
    </row>
    <row r="150" spans="1:6" x14ac:dyDescent="0.25">
      <c r="A150" s="24" t="str">
        <f>IF(44&gt;$B$105,"",INDEX(Transactions!$A$2:$A$5000,MATCH(44,Transactions!$V$2:$V$5000,0)))</f>
        <v/>
      </c>
      <c r="B150" s="6" t="str">
        <f>IF(44&gt;$B$105,"",INDEX(Transactions!$B$2:$B$5000,MATCH(44,Transactions!$V$2:$V$5000,0))&amp;"")</f>
        <v/>
      </c>
      <c r="C150" s="6" t="str">
        <f>IF(44&gt;$B$105,"",INDEX(Transactions!$C$2:$C$5000,MATCH(44,Transactions!$V$2:$V$5000,0))&amp;"")</f>
        <v/>
      </c>
      <c r="D150" s="6" t="str">
        <f>IF(44&gt;$B$105,"",INDEX(Transactions!$D$2:$D$5000,MATCH(44,Transactions!$V$2:$V$5000,0))&amp;"")</f>
        <v/>
      </c>
      <c r="E150" s="6" t="str">
        <f>IF(44&gt;$B$105,"",INDEX(Transactions!$N$2:$N$5000,MATCH(44,Transactions!$V$2:$V$5000,0))&amp;"")</f>
        <v/>
      </c>
      <c r="F150" s="11" t="str">
        <f>IF(44&gt;$B$105,"",INDEX(Transactions!$K$2:$K$5000,MATCH(44,Transactions!$V$2:$V$5000,0)))</f>
        <v/>
      </c>
    </row>
    <row r="151" spans="1:6" x14ac:dyDescent="0.25">
      <c r="A151" s="24" t="str">
        <f>IF(45&gt;$B$105,"",INDEX(Transactions!$A$2:$A$5000,MATCH(45,Transactions!$V$2:$V$5000,0)))</f>
        <v/>
      </c>
      <c r="B151" s="6" t="str">
        <f>IF(45&gt;$B$105,"",INDEX(Transactions!$B$2:$B$5000,MATCH(45,Transactions!$V$2:$V$5000,0))&amp;"")</f>
        <v/>
      </c>
      <c r="C151" s="6" t="str">
        <f>IF(45&gt;$B$105,"",INDEX(Transactions!$C$2:$C$5000,MATCH(45,Transactions!$V$2:$V$5000,0))&amp;"")</f>
        <v/>
      </c>
      <c r="D151" s="6" t="str">
        <f>IF(45&gt;$B$105,"",INDEX(Transactions!$D$2:$D$5000,MATCH(45,Transactions!$V$2:$V$5000,0))&amp;"")</f>
        <v/>
      </c>
      <c r="E151" s="6" t="str">
        <f>IF(45&gt;$B$105,"",INDEX(Transactions!$N$2:$N$5000,MATCH(45,Transactions!$V$2:$V$5000,0))&amp;"")</f>
        <v/>
      </c>
      <c r="F151" s="11" t="str">
        <f>IF(45&gt;$B$105,"",INDEX(Transactions!$K$2:$K$5000,MATCH(45,Transactions!$V$2:$V$5000,0)))</f>
        <v/>
      </c>
    </row>
    <row r="152" spans="1:6" x14ac:dyDescent="0.25">
      <c r="A152" s="24" t="str">
        <f>IF(46&gt;$B$105,"",INDEX(Transactions!$A$2:$A$5000,MATCH(46,Transactions!$V$2:$V$5000,0)))</f>
        <v/>
      </c>
      <c r="B152" s="6" t="str">
        <f>IF(46&gt;$B$105,"",INDEX(Transactions!$B$2:$B$5000,MATCH(46,Transactions!$V$2:$V$5000,0))&amp;"")</f>
        <v/>
      </c>
      <c r="C152" s="6" t="str">
        <f>IF(46&gt;$B$105,"",INDEX(Transactions!$C$2:$C$5000,MATCH(46,Transactions!$V$2:$V$5000,0))&amp;"")</f>
        <v/>
      </c>
      <c r="D152" s="6" t="str">
        <f>IF(46&gt;$B$105,"",INDEX(Transactions!$D$2:$D$5000,MATCH(46,Transactions!$V$2:$V$5000,0))&amp;"")</f>
        <v/>
      </c>
      <c r="E152" s="6" t="str">
        <f>IF(46&gt;$B$105,"",INDEX(Transactions!$N$2:$N$5000,MATCH(46,Transactions!$V$2:$V$5000,0))&amp;"")</f>
        <v/>
      </c>
      <c r="F152" s="11" t="str">
        <f>IF(46&gt;$B$105,"",INDEX(Transactions!$K$2:$K$5000,MATCH(46,Transactions!$V$2:$V$5000,0)))</f>
        <v/>
      </c>
    </row>
    <row r="153" spans="1:6" x14ac:dyDescent="0.25">
      <c r="A153" s="24" t="str">
        <f>IF(47&gt;$B$105,"",INDEX(Transactions!$A$2:$A$5000,MATCH(47,Transactions!$V$2:$V$5000,0)))</f>
        <v/>
      </c>
      <c r="B153" s="6" t="str">
        <f>IF(47&gt;$B$105,"",INDEX(Transactions!$B$2:$B$5000,MATCH(47,Transactions!$V$2:$V$5000,0))&amp;"")</f>
        <v/>
      </c>
      <c r="C153" s="6" t="str">
        <f>IF(47&gt;$B$105,"",INDEX(Transactions!$C$2:$C$5000,MATCH(47,Transactions!$V$2:$V$5000,0))&amp;"")</f>
        <v/>
      </c>
      <c r="D153" s="6" t="str">
        <f>IF(47&gt;$B$105,"",INDEX(Transactions!$D$2:$D$5000,MATCH(47,Transactions!$V$2:$V$5000,0))&amp;"")</f>
        <v/>
      </c>
      <c r="E153" s="6" t="str">
        <f>IF(47&gt;$B$105,"",INDEX(Transactions!$N$2:$N$5000,MATCH(47,Transactions!$V$2:$V$5000,0))&amp;"")</f>
        <v/>
      </c>
      <c r="F153" s="11" t="str">
        <f>IF(47&gt;$B$105,"",INDEX(Transactions!$K$2:$K$5000,MATCH(47,Transactions!$V$2:$V$5000,0)))</f>
        <v/>
      </c>
    </row>
    <row r="154" spans="1:6" x14ac:dyDescent="0.25">
      <c r="A154" s="24" t="str">
        <f>IF(48&gt;$B$105,"",INDEX(Transactions!$A$2:$A$5000,MATCH(48,Transactions!$V$2:$V$5000,0)))</f>
        <v/>
      </c>
      <c r="B154" s="6" t="str">
        <f>IF(48&gt;$B$105,"",INDEX(Transactions!$B$2:$B$5000,MATCH(48,Transactions!$V$2:$V$5000,0))&amp;"")</f>
        <v/>
      </c>
      <c r="C154" s="6" t="str">
        <f>IF(48&gt;$B$105,"",INDEX(Transactions!$C$2:$C$5000,MATCH(48,Transactions!$V$2:$V$5000,0))&amp;"")</f>
        <v/>
      </c>
      <c r="D154" s="6" t="str">
        <f>IF(48&gt;$B$105,"",INDEX(Transactions!$D$2:$D$5000,MATCH(48,Transactions!$V$2:$V$5000,0))&amp;"")</f>
        <v/>
      </c>
      <c r="E154" s="6" t="str">
        <f>IF(48&gt;$B$105,"",INDEX(Transactions!$N$2:$N$5000,MATCH(48,Transactions!$V$2:$V$5000,0))&amp;"")</f>
        <v/>
      </c>
      <c r="F154" s="11" t="str">
        <f>IF(48&gt;$B$105,"",INDEX(Transactions!$K$2:$K$5000,MATCH(48,Transactions!$V$2:$V$5000,0)))</f>
        <v/>
      </c>
    </row>
    <row r="155" spans="1:6" x14ac:dyDescent="0.25">
      <c r="A155" s="24" t="str">
        <f>IF(49&gt;$B$105,"",INDEX(Transactions!$A$2:$A$5000,MATCH(49,Transactions!$V$2:$V$5000,0)))</f>
        <v/>
      </c>
      <c r="B155" s="6" t="str">
        <f>IF(49&gt;$B$105,"",INDEX(Transactions!$B$2:$B$5000,MATCH(49,Transactions!$V$2:$V$5000,0))&amp;"")</f>
        <v/>
      </c>
      <c r="C155" s="6" t="str">
        <f>IF(49&gt;$B$105,"",INDEX(Transactions!$C$2:$C$5000,MATCH(49,Transactions!$V$2:$V$5000,0))&amp;"")</f>
        <v/>
      </c>
      <c r="D155" s="6" t="str">
        <f>IF(49&gt;$B$105,"",INDEX(Transactions!$D$2:$D$5000,MATCH(49,Transactions!$V$2:$V$5000,0))&amp;"")</f>
        <v/>
      </c>
      <c r="E155" s="6" t="str">
        <f>IF(49&gt;$B$105,"",INDEX(Transactions!$N$2:$N$5000,MATCH(49,Transactions!$V$2:$V$5000,0))&amp;"")</f>
        <v/>
      </c>
      <c r="F155" s="11" t="str">
        <f>IF(49&gt;$B$105,"",INDEX(Transactions!$K$2:$K$5000,MATCH(49,Transactions!$V$2:$V$5000,0)))</f>
        <v/>
      </c>
    </row>
    <row r="156" spans="1:6" x14ac:dyDescent="0.25">
      <c r="A156" s="24" t="str">
        <f>IF(50&gt;$B$105,"",INDEX(Transactions!$A$2:$A$5000,MATCH(50,Transactions!$V$2:$V$5000,0)))</f>
        <v/>
      </c>
      <c r="B156" s="6" t="str">
        <f>IF(50&gt;$B$105,"",INDEX(Transactions!$B$2:$B$5000,MATCH(50,Transactions!$V$2:$V$5000,0))&amp;"")</f>
        <v/>
      </c>
      <c r="C156" s="6" t="str">
        <f>IF(50&gt;$B$105,"",INDEX(Transactions!$C$2:$C$5000,MATCH(50,Transactions!$V$2:$V$5000,0))&amp;"")</f>
        <v/>
      </c>
      <c r="D156" s="6" t="str">
        <f>IF(50&gt;$B$105,"",INDEX(Transactions!$D$2:$D$5000,MATCH(50,Transactions!$V$2:$V$5000,0))&amp;"")</f>
        <v/>
      </c>
      <c r="E156" s="6" t="str">
        <f>IF(50&gt;$B$105,"",INDEX(Transactions!$N$2:$N$5000,MATCH(50,Transactions!$V$2:$V$5000,0))&amp;"")</f>
        <v/>
      </c>
      <c r="F156" s="11" t="str">
        <f>IF(50&gt;$B$105,"",INDEX(Transactions!$K$2:$K$5000,MATCH(50,Transactions!$V$2:$V$5000,0)))</f>
        <v/>
      </c>
    </row>
    <row r="157" spans="1:6" x14ac:dyDescent="0.25">
      <c r="A157" s="24" t="str">
        <f>IF(51&gt;$B$105,"",INDEX(Transactions!$A$2:$A$5000,MATCH(51,Transactions!$V$2:$V$5000,0)))</f>
        <v/>
      </c>
      <c r="B157" s="6" t="str">
        <f>IF(51&gt;$B$105,"",INDEX(Transactions!$B$2:$B$5000,MATCH(51,Transactions!$V$2:$V$5000,0))&amp;"")</f>
        <v/>
      </c>
      <c r="C157" s="6" t="str">
        <f>IF(51&gt;$B$105,"",INDEX(Transactions!$C$2:$C$5000,MATCH(51,Transactions!$V$2:$V$5000,0))&amp;"")</f>
        <v/>
      </c>
      <c r="D157" s="6" t="str">
        <f>IF(51&gt;$B$105,"",INDEX(Transactions!$D$2:$D$5000,MATCH(51,Transactions!$V$2:$V$5000,0))&amp;"")</f>
        <v/>
      </c>
      <c r="E157" s="6" t="str">
        <f>IF(51&gt;$B$105,"",INDEX(Transactions!$N$2:$N$5000,MATCH(51,Transactions!$V$2:$V$5000,0))&amp;"")</f>
        <v/>
      </c>
      <c r="F157" s="11" t="str">
        <f>IF(51&gt;$B$105,"",INDEX(Transactions!$K$2:$K$5000,MATCH(51,Transactions!$V$2:$V$5000,0)))</f>
        <v/>
      </c>
    </row>
    <row r="158" spans="1:6" x14ac:dyDescent="0.25">
      <c r="A158" s="24" t="str">
        <f>IF(52&gt;$B$105,"",INDEX(Transactions!$A$2:$A$5000,MATCH(52,Transactions!$V$2:$V$5000,0)))</f>
        <v/>
      </c>
      <c r="B158" s="6" t="str">
        <f>IF(52&gt;$B$105,"",INDEX(Transactions!$B$2:$B$5000,MATCH(52,Transactions!$V$2:$V$5000,0))&amp;"")</f>
        <v/>
      </c>
      <c r="C158" s="6" t="str">
        <f>IF(52&gt;$B$105,"",INDEX(Transactions!$C$2:$C$5000,MATCH(52,Transactions!$V$2:$V$5000,0))&amp;"")</f>
        <v/>
      </c>
      <c r="D158" s="6" t="str">
        <f>IF(52&gt;$B$105,"",INDEX(Transactions!$D$2:$D$5000,MATCH(52,Transactions!$V$2:$V$5000,0))&amp;"")</f>
        <v/>
      </c>
      <c r="E158" s="6" t="str">
        <f>IF(52&gt;$B$105,"",INDEX(Transactions!$N$2:$N$5000,MATCH(52,Transactions!$V$2:$V$5000,0))&amp;"")</f>
        <v/>
      </c>
      <c r="F158" s="11" t="str">
        <f>IF(52&gt;$B$105,"",INDEX(Transactions!$K$2:$K$5000,MATCH(52,Transactions!$V$2:$V$5000,0)))</f>
        <v/>
      </c>
    </row>
    <row r="159" spans="1:6" x14ac:dyDescent="0.25">
      <c r="A159" s="24" t="str">
        <f>IF(53&gt;$B$105,"",INDEX(Transactions!$A$2:$A$5000,MATCH(53,Transactions!$V$2:$V$5000,0)))</f>
        <v/>
      </c>
      <c r="B159" s="6" t="str">
        <f>IF(53&gt;$B$105,"",INDEX(Transactions!$B$2:$B$5000,MATCH(53,Transactions!$V$2:$V$5000,0))&amp;"")</f>
        <v/>
      </c>
      <c r="C159" s="6" t="str">
        <f>IF(53&gt;$B$105,"",INDEX(Transactions!$C$2:$C$5000,MATCH(53,Transactions!$V$2:$V$5000,0))&amp;"")</f>
        <v/>
      </c>
      <c r="D159" s="6" t="str">
        <f>IF(53&gt;$B$105,"",INDEX(Transactions!$D$2:$D$5000,MATCH(53,Transactions!$V$2:$V$5000,0))&amp;"")</f>
        <v/>
      </c>
      <c r="E159" s="6" t="str">
        <f>IF(53&gt;$B$105,"",INDEX(Transactions!$N$2:$N$5000,MATCH(53,Transactions!$V$2:$V$5000,0))&amp;"")</f>
        <v/>
      </c>
      <c r="F159" s="11" t="str">
        <f>IF(53&gt;$B$105,"",INDEX(Transactions!$K$2:$K$5000,MATCH(53,Transactions!$V$2:$V$5000,0)))</f>
        <v/>
      </c>
    </row>
    <row r="160" spans="1:6" x14ac:dyDescent="0.25">
      <c r="A160" s="24" t="str">
        <f>IF(54&gt;$B$105,"",INDEX(Transactions!$A$2:$A$5000,MATCH(54,Transactions!$V$2:$V$5000,0)))</f>
        <v/>
      </c>
      <c r="B160" s="6" t="str">
        <f>IF(54&gt;$B$105,"",INDEX(Transactions!$B$2:$B$5000,MATCH(54,Transactions!$V$2:$V$5000,0))&amp;"")</f>
        <v/>
      </c>
      <c r="C160" s="6" t="str">
        <f>IF(54&gt;$B$105,"",INDEX(Transactions!$C$2:$C$5000,MATCH(54,Transactions!$V$2:$V$5000,0))&amp;"")</f>
        <v/>
      </c>
      <c r="D160" s="6" t="str">
        <f>IF(54&gt;$B$105,"",INDEX(Transactions!$D$2:$D$5000,MATCH(54,Transactions!$V$2:$V$5000,0))&amp;"")</f>
        <v/>
      </c>
      <c r="E160" s="6" t="str">
        <f>IF(54&gt;$B$105,"",INDEX(Transactions!$N$2:$N$5000,MATCH(54,Transactions!$V$2:$V$5000,0))&amp;"")</f>
        <v/>
      </c>
      <c r="F160" s="11" t="str">
        <f>IF(54&gt;$B$105,"",INDEX(Transactions!$K$2:$K$5000,MATCH(54,Transactions!$V$2:$V$5000,0)))</f>
        <v/>
      </c>
    </row>
    <row r="161" spans="1:6" x14ac:dyDescent="0.25">
      <c r="A161" s="24" t="str">
        <f>IF(55&gt;$B$105,"",INDEX(Transactions!$A$2:$A$5000,MATCH(55,Transactions!$V$2:$V$5000,0)))</f>
        <v/>
      </c>
      <c r="B161" s="6" t="str">
        <f>IF(55&gt;$B$105,"",INDEX(Transactions!$B$2:$B$5000,MATCH(55,Transactions!$V$2:$V$5000,0))&amp;"")</f>
        <v/>
      </c>
      <c r="C161" s="6" t="str">
        <f>IF(55&gt;$B$105,"",INDEX(Transactions!$C$2:$C$5000,MATCH(55,Transactions!$V$2:$V$5000,0))&amp;"")</f>
        <v/>
      </c>
      <c r="D161" s="6" t="str">
        <f>IF(55&gt;$B$105,"",INDEX(Transactions!$D$2:$D$5000,MATCH(55,Transactions!$V$2:$V$5000,0))&amp;"")</f>
        <v/>
      </c>
      <c r="E161" s="6" t="str">
        <f>IF(55&gt;$B$105,"",INDEX(Transactions!$N$2:$N$5000,MATCH(55,Transactions!$V$2:$V$5000,0))&amp;"")</f>
        <v/>
      </c>
      <c r="F161" s="11" t="str">
        <f>IF(55&gt;$B$105,"",INDEX(Transactions!$K$2:$K$5000,MATCH(55,Transactions!$V$2:$V$5000,0)))</f>
        <v/>
      </c>
    </row>
    <row r="162" spans="1:6" x14ac:dyDescent="0.25">
      <c r="A162" s="24" t="str">
        <f>IF(56&gt;$B$105,"",INDEX(Transactions!$A$2:$A$5000,MATCH(56,Transactions!$V$2:$V$5000,0)))</f>
        <v/>
      </c>
      <c r="B162" s="6" t="str">
        <f>IF(56&gt;$B$105,"",INDEX(Transactions!$B$2:$B$5000,MATCH(56,Transactions!$V$2:$V$5000,0))&amp;"")</f>
        <v/>
      </c>
      <c r="C162" s="6" t="str">
        <f>IF(56&gt;$B$105,"",INDEX(Transactions!$C$2:$C$5000,MATCH(56,Transactions!$V$2:$V$5000,0))&amp;"")</f>
        <v/>
      </c>
      <c r="D162" s="6" t="str">
        <f>IF(56&gt;$B$105,"",INDEX(Transactions!$D$2:$D$5000,MATCH(56,Transactions!$V$2:$V$5000,0))&amp;"")</f>
        <v/>
      </c>
      <c r="E162" s="6" t="str">
        <f>IF(56&gt;$B$105,"",INDEX(Transactions!$N$2:$N$5000,MATCH(56,Transactions!$V$2:$V$5000,0))&amp;"")</f>
        <v/>
      </c>
      <c r="F162" s="11" t="str">
        <f>IF(56&gt;$B$105,"",INDEX(Transactions!$K$2:$K$5000,MATCH(56,Transactions!$V$2:$V$5000,0)))</f>
        <v/>
      </c>
    </row>
    <row r="163" spans="1:6" x14ac:dyDescent="0.25">
      <c r="A163" s="24" t="str">
        <f>IF(57&gt;$B$105,"",INDEX(Transactions!$A$2:$A$5000,MATCH(57,Transactions!$V$2:$V$5000,0)))</f>
        <v/>
      </c>
      <c r="B163" s="6" t="str">
        <f>IF(57&gt;$B$105,"",INDEX(Transactions!$B$2:$B$5000,MATCH(57,Transactions!$V$2:$V$5000,0))&amp;"")</f>
        <v/>
      </c>
      <c r="C163" s="6" t="str">
        <f>IF(57&gt;$B$105,"",INDEX(Transactions!$C$2:$C$5000,MATCH(57,Transactions!$V$2:$V$5000,0))&amp;"")</f>
        <v/>
      </c>
      <c r="D163" s="6" t="str">
        <f>IF(57&gt;$B$105,"",INDEX(Transactions!$D$2:$D$5000,MATCH(57,Transactions!$V$2:$V$5000,0))&amp;"")</f>
        <v/>
      </c>
      <c r="E163" s="6" t="str">
        <f>IF(57&gt;$B$105,"",INDEX(Transactions!$N$2:$N$5000,MATCH(57,Transactions!$V$2:$V$5000,0))&amp;"")</f>
        <v/>
      </c>
      <c r="F163" s="11" t="str">
        <f>IF(57&gt;$B$105,"",INDEX(Transactions!$K$2:$K$5000,MATCH(57,Transactions!$V$2:$V$5000,0)))</f>
        <v/>
      </c>
    </row>
    <row r="164" spans="1:6" x14ac:dyDescent="0.25">
      <c r="A164" s="24" t="str">
        <f>IF(58&gt;$B$105,"",INDEX(Transactions!$A$2:$A$5000,MATCH(58,Transactions!$V$2:$V$5000,0)))</f>
        <v/>
      </c>
      <c r="B164" s="6" t="str">
        <f>IF(58&gt;$B$105,"",INDEX(Transactions!$B$2:$B$5000,MATCH(58,Transactions!$V$2:$V$5000,0))&amp;"")</f>
        <v/>
      </c>
      <c r="C164" s="6" t="str">
        <f>IF(58&gt;$B$105,"",INDEX(Transactions!$C$2:$C$5000,MATCH(58,Transactions!$V$2:$V$5000,0))&amp;"")</f>
        <v/>
      </c>
      <c r="D164" s="6" t="str">
        <f>IF(58&gt;$B$105,"",INDEX(Transactions!$D$2:$D$5000,MATCH(58,Transactions!$V$2:$V$5000,0))&amp;"")</f>
        <v/>
      </c>
      <c r="E164" s="6" t="str">
        <f>IF(58&gt;$B$105,"",INDEX(Transactions!$N$2:$N$5000,MATCH(58,Transactions!$V$2:$V$5000,0))&amp;"")</f>
        <v/>
      </c>
      <c r="F164" s="11" t="str">
        <f>IF(58&gt;$B$105,"",INDEX(Transactions!$K$2:$K$5000,MATCH(58,Transactions!$V$2:$V$5000,0)))</f>
        <v/>
      </c>
    </row>
    <row r="165" spans="1:6" x14ac:dyDescent="0.25">
      <c r="A165" s="24" t="str">
        <f>IF(59&gt;$B$105,"",INDEX(Transactions!$A$2:$A$5000,MATCH(59,Transactions!$V$2:$V$5000,0)))</f>
        <v/>
      </c>
      <c r="B165" s="6" t="str">
        <f>IF(59&gt;$B$105,"",INDEX(Transactions!$B$2:$B$5000,MATCH(59,Transactions!$V$2:$V$5000,0))&amp;"")</f>
        <v/>
      </c>
      <c r="C165" s="6" t="str">
        <f>IF(59&gt;$B$105,"",INDEX(Transactions!$C$2:$C$5000,MATCH(59,Transactions!$V$2:$V$5000,0))&amp;"")</f>
        <v/>
      </c>
      <c r="D165" s="6" t="str">
        <f>IF(59&gt;$B$105,"",INDEX(Transactions!$D$2:$D$5000,MATCH(59,Transactions!$V$2:$V$5000,0))&amp;"")</f>
        <v/>
      </c>
      <c r="E165" s="6" t="str">
        <f>IF(59&gt;$B$105,"",INDEX(Transactions!$N$2:$N$5000,MATCH(59,Transactions!$V$2:$V$5000,0))&amp;"")</f>
        <v/>
      </c>
      <c r="F165" s="11" t="str">
        <f>IF(59&gt;$B$105,"",INDEX(Transactions!$K$2:$K$5000,MATCH(59,Transactions!$V$2:$V$5000,0)))</f>
        <v/>
      </c>
    </row>
    <row r="166" spans="1:6" x14ac:dyDescent="0.25">
      <c r="A166" s="24" t="str">
        <f>IF(60&gt;$B$105,"",INDEX(Transactions!$A$2:$A$5000,MATCH(60,Transactions!$V$2:$V$5000,0)))</f>
        <v/>
      </c>
      <c r="B166" s="6" t="str">
        <f>IF(60&gt;$B$105,"",INDEX(Transactions!$B$2:$B$5000,MATCH(60,Transactions!$V$2:$V$5000,0))&amp;"")</f>
        <v/>
      </c>
      <c r="C166" s="6" t="str">
        <f>IF(60&gt;$B$105,"",INDEX(Transactions!$C$2:$C$5000,MATCH(60,Transactions!$V$2:$V$5000,0))&amp;"")</f>
        <v/>
      </c>
      <c r="D166" s="6" t="str">
        <f>IF(60&gt;$B$105,"",INDEX(Transactions!$D$2:$D$5000,MATCH(60,Transactions!$V$2:$V$5000,0))&amp;"")</f>
        <v/>
      </c>
      <c r="E166" s="6" t="str">
        <f>IF(60&gt;$B$105,"",INDEX(Transactions!$N$2:$N$5000,MATCH(60,Transactions!$V$2:$V$5000,0))&amp;"")</f>
        <v/>
      </c>
      <c r="F166" s="11" t="str">
        <f>IF(60&gt;$B$105,"",INDEX(Transactions!$K$2:$K$5000,MATCH(60,Transactions!$V$2:$V$5000,0)))</f>
        <v/>
      </c>
    </row>
    <row r="167" spans="1:6" x14ac:dyDescent="0.25">
      <c r="A167" s="24" t="str">
        <f>IF(61&gt;$B$105,"",INDEX(Transactions!$A$2:$A$5000,MATCH(61,Transactions!$V$2:$V$5000,0)))</f>
        <v/>
      </c>
      <c r="B167" s="6" t="str">
        <f>IF(61&gt;$B$105,"",INDEX(Transactions!$B$2:$B$5000,MATCH(61,Transactions!$V$2:$V$5000,0))&amp;"")</f>
        <v/>
      </c>
      <c r="C167" s="6" t="str">
        <f>IF(61&gt;$B$105,"",INDEX(Transactions!$C$2:$C$5000,MATCH(61,Transactions!$V$2:$V$5000,0))&amp;"")</f>
        <v/>
      </c>
      <c r="D167" s="6" t="str">
        <f>IF(61&gt;$B$105,"",INDEX(Transactions!$D$2:$D$5000,MATCH(61,Transactions!$V$2:$V$5000,0))&amp;"")</f>
        <v/>
      </c>
      <c r="E167" s="6" t="str">
        <f>IF(61&gt;$B$105,"",INDEX(Transactions!$N$2:$N$5000,MATCH(61,Transactions!$V$2:$V$5000,0))&amp;"")</f>
        <v/>
      </c>
      <c r="F167" s="11" t="str">
        <f>IF(61&gt;$B$105,"",INDEX(Transactions!$K$2:$K$5000,MATCH(61,Transactions!$V$2:$V$5000,0)))</f>
        <v/>
      </c>
    </row>
    <row r="168" spans="1:6" x14ac:dyDescent="0.25">
      <c r="A168" s="24" t="str">
        <f>IF(62&gt;$B$105,"",INDEX(Transactions!$A$2:$A$5000,MATCH(62,Transactions!$V$2:$V$5000,0)))</f>
        <v/>
      </c>
      <c r="B168" s="6" t="str">
        <f>IF(62&gt;$B$105,"",INDEX(Transactions!$B$2:$B$5000,MATCH(62,Transactions!$V$2:$V$5000,0))&amp;"")</f>
        <v/>
      </c>
      <c r="C168" s="6" t="str">
        <f>IF(62&gt;$B$105,"",INDEX(Transactions!$C$2:$C$5000,MATCH(62,Transactions!$V$2:$V$5000,0))&amp;"")</f>
        <v/>
      </c>
      <c r="D168" s="6" t="str">
        <f>IF(62&gt;$B$105,"",INDEX(Transactions!$D$2:$D$5000,MATCH(62,Transactions!$V$2:$V$5000,0))&amp;"")</f>
        <v/>
      </c>
      <c r="E168" s="6" t="str">
        <f>IF(62&gt;$B$105,"",INDEX(Transactions!$N$2:$N$5000,MATCH(62,Transactions!$V$2:$V$5000,0))&amp;"")</f>
        <v/>
      </c>
      <c r="F168" s="11" t="str">
        <f>IF(62&gt;$B$105,"",INDEX(Transactions!$K$2:$K$5000,MATCH(62,Transactions!$V$2:$V$5000,0)))</f>
        <v/>
      </c>
    </row>
    <row r="169" spans="1:6" x14ac:dyDescent="0.25">
      <c r="A169" s="24" t="str">
        <f>IF(63&gt;$B$105,"",INDEX(Transactions!$A$2:$A$5000,MATCH(63,Transactions!$V$2:$V$5000,0)))</f>
        <v/>
      </c>
      <c r="B169" s="6" t="str">
        <f>IF(63&gt;$B$105,"",INDEX(Transactions!$B$2:$B$5000,MATCH(63,Transactions!$V$2:$V$5000,0))&amp;"")</f>
        <v/>
      </c>
      <c r="C169" s="6" t="str">
        <f>IF(63&gt;$B$105,"",INDEX(Transactions!$C$2:$C$5000,MATCH(63,Transactions!$V$2:$V$5000,0))&amp;"")</f>
        <v/>
      </c>
      <c r="D169" s="6" t="str">
        <f>IF(63&gt;$B$105,"",INDEX(Transactions!$D$2:$D$5000,MATCH(63,Transactions!$V$2:$V$5000,0))&amp;"")</f>
        <v/>
      </c>
      <c r="E169" s="6" t="str">
        <f>IF(63&gt;$B$105,"",INDEX(Transactions!$N$2:$N$5000,MATCH(63,Transactions!$V$2:$V$5000,0))&amp;"")</f>
        <v/>
      </c>
      <c r="F169" s="11" t="str">
        <f>IF(63&gt;$B$105,"",INDEX(Transactions!$K$2:$K$5000,MATCH(63,Transactions!$V$2:$V$5000,0)))</f>
        <v/>
      </c>
    </row>
    <row r="170" spans="1:6" x14ac:dyDescent="0.25">
      <c r="A170" s="24" t="str">
        <f>IF(64&gt;$B$105,"",INDEX(Transactions!$A$2:$A$5000,MATCH(64,Transactions!$V$2:$V$5000,0)))</f>
        <v/>
      </c>
      <c r="B170" s="6" t="str">
        <f>IF(64&gt;$B$105,"",INDEX(Transactions!$B$2:$B$5000,MATCH(64,Transactions!$V$2:$V$5000,0))&amp;"")</f>
        <v/>
      </c>
      <c r="C170" s="6" t="str">
        <f>IF(64&gt;$B$105,"",INDEX(Transactions!$C$2:$C$5000,MATCH(64,Transactions!$V$2:$V$5000,0))&amp;"")</f>
        <v/>
      </c>
      <c r="D170" s="6" t="str">
        <f>IF(64&gt;$B$105,"",INDEX(Transactions!$D$2:$D$5000,MATCH(64,Transactions!$V$2:$V$5000,0))&amp;"")</f>
        <v/>
      </c>
      <c r="E170" s="6" t="str">
        <f>IF(64&gt;$B$105,"",INDEX(Transactions!$N$2:$N$5000,MATCH(64,Transactions!$V$2:$V$5000,0))&amp;"")</f>
        <v/>
      </c>
      <c r="F170" s="11" t="str">
        <f>IF(64&gt;$B$105,"",INDEX(Transactions!$K$2:$K$5000,MATCH(64,Transactions!$V$2:$V$5000,0)))</f>
        <v/>
      </c>
    </row>
    <row r="171" spans="1:6" x14ac:dyDescent="0.25">
      <c r="A171" s="24" t="str">
        <f>IF(65&gt;$B$105,"",INDEX(Transactions!$A$2:$A$5000,MATCH(65,Transactions!$V$2:$V$5000,0)))</f>
        <v/>
      </c>
      <c r="B171" s="6" t="str">
        <f>IF(65&gt;$B$105,"",INDEX(Transactions!$B$2:$B$5000,MATCH(65,Transactions!$V$2:$V$5000,0))&amp;"")</f>
        <v/>
      </c>
      <c r="C171" s="6" t="str">
        <f>IF(65&gt;$B$105,"",INDEX(Transactions!$C$2:$C$5000,MATCH(65,Transactions!$V$2:$V$5000,0))&amp;"")</f>
        <v/>
      </c>
      <c r="D171" s="6" t="str">
        <f>IF(65&gt;$B$105,"",INDEX(Transactions!$D$2:$D$5000,MATCH(65,Transactions!$V$2:$V$5000,0))&amp;"")</f>
        <v/>
      </c>
      <c r="E171" s="6" t="str">
        <f>IF(65&gt;$B$105,"",INDEX(Transactions!$N$2:$N$5000,MATCH(65,Transactions!$V$2:$V$5000,0))&amp;"")</f>
        <v/>
      </c>
      <c r="F171" s="11" t="str">
        <f>IF(65&gt;$B$105,"",INDEX(Transactions!$K$2:$K$5000,MATCH(65,Transactions!$V$2:$V$5000,0)))</f>
        <v/>
      </c>
    </row>
    <row r="172" spans="1:6" x14ac:dyDescent="0.25">
      <c r="A172" s="24" t="str">
        <f>IF(66&gt;$B$105,"",INDEX(Transactions!$A$2:$A$5000,MATCH(66,Transactions!$V$2:$V$5000,0)))</f>
        <v/>
      </c>
      <c r="B172" s="6" t="str">
        <f>IF(66&gt;$B$105,"",INDEX(Transactions!$B$2:$B$5000,MATCH(66,Transactions!$V$2:$V$5000,0))&amp;"")</f>
        <v/>
      </c>
      <c r="C172" s="6" t="str">
        <f>IF(66&gt;$B$105,"",INDEX(Transactions!$C$2:$C$5000,MATCH(66,Transactions!$V$2:$V$5000,0))&amp;"")</f>
        <v/>
      </c>
      <c r="D172" s="6" t="str">
        <f>IF(66&gt;$B$105,"",INDEX(Transactions!$D$2:$D$5000,MATCH(66,Transactions!$V$2:$V$5000,0))&amp;"")</f>
        <v/>
      </c>
      <c r="E172" s="6" t="str">
        <f>IF(66&gt;$B$105,"",INDEX(Transactions!$N$2:$N$5000,MATCH(66,Transactions!$V$2:$V$5000,0))&amp;"")</f>
        <v/>
      </c>
      <c r="F172" s="11" t="str">
        <f>IF(66&gt;$B$105,"",INDEX(Transactions!$K$2:$K$5000,MATCH(66,Transactions!$V$2:$V$5000,0)))</f>
        <v/>
      </c>
    </row>
    <row r="173" spans="1:6" x14ac:dyDescent="0.25">
      <c r="A173" s="24" t="str">
        <f>IF(67&gt;$B$105,"",INDEX(Transactions!$A$2:$A$5000,MATCH(67,Transactions!$V$2:$V$5000,0)))</f>
        <v/>
      </c>
      <c r="B173" s="6" t="str">
        <f>IF(67&gt;$B$105,"",INDEX(Transactions!$B$2:$B$5000,MATCH(67,Transactions!$V$2:$V$5000,0))&amp;"")</f>
        <v/>
      </c>
      <c r="C173" s="6" t="str">
        <f>IF(67&gt;$B$105,"",INDEX(Transactions!$C$2:$C$5000,MATCH(67,Transactions!$V$2:$V$5000,0))&amp;"")</f>
        <v/>
      </c>
      <c r="D173" s="6" t="str">
        <f>IF(67&gt;$B$105,"",INDEX(Transactions!$D$2:$D$5000,MATCH(67,Transactions!$V$2:$V$5000,0))&amp;"")</f>
        <v/>
      </c>
      <c r="E173" s="6" t="str">
        <f>IF(67&gt;$B$105,"",INDEX(Transactions!$N$2:$N$5000,MATCH(67,Transactions!$V$2:$V$5000,0))&amp;"")</f>
        <v/>
      </c>
      <c r="F173" s="11" t="str">
        <f>IF(67&gt;$B$105,"",INDEX(Transactions!$K$2:$K$5000,MATCH(67,Transactions!$V$2:$V$5000,0)))</f>
        <v/>
      </c>
    </row>
    <row r="174" spans="1:6" x14ac:dyDescent="0.25">
      <c r="A174" s="24" t="str">
        <f>IF(68&gt;$B$105,"",INDEX(Transactions!$A$2:$A$5000,MATCH(68,Transactions!$V$2:$V$5000,0)))</f>
        <v/>
      </c>
      <c r="B174" s="6" t="str">
        <f>IF(68&gt;$B$105,"",INDEX(Transactions!$B$2:$B$5000,MATCH(68,Transactions!$V$2:$V$5000,0))&amp;"")</f>
        <v/>
      </c>
      <c r="C174" s="6" t="str">
        <f>IF(68&gt;$B$105,"",INDEX(Transactions!$C$2:$C$5000,MATCH(68,Transactions!$V$2:$V$5000,0))&amp;"")</f>
        <v/>
      </c>
      <c r="D174" s="6" t="str">
        <f>IF(68&gt;$B$105,"",INDEX(Transactions!$D$2:$D$5000,MATCH(68,Transactions!$V$2:$V$5000,0))&amp;"")</f>
        <v/>
      </c>
      <c r="E174" s="6" t="str">
        <f>IF(68&gt;$B$105,"",INDEX(Transactions!$N$2:$N$5000,MATCH(68,Transactions!$V$2:$V$5000,0))&amp;"")</f>
        <v/>
      </c>
      <c r="F174" s="11" t="str">
        <f>IF(68&gt;$B$105,"",INDEX(Transactions!$K$2:$K$5000,MATCH(68,Transactions!$V$2:$V$5000,0)))</f>
        <v/>
      </c>
    </row>
    <row r="175" spans="1:6" x14ac:dyDescent="0.25">
      <c r="A175" s="24" t="str">
        <f>IF(69&gt;$B$105,"",INDEX(Transactions!$A$2:$A$5000,MATCH(69,Transactions!$V$2:$V$5000,0)))</f>
        <v/>
      </c>
      <c r="B175" s="6" t="str">
        <f>IF(69&gt;$B$105,"",INDEX(Transactions!$B$2:$B$5000,MATCH(69,Transactions!$V$2:$V$5000,0))&amp;"")</f>
        <v/>
      </c>
      <c r="C175" s="6" t="str">
        <f>IF(69&gt;$B$105,"",INDEX(Transactions!$C$2:$C$5000,MATCH(69,Transactions!$V$2:$V$5000,0))&amp;"")</f>
        <v/>
      </c>
      <c r="D175" s="6" t="str">
        <f>IF(69&gt;$B$105,"",INDEX(Transactions!$D$2:$D$5000,MATCH(69,Transactions!$V$2:$V$5000,0))&amp;"")</f>
        <v/>
      </c>
      <c r="E175" s="6" t="str">
        <f>IF(69&gt;$B$105,"",INDEX(Transactions!$N$2:$N$5000,MATCH(69,Transactions!$V$2:$V$5000,0))&amp;"")</f>
        <v/>
      </c>
      <c r="F175" s="11" t="str">
        <f>IF(69&gt;$B$105,"",INDEX(Transactions!$K$2:$K$5000,MATCH(69,Transactions!$V$2:$V$5000,0)))</f>
        <v/>
      </c>
    </row>
    <row r="176" spans="1:6" x14ac:dyDescent="0.25">
      <c r="A176" s="24" t="str">
        <f>IF(70&gt;$B$105,"",INDEX(Transactions!$A$2:$A$5000,MATCH(70,Transactions!$V$2:$V$5000,0)))</f>
        <v/>
      </c>
      <c r="B176" s="6" t="str">
        <f>IF(70&gt;$B$105,"",INDEX(Transactions!$B$2:$B$5000,MATCH(70,Transactions!$V$2:$V$5000,0))&amp;"")</f>
        <v/>
      </c>
      <c r="C176" s="6" t="str">
        <f>IF(70&gt;$B$105,"",INDEX(Transactions!$C$2:$C$5000,MATCH(70,Transactions!$V$2:$V$5000,0))&amp;"")</f>
        <v/>
      </c>
      <c r="D176" s="6" t="str">
        <f>IF(70&gt;$B$105,"",INDEX(Transactions!$D$2:$D$5000,MATCH(70,Transactions!$V$2:$V$5000,0))&amp;"")</f>
        <v/>
      </c>
      <c r="E176" s="6" t="str">
        <f>IF(70&gt;$B$105,"",INDEX(Transactions!$N$2:$N$5000,MATCH(70,Transactions!$V$2:$V$5000,0))&amp;"")</f>
        <v/>
      </c>
      <c r="F176" s="11" t="str">
        <f>IF(70&gt;$B$105,"",INDEX(Transactions!$K$2:$K$5000,MATCH(70,Transactions!$V$2:$V$5000,0)))</f>
        <v/>
      </c>
    </row>
    <row r="177" spans="1:6" x14ac:dyDescent="0.25">
      <c r="A177" s="24" t="str">
        <f>IF(71&gt;$B$105,"",INDEX(Transactions!$A$2:$A$5000,MATCH(71,Transactions!$V$2:$V$5000,0)))</f>
        <v/>
      </c>
      <c r="B177" s="6" t="str">
        <f>IF(71&gt;$B$105,"",INDEX(Transactions!$B$2:$B$5000,MATCH(71,Transactions!$V$2:$V$5000,0))&amp;"")</f>
        <v/>
      </c>
      <c r="C177" s="6" t="str">
        <f>IF(71&gt;$B$105,"",INDEX(Transactions!$C$2:$C$5000,MATCH(71,Transactions!$V$2:$V$5000,0))&amp;"")</f>
        <v/>
      </c>
      <c r="D177" s="6" t="str">
        <f>IF(71&gt;$B$105,"",INDEX(Transactions!$D$2:$D$5000,MATCH(71,Transactions!$V$2:$V$5000,0))&amp;"")</f>
        <v/>
      </c>
      <c r="E177" s="6" t="str">
        <f>IF(71&gt;$B$105,"",INDEX(Transactions!$N$2:$N$5000,MATCH(71,Transactions!$V$2:$V$5000,0))&amp;"")</f>
        <v/>
      </c>
      <c r="F177" s="11" t="str">
        <f>IF(71&gt;$B$105,"",INDEX(Transactions!$K$2:$K$5000,MATCH(71,Transactions!$V$2:$V$5000,0)))</f>
        <v/>
      </c>
    </row>
    <row r="178" spans="1:6" x14ac:dyDescent="0.25">
      <c r="A178" s="24" t="str">
        <f>IF(72&gt;$B$105,"",INDEX(Transactions!$A$2:$A$5000,MATCH(72,Transactions!$V$2:$V$5000,0)))</f>
        <v/>
      </c>
      <c r="B178" s="6" t="str">
        <f>IF(72&gt;$B$105,"",INDEX(Transactions!$B$2:$B$5000,MATCH(72,Transactions!$V$2:$V$5000,0))&amp;"")</f>
        <v/>
      </c>
      <c r="C178" s="6" t="str">
        <f>IF(72&gt;$B$105,"",INDEX(Transactions!$C$2:$C$5000,MATCH(72,Transactions!$V$2:$V$5000,0))&amp;"")</f>
        <v/>
      </c>
      <c r="D178" s="6" t="str">
        <f>IF(72&gt;$B$105,"",INDEX(Transactions!$D$2:$D$5000,MATCH(72,Transactions!$V$2:$V$5000,0))&amp;"")</f>
        <v/>
      </c>
      <c r="E178" s="6" t="str">
        <f>IF(72&gt;$B$105,"",INDEX(Transactions!$N$2:$N$5000,MATCH(72,Transactions!$V$2:$V$5000,0))&amp;"")</f>
        <v/>
      </c>
      <c r="F178" s="11" t="str">
        <f>IF(72&gt;$B$105,"",INDEX(Transactions!$K$2:$K$5000,MATCH(72,Transactions!$V$2:$V$5000,0)))</f>
        <v/>
      </c>
    </row>
    <row r="179" spans="1:6" x14ac:dyDescent="0.25">
      <c r="A179" s="24" t="str">
        <f>IF(73&gt;$B$105,"",INDEX(Transactions!$A$2:$A$5000,MATCH(73,Transactions!$V$2:$V$5000,0)))</f>
        <v/>
      </c>
      <c r="B179" s="6" t="str">
        <f>IF(73&gt;$B$105,"",INDEX(Transactions!$B$2:$B$5000,MATCH(73,Transactions!$V$2:$V$5000,0))&amp;"")</f>
        <v/>
      </c>
      <c r="C179" s="6" t="str">
        <f>IF(73&gt;$B$105,"",INDEX(Transactions!$C$2:$C$5000,MATCH(73,Transactions!$V$2:$V$5000,0))&amp;"")</f>
        <v/>
      </c>
      <c r="D179" s="6" t="str">
        <f>IF(73&gt;$B$105,"",INDEX(Transactions!$D$2:$D$5000,MATCH(73,Transactions!$V$2:$V$5000,0))&amp;"")</f>
        <v/>
      </c>
      <c r="E179" s="6" t="str">
        <f>IF(73&gt;$B$105,"",INDEX(Transactions!$N$2:$N$5000,MATCH(73,Transactions!$V$2:$V$5000,0))&amp;"")</f>
        <v/>
      </c>
      <c r="F179" s="11" t="str">
        <f>IF(73&gt;$B$105,"",INDEX(Transactions!$K$2:$K$5000,MATCH(73,Transactions!$V$2:$V$5000,0)))</f>
        <v/>
      </c>
    </row>
    <row r="180" spans="1:6" x14ac:dyDescent="0.25">
      <c r="A180" s="24" t="str">
        <f>IF(74&gt;$B$105,"",INDEX(Transactions!$A$2:$A$5000,MATCH(74,Transactions!$V$2:$V$5000,0)))</f>
        <v/>
      </c>
      <c r="B180" s="6" t="str">
        <f>IF(74&gt;$B$105,"",INDEX(Transactions!$B$2:$B$5000,MATCH(74,Transactions!$V$2:$V$5000,0))&amp;"")</f>
        <v/>
      </c>
      <c r="C180" s="6" t="str">
        <f>IF(74&gt;$B$105,"",INDEX(Transactions!$C$2:$C$5000,MATCH(74,Transactions!$V$2:$V$5000,0))&amp;"")</f>
        <v/>
      </c>
      <c r="D180" s="6" t="str">
        <f>IF(74&gt;$B$105,"",INDEX(Transactions!$D$2:$D$5000,MATCH(74,Transactions!$V$2:$V$5000,0))&amp;"")</f>
        <v/>
      </c>
      <c r="E180" s="6" t="str">
        <f>IF(74&gt;$B$105,"",INDEX(Transactions!$N$2:$N$5000,MATCH(74,Transactions!$V$2:$V$5000,0))&amp;"")</f>
        <v/>
      </c>
      <c r="F180" s="11" t="str">
        <f>IF(74&gt;$B$105,"",INDEX(Transactions!$K$2:$K$5000,MATCH(74,Transactions!$V$2:$V$5000,0)))</f>
        <v/>
      </c>
    </row>
    <row r="181" spans="1:6" x14ac:dyDescent="0.25">
      <c r="A181" s="24" t="str">
        <f>IF(75&gt;$B$105,"",INDEX(Transactions!$A$2:$A$5000,MATCH(75,Transactions!$V$2:$V$5000,0)))</f>
        <v/>
      </c>
      <c r="B181" s="6" t="str">
        <f>IF(75&gt;$B$105,"",INDEX(Transactions!$B$2:$B$5000,MATCH(75,Transactions!$V$2:$V$5000,0))&amp;"")</f>
        <v/>
      </c>
      <c r="C181" s="6" t="str">
        <f>IF(75&gt;$B$105,"",INDEX(Transactions!$C$2:$C$5000,MATCH(75,Transactions!$V$2:$V$5000,0))&amp;"")</f>
        <v/>
      </c>
      <c r="D181" s="6" t="str">
        <f>IF(75&gt;$B$105,"",INDEX(Transactions!$D$2:$D$5000,MATCH(75,Transactions!$V$2:$V$5000,0))&amp;"")</f>
        <v/>
      </c>
      <c r="E181" s="6" t="str">
        <f>IF(75&gt;$B$105,"",INDEX(Transactions!$N$2:$N$5000,MATCH(75,Transactions!$V$2:$V$5000,0))&amp;"")</f>
        <v/>
      </c>
      <c r="F181" s="11" t="str">
        <f>IF(75&gt;$B$105,"",INDEX(Transactions!$K$2:$K$5000,MATCH(75,Transactions!$V$2:$V$5000,0)))</f>
        <v/>
      </c>
    </row>
    <row r="182" spans="1:6" x14ac:dyDescent="0.25">
      <c r="A182" s="24" t="str">
        <f>IF(76&gt;$B$105,"",INDEX(Transactions!$A$2:$A$5000,MATCH(76,Transactions!$V$2:$V$5000,0)))</f>
        <v/>
      </c>
      <c r="B182" s="6" t="str">
        <f>IF(76&gt;$B$105,"",INDEX(Transactions!$B$2:$B$5000,MATCH(76,Transactions!$V$2:$V$5000,0))&amp;"")</f>
        <v/>
      </c>
      <c r="C182" s="6" t="str">
        <f>IF(76&gt;$B$105,"",INDEX(Transactions!$C$2:$C$5000,MATCH(76,Transactions!$V$2:$V$5000,0))&amp;"")</f>
        <v/>
      </c>
      <c r="D182" s="6" t="str">
        <f>IF(76&gt;$B$105,"",INDEX(Transactions!$D$2:$D$5000,MATCH(76,Transactions!$V$2:$V$5000,0))&amp;"")</f>
        <v/>
      </c>
      <c r="E182" s="6" t="str">
        <f>IF(76&gt;$B$105,"",INDEX(Transactions!$N$2:$N$5000,MATCH(76,Transactions!$V$2:$V$5000,0))&amp;"")</f>
        <v/>
      </c>
      <c r="F182" s="11" t="str">
        <f>IF(76&gt;$B$105,"",INDEX(Transactions!$K$2:$K$5000,MATCH(76,Transactions!$V$2:$V$5000,0)))</f>
        <v/>
      </c>
    </row>
    <row r="183" spans="1:6" x14ac:dyDescent="0.25">
      <c r="A183" s="24" t="str">
        <f>IF(77&gt;$B$105,"",INDEX(Transactions!$A$2:$A$5000,MATCH(77,Transactions!$V$2:$V$5000,0)))</f>
        <v/>
      </c>
      <c r="B183" s="6" t="str">
        <f>IF(77&gt;$B$105,"",INDEX(Transactions!$B$2:$B$5000,MATCH(77,Transactions!$V$2:$V$5000,0))&amp;"")</f>
        <v/>
      </c>
      <c r="C183" s="6" t="str">
        <f>IF(77&gt;$B$105,"",INDEX(Transactions!$C$2:$C$5000,MATCH(77,Transactions!$V$2:$V$5000,0))&amp;"")</f>
        <v/>
      </c>
      <c r="D183" s="6" t="str">
        <f>IF(77&gt;$B$105,"",INDEX(Transactions!$D$2:$D$5000,MATCH(77,Transactions!$V$2:$V$5000,0))&amp;"")</f>
        <v/>
      </c>
      <c r="E183" s="6" t="str">
        <f>IF(77&gt;$B$105,"",INDEX(Transactions!$N$2:$N$5000,MATCH(77,Transactions!$V$2:$V$5000,0))&amp;"")</f>
        <v/>
      </c>
      <c r="F183" s="11" t="str">
        <f>IF(77&gt;$B$105,"",INDEX(Transactions!$K$2:$K$5000,MATCH(77,Transactions!$V$2:$V$5000,0)))</f>
        <v/>
      </c>
    </row>
    <row r="184" spans="1:6" x14ac:dyDescent="0.25">
      <c r="A184" s="24" t="str">
        <f>IF(78&gt;$B$105,"",INDEX(Transactions!$A$2:$A$5000,MATCH(78,Transactions!$V$2:$V$5000,0)))</f>
        <v/>
      </c>
      <c r="B184" s="6" t="str">
        <f>IF(78&gt;$B$105,"",INDEX(Transactions!$B$2:$B$5000,MATCH(78,Transactions!$V$2:$V$5000,0))&amp;"")</f>
        <v/>
      </c>
      <c r="C184" s="6" t="str">
        <f>IF(78&gt;$B$105,"",INDEX(Transactions!$C$2:$C$5000,MATCH(78,Transactions!$V$2:$V$5000,0))&amp;"")</f>
        <v/>
      </c>
      <c r="D184" s="6" t="str">
        <f>IF(78&gt;$B$105,"",INDEX(Transactions!$D$2:$D$5000,MATCH(78,Transactions!$V$2:$V$5000,0))&amp;"")</f>
        <v/>
      </c>
      <c r="E184" s="6" t="str">
        <f>IF(78&gt;$B$105,"",INDEX(Transactions!$N$2:$N$5000,MATCH(78,Transactions!$V$2:$V$5000,0))&amp;"")</f>
        <v/>
      </c>
      <c r="F184" s="11" t="str">
        <f>IF(78&gt;$B$105,"",INDEX(Transactions!$K$2:$K$5000,MATCH(78,Transactions!$V$2:$V$5000,0)))</f>
        <v/>
      </c>
    </row>
    <row r="185" spans="1:6" x14ac:dyDescent="0.25">
      <c r="A185" s="24" t="str">
        <f>IF(79&gt;$B$105,"",INDEX(Transactions!$A$2:$A$5000,MATCH(79,Transactions!$V$2:$V$5000,0)))</f>
        <v/>
      </c>
      <c r="B185" s="6" t="str">
        <f>IF(79&gt;$B$105,"",INDEX(Transactions!$B$2:$B$5000,MATCH(79,Transactions!$V$2:$V$5000,0))&amp;"")</f>
        <v/>
      </c>
      <c r="C185" s="6" t="str">
        <f>IF(79&gt;$B$105,"",INDEX(Transactions!$C$2:$C$5000,MATCH(79,Transactions!$V$2:$V$5000,0))&amp;"")</f>
        <v/>
      </c>
      <c r="D185" s="6" t="str">
        <f>IF(79&gt;$B$105,"",INDEX(Transactions!$D$2:$D$5000,MATCH(79,Transactions!$V$2:$V$5000,0))&amp;"")</f>
        <v/>
      </c>
      <c r="E185" s="6" t="str">
        <f>IF(79&gt;$B$105,"",INDEX(Transactions!$N$2:$N$5000,MATCH(79,Transactions!$V$2:$V$5000,0))&amp;"")</f>
        <v/>
      </c>
      <c r="F185" s="11" t="str">
        <f>IF(79&gt;$B$105,"",INDEX(Transactions!$K$2:$K$5000,MATCH(79,Transactions!$V$2:$V$5000,0)))</f>
        <v/>
      </c>
    </row>
    <row r="186" spans="1:6" x14ac:dyDescent="0.25">
      <c r="A186" s="24" t="str">
        <f>IF(80&gt;$B$105,"",INDEX(Transactions!$A$2:$A$5000,MATCH(80,Transactions!$V$2:$V$5000,0)))</f>
        <v/>
      </c>
      <c r="B186" s="6" t="str">
        <f>IF(80&gt;$B$105,"",INDEX(Transactions!$B$2:$B$5000,MATCH(80,Transactions!$V$2:$V$5000,0))&amp;"")</f>
        <v/>
      </c>
      <c r="C186" s="6" t="str">
        <f>IF(80&gt;$B$105,"",INDEX(Transactions!$C$2:$C$5000,MATCH(80,Transactions!$V$2:$V$5000,0))&amp;"")</f>
        <v/>
      </c>
      <c r="D186" s="6" t="str">
        <f>IF(80&gt;$B$105,"",INDEX(Transactions!$D$2:$D$5000,MATCH(80,Transactions!$V$2:$V$5000,0))&amp;"")</f>
        <v/>
      </c>
      <c r="E186" s="6" t="str">
        <f>IF(80&gt;$B$105,"",INDEX(Transactions!$N$2:$N$5000,MATCH(80,Transactions!$V$2:$V$5000,0))&amp;"")</f>
        <v/>
      </c>
      <c r="F186" s="11" t="str">
        <f>IF(80&gt;$B$105,"",INDEX(Transactions!$K$2:$K$5000,MATCH(80,Transactions!$V$2:$V$5000,0)))</f>
        <v/>
      </c>
    </row>
    <row r="187" spans="1:6" x14ac:dyDescent="0.25">
      <c r="A187" s="24" t="str">
        <f>IF(81&gt;$B$105,"",INDEX(Transactions!$A$2:$A$5000,MATCH(81,Transactions!$V$2:$V$5000,0)))</f>
        <v/>
      </c>
      <c r="B187" s="6" t="str">
        <f>IF(81&gt;$B$105,"",INDEX(Transactions!$B$2:$B$5000,MATCH(81,Transactions!$V$2:$V$5000,0))&amp;"")</f>
        <v/>
      </c>
      <c r="C187" s="6" t="str">
        <f>IF(81&gt;$B$105,"",INDEX(Transactions!$C$2:$C$5000,MATCH(81,Transactions!$V$2:$V$5000,0))&amp;"")</f>
        <v/>
      </c>
      <c r="D187" s="6" t="str">
        <f>IF(81&gt;$B$105,"",INDEX(Transactions!$D$2:$D$5000,MATCH(81,Transactions!$V$2:$V$5000,0))&amp;"")</f>
        <v/>
      </c>
      <c r="E187" s="6" t="str">
        <f>IF(81&gt;$B$105,"",INDEX(Transactions!$N$2:$N$5000,MATCH(81,Transactions!$V$2:$V$5000,0))&amp;"")</f>
        <v/>
      </c>
      <c r="F187" s="11" t="str">
        <f>IF(81&gt;$B$105,"",INDEX(Transactions!$K$2:$K$5000,MATCH(81,Transactions!$V$2:$V$5000,0)))</f>
        <v/>
      </c>
    </row>
    <row r="188" spans="1:6" x14ac:dyDescent="0.25">
      <c r="A188" s="24" t="str">
        <f>IF(82&gt;$B$105,"",INDEX(Transactions!$A$2:$A$5000,MATCH(82,Transactions!$V$2:$V$5000,0)))</f>
        <v/>
      </c>
      <c r="B188" s="6" t="str">
        <f>IF(82&gt;$B$105,"",INDEX(Transactions!$B$2:$B$5000,MATCH(82,Transactions!$V$2:$V$5000,0))&amp;"")</f>
        <v/>
      </c>
      <c r="C188" s="6" t="str">
        <f>IF(82&gt;$B$105,"",INDEX(Transactions!$C$2:$C$5000,MATCH(82,Transactions!$V$2:$V$5000,0))&amp;"")</f>
        <v/>
      </c>
      <c r="D188" s="6" t="str">
        <f>IF(82&gt;$B$105,"",INDEX(Transactions!$D$2:$D$5000,MATCH(82,Transactions!$V$2:$V$5000,0))&amp;"")</f>
        <v/>
      </c>
      <c r="E188" s="6" t="str">
        <f>IF(82&gt;$B$105,"",INDEX(Transactions!$N$2:$N$5000,MATCH(82,Transactions!$V$2:$V$5000,0))&amp;"")</f>
        <v/>
      </c>
      <c r="F188" s="11" t="str">
        <f>IF(82&gt;$B$105,"",INDEX(Transactions!$K$2:$K$5000,MATCH(82,Transactions!$V$2:$V$5000,0)))</f>
        <v/>
      </c>
    </row>
    <row r="189" spans="1:6" x14ac:dyDescent="0.25">
      <c r="A189" s="24" t="str">
        <f>IF(83&gt;$B$105,"",INDEX(Transactions!$A$2:$A$5000,MATCH(83,Transactions!$V$2:$V$5000,0)))</f>
        <v/>
      </c>
      <c r="B189" s="6" t="str">
        <f>IF(83&gt;$B$105,"",INDEX(Transactions!$B$2:$B$5000,MATCH(83,Transactions!$V$2:$V$5000,0))&amp;"")</f>
        <v/>
      </c>
      <c r="C189" s="6" t="str">
        <f>IF(83&gt;$B$105,"",INDEX(Transactions!$C$2:$C$5000,MATCH(83,Transactions!$V$2:$V$5000,0))&amp;"")</f>
        <v/>
      </c>
      <c r="D189" s="6" t="str">
        <f>IF(83&gt;$B$105,"",INDEX(Transactions!$D$2:$D$5000,MATCH(83,Transactions!$V$2:$V$5000,0))&amp;"")</f>
        <v/>
      </c>
      <c r="E189" s="6" t="str">
        <f>IF(83&gt;$B$105,"",INDEX(Transactions!$N$2:$N$5000,MATCH(83,Transactions!$V$2:$V$5000,0))&amp;"")</f>
        <v/>
      </c>
      <c r="F189" s="11" t="str">
        <f>IF(83&gt;$B$105,"",INDEX(Transactions!$K$2:$K$5000,MATCH(83,Transactions!$V$2:$V$5000,0)))</f>
        <v/>
      </c>
    </row>
    <row r="190" spans="1:6" x14ac:dyDescent="0.25">
      <c r="A190" s="24" t="str">
        <f>IF(84&gt;$B$105,"",INDEX(Transactions!$A$2:$A$5000,MATCH(84,Transactions!$V$2:$V$5000,0)))</f>
        <v/>
      </c>
      <c r="B190" s="6" t="str">
        <f>IF(84&gt;$B$105,"",INDEX(Transactions!$B$2:$B$5000,MATCH(84,Transactions!$V$2:$V$5000,0))&amp;"")</f>
        <v/>
      </c>
      <c r="C190" s="6" t="str">
        <f>IF(84&gt;$B$105,"",INDEX(Transactions!$C$2:$C$5000,MATCH(84,Transactions!$V$2:$V$5000,0))&amp;"")</f>
        <v/>
      </c>
      <c r="D190" s="6" t="str">
        <f>IF(84&gt;$B$105,"",INDEX(Transactions!$D$2:$D$5000,MATCH(84,Transactions!$V$2:$V$5000,0))&amp;"")</f>
        <v/>
      </c>
      <c r="E190" s="6" t="str">
        <f>IF(84&gt;$B$105,"",INDEX(Transactions!$N$2:$N$5000,MATCH(84,Transactions!$V$2:$V$5000,0))&amp;"")</f>
        <v/>
      </c>
      <c r="F190" s="11" t="str">
        <f>IF(84&gt;$B$105,"",INDEX(Transactions!$K$2:$K$5000,MATCH(84,Transactions!$V$2:$V$5000,0)))</f>
        <v/>
      </c>
    </row>
    <row r="191" spans="1:6" x14ac:dyDescent="0.25">
      <c r="A191" s="24" t="str">
        <f>IF(85&gt;$B$105,"",INDEX(Transactions!$A$2:$A$5000,MATCH(85,Transactions!$V$2:$V$5000,0)))</f>
        <v/>
      </c>
      <c r="B191" s="6" t="str">
        <f>IF(85&gt;$B$105,"",INDEX(Transactions!$B$2:$B$5000,MATCH(85,Transactions!$V$2:$V$5000,0))&amp;"")</f>
        <v/>
      </c>
      <c r="C191" s="6" t="str">
        <f>IF(85&gt;$B$105,"",INDEX(Transactions!$C$2:$C$5000,MATCH(85,Transactions!$V$2:$V$5000,0))&amp;"")</f>
        <v/>
      </c>
      <c r="D191" s="6" t="str">
        <f>IF(85&gt;$B$105,"",INDEX(Transactions!$D$2:$D$5000,MATCH(85,Transactions!$V$2:$V$5000,0))&amp;"")</f>
        <v/>
      </c>
      <c r="E191" s="6" t="str">
        <f>IF(85&gt;$B$105,"",INDEX(Transactions!$N$2:$N$5000,MATCH(85,Transactions!$V$2:$V$5000,0))&amp;"")</f>
        <v/>
      </c>
      <c r="F191" s="11" t="str">
        <f>IF(85&gt;$B$105,"",INDEX(Transactions!$K$2:$K$5000,MATCH(85,Transactions!$V$2:$V$5000,0)))</f>
        <v/>
      </c>
    </row>
    <row r="192" spans="1:6" x14ac:dyDescent="0.25">
      <c r="A192" s="24" t="str">
        <f>IF(86&gt;$B$105,"",INDEX(Transactions!$A$2:$A$5000,MATCH(86,Transactions!$V$2:$V$5000,0)))</f>
        <v/>
      </c>
      <c r="B192" s="6" t="str">
        <f>IF(86&gt;$B$105,"",INDEX(Transactions!$B$2:$B$5000,MATCH(86,Transactions!$V$2:$V$5000,0))&amp;"")</f>
        <v/>
      </c>
      <c r="C192" s="6" t="str">
        <f>IF(86&gt;$B$105,"",INDEX(Transactions!$C$2:$C$5000,MATCH(86,Transactions!$V$2:$V$5000,0))&amp;"")</f>
        <v/>
      </c>
      <c r="D192" s="6" t="str">
        <f>IF(86&gt;$B$105,"",INDEX(Transactions!$D$2:$D$5000,MATCH(86,Transactions!$V$2:$V$5000,0))&amp;"")</f>
        <v/>
      </c>
      <c r="E192" s="6" t="str">
        <f>IF(86&gt;$B$105,"",INDEX(Transactions!$N$2:$N$5000,MATCH(86,Transactions!$V$2:$V$5000,0))&amp;"")</f>
        <v/>
      </c>
      <c r="F192" s="11" t="str">
        <f>IF(86&gt;$B$105,"",INDEX(Transactions!$K$2:$K$5000,MATCH(86,Transactions!$V$2:$V$5000,0)))</f>
        <v/>
      </c>
    </row>
    <row r="193" spans="1:6" x14ac:dyDescent="0.25">
      <c r="A193" s="24" t="str">
        <f>IF(87&gt;$B$105,"",INDEX(Transactions!$A$2:$A$5000,MATCH(87,Transactions!$V$2:$V$5000,0)))</f>
        <v/>
      </c>
      <c r="B193" s="6" t="str">
        <f>IF(87&gt;$B$105,"",INDEX(Transactions!$B$2:$B$5000,MATCH(87,Transactions!$V$2:$V$5000,0))&amp;"")</f>
        <v/>
      </c>
      <c r="C193" s="6" t="str">
        <f>IF(87&gt;$B$105,"",INDEX(Transactions!$C$2:$C$5000,MATCH(87,Transactions!$V$2:$V$5000,0))&amp;"")</f>
        <v/>
      </c>
      <c r="D193" s="6" t="str">
        <f>IF(87&gt;$B$105,"",INDEX(Transactions!$D$2:$D$5000,MATCH(87,Transactions!$V$2:$V$5000,0))&amp;"")</f>
        <v/>
      </c>
      <c r="E193" s="6" t="str">
        <f>IF(87&gt;$B$105,"",INDEX(Transactions!$N$2:$N$5000,MATCH(87,Transactions!$V$2:$V$5000,0))&amp;"")</f>
        <v/>
      </c>
      <c r="F193" s="11" t="str">
        <f>IF(87&gt;$B$105,"",INDEX(Transactions!$K$2:$K$5000,MATCH(87,Transactions!$V$2:$V$5000,0)))</f>
        <v/>
      </c>
    </row>
    <row r="194" spans="1:6" x14ac:dyDescent="0.25">
      <c r="A194" s="24" t="str">
        <f>IF(88&gt;$B$105,"",INDEX(Transactions!$A$2:$A$5000,MATCH(88,Transactions!$V$2:$V$5000,0)))</f>
        <v/>
      </c>
      <c r="B194" s="6" t="str">
        <f>IF(88&gt;$B$105,"",INDEX(Transactions!$B$2:$B$5000,MATCH(88,Transactions!$V$2:$V$5000,0))&amp;"")</f>
        <v/>
      </c>
      <c r="C194" s="6" t="str">
        <f>IF(88&gt;$B$105,"",INDEX(Transactions!$C$2:$C$5000,MATCH(88,Transactions!$V$2:$V$5000,0))&amp;"")</f>
        <v/>
      </c>
      <c r="D194" s="6" t="str">
        <f>IF(88&gt;$B$105,"",INDEX(Transactions!$D$2:$D$5000,MATCH(88,Transactions!$V$2:$V$5000,0))&amp;"")</f>
        <v/>
      </c>
      <c r="E194" s="6" t="str">
        <f>IF(88&gt;$B$105,"",INDEX(Transactions!$N$2:$N$5000,MATCH(88,Transactions!$V$2:$V$5000,0))&amp;"")</f>
        <v/>
      </c>
      <c r="F194" s="11" t="str">
        <f>IF(88&gt;$B$105,"",INDEX(Transactions!$K$2:$K$5000,MATCH(88,Transactions!$V$2:$V$5000,0)))</f>
        <v/>
      </c>
    </row>
    <row r="195" spans="1:6" x14ac:dyDescent="0.25">
      <c r="A195" s="24" t="str">
        <f>IF(89&gt;$B$105,"",INDEX(Transactions!$A$2:$A$5000,MATCH(89,Transactions!$V$2:$V$5000,0)))</f>
        <v/>
      </c>
      <c r="B195" s="6" t="str">
        <f>IF(89&gt;$B$105,"",INDEX(Transactions!$B$2:$B$5000,MATCH(89,Transactions!$V$2:$V$5000,0))&amp;"")</f>
        <v/>
      </c>
      <c r="C195" s="6" t="str">
        <f>IF(89&gt;$B$105,"",INDEX(Transactions!$C$2:$C$5000,MATCH(89,Transactions!$V$2:$V$5000,0))&amp;"")</f>
        <v/>
      </c>
      <c r="D195" s="6" t="str">
        <f>IF(89&gt;$B$105,"",INDEX(Transactions!$D$2:$D$5000,MATCH(89,Transactions!$V$2:$V$5000,0))&amp;"")</f>
        <v/>
      </c>
      <c r="E195" s="6" t="str">
        <f>IF(89&gt;$B$105,"",INDEX(Transactions!$N$2:$N$5000,MATCH(89,Transactions!$V$2:$V$5000,0))&amp;"")</f>
        <v/>
      </c>
      <c r="F195" s="11" t="str">
        <f>IF(89&gt;$B$105,"",INDEX(Transactions!$K$2:$K$5000,MATCH(89,Transactions!$V$2:$V$5000,0)))</f>
        <v/>
      </c>
    </row>
    <row r="196" spans="1:6" x14ac:dyDescent="0.25">
      <c r="A196" s="24" t="str">
        <f>IF(90&gt;$B$105,"",INDEX(Transactions!$A$2:$A$5000,MATCH(90,Transactions!$V$2:$V$5000,0)))</f>
        <v/>
      </c>
      <c r="B196" s="6" t="str">
        <f>IF(90&gt;$B$105,"",INDEX(Transactions!$B$2:$B$5000,MATCH(90,Transactions!$V$2:$V$5000,0))&amp;"")</f>
        <v/>
      </c>
      <c r="C196" s="6" t="str">
        <f>IF(90&gt;$B$105,"",INDEX(Transactions!$C$2:$C$5000,MATCH(90,Transactions!$V$2:$V$5000,0))&amp;"")</f>
        <v/>
      </c>
      <c r="D196" s="6" t="str">
        <f>IF(90&gt;$B$105,"",INDEX(Transactions!$D$2:$D$5000,MATCH(90,Transactions!$V$2:$V$5000,0))&amp;"")</f>
        <v/>
      </c>
      <c r="E196" s="6" t="str">
        <f>IF(90&gt;$B$105,"",INDEX(Transactions!$N$2:$N$5000,MATCH(90,Transactions!$V$2:$V$5000,0))&amp;"")</f>
        <v/>
      </c>
      <c r="F196" s="11" t="str">
        <f>IF(90&gt;$B$105,"",INDEX(Transactions!$K$2:$K$5000,MATCH(90,Transactions!$V$2:$V$5000,0)))</f>
        <v/>
      </c>
    </row>
    <row r="197" spans="1:6" x14ac:dyDescent="0.25">
      <c r="A197" s="24" t="str">
        <f>IF(91&gt;$B$105,"",INDEX(Transactions!$A$2:$A$5000,MATCH(91,Transactions!$V$2:$V$5000,0)))</f>
        <v/>
      </c>
      <c r="B197" s="6" t="str">
        <f>IF(91&gt;$B$105,"",INDEX(Transactions!$B$2:$B$5000,MATCH(91,Transactions!$V$2:$V$5000,0))&amp;"")</f>
        <v/>
      </c>
      <c r="C197" s="6" t="str">
        <f>IF(91&gt;$B$105,"",INDEX(Transactions!$C$2:$C$5000,MATCH(91,Transactions!$V$2:$V$5000,0))&amp;"")</f>
        <v/>
      </c>
      <c r="D197" s="6" t="str">
        <f>IF(91&gt;$B$105,"",INDEX(Transactions!$D$2:$D$5000,MATCH(91,Transactions!$V$2:$V$5000,0))&amp;"")</f>
        <v/>
      </c>
      <c r="E197" s="6" t="str">
        <f>IF(91&gt;$B$105,"",INDEX(Transactions!$N$2:$N$5000,MATCH(91,Transactions!$V$2:$V$5000,0))&amp;"")</f>
        <v/>
      </c>
      <c r="F197" s="11" t="str">
        <f>IF(91&gt;$B$105,"",INDEX(Transactions!$K$2:$K$5000,MATCH(91,Transactions!$V$2:$V$5000,0)))</f>
        <v/>
      </c>
    </row>
    <row r="198" spans="1:6" x14ac:dyDescent="0.25">
      <c r="A198" s="24" t="str">
        <f>IF(92&gt;$B$105,"",INDEX(Transactions!$A$2:$A$5000,MATCH(92,Transactions!$V$2:$V$5000,0)))</f>
        <v/>
      </c>
      <c r="B198" s="6" t="str">
        <f>IF(92&gt;$B$105,"",INDEX(Transactions!$B$2:$B$5000,MATCH(92,Transactions!$V$2:$V$5000,0))&amp;"")</f>
        <v/>
      </c>
      <c r="C198" s="6" t="str">
        <f>IF(92&gt;$B$105,"",INDEX(Transactions!$C$2:$C$5000,MATCH(92,Transactions!$V$2:$V$5000,0))&amp;"")</f>
        <v/>
      </c>
      <c r="D198" s="6" t="str">
        <f>IF(92&gt;$B$105,"",INDEX(Transactions!$D$2:$D$5000,MATCH(92,Transactions!$V$2:$V$5000,0))&amp;"")</f>
        <v/>
      </c>
      <c r="E198" s="6" t="str">
        <f>IF(92&gt;$B$105,"",INDEX(Transactions!$N$2:$N$5000,MATCH(92,Transactions!$V$2:$V$5000,0))&amp;"")</f>
        <v/>
      </c>
      <c r="F198" s="11" t="str">
        <f>IF(92&gt;$B$105,"",INDEX(Transactions!$K$2:$K$5000,MATCH(92,Transactions!$V$2:$V$5000,0)))</f>
        <v/>
      </c>
    </row>
    <row r="199" spans="1:6" x14ac:dyDescent="0.25">
      <c r="A199" s="24" t="str">
        <f>IF(93&gt;$B$105,"",INDEX(Transactions!$A$2:$A$5000,MATCH(93,Transactions!$V$2:$V$5000,0)))</f>
        <v/>
      </c>
      <c r="B199" s="6" t="str">
        <f>IF(93&gt;$B$105,"",INDEX(Transactions!$B$2:$B$5000,MATCH(93,Transactions!$V$2:$V$5000,0))&amp;"")</f>
        <v/>
      </c>
      <c r="C199" s="6" t="str">
        <f>IF(93&gt;$B$105,"",INDEX(Transactions!$C$2:$C$5000,MATCH(93,Transactions!$V$2:$V$5000,0))&amp;"")</f>
        <v/>
      </c>
      <c r="D199" s="6" t="str">
        <f>IF(93&gt;$B$105,"",INDEX(Transactions!$D$2:$D$5000,MATCH(93,Transactions!$V$2:$V$5000,0))&amp;"")</f>
        <v/>
      </c>
      <c r="E199" s="6" t="str">
        <f>IF(93&gt;$B$105,"",INDEX(Transactions!$N$2:$N$5000,MATCH(93,Transactions!$V$2:$V$5000,0))&amp;"")</f>
        <v/>
      </c>
      <c r="F199" s="11" t="str">
        <f>IF(93&gt;$B$105,"",INDEX(Transactions!$K$2:$K$5000,MATCH(93,Transactions!$V$2:$V$5000,0)))</f>
        <v/>
      </c>
    </row>
    <row r="200" spans="1:6" x14ac:dyDescent="0.25">
      <c r="A200" s="24" t="str">
        <f>IF(94&gt;$B$105,"",INDEX(Transactions!$A$2:$A$5000,MATCH(94,Transactions!$V$2:$V$5000,0)))</f>
        <v/>
      </c>
      <c r="B200" s="6" t="str">
        <f>IF(94&gt;$B$105,"",INDEX(Transactions!$B$2:$B$5000,MATCH(94,Transactions!$V$2:$V$5000,0))&amp;"")</f>
        <v/>
      </c>
      <c r="C200" s="6" t="str">
        <f>IF(94&gt;$B$105,"",INDEX(Transactions!$C$2:$C$5000,MATCH(94,Transactions!$V$2:$V$5000,0))&amp;"")</f>
        <v/>
      </c>
      <c r="D200" s="6" t="str">
        <f>IF(94&gt;$B$105,"",INDEX(Transactions!$D$2:$D$5000,MATCH(94,Transactions!$V$2:$V$5000,0))&amp;"")</f>
        <v/>
      </c>
      <c r="E200" s="6" t="str">
        <f>IF(94&gt;$B$105,"",INDEX(Transactions!$N$2:$N$5000,MATCH(94,Transactions!$V$2:$V$5000,0))&amp;"")</f>
        <v/>
      </c>
      <c r="F200" s="11" t="str">
        <f>IF(94&gt;$B$105,"",INDEX(Transactions!$K$2:$K$5000,MATCH(94,Transactions!$V$2:$V$5000,0)))</f>
        <v/>
      </c>
    </row>
    <row r="201" spans="1:6" x14ac:dyDescent="0.25">
      <c r="A201" s="24" t="str">
        <f>IF(95&gt;$B$105,"",INDEX(Transactions!$A$2:$A$5000,MATCH(95,Transactions!$V$2:$V$5000,0)))</f>
        <v/>
      </c>
      <c r="B201" s="6" t="str">
        <f>IF(95&gt;$B$105,"",INDEX(Transactions!$B$2:$B$5000,MATCH(95,Transactions!$V$2:$V$5000,0))&amp;"")</f>
        <v/>
      </c>
      <c r="C201" s="6" t="str">
        <f>IF(95&gt;$B$105,"",INDEX(Transactions!$C$2:$C$5000,MATCH(95,Transactions!$V$2:$V$5000,0))&amp;"")</f>
        <v/>
      </c>
      <c r="D201" s="6" t="str">
        <f>IF(95&gt;$B$105,"",INDEX(Transactions!$D$2:$D$5000,MATCH(95,Transactions!$V$2:$V$5000,0))&amp;"")</f>
        <v/>
      </c>
      <c r="E201" s="6" t="str">
        <f>IF(95&gt;$B$105,"",INDEX(Transactions!$N$2:$N$5000,MATCH(95,Transactions!$V$2:$V$5000,0))&amp;"")</f>
        <v/>
      </c>
      <c r="F201" s="11" t="str">
        <f>IF(95&gt;$B$105,"",INDEX(Transactions!$K$2:$K$5000,MATCH(95,Transactions!$V$2:$V$5000,0)))</f>
        <v/>
      </c>
    </row>
    <row r="202" spans="1:6" x14ac:dyDescent="0.25">
      <c r="A202" s="24" t="str">
        <f>IF(96&gt;$B$105,"",INDEX(Transactions!$A$2:$A$5000,MATCH(96,Transactions!$V$2:$V$5000,0)))</f>
        <v/>
      </c>
      <c r="B202" s="6" t="str">
        <f>IF(96&gt;$B$105,"",INDEX(Transactions!$B$2:$B$5000,MATCH(96,Transactions!$V$2:$V$5000,0))&amp;"")</f>
        <v/>
      </c>
      <c r="C202" s="6" t="str">
        <f>IF(96&gt;$B$105,"",INDEX(Transactions!$C$2:$C$5000,MATCH(96,Transactions!$V$2:$V$5000,0))&amp;"")</f>
        <v/>
      </c>
      <c r="D202" s="6" t="str">
        <f>IF(96&gt;$B$105,"",INDEX(Transactions!$D$2:$D$5000,MATCH(96,Transactions!$V$2:$V$5000,0))&amp;"")</f>
        <v/>
      </c>
      <c r="E202" s="6" t="str">
        <f>IF(96&gt;$B$105,"",INDEX(Transactions!$N$2:$N$5000,MATCH(96,Transactions!$V$2:$V$5000,0))&amp;"")</f>
        <v/>
      </c>
      <c r="F202" s="11" t="str">
        <f>IF(96&gt;$B$105,"",INDEX(Transactions!$K$2:$K$5000,MATCH(96,Transactions!$V$2:$V$5000,0)))</f>
        <v/>
      </c>
    </row>
    <row r="203" spans="1:6" x14ac:dyDescent="0.25">
      <c r="A203" s="24" t="str">
        <f>IF(97&gt;$B$105,"",INDEX(Transactions!$A$2:$A$5000,MATCH(97,Transactions!$V$2:$V$5000,0)))</f>
        <v/>
      </c>
      <c r="B203" s="6" t="str">
        <f>IF(97&gt;$B$105,"",INDEX(Transactions!$B$2:$B$5000,MATCH(97,Transactions!$V$2:$V$5000,0))&amp;"")</f>
        <v/>
      </c>
      <c r="C203" s="6" t="str">
        <f>IF(97&gt;$B$105,"",INDEX(Transactions!$C$2:$C$5000,MATCH(97,Transactions!$V$2:$V$5000,0))&amp;"")</f>
        <v/>
      </c>
      <c r="D203" s="6" t="str">
        <f>IF(97&gt;$B$105,"",INDEX(Transactions!$D$2:$D$5000,MATCH(97,Transactions!$V$2:$V$5000,0))&amp;"")</f>
        <v/>
      </c>
      <c r="E203" s="6" t="str">
        <f>IF(97&gt;$B$105,"",INDEX(Transactions!$N$2:$N$5000,MATCH(97,Transactions!$V$2:$V$5000,0))&amp;"")</f>
        <v/>
      </c>
      <c r="F203" s="11" t="str">
        <f>IF(97&gt;$B$105,"",INDEX(Transactions!$K$2:$K$5000,MATCH(97,Transactions!$V$2:$V$5000,0)))</f>
        <v/>
      </c>
    </row>
    <row r="204" spans="1:6" x14ac:dyDescent="0.25">
      <c r="A204" s="24" t="str">
        <f>IF(98&gt;$B$105,"",INDEX(Transactions!$A$2:$A$5000,MATCH(98,Transactions!$V$2:$V$5000,0)))</f>
        <v/>
      </c>
      <c r="B204" s="6" t="str">
        <f>IF(98&gt;$B$105,"",INDEX(Transactions!$B$2:$B$5000,MATCH(98,Transactions!$V$2:$V$5000,0))&amp;"")</f>
        <v/>
      </c>
      <c r="C204" s="6" t="str">
        <f>IF(98&gt;$B$105,"",INDEX(Transactions!$C$2:$C$5000,MATCH(98,Transactions!$V$2:$V$5000,0))&amp;"")</f>
        <v/>
      </c>
      <c r="D204" s="6" t="str">
        <f>IF(98&gt;$B$105,"",INDEX(Transactions!$D$2:$D$5000,MATCH(98,Transactions!$V$2:$V$5000,0))&amp;"")</f>
        <v/>
      </c>
      <c r="E204" s="6" t="str">
        <f>IF(98&gt;$B$105,"",INDEX(Transactions!$N$2:$N$5000,MATCH(98,Transactions!$V$2:$V$5000,0))&amp;"")</f>
        <v/>
      </c>
      <c r="F204" s="11" t="str">
        <f>IF(98&gt;$B$105,"",INDEX(Transactions!$K$2:$K$5000,MATCH(98,Transactions!$V$2:$V$5000,0)))</f>
        <v/>
      </c>
    </row>
    <row r="205" spans="1:6" x14ac:dyDescent="0.25">
      <c r="A205" s="24" t="str">
        <f>IF(99&gt;$B$105,"",INDEX(Transactions!$A$2:$A$5000,MATCH(99,Transactions!$V$2:$V$5000,0)))</f>
        <v/>
      </c>
      <c r="B205" s="6" t="str">
        <f>IF(99&gt;$B$105,"",INDEX(Transactions!$B$2:$B$5000,MATCH(99,Transactions!$V$2:$V$5000,0))&amp;"")</f>
        <v/>
      </c>
      <c r="C205" s="6" t="str">
        <f>IF(99&gt;$B$105,"",INDEX(Transactions!$C$2:$C$5000,MATCH(99,Transactions!$V$2:$V$5000,0))&amp;"")</f>
        <v/>
      </c>
      <c r="D205" s="6" t="str">
        <f>IF(99&gt;$B$105,"",INDEX(Transactions!$D$2:$D$5000,MATCH(99,Transactions!$V$2:$V$5000,0))&amp;"")</f>
        <v/>
      </c>
      <c r="E205" s="6" t="str">
        <f>IF(99&gt;$B$105,"",INDEX(Transactions!$N$2:$N$5000,MATCH(99,Transactions!$V$2:$V$5000,0))&amp;"")</f>
        <v/>
      </c>
      <c r="F205" s="11" t="str">
        <f>IF(99&gt;$B$105,"",INDEX(Transactions!$K$2:$K$5000,MATCH(99,Transactions!$V$2:$V$5000,0)))</f>
        <v/>
      </c>
    </row>
    <row r="206" spans="1:6" x14ac:dyDescent="0.25">
      <c r="A206" s="24" t="str">
        <f>IF(100&gt;$B$105,"",INDEX(Transactions!$A$2:$A$5000,MATCH(100,Transactions!$V$2:$V$5000,0)))</f>
        <v/>
      </c>
      <c r="B206" s="6" t="str">
        <f>IF(100&gt;$B$105,"",INDEX(Transactions!$B$2:$B$5000,MATCH(100,Transactions!$V$2:$V$5000,0))&amp;"")</f>
        <v/>
      </c>
      <c r="C206" s="6" t="str">
        <f>IF(100&gt;$B$105,"",INDEX(Transactions!$C$2:$C$5000,MATCH(100,Transactions!$V$2:$V$5000,0))&amp;"")</f>
        <v/>
      </c>
      <c r="D206" s="6" t="str">
        <f>IF(100&gt;$B$105,"",INDEX(Transactions!$D$2:$D$5000,MATCH(100,Transactions!$V$2:$V$5000,0))&amp;"")</f>
        <v/>
      </c>
      <c r="E206" s="6" t="str">
        <f>IF(100&gt;$B$105,"",INDEX(Transactions!$N$2:$N$5000,MATCH(100,Transactions!$V$2:$V$5000,0))&amp;"")</f>
        <v/>
      </c>
      <c r="F206" s="11" t="str">
        <f>IF(100&gt;$B$105,"",INDEX(Transactions!$K$2:$K$5000,MATCH(100,Transactions!$V$2:$V$5000,0)))</f>
        <v/>
      </c>
    </row>
    <row r="207" spans="1:6" x14ac:dyDescent="0.25">
      <c r="A207" s="24" t="str">
        <f>IF(101&gt;$B$105,"",INDEX(Transactions!$A$2:$A$5000,MATCH(101,Transactions!$V$2:$V$5000,0)))</f>
        <v/>
      </c>
      <c r="B207" s="6" t="str">
        <f>IF(101&gt;$B$105,"",INDEX(Transactions!$B$2:$B$5000,MATCH(101,Transactions!$V$2:$V$5000,0))&amp;"")</f>
        <v/>
      </c>
      <c r="C207" s="6" t="str">
        <f>IF(101&gt;$B$105,"",INDEX(Transactions!$C$2:$C$5000,MATCH(101,Transactions!$V$2:$V$5000,0))&amp;"")</f>
        <v/>
      </c>
      <c r="D207" s="6" t="str">
        <f>IF(101&gt;$B$105,"",INDEX(Transactions!$D$2:$D$5000,MATCH(101,Transactions!$V$2:$V$5000,0))&amp;"")</f>
        <v/>
      </c>
      <c r="E207" s="6" t="str">
        <f>IF(101&gt;$B$105,"",INDEX(Transactions!$N$2:$N$5000,MATCH(101,Transactions!$V$2:$V$5000,0))&amp;"")</f>
        <v/>
      </c>
      <c r="F207" s="11" t="str">
        <f>IF(101&gt;$B$105,"",INDEX(Transactions!$K$2:$K$5000,MATCH(101,Transactions!$V$2:$V$5000,0)))</f>
        <v/>
      </c>
    </row>
    <row r="208" spans="1:6" x14ac:dyDescent="0.25">
      <c r="A208" s="24" t="str">
        <f>IF(102&gt;$B$105,"",INDEX(Transactions!$A$2:$A$5000,MATCH(102,Transactions!$V$2:$V$5000,0)))</f>
        <v/>
      </c>
      <c r="B208" s="6" t="str">
        <f>IF(102&gt;$B$105,"",INDEX(Transactions!$B$2:$B$5000,MATCH(102,Transactions!$V$2:$V$5000,0))&amp;"")</f>
        <v/>
      </c>
      <c r="C208" s="6" t="str">
        <f>IF(102&gt;$B$105,"",INDEX(Transactions!$C$2:$C$5000,MATCH(102,Transactions!$V$2:$V$5000,0))&amp;"")</f>
        <v/>
      </c>
      <c r="D208" s="6" t="str">
        <f>IF(102&gt;$B$105,"",INDEX(Transactions!$D$2:$D$5000,MATCH(102,Transactions!$V$2:$V$5000,0))&amp;"")</f>
        <v/>
      </c>
      <c r="E208" s="6" t="str">
        <f>IF(102&gt;$B$105,"",INDEX(Transactions!$N$2:$N$5000,MATCH(102,Transactions!$V$2:$V$5000,0))&amp;"")</f>
        <v/>
      </c>
      <c r="F208" s="11" t="str">
        <f>IF(102&gt;$B$105,"",INDEX(Transactions!$K$2:$K$5000,MATCH(102,Transactions!$V$2:$V$5000,0)))</f>
        <v/>
      </c>
    </row>
    <row r="209" spans="1:6" x14ac:dyDescent="0.25">
      <c r="A209" s="24" t="str">
        <f>IF(103&gt;$B$105,"",INDEX(Transactions!$A$2:$A$5000,MATCH(103,Transactions!$V$2:$V$5000,0)))</f>
        <v/>
      </c>
      <c r="B209" s="6" t="str">
        <f>IF(103&gt;$B$105,"",INDEX(Transactions!$B$2:$B$5000,MATCH(103,Transactions!$V$2:$V$5000,0))&amp;"")</f>
        <v/>
      </c>
      <c r="C209" s="6" t="str">
        <f>IF(103&gt;$B$105,"",INDEX(Transactions!$C$2:$C$5000,MATCH(103,Transactions!$V$2:$V$5000,0))&amp;"")</f>
        <v/>
      </c>
      <c r="D209" s="6" t="str">
        <f>IF(103&gt;$B$105,"",INDEX(Transactions!$D$2:$D$5000,MATCH(103,Transactions!$V$2:$V$5000,0))&amp;"")</f>
        <v/>
      </c>
      <c r="E209" s="6" t="str">
        <f>IF(103&gt;$B$105,"",INDEX(Transactions!$N$2:$N$5000,MATCH(103,Transactions!$V$2:$V$5000,0))&amp;"")</f>
        <v/>
      </c>
      <c r="F209" s="11" t="str">
        <f>IF(103&gt;$B$105,"",INDEX(Transactions!$K$2:$K$5000,MATCH(103,Transactions!$V$2:$V$5000,0)))</f>
        <v/>
      </c>
    </row>
    <row r="210" spans="1:6" x14ac:dyDescent="0.25">
      <c r="A210" s="24" t="str">
        <f>IF(104&gt;$B$105,"",INDEX(Transactions!$A$2:$A$5000,MATCH(104,Transactions!$V$2:$V$5000,0)))</f>
        <v/>
      </c>
      <c r="B210" s="6" t="str">
        <f>IF(104&gt;$B$105,"",INDEX(Transactions!$B$2:$B$5000,MATCH(104,Transactions!$V$2:$V$5000,0))&amp;"")</f>
        <v/>
      </c>
      <c r="C210" s="6" t="str">
        <f>IF(104&gt;$B$105,"",INDEX(Transactions!$C$2:$C$5000,MATCH(104,Transactions!$V$2:$V$5000,0))&amp;"")</f>
        <v/>
      </c>
      <c r="D210" s="6" t="str">
        <f>IF(104&gt;$B$105,"",INDEX(Transactions!$D$2:$D$5000,MATCH(104,Transactions!$V$2:$V$5000,0))&amp;"")</f>
        <v/>
      </c>
      <c r="E210" s="6" t="str">
        <f>IF(104&gt;$B$105,"",INDEX(Transactions!$N$2:$N$5000,MATCH(104,Transactions!$V$2:$V$5000,0))&amp;"")</f>
        <v/>
      </c>
      <c r="F210" s="11" t="str">
        <f>IF(104&gt;$B$105,"",INDEX(Transactions!$K$2:$K$5000,MATCH(104,Transactions!$V$2:$V$5000,0)))</f>
        <v/>
      </c>
    </row>
    <row r="211" spans="1:6" x14ac:dyDescent="0.25">
      <c r="A211" s="24" t="str">
        <f>IF(105&gt;$B$105,"",INDEX(Transactions!$A$2:$A$5000,MATCH(105,Transactions!$V$2:$V$5000,0)))</f>
        <v/>
      </c>
      <c r="B211" s="6" t="str">
        <f>IF(105&gt;$B$105,"",INDEX(Transactions!$B$2:$B$5000,MATCH(105,Transactions!$V$2:$V$5000,0))&amp;"")</f>
        <v/>
      </c>
      <c r="C211" s="6" t="str">
        <f>IF(105&gt;$B$105,"",INDEX(Transactions!$C$2:$C$5000,MATCH(105,Transactions!$V$2:$V$5000,0))&amp;"")</f>
        <v/>
      </c>
      <c r="D211" s="6" t="str">
        <f>IF(105&gt;$B$105,"",INDEX(Transactions!$D$2:$D$5000,MATCH(105,Transactions!$V$2:$V$5000,0))&amp;"")</f>
        <v/>
      </c>
      <c r="E211" s="6" t="str">
        <f>IF(105&gt;$B$105,"",INDEX(Transactions!$N$2:$N$5000,MATCH(105,Transactions!$V$2:$V$5000,0))&amp;"")</f>
        <v/>
      </c>
      <c r="F211" s="11" t="str">
        <f>IF(105&gt;$B$105,"",INDEX(Transactions!$K$2:$K$5000,MATCH(105,Transactions!$V$2:$V$5000,0)))</f>
        <v/>
      </c>
    </row>
    <row r="212" spans="1:6" x14ac:dyDescent="0.25">
      <c r="A212" s="24" t="str">
        <f>IF(106&gt;$B$105,"",INDEX(Transactions!$A$2:$A$5000,MATCH(106,Transactions!$V$2:$V$5000,0)))</f>
        <v/>
      </c>
      <c r="B212" s="6" t="str">
        <f>IF(106&gt;$B$105,"",INDEX(Transactions!$B$2:$B$5000,MATCH(106,Transactions!$V$2:$V$5000,0))&amp;"")</f>
        <v/>
      </c>
      <c r="C212" s="6" t="str">
        <f>IF(106&gt;$B$105,"",INDEX(Transactions!$C$2:$C$5000,MATCH(106,Transactions!$V$2:$V$5000,0))&amp;"")</f>
        <v/>
      </c>
      <c r="D212" s="6" t="str">
        <f>IF(106&gt;$B$105,"",INDEX(Transactions!$D$2:$D$5000,MATCH(106,Transactions!$V$2:$V$5000,0))&amp;"")</f>
        <v/>
      </c>
      <c r="E212" s="6" t="str">
        <f>IF(106&gt;$B$105,"",INDEX(Transactions!$N$2:$N$5000,MATCH(106,Transactions!$V$2:$V$5000,0))&amp;"")</f>
        <v/>
      </c>
      <c r="F212" s="11" t="str">
        <f>IF(106&gt;$B$105,"",INDEX(Transactions!$K$2:$K$5000,MATCH(106,Transactions!$V$2:$V$5000,0)))</f>
        <v/>
      </c>
    </row>
    <row r="213" spans="1:6" x14ac:dyDescent="0.25">
      <c r="A213" s="24" t="str">
        <f>IF(107&gt;$B$105,"",INDEX(Transactions!$A$2:$A$5000,MATCH(107,Transactions!$V$2:$V$5000,0)))</f>
        <v/>
      </c>
      <c r="B213" s="6" t="str">
        <f>IF(107&gt;$B$105,"",INDEX(Transactions!$B$2:$B$5000,MATCH(107,Transactions!$V$2:$V$5000,0))&amp;"")</f>
        <v/>
      </c>
      <c r="C213" s="6" t="str">
        <f>IF(107&gt;$B$105,"",INDEX(Transactions!$C$2:$C$5000,MATCH(107,Transactions!$V$2:$V$5000,0))&amp;"")</f>
        <v/>
      </c>
      <c r="D213" s="6" t="str">
        <f>IF(107&gt;$B$105,"",INDEX(Transactions!$D$2:$D$5000,MATCH(107,Transactions!$V$2:$V$5000,0))&amp;"")</f>
        <v/>
      </c>
      <c r="E213" s="6" t="str">
        <f>IF(107&gt;$B$105,"",INDEX(Transactions!$N$2:$N$5000,MATCH(107,Transactions!$V$2:$V$5000,0))&amp;"")</f>
        <v/>
      </c>
      <c r="F213" s="11" t="str">
        <f>IF(107&gt;$B$105,"",INDEX(Transactions!$K$2:$K$5000,MATCH(107,Transactions!$V$2:$V$5000,0)))</f>
        <v/>
      </c>
    </row>
    <row r="214" spans="1:6" x14ac:dyDescent="0.25">
      <c r="A214" s="24" t="str">
        <f>IF(108&gt;$B$105,"",INDEX(Transactions!$A$2:$A$5000,MATCH(108,Transactions!$V$2:$V$5000,0)))</f>
        <v/>
      </c>
      <c r="B214" s="6" t="str">
        <f>IF(108&gt;$B$105,"",INDEX(Transactions!$B$2:$B$5000,MATCH(108,Transactions!$V$2:$V$5000,0))&amp;"")</f>
        <v/>
      </c>
      <c r="C214" s="6" t="str">
        <f>IF(108&gt;$B$105,"",INDEX(Transactions!$C$2:$C$5000,MATCH(108,Transactions!$V$2:$V$5000,0))&amp;"")</f>
        <v/>
      </c>
      <c r="D214" s="6" t="str">
        <f>IF(108&gt;$B$105,"",INDEX(Transactions!$D$2:$D$5000,MATCH(108,Transactions!$V$2:$V$5000,0))&amp;"")</f>
        <v/>
      </c>
      <c r="E214" s="6" t="str">
        <f>IF(108&gt;$B$105,"",INDEX(Transactions!$N$2:$N$5000,MATCH(108,Transactions!$V$2:$V$5000,0))&amp;"")</f>
        <v/>
      </c>
      <c r="F214" s="11" t="str">
        <f>IF(108&gt;$B$105,"",INDEX(Transactions!$K$2:$K$5000,MATCH(108,Transactions!$V$2:$V$5000,0)))</f>
        <v/>
      </c>
    </row>
    <row r="215" spans="1:6" x14ac:dyDescent="0.25">
      <c r="A215" s="24" t="str">
        <f>IF(109&gt;$B$105,"",INDEX(Transactions!$A$2:$A$5000,MATCH(109,Transactions!$V$2:$V$5000,0)))</f>
        <v/>
      </c>
      <c r="B215" s="6" t="str">
        <f>IF(109&gt;$B$105,"",INDEX(Transactions!$B$2:$B$5000,MATCH(109,Transactions!$V$2:$V$5000,0))&amp;"")</f>
        <v/>
      </c>
      <c r="C215" s="6" t="str">
        <f>IF(109&gt;$B$105,"",INDEX(Transactions!$C$2:$C$5000,MATCH(109,Transactions!$V$2:$V$5000,0))&amp;"")</f>
        <v/>
      </c>
      <c r="D215" s="6" t="str">
        <f>IF(109&gt;$B$105,"",INDEX(Transactions!$D$2:$D$5000,MATCH(109,Transactions!$V$2:$V$5000,0))&amp;"")</f>
        <v/>
      </c>
      <c r="E215" s="6" t="str">
        <f>IF(109&gt;$B$105,"",INDEX(Transactions!$N$2:$N$5000,MATCH(109,Transactions!$V$2:$V$5000,0))&amp;"")</f>
        <v/>
      </c>
      <c r="F215" s="11" t="str">
        <f>IF(109&gt;$B$105,"",INDEX(Transactions!$K$2:$K$5000,MATCH(109,Transactions!$V$2:$V$5000,0)))</f>
        <v/>
      </c>
    </row>
    <row r="216" spans="1:6" x14ac:dyDescent="0.25">
      <c r="A216" s="24" t="str">
        <f>IF(110&gt;$B$105,"",INDEX(Transactions!$A$2:$A$5000,MATCH(110,Transactions!$V$2:$V$5000,0)))</f>
        <v/>
      </c>
      <c r="B216" s="6" t="str">
        <f>IF(110&gt;$B$105,"",INDEX(Transactions!$B$2:$B$5000,MATCH(110,Transactions!$V$2:$V$5000,0))&amp;"")</f>
        <v/>
      </c>
      <c r="C216" s="6" t="str">
        <f>IF(110&gt;$B$105,"",INDEX(Transactions!$C$2:$C$5000,MATCH(110,Transactions!$V$2:$V$5000,0))&amp;"")</f>
        <v/>
      </c>
      <c r="D216" s="6" t="str">
        <f>IF(110&gt;$B$105,"",INDEX(Transactions!$D$2:$D$5000,MATCH(110,Transactions!$V$2:$V$5000,0))&amp;"")</f>
        <v/>
      </c>
      <c r="E216" s="6" t="str">
        <f>IF(110&gt;$B$105,"",INDEX(Transactions!$N$2:$N$5000,MATCH(110,Transactions!$V$2:$V$5000,0))&amp;"")</f>
        <v/>
      </c>
      <c r="F216" s="11" t="str">
        <f>IF(110&gt;$B$105,"",INDEX(Transactions!$K$2:$K$5000,MATCH(110,Transactions!$V$2:$V$5000,0)))</f>
        <v/>
      </c>
    </row>
    <row r="217" spans="1:6" x14ac:dyDescent="0.25">
      <c r="A217" s="24" t="str">
        <f>IF(111&gt;$B$105,"",INDEX(Transactions!$A$2:$A$5000,MATCH(111,Transactions!$V$2:$V$5000,0)))</f>
        <v/>
      </c>
      <c r="B217" s="6" t="str">
        <f>IF(111&gt;$B$105,"",INDEX(Transactions!$B$2:$B$5000,MATCH(111,Transactions!$V$2:$V$5000,0))&amp;"")</f>
        <v/>
      </c>
      <c r="C217" s="6" t="str">
        <f>IF(111&gt;$B$105,"",INDEX(Transactions!$C$2:$C$5000,MATCH(111,Transactions!$V$2:$V$5000,0))&amp;"")</f>
        <v/>
      </c>
      <c r="D217" s="6" t="str">
        <f>IF(111&gt;$B$105,"",INDEX(Transactions!$D$2:$D$5000,MATCH(111,Transactions!$V$2:$V$5000,0))&amp;"")</f>
        <v/>
      </c>
      <c r="E217" s="6" t="str">
        <f>IF(111&gt;$B$105,"",INDEX(Transactions!$N$2:$N$5000,MATCH(111,Transactions!$V$2:$V$5000,0))&amp;"")</f>
        <v/>
      </c>
      <c r="F217" s="11" t="str">
        <f>IF(111&gt;$B$105,"",INDEX(Transactions!$K$2:$K$5000,MATCH(111,Transactions!$V$2:$V$5000,0)))</f>
        <v/>
      </c>
    </row>
    <row r="218" spans="1:6" x14ac:dyDescent="0.25">
      <c r="A218" s="24" t="str">
        <f>IF(112&gt;$B$105,"",INDEX(Transactions!$A$2:$A$5000,MATCH(112,Transactions!$V$2:$V$5000,0)))</f>
        <v/>
      </c>
      <c r="B218" s="6" t="str">
        <f>IF(112&gt;$B$105,"",INDEX(Transactions!$B$2:$B$5000,MATCH(112,Transactions!$V$2:$V$5000,0))&amp;"")</f>
        <v/>
      </c>
      <c r="C218" s="6" t="str">
        <f>IF(112&gt;$B$105,"",INDEX(Transactions!$C$2:$C$5000,MATCH(112,Transactions!$V$2:$V$5000,0))&amp;"")</f>
        <v/>
      </c>
      <c r="D218" s="6" t="str">
        <f>IF(112&gt;$B$105,"",INDEX(Transactions!$D$2:$D$5000,MATCH(112,Transactions!$V$2:$V$5000,0))&amp;"")</f>
        <v/>
      </c>
      <c r="E218" s="6" t="str">
        <f>IF(112&gt;$B$105,"",INDEX(Transactions!$N$2:$N$5000,MATCH(112,Transactions!$V$2:$V$5000,0))&amp;"")</f>
        <v/>
      </c>
      <c r="F218" s="11" t="str">
        <f>IF(112&gt;$B$105,"",INDEX(Transactions!$K$2:$K$5000,MATCH(112,Transactions!$V$2:$V$5000,0)))</f>
        <v/>
      </c>
    </row>
    <row r="219" spans="1:6" x14ac:dyDescent="0.25">
      <c r="A219" s="24" t="str">
        <f>IF(113&gt;$B$105,"",INDEX(Transactions!$A$2:$A$5000,MATCH(113,Transactions!$V$2:$V$5000,0)))</f>
        <v/>
      </c>
      <c r="B219" s="6" t="str">
        <f>IF(113&gt;$B$105,"",INDEX(Transactions!$B$2:$B$5000,MATCH(113,Transactions!$V$2:$V$5000,0))&amp;"")</f>
        <v/>
      </c>
      <c r="C219" s="6" t="str">
        <f>IF(113&gt;$B$105,"",INDEX(Transactions!$C$2:$C$5000,MATCH(113,Transactions!$V$2:$V$5000,0))&amp;"")</f>
        <v/>
      </c>
      <c r="D219" s="6" t="str">
        <f>IF(113&gt;$B$105,"",INDEX(Transactions!$D$2:$D$5000,MATCH(113,Transactions!$V$2:$V$5000,0))&amp;"")</f>
        <v/>
      </c>
      <c r="E219" s="6" t="str">
        <f>IF(113&gt;$B$105,"",INDEX(Transactions!$N$2:$N$5000,MATCH(113,Transactions!$V$2:$V$5000,0))&amp;"")</f>
        <v/>
      </c>
      <c r="F219" s="11" t="str">
        <f>IF(113&gt;$B$105,"",INDEX(Transactions!$K$2:$K$5000,MATCH(113,Transactions!$V$2:$V$5000,0)))</f>
        <v/>
      </c>
    </row>
    <row r="220" spans="1:6" x14ac:dyDescent="0.25">
      <c r="A220" s="24" t="str">
        <f>IF(114&gt;$B$105,"",INDEX(Transactions!$A$2:$A$5000,MATCH(114,Transactions!$V$2:$V$5000,0)))</f>
        <v/>
      </c>
      <c r="B220" s="6" t="str">
        <f>IF(114&gt;$B$105,"",INDEX(Transactions!$B$2:$B$5000,MATCH(114,Transactions!$V$2:$V$5000,0))&amp;"")</f>
        <v/>
      </c>
      <c r="C220" s="6" t="str">
        <f>IF(114&gt;$B$105,"",INDEX(Transactions!$C$2:$C$5000,MATCH(114,Transactions!$V$2:$V$5000,0))&amp;"")</f>
        <v/>
      </c>
      <c r="D220" s="6" t="str">
        <f>IF(114&gt;$B$105,"",INDEX(Transactions!$D$2:$D$5000,MATCH(114,Transactions!$V$2:$V$5000,0))&amp;"")</f>
        <v/>
      </c>
      <c r="E220" s="6" t="str">
        <f>IF(114&gt;$B$105,"",INDEX(Transactions!$N$2:$N$5000,MATCH(114,Transactions!$V$2:$V$5000,0))&amp;"")</f>
        <v/>
      </c>
      <c r="F220" s="11" t="str">
        <f>IF(114&gt;$B$105,"",INDEX(Transactions!$K$2:$K$5000,MATCH(114,Transactions!$V$2:$V$5000,0)))</f>
        <v/>
      </c>
    </row>
    <row r="221" spans="1:6" x14ac:dyDescent="0.25">
      <c r="A221" s="24" t="str">
        <f>IF(115&gt;$B$105,"",INDEX(Transactions!$A$2:$A$5000,MATCH(115,Transactions!$V$2:$V$5000,0)))</f>
        <v/>
      </c>
      <c r="B221" s="6" t="str">
        <f>IF(115&gt;$B$105,"",INDEX(Transactions!$B$2:$B$5000,MATCH(115,Transactions!$V$2:$V$5000,0))&amp;"")</f>
        <v/>
      </c>
      <c r="C221" s="6" t="str">
        <f>IF(115&gt;$B$105,"",INDEX(Transactions!$C$2:$C$5000,MATCH(115,Transactions!$V$2:$V$5000,0))&amp;"")</f>
        <v/>
      </c>
      <c r="D221" s="6" t="str">
        <f>IF(115&gt;$B$105,"",INDEX(Transactions!$D$2:$D$5000,MATCH(115,Transactions!$V$2:$V$5000,0))&amp;"")</f>
        <v/>
      </c>
      <c r="E221" s="6" t="str">
        <f>IF(115&gt;$B$105,"",INDEX(Transactions!$N$2:$N$5000,MATCH(115,Transactions!$V$2:$V$5000,0))&amp;"")</f>
        <v/>
      </c>
      <c r="F221" s="11" t="str">
        <f>IF(115&gt;$B$105,"",INDEX(Transactions!$K$2:$K$5000,MATCH(115,Transactions!$V$2:$V$5000,0)))</f>
        <v/>
      </c>
    </row>
    <row r="222" spans="1:6" x14ac:dyDescent="0.25">
      <c r="A222" s="24" t="str">
        <f>IF(116&gt;$B$105,"",INDEX(Transactions!$A$2:$A$5000,MATCH(116,Transactions!$V$2:$V$5000,0)))</f>
        <v/>
      </c>
      <c r="B222" s="6" t="str">
        <f>IF(116&gt;$B$105,"",INDEX(Transactions!$B$2:$B$5000,MATCH(116,Transactions!$V$2:$V$5000,0))&amp;"")</f>
        <v/>
      </c>
      <c r="C222" s="6" t="str">
        <f>IF(116&gt;$B$105,"",INDEX(Transactions!$C$2:$C$5000,MATCH(116,Transactions!$V$2:$V$5000,0))&amp;"")</f>
        <v/>
      </c>
      <c r="D222" s="6" t="str">
        <f>IF(116&gt;$B$105,"",INDEX(Transactions!$D$2:$D$5000,MATCH(116,Transactions!$V$2:$V$5000,0))&amp;"")</f>
        <v/>
      </c>
      <c r="E222" s="6" t="str">
        <f>IF(116&gt;$B$105,"",INDEX(Transactions!$N$2:$N$5000,MATCH(116,Transactions!$V$2:$V$5000,0))&amp;"")</f>
        <v/>
      </c>
      <c r="F222" s="11" t="str">
        <f>IF(116&gt;$B$105,"",INDEX(Transactions!$K$2:$K$5000,MATCH(116,Transactions!$V$2:$V$5000,0)))</f>
        <v/>
      </c>
    </row>
    <row r="223" spans="1:6" x14ac:dyDescent="0.25">
      <c r="A223" s="24" t="str">
        <f>IF(117&gt;$B$105,"",INDEX(Transactions!$A$2:$A$5000,MATCH(117,Transactions!$V$2:$V$5000,0)))</f>
        <v/>
      </c>
      <c r="B223" s="6" t="str">
        <f>IF(117&gt;$B$105,"",INDEX(Transactions!$B$2:$B$5000,MATCH(117,Transactions!$V$2:$V$5000,0))&amp;"")</f>
        <v/>
      </c>
      <c r="C223" s="6" t="str">
        <f>IF(117&gt;$B$105,"",INDEX(Transactions!$C$2:$C$5000,MATCH(117,Transactions!$V$2:$V$5000,0))&amp;"")</f>
        <v/>
      </c>
      <c r="D223" s="6" t="str">
        <f>IF(117&gt;$B$105,"",INDEX(Transactions!$D$2:$D$5000,MATCH(117,Transactions!$V$2:$V$5000,0))&amp;"")</f>
        <v/>
      </c>
      <c r="E223" s="6" t="str">
        <f>IF(117&gt;$B$105,"",INDEX(Transactions!$N$2:$N$5000,MATCH(117,Transactions!$V$2:$V$5000,0))&amp;"")</f>
        <v/>
      </c>
      <c r="F223" s="11" t="str">
        <f>IF(117&gt;$B$105,"",INDEX(Transactions!$K$2:$K$5000,MATCH(117,Transactions!$V$2:$V$5000,0)))</f>
        <v/>
      </c>
    </row>
    <row r="224" spans="1:6" x14ac:dyDescent="0.25">
      <c r="A224" s="24" t="str">
        <f>IF(118&gt;$B$105,"",INDEX(Transactions!$A$2:$A$5000,MATCH(118,Transactions!$V$2:$V$5000,0)))</f>
        <v/>
      </c>
      <c r="B224" s="6" t="str">
        <f>IF(118&gt;$B$105,"",INDEX(Transactions!$B$2:$B$5000,MATCH(118,Transactions!$V$2:$V$5000,0))&amp;"")</f>
        <v/>
      </c>
      <c r="C224" s="6" t="str">
        <f>IF(118&gt;$B$105,"",INDEX(Transactions!$C$2:$C$5000,MATCH(118,Transactions!$V$2:$V$5000,0))&amp;"")</f>
        <v/>
      </c>
      <c r="D224" s="6" t="str">
        <f>IF(118&gt;$B$105,"",INDEX(Transactions!$D$2:$D$5000,MATCH(118,Transactions!$V$2:$V$5000,0))&amp;"")</f>
        <v/>
      </c>
      <c r="E224" s="6" t="str">
        <f>IF(118&gt;$B$105,"",INDEX(Transactions!$N$2:$N$5000,MATCH(118,Transactions!$V$2:$V$5000,0))&amp;"")</f>
        <v/>
      </c>
      <c r="F224" s="11" t="str">
        <f>IF(118&gt;$B$105,"",INDEX(Transactions!$K$2:$K$5000,MATCH(118,Transactions!$V$2:$V$5000,0)))</f>
        <v/>
      </c>
    </row>
    <row r="225" spans="1:6" x14ac:dyDescent="0.25">
      <c r="A225" s="24" t="str">
        <f>IF(119&gt;$B$105,"",INDEX(Transactions!$A$2:$A$5000,MATCH(119,Transactions!$V$2:$V$5000,0)))</f>
        <v/>
      </c>
      <c r="B225" s="6" t="str">
        <f>IF(119&gt;$B$105,"",INDEX(Transactions!$B$2:$B$5000,MATCH(119,Transactions!$V$2:$V$5000,0))&amp;"")</f>
        <v/>
      </c>
      <c r="C225" s="6" t="str">
        <f>IF(119&gt;$B$105,"",INDEX(Transactions!$C$2:$C$5000,MATCH(119,Transactions!$V$2:$V$5000,0))&amp;"")</f>
        <v/>
      </c>
      <c r="D225" s="6" t="str">
        <f>IF(119&gt;$B$105,"",INDEX(Transactions!$D$2:$D$5000,MATCH(119,Transactions!$V$2:$V$5000,0))&amp;"")</f>
        <v/>
      </c>
      <c r="E225" s="6" t="str">
        <f>IF(119&gt;$B$105,"",INDEX(Transactions!$N$2:$N$5000,MATCH(119,Transactions!$V$2:$V$5000,0))&amp;"")</f>
        <v/>
      </c>
      <c r="F225" s="11" t="str">
        <f>IF(119&gt;$B$105,"",INDEX(Transactions!$K$2:$K$5000,MATCH(119,Transactions!$V$2:$V$5000,0)))</f>
        <v/>
      </c>
    </row>
    <row r="226" spans="1:6" x14ac:dyDescent="0.25">
      <c r="A226" s="24" t="str">
        <f>IF(120&gt;$B$105,"",INDEX(Transactions!$A$2:$A$5000,MATCH(120,Transactions!$V$2:$V$5000,0)))</f>
        <v/>
      </c>
      <c r="B226" s="6" t="str">
        <f>IF(120&gt;$B$105,"",INDEX(Transactions!$B$2:$B$5000,MATCH(120,Transactions!$V$2:$V$5000,0))&amp;"")</f>
        <v/>
      </c>
      <c r="C226" s="6" t="str">
        <f>IF(120&gt;$B$105,"",INDEX(Transactions!$C$2:$C$5000,MATCH(120,Transactions!$V$2:$V$5000,0))&amp;"")</f>
        <v/>
      </c>
      <c r="D226" s="6" t="str">
        <f>IF(120&gt;$B$105,"",INDEX(Transactions!$D$2:$D$5000,MATCH(120,Transactions!$V$2:$V$5000,0))&amp;"")</f>
        <v/>
      </c>
      <c r="E226" s="6" t="str">
        <f>IF(120&gt;$B$105,"",INDEX(Transactions!$N$2:$N$5000,MATCH(120,Transactions!$V$2:$V$5000,0))&amp;"")</f>
        <v/>
      </c>
      <c r="F226" s="11" t="str">
        <f>IF(120&gt;$B$105,"",INDEX(Transactions!$K$2:$K$5000,MATCH(120,Transactions!$V$2:$V$5000,0)))</f>
        <v/>
      </c>
    </row>
    <row r="227" spans="1:6" x14ac:dyDescent="0.25">
      <c r="A227" s="24" t="str">
        <f>IF(121&gt;$B$105,"",INDEX(Transactions!$A$2:$A$5000,MATCH(121,Transactions!$V$2:$V$5000,0)))</f>
        <v/>
      </c>
      <c r="B227" s="6" t="str">
        <f>IF(121&gt;$B$105,"",INDEX(Transactions!$B$2:$B$5000,MATCH(121,Transactions!$V$2:$V$5000,0))&amp;"")</f>
        <v/>
      </c>
      <c r="C227" s="6" t="str">
        <f>IF(121&gt;$B$105,"",INDEX(Transactions!$C$2:$C$5000,MATCH(121,Transactions!$V$2:$V$5000,0))&amp;"")</f>
        <v/>
      </c>
      <c r="D227" s="6" t="str">
        <f>IF(121&gt;$B$105,"",INDEX(Transactions!$D$2:$D$5000,MATCH(121,Transactions!$V$2:$V$5000,0))&amp;"")</f>
        <v/>
      </c>
      <c r="E227" s="6" t="str">
        <f>IF(121&gt;$B$105,"",INDEX(Transactions!$N$2:$N$5000,MATCH(121,Transactions!$V$2:$V$5000,0))&amp;"")</f>
        <v/>
      </c>
      <c r="F227" s="11" t="str">
        <f>IF(121&gt;$B$105,"",INDEX(Transactions!$K$2:$K$5000,MATCH(121,Transactions!$V$2:$V$5000,0)))</f>
        <v/>
      </c>
    </row>
    <row r="228" spans="1:6" x14ac:dyDescent="0.25">
      <c r="A228" s="24" t="str">
        <f>IF(122&gt;$B$105,"",INDEX(Transactions!$A$2:$A$5000,MATCH(122,Transactions!$V$2:$V$5000,0)))</f>
        <v/>
      </c>
      <c r="B228" s="6" t="str">
        <f>IF(122&gt;$B$105,"",INDEX(Transactions!$B$2:$B$5000,MATCH(122,Transactions!$V$2:$V$5000,0))&amp;"")</f>
        <v/>
      </c>
      <c r="C228" s="6" t="str">
        <f>IF(122&gt;$B$105,"",INDEX(Transactions!$C$2:$C$5000,MATCH(122,Transactions!$V$2:$V$5000,0))&amp;"")</f>
        <v/>
      </c>
      <c r="D228" s="6" t="str">
        <f>IF(122&gt;$B$105,"",INDEX(Transactions!$D$2:$D$5000,MATCH(122,Transactions!$V$2:$V$5000,0))&amp;"")</f>
        <v/>
      </c>
      <c r="E228" s="6" t="str">
        <f>IF(122&gt;$B$105,"",INDEX(Transactions!$N$2:$N$5000,MATCH(122,Transactions!$V$2:$V$5000,0))&amp;"")</f>
        <v/>
      </c>
      <c r="F228" s="11" t="str">
        <f>IF(122&gt;$B$105,"",INDEX(Transactions!$K$2:$K$5000,MATCH(122,Transactions!$V$2:$V$5000,0)))</f>
        <v/>
      </c>
    </row>
    <row r="229" spans="1:6" x14ac:dyDescent="0.25">
      <c r="A229" s="24" t="str">
        <f>IF(123&gt;$B$105,"",INDEX(Transactions!$A$2:$A$5000,MATCH(123,Transactions!$V$2:$V$5000,0)))</f>
        <v/>
      </c>
      <c r="B229" s="6" t="str">
        <f>IF(123&gt;$B$105,"",INDEX(Transactions!$B$2:$B$5000,MATCH(123,Transactions!$V$2:$V$5000,0))&amp;"")</f>
        <v/>
      </c>
      <c r="C229" s="6" t="str">
        <f>IF(123&gt;$B$105,"",INDEX(Transactions!$C$2:$C$5000,MATCH(123,Transactions!$V$2:$V$5000,0))&amp;"")</f>
        <v/>
      </c>
      <c r="D229" s="6" t="str">
        <f>IF(123&gt;$B$105,"",INDEX(Transactions!$D$2:$D$5000,MATCH(123,Transactions!$V$2:$V$5000,0))&amp;"")</f>
        <v/>
      </c>
      <c r="E229" s="6" t="str">
        <f>IF(123&gt;$B$105,"",INDEX(Transactions!$N$2:$N$5000,MATCH(123,Transactions!$V$2:$V$5000,0))&amp;"")</f>
        <v/>
      </c>
      <c r="F229" s="11" t="str">
        <f>IF(123&gt;$B$105,"",INDEX(Transactions!$K$2:$K$5000,MATCH(123,Transactions!$V$2:$V$5000,0)))</f>
        <v/>
      </c>
    </row>
    <row r="230" spans="1:6" x14ac:dyDescent="0.25">
      <c r="A230" s="24" t="str">
        <f>IF(124&gt;$B$105,"",INDEX(Transactions!$A$2:$A$5000,MATCH(124,Transactions!$V$2:$V$5000,0)))</f>
        <v/>
      </c>
      <c r="B230" s="6" t="str">
        <f>IF(124&gt;$B$105,"",INDEX(Transactions!$B$2:$B$5000,MATCH(124,Transactions!$V$2:$V$5000,0))&amp;"")</f>
        <v/>
      </c>
      <c r="C230" s="6" t="str">
        <f>IF(124&gt;$B$105,"",INDEX(Transactions!$C$2:$C$5000,MATCH(124,Transactions!$V$2:$V$5000,0))&amp;"")</f>
        <v/>
      </c>
      <c r="D230" s="6" t="str">
        <f>IF(124&gt;$B$105,"",INDEX(Transactions!$D$2:$D$5000,MATCH(124,Transactions!$V$2:$V$5000,0))&amp;"")</f>
        <v/>
      </c>
      <c r="E230" s="6" t="str">
        <f>IF(124&gt;$B$105,"",INDEX(Transactions!$N$2:$N$5000,MATCH(124,Transactions!$V$2:$V$5000,0))&amp;"")</f>
        <v/>
      </c>
      <c r="F230" s="11" t="str">
        <f>IF(124&gt;$B$105,"",INDEX(Transactions!$K$2:$K$5000,MATCH(124,Transactions!$V$2:$V$5000,0)))</f>
        <v/>
      </c>
    </row>
    <row r="231" spans="1:6" x14ac:dyDescent="0.25">
      <c r="A231" s="24" t="str">
        <f>IF(125&gt;$B$105,"",INDEX(Transactions!$A$2:$A$5000,MATCH(125,Transactions!$V$2:$V$5000,0)))</f>
        <v/>
      </c>
      <c r="B231" s="6" t="str">
        <f>IF(125&gt;$B$105,"",INDEX(Transactions!$B$2:$B$5000,MATCH(125,Transactions!$V$2:$V$5000,0))&amp;"")</f>
        <v/>
      </c>
      <c r="C231" s="6" t="str">
        <f>IF(125&gt;$B$105,"",INDEX(Transactions!$C$2:$C$5000,MATCH(125,Transactions!$V$2:$V$5000,0))&amp;"")</f>
        <v/>
      </c>
      <c r="D231" s="6" t="str">
        <f>IF(125&gt;$B$105,"",INDEX(Transactions!$D$2:$D$5000,MATCH(125,Transactions!$V$2:$V$5000,0))&amp;"")</f>
        <v/>
      </c>
      <c r="E231" s="6" t="str">
        <f>IF(125&gt;$B$105,"",INDEX(Transactions!$N$2:$N$5000,MATCH(125,Transactions!$V$2:$V$5000,0))&amp;"")</f>
        <v/>
      </c>
      <c r="F231" s="11" t="str">
        <f>IF(125&gt;$B$105,"",INDEX(Transactions!$K$2:$K$5000,MATCH(125,Transactions!$V$2:$V$5000,0)))</f>
        <v/>
      </c>
    </row>
    <row r="232" spans="1:6" x14ac:dyDescent="0.25">
      <c r="A232" s="24" t="str">
        <f>IF(126&gt;$B$105,"",INDEX(Transactions!$A$2:$A$5000,MATCH(126,Transactions!$V$2:$V$5000,0)))</f>
        <v/>
      </c>
      <c r="B232" s="6" t="str">
        <f>IF(126&gt;$B$105,"",INDEX(Transactions!$B$2:$B$5000,MATCH(126,Transactions!$V$2:$V$5000,0))&amp;"")</f>
        <v/>
      </c>
      <c r="C232" s="6" t="str">
        <f>IF(126&gt;$B$105,"",INDEX(Transactions!$C$2:$C$5000,MATCH(126,Transactions!$V$2:$V$5000,0))&amp;"")</f>
        <v/>
      </c>
      <c r="D232" s="6" t="str">
        <f>IF(126&gt;$B$105,"",INDEX(Transactions!$D$2:$D$5000,MATCH(126,Transactions!$V$2:$V$5000,0))&amp;"")</f>
        <v/>
      </c>
      <c r="E232" s="6" t="str">
        <f>IF(126&gt;$B$105,"",INDEX(Transactions!$N$2:$N$5000,MATCH(126,Transactions!$V$2:$V$5000,0))&amp;"")</f>
        <v/>
      </c>
      <c r="F232" s="11" t="str">
        <f>IF(126&gt;$B$105,"",INDEX(Transactions!$K$2:$K$5000,MATCH(126,Transactions!$V$2:$V$5000,0)))</f>
        <v/>
      </c>
    </row>
    <row r="233" spans="1:6" x14ac:dyDescent="0.25">
      <c r="A233" s="24" t="str">
        <f>IF(127&gt;$B$105,"",INDEX(Transactions!$A$2:$A$5000,MATCH(127,Transactions!$V$2:$V$5000,0)))</f>
        <v/>
      </c>
      <c r="B233" s="6" t="str">
        <f>IF(127&gt;$B$105,"",INDEX(Transactions!$B$2:$B$5000,MATCH(127,Transactions!$V$2:$V$5000,0))&amp;"")</f>
        <v/>
      </c>
      <c r="C233" s="6" t="str">
        <f>IF(127&gt;$B$105,"",INDEX(Transactions!$C$2:$C$5000,MATCH(127,Transactions!$V$2:$V$5000,0))&amp;"")</f>
        <v/>
      </c>
      <c r="D233" s="6" t="str">
        <f>IF(127&gt;$B$105,"",INDEX(Transactions!$D$2:$D$5000,MATCH(127,Transactions!$V$2:$V$5000,0))&amp;"")</f>
        <v/>
      </c>
      <c r="E233" s="6" t="str">
        <f>IF(127&gt;$B$105,"",INDEX(Transactions!$N$2:$N$5000,MATCH(127,Transactions!$V$2:$V$5000,0))&amp;"")</f>
        <v/>
      </c>
      <c r="F233" s="11" t="str">
        <f>IF(127&gt;$B$105,"",INDEX(Transactions!$K$2:$K$5000,MATCH(127,Transactions!$V$2:$V$5000,0)))</f>
        <v/>
      </c>
    </row>
    <row r="234" spans="1:6" x14ac:dyDescent="0.25">
      <c r="A234" s="24" t="str">
        <f>IF(128&gt;$B$105,"",INDEX(Transactions!$A$2:$A$5000,MATCH(128,Transactions!$V$2:$V$5000,0)))</f>
        <v/>
      </c>
      <c r="B234" s="6" t="str">
        <f>IF(128&gt;$B$105,"",INDEX(Transactions!$B$2:$B$5000,MATCH(128,Transactions!$V$2:$V$5000,0))&amp;"")</f>
        <v/>
      </c>
      <c r="C234" s="6" t="str">
        <f>IF(128&gt;$B$105,"",INDEX(Transactions!$C$2:$C$5000,MATCH(128,Transactions!$V$2:$V$5000,0))&amp;"")</f>
        <v/>
      </c>
      <c r="D234" s="6" t="str">
        <f>IF(128&gt;$B$105,"",INDEX(Transactions!$D$2:$D$5000,MATCH(128,Transactions!$V$2:$V$5000,0))&amp;"")</f>
        <v/>
      </c>
      <c r="E234" s="6" t="str">
        <f>IF(128&gt;$B$105,"",INDEX(Transactions!$N$2:$N$5000,MATCH(128,Transactions!$V$2:$V$5000,0))&amp;"")</f>
        <v/>
      </c>
      <c r="F234" s="11" t="str">
        <f>IF(128&gt;$B$105,"",INDEX(Transactions!$K$2:$K$5000,MATCH(128,Transactions!$V$2:$V$5000,0)))</f>
        <v/>
      </c>
    </row>
    <row r="235" spans="1:6" x14ac:dyDescent="0.25">
      <c r="A235" s="24" t="str">
        <f>IF(129&gt;$B$105,"",INDEX(Transactions!$A$2:$A$5000,MATCH(129,Transactions!$V$2:$V$5000,0)))</f>
        <v/>
      </c>
      <c r="B235" s="6" t="str">
        <f>IF(129&gt;$B$105,"",INDEX(Transactions!$B$2:$B$5000,MATCH(129,Transactions!$V$2:$V$5000,0))&amp;"")</f>
        <v/>
      </c>
      <c r="C235" s="6" t="str">
        <f>IF(129&gt;$B$105,"",INDEX(Transactions!$C$2:$C$5000,MATCH(129,Transactions!$V$2:$V$5000,0))&amp;"")</f>
        <v/>
      </c>
      <c r="D235" s="6" t="str">
        <f>IF(129&gt;$B$105,"",INDEX(Transactions!$D$2:$D$5000,MATCH(129,Transactions!$V$2:$V$5000,0))&amp;"")</f>
        <v/>
      </c>
      <c r="E235" s="6" t="str">
        <f>IF(129&gt;$B$105,"",INDEX(Transactions!$N$2:$N$5000,MATCH(129,Transactions!$V$2:$V$5000,0))&amp;"")</f>
        <v/>
      </c>
      <c r="F235" s="11" t="str">
        <f>IF(129&gt;$B$105,"",INDEX(Transactions!$K$2:$K$5000,MATCH(129,Transactions!$V$2:$V$5000,0)))</f>
        <v/>
      </c>
    </row>
    <row r="236" spans="1:6" x14ac:dyDescent="0.25">
      <c r="A236" s="24" t="str">
        <f>IF(130&gt;$B$105,"",INDEX(Transactions!$A$2:$A$5000,MATCH(130,Transactions!$V$2:$V$5000,0)))</f>
        <v/>
      </c>
      <c r="B236" s="6" t="str">
        <f>IF(130&gt;$B$105,"",INDEX(Transactions!$B$2:$B$5000,MATCH(130,Transactions!$V$2:$V$5000,0))&amp;"")</f>
        <v/>
      </c>
      <c r="C236" s="6" t="str">
        <f>IF(130&gt;$B$105,"",INDEX(Transactions!$C$2:$C$5000,MATCH(130,Transactions!$V$2:$V$5000,0))&amp;"")</f>
        <v/>
      </c>
      <c r="D236" s="6" t="str">
        <f>IF(130&gt;$B$105,"",INDEX(Transactions!$D$2:$D$5000,MATCH(130,Transactions!$V$2:$V$5000,0))&amp;"")</f>
        <v/>
      </c>
      <c r="E236" s="6" t="str">
        <f>IF(130&gt;$B$105,"",INDEX(Transactions!$N$2:$N$5000,MATCH(130,Transactions!$V$2:$V$5000,0))&amp;"")</f>
        <v/>
      </c>
      <c r="F236" s="11" t="str">
        <f>IF(130&gt;$B$105,"",INDEX(Transactions!$K$2:$K$5000,MATCH(130,Transactions!$V$2:$V$5000,0)))</f>
        <v/>
      </c>
    </row>
    <row r="237" spans="1:6" x14ac:dyDescent="0.25">
      <c r="A237" s="24" t="str">
        <f>IF(131&gt;$B$105,"",INDEX(Transactions!$A$2:$A$5000,MATCH(131,Transactions!$V$2:$V$5000,0)))</f>
        <v/>
      </c>
      <c r="B237" s="6" t="str">
        <f>IF(131&gt;$B$105,"",INDEX(Transactions!$B$2:$B$5000,MATCH(131,Transactions!$V$2:$V$5000,0))&amp;"")</f>
        <v/>
      </c>
      <c r="C237" s="6" t="str">
        <f>IF(131&gt;$B$105,"",INDEX(Transactions!$C$2:$C$5000,MATCH(131,Transactions!$V$2:$V$5000,0))&amp;"")</f>
        <v/>
      </c>
      <c r="D237" s="6" t="str">
        <f>IF(131&gt;$B$105,"",INDEX(Transactions!$D$2:$D$5000,MATCH(131,Transactions!$V$2:$V$5000,0))&amp;"")</f>
        <v/>
      </c>
      <c r="E237" s="6" t="str">
        <f>IF(131&gt;$B$105,"",INDEX(Transactions!$N$2:$N$5000,MATCH(131,Transactions!$V$2:$V$5000,0))&amp;"")</f>
        <v/>
      </c>
      <c r="F237" s="11" t="str">
        <f>IF(131&gt;$B$105,"",INDEX(Transactions!$K$2:$K$5000,MATCH(131,Transactions!$V$2:$V$5000,0)))</f>
        <v/>
      </c>
    </row>
    <row r="238" spans="1:6" x14ac:dyDescent="0.25">
      <c r="A238" s="24" t="str">
        <f>IF(132&gt;$B$105,"",INDEX(Transactions!$A$2:$A$5000,MATCH(132,Transactions!$V$2:$V$5000,0)))</f>
        <v/>
      </c>
      <c r="B238" s="6" t="str">
        <f>IF(132&gt;$B$105,"",INDEX(Transactions!$B$2:$B$5000,MATCH(132,Transactions!$V$2:$V$5000,0))&amp;"")</f>
        <v/>
      </c>
      <c r="C238" s="6" t="str">
        <f>IF(132&gt;$B$105,"",INDEX(Transactions!$C$2:$C$5000,MATCH(132,Transactions!$V$2:$V$5000,0))&amp;"")</f>
        <v/>
      </c>
      <c r="D238" s="6" t="str">
        <f>IF(132&gt;$B$105,"",INDEX(Transactions!$D$2:$D$5000,MATCH(132,Transactions!$V$2:$V$5000,0))&amp;"")</f>
        <v/>
      </c>
      <c r="E238" s="6" t="str">
        <f>IF(132&gt;$B$105,"",INDEX(Transactions!$N$2:$N$5000,MATCH(132,Transactions!$V$2:$V$5000,0))&amp;"")</f>
        <v/>
      </c>
      <c r="F238" s="11" t="str">
        <f>IF(132&gt;$B$105,"",INDEX(Transactions!$K$2:$K$5000,MATCH(132,Transactions!$V$2:$V$5000,0)))</f>
        <v/>
      </c>
    </row>
    <row r="239" spans="1:6" x14ac:dyDescent="0.25">
      <c r="A239" s="24" t="str">
        <f>IF(133&gt;$B$105,"",INDEX(Transactions!$A$2:$A$5000,MATCH(133,Transactions!$V$2:$V$5000,0)))</f>
        <v/>
      </c>
      <c r="B239" s="6" t="str">
        <f>IF(133&gt;$B$105,"",INDEX(Transactions!$B$2:$B$5000,MATCH(133,Transactions!$V$2:$V$5000,0))&amp;"")</f>
        <v/>
      </c>
      <c r="C239" s="6" t="str">
        <f>IF(133&gt;$B$105,"",INDEX(Transactions!$C$2:$C$5000,MATCH(133,Transactions!$V$2:$V$5000,0))&amp;"")</f>
        <v/>
      </c>
      <c r="D239" s="6" t="str">
        <f>IF(133&gt;$B$105,"",INDEX(Transactions!$D$2:$D$5000,MATCH(133,Transactions!$V$2:$V$5000,0))&amp;"")</f>
        <v/>
      </c>
      <c r="E239" s="6" t="str">
        <f>IF(133&gt;$B$105,"",INDEX(Transactions!$N$2:$N$5000,MATCH(133,Transactions!$V$2:$V$5000,0))&amp;"")</f>
        <v/>
      </c>
      <c r="F239" s="11" t="str">
        <f>IF(133&gt;$B$105,"",INDEX(Transactions!$K$2:$K$5000,MATCH(133,Transactions!$V$2:$V$5000,0)))</f>
        <v/>
      </c>
    </row>
    <row r="240" spans="1:6" x14ac:dyDescent="0.25">
      <c r="A240" s="24" t="str">
        <f>IF(134&gt;$B$105,"",INDEX(Transactions!$A$2:$A$5000,MATCH(134,Transactions!$V$2:$V$5000,0)))</f>
        <v/>
      </c>
      <c r="B240" s="6" t="str">
        <f>IF(134&gt;$B$105,"",INDEX(Transactions!$B$2:$B$5000,MATCH(134,Transactions!$V$2:$V$5000,0))&amp;"")</f>
        <v/>
      </c>
      <c r="C240" s="6" t="str">
        <f>IF(134&gt;$B$105,"",INDEX(Transactions!$C$2:$C$5000,MATCH(134,Transactions!$V$2:$V$5000,0))&amp;"")</f>
        <v/>
      </c>
      <c r="D240" s="6" t="str">
        <f>IF(134&gt;$B$105,"",INDEX(Transactions!$D$2:$D$5000,MATCH(134,Transactions!$V$2:$V$5000,0))&amp;"")</f>
        <v/>
      </c>
      <c r="E240" s="6" t="str">
        <f>IF(134&gt;$B$105,"",INDEX(Transactions!$N$2:$N$5000,MATCH(134,Transactions!$V$2:$V$5000,0))&amp;"")</f>
        <v/>
      </c>
      <c r="F240" s="11" t="str">
        <f>IF(134&gt;$B$105,"",INDEX(Transactions!$K$2:$K$5000,MATCH(134,Transactions!$V$2:$V$5000,0)))</f>
        <v/>
      </c>
    </row>
    <row r="241" spans="1:6" x14ac:dyDescent="0.25">
      <c r="A241" s="24" t="str">
        <f>IF(135&gt;$B$105,"",INDEX(Transactions!$A$2:$A$5000,MATCH(135,Transactions!$V$2:$V$5000,0)))</f>
        <v/>
      </c>
      <c r="B241" s="6" t="str">
        <f>IF(135&gt;$B$105,"",INDEX(Transactions!$B$2:$B$5000,MATCH(135,Transactions!$V$2:$V$5000,0))&amp;"")</f>
        <v/>
      </c>
      <c r="C241" s="6" t="str">
        <f>IF(135&gt;$B$105,"",INDEX(Transactions!$C$2:$C$5000,MATCH(135,Transactions!$V$2:$V$5000,0))&amp;"")</f>
        <v/>
      </c>
      <c r="D241" s="6" t="str">
        <f>IF(135&gt;$B$105,"",INDEX(Transactions!$D$2:$D$5000,MATCH(135,Transactions!$V$2:$V$5000,0))&amp;"")</f>
        <v/>
      </c>
      <c r="E241" s="6" t="str">
        <f>IF(135&gt;$B$105,"",INDEX(Transactions!$N$2:$N$5000,MATCH(135,Transactions!$V$2:$V$5000,0))&amp;"")</f>
        <v/>
      </c>
      <c r="F241" s="11" t="str">
        <f>IF(135&gt;$B$105,"",INDEX(Transactions!$K$2:$K$5000,MATCH(135,Transactions!$V$2:$V$5000,0)))</f>
        <v/>
      </c>
    </row>
    <row r="242" spans="1:6" x14ac:dyDescent="0.25">
      <c r="A242" s="24" t="str">
        <f>IF(136&gt;$B$105,"",INDEX(Transactions!$A$2:$A$5000,MATCH(136,Transactions!$V$2:$V$5000,0)))</f>
        <v/>
      </c>
      <c r="B242" s="6" t="str">
        <f>IF(136&gt;$B$105,"",INDEX(Transactions!$B$2:$B$5000,MATCH(136,Transactions!$V$2:$V$5000,0))&amp;"")</f>
        <v/>
      </c>
      <c r="C242" s="6" t="str">
        <f>IF(136&gt;$B$105,"",INDEX(Transactions!$C$2:$C$5000,MATCH(136,Transactions!$V$2:$V$5000,0))&amp;"")</f>
        <v/>
      </c>
      <c r="D242" s="6" t="str">
        <f>IF(136&gt;$B$105,"",INDEX(Transactions!$D$2:$D$5000,MATCH(136,Transactions!$V$2:$V$5000,0))&amp;"")</f>
        <v/>
      </c>
      <c r="E242" s="6" t="str">
        <f>IF(136&gt;$B$105,"",INDEX(Transactions!$N$2:$N$5000,MATCH(136,Transactions!$V$2:$V$5000,0))&amp;"")</f>
        <v/>
      </c>
      <c r="F242" s="11" t="str">
        <f>IF(136&gt;$B$105,"",INDEX(Transactions!$K$2:$K$5000,MATCH(136,Transactions!$V$2:$V$5000,0)))</f>
        <v/>
      </c>
    </row>
    <row r="243" spans="1:6" x14ac:dyDescent="0.25">
      <c r="A243" s="24" t="str">
        <f>IF(137&gt;$B$105,"",INDEX(Transactions!$A$2:$A$5000,MATCH(137,Transactions!$V$2:$V$5000,0)))</f>
        <v/>
      </c>
      <c r="B243" s="6" t="str">
        <f>IF(137&gt;$B$105,"",INDEX(Transactions!$B$2:$B$5000,MATCH(137,Transactions!$V$2:$V$5000,0))&amp;"")</f>
        <v/>
      </c>
      <c r="C243" s="6" t="str">
        <f>IF(137&gt;$B$105,"",INDEX(Transactions!$C$2:$C$5000,MATCH(137,Transactions!$V$2:$V$5000,0))&amp;"")</f>
        <v/>
      </c>
      <c r="D243" s="6" t="str">
        <f>IF(137&gt;$B$105,"",INDEX(Transactions!$D$2:$D$5000,MATCH(137,Transactions!$V$2:$V$5000,0))&amp;"")</f>
        <v/>
      </c>
      <c r="E243" s="6" t="str">
        <f>IF(137&gt;$B$105,"",INDEX(Transactions!$N$2:$N$5000,MATCH(137,Transactions!$V$2:$V$5000,0))&amp;"")</f>
        <v/>
      </c>
      <c r="F243" s="11" t="str">
        <f>IF(137&gt;$B$105,"",INDEX(Transactions!$K$2:$K$5000,MATCH(137,Transactions!$V$2:$V$5000,0)))</f>
        <v/>
      </c>
    </row>
    <row r="244" spans="1:6" x14ac:dyDescent="0.25">
      <c r="A244" s="24" t="str">
        <f>IF(138&gt;$B$105,"",INDEX(Transactions!$A$2:$A$5000,MATCH(138,Transactions!$V$2:$V$5000,0)))</f>
        <v/>
      </c>
      <c r="B244" s="6" t="str">
        <f>IF(138&gt;$B$105,"",INDEX(Transactions!$B$2:$B$5000,MATCH(138,Transactions!$V$2:$V$5000,0))&amp;"")</f>
        <v/>
      </c>
      <c r="C244" s="6" t="str">
        <f>IF(138&gt;$B$105,"",INDEX(Transactions!$C$2:$C$5000,MATCH(138,Transactions!$V$2:$V$5000,0))&amp;"")</f>
        <v/>
      </c>
      <c r="D244" s="6" t="str">
        <f>IF(138&gt;$B$105,"",INDEX(Transactions!$D$2:$D$5000,MATCH(138,Transactions!$V$2:$V$5000,0))&amp;"")</f>
        <v/>
      </c>
      <c r="E244" s="6" t="str">
        <f>IF(138&gt;$B$105,"",INDEX(Transactions!$N$2:$N$5000,MATCH(138,Transactions!$V$2:$V$5000,0))&amp;"")</f>
        <v/>
      </c>
      <c r="F244" s="11" t="str">
        <f>IF(138&gt;$B$105,"",INDEX(Transactions!$K$2:$K$5000,MATCH(138,Transactions!$V$2:$V$5000,0)))</f>
        <v/>
      </c>
    </row>
    <row r="245" spans="1:6" x14ac:dyDescent="0.25">
      <c r="A245" s="24" t="str">
        <f>IF(139&gt;$B$105,"",INDEX(Transactions!$A$2:$A$5000,MATCH(139,Transactions!$V$2:$V$5000,0)))</f>
        <v/>
      </c>
      <c r="B245" s="6" t="str">
        <f>IF(139&gt;$B$105,"",INDEX(Transactions!$B$2:$B$5000,MATCH(139,Transactions!$V$2:$V$5000,0))&amp;"")</f>
        <v/>
      </c>
      <c r="C245" s="6" t="str">
        <f>IF(139&gt;$B$105,"",INDEX(Transactions!$C$2:$C$5000,MATCH(139,Transactions!$V$2:$V$5000,0))&amp;"")</f>
        <v/>
      </c>
      <c r="D245" s="6" t="str">
        <f>IF(139&gt;$B$105,"",INDEX(Transactions!$D$2:$D$5000,MATCH(139,Transactions!$V$2:$V$5000,0))&amp;"")</f>
        <v/>
      </c>
      <c r="E245" s="6" t="str">
        <f>IF(139&gt;$B$105,"",INDEX(Transactions!$N$2:$N$5000,MATCH(139,Transactions!$V$2:$V$5000,0))&amp;"")</f>
        <v/>
      </c>
      <c r="F245" s="11" t="str">
        <f>IF(139&gt;$B$105,"",INDEX(Transactions!$K$2:$K$5000,MATCH(139,Transactions!$V$2:$V$5000,0)))</f>
        <v/>
      </c>
    </row>
    <row r="246" spans="1:6" x14ac:dyDescent="0.25">
      <c r="A246" s="24" t="str">
        <f>IF(140&gt;$B$105,"",INDEX(Transactions!$A$2:$A$5000,MATCH(140,Transactions!$V$2:$V$5000,0)))</f>
        <v/>
      </c>
      <c r="B246" s="6" t="str">
        <f>IF(140&gt;$B$105,"",INDEX(Transactions!$B$2:$B$5000,MATCH(140,Transactions!$V$2:$V$5000,0))&amp;"")</f>
        <v/>
      </c>
      <c r="C246" s="6" t="str">
        <f>IF(140&gt;$B$105,"",INDEX(Transactions!$C$2:$C$5000,MATCH(140,Transactions!$V$2:$V$5000,0))&amp;"")</f>
        <v/>
      </c>
      <c r="D246" s="6" t="str">
        <f>IF(140&gt;$B$105,"",INDEX(Transactions!$D$2:$D$5000,MATCH(140,Transactions!$V$2:$V$5000,0))&amp;"")</f>
        <v/>
      </c>
      <c r="E246" s="6" t="str">
        <f>IF(140&gt;$B$105,"",INDEX(Transactions!$N$2:$N$5000,MATCH(140,Transactions!$V$2:$V$5000,0))&amp;"")</f>
        <v/>
      </c>
      <c r="F246" s="11" t="str">
        <f>IF(140&gt;$B$105,"",INDEX(Transactions!$K$2:$K$5000,MATCH(140,Transactions!$V$2:$V$5000,0)))</f>
        <v/>
      </c>
    </row>
    <row r="247" spans="1:6" x14ac:dyDescent="0.25">
      <c r="A247" s="24" t="str">
        <f>IF(141&gt;$B$105,"",INDEX(Transactions!$A$2:$A$5000,MATCH(141,Transactions!$V$2:$V$5000,0)))</f>
        <v/>
      </c>
      <c r="B247" s="6" t="str">
        <f>IF(141&gt;$B$105,"",INDEX(Transactions!$B$2:$B$5000,MATCH(141,Transactions!$V$2:$V$5000,0))&amp;"")</f>
        <v/>
      </c>
      <c r="C247" s="6" t="str">
        <f>IF(141&gt;$B$105,"",INDEX(Transactions!$C$2:$C$5000,MATCH(141,Transactions!$V$2:$V$5000,0))&amp;"")</f>
        <v/>
      </c>
      <c r="D247" s="6" t="str">
        <f>IF(141&gt;$B$105,"",INDEX(Transactions!$D$2:$D$5000,MATCH(141,Transactions!$V$2:$V$5000,0))&amp;"")</f>
        <v/>
      </c>
      <c r="E247" s="6" t="str">
        <f>IF(141&gt;$B$105,"",INDEX(Transactions!$N$2:$N$5000,MATCH(141,Transactions!$V$2:$V$5000,0))&amp;"")</f>
        <v/>
      </c>
      <c r="F247" s="11" t="str">
        <f>IF(141&gt;$B$105,"",INDEX(Transactions!$K$2:$K$5000,MATCH(141,Transactions!$V$2:$V$5000,0)))</f>
        <v/>
      </c>
    </row>
    <row r="248" spans="1:6" x14ac:dyDescent="0.25">
      <c r="A248" s="24" t="str">
        <f>IF(142&gt;$B$105,"",INDEX(Transactions!$A$2:$A$5000,MATCH(142,Transactions!$V$2:$V$5000,0)))</f>
        <v/>
      </c>
      <c r="B248" s="6" t="str">
        <f>IF(142&gt;$B$105,"",INDEX(Transactions!$B$2:$B$5000,MATCH(142,Transactions!$V$2:$V$5000,0))&amp;"")</f>
        <v/>
      </c>
      <c r="C248" s="6" t="str">
        <f>IF(142&gt;$B$105,"",INDEX(Transactions!$C$2:$C$5000,MATCH(142,Transactions!$V$2:$V$5000,0))&amp;"")</f>
        <v/>
      </c>
      <c r="D248" s="6" t="str">
        <f>IF(142&gt;$B$105,"",INDEX(Transactions!$D$2:$D$5000,MATCH(142,Transactions!$V$2:$V$5000,0))&amp;"")</f>
        <v/>
      </c>
      <c r="E248" s="6" t="str">
        <f>IF(142&gt;$B$105,"",INDEX(Transactions!$N$2:$N$5000,MATCH(142,Transactions!$V$2:$V$5000,0))&amp;"")</f>
        <v/>
      </c>
      <c r="F248" s="11" t="str">
        <f>IF(142&gt;$B$105,"",INDEX(Transactions!$K$2:$K$5000,MATCH(142,Transactions!$V$2:$V$5000,0)))</f>
        <v/>
      </c>
    </row>
    <row r="249" spans="1:6" x14ac:dyDescent="0.25">
      <c r="A249" s="24" t="str">
        <f>IF(143&gt;$B$105,"",INDEX(Transactions!$A$2:$A$5000,MATCH(143,Transactions!$V$2:$V$5000,0)))</f>
        <v/>
      </c>
      <c r="B249" s="6" t="str">
        <f>IF(143&gt;$B$105,"",INDEX(Transactions!$B$2:$B$5000,MATCH(143,Transactions!$V$2:$V$5000,0))&amp;"")</f>
        <v/>
      </c>
      <c r="C249" s="6" t="str">
        <f>IF(143&gt;$B$105,"",INDEX(Transactions!$C$2:$C$5000,MATCH(143,Transactions!$V$2:$V$5000,0))&amp;"")</f>
        <v/>
      </c>
      <c r="D249" s="6" t="str">
        <f>IF(143&gt;$B$105,"",INDEX(Transactions!$D$2:$D$5000,MATCH(143,Transactions!$V$2:$V$5000,0))&amp;"")</f>
        <v/>
      </c>
      <c r="E249" s="6" t="str">
        <f>IF(143&gt;$B$105,"",INDEX(Transactions!$N$2:$N$5000,MATCH(143,Transactions!$V$2:$V$5000,0))&amp;"")</f>
        <v/>
      </c>
      <c r="F249" s="11" t="str">
        <f>IF(143&gt;$B$105,"",INDEX(Transactions!$K$2:$K$5000,MATCH(143,Transactions!$V$2:$V$5000,0)))</f>
        <v/>
      </c>
    </row>
    <row r="250" spans="1:6" x14ac:dyDescent="0.25">
      <c r="A250" s="24" t="str">
        <f>IF(144&gt;$B$105,"",INDEX(Transactions!$A$2:$A$5000,MATCH(144,Transactions!$V$2:$V$5000,0)))</f>
        <v/>
      </c>
      <c r="B250" s="6" t="str">
        <f>IF(144&gt;$B$105,"",INDEX(Transactions!$B$2:$B$5000,MATCH(144,Transactions!$V$2:$V$5000,0))&amp;"")</f>
        <v/>
      </c>
      <c r="C250" s="6" t="str">
        <f>IF(144&gt;$B$105,"",INDEX(Transactions!$C$2:$C$5000,MATCH(144,Transactions!$V$2:$V$5000,0))&amp;"")</f>
        <v/>
      </c>
      <c r="D250" s="6" t="str">
        <f>IF(144&gt;$B$105,"",INDEX(Transactions!$D$2:$D$5000,MATCH(144,Transactions!$V$2:$V$5000,0))&amp;"")</f>
        <v/>
      </c>
      <c r="E250" s="6" t="str">
        <f>IF(144&gt;$B$105,"",INDEX(Transactions!$N$2:$N$5000,MATCH(144,Transactions!$V$2:$V$5000,0))&amp;"")</f>
        <v/>
      </c>
      <c r="F250" s="11" t="str">
        <f>IF(144&gt;$B$105,"",INDEX(Transactions!$K$2:$K$5000,MATCH(144,Transactions!$V$2:$V$5000,0)))</f>
        <v/>
      </c>
    </row>
    <row r="251" spans="1:6" x14ac:dyDescent="0.25">
      <c r="A251" s="24" t="str">
        <f>IF(145&gt;$B$105,"",INDEX(Transactions!$A$2:$A$5000,MATCH(145,Transactions!$V$2:$V$5000,0)))</f>
        <v/>
      </c>
      <c r="B251" s="6" t="str">
        <f>IF(145&gt;$B$105,"",INDEX(Transactions!$B$2:$B$5000,MATCH(145,Transactions!$V$2:$V$5000,0))&amp;"")</f>
        <v/>
      </c>
      <c r="C251" s="6" t="str">
        <f>IF(145&gt;$B$105,"",INDEX(Transactions!$C$2:$C$5000,MATCH(145,Transactions!$V$2:$V$5000,0))&amp;"")</f>
        <v/>
      </c>
      <c r="D251" s="6" t="str">
        <f>IF(145&gt;$B$105,"",INDEX(Transactions!$D$2:$D$5000,MATCH(145,Transactions!$V$2:$V$5000,0))&amp;"")</f>
        <v/>
      </c>
      <c r="E251" s="6" t="str">
        <f>IF(145&gt;$B$105,"",INDEX(Transactions!$N$2:$N$5000,MATCH(145,Transactions!$V$2:$V$5000,0))&amp;"")</f>
        <v/>
      </c>
      <c r="F251" s="11" t="str">
        <f>IF(145&gt;$B$105,"",INDEX(Transactions!$K$2:$K$5000,MATCH(145,Transactions!$V$2:$V$5000,0)))</f>
        <v/>
      </c>
    </row>
    <row r="252" spans="1:6" x14ac:dyDescent="0.25">
      <c r="A252" s="24" t="str">
        <f>IF(146&gt;$B$105,"",INDEX(Transactions!$A$2:$A$5000,MATCH(146,Transactions!$V$2:$V$5000,0)))</f>
        <v/>
      </c>
      <c r="B252" s="6" t="str">
        <f>IF(146&gt;$B$105,"",INDEX(Transactions!$B$2:$B$5000,MATCH(146,Transactions!$V$2:$V$5000,0))&amp;"")</f>
        <v/>
      </c>
      <c r="C252" s="6" t="str">
        <f>IF(146&gt;$B$105,"",INDEX(Transactions!$C$2:$C$5000,MATCH(146,Transactions!$V$2:$V$5000,0))&amp;"")</f>
        <v/>
      </c>
      <c r="D252" s="6" t="str">
        <f>IF(146&gt;$B$105,"",INDEX(Transactions!$D$2:$D$5000,MATCH(146,Transactions!$V$2:$V$5000,0))&amp;"")</f>
        <v/>
      </c>
      <c r="E252" s="6" t="str">
        <f>IF(146&gt;$B$105,"",INDEX(Transactions!$N$2:$N$5000,MATCH(146,Transactions!$V$2:$V$5000,0))&amp;"")</f>
        <v/>
      </c>
      <c r="F252" s="11" t="str">
        <f>IF(146&gt;$B$105,"",INDEX(Transactions!$K$2:$K$5000,MATCH(146,Transactions!$V$2:$V$5000,0)))</f>
        <v/>
      </c>
    </row>
    <row r="253" spans="1:6" x14ac:dyDescent="0.25">
      <c r="A253" s="24" t="str">
        <f>IF(147&gt;$B$105,"",INDEX(Transactions!$A$2:$A$5000,MATCH(147,Transactions!$V$2:$V$5000,0)))</f>
        <v/>
      </c>
      <c r="B253" s="6" t="str">
        <f>IF(147&gt;$B$105,"",INDEX(Transactions!$B$2:$B$5000,MATCH(147,Transactions!$V$2:$V$5000,0))&amp;"")</f>
        <v/>
      </c>
      <c r="C253" s="6" t="str">
        <f>IF(147&gt;$B$105,"",INDEX(Transactions!$C$2:$C$5000,MATCH(147,Transactions!$V$2:$V$5000,0))&amp;"")</f>
        <v/>
      </c>
      <c r="D253" s="6" t="str">
        <f>IF(147&gt;$B$105,"",INDEX(Transactions!$D$2:$D$5000,MATCH(147,Transactions!$V$2:$V$5000,0))&amp;"")</f>
        <v/>
      </c>
      <c r="E253" s="6" t="str">
        <f>IF(147&gt;$B$105,"",INDEX(Transactions!$N$2:$N$5000,MATCH(147,Transactions!$V$2:$V$5000,0))&amp;"")</f>
        <v/>
      </c>
      <c r="F253" s="11" t="str">
        <f>IF(147&gt;$B$105,"",INDEX(Transactions!$K$2:$K$5000,MATCH(147,Transactions!$V$2:$V$5000,0)))</f>
        <v/>
      </c>
    </row>
    <row r="254" spans="1:6" x14ac:dyDescent="0.25">
      <c r="A254" s="24" t="str">
        <f>IF(148&gt;$B$105,"",INDEX(Transactions!$A$2:$A$5000,MATCH(148,Transactions!$V$2:$V$5000,0)))</f>
        <v/>
      </c>
      <c r="B254" s="6" t="str">
        <f>IF(148&gt;$B$105,"",INDEX(Transactions!$B$2:$B$5000,MATCH(148,Transactions!$V$2:$V$5000,0))&amp;"")</f>
        <v/>
      </c>
      <c r="C254" s="6" t="str">
        <f>IF(148&gt;$B$105,"",INDEX(Transactions!$C$2:$C$5000,MATCH(148,Transactions!$V$2:$V$5000,0))&amp;"")</f>
        <v/>
      </c>
      <c r="D254" s="6" t="str">
        <f>IF(148&gt;$B$105,"",INDEX(Transactions!$D$2:$D$5000,MATCH(148,Transactions!$V$2:$V$5000,0))&amp;"")</f>
        <v/>
      </c>
      <c r="E254" s="6" t="str">
        <f>IF(148&gt;$B$105,"",INDEX(Transactions!$N$2:$N$5000,MATCH(148,Transactions!$V$2:$V$5000,0))&amp;"")</f>
        <v/>
      </c>
      <c r="F254" s="11" t="str">
        <f>IF(148&gt;$B$105,"",INDEX(Transactions!$K$2:$K$5000,MATCH(148,Transactions!$V$2:$V$5000,0)))</f>
        <v/>
      </c>
    </row>
    <row r="255" spans="1:6" x14ac:dyDescent="0.25">
      <c r="A255" s="24" t="str">
        <f>IF(149&gt;$B$105,"",INDEX(Transactions!$A$2:$A$5000,MATCH(149,Transactions!$V$2:$V$5000,0)))</f>
        <v/>
      </c>
      <c r="B255" s="6" t="str">
        <f>IF(149&gt;$B$105,"",INDEX(Transactions!$B$2:$B$5000,MATCH(149,Transactions!$V$2:$V$5000,0))&amp;"")</f>
        <v/>
      </c>
      <c r="C255" s="6" t="str">
        <f>IF(149&gt;$B$105,"",INDEX(Transactions!$C$2:$C$5000,MATCH(149,Transactions!$V$2:$V$5000,0))&amp;"")</f>
        <v/>
      </c>
      <c r="D255" s="6" t="str">
        <f>IF(149&gt;$B$105,"",INDEX(Transactions!$D$2:$D$5000,MATCH(149,Transactions!$V$2:$V$5000,0))&amp;"")</f>
        <v/>
      </c>
      <c r="E255" s="6" t="str">
        <f>IF(149&gt;$B$105,"",INDEX(Transactions!$N$2:$N$5000,MATCH(149,Transactions!$V$2:$V$5000,0))&amp;"")</f>
        <v/>
      </c>
      <c r="F255" s="11" t="str">
        <f>IF(149&gt;$B$105,"",INDEX(Transactions!$K$2:$K$5000,MATCH(149,Transactions!$V$2:$V$5000,0)))</f>
        <v/>
      </c>
    </row>
    <row r="256" spans="1:6" x14ac:dyDescent="0.25">
      <c r="A256" s="24" t="str">
        <f>IF(150&gt;$B$105,"",INDEX(Transactions!$A$2:$A$5000,MATCH(150,Transactions!$V$2:$V$5000,0)))</f>
        <v/>
      </c>
      <c r="B256" s="6" t="str">
        <f>IF(150&gt;$B$105,"",INDEX(Transactions!$B$2:$B$5000,MATCH(150,Transactions!$V$2:$V$5000,0))&amp;"")</f>
        <v/>
      </c>
      <c r="C256" s="6" t="str">
        <f>IF(150&gt;$B$105,"",INDEX(Transactions!$C$2:$C$5000,MATCH(150,Transactions!$V$2:$V$5000,0))&amp;"")</f>
        <v/>
      </c>
      <c r="D256" s="6" t="str">
        <f>IF(150&gt;$B$105,"",INDEX(Transactions!$D$2:$D$5000,MATCH(150,Transactions!$V$2:$V$5000,0))&amp;"")</f>
        <v/>
      </c>
      <c r="E256" s="6" t="str">
        <f>IF(150&gt;$B$105,"",INDEX(Transactions!$N$2:$N$5000,MATCH(150,Transactions!$V$2:$V$5000,0))&amp;"")</f>
        <v/>
      </c>
      <c r="F256" s="11" t="str">
        <f>IF(150&gt;$B$105,"",INDEX(Transactions!$K$2:$K$5000,MATCH(150,Transactions!$V$2:$V$5000,0)))</f>
        <v/>
      </c>
    </row>
    <row r="257" spans="1:6" x14ac:dyDescent="0.25">
      <c r="A257" s="24" t="str">
        <f>IF(151&gt;$B$105,"",INDEX(Transactions!$A$2:$A$5000,MATCH(151,Transactions!$V$2:$V$5000,0)))</f>
        <v/>
      </c>
      <c r="B257" s="6" t="str">
        <f>IF(151&gt;$B$105,"",INDEX(Transactions!$B$2:$B$5000,MATCH(151,Transactions!$V$2:$V$5000,0))&amp;"")</f>
        <v/>
      </c>
      <c r="C257" s="6" t="str">
        <f>IF(151&gt;$B$105,"",INDEX(Transactions!$C$2:$C$5000,MATCH(151,Transactions!$V$2:$V$5000,0))&amp;"")</f>
        <v/>
      </c>
      <c r="D257" s="6" t="str">
        <f>IF(151&gt;$B$105,"",INDEX(Transactions!$D$2:$D$5000,MATCH(151,Transactions!$V$2:$V$5000,0))&amp;"")</f>
        <v/>
      </c>
      <c r="E257" s="6" t="str">
        <f>IF(151&gt;$B$105,"",INDEX(Transactions!$N$2:$N$5000,MATCH(151,Transactions!$V$2:$V$5000,0))&amp;"")</f>
        <v/>
      </c>
      <c r="F257" s="11" t="str">
        <f>IF(151&gt;$B$105,"",INDEX(Transactions!$K$2:$K$5000,MATCH(151,Transactions!$V$2:$V$5000,0)))</f>
        <v/>
      </c>
    </row>
    <row r="258" spans="1:6" x14ac:dyDescent="0.25">
      <c r="A258" s="24" t="str">
        <f>IF(152&gt;$B$105,"",INDEX(Transactions!$A$2:$A$5000,MATCH(152,Transactions!$V$2:$V$5000,0)))</f>
        <v/>
      </c>
      <c r="B258" s="6" t="str">
        <f>IF(152&gt;$B$105,"",INDEX(Transactions!$B$2:$B$5000,MATCH(152,Transactions!$V$2:$V$5000,0))&amp;"")</f>
        <v/>
      </c>
      <c r="C258" s="6" t="str">
        <f>IF(152&gt;$B$105,"",INDEX(Transactions!$C$2:$C$5000,MATCH(152,Transactions!$V$2:$V$5000,0))&amp;"")</f>
        <v/>
      </c>
      <c r="D258" s="6" t="str">
        <f>IF(152&gt;$B$105,"",INDEX(Transactions!$D$2:$D$5000,MATCH(152,Transactions!$V$2:$V$5000,0))&amp;"")</f>
        <v/>
      </c>
      <c r="E258" s="6" t="str">
        <f>IF(152&gt;$B$105,"",INDEX(Transactions!$N$2:$N$5000,MATCH(152,Transactions!$V$2:$V$5000,0))&amp;"")</f>
        <v/>
      </c>
      <c r="F258" s="11" t="str">
        <f>IF(152&gt;$B$105,"",INDEX(Transactions!$K$2:$K$5000,MATCH(152,Transactions!$V$2:$V$5000,0)))</f>
        <v/>
      </c>
    </row>
    <row r="259" spans="1:6" x14ac:dyDescent="0.25">
      <c r="A259" s="24" t="str">
        <f>IF(153&gt;$B$105,"",INDEX(Transactions!$A$2:$A$5000,MATCH(153,Transactions!$V$2:$V$5000,0)))</f>
        <v/>
      </c>
      <c r="B259" s="6" t="str">
        <f>IF(153&gt;$B$105,"",INDEX(Transactions!$B$2:$B$5000,MATCH(153,Transactions!$V$2:$V$5000,0))&amp;"")</f>
        <v/>
      </c>
      <c r="C259" s="6" t="str">
        <f>IF(153&gt;$B$105,"",INDEX(Transactions!$C$2:$C$5000,MATCH(153,Transactions!$V$2:$V$5000,0))&amp;"")</f>
        <v/>
      </c>
      <c r="D259" s="6" t="str">
        <f>IF(153&gt;$B$105,"",INDEX(Transactions!$D$2:$D$5000,MATCH(153,Transactions!$V$2:$V$5000,0))&amp;"")</f>
        <v/>
      </c>
      <c r="E259" s="6" t="str">
        <f>IF(153&gt;$B$105,"",INDEX(Transactions!$N$2:$N$5000,MATCH(153,Transactions!$V$2:$V$5000,0))&amp;"")</f>
        <v/>
      </c>
      <c r="F259" s="11" t="str">
        <f>IF(153&gt;$B$105,"",INDEX(Transactions!$K$2:$K$5000,MATCH(153,Transactions!$V$2:$V$5000,0)))</f>
        <v/>
      </c>
    </row>
    <row r="260" spans="1:6" x14ac:dyDescent="0.25">
      <c r="A260" s="24" t="str">
        <f>IF(154&gt;$B$105,"",INDEX(Transactions!$A$2:$A$5000,MATCH(154,Transactions!$V$2:$V$5000,0)))</f>
        <v/>
      </c>
      <c r="B260" s="6" t="str">
        <f>IF(154&gt;$B$105,"",INDEX(Transactions!$B$2:$B$5000,MATCH(154,Transactions!$V$2:$V$5000,0))&amp;"")</f>
        <v/>
      </c>
      <c r="C260" s="6" t="str">
        <f>IF(154&gt;$B$105,"",INDEX(Transactions!$C$2:$C$5000,MATCH(154,Transactions!$V$2:$V$5000,0))&amp;"")</f>
        <v/>
      </c>
      <c r="D260" s="6" t="str">
        <f>IF(154&gt;$B$105,"",INDEX(Transactions!$D$2:$D$5000,MATCH(154,Transactions!$V$2:$V$5000,0))&amp;"")</f>
        <v/>
      </c>
      <c r="E260" s="6" t="str">
        <f>IF(154&gt;$B$105,"",INDEX(Transactions!$N$2:$N$5000,MATCH(154,Transactions!$V$2:$V$5000,0))&amp;"")</f>
        <v/>
      </c>
      <c r="F260" s="11" t="str">
        <f>IF(154&gt;$B$105,"",INDEX(Transactions!$K$2:$K$5000,MATCH(154,Transactions!$V$2:$V$5000,0)))</f>
        <v/>
      </c>
    </row>
    <row r="261" spans="1:6" x14ac:dyDescent="0.25">
      <c r="A261" s="24" t="str">
        <f>IF(155&gt;$B$105,"",INDEX(Transactions!$A$2:$A$5000,MATCH(155,Transactions!$V$2:$V$5000,0)))</f>
        <v/>
      </c>
      <c r="B261" s="6" t="str">
        <f>IF(155&gt;$B$105,"",INDEX(Transactions!$B$2:$B$5000,MATCH(155,Transactions!$V$2:$V$5000,0))&amp;"")</f>
        <v/>
      </c>
      <c r="C261" s="6" t="str">
        <f>IF(155&gt;$B$105,"",INDEX(Transactions!$C$2:$C$5000,MATCH(155,Transactions!$V$2:$V$5000,0))&amp;"")</f>
        <v/>
      </c>
      <c r="D261" s="6" t="str">
        <f>IF(155&gt;$B$105,"",INDEX(Transactions!$D$2:$D$5000,MATCH(155,Transactions!$V$2:$V$5000,0))&amp;"")</f>
        <v/>
      </c>
      <c r="E261" s="6" t="str">
        <f>IF(155&gt;$B$105,"",INDEX(Transactions!$N$2:$N$5000,MATCH(155,Transactions!$V$2:$V$5000,0))&amp;"")</f>
        <v/>
      </c>
      <c r="F261" s="11" t="str">
        <f>IF(155&gt;$B$105,"",INDEX(Transactions!$K$2:$K$5000,MATCH(155,Transactions!$V$2:$V$5000,0)))</f>
        <v/>
      </c>
    </row>
    <row r="262" spans="1:6" x14ac:dyDescent="0.25">
      <c r="A262" s="24" t="str">
        <f>IF(156&gt;$B$105,"",INDEX(Transactions!$A$2:$A$5000,MATCH(156,Transactions!$V$2:$V$5000,0)))</f>
        <v/>
      </c>
      <c r="B262" s="6" t="str">
        <f>IF(156&gt;$B$105,"",INDEX(Transactions!$B$2:$B$5000,MATCH(156,Transactions!$V$2:$V$5000,0))&amp;"")</f>
        <v/>
      </c>
      <c r="C262" s="6" t="str">
        <f>IF(156&gt;$B$105,"",INDEX(Transactions!$C$2:$C$5000,MATCH(156,Transactions!$V$2:$V$5000,0))&amp;"")</f>
        <v/>
      </c>
      <c r="D262" s="6" t="str">
        <f>IF(156&gt;$B$105,"",INDEX(Transactions!$D$2:$D$5000,MATCH(156,Transactions!$V$2:$V$5000,0))&amp;"")</f>
        <v/>
      </c>
      <c r="E262" s="6" t="str">
        <f>IF(156&gt;$B$105,"",INDEX(Transactions!$N$2:$N$5000,MATCH(156,Transactions!$V$2:$V$5000,0))&amp;"")</f>
        <v/>
      </c>
      <c r="F262" s="11" t="str">
        <f>IF(156&gt;$B$105,"",INDEX(Transactions!$K$2:$K$5000,MATCH(156,Transactions!$V$2:$V$5000,0)))</f>
        <v/>
      </c>
    </row>
    <row r="263" spans="1:6" x14ac:dyDescent="0.25">
      <c r="A263" s="24" t="str">
        <f>IF(157&gt;$B$105,"",INDEX(Transactions!$A$2:$A$5000,MATCH(157,Transactions!$V$2:$V$5000,0)))</f>
        <v/>
      </c>
      <c r="B263" s="6" t="str">
        <f>IF(157&gt;$B$105,"",INDEX(Transactions!$B$2:$B$5000,MATCH(157,Transactions!$V$2:$V$5000,0))&amp;"")</f>
        <v/>
      </c>
      <c r="C263" s="6" t="str">
        <f>IF(157&gt;$B$105,"",INDEX(Transactions!$C$2:$C$5000,MATCH(157,Transactions!$V$2:$V$5000,0))&amp;"")</f>
        <v/>
      </c>
      <c r="D263" s="6" t="str">
        <f>IF(157&gt;$B$105,"",INDEX(Transactions!$D$2:$D$5000,MATCH(157,Transactions!$V$2:$V$5000,0))&amp;"")</f>
        <v/>
      </c>
      <c r="E263" s="6" t="str">
        <f>IF(157&gt;$B$105,"",INDEX(Transactions!$N$2:$N$5000,MATCH(157,Transactions!$V$2:$V$5000,0))&amp;"")</f>
        <v/>
      </c>
      <c r="F263" s="11" t="str">
        <f>IF(157&gt;$B$105,"",INDEX(Transactions!$K$2:$K$5000,MATCH(157,Transactions!$V$2:$V$5000,0)))</f>
        <v/>
      </c>
    </row>
    <row r="264" spans="1:6" x14ac:dyDescent="0.25">
      <c r="A264" s="24" t="str">
        <f>IF(158&gt;$B$105,"",INDEX(Transactions!$A$2:$A$5000,MATCH(158,Transactions!$V$2:$V$5000,0)))</f>
        <v/>
      </c>
      <c r="B264" s="6" t="str">
        <f>IF(158&gt;$B$105,"",INDEX(Transactions!$B$2:$B$5000,MATCH(158,Transactions!$V$2:$V$5000,0))&amp;"")</f>
        <v/>
      </c>
      <c r="C264" s="6" t="str">
        <f>IF(158&gt;$B$105,"",INDEX(Transactions!$C$2:$C$5000,MATCH(158,Transactions!$V$2:$V$5000,0))&amp;"")</f>
        <v/>
      </c>
      <c r="D264" s="6" t="str">
        <f>IF(158&gt;$B$105,"",INDEX(Transactions!$D$2:$D$5000,MATCH(158,Transactions!$V$2:$V$5000,0))&amp;"")</f>
        <v/>
      </c>
      <c r="E264" s="6" t="str">
        <f>IF(158&gt;$B$105,"",INDEX(Transactions!$N$2:$N$5000,MATCH(158,Transactions!$V$2:$V$5000,0))&amp;"")</f>
        <v/>
      </c>
      <c r="F264" s="11" t="str">
        <f>IF(158&gt;$B$105,"",INDEX(Transactions!$K$2:$K$5000,MATCH(158,Transactions!$V$2:$V$5000,0)))</f>
        <v/>
      </c>
    </row>
    <row r="265" spans="1:6" x14ac:dyDescent="0.25">
      <c r="A265" s="24" t="str">
        <f>IF(159&gt;$B$105,"",INDEX(Transactions!$A$2:$A$5000,MATCH(159,Transactions!$V$2:$V$5000,0)))</f>
        <v/>
      </c>
      <c r="B265" s="6" t="str">
        <f>IF(159&gt;$B$105,"",INDEX(Transactions!$B$2:$B$5000,MATCH(159,Transactions!$V$2:$V$5000,0))&amp;"")</f>
        <v/>
      </c>
      <c r="C265" s="6" t="str">
        <f>IF(159&gt;$B$105,"",INDEX(Transactions!$C$2:$C$5000,MATCH(159,Transactions!$V$2:$V$5000,0))&amp;"")</f>
        <v/>
      </c>
      <c r="D265" s="6" t="str">
        <f>IF(159&gt;$B$105,"",INDEX(Transactions!$D$2:$D$5000,MATCH(159,Transactions!$V$2:$V$5000,0))&amp;"")</f>
        <v/>
      </c>
      <c r="E265" s="6" t="str">
        <f>IF(159&gt;$B$105,"",INDEX(Transactions!$N$2:$N$5000,MATCH(159,Transactions!$V$2:$V$5000,0))&amp;"")</f>
        <v/>
      </c>
      <c r="F265" s="11" t="str">
        <f>IF(159&gt;$B$105,"",INDEX(Transactions!$K$2:$K$5000,MATCH(159,Transactions!$V$2:$V$5000,0)))</f>
        <v/>
      </c>
    </row>
    <row r="266" spans="1:6" x14ac:dyDescent="0.25">
      <c r="A266" s="24" t="str">
        <f>IF(160&gt;$B$105,"",INDEX(Transactions!$A$2:$A$5000,MATCH(160,Transactions!$V$2:$V$5000,0)))</f>
        <v/>
      </c>
      <c r="B266" s="6" t="str">
        <f>IF(160&gt;$B$105,"",INDEX(Transactions!$B$2:$B$5000,MATCH(160,Transactions!$V$2:$V$5000,0))&amp;"")</f>
        <v/>
      </c>
      <c r="C266" s="6" t="str">
        <f>IF(160&gt;$B$105,"",INDEX(Transactions!$C$2:$C$5000,MATCH(160,Transactions!$V$2:$V$5000,0))&amp;"")</f>
        <v/>
      </c>
      <c r="D266" s="6" t="str">
        <f>IF(160&gt;$B$105,"",INDEX(Transactions!$D$2:$D$5000,MATCH(160,Transactions!$V$2:$V$5000,0))&amp;"")</f>
        <v/>
      </c>
      <c r="E266" s="6" t="str">
        <f>IF(160&gt;$B$105,"",INDEX(Transactions!$N$2:$N$5000,MATCH(160,Transactions!$V$2:$V$5000,0))&amp;"")</f>
        <v/>
      </c>
      <c r="F266" s="11" t="str">
        <f>IF(160&gt;$B$105,"",INDEX(Transactions!$K$2:$K$5000,MATCH(160,Transactions!$V$2:$V$5000,0)))</f>
        <v/>
      </c>
    </row>
    <row r="267" spans="1:6" x14ac:dyDescent="0.25">
      <c r="A267" s="24" t="str">
        <f>IF(161&gt;$B$105,"",INDEX(Transactions!$A$2:$A$5000,MATCH(161,Transactions!$V$2:$V$5000,0)))</f>
        <v/>
      </c>
      <c r="B267" s="6" t="str">
        <f>IF(161&gt;$B$105,"",INDEX(Transactions!$B$2:$B$5000,MATCH(161,Transactions!$V$2:$V$5000,0))&amp;"")</f>
        <v/>
      </c>
      <c r="C267" s="6" t="str">
        <f>IF(161&gt;$B$105,"",INDEX(Transactions!$C$2:$C$5000,MATCH(161,Transactions!$V$2:$V$5000,0))&amp;"")</f>
        <v/>
      </c>
      <c r="D267" s="6" t="str">
        <f>IF(161&gt;$B$105,"",INDEX(Transactions!$D$2:$D$5000,MATCH(161,Transactions!$V$2:$V$5000,0))&amp;"")</f>
        <v/>
      </c>
      <c r="E267" s="6" t="str">
        <f>IF(161&gt;$B$105,"",INDEX(Transactions!$N$2:$N$5000,MATCH(161,Transactions!$V$2:$V$5000,0))&amp;"")</f>
        <v/>
      </c>
      <c r="F267" s="11" t="str">
        <f>IF(161&gt;$B$105,"",INDEX(Transactions!$K$2:$K$5000,MATCH(161,Transactions!$V$2:$V$5000,0)))</f>
        <v/>
      </c>
    </row>
    <row r="268" spans="1:6" x14ac:dyDescent="0.25">
      <c r="A268" s="24" t="str">
        <f>IF(162&gt;$B$105,"",INDEX(Transactions!$A$2:$A$5000,MATCH(162,Transactions!$V$2:$V$5000,0)))</f>
        <v/>
      </c>
      <c r="B268" s="6" t="str">
        <f>IF(162&gt;$B$105,"",INDEX(Transactions!$B$2:$B$5000,MATCH(162,Transactions!$V$2:$V$5000,0))&amp;"")</f>
        <v/>
      </c>
      <c r="C268" s="6" t="str">
        <f>IF(162&gt;$B$105,"",INDEX(Transactions!$C$2:$C$5000,MATCH(162,Transactions!$V$2:$V$5000,0))&amp;"")</f>
        <v/>
      </c>
      <c r="D268" s="6" t="str">
        <f>IF(162&gt;$B$105,"",INDEX(Transactions!$D$2:$D$5000,MATCH(162,Transactions!$V$2:$V$5000,0))&amp;"")</f>
        <v/>
      </c>
      <c r="E268" s="6" t="str">
        <f>IF(162&gt;$B$105,"",INDEX(Transactions!$N$2:$N$5000,MATCH(162,Transactions!$V$2:$V$5000,0))&amp;"")</f>
        <v/>
      </c>
      <c r="F268" s="11" t="str">
        <f>IF(162&gt;$B$105,"",INDEX(Transactions!$K$2:$K$5000,MATCH(162,Transactions!$V$2:$V$5000,0)))</f>
        <v/>
      </c>
    </row>
    <row r="269" spans="1:6" x14ac:dyDescent="0.25">
      <c r="A269" s="24" t="str">
        <f>IF(163&gt;$B$105,"",INDEX(Transactions!$A$2:$A$5000,MATCH(163,Transactions!$V$2:$V$5000,0)))</f>
        <v/>
      </c>
      <c r="B269" s="6" t="str">
        <f>IF(163&gt;$B$105,"",INDEX(Transactions!$B$2:$B$5000,MATCH(163,Transactions!$V$2:$V$5000,0))&amp;"")</f>
        <v/>
      </c>
      <c r="C269" s="6" t="str">
        <f>IF(163&gt;$B$105,"",INDEX(Transactions!$C$2:$C$5000,MATCH(163,Transactions!$V$2:$V$5000,0))&amp;"")</f>
        <v/>
      </c>
      <c r="D269" s="6" t="str">
        <f>IF(163&gt;$B$105,"",INDEX(Transactions!$D$2:$D$5000,MATCH(163,Transactions!$V$2:$V$5000,0))&amp;"")</f>
        <v/>
      </c>
      <c r="E269" s="6" t="str">
        <f>IF(163&gt;$B$105,"",INDEX(Transactions!$N$2:$N$5000,MATCH(163,Transactions!$V$2:$V$5000,0))&amp;"")</f>
        <v/>
      </c>
      <c r="F269" s="11" t="str">
        <f>IF(163&gt;$B$105,"",INDEX(Transactions!$K$2:$K$5000,MATCH(163,Transactions!$V$2:$V$5000,0)))</f>
        <v/>
      </c>
    </row>
    <row r="270" spans="1:6" x14ac:dyDescent="0.25">
      <c r="A270" s="24" t="str">
        <f>IF(164&gt;$B$105,"",INDEX(Transactions!$A$2:$A$5000,MATCH(164,Transactions!$V$2:$V$5000,0)))</f>
        <v/>
      </c>
      <c r="B270" s="6" t="str">
        <f>IF(164&gt;$B$105,"",INDEX(Transactions!$B$2:$B$5000,MATCH(164,Transactions!$V$2:$V$5000,0))&amp;"")</f>
        <v/>
      </c>
      <c r="C270" s="6" t="str">
        <f>IF(164&gt;$B$105,"",INDEX(Transactions!$C$2:$C$5000,MATCH(164,Transactions!$V$2:$V$5000,0))&amp;"")</f>
        <v/>
      </c>
      <c r="D270" s="6" t="str">
        <f>IF(164&gt;$B$105,"",INDEX(Transactions!$D$2:$D$5000,MATCH(164,Transactions!$V$2:$V$5000,0))&amp;"")</f>
        <v/>
      </c>
      <c r="E270" s="6" t="str">
        <f>IF(164&gt;$B$105,"",INDEX(Transactions!$N$2:$N$5000,MATCH(164,Transactions!$V$2:$V$5000,0))&amp;"")</f>
        <v/>
      </c>
      <c r="F270" s="11" t="str">
        <f>IF(164&gt;$B$105,"",INDEX(Transactions!$K$2:$K$5000,MATCH(164,Transactions!$V$2:$V$5000,0)))</f>
        <v/>
      </c>
    </row>
    <row r="271" spans="1:6" x14ac:dyDescent="0.25">
      <c r="A271" s="24" t="str">
        <f>IF(165&gt;$B$105,"",INDEX(Transactions!$A$2:$A$5000,MATCH(165,Transactions!$V$2:$V$5000,0)))</f>
        <v/>
      </c>
      <c r="B271" s="6" t="str">
        <f>IF(165&gt;$B$105,"",INDEX(Transactions!$B$2:$B$5000,MATCH(165,Transactions!$V$2:$V$5000,0))&amp;"")</f>
        <v/>
      </c>
      <c r="C271" s="6" t="str">
        <f>IF(165&gt;$B$105,"",INDEX(Transactions!$C$2:$C$5000,MATCH(165,Transactions!$V$2:$V$5000,0))&amp;"")</f>
        <v/>
      </c>
      <c r="D271" s="6" t="str">
        <f>IF(165&gt;$B$105,"",INDEX(Transactions!$D$2:$D$5000,MATCH(165,Transactions!$V$2:$V$5000,0))&amp;"")</f>
        <v/>
      </c>
      <c r="E271" s="6" t="str">
        <f>IF(165&gt;$B$105,"",INDEX(Transactions!$N$2:$N$5000,MATCH(165,Transactions!$V$2:$V$5000,0))&amp;"")</f>
        <v/>
      </c>
      <c r="F271" s="11" t="str">
        <f>IF(165&gt;$B$105,"",INDEX(Transactions!$K$2:$K$5000,MATCH(165,Transactions!$V$2:$V$5000,0)))</f>
        <v/>
      </c>
    </row>
    <row r="272" spans="1:6" x14ac:dyDescent="0.25">
      <c r="A272" s="24" t="str">
        <f>IF(166&gt;$B$105,"",INDEX(Transactions!$A$2:$A$5000,MATCH(166,Transactions!$V$2:$V$5000,0)))</f>
        <v/>
      </c>
      <c r="B272" s="6" t="str">
        <f>IF(166&gt;$B$105,"",INDEX(Transactions!$B$2:$B$5000,MATCH(166,Transactions!$V$2:$V$5000,0))&amp;"")</f>
        <v/>
      </c>
      <c r="C272" s="6" t="str">
        <f>IF(166&gt;$B$105,"",INDEX(Transactions!$C$2:$C$5000,MATCH(166,Transactions!$V$2:$V$5000,0))&amp;"")</f>
        <v/>
      </c>
      <c r="D272" s="6" t="str">
        <f>IF(166&gt;$B$105,"",INDEX(Transactions!$D$2:$D$5000,MATCH(166,Transactions!$V$2:$V$5000,0))&amp;"")</f>
        <v/>
      </c>
      <c r="E272" s="6" t="str">
        <f>IF(166&gt;$B$105,"",INDEX(Transactions!$N$2:$N$5000,MATCH(166,Transactions!$V$2:$V$5000,0))&amp;"")</f>
        <v/>
      </c>
      <c r="F272" s="11" t="str">
        <f>IF(166&gt;$B$105,"",INDEX(Transactions!$K$2:$K$5000,MATCH(166,Transactions!$V$2:$V$5000,0)))</f>
        <v/>
      </c>
    </row>
    <row r="273" spans="1:6" x14ac:dyDescent="0.25">
      <c r="A273" s="24" t="str">
        <f>IF(167&gt;$B$105,"",INDEX(Transactions!$A$2:$A$5000,MATCH(167,Transactions!$V$2:$V$5000,0)))</f>
        <v/>
      </c>
      <c r="B273" s="6" t="str">
        <f>IF(167&gt;$B$105,"",INDEX(Transactions!$B$2:$B$5000,MATCH(167,Transactions!$V$2:$V$5000,0))&amp;"")</f>
        <v/>
      </c>
      <c r="C273" s="6" t="str">
        <f>IF(167&gt;$B$105,"",INDEX(Transactions!$C$2:$C$5000,MATCH(167,Transactions!$V$2:$V$5000,0))&amp;"")</f>
        <v/>
      </c>
      <c r="D273" s="6" t="str">
        <f>IF(167&gt;$B$105,"",INDEX(Transactions!$D$2:$D$5000,MATCH(167,Transactions!$V$2:$V$5000,0))&amp;"")</f>
        <v/>
      </c>
      <c r="E273" s="6" t="str">
        <f>IF(167&gt;$B$105,"",INDEX(Transactions!$N$2:$N$5000,MATCH(167,Transactions!$V$2:$V$5000,0))&amp;"")</f>
        <v/>
      </c>
      <c r="F273" s="11" t="str">
        <f>IF(167&gt;$B$105,"",INDEX(Transactions!$K$2:$K$5000,MATCH(167,Transactions!$V$2:$V$5000,0)))</f>
        <v/>
      </c>
    </row>
    <row r="274" spans="1:6" x14ac:dyDescent="0.25">
      <c r="A274" s="24" t="str">
        <f>IF(168&gt;$B$105,"",INDEX(Transactions!$A$2:$A$5000,MATCH(168,Transactions!$V$2:$V$5000,0)))</f>
        <v/>
      </c>
      <c r="B274" s="6" t="str">
        <f>IF(168&gt;$B$105,"",INDEX(Transactions!$B$2:$B$5000,MATCH(168,Transactions!$V$2:$V$5000,0))&amp;"")</f>
        <v/>
      </c>
      <c r="C274" s="6" t="str">
        <f>IF(168&gt;$B$105,"",INDEX(Transactions!$C$2:$C$5000,MATCH(168,Transactions!$V$2:$V$5000,0))&amp;"")</f>
        <v/>
      </c>
      <c r="D274" s="6" t="str">
        <f>IF(168&gt;$B$105,"",INDEX(Transactions!$D$2:$D$5000,MATCH(168,Transactions!$V$2:$V$5000,0))&amp;"")</f>
        <v/>
      </c>
      <c r="E274" s="6" t="str">
        <f>IF(168&gt;$B$105,"",INDEX(Transactions!$N$2:$N$5000,MATCH(168,Transactions!$V$2:$V$5000,0))&amp;"")</f>
        <v/>
      </c>
      <c r="F274" s="11" t="str">
        <f>IF(168&gt;$B$105,"",INDEX(Transactions!$K$2:$K$5000,MATCH(168,Transactions!$V$2:$V$5000,0)))</f>
        <v/>
      </c>
    </row>
    <row r="275" spans="1:6" x14ac:dyDescent="0.25">
      <c r="A275" s="24" t="str">
        <f>IF(169&gt;$B$105,"",INDEX(Transactions!$A$2:$A$5000,MATCH(169,Transactions!$V$2:$V$5000,0)))</f>
        <v/>
      </c>
      <c r="B275" s="6" t="str">
        <f>IF(169&gt;$B$105,"",INDEX(Transactions!$B$2:$B$5000,MATCH(169,Transactions!$V$2:$V$5000,0))&amp;"")</f>
        <v/>
      </c>
      <c r="C275" s="6" t="str">
        <f>IF(169&gt;$B$105,"",INDEX(Transactions!$C$2:$C$5000,MATCH(169,Transactions!$V$2:$V$5000,0))&amp;"")</f>
        <v/>
      </c>
      <c r="D275" s="6" t="str">
        <f>IF(169&gt;$B$105,"",INDEX(Transactions!$D$2:$D$5000,MATCH(169,Transactions!$V$2:$V$5000,0))&amp;"")</f>
        <v/>
      </c>
      <c r="E275" s="6" t="str">
        <f>IF(169&gt;$B$105,"",INDEX(Transactions!$N$2:$N$5000,MATCH(169,Transactions!$V$2:$V$5000,0))&amp;"")</f>
        <v/>
      </c>
      <c r="F275" s="11" t="str">
        <f>IF(169&gt;$B$105,"",INDEX(Transactions!$K$2:$K$5000,MATCH(169,Transactions!$V$2:$V$5000,0)))</f>
        <v/>
      </c>
    </row>
    <row r="276" spans="1:6" x14ac:dyDescent="0.25">
      <c r="A276" s="24" t="str">
        <f>IF(170&gt;$B$105,"",INDEX(Transactions!$A$2:$A$5000,MATCH(170,Transactions!$V$2:$V$5000,0)))</f>
        <v/>
      </c>
      <c r="B276" s="6" t="str">
        <f>IF(170&gt;$B$105,"",INDEX(Transactions!$B$2:$B$5000,MATCH(170,Transactions!$V$2:$V$5000,0))&amp;"")</f>
        <v/>
      </c>
      <c r="C276" s="6" t="str">
        <f>IF(170&gt;$B$105,"",INDEX(Transactions!$C$2:$C$5000,MATCH(170,Transactions!$V$2:$V$5000,0))&amp;"")</f>
        <v/>
      </c>
      <c r="D276" s="6" t="str">
        <f>IF(170&gt;$B$105,"",INDEX(Transactions!$D$2:$D$5000,MATCH(170,Transactions!$V$2:$V$5000,0))&amp;"")</f>
        <v/>
      </c>
      <c r="E276" s="6" t="str">
        <f>IF(170&gt;$B$105,"",INDEX(Transactions!$N$2:$N$5000,MATCH(170,Transactions!$V$2:$V$5000,0))&amp;"")</f>
        <v/>
      </c>
      <c r="F276" s="11" t="str">
        <f>IF(170&gt;$B$105,"",INDEX(Transactions!$K$2:$K$5000,MATCH(170,Transactions!$V$2:$V$5000,0)))</f>
        <v/>
      </c>
    </row>
    <row r="277" spans="1:6" x14ac:dyDescent="0.25">
      <c r="A277" s="24" t="str">
        <f>IF(171&gt;$B$105,"",INDEX(Transactions!$A$2:$A$5000,MATCH(171,Transactions!$V$2:$V$5000,0)))</f>
        <v/>
      </c>
      <c r="B277" s="6" t="str">
        <f>IF(171&gt;$B$105,"",INDEX(Transactions!$B$2:$B$5000,MATCH(171,Transactions!$V$2:$V$5000,0))&amp;"")</f>
        <v/>
      </c>
      <c r="C277" s="6" t="str">
        <f>IF(171&gt;$B$105,"",INDEX(Transactions!$C$2:$C$5000,MATCH(171,Transactions!$V$2:$V$5000,0))&amp;"")</f>
        <v/>
      </c>
      <c r="D277" s="6" t="str">
        <f>IF(171&gt;$B$105,"",INDEX(Transactions!$D$2:$D$5000,MATCH(171,Transactions!$V$2:$V$5000,0))&amp;"")</f>
        <v/>
      </c>
      <c r="E277" s="6" t="str">
        <f>IF(171&gt;$B$105,"",INDEX(Transactions!$N$2:$N$5000,MATCH(171,Transactions!$V$2:$V$5000,0))&amp;"")</f>
        <v/>
      </c>
      <c r="F277" s="11" t="str">
        <f>IF(171&gt;$B$105,"",INDEX(Transactions!$K$2:$K$5000,MATCH(171,Transactions!$V$2:$V$5000,0)))</f>
        <v/>
      </c>
    </row>
    <row r="278" spans="1:6" x14ac:dyDescent="0.25">
      <c r="A278" s="24" t="str">
        <f>IF(172&gt;$B$105,"",INDEX(Transactions!$A$2:$A$5000,MATCH(172,Transactions!$V$2:$V$5000,0)))</f>
        <v/>
      </c>
      <c r="B278" s="6" t="str">
        <f>IF(172&gt;$B$105,"",INDEX(Transactions!$B$2:$B$5000,MATCH(172,Transactions!$V$2:$V$5000,0))&amp;"")</f>
        <v/>
      </c>
      <c r="C278" s="6" t="str">
        <f>IF(172&gt;$B$105,"",INDEX(Transactions!$C$2:$C$5000,MATCH(172,Transactions!$V$2:$V$5000,0))&amp;"")</f>
        <v/>
      </c>
      <c r="D278" s="6" t="str">
        <f>IF(172&gt;$B$105,"",INDEX(Transactions!$D$2:$D$5000,MATCH(172,Transactions!$V$2:$V$5000,0))&amp;"")</f>
        <v/>
      </c>
      <c r="E278" s="6" t="str">
        <f>IF(172&gt;$B$105,"",INDEX(Transactions!$N$2:$N$5000,MATCH(172,Transactions!$V$2:$V$5000,0))&amp;"")</f>
        <v/>
      </c>
      <c r="F278" s="11" t="str">
        <f>IF(172&gt;$B$105,"",INDEX(Transactions!$K$2:$K$5000,MATCH(172,Transactions!$V$2:$V$5000,0)))</f>
        <v/>
      </c>
    </row>
    <row r="279" spans="1:6" x14ac:dyDescent="0.25">
      <c r="A279" s="24" t="str">
        <f>IF(173&gt;$B$105,"",INDEX(Transactions!$A$2:$A$5000,MATCH(173,Transactions!$V$2:$V$5000,0)))</f>
        <v/>
      </c>
      <c r="B279" s="6" t="str">
        <f>IF(173&gt;$B$105,"",INDEX(Transactions!$B$2:$B$5000,MATCH(173,Transactions!$V$2:$V$5000,0))&amp;"")</f>
        <v/>
      </c>
      <c r="C279" s="6" t="str">
        <f>IF(173&gt;$B$105,"",INDEX(Transactions!$C$2:$C$5000,MATCH(173,Transactions!$V$2:$V$5000,0))&amp;"")</f>
        <v/>
      </c>
      <c r="D279" s="6" t="str">
        <f>IF(173&gt;$B$105,"",INDEX(Transactions!$D$2:$D$5000,MATCH(173,Transactions!$V$2:$V$5000,0))&amp;"")</f>
        <v/>
      </c>
      <c r="E279" s="6" t="str">
        <f>IF(173&gt;$B$105,"",INDEX(Transactions!$N$2:$N$5000,MATCH(173,Transactions!$V$2:$V$5000,0))&amp;"")</f>
        <v/>
      </c>
      <c r="F279" s="11" t="str">
        <f>IF(173&gt;$B$105,"",INDEX(Transactions!$K$2:$K$5000,MATCH(173,Transactions!$V$2:$V$5000,0)))</f>
        <v/>
      </c>
    </row>
    <row r="280" spans="1:6" x14ac:dyDescent="0.25">
      <c r="A280" s="24" t="str">
        <f>IF(174&gt;$B$105,"",INDEX(Transactions!$A$2:$A$5000,MATCH(174,Transactions!$V$2:$V$5000,0)))</f>
        <v/>
      </c>
      <c r="B280" s="6" t="str">
        <f>IF(174&gt;$B$105,"",INDEX(Transactions!$B$2:$B$5000,MATCH(174,Transactions!$V$2:$V$5000,0))&amp;"")</f>
        <v/>
      </c>
      <c r="C280" s="6" t="str">
        <f>IF(174&gt;$B$105,"",INDEX(Transactions!$C$2:$C$5000,MATCH(174,Transactions!$V$2:$V$5000,0))&amp;"")</f>
        <v/>
      </c>
      <c r="D280" s="6" t="str">
        <f>IF(174&gt;$B$105,"",INDEX(Transactions!$D$2:$D$5000,MATCH(174,Transactions!$V$2:$V$5000,0))&amp;"")</f>
        <v/>
      </c>
      <c r="E280" s="6" t="str">
        <f>IF(174&gt;$B$105,"",INDEX(Transactions!$N$2:$N$5000,MATCH(174,Transactions!$V$2:$V$5000,0))&amp;"")</f>
        <v/>
      </c>
      <c r="F280" s="11" t="str">
        <f>IF(174&gt;$B$105,"",INDEX(Transactions!$K$2:$K$5000,MATCH(174,Transactions!$V$2:$V$5000,0)))</f>
        <v/>
      </c>
    </row>
    <row r="281" spans="1:6" x14ac:dyDescent="0.25">
      <c r="A281" s="24" t="str">
        <f>IF(175&gt;$B$105,"",INDEX(Transactions!$A$2:$A$5000,MATCH(175,Transactions!$V$2:$V$5000,0)))</f>
        <v/>
      </c>
      <c r="B281" s="6" t="str">
        <f>IF(175&gt;$B$105,"",INDEX(Transactions!$B$2:$B$5000,MATCH(175,Transactions!$V$2:$V$5000,0))&amp;"")</f>
        <v/>
      </c>
      <c r="C281" s="6" t="str">
        <f>IF(175&gt;$B$105,"",INDEX(Transactions!$C$2:$C$5000,MATCH(175,Transactions!$V$2:$V$5000,0))&amp;"")</f>
        <v/>
      </c>
      <c r="D281" s="6" t="str">
        <f>IF(175&gt;$B$105,"",INDEX(Transactions!$D$2:$D$5000,MATCH(175,Transactions!$V$2:$V$5000,0))&amp;"")</f>
        <v/>
      </c>
      <c r="E281" s="6" t="str">
        <f>IF(175&gt;$B$105,"",INDEX(Transactions!$N$2:$N$5000,MATCH(175,Transactions!$V$2:$V$5000,0))&amp;"")</f>
        <v/>
      </c>
      <c r="F281" s="11" t="str">
        <f>IF(175&gt;$B$105,"",INDEX(Transactions!$K$2:$K$5000,MATCH(175,Transactions!$V$2:$V$5000,0)))</f>
        <v/>
      </c>
    </row>
    <row r="282" spans="1:6" x14ac:dyDescent="0.25">
      <c r="A282" s="24" t="str">
        <f>IF(176&gt;$B$105,"",INDEX(Transactions!$A$2:$A$5000,MATCH(176,Transactions!$V$2:$V$5000,0)))</f>
        <v/>
      </c>
      <c r="B282" s="6" t="str">
        <f>IF(176&gt;$B$105,"",INDEX(Transactions!$B$2:$B$5000,MATCH(176,Transactions!$V$2:$V$5000,0))&amp;"")</f>
        <v/>
      </c>
      <c r="C282" s="6" t="str">
        <f>IF(176&gt;$B$105,"",INDEX(Transactions!$C$2:$C$5000,MATCH(176,Transactions!$V$2:$V$5000,0))&amp;"")</f>
        <v/>
      </c>
      <c r="D282" s="6" t="str">
        <f>IF(176&gt;$B$105,"",INDEX(Transactions!$D$2:$D$5000,MATCH(176,Transactions!$V$2:$V$5000,0))&amp;"")</f>
        <v/>
      </c>
      <c r="E282" s="6" t="str">
        <f>IF(176&gt;$B$105,"",INDEX(Transactions!$N$2:$N$5000,MATCH(176,Transactions!$V$2:$V$5000,0))&amp;"")</f>
        <v/>
      </c>
      <c r="F282" s="11" t="str">
        <f>IF(176&gt;$B$105,"",INDEX(Transactions!$K$2:$K$5000,MATCH(176,Transactions!$V$2:$V$5000,0)))</f>
        <v/>
      </c>
    </row>
    <row r="283" spans="1:6" x14ac:dyDescent="0.25">
      <c r="A283" s="24" t="str">
        <f>IF(177&gt;$B$105,"",INDEX(Transactions!$A$2:$A$5000,MATCH(177,Transactions!$V$2:$V$5000,0)))</f>
        <v/>
      </c>
      <c r="B283" s="6" t="str">
        <f>IF(177&gt;$B$105,"",INDEX(Transactions!$B$2:$B$5000,MATCH(177,Transactions!$V$2:$V$5000,0))&amp;"")</f>
        <v/>
      </c>
      <c r="C283" s="6" t="str">
        <f>IF(177&gt;$B$105,"",INDEX(Transactions!$C$2:$C$5000,MATCH(177,Transactions!$V$2:$V$5000,0))&amp;"")</f>
        <v/>
      </c>
      <c r="D283" s="6" t="str">
        <f>IF(177&gt;$B$105,"",INDEX(Transactions!$D$2:$D$5000,MATCH(177,Transactions!$V$2:$V$5000,0))&amp;"")</f>
        <v/>
      </c>
      <c r="E283" s="6" t="str">
        <f>IF(177&gt;$B$105,"",INDEX(Transactions!$N$2:$N$5000,MATCH(177,Transactions!$V$2:$V$5000,0))&amp;"")</f>
        <v/>
      </c>
      <c r="F283" s="11" t="str">
        <f>IF(177&gt;$B$105,"",INDEX(Transactions!$K$2:$K$5000,MATCH(177,Transactions!$V$2:$V$5000,0)))</f>
        <v/>
      </c>
    </row>
    <row r="284" spans="1:6" x14ac:dyDescent="0.25">
      <c r="A284" s="24" t="str">
        <f>IF(178&gt;$B$105,"",INDEX(Transactions!$A$2:$A$5000,MATCH(178,Transactions!$V$2:$V$5000,0)))</f>
        <v/>
      </c>
      <c r="B284" s="6" t="str">
        <f>IF(178&gt;$B$105,"",INDEX(Transactions!$B$2:$B$5000,MATCH(178,Transactions!$V$2:$V$5000,0))&amp;"")</f>
        <v/>
      </c>
      <c r="C284" s="6" t="str">
        <f>IF(178&gt;$B$105,"",INDEX(Transactions!$C$2:$C$5000,MATCH(178,Transactions!$V$2:$V$5000,0))&amp;"")</f>
        <v/>
      </c>
      <c r="D284" s="6" t="str">
        <f>IF(178&gt;$B$105,"",INDEX(Transactions!$D$2:$D$5000,MATCH(178,Transactions!$V$2:$V$5000,0))&amp;"")</f>
        <v/>
      </c>
      <c r="E284" s="6" t="str">
        <f>IF(178&gt;$B$105,"",INDEX(Transactions!$N$2:$N$5000,MATCH(178,Transactions!$V$2:$V$5000,0))&amp;"")</f>
        <v/>
      </c>
      <c r="F284" s="11" t="str">
        <f>IF(178&gt;$B$105,"",INDEX(Transactions!$K$2:$K$5000,MATCH(178,Transactions!$V$2:$V$5000,0)))</f>
        <v/>
      </c>
    </row>
    <row r="285" spans="1:6" x14ac:dyDescent="0.25">
      <c r="A285" s="24" t="str">
        <f>IF(179&gt;$B$105,"",INDEX(Transactions!$A$2:$A$5000,MATCH(179,Transactions!$V$2:$V$5000,0)))</f>
        <v/>
      </c>
      <c r="B285" s="6" t="str">
        <f>IF(179&gt;$B$105,"",INDEX(Transactions!$B$2:$B$5000,MATCH(179,Transactions!$V$2:$V$5000,0))&amp;"")</f>
        <v/>
      </c>
      <c r="C285" s="6" t="str">
        <f>IF(179&gt;$B$105,"",INDEX(Transactions!$C$2:$C$5000,MATCH(179,Transactions!$V$2:$V$5000,0))&amp;"")</f>
        <v/>
      </c>
      <c r="D285" s="6" t="str">
        <f>IF(179&gt;$B$105,"",INDEX(Transactions!$D$2:$D$5000,MATCH(179,Transactions!$V$2:$V$5000,0))&amp;"")</f>
        <v/>
      </c>
      <c r="E285" s="6" t="str">
        <f>IF(179&gt;$B$105,"",INDEX(Transactions!$N$2:$N$5000,MATCH(179,Transactions!$V$2:$V$5000,0))&amp;"")</f>
        <v/>
      </c>
      <c r="F285" s="11" t="str">
        <f>IF(179&gt;$B$105,"",INDEX(Transactions!$K$2:$K$5000,MATCH(179,Transactions!$V$2:$V$5000,0)))</f>
        <v/>
      </c>
    </row>
    <row r="286" spans="1:6" x14ac:dyDescent="0.25">
      <c r="A286" s="24" t="str">
        <f>IF(180&gt;$B$105,"",INDEX(Transactions!$A$2:$A$5000,MATCH(180,Transactions!$V$2:$V$5000,0)))</f>
        <v/>
      </c>
      <c r="B286" s="6" t="str">
        <f>IF(180&gt;$B$105,"",INDEX(Transactions!$B$2:$B$5000,MATCH(180,Transactions!$V$2:$V$5000,0))&amp;"")</f>
        <v/>
      </c>
      <c r="C286" s="6" t="str">
        <f>IF(180&gt;$B$105,"",INDEX(Transactions!$C$2:$C$5000,MATCH(180,Transactions!$V$2:$V$5000,0))&amp;"")</f>
        <v/>
      </c>
      <c r="D286" s="6" t="str">
        <f>IF(180&gt;$B$105,"",INDEX(Transactions!$D$2:$D$5000,MATCH(180,Transactions!$V$2:$V$5000,0))&amp;"")</f>
        <v/>
      </c>
      <c r="E286" s="6" t="str">
        <f>IF(180&gt;$B$105,"",INDEX(Transactions!$N$2:$N$5000,MATCH(180,Transactions!$V$2:$V$5000,0))&amp;"")</f>
        <v/>
      </c>
      <c r="F286" s="11" t="str">
        <f>IF(180&gt;$B$105,"",INDEX(Transactions!$K$2:$K$5000,MATCH(180,Transactions!$V$2:$V$5000,0)))</f>
        <v/>
      </c>
    </row>
    <row r="287" spans="1:6" x14ac:dyDescent="0.25">
      <c r="A287" s="24" t="str">
        <f>IF(181&gt;$B$105,"",INDEX(Transactions!$A$2:$A$5000,MATCH(181,Transactions!$V$2:$V$5000,0)))</f>
        <v/>
      </c>
      <c r="B287" s="6" t="str">
        <f>IF(181&gt;$B$105,"",INDEX(Transactions!$B$2:$B$5000,MATCH(181,Transactions!$V$2:$V$5000,0))&amp;"")</f>
        <v/>
      </c>
      <c r="C287" s="6" t="str">
        <f>IF(181&gt;$B$105,"",INDEX(Transactions!$C$2:$C$5000,MATCH(181,Transactions!$V$2:$V$5000,0))&amp;"")</f>
        <v/>
      </c>
      <c r="D287" s="6" t="str">
        <f>IF(181&gt;$B$105,"",INDEX(Transactions!$D$2:$D$5000,MATCH(181,Transactions!$V$2:$V$5000,0))&amp;"")</f>
        <v/>
      </c>
      <c r="E287" s="6" t="str">
        <f>IF(181&gt;$B$105,"",INDEX(Transactions!$N$2:$N$5000,MATCH(181,Transactions!$V$2:$V$5000,0))&amp;"")</f>
        <v/>
      </c>
      <c r="F287" s="11" t="str">
        <f>IF(181&gt;$B$105,"",INDEX(Transactions!$K$2:$K$5000,MATCH(181,Transactions!$V$2:$V$5000,0)))</f>
        <v/>
      </c>
    </row>
    <row r="288" spans="1:6" x14ac:dyDescent="0.25">
      <c r="A288" s="24" t="str">
        <f>IF(182&gt;$B$105,"",INDEX(Transactions!$A$2:$A$5000,MATCH(182,Transactions!$V$2:$V$5000,0)))</f>
        <v/>
      </c>
      <c r="B288" s="6" t="str">
        <f>IF(182&gt;$B$105,"",INDEX(Transactions!$B$2:$B$5000,MATCH(182,Transactions!$V$2:$V$5000,0))&amp;"")</f>
        <v/>
      </c>
      <c r="C288" s="6" t="str">
        <f>IF(182&gt;$B$105,"",INDEX(Transactions!$C$2:$C$5000,MATCH(182,Transactions!$V$2:$V$5000,0))&amp;"")</f>
        <v/>
      </c>
      <c r="D288" s="6" t="str">
        <f>IF(182&gt;$B$105,"",INDEX(Transactions!$D$2:$D$5000,MATCH(182,Transactions!$V$2:$V$5000,0))&amp;"")</f>
        <v/>
      </c>
      <c r="E288" s="6" t="str">
        <f>IF(182&gt;$B$105,"",INDEX(Transactions!$N$2:$N$5000,MATCH(182,Transactions!$V$2:$V$5000,0))&amp;"")</f>
        <v/>
      </c>
      <c r="F288" s="11" t="str">
        <f>IF(182&gt;$B$105,"",INDEX(Transactions!$K$2:$K$5000,MATCH(182,Transactions!$V$2:$V$5000,0)))</f>
        <v/>
      </c>
    </row>
    <row r="289" spans="1:6" x14ac:dyDescent="0.25">
      <c r="A289" s="24" t="str">
        <f>IF(183&gt;$B$105,"",INDEX(Transactions!$A$2:$A$5000,MATCH(183,Transactions!$V$2:$V$5000,0)))</f>
        <v/>
      </c>
      <c r="B289" s="6" t="str">
        <f>IF(183&gt;$B$105,"",INDEX(Transactions!$B$2:$B$5000,MATCH(183,Transactions!$V$2:$V$5000,0))&amp;"")</f>
        <v/>
      </c>
      <c r="C289" s="6" t="str">
        <f>IF(183&gt;$B$105,"",INDEX(Transactions!$C$2:$C$5000,MATCH(183,Transactions!$V$2:$V$5000,0))&amp;"")</f>
        <v/>
      </c>
      <c r="D289" s="6" t="str">
        <f>IF(183&gt;$B$105,"",INDEX(Transactions!$D$2:$D$5000,MATCH(183,Transactions!$V$2:$V$5000,0))&amp;"")</f>
        <v/>
      </c>
      <c r="E289" s="6" t="str">
        <f>IF(183&gt;$B$105,"",INDEX(Transactions!$N$2:$N$5000,MATCH(183,Transactions!$V$2:$V$5000,0))&amp;"")</f>
        <v/>
      </c>
      <c r="F289" s="11" t="str">
        <f>IF(183&gt;$B$105,"",INDEX(Transactions!$K$2:$K$5000,MATCH(183,Transactions!$V$2:$V$5000,0)))</f>
        <v/>
      </c>
    </row>
    <row r="290" spans="1:6" x14ac:dyDescent="0.25">
      <c r="A290" s="24" t="str">
        <f>IF(184&gt;$B$105,"",INDEX(Transactions!$A$2:$A$5000,MATCH(184,Transactions!$V$2:$V$5000,0)))</f>
        <v/>
      </c>
      <c r="B290" s="6" t="str">
        <f>IF(184&gt;$B$105,"",INDEX(Transactions!$B$2:$B$5000,MATCH(184,Transactions!$V$2:$V$5000,0))&amp;"")</f>
        <v/>
      </c>
      <c r="C290" s="6" t="str">
        <f>IF(184&gt;$B$105,"",INDEX(Transactions!$C$2:$C$5000,MATCH(184,Transactions!$V$2:$V$5000,0))&amp;"")</f>
        <v/>
      </c>
      <c r="D290" s="6" t="str">
        <f>IF(184&gt;$B$105,"",INDEX(Transactions!$D$2:$D$5000,MATCH(184,Transactions!$V$2:$V$5000,0))&amp;"")</f>
        <v/>
      </c>
      <c r="E290" s="6" t="str">
        <f>IF(184&gt;$B$105,"",INDEX(Transactions!$N$2:$N$5000,MATCH(184,Transactions!$V$2:$V$5000,0))&amp;"")</f>
        <v/>
      </c>
      <c r="F290" s="11" t="str">
        <f>IF(184&gt;$B$105,"",INDEX(Transactions!$K$2:$K$5000,MATCH(184,Transactions!$V$2:$V$5000,0)))</f>
        <v/>
      </c>
    </row>
    <row r="291" spans="1:6" x14ac:dyDescent="0.25">
      <c r="A291" s="24" t="str">
        <f>IF(185&gt;$B$105,"",INDEX(Transactions!$A$2:$A$5000,MATCH(185,Transactions!$V$2:$V$5000,0)))</f>
        <v/>
      </c>
      <c r="B291" s="6" t="str">
        <f>IF(185&gt;$B$105,"",INDEX(Transactions!$B$2:$B$5000,MATCH(185,Transactions!$V$2:$V$5000,0))&amp;"")</f>
        <v/>
      </c>
      <c r="C291" s="6" t="str">
        <f>IF(185&gt;$B$105,"",INDEX(Transactions!$C$2:$C$5000,MATCH(185,Transactions!$V$2:$V$5000,0))&amp;"")</f>
        <v/>
      </c>
      <c r="D291" s="6" t="str">
        <f>IF(185&gt;$B$105,"",INDEX(Transactions!$D$2:$D$5000,MATCH(185,Transactions!$V$2:$V$5000,0))&amp;"")</f>
        <v/>
      </c>
      <c r="E291" s="6" t="str">
        <f>IF(185&gt;$B$105,"",INDEX(Transactions!$N$2:$N$5000,MATCH(185,Transactions!$V$2:$V$5000,0))&amp;"")</f>
        <v/>
      </c>
      <c r="F291" s="11" t="str">
        <f>IF(185&gt;$B$105,"",INDEX(Transactions!$K$2:$K$5000,MATCH(185,Transactions!$V$2:$V$5000,0)))</f>
        <v/>
      </c>
    </row>
    <row r="292" spans="1:6" x14ac:dyDescent="0.25">
      <c r="A292" s="24" t="str">
        <f>IF(186&gt;$B$105,"",INDEX(Transactions!$A$2:$A$5000,MATCH(186,Transactions!$V$2:$V$5000,0)))</f>
        <v/>
      </c>
      <c r="B292" s="6" t="str">
        <f>IF(186&gt;$B$105,"",INDEX(Transactions!$B$2:$B$5000,MATCH(186,Transactions!$V$2:$V$5000,0))&amp;"")</f>
        <v/>
      </c>
      <c r="C292" s="6" t="str">
        <f>IF(186&gt;$B$105,"",INDEX(Transactions!$C$2:$C$5000,MATCH(186,Transactions!$V$2:$V$5000,0))&amp;"")</f>
        <v/>
      </c>
      <c r="D292" s="6" t="str">
        <f>IF(186&gt;$B$105,"",INDEX(Transactions!$D$2:$D$5000,MATCH(186,Transactions!$V$2:$V$5000,0))&amp;"")</f>
        <v/>
      </c>
      <c r="E292" s="6" t="str">
        <f>IF(186&gt;$B$105,"",INDEX(Transactions!$N$2:$N$5000,MATCH(186,Transactions!$V$2:$V$5000,0))&amp;"")</f>
        <v/>
      </c>
      <c r="F292" s="11" t="str">
        <f>IF(186&gt;$B$105,"",INDEX(Transactions!$K$2:$K$5000,MATCH(186,Transactions!$V$2:$V$5000,0)))</f>
        <v/>
      </c>
    </row>
    <row r="293" spans="1:6" x14ac:dyDescent="0.25">
      <c r="A293" s="24" t="str">
        <f>IF(187&gt;$B$105,"",INDEX(Transactions!$A$2:$A$5000,MATCH(187,Transactions!$V$2:$V$5000,0)))</f>
        <v/>
      </c>
      <c r="B293" s="6" t="str">
        <f>IF(187&gt;$B$105,"",INDEX(Transactions!$B$2:$B$5000,MATCH(187,Transactions!$V$2:$V$5000,0))&amp;"")</f>
        <v/>
      </c>
      <c r="C293" s="6" t="str">
        <f>IF(187&gt;$B$105,"",INDEX(Transactions!$C$2:$C$5000,MATCH(187,Transactions!$V$2:$V$5000,0))&amp;"")</f>
        <v/>
      </c>
      <c r="D293" s="6" t="str">
        <f>IF(187&gt;$B$105,"",INDEX(Transactions!$D$2:$D$5000,MATCH(187,Transactions!$V$2:$V$5000,0))&amp;"")</f>
        <v/>
      </c>
      <c r="E293" s="6" t="str">
        <f>IF(187&gt;$B$105,"",INDEX(Transactions!$N$2:$N$5000,MATCH(187,Transactions!$V$2:$V$5000,0))&amp;"")</f>
        <v/>
      </c>
      <c r="F293" s="11" t="str">
        <f>IF(187&gt;$B$105,"",INDEX(Transactions!$K$2:$K$5000,MATCH(187,Transactions!$V$2:$V$5000,0)))</f>
        <v/>
      </c>
    </row>
    <row r="294" spans="1:6" x14ac:dyDescent="0.25">
      <c r="A294" s="24" t="str">
        <f>IF(188&gt;$B$105,"",INDEX(Transactions!$A$2:$A$5000,MATCH(188,Transactions!$V$2:$V$5000,0)))</f>
        <v/>
      </c>
      <c r="B294" s="6" t="str">
        <f>IF(188&gt;$B$105,"",INDEX(Transactions!$B$2:$B$5000,MATCH(188,Transactions!$V$2:$V$5000,0))&amp;"")</f>
        <v/>
      </c>
      <c r="C294" s="6" t="str">
        <f>IF(188&gt;$B$105,"",INDEX(Transactions!$C$2:$C$5000,MATCH(188,Transactions!$V$2:$V$5000,0))&amp;"")</f>
        <v/>
      </c>
      <c r="D294" s="6" t="str">
        <f>IF(188&gt;$B$105,"",INDEX(Transactions!$D$2:$D$5000,MATCH(188,Transactions!$V$2:$V$5000,0))&amp;"")</f>
        <v/>
      </c>
      <c r="E294" s="6" t="str">
        <f>IF(188&gt;$B$105,"",INDEX(Transactions!$N$2:$N$5000,MATCH(188,Transactions!$V$2:$V$5000,0))&amp;"")</f>
        <v/>
      </c>
      <c r="F294" s="11" t="str">
        <f>IF(188&gt;$B$105,"",INDEX(Transactions!$K$2:$K$5000,MATCH(188,Transactions!$V$2:$V$5000,0)))</f>
        <v/>
      </c>
    </row>
    <row r="295" spans="1:6" x14ac:dyDescent="0.25">
      <c r="A295" s="24" t="str">
        <f>IF(189&gt;$B$105,"",INDEX(Transactions!$A$2:$A$5000,MATCH(189,Transactions!$V$2:$V$5000,0)))</f>
        <v/>
      </c>
      <c r="B295" s="6" t="str">
        <f>IF(189&gt;$B$105,"",INDEX(Transactions!$B$2:$B$5000,MATCH(189,Transactions!$V$2:$V$5000,0))&amp;"")</f>
        <v/>
      </c>
      <c r="C295" s="6" t="str">
        <f>IF(189&gt;$B$105,"",INDEX(Transactions!$C$2:$C$5000,MATCH(189,Transactions!$V$2:$V$5000,0))&amp;"")</f>
        <v/>
      </c>
      <c r="D295" s="6" t="str">
        <f>IF(189&gt;$B$105,"",INDEX(Transactions!$D$2:$D$5000,MATCH(189,Transactions!$V$2:$V$5000,0))&amp;"")</f>
        <v/>
      </c>
      <c r="E295" s="6" t="str">
        <f>IF(189&gt;$B$105,"",INDEX(Transactions!$N$2:$N$5000,MATCH(189,Transactions!$V$2:$V$5000,0))&amp;"")</f>
        <v/>
      </c>
      <c r="F295" s="11" t="str">
        <f>IF(189&gt;$B$105,"",INDEX(Transactions!$K$2:$K$5000,MATCH(189,Transactions!$V$2:$V$5000,0)))</f>
        <v/>
      </c>
    </row>
    <row r="296" spans="1:6" x14ac:dyDescent="0.25">
      <c r="A296" s="24" t="str">
        <f>IF(190&gt;$B$105,"",INDEX(Transactions!$A$2:$A$5000,MATCH(190,Transactions!$V$2:$V$5000,0)))</f>
        <v/>
      </c>
      <c r="B296" s="6" t="str">
        <f>IF(190&gt;$B$105,"",INDEX(Transactions!$B$2:$B$5000,MATCH(190,Transactions!$V$2:$V$5000,0))&amp;"")</f>
        <v/>
      </c>
      <c r="C296" s="6" t="str">
        <f>IF(190&gt;$B$105,"",INDEX(Transactions!$C$2:$C$5000,MATCH(190,Transactions!$V$2:$V$5000,0))&amp;"")</f>
        <v/>
      </c>
      <c r="D296" s="6" t="str">
        <f>IF(190&gt;$B$105,"",INDEX(Transactions!$D$2:$D$5000,MATCH(190,Transactions!$V$2:$V$5000,0))&amp;"")</f>
        <v/>
      </c>
      <c r="E296" s="6" t="str">
        <f>IF(190&gt;$B$105,"",INDEX(Transactions!$N$2:$N$5000,MATCH(190,Transactions!$V$2:$V$5000,0))&amp;"")</f>
        <v/>
      </c>
      <c r="F296" s="11" t="str">
        <f>IF(190&gt;$B$105,"",INDEX(Transactions!$K$2:$K$5000,MATCH(190,Transactions!$V$2:$V$5000,0)))</f>
        <v/>
      </c>
    </row>
    <row r="297" spans="1:6" x14ac:dyDescent="0.25">
      <c r="A297" s="24" t="str">
        <f>IF(191&gt;$B$105,"",INDEX(Transactions!$A$2:$A$5000,MATCH(191,Transactions!$V$2:$V$5000,0)))</f>
        <v/>
      </c>
      <c r="B297" s="6" t="str">
        <f>IF(191&gt;$B$105,"",INDEX(Transactions!$B$2:$B$5000,MATCH(191,Transactions!$V$2:$V$5000,0))&amp;"")</f>
        <v/>
      </c>
      <c r="C297" s="6" t="str">
        <f>IF(191&gt;$B$105,"",INDEX(Transactions!$C$2:$C$5000,MATCH(191,Transactions!$V$2:$V$5000,0))&amp;"")</f>
        <v/>
      </c>
      <c r="D297" s="6" t="str">
        <f>IF(191&gt;$B$105,"",INDEX(Transactions!$D$2:$D$5000,MATCH(191,Transactions!$V$2:$V$5000,0))&amp;"")</f>
        <v/>
      </c>
      <c r="E297" s="6" t="str">
        <f>IF(191&gt;$B$105,"",INDEX(Transactions!$N$2:$N$5000,MATCH(191,Transactions!$V$2:$V$5000,0))&amp;"")</f>
        <v/>
      </c>
      <c r="F297" s="11" t="str">
        <f>IF(191&gt;$B$105,"",INDEX(Transactions!$K$2:$K$5000,MATCH(191,Transactions!$V$2:$V$5000,0)))</f>
        <v/>
      </c>
    </row>
    <row r="298" spans="1:6" x14ac:dyDescent="0.25">
      <c r="A298" s="24" t="str">
        <f>IF(192&gt;$B$105,"",INDEX(Transactions!$A$2:$A$5000,MATCH(192,Transactions!$V$2:$V$5000,0)))</f>
        <v/>
      </c>
      <c r="B298" s="6" t="str">
        <f>IF(192&gt;$B$105,"",INDEX(Transactions!$B$2:$B$5000,MATCH(192,Transactions!$V$2:$V$5000,0))&amp;"")</f>
        <v/>
      </c>
      <c r="C298" s="6" t="str">
        <f>IF(192&gt;$B$105,"",INDEX(Transactions!$C$2:$C$5000,MATCH(192,Transactions!$V$2:$V$5000,0))&amp;"")</f>
        <v/>
      </c>
      <c r="D298" s="6" t="str">
        <f>IF(192&gt;$B$105,"",INDEX(Transactions!$D$2:$D$5000,MATCH(192,Transactions!$V$2:$V$5000,0))&amp;"")</f>
        <v/>
      </c>
      <c r="E298" s="6" t="str">
        <f>IF(192&gt;$B$105,"",INDEX(Transactions!$N$2:$N$5000,MATCH(192,Transactions!$V$2:$V$5000,0))&amp;"")</f>
        <v/>
      </c>
      <c r="F298" s="11" t="str">
        <f>IF(192&gt;$B$105,"",INDEX(Transactions!$K$2:$K$5000,MATCH(192,Transactions!$V$2:$V$5000,0)))</f>
        <v/>
      </c>
    </row>
    <row r="299" spans="1:6" x14ac:dyDescent="0.25">
      <c r="A299" s="24" t="str">
        <f>IF(193&gt;$B$105,"",INDEX(Transactions!$A$2:$A$5000,MATCH(193,Transactions!$V$2:$V$5000,0)))</f>
        <v/>
      </c>
      <c r="B299" s="6" t="str">
        <f>IF(193&gt;$B$105,"",INDEX(Transactions!$B$2:$B$5000,MATCH(193,Transactions!$V$2:$V$5000,0))&amp;"")</f>
        <v/>
      </c>
      <c r="C299" s="6" t="str">
        <f>IF(193&gt;$B$105,"",INDEX(Transactions!$C$2:$C$5000,MATCH(193,Transactions!$V$2:$V$5000,0))&amp;"")</f>
        <v/>
      </c>
      <c r="D299" s="6" t="str">
        <f>IF(193&gt;$B$105,"",INDEX(Transactions!$D$2:$D$5000,MATCH(193,Transactions!$V$2:$V$5000,0))&amp;"")</f>
        <v/>
      </c>
      <c r="E299" s="6" t="str">
        <f>IF(193&gt;$B$105,"",INDEX(Transactions!$N$2:$N$5000,MATCH(193,Transactions!$V$2:$V$5000,0))&amp;"")</f>
        <v/>
      </c>
      <c r="F299" s="11" t="str">
        <f>IF(193&gt;$B$105,"",INDEX(Transactions!$K$2:$K$5000,MATCH(193,Transactions!$V$2:$V$5000,0)))</f>
        <v/>
      </c>
    </row>
    <row r="300" spans="1:6" x14ac:dyDescent="0.25">
      <c r="A300" s="24" t="str">
        <f>IF(194&gt;$B$105,"",INDEX(Transactions!$A$2:$A$5000,MATCH(194,Transactions!$V$2:$V$5000,0)))</f>
        <v/>
      </c>
      <c r="B300" s="6" t="str">
        <f>IF(194&gt;$B$105,"",INDEX(Transactions!$B$2:$B$5000,MATCH(194,Transactions!$V$2:$V$5000,0))&amp;"")</f>
        <v/>
      </c>
      <c r="C300" s="6" t="str">
        <f>IF(194&gt;$B$105,"",INDEX(Transactions!$C$2:$C$5000,MATCH(194,Transactions!$V$2:$V$5000,0))&amp;"")</f>
        <v/>
      </c>
      <c r="D300" s="6" t="str">
        <f>IF(194&gt;$B$105,"",INDEX(Transactions!$D$2:$D$5000,MATCH(194,Transactions!$V$2:$V$5000,0))&amp;"")</f>
        <v/>
      </c>
      <c r="E300" s="6" t="str">
        <f>IF(194&gt;$B$105,"",INDEX(Transactions!$N$2:$N$5000,MATCH(194,Transactions!$V$2:$V$5000,0))&amp;"")</f>
        <v/>
      </c>
      <c r="F300" s="11" t="str">
        <f>IF(194&gt;$B$105,"",INDEX(Transactions!$K$2:$K$5000,MATCH(194,Transactions!$V$2:$V$5000,0)))</f>
        <v/>
      </c>
    </row>
    <row r="301" spans="1:6" x14ac:dyDescent="0.25">
      <c r="A301" s="24" t="str">
        <f>IF(195&gt;$B$105,"",INDEX(Transactions!$A$2:$A$5000,MATCH(195,Transactions!$V$2:$V$5000,0)))</f>
        <v/>
      </c>
      <c r="B301" s="6" t="str">
        <f>IF(195&gt;$B$105,"",INDEX(Transactions!$B$2:$B$5000,MATCH(195,Transactions!$V$2:$V$5000,0))&amp;"")</f>
        <v/>
      </c>
      <c r="C301" s="6" t="str">
        <f>IF(195&gt;$B$105,"",INDEX(Transactions!$C$2:$C$5000,MATCH(195,Transactions!$V$2:$V$5000,0))&amp;"")</f>
        <v/>
      </c>
      <c r="D301" s="6" t="str">
        <f>IF(195&gt;$B$105,"",INDEX(Transactions!$D$2:$D$5000,MATCH(195,Transactions!$V$2:$V$5000,0))&amp;"")</f>
        <v/>
      </c>
      <c r="E301" s="6" t="str">
        <f>IF(195&gt;$B$105,"",INDEX(Transactions!$N$2:$N$5000,MATCH(195,Transactions!$V$2:$V$5000,0))&amp;"")</f>
        <v/>
      </c>
      <c r="F301" s="11" t="str">
        <f>IF(195&gt;$B$105,"",INDEX(Transactions!$K$2:$K$5000,MATCH(195,Transactions!$V$2:$V$5000,0)))</f>
        <v/>
      </c>
    </row>
    <row r="302" spans="1:6" x14ac:dyDescent="0.25">
      <c r="A302" s="24" t="str">
        <f>IF(196&gt;$B$105,"",INDEX(Transactions!$A$2:$A$5000,MATCH(196,Transactions!$V$2:$V$5000,0)))</f>
        <v/>
      </c>
      <c r="B302" s="6" t="str">
        <f>IF(196&gt;$B$105,"",INDEX(Transactions!$B$2:$B$5000,MATCH(196,Transactions!$V$2:$V$5000,0))&amp;"")</f>
        <v/>
      </c>
      <c r="C302" s="6" t="str">
        <f>IF(196&gt;$B$105,"",INDEX(Transactions!$C$2:$C$5000,MATCH(196,Transactions!$V$2:$V$5000,0))&amp;"")</f>
        <v/>
      </c>
      <c r="D302" s="6" t="str">
        <f>IF(196&gt;$B$105,"",INDEX(Transactions!$D$2:$D$5000,MATCH(196,Transactions!$V$2:$V$5000,0))&amp;"")</f>
        <v/>
      </c>
      <c r="E302" s="6" t="str">
        <f>IF(196&gt;$B$105,"",INDEX(Transactions!$N$2:$N$5000,MATCH(196,Transactions!$V$2:$V$5000,0))&amp;"")</f>
        <v/>
      </c>
      <c r="F302" s="11" t="str">
        <f>IF(196&gt;$B$105,"",INDEX(Transactions!$K$2:$K$5000,MATCH(196,Transactions!$V$2:$V$5000,0)))</f>
        <v/>
      </c>
    </row>
    <row r="303" spans="1:6" x14ac:dyDescent="0.25">
      <c r="A303" s="24" t="str">
        <f>IF(197&gt;$B$105,"",INDEX(Transactions!$A$2:$A$5000,MATCH(197,Transactions!$V$2:$V$5000,0)))</f>
        <v/>
      </c>
      <c r="B303" s="6" t="str">
        <f>IF(197&gt;$B$105,"",INDEX(Transactions!$B$2:$B$5000,MATCH(197,Transactions!$V$2:$V$5000,0))&amp;"")</f>
        <v/>
      </c>
      <c r="C303" s="6" t="str">
        <f>IF(197&gt;$B$105,"",INDEX(Transactions!$C$2:$C$5000,MATCH(197,Transactions!$V$2:$V$5000,0))&amp;"")</f>
        <v/>
      </c>
      <c r="D303" s="6" t="str">
        <f>IF(197&gt;$B$105,"",INDEX(Transactions!$D$2:$D$5000,MATCH(197,Transactions!$V$2:$V$5000,0))&amp;"")</f>
        <v/>
      </c>
      <c r="E303" s="6" t="str">
        <f>IF(197&gt;$B$105,"",INDEX(Transactions!$N$2:$N$5000,MATCH(197,Transactions!$V$2:$V$5000,0))&amp;"")</f>
        <v/>
      </c>
      <c r="F303" s="11" t="str">
        <f>IF(197&gt;$B$105,"",INDEX(Transactions!$K$2:$K$5000,MATCH(197,Transactions!$V$2:$V$5000,0)))</f>
        <v/>
      </c>
    </row>
    <row r="304" spans="1:6" x14ac:dyDescent="0.25">
      <c r="A304" s="24" t="str">
        <f>IF(198&gt;$B$105,"",INDEX(Transactions!$A$2:$A$5000,MATCH(198,Transactions!$V$2:$V$5000,0)))</f>
        <v/>
      </c>
      <c r="B304" s="6" t="str">
        <f>IF(198&gt;$B$105,"",INDEX(Transactions!$B$2:$B$5000,MATCH(198,Transactions!$V$2:$V$5000,0))&amp;"")</f>
        <v/>
      </c>
      <c r="C304" s="6" t="str">
        <f>IF(198&gt;$B$105,"",INDEX(Transactions!$C$2:$C$5000,MATCH(198,Transactions!$V$2:$V$5000,0))&amp;"")</f>
        <v/>
      </c>
      <c r="D304" s="6" t="str">
        <f>IF(198&gt;$B$105,"",INDEX(Transactions!$D$2:$D$5000,MATCH(198,Transactions!$V$2:$V$5000,0))&amp;"")</f>
        <v/>
      </c>
      <c r="E304" s="6" t="str">
        <f>IF(198&gt;$B$105,"",INDEX(Transactions!$N$2:$N$5000,MATCH(198,Transactions!$V$2:$V$5000,0))&amp;"")</f>
        <v/>
      </c>
      <c r="F304" s="11" t="str">
        <f>IF(198&gt;$B$105,"",INDEX(Transactions!$K$2:$K$5000,MATCH(198,Transactions!$V$2:$V$5000,0)))</f>
        <v/>
      </c>
    </row>
    <row r="305" spans="1:6" x14ac:dyDescent="0.25">
      <c r="A305" s="24" t="str">
        <f>IF(199&gt;$B$105,"",INDEX(Transactions!$A$2:$A$5000,MATCH(199,Transactions!$V$2:$V$5000,0)))</f>
        <v/>
      </c>
      <c r="B305" s="6" t="str">
        <f>IF(199&gt;$B$105,"",INDEX(Transactions!$B$2:$B$5000,MATCH(199,Transactions!$V$2:$V$5000,0))&amp;"")</f>
        <v/>
      </c>
      <c r="C305" s="6" t="str">
        <f>IF(199&gt;$B$105,"",INDEX(Transactions!$C$2:$C$5000,MATCH(199,Transactions!$V$2:$V$5000,0))&amp;"")</f>
        <v/>
      </c>
      <c r="D305" s="6" t="str">
        <f>IF(199&gt;$B$105,"",INDEX(Transactions!$D$2:$D$5000,MATCH(199,Transactions!$V$2:$V$5000,0))&amp;"")</f>
        <v/>
      </c>
      <c r="E305" s="6" t="str">
        <f>IF(199&gt;$B$105,"",INDEX(Transactions!$N$2:$N$5000,MATCH(199,Transactions!$V$2:$V$5000,0))&amp;"")</f>
        <v/>
      </c>
      <c r="F305" s="11" t="str">
        <f>IF(199&gt;$B$105,"",INDEX(Transactions!$K$2:$K$5000,MATCH(199,Transactions!$V$2:$V$5000,0)))</f>
        <v/>
      </c>
    </row>
    <row r="306" spans="1:6" x14ac:dyDescent="0.25">
      <c r="A306" s="24" t="str">
        <f>IF(200&gt;$B$105,"",INDEX(Transactions!$A$2:$A$5000,MATCH(200,Transactions!$V$2:$V$5000,0)))</f>
        <v/>
      </c>
      <c r="B306" s="6" t="str">
        <f>IF(200&gt;$B$105,"",INDEX(Transactions!$B$2:$B$5000,MATCH(200,Transactions!$V$2:$V$5000,0))&amp;"")</f>
        <v/>
      </c>
      <c r="C306" s="6" t="str">
        <f>IF(200&gt;$B$105,"",INDEX(Transactions!$C$2:$C$5000,MATCH(200,Transactions!$V$2:$V$5000,0))&amp;"")</f>
        <v/>
      </c>
      <c r="D306" s="6" t="str">
        <f>IF(200&gt;$B$105,"",INDEX(Transactions!$D$2:$D$5000,MATCH(200,Transactions!$V$2:$V$5000,0))&amp;"")</f>
        <v/>
      </c>
      <c r="E306" s="6" t="str">
        <f>IF(200&gt;$B$105,"",INDEX(Transactions!$N$2:$N$5000,MATCH(200,Transactions!$V$2:$V$5000,0))&amp;"")</f>
        <v/>
      </c>
      <c r="F306" s="11" t="str">
        <f>IF(200&gt;$B$105,"",INDEX(Transactions!$K$2:$K$5000,MATCH(200,Transactions!$V$2:$V$5000,0)))</f>
        <v/>
      </c>
    </row>
  </sheetData>
  <sheetProtection sheet="1" formatColumns="0" formatRows="0" autoFilter="0"/>
  <dataValidations count="5">
    <dataValidation type="list" allowBlank="1" showErrorMessage="1" errorStyle="stop" errorTitle="Mois" error="Choisissez le mois dans la liste : elle part du premier mois de vos transactions." sqref="B1">
      <formula1>ListeMois</formula1>
    </dataValidation>
    <dataValidation type="list" allowBlank="1" showErrorMessage="1" errorStyle="stop" errorTitle="Compte inconnu" error="Choisissez un compte déclaré dans Paramètres." sqref="E13">
      <formula1>OFFSET('Paramètres'!$D$10,0,0,MAX(1,COUNTA('Paramètres'!$D$10:$D$49)),1)</formula1>
    </dataValidation>
    <dataValidation type="list" allowBlank="1" showErrorMessage="1" errorStyle="stop" errorTitle="Compte inconnu" error="Choisissez un compte déclaré dans Paramètres." sqref="F16">
      <formula1>OFFSET('Paramètres'!$D$10,0,0,MAX(1,COUNTA('Paramètres'!$D$10:$D$49)),1)</formula1>
    </dataValidation>
    <dataValidation type="date" allowBlank="1" showErrorMessage="1" errorStyle="stop" errorTitle="Date du relevé" error="Une date entre 2000 et 2099, par exemple 14/03/2026." sqref="F17">
      <formula1>36526</formula1>
      <formula2>73050</formula2>
    </dataValidation>
    <dataValidation type="decimal" allowBlank="1" showErrorMessage="1" errorStyle="stop" errorTitle="Solde lu" error="Le solde lu sur le relevé : un nombre, négatif s'il est débiteur." sqref="F18">
      <formula1>-1000000000</formula1>
      <formula2>1000000000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Lisez-moi</vt:lpstr>
      <vt:lpstr>Transactions</vt:lpstr>
      <vt:lpstr>Paie</vt:lpstr>
      <vt:lpstr>Patrimoine</vt:lpstr>
      <vt:lpstr>Paramètres</vt:lpstr>
      <vt:lpstr>Référentiel</vt:lpstr>
      <vt:lpstr>Visualisation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Budget — démonstration</dc:creator>
  <dc:title>Budget — modèle de fichier source</dc:title>
  <dc:subject/>
  <dc:description/>
  <cp:keywords/>
  <cp:category/>
  <cp:lastModifiedBy>Dashboard Budget — démonstration</cp:lastModifiedBy>
  <cp:lastPrinted>2026-01-01T00:00:00Z</cp:lastPrinted>
  <dcterms:created xsi:type="dcterms:W3CDTF">2026-01-01T00:00:00Z</dcterms:created>
  <dcterms:modified xsi:type="dcterms:W3CDTF">2026-01-01T00:00:00Z</dcterms:modified>
</cp:coreProperties>
</file>